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4.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drawings/drawing5.xml" ContentType="application/vnd.openxmlformats-officedocument.drawing+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drawings/drawing6.xml" ContentType="application/vnd.openxmlformats-officedocument.drawing+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drawings/drawing7.xml" ContentType="application/vnd.openxmlformats-officedocument.drawing+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drawings/drawing8.xml" ContentType="application/vnd.openxmlformats-officedocument.drawing+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drawings/drawing12.xml" ContentType="application/vnd.openxmlformats-officedocument.drawing+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drawings/drawing13.xml" ContentType="application/vnd.openxmlformats-officedocument.drawing+xml"/>
  <Override PartName="/xl/ctrlProps/ctrlProp783.xml" ContentType="application/vnd.ms-excel.controlproperties+xml"/>
  <Override PartName="/xl/drawings/drawing14.xml" ContentType="application/vnd.openxmlformats-officedocument.drawing+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codeName="ThisWorkbook"/>
  <mc:AlternateContent xmlns:mc="http://schemas.openxmlformats.org/markup-compatibility/2006">
    <mc:Choice Requires="x15">
      <x15ac:absPath xmlns:x15ac="http://schemas.microsoft.com/office/spreadsheetml/2010/11/ac" url="G:\Division\Green Building\OTHER GREEN PROGRAMS\ZERH\"/>
    </mc:Choice>
  </mc:AlternateContent>
  <xr:revisionPtr revIDLastSave="0" documentId="8_{996BE740-02A6-4416-B52C-83F4691B9371}" xr6:coauthVersionLast="45" xr6:coauthVersionMax="45" xr10:uidLastSave="{00000000-0000-0000-0000-000000000000}"/>
  <workbookProtection workbookAlgorithmName="SHA-512" workbookHashValue="0Xx17TsahRVVt+Ac4217p+ZvMO3ybAmQs4+1sNsoQDqQpm8MrnQi8hJYyhStPa2hbQBI1B7+2Ecw2HKPY1Vt1w==" workbookSaltValue="S0dPw0Chjp2oSXAVr4ObYA==" workbookSpinCount="100000" lockStructure="1"/>
  <bookViews>
    <workbookView xWindow="28680" yWindow="-120" windowWidth="29040" windowHeight="15840" tabRatio="851" xr2:uid="{00000000-000D-0000-FFFF-FFFF00000000}"/>
  </bookViews>
  <sheets>
    <sheet name="Info &amp; Intro" sheetId="6" r:id="rId1"/>
    <sheet name="Overview (Design)" sheetId="7" r:id="rId2"/>
    <sheet name="Geography" sheetId="4" state="veryHidden" r:id="rId3"/>
    <sheet name="Ch5" sheetId="8" r:id="rId4"/>
    <sheet name="Ch6" sheetId="24" r:id="rId5"/>
    <sheet name="Ch7" sheetId="25" r:id="rId6"/>
    <sheet name="Ch8" sheetId="27" r:id="rId7"/>
    <sheet name="Ch9" sheetId="28" r:id="rId8"/>
    <sheet name="Ch10" sheetId="29" r:id="rId9"/>
    <sheet name="Req. Doc." sheetId="66" r:id="rId10"/>
    <sheet name="Design Summ." sheetId="72" r:id="rId11"/>
    <sheet name="Dropdowns" sheetId="2" state="veryHidden" r:id="rId12"/>
    <sheet name="Points" sheetId="3" state="veryHidden" r:id="rId13"/>
    <sheet name="Formulas" sheetId="10" state="veryHidden" r:id="rId14"/>
    <sheet name="Overview (Verification)" sheetId="23" r:id="rId15"/>
    <sheet name="Verification Report" sheetId="16" r:id="rId16"/>
    <sheet name="Photo Review" sheetId="76" state="veryHidden" r:id="rId17"/>
    <sheet name="Rough Sig." sheetId="17" r:id="rId18"/>
    <sheet name="Final Sig." sheetId="18" r:id="rId19"/>
    <sheet name="Appendix A" sheetId="73" r:id="rId20"/>
    <sheet name="Appendix B" sheetId="74" r:id="rId21"/>
    <sheet name="Appendix D" sheetId="75" r:id="rId22"/>
    <sheet name="Table 602.1.12" sheetId="30" r:id="rId23"/>
    <sheet name="Table 604.1" sheetId="31" r:id="rId24"/>
    <sheet name="Table 610.1.2.1" sheetId="32" r:id="rId25"/>
    <sheet name="Table 610.1.2.2" sheetId="33" r:id="rId26"/>
    <sheet name="Figure 6(2)" sheetId="34" r:id="rId27"/>
    <sheet name="Figure 6(3)" sheetId="37" r:id="rId28"/>
    <sheet name="Table 701.4.3.2(2)" sheetId="39" r:id="rId29"/>
    <sheet name="Table 703.2.1(a)" sheetId="38" r:id="rId30"/>
    <sheet name="Table 703.2.1(b)" sheetId="40" r:id="rId31"/>
    <sheet name="Table 703.2.2" sheetId="41" r:id="rId32"/>
    <sheet name="Table 703.2.4" sheetId="43" r:id="rId33"/>
    <sheet name="Table 703.2.5.1" sheetId="44" r:id="rId34"/>
    <sheet name="Tables 703.2.5.2(a), (b) &amp; (c)" sheetId="45" r:id="rId35"/>
    <sheet name="Table 703.7.1(7)" sheetId="65" r:id="rId36"/>
    <sheet name="Table 801.1(1)" sheetId="67" r:id="rId37"/>
    <sheet name="Table 801.1(2)" sheetId="68" r:id="rId38"/>
    <sheet name="Table 901.9.1" sheetId="69" r:id="rId39"/>
    <sheet name="Table 901.9.2" sheetId="70" r:id="rId40"/>
    <sheet name="Table 901.10(3)" sheetId="71" r:id="rId41"/>
    <sheet name="Errata" sheetId="21" r:id="rId42"/>
  </sheets>
  <definedNames>
    <definedName name="_xlnm._FilterDatabase" localSheetId="2" hidden="1">Geography!$A$1:$G$3146</definedName>
    <definedName name="_xlnm._FilterDatabase" localSheetId="16" hidden="1">'Photo Review'!$G$7:$G$2006</definedName>
    <definedName name="_xlnm._FilterDatabase" localSheetId="9" hidden="1">'Req. Doc.'!$A$6:$C$2004</definedName>
    <definedName name="_xlnm._FilterDatabase" localSheetId="15" hidden="1">'Verification Report'!$A$7:$H$2005</definedName>
    <definedName name="Ch10Add">Points!$M$20</definedName>
    <definedName name="Ch10AddFinal">Points!$V$20</definedName>
    <definedName name="Ch10AddGoal">Points!$X$20</definedName>
    <definedName name="Ch10GLevFinal">Points!$AA$20</definedName>
    <definedName name="Ch10Level">Points!$R$20</definedName>
    <definedName name="Ch10LevelFinal">Points!$AC$20</definedName>
    <definedName name="Ch10NLev">Points!$P$20</definedName>
    <definedName name="Ch10Points">Points!$H$20</definedName>
    <definedName name="Ch10PointsFinal">Points!$T$20</definedName>
    <definedName name="Ch5Add" localSheetId="12">Points!$M$15</definedName>
    <definedName name="Ch5AddFinal">Points!$V$15</definedName>
    <definedName name="Ch5AddGoal">Points!$X$15</definedName>
    <definedName name="Ch5Error">'Ch5'!$AI$3</definedName>
    <definedName name="Ch5GLevFinal">Points!$AA$15</definedName>
    <definedName name="Ch5Level" localSheetId="12">Points!$R$15</definedName>
    <definedName name="Ch5LevelFinal">Points!$AC$15</definedName>
    <definedName name="Ch5MandError">'Ch5'!$AG$3</definedName>
    <definedName name="Ch5NLev" localSheetId="12">Points!$P$15</definedName>
    <definedName name="Ch5Points" localSheetId="12">Points!$H$15</definedName>
    <definedName name="Ch5PointsFinal">Points!$T$15</definedName>
    <definedName name="Ch6Add">Points!$M$16</definedName>
    <definedName name="Ch6AddFinal">Points!$V$16</definedName>
    <definedName name="Ch6AddGoal">Points!$X$16</definedName>
    <definedName name="Ch6GLevFinal">Points!$AA$16</definedName>
    <definedName name="Ch6Level">Points!$R$16</definedName>
    <definedName name="Ch6LevelFinal">Points!$AC$16</definedName>
    <definedName name="Ch6NLev">Points!$P$16</definedName>
    <definedName name="Ch6Points">Points!$H$16</definedName>
    <definedName name="Ch6PointsFinal">Points!$T$16</definedName>
    <definedName name="Ch7Add">Points!$M$17</definedName>
    <definedName name="Ch7AddFinal">Points!$V$17</definedName>
    <definedName name="Ch7AddGoal">Points!$X$17</definedName>
    <definedName name="Ch7GLevFinal">Points!$AA$17</definedName>
    <definedName name="Ch7Level">Points!$R$17</definedName>
    <definedName name="Ch7LevelFinal">Points!$AC$17</definedName>
    <definedName name="Ch7Max">Points!$N$10</definedName>
    <definedName name="Ch7NLev">Points!$P$17</definedName>
    <definedName name="Ch7Points">Points!$H$17</definedName>
    <definedName name="Ch7PointsFinal">Points!$T$17</definedName>
    <definedName name="Ch8Add">Points!$M$18</definedName>
    <definedName name="Ch8AddFinal">Points!$V$18</definedName>
    <definedName name="Ch8AddGoal">Points!$X$18</definedName>
    <definedName name="Ch8GLevFinal">Points!$AA$18</definedName>
    <definedName name="Ch8Level">Points!$R$18</definedName>
    <definedName name="Ch8LevelFinal">Points!$AC$18</definedName>
    <definedName name="Ch8Max">Points!$N$11</definedName>
    <definedName name="Ch8NLev">Points!$P$18</definedName>
    <definedName name="Ch8Points">Points!$H$18</definedName>
    <definedName name="Ch8PointsFinal">Points!$T$18</definedName>
    <definedName name="Ch9Add">Points!$M$19</definedName>
    <definedName name="Ch9AddFinal">Points!$V$19</definedName>
    <definedName name="Ch9AddGoal">Points!$X$19</definedName>
    <definedName name="Ch9GLevFinal">Points!$AA$19</definedName>
    <definedName name="Ch9Level">Points!$R$19</definedName>
    <definedName name="Ch9LevelFinal">Points!$AC$19</definedName>
    <definedName name="Ch9NLev">Points!$P$19</definedName>
    <definedName name="Ch9Points">Points!$H$19</definedName>
    <definedName name="Ch9PointsFinal">Points!$T$19</definedName>
    <definedName name="codChapter10">'Ch10'!$H$9:$H$187</definedName>
    <definedName name="codChapter5">'Ch5'!$H$9:$H$263</definedName>
    <definedName name="codChapter6">'Ch6'!$H$9:$H$517</definedName>
    <definedName name="codChapter7">'Ch7'!$H$9:$H$631</definedName>
    <definedName name="codChapter8">'Ch8'!$H$9:$H$169</definedName>
    <definedName name="codChapter9">'Ch9'!$H$9:$H$279</definedName>
    <definedName name="dbState">Geography!$A$1:$H$3146</definedName>
    <definedName name="dch1001_1_1">'Ch10'!$AQ$15</definedName>
    <definedName name="dch1001_1_10">'Ch10'!$AQ$30</definedName>
    <definedName name="dch1001_1_11">'Ch10'!$AQ$31</definedName>
    <definedName name="dch1001_1_12">'Ch10'!$AQ$32</definedName>
    <definedName name="dch1001_1_13">'Ch10'!$AQ$38</definedName>
    <definedName name="dch1001_1_14">'Ch10'!$AQ$42</definedName>
    <definedName name="dch1001_1_15">'Ch10'!$AQ$44</definedName>
    <definedName name="dch1001_1_16">'Ch10'!$AQ$46</definedName>
    <definedName name="dch1001_1_17">'Ch10'!$AQ$47</definedName>
    <definedName name="dch1001_1_18">'Ch10'!$AQ$49</definedName>
    <definedName name="dch1001_1_19">'Ch10'!$AQ$51</definedName>
    <definedName name="dch1001_1_2">'Ch10'!$AQ$16</definedName>
    <definedName name="dch1001_1_20">'Ch10'!$AQ$52</definedName>
    <definedName name="dch1001_1_21">'Ch10'!$AQ$54</definedName>
    <definedName name="dch1001_1_22">'Ch10'!$AQ$56</definedName>
    <definedName name="dch1001_1_23">'Ch10'!$AQ$58</definedName>
    <definedName name="dch1001_1_24">'Ch10'!$AQ$59</definedName>
    <definedName name="dch1001_1_3">'Ch10'!$AQ$17</definedName>
    <definedName name="dch1001_1_4">'Ch10'!$AQ$21</definedName>
    <definedName name="dch1001_1_5">'Ch10'!$AQ$22</definedName>
    <definedName name="dch1001_1_6">'Ch10'!$AQ$23</definedName>
    <definedName name="dch1001_1_7">'Ch10'!$AQ$25</definedName>
    <definedName name="dch1001_1_8">'Ch10'!$AQ$27</definedName>
    <definedName name="dch1001_1_9">'Ch10'!$AQ$28</definedName>
    <definedName name="dch1001_2">'Ch10'!$AQ$60</definedName>
    <definedName name="dch1002_1_1">'Ch10'!$AQ$81</definedName>
    <definedName name="dch1002_1_2">'Ch10'!$AQ$84</definedName>
    <definedName name="dch1002_1_3">'Ch10'!$AQ$87</definedName>
    <definedName name="dch1002_1_4">'Ch10'!$AQ$89</definedName>
    <definedName name="dch1002_1_5">'Ch10'!$AQ$90</definedName>
    <definedName name="dch1002_1_6">'Ch10'!$AQ$92</definedName>
    <definedName name="dch1002_1_7">'Ch10'!$AQ$93</definedName>
    <definedName name="dch1002_1_8">'Ch10'!$AQ$94</definedName>
    <definedName name="dch1002_2_1">'Ch10'!$AQ$100</definedName>
    <definedName name="dch1002_2_10">'Ch10'!$AQ$118</definedName>
    <definedName name="dch1002_2_11">'Ch10'!$AQ$121</definedName>
    <definedName name="dch1002_2_2">'Ch10'!$AQ$102</definedName>
    <definedName name="dch1002_2_3">'Ch10'!$AQ$105</definedName>
    <definedName name="dch1002_2_4">'Ch10'!$AQ$107</definedName>
    <definedName name="dch1002_2_5">'Ch10'!$AQ$110</definedName>
    <definedName name="dch1002_2_6">'Ch10'!$AQ$112</definedName>
    <definedName name="dch1002_2_7">'Ch10'!$AQ$113</definedName>
    <definedName name="dch1002_2_8">'Ch10'!$AQ$115</definedName>
    <definedName name="dch1002_2_9">'Ch10'!$AQ$117</definedName>
    <definedName name="dch1002_3_1">'Ch10'!$AQ$127</definedName>
    <definedName name="dch1002_3_10">'Ch10'!$AQ$148</definedName>
    <definedName name="dch1002_3_2">'Ch10'!$AQ$129</definedName>
    <definedName name="dch1002_3_3">'Ch10'!$AQ$133</definedName>
    <definedName name="dch1002_3_4">'Ch10'!$AQ$140</definedName>
    <definedName name="dch1002_3_5">'Ch10'!$AQ$142</definedName>
    <definedName name="dch1002_3_6">'Ch10'!$AQ$143</definedName>
    <definedName name="dch1002_3_7">'Ch10'!$AQ$145</definedName>
    <definedName name="dch1002_3_8">'Ch10'!$AQ$146</definedName>
    <definedName name="dch1002_3_9">'Ch10'!$AQ$147</definedName>
    <definedName name="dch1002_4">'Ch10'!$AQ$149</definedName>
    <definedName name="dch1003_1_1">'Ch10'!$AQ$166</definedName>
    <definedName name="dch1003_1_2">'Ch10'!$AQ$168</definedName>
    <definedName name="dch1003_1_3">'Ch10'!$AQ$171</definedName>
    <definedName name="dch1004_1_1">'Ch10'!$AQ$184</definedName>
    <definedName name="dch1004_1_2">'Ch10'!$AQ$186</definedName>
    <definedName name="dch501_1">'Ch5'!$AQ$15</definedName>
    <definedName name="dch501_1_1">'Ch5'!$AQ$16</definedName>
    <definedName name="dch501_1_2">'Ch5'!$AQ$17</definedName>
    <definedName name="dch501_1_3">'Ch5'!$AQ$18</definedName>
    <definedName name="dch501_2_1">'Ch5'!$AQ$21</definedName>
    <definedName name="dch501_2_2">'Ch5'!$AQ$23</definedName>
    <definedName name="dch501_2_3">'Ch5'!$AQ$25</definedName>
    <definedName name="dch501_2_4">'Ch5'!$AQ$27</definedName>
    <definedName name="dch501_2_5">'Ch5'!$AQ$36</definedName>
    <definedName name="dch501_2_6">'Ch5'!$AQ$39</definedName>
    <definedName name="dch502_1">'Ch5'!$AQ$45</definedName>
    <definedName name="dch503_1_1">'Ch5'!$AQ$56</definedName>
    <definedName name="dch503_1_2">'Ch5'!$AQ$57</definedName>
    <definedName name="dch503_1_3">'Ch5'!$AQ$59</definedName>
    <definedName name="dch503_1_4">'Ch5'!$AQ$61</definedName>
    <definedName name="dch503_1_5">'Ch5'!$AQ$62</definedName>
    <definedName name="dch503_1_6">'Ch5'!$AQ$63</definedName>
    <definedName name="dch503_1_7">'Ch5'!$AQ$65</definedName>
    <definedName name="dch503_2">'Ch5'!$AQ$68</definedName>
    <definedName name="dch503_2_1">'Ch5'!$AQ$69</definedName>
    <definedName name="dch503_2_2">'Ch5'!$AQ$70</definedName>
    <definedName name="dch503_2_3">'Ch5'!$AQ$72</definedName>
    <definedName name="dch503_2_4">'Ch5'!$AQ$77</definedName>
    <definedName name="dch503_2_5">'Ch5'!$AQ$79</definedName>
    <definedName name="dch503_3_1">'Ch5'!$AQ$83</definedName>
    <definedName name="dch503_3_2_a">'Ch5'!$AQ$87</definedName>
    <definedName name="dch503_3_2_b">'Ch5'!$AQ$88</definedName>
    <definedName name="dch503_3_2_c">'Ch5'!$AQ$90</definedName>
    <definedName name="dch503_3_2_d">'Ch5'!$AQ$91</definedName>
    <definedName name="dch503_3_3">'Ch5'!$AQ$92</definedName>
    <definedName name="dch503_4_1">'Ch5'!$AQ$100</definedName>
    <definedName name="dch503_4_2">'Ch5'!$AQ$103</definedName>
    <definedName name="dch503_4_3">'Ch5'!$AQ$107</definedName>
    <definedName name="dch503_4_4">'Ch5'!$AQ$114</definedName>
    <definedName name="dch503_5">'Ch5'!$AQ$121</definedName>
    <definedName name="dch503_5_1">'Ch5'!$AQ$123</definedName>
    <definedName name="dch503_5_10">'Ch5'!$AQ$151</definedName>
    <definedName name="dch503_5_11">'Ch5'!$AQ$153</definedName>
    <definedName name="dch503_5_12">'Ch5'!$AQ$155</definedName>
    <definedName name="dch503_5_2">'Ch5'!$AQ$129</definedName>
    <definedName name="dch503_5_3">'Ch5'!$AQ$131</definedName>
    <definedName name="dch503_5_4">'Ch5'!$AQ$133</definedName>
    <definedName name="dch503_5_5">'Ch5'!$AQ$135</definedName>
    <definedName name="dch503_5_6">'Ch5'!$AQ$140</definedName>
    <definedName name="dch503_5_7">'Ch5'!$AQ$141</definedName>
    <definedName name="dch503_5_8">'Ch5'!$AQ$146</definedName>
    <definedName name="dch503_5_9">'Ch5'!$AQ$148</definedName>
    <definedName name="dch503_6_1">'Ch5'!$AQ$159</definedName>
    <definedName name="dch503_6_2">'Ch5'!$AQ$160</definedName>
    <definedName name="dch503_6_3">'Ch5'!$AQ$161</definedName>
    <definedName name="dch503_6_4">'Ch5'!$AQ$163</definedName>
    <definedName name="dch503_7_1">'Ch5'!$AQ$166</definedName>
    <definedName name="dch503_7_2">'Ch5'!$AQ$168</definedName>
    <definedName name="dch503_8">'Ch5'!$AQ$170</definedName>
    <definedName name="dch504_1">'Ch5'!$AQ$178</definedName>
    <definedName name="dch504_2_1">'Ch5'!$AQ$185</definedName>
    <definedName name="dch504_2_2">'Ch5'!$AQ$186</definedName>
    <definedName name="dch504_2_3">'Ch5'!$AQ$188</definedName>
    <definedName name="dch504_3_1">'Ch5'!$AQ$193</definedName>
    <definedName name="dch504_3_2">'Ch5'!$AQ$195</definedName>
    <definedName name="dch504_3_3">'Ch5'!$AQ$196</definedName>
    <definedName name="dch504_3_4">'Ch5'!$AQ$198</definedName>
    <definedName name="dch504_3_5">'Ch5'!$AQ$200</definedName>
    <definedName name="dch504_3_6">'Ch5'!$AQ$204</definedName>
    <definedName name="dch504_3_7">'Ch5'!$AQ$207</definedName>
    <definedName name="dch504_3_8a">'Ch5'!$AQ$209</definedName>
    <definedName name="dch504_3_8b">'Ch5'!$AQ$210</definedName>
    <definedName name="dch504_3_8c">'Ch5'!$AQ$211</definedName>
    <definedName name="dch504_3_8d">'Ch5'!$AQ$212</definedName>
    <definedName name="dch504_3_8e">'Ch5'!$AQ$213</definedName>
    <definedName name="dch504_3_8f">'Ch5'!$AQ$214</definedName>
    <definedName name="dch504_3_9">'Ch5'!$AQ$216</definedName>
    <definedName name="dch505_1_1">'Ch5'!$AQ$223</definedName>
    <definedName name="dch505_1_2">'Ch5'!$AQ$225</definedName>
    <definedName name="dch505_1_3">'Ch5'!$AQ$226</definedName>
    <definedName name="dch505_1_4">'Ch5'!$AQ$230</definedName>
    <definedName name="dch505_2_1_a">'Ch5'!$AQ$238</definedName>
    <definedName name="dch505_2_1_b">'Ch5'!$AQ$241</definedName>
    <definedName name="dch505_2_1_c">'Ch5'!$AQ$245</definedName>
    <definedName name="dch505_2_2">'Ch5'!$AQ$246</definedName>
    <definedName name="dch505_3">'Ch5'!$AQ$249</definedName>
    <definedName name="dch505_4">'Ch5'!$AQ$255</definedName>
    <definedName name="dch505_5">'Ch5'!$AQ$256</definedName>
    <definedName name="dch505_6">'Ch5'!$AQ$258</definedName>
    <definedName name="dch601_2_1">'Ch6'!$AQ$29</definedName>
    <definedName name="dch601_2_2">'Ch6'!$AQ$32</definedName>
    <definedName name="dch601_2_3">'Ch6'!$AQ$35</definedName>
    <definedName name="dch601_3_1">'Ch6'!$AQ$39</definedName>
    <definedName name="dch601_3_2">'Ch6'!$AQ$40</definedName>
    <definedName name="dch601_3_3">'Ch6'!$AQ$41</definedName>
    <definedName name="dch601_3_4">'Ch6'!$AQ$42</definedName>
    <definedName name="dch601_3_5">'Ch6'!$AQ$43</definedName>
    <definedName name="dch601_4">'Ch6'!$AQ$44</definedName>
    <definedName name="dch601_5_1">'Ch6'!$AQ$50</definedName>
    <definedName name="dch601_5_2">'Ch6'!$AQ$51</definedName>
    <definedName name="dch601_5_3">'Ch6'!$AQ$52</definedName>
    <definedName name="dch601_5_4">'Ch6'!$AQ$53</definedName>
    <definedName name="dch601_5_5">'Ch6'!$AQ$54</definedName>
    <definedName name="dch601_6">'Ch6'!$AQ$56</definedName>
    <definedName name="dch601_7_a">'Ch6'!$AQ$63</definedName>
    <definedName name="dch601_7_b">'Ch6'!$AQ$64</definedName>
    <definedName name="dch601_7_c">'Ch6'!$AQ$65</definedName>
    <definedName name="dch601_7_d">'Ch6'!$AQ$69</definedName>
    <definedName name="dch601_7_e">'Ch6'!$AQ$71</definedName>
    <definedName name="dch601_8">'Ch6'!$AQ$78</definedName>
    <definedName name="dch601_9">'Ch6'!$AQ$86</definedName>
    <definedName name="dch602_1_1_1">'Ch6'!$AQ$97</definedName>
    <definedName name="dch602_1_1_2">'Ch6'!$AQ$100</definedName>
    <definedName name="dch602_1_10">'Ch6'!$AQ$197</definedName>
    <definedName name="dch602_1_11">'Ch6'!$AQ$209</definedName>
    <definedName name="dch602_1_12">'Ch6'!$AQ$211</definedName>
    <definedName name="dch602_1_13">'Ch6'!$AQ$214</definedName>
    <definedName name="dch602_1_14_1">'Ch6'!$AQ$220</definedName>
    <definedName name="dch602_1_14_2">'Ch6'!$AQ$222</definedName>
    <definedName name="dch602_1_14_3">'Ch6'!$AQ$223</definedName>
    <definedName name="dch602_1_2__1">'Ch6'!$AQ$104</definedName>
    <definedName name="dch602_1_2__2">'Ch6'!$AQ$105</definedName>
    <definedName name="dch602_1_3_1">'Ch6'!$AQ$107</definedName>
    <definedName name="dch602_1_3_2">'Ch6'!$AQ$109</definedName>
    <definedName name="dch602_1_4_1_1">'Ch6'!$AQ$115</definedName>
    <definedName name="dch602_1_4_1_2">'Ch6'!$AQ$117</definedName>
    <definedName name="dch602_1_4_2_1">'Ch6'!$AQ$121</definedName>
    <definedName name="dch602_1_4_2_2">'Ch6'!$AQ$123</definedName>
    <definedName name="dch602_1_5">'Ch6'!$AQ$126</definedName>
    <definedName name="dch602_1_5_1">'Ch6'!$AQ$127</definedName>
    <definedName name="dch602_1_5_2">'Ch6'!$AQ$129</definedName>
    <definedName name="dch602_1_6_1">'Ch6'!$AQ$135</definedName>
    <definedName name="dch602_1_6_2">'Ch6'!$AQ$139</definedName>
    <definedName name="dch602_1_6_3">'Ch6'!$AQ$143</definedName>
    <definedName name="dch602_1_7_1_1">'Ch6'!$AQ$148</definedName>
    <definedName name="dch602_1_7_1_2">'Ch6'!$AQ$150</definedName>
    <definedName name="dch602_1_7_1_3">'Ch6'!$AQ$153</definedName>
    <definedName name="dch602_1_7_2">'Ch6'!$AQ$155</definedName>
    <definedName name="dch602_1_7_3">'Ch6'!$AQ$157</definedName>
    <definedName name="dch602_1_8">'Ch6'!$AQ$161</definedName>
    <definedName name="dch602_1_9_1">'Ch6'!$AQ$169</definedName>
    <definedName name="dch602_1_9_2">'Ch6'!$AQ$179</definedName>
    <definedName name="dch602_1_9_3">'Ch6'!$AQ$182</definedName>
    <definedName name="dch602_1_9_4">'Ch6'!$AQ$183</definedName>
    <definedName name="dch602_1_9_5">'Ch6'!$AQ$187</definedName>
    <definedName name="dch602_1_9_6">'Ch6'!$AQ$193</definedName>
    <definedName name="dch602_1_9_7">'Ch6'!$AQ$195</definedName>
    <definedName name="dch602_2_1">'Ch6'!$AQ$228</definedName>
    <definedName name="dch602_2_2">'Ch6'!$AQ$230</definedName>
    <definedName name="dch602_2_3">'Ch6'!$AQ$231</definedName>
    <definedName name="dch602_3">'Ch6'!$AQ$234</definedName>
    <definedName name="dch602_4_1">'Ch6'!$AQ$238</definedName>
    <definedName name="dch602_4_2">'Ch6'!$AQ$243</definedName>
    <definedName name="dch602_4_3">'Ch6'!$AQ$245</definedName>
    <definedName name="dch603_1">'Ch6'!$AQ$249</definedName>
    <definedName name="dch603_2">'Ch6'!$AQ$255</definedName>
    <definedName name="dch603_3">'Ch6'!$AQ$262</definedName>
    <definedName name="dch604_1a">'Ch6'!$AQ$267</definedName>
    <definedName name="dch604_1b">'Ch6'!$AQ$269</definedName>
    <definedName name="dch604_1c">'Ch6'!$AQ$271</definedName>
    <definedName name="dch604_1d">'Ch6'!$AQ$273</definedName>
    <definedName name="dch605_1">'Ch6'!$AQ$278</definedName>
    <definedName name="dch605_1_2">'Ch6'!$AQ$291</definedName>
    <definedName name="dch605_2">'Ch6'!$AQ$293</definedName>
    <definedName name="dch605_3_2_a">'Ch6'!$AQ$306</definedName>
    <definedName name="dch605_3_2_b">'Ch6'!$AQ$307</definedName>
    <definedName name="dch605_3_2_c">'Ch6'!$AQ$308</definedName>
    <definedName name="dch605_3_2_d">'Ch6'!$AQ$309</definedName>
    <definedName name="dch605_3_2_e">'Ch6'!$AQ$310</definedName>
    <definedName name="dch605_3_2_f">'Ch6'!$AQ$311</definedName>
    <definedName name="dch605_3_2_g">'Ch6'!$AQ$312</definedName>
    <definedName name="dch605_3_2_h">'Ch6'!$AQ$313</definedName>
    <definedName name="dch605_3_2_i">'Ch6'!$AQ$314</definedName>
    <definedName name="dch606_1_a">'Ch6'!$AQ$319</definedName>
    <definedName name="dch606_1_b">'Ch6'!$AQ$320</definedName>
    <definedName name="dch606_1_c">'Ch6'!$AQ$321</definedName>
    <definedName name="dch606_1_d">'Ch6'!$AQ$322</definedName>
    <definedName name="dch606_1_e">'Ch6'!$AQ$323</definedName>
    <definedName name="dch606_1_f">'Ch6'!$AQ$324</definedName>
    <definedName name="dch606_1_g">'Ch6'!$AQ$325</definedName>
    <definedName name="dch606_1_h">'Ch6'!$AQ$326</definedName>
    <definedName name="dch606_2_1a">'Ch6'!$AQ$346</definedName>
    <definedName name="dch606_2_1b">'Ch6'!$AQ$347</definedName>
    <definedName name="dch606_2_2a">'Ch6'!$AQ$349</definedName>
    <definedName name="dch606_2_2b">'Ch6'!$AQ$350</definedName>
    <definedName name="dch606_3">'Ch6'!$AQ$352</definedName>
    <definedName name="dch607_1_1">'Ch6'!$AQ$361</definedName>
    <definedName name="dch607_1_2">'Ch6'!$AQ$363</definedName>
    <definedName name="dch607_2">'Ch6'!$AQ$364</definedName>
    <definedName name="dch608_1">'Ch6'!$AQ$367</definedName>
    <definedName name="dch609_1a">'Ch6'!$AQ$377</definedName>
    <definedName name="dch609_1b">'Ch6'!$AQ$380</definedName>
    <definedName name="dch610_1_1_1">'Ch6'!$AQ$392</definedName>
    <definedName name="dch610_1_1_2">'Ch6'!$AQ$401</definedName>
    <definedName name="dch610_1_1_3">'Ch6'!$AQ$408</definedName>
    <definedName name="dch610_1_2_1a">'Ch6'!$AQ$416</definedName>
    <definedName name="dch610_1_2_1b">'Ch6'!$AQ$423</definedName>
    <definedName name="dch610_1_2_2_f">'Ch6'!$AQ$447</definedName>
    <definedName name="dch610_1_2_2a">'Ch6'!$AQ$429</definedName>
    <definedName name="dch610_1_2_2b">'Ch6'!$AQ$435</definedName>
    <definedName name="dch610_1_2_2c">'Ch6'!$AQ$441</definedName>
    <definedName name="dch611_1">'Ch6'!$AQ$453</definedName>
    <definedName name="dch611_2_1">'Ch6'!$AQ$464</definedName>
    <definedName name="dch611_2_2">'Ch6'!$AQ$465</definedName>
    <definedName name="dch611_2_3">'Ch6'!$AQ$466</definedName>
    <definedName name="dch611_2_4">'Ch6'!$AQ$467</definedName>
    <definedName name="dch611_2_5">'Ch6'!$AQ$468</definedName>
    <definedName name="dch611_2_6">'Ch6'!$AQ$469</definedName>
    <definedName name="dch611_2_7">'Ch6'!$AQ$470</definedName>
    <definedName name="dch611_3_1">'Ch6'!$AQ$474</definedName>
    <definedName name="dch611_3_2">'Ch6'!$AQ$479</definedName>
    <definedName name="dch611_3_3">'Ch6'!$AQ$483</definedName>
    <definedName name="dch611_3_4">'Ch6'!$AQ$485</definedName>
    <definedName name="dch611_3_5">'Ch6'!$AQ$487</definedName>
    <definedName name="dch611_3_6">'Ch6'!$AQ$488</definedName>
    <definedName name="dch611_3_7">'Ch6'!$AQ$489</definedName>
    <definedName name="dch611_3_8">'Ch6'!$AQ$493</definedName>
    <definedName name="dch611_3_9">'Ch6'!$AQ$495</definedName>
    <definedName name="dch611_4_1">'Ch6'!$AQ$503</definedName>
    <definedName name="dch611_4_2">'Ch6'!$AQ$513</definedName>
    <definedName name="dch701_1">'Ch7'!$AQ$12</definedName>
    <definedName name="dch701_1_4">'Ch7'!$AQ$23</definedName>
    <definedName name="dch701_3">'Ch7'!$AQ$32</definedName>
    <definedName name="dch701_4_1">'Ch7'!$AQ$46</definedName>
    <definedName name="dch701_4_1_1">'Ch7'!$AQ$37</definedName>
    <definedName name="dch701_4_1_2">'Ch7'!$AQ$40</definedName>
    <definedName name="dch701_4_2_2">'Ch7'!$AQ$49</definedName>
    <definedName name="dch701_4_2_3">'Ch7'!$AQ$50</definedName>
    <definedName name="dch701_4_3_1_1">'Ch7'!$AQ$54</definedName>
    <definedName name="dch701_4_3_1_2">'Ch7'!$AQ$56</definedName>
    <definedName name="dch701_4_3_2_1">'Ch7'!$AQ$91</definedName>
    <definedName name="dch701_4_3_2_1_">'Ch7'!$AQ$72</definedName>
    <definedName name="dch701_4_3_2_2">'Ch7'!$AQ$88</definedName>
    <definedName name="dch701_4_3_2e">'Ch7'!$AQ$75</definedName>
    <definedName name="dch701_4_3_3_4">'Ch7'!$AQ$118</definedName>
    <definedName name="dch701_4_3_3_5">'Ch7'!$AQ$124</definedName>
    <definedName name="dch701_4_4_1">'Ch7'!$AQ$132</definedName>
    <definedName name="dch701_4_4_2">'Ch7'!$AQ$134</definedName>
    <definedName name="dch701_4_5">'Ch7'!$AQ$135</definedName>
    <definedName name="dch702_2_1">'Ch7'!$AQ$140</definedName>
    <definedName name="dch702_2_2">'Ch7'!$AQ$146</definedName>
    <definedName name="dch703_1_1">'Ch7'!$AQ$157</definedName>
    <definedName name="dch703_1_2">'Ch7'!$AQ$170</definedName>
    <definedName name="dch703_1_3">'Ch7'!$AQ$173</definedName>
    <definedName name="dch703_2_1">'Ch7'!$AQ$176</definedName>
    <definedName name="dch703_2_1_2">'Ch7'!$AQ$178</definedName>
    <definedName name="dch703_2_2">'Ch7'!$AQ$184</definedName>
    <definedName name="dch703_2_3">'Ch7'!$AQ$185</definedName>
    <definedName name="dch703_2_5_1">'Ch7'!$AQ$192</definedName>
    <definedName name="dch703_2_5_1_1">'Ch7'!$AQ$199</definedName>
    <definedName name="dch703_2_5_2">'Ch7'!$AQ$207</definedName>
    <definedName name="dch703_2_5_2_1">'Ch7'!$AQ$215</definedName>
    <definedName name="dch703_3_0_1">'Ch7'!$AQ$225</definedName>
    <definedName name="dch703_3_0_2">'Ch7'!$AQ$231</definedName>
    <definedName name="dch703_3_1">'Ch7'!$AQ$237</definedName>
    <definedName name="dch703_3_2__1_1">'Ch7'!$AQ$244</definedName>
    <definedName name="dch703_3_2__2_1">'Ch7'!$AQ$250</definedName>
    <definedName name="dch703_3_2__3_1">'Ch7'!$AQ$253</definedName>
    <definedName name="dch703_3_2__4_1">'Ch7'!$AQ$258</definedName>
    <definedName name="dch703_3_3__1_1">'Ch7'!$AQ$264</definedName>
    <definedName name="dch703_3_3__3">'Ch7'!$AQ$268</definedName>
    <definedName name="dch703_3_4_1_1">'Ch7'!$AQ$273</definedName>
    <definedName name="dch703_3_4_1_5">'Ch7'!$AQ$277</definedName>
    <definedName name="dch703_3_4_2">'Ch7'!$AQ$279</definedName>
    <definedName name="dch703_3_5">'Ch7'!$AQ$280</definedName>
    <definedName name="dch703_3_6">'Ch7'!$AQ$285</definedName>
    <definedName name="dch703_3_7_1">'Ch7'!$AQ$290</definedName>
    <definedName name="dch703_3_7_2">'Ch7'!$AQ$292</definedName>
    <definedName name="dch703_3_8">'Ch7'!$AQ$297</definedName>
    <definedName name="dch703_4_1">'Ch7'!$AQ$303</definedName>
    <definedName name="dch703_4_2">'Ch7'!$AQ$305</definedName>
    <definedName name="dch703_4_3_1">'Ch7'!$AQ$308</definedName>
    <definedName name="dch703_4_3_2">'Ch7'!$AQ$309</definedName>
    <definedName name="dch703_4_3_3">'Ch7'!$AQ$311</definedName>
    <definedName name="dch703_4_4">'Ch7'!$AQ$313</definedName>
    <definedName name="dch703_5_1">'Ch7'!$AQ$324</definedName>
    <definedName name="dch703_5_1_1_a">'Ch7'!$AQ$326</definedName>
    <definedName name="dch703_5_2">'Ch7'!$AQ$341</definedName>
    <definedName name="dch703_5_3">'Ch7'!$AQ$343</definedName>
    <definedName name="dch703_5_4">'Ch7'!$AQ$345</definedName>
    <definedName name="dch703_5_5">'Ch7'!$AQ$347</definedName>
    <definedName name="dch703_6_1_1">'Ch7'!$AQ$357</definedName>
    <definedName name="dch703_6_1_2">'Ch7'!$AQ$359</definedName>
    <definedName name="dch703_6_1_3">'Ch7'!$AQ$361</definedName>
    <definedName name="dch703_6_2__1">'Ch7'!$AQ$364</definedName>
    <definedName name="dch703_6_2__2">'Ch7'!$AQ$365</definedName>
    <definedName name="dch703_6_2__3">'Ch7'!$AQ$366</definedName>
    <definedName name="dch703_7_1">'Ch7'!$AQ$369</definedName>
    <definedName name="dch703_7_2">'Ch7'!$AQ$397</definedName>
    <definedName name="dch703_7_3_1_a">'Ch7'!$AQ$405</definedName>
    <definedName name="dch703_7_3_1_b">'Ch7'!$AQ$407</definedName>
    <definedName name="dch703_7_3_1_c">'Ch7'!$AQ$408</definedName>
    <definedName name="dch703_7_3_1_d">'Ch7'!$AQ$409</definedName>
    <definedName name="dch703_7_3_2">'Ch7'!$AQ$411</definedName>
    <definedName name="dch703_7_3_3">'Ch7'!$AQ$414</definedName>
    <definedName name="dch703_7_3_4">'Ch7'!$AQ$415</definedName>
    <definedName name="dch703_7_3_5_a">'Ch7'!$AQ$420</definedName>
    <definedName name="dch703_7_3_5_b">'Ch7'!$AQ$422</definedName>
    <definedName name="dch703_7_3_6">'Ch7'!$AQ$424</definedName>
    <definedName name="dch703_7_4">'Ch7'!$AQ$426</definedName>
    <definedName name="dch704_2">'Ch7'!$AQ$454</definedName>
    <definedName name="dch705_2_1_1">'Ch7'!$AQ$463</definedName>
    <definedName name="dch705_2_1_2">'Ch7'!$AQ$467</definedName>
    <definedName name="dch705_2_1_3_1">'Ch7'!$AQ$470</definedName>
    <definedName name="dch705_2_1_3_2">'Ch7'!$AQ$474</definedName>
    <definedName name="dch705_2_1_4">'Ch7'!$AQ$479</definedName>
    <definedName name="dch705_2_2">'Ch7'!$AQ$484</definedName>
    <definedName name="dch705_2_3">'Ch7'!$AQ$487</definedName>
    <definedName name="dch705_2_4">'Ch7'!$AQ$490</definedName>
    <definedName name="dch705_3">'Ch7'!$AQ$492</definedName>
    <definedName name="dch705_4">'Ch7'!$AQ$493</definedName>
    <definedName name="dch705_5_1">'Ch7'!$AQ$497</definedName>
    <definedName name="dch705_5_2">'Ch7'!$AQ$502</definedName>
    <definedName name="dch705_6_2_1_1">'Ch7'!$AQ$524</definedName>
    <definedName name="dch705_6_2_1_2">'Ch7'!$AQ$525</definedName>
    <definedName name="dch705_6_2_2">'Ch7'!$AQ$528</definedName>
    <definedName name="dch705_6_2_3">'Ch7'!$AQ$536</definedName>
    <definedName name="dch705_6_3">'Ch7'!$AQ$542</definedName>
    <definedName name="dch705_6_3_1" localSheetId="5">'Ch7'!$AQ$544</definedName>
    <definedName name="dch705_6_3_1">'Verification Report'!$AQ$1307</definedName>
    <definedName name="dch705_6_4_1">'Ch7'!$AQ$554</definedName>
    <definedName name="dch705_6_4_2">'Ch7'!$AQ$556</definedName>
    <definedName name="dch705_7">'Ch7'!$AQ$558</definedName>
    <definedName name="dch706_1_1">'Ch7'!$AQ$565</definedName>
    <definedName name="dch706_1_2">'Ch7'!$AQ$566</definedName>
    <definedName name="dch706_1_3">'Ch7'!$AQ$567</definedName>
    <definedName name="dch706_1_4">'Ch7'!$AQ$568</definedName>
    <definedName name="dch706_1_5">'Ch7'!$AQ$570</definedName>
    <definedName name="dch706_2_1">'Ch7'!$AQ$573</definedName>
    <definedName name="dch706_2_2">'Ch7'!$AQ$576</definedName>
    <definedName name="dch706_3_1">'Ch7'!$AQ$591</definedName>
    <definedName name="dch706_3_2">'Ch7'!$AQ$592</definedName>
    <definedName name="dch706_3_3">'Ch7'!$AQ$593</definedName>
    <definedName name="dch706_3_4">'Ch7'!$AQ$594</definedName>
    <definedName name="dch706_3_5">'Ch7'!$AQ$595</definedName>
    <definedName name="dch706_3_6">'Ch7'!$AQ$596</definedName>
    <definedName name="dch706_3_7">'Ch7'!$AQ$597</definedName>
    <definedName name="dch706_3_8">'Ch7'!$AQ$598</definedName>
    <definedName name="dch706_4_1_1">'Ch7'!$AQ$601</definedName>
    <definedName name="dch706_4_1_2">'Ch7'!$AQ$603</definedName>
    <definedName name="dch706_4_2">'Ch7'!$AQ$605</definedName>
    <definedName name="dch706_5">'Ch7'!$AQ$608</definedName>
    <definedName name="dch706_6">'Ch7'!$AQ$616</definedName>
    <definedName name="dch706_7_1">'Ch7'!$AQ$620</definedName>
    <definedName name="dch706_7_2">'Ch7'!$AQ$621</definedName>
    <definedName name="dch706_8">'Ch7'!$AQ$624</definedName>
    <definedName name="dch706_9">'Ch7'!$AQ$627</definedName>
    <definedName name="dch801_1">'Ch8'!$AQ$12</definedName>
    <definedName name="dch801_1_6">'Ch8'!$AQ$41</definedName>
    <definedName name="dch801_2_1">'Ch8'!$AQ$46</definedName>
    <definedName name="dch801_2_2">'Ch8'!$AQ$47</definedName>
    <definedName name="dch801_3_1">'Ch8'!$AQ$54</definedName>
    <definedName name="dch801_3_2">'Ch8'!$AQ$63</definedName>
    <definedName name="dch801_3_3">'Ch8'!$AQ$68</definedName>
    <definedName name="dch801_4_1_1">'Ch8'!$AQ$73</definedName>
    <definedName name="dch801_4_1_2">'Ch8'!$AQ$77</definedName>
    <definedName name="dch801_4_2">'Ch8'!$AQ$78</definedName>
    <definedName name="dch801_5_2">'Ch8'!$AQ$85</definedName>
    <definedName name="dch801_5_3">'Ch8'!$AQ$91</definedName>
    <definedName name="dch801_5_4_a">'Ch8'!$AQ$94</definedName>
    <definedName name="dch801_5_4_b">'Ch8'!$AQ$98</definedName>
    <definedName name="dch801_5_4_c">'Ch8'!$AQ$100</definedName>
    <definedName name="dch801_6_1">'Ch8'!$AQ$102</definedName>
    <definedName name="dch801_6_2_1">'Ch8'!$AQ$106</definedName>
    <definedName name="dch801_6_2_2">'Ch8'!$AQ$107</definedName>
    <definedName name="dch801_6_2_3">'Ch8'!$AQ$108</definedName>
    <definedName name="dch801_6_3">'Ch8'!$AQ$110</definedName>
    <definedName name="dch801_6_4_1">'Ch8'!$AQ$116</definedName>
    <definedName name="dch801_6_4_2">'Ch8'!$AQ$118</definedName>
    <definedName name="dch801_6_4_3">'Ch8'!$AQ$119</definedName>
    <definedName name="dch801_6_5">'Ch8'!$AQ$123</definedName>
    <definedName name="dch801_7_1">'Ch8'!$AQ$127</definedName>
    <definedName name="dch801_7_2_1">'Ch8'!$AQ$141</definedName>
    <definedName name="dch801_7_2_2">'Ch8'!$AQ$143</definedName>
    <definedName name="dch801_8">'Ch8'!$AQ$144</definedName>
    <definedName name="dch802_1_1">'Ch8'!$AQ$151</definedName>
    <definedName name="dch802_1_2">'Ch8'!$AQ$153</definedName>
    <definedName name="dch802_2">'Ch8'!$AQ$155</definedName>
    <definedName name="dch802_3_1">'Ch8'!$AQ$160</definedName>
    <definedName name="dch802_3_2">'Ch8'!$AQ$161</definedName>
    <definedName name="dch802_4">'Ch8'!$AQ$162</definedName>
    <definedName name="dch802_5">'Ch8'!$AQ$165</definedName>
    <definedName name="dch802_6">'Ch8'!$AQ$167</definedName>
    <definedName name="dch901_1_1">'Ch9'!$AQ$12</definedName>
    <definedName name="dch901_1_2">'Ch9'!$AQ$18</definedName>
    <definedName name="dch901_1_3_1">'Ch9'!$AQ$23</definedName>
    <definedName name="dch901_1_3_2">'Ch9'!$AQ$26</definedName>
    <definedName name="dch901_1_4">'Ch9'!$AQ$29</definedName>
    <definedName name="dch901_1_5">'Ch9'!$AQ$33</definedName>
    <definedName name="dch901_1_6">'Ch9'!$AQ$36</definedName>
    <definedName name="dch901_10_1">'Ch9'!$AQ$148</definedName>
    <definedName name="dch901_10_2">'Ch9'!$AQ$153</definedName>
    <definedName name="dch901_10_3">'Ch9'!$AQ$154</definedName>
    <definedName name="dch901_11">'Ch9'!$AQ$158</definedName>
    <definedName name="dch901_12">'Ch9'!$AQ$163</definedName>
    <definedName name="dch901_13_1">'Ch9'!$AQ$167</definedName>
    <definedName name="dch901_13_2">'Ch9'!$AQ$168</definedName>
    <definedName name="dch901_14_1">'Ch9'!$AQ$171</definedName>
    <definedName name="dch901_14_2">'Ch9'!$AQ$173</definedName>
    <definedName name="dch901_2_1_1">'Ch9'!$AQ$42</definedName>
    <definedName name="dch901_2_1_2">'Ch9'!$AQ$45</definedName>
    <definedName name="dch901_2_1_3">'Ch9'!$AQ$47</definedName>
    <definedName name="dch901_2_1_4">'Ch9'!$AQ$50</definedName>
    <definedName name="dch901_2_1_5">'Ch9'!$AQ$52</definedName>
    <definedName name="dch901_2_2">'Ch9'!$AQ$54</definedName>
    <definedName name="dch901_3_1_a">'Ch9'!$AQ$57</definedName>
    <definedName name="dch901_3_1_b">'Ch9'!$AQ$59</definedName>
    <definedName name="dch901_3_1_c">'Ch9'!$AQ$61</definedName>
    <definedName name="dch901_3_2">'Ch9'!$AQ$67</definedName>
    <definedName name="dch901_4_1">'Ch9'!$AQ$71</definedName>
    <definedName name="dch901_4_a">'Ch9'!$AQ$76</definedName>
    <definedName name="dch901_4_b">'Ch9'!$AQ$77</definedName>
    <definedName name="dch901_4_c">'Ch9'!$AQ$78</definedName>
    <definedName name="dch901_4_d">'Ch9'!$AQ$79</definedName>
    <definedName name="dch901_5_1">'Ch9'!$AQ$90</definedName>
    <definedName name="dch901_5_2">'Ch9'!$AQ$92</definedName>
    <definedName name="dch901_6">'Ch9'!$AQ$95</definedName>
    <definedName name="dch901_7_1">'Ch9'!$AQ$104</definedName>
    <definedName name="dch901_7_2">'Ch9'!$AQ$114</definedName>
    <definedName name="dch901_7_3">'Ch9'!$AQ$115</definedName>
    <definedName name="dch901_8">'Ch9'!$AQ$118</definedName>
    <definedName name="dch901_9_1_1">'Ch9'!$AQ$129</definedName>
    <definedName name="dch901_9_1_2">'Ch9'!$AQ$131</definedName>
    <definedName name="dch901_9_1_3">'Ch9'!$AQ$132</definedName>
    <definedName name="dch901_9_2">'Ch9'!$AQ$134</definedName>
    <definedName name="dch901_9_3">'Ch9'!$AQ$139</definedName>
    <definedName name="dch902_1_1">'Ch9'!$AQ$179</definedName>
    <definedName name="dch902_1_1_a">'Ch9'!$AQ$181</definedName>
    <definedName name="dch902_1_2">'Ch9'!$AQ$189</definedName>
    <definedName name="dch902_1_2_">'Ch9'!$AQ$183</definedName>
    <definedName name="dch902_1_2_2">'Ch9'!$AQ$191</definedName>
    <definedName name="dch902_1_3">'Ch9'!$AQ$192</definedName>
    <definedName name="dch902_1_3_">'Ch9'!$AQ$185</definedName>
    <definedName name="dch902_1_4_1">'Ch9'!$AQ$198</definedName>
    <definedName name="dch902_1_4_2">'Ch9'!$AQ$200</definedName>
    <definedName name="dch902_1_5_1">'Ch9'!$AQ$203</definedName>
    <definedName name="dch902_1_5_2">'Ch9'!$AQ$205</definedName>
    <definedName name="dch902_1_5_3">'Ch9'!$AQ$207</definedName>
    <definedName name="dch902_2_1">'Ch9'!$AQ$211</definedName>
    <definedName name="dch902_2_2">'Ch9'!$AQ$220</definedName>
    <definedName name="dch902_2_3">'Ch9'!$AQ$222</definedName>
    <definedName name="dch902_2_4">'Ch9'!$AQ$225</definedName>
    <definedName name="dch902_3_1">'Ch9'!$AQ$230</definedName>
    <definedName name="dch902_3_2_a">'Ch9'!$AQ$234</definedName>
    <definedName name="dch902_4_1">'Ch9'!$AQ$237</definedName>
    <definedName name="dch902_4_2">'Ch9'!$AQ$239</definedName>
    <definedName name="dch902_5">'Ch9'!$AQ$242</definedName>
    <definedName name="dch902_6">'Ch9'!$AQ$244</definedName>
    <definedName name="dch903_1">'Ch9'!$AQ$248</definedName>
    <definedName name="dch903_2">'Ch9'!$AQ$252</definedName>
    <definedName name="dch903_3_1">'Ch9'!$AQ$258</definedName>
    <definedName name="dch903_3_2">'Ch9'!$AQ$259</definedName>
    <definedName name="dch904_1">'Ch9'!$AQ$264</definedName>
    <definedName name="dch904_2">'Ch9'!$AQ$269</definedName>
    <definedName name="dch905_1">'Ch9'!$AQ$273</definedName>
    <definedName name="dch905_2">'Ch9'!$AQ$278</definedName>
    <definedName name="dd501_2_6">Dropdowns!$AB$5:$AB$7</definedName>
    <definedName name="dd503_2_3">Dropdowns!$AC$5:$AC$7</definedName>
    <definedName name="dd503_4_3">Dropdowns!$AD$5:$AD$7</definedName>
    <definedName name="dd503_4_4">Dropdowns!$AE$5:$AE$7</definedName>
    <definedName name="dd503_5">Dropdowns!$AF$5:$AF$7</definedName>
    <definedName name="dd503_5_1">Dropdowns!$AG$5:$AG$8</definedName>
    <definedName name="dd503_5_5">Dropdowns!$AH$5:$AH$8</definedName>
    <definedName name="dd503_8">Dropdowns!$AI$5:$AI$10</definedName>
    <definedName name="dd505_1_3">Dropdowns!$AJ$5:$AJ$7</definedName>
    <definedName name="dd505_1_4">Dropdowns!$AK$5:$AK$7</definedName>
    <definedName name="dd505_3">Dropdowns!$AL$5:$AL$9</definedName>
    <definedName name="dd601_6">Dropdowns!$AM$5:$AM$7</definedName>
    <definedName name="dd601_7_a">Dropdowns!$AN$5:$AN$7</definedName>
    <definedName name="dd601_7_b">Dropdowns!$AO$5:$AO$7</definedName>
    <definedName name="dd601_7_c">Dropdowns!$AP$5:$AP$7</definedName>
    <definedName name="dd601_7_d">Dropdowns!$AQ$5:$AQ$7</definedName>
    <definedName name="dd601_7_e">Dropdowns!$AR$5:$AR$7</definedName>
    <definedName name="dd602_1_10">Dropdowns!$AY$5:$AY$7</definedName>
    <definedName name="dd602_1_11">Dropdowns!$AZ$5:$AZ$7</definedName>
    <definedName name="dd602_1_13">Dropdowns!$BA$5:$BA$7</definedName>
    <definedName name="dd602_1_14_1">Dropdowns!$BB$5:$BB$7</definedName>
    <definedName name="dd602_1_4_1_2">Dropdowns!$AS$5:$AS$7</definedName>
    <definedName name="dd602_1_4_2_2">Dropdowns!$AT$5:$AT$7</definedName>
    <definedName name="dd602_1_5">Dropdowns!$AU$5:$AU$8</definedName>
    <definedName name="dd602_1_7_1_2">Dropdowns!$AV$5:$AV$7</definedName>
    <definedName name="dd602_1_8">Dropdowns!$AW$5:$AW$7</definedName>
    <definedName name="dd602_1_9_5">Dropdowns!$AX$5:$AX$6</definedName>
    <definedName name="dd606_1_a">Dropdowns!$BC$5:$BC$6</definedName>
    <definedName name="dd606_1_b">Dropdowns!$BD$5:$BD$6</definedName>
    <definedName name="dd606_1_c">Dropdowns!$BE$5:$BE$6</definedName>
    <definedName name="dd606_1_d">Dropdowns!$BF$5:$BF$6</definedName>
    <definedName name="dd606_1_e">Dropdowns!$BG$5:$BG$6</definedName>
    <definedName name="dd606_1_f">Dropdowns!$BH$5:$BH$6</definedName>
    <definedName name="dd606_1_g">Dropdowns!$BI$5:$BI$6</definedName>
    <definedName name="dd606_1_h">Dropdowns!$BJ$5:$BJ$6</definedName>
    <definedName name="dd606_2_1a">Dropdowns!$BK$5:$BK$12</definedName>
    <definedName name="dd606_2_1b">Dropdowns!$BL$5:$BL$12</definedName>
    <definedName name="dd606_2_2a">Dropdowns!$BM$5:$BM$12</definedName>
    <definedName name="dd606_2_2b">Dropdowns!$BN$5:$BN$12</definedName>
    <definedName name="dd606_3">Dropdowns!$BO$5:$BO$7</definedName>
    <definedName name="dd608_1">Dropdowns!$BP$5:$BP$7</definedName>
    <definedName name="dd609_1a">Dropdowns!$BQ$5:$BQ$9</definedName>
    <definedName name="dd609_1b">Dropdowns!$BR$5:$BR$14</definedName>
    <definedName name="dd610_1_2_1a">Dropdowns!$BS$5:$BS$9</definedName>
    <definedName name="dd610_1_2_1b">Dropdowns!$BT$5:$BT$9</definedName>
    <definedName name="dd610_1_2_2_f">Dropdowns!$BX$5:$BX$6</definedName>
    <definedName name="dd610_1_2_2a">Dropdowns!$BU$5:$BU$6</definedName>
    <definedName name="dd610_1_2_2b">Dropdowns!$BV$5:$BV$6</definedName>
    <definedName name="dd610_1_2_2c">Dropdowns!$BW$5:$BW$6</definedName>
    <definedName name="dd611_1">Dropdowns!$BY$5:$BY$14</definedName>
    <definedName name="dd701_1">Dropdowns!$BZ$5:$BZ$8</definedName>
    <definedName name="dd701_1_4">Dropdowns!$CA$5:$CA$6</definedName>
    <definedName name="dd701_4_1_2">Dropdowns!$CB$5:$CB$8</definedName>
    <definedName name="dd701_4_3_3_5">Dropdowns!$CC$5:$CC$7</definedName>
    <definedName name="dd703_2_5_1_1">Dropdowns!$CD$5:$CD$7</definedName>
    <definedName name="dd703_2_5_2">Dropdowns!$CE$5:$CE$7</definedName>
    <definedName name="dd703_2_5_2_1">Dropdowns!$CF$5:$CF$7</definedName>
    <definedName name="dd703_3_0_1">Dropdowns!$CG$5:$CG$6</definedName>
    <definedName name="dd703_3_0_2">Dropdowns!$CH$5:$CH$6</definedName>
    <definedName name="dd703_4_4">Dropdowns!$CI$5:$CI$7</definedName>
    <definedName name="dd703_5_1">Dropdowns!$CJ$5:$CJ$10</definedName>
    <definedName name="dd705_2_1_1">Dropdowns!$CK$5:$CK$6</definedName>
    <definedName name="dd705_2_1_3_1">Dropdowns!$CL$5:$CL$6</definedName>
    <definedName name="dd705_2_1_3_2">Dropdowns!$CM$5:$CM$6</definedName>
    <definedName name="dd705_2_1_4">Dropdowns!$CN$5:$CN$6</definedName>
    <definedName name="dd705_6_2_3">Dropdowns!$CO$5:$CO$6</definedName>
    <definedName name="dd706_2_2">Dropdowns!$CP$5:$CP$6</definedName>
    <definedName name="dd801_1">Dropdowns!$CQ$5:$CQ$10</definedName>
    <definedName name="dd801_2_2">Dropdowns!$CR$5:$CR$6</definedName>
    <definedName name="dd801_3_1">Dropdowns!$CS$5:$CS$8</definedName>
    <definedName name="dd801_3_2">Dropdowns!$CT$5:$CT$7</definedName>
    <definedName name="dd801_3_3">Dropdowns!$CU$5:$CU$7</definedName>
    <definedName name="dd801_4_1_1">Dropdowns!$CV$5:$CV$7</definedName>
    <definedName name="dd801_4_2">Dropdowns!$CW$5:$CW$7</definedName>
    <definedName name="dd801_5_2">Dropdowns!$CX$5:$CX$7</definedName>
    <definedName name="dd801_5_4_a">Dropdowns!$CY$5:$CY$7</definedName>
    <definedName name="dd801_6_3">Dropdowns!$CZ$5:$CZ$7</definedName>
    <definedName name="dd801_7_1">Dropdowns!$DA$5:$DA$9</definedName>
    <definedName name="dd801_7_2_1">Dropdowns!$DB$5:$DB$7</definedName>
    <definedName name="dd802_1_1">Dropdowns!$DC$5:$DC$8</definedName>
    <definedName name="dd901_1_3_1">Dropdowns!$DD$5:$DD$6</definedName>
    <definedName name="dd901_1_3_2">Dropdowns!$DE$5:$DE$6</definedName>
    <definedName name="dd901_1_4">Dropdowns!$DF$5:$DF$7</definedName>
    <definedName name="dd901_1_6">Dropdowns!$DG$5:$DG$6</definedName>
    <definedName name="dd901_12">Dropdowns!$DT$5:$DT$7</definedName>
    <definedName name="dd901_2_1_1">Dropdowns!$DH$5:$DH$7</definedName>
    <definedName name="dd901_2_1_2">Dropdowns!$DI$5:$DI$7</definedName>
    <definedName name="dd901_2_1_3">Dropdowns!$DJ$5:$DJ$7</definedName>
    <definedName name="dd901_2_1_4">Dropdowns!$DK$5:$DK$7</definedName>
    <definedName name="dd901_2_1_5">Dropdowns!$DL$5:$DL$7</definedName>
    <definedName name="dd901_3_1_a">Dropdowns!$DM$5:$DM$7</definedName>
    <definedName name="dd901_3_1_b">Dropdowns!$DN$5:$DN$7</definedName>
    <definedName name="dd901_4_1">Dropdowns!$DO$5:$DO$7</definedName>
    <definedName name="dd901_4_a">Dropdowns!$DP$5:$DP$9</definedName>
    <definedName name="dd901_4_b">Dropdowns!$DQ$5:$DQ$9</definedName>
    <definedName name="dd901_4_c">Dropdowns!$DR$5:$DR$9</definedName>
    <definedName name="dd901_4_d">Dropdowns!$DS$5:$DS$9</definedName>
    <definedName name="dd902_1_2_">Dropdowns!$DU$5:$DU$7</definedName>
    <definedName name="dd902_2_1">Dropdowns!$DV$5:$DV$8</definedName>
    <definedName name="dd902_3_1">Dropdowns!$DW$5:$DW$6</definedName>
    <definedName name="dd903_1">Dropdowns!$DX$5:$DX$6</definedName>
    <definedName name="dd903_2">Dropdowns!$DY$5:$DY$6</definedName>
    <definedName name="ddAttachedGarage">Dropdowns!$R$5:$R$6</definedName>
    <definedName name="ddAttic">Dropdowns!$Q$5:$Q$8</definedName>
    <definedName name="ddBuildingCode">Dropdowns!$AA$5:$AA$17</definedName>
    <definedName name="ddCDucts">Dropdowns!$N$5:$N$7</definedName>
    <definedName name="ddCool1">Dropdowns!$K$5:$K$10</definedName>
    <definedName name="ddCool2">Dropdowns!$L$5:$L$10</definedName>
    <definedName name="ddCool3">Dropdowns!$M$5:$M$10</definedName>
    <definedName name="ddCToilet">Dropdowns!$Y$5:$Y$6</definedName>
    <definedName name="ddDuctless">Dropdowns!$V$5:$V$6</definedName>
    <definedName name="ddEnergyCode">Dropdowns!$Z$5:$Z$9</definedName>
    <definedName name="ddFoundation">Dropdowns!$E$5:$E$12</definedName>
    <definedName name="ddFuel">Dropdowns!$I$5:$I$10</definedName>
    <definedName name="ddHDucts">Dropdowns!$J$5:$J$7</definedName>
    <definedName name="ddHeat1">Dropdowns!$F$5:$F$12</definedName>
    <definedName name="ddHeat2">Dropdowns!$G$5:$G$12</definedName>
    <definedName name="ddHeat3">Dropdowns!$H$5:$H$12</definedName>
    <definedName name="ddMassWalls">Dropdowns!$U$5:$U$6</definedName>
    <definedName name="ddPassiveSolar">Dropdowns!$T$5:$T$6</definedName>
    <definedName name="ddRadiantHydronic">Dropdowns!$W$5:$W$6</definedName>
    <definedName name="ddRecessedLighting">Dropdowns!$S$5:$S$6</definedName>
    <definedName name="ddRenewable">Dropdowns!$O$5:$O$10</definedName>
    <definedName name="ddSingleOrMulti">Dropdowns!$D$5:$D$6</definedName>
    <definedName name="ddTEInsulation">Dropdowns!$P$5:$P$13</definedName>
    <definedName name="ddTLWH">Dropdowns!$X$5:$X$6</definedName>
    <definedName name="desGoalLevel">Points!$H$10</definedName>
    <definedName name="dnt1001_1_1">'Ch10'!$AS$15</definedName>
    <definedName name="dnt1001_1_10">'Ch10'!$AS$30</definedName>
    <definedName name="dnt1001_1_11">'Ch10'!$AS$31</definedName>
    <definedName name="dnt1001_1_12">'Ch10'!$AS$32</definedName>
    <definedName name="dnt1001_1_13">'Ch10'!$AS$38</definedName>
    <definedName name="dnt1001_1_14">'Ch10'!$AS$42</definedName>
    <definedName name="dnt1001_1_15">'Ch10'!$AS$44</definedName>
    <definedName name="dnt1001_1_16">'Ch10'!$AS$46</definedName>
    <definedName name="dnt1001_1_17">'Ch10'!$AS$47</definedName>
    <definedName name="dnt1001_1_18">'Ch10'!$AS$49</definedName>
    <definedName name="dnt1001_1_19">'Ch10'!$AS$51</definedName>
    <definedName name="dnt1001_1_2">'Ch10'!$AS$16</definedName>
    <definedName name="dnt1001_1_20">'Ch10'!$AS$52</definedName>
    <definedName name="dnt1001_1_21">'Ch10'!$AS$54</definedName>
    <definedName name="dnt1001_1_22">'Ch10'!$AS$56</definedName>
    <definedName name="dnt1001_1_23">'Ch10'!$AS$58</definedName>
    <definedName name="dnt1001_1_24">'Ch10'!$AS$59</definedName>
    <definedName name="dnt1001_1_3">'Ch10'!$AS$17</definedName>
    <definedName name="dnt1001_1_4">'Ch10'!$AS$21</definedName>
    <definedName name="dnt1001_1_5">'Ch10'!$AS$22</definedName>
    <definedName name="dnt1001_1_6">'Ch10'!$AS$23</definedName>
    <definedName name="dnt1001_1_7">'Ch10'!$AS$25</definedName>
    <definedName name="dnt1001_1_8">'Ch10'!$AS$27</definedName>
    <definedName name="dnt1001_1_9">'Ch10'!$AS$28</definedName>
    <definedName name="dnt1001_2">'Ch10'!$AS$60</definedName>
    <definedName name="dnt1002_1_1">'Ch10'!$AS$81</definedName>
    <definedName name="dnt1002_1_2">'Ch10'!$AS$84</definedName>
    <definedName name="dnt1002_1_3">'Ch10'!$AS$87</definedName>
    <definedName name="dnt1002_1_4">'Ch10'!$AS$89</definedName>
    <definedName name="dnt1002_1_5">'Ch10'!$AS$90</definedName>
    <definedName name="dnt1002_1_6">'Ch10'!$AS$92</definedName>
    <definedName name="dnt1002_1_7">'Ch10'!$AS$93</definedName>
    <definedName name="dnt1002_1_8">'Ch10'!$AS$94</definedName>
    <definedName name="dnt1002_2_1">'Ch10'!$AS$100</definedName>
    <definedName name="dnt1002_2_10">'Ch10'!$AS$118</definedName>
    <definedName name="dnt1002_2_11">'Ch10'!$AS$121</definedName>
    <definedName name="dnt1002_2_2">'Ch10'!$AS$102</definedName>
    <definedName name="dnt1002_2_3">'Ch10'!$AS$105</definedName>
    <definedName name="dnt1002_2_4">'Ch10'!$AS$107</definedName>
    <definedName name="dnt1002_2_5">'Ch10'!$AS$110</definedName>
    <definedName name="dnt1002_2_6">'Ch10'!$AS$112</definedName>
    <definedName name="dnt1002_2_7">'Ch10'!$AS$113</definedName>
    <definedName name="dnt1002_2_8">'Ch10'!$AS$115</definedName>
    <definedName name="dnt1002_2_9">'Ch10'!$AS$117</definedName>
    <definedName name="dnt1002_3_1">'Ch10'!$AS$127</definedName>
    <definedName name="dnt1002_3_10">'Ch10'!$AS$148</definedName>
    <definedName name="dnt1002_3_2">'Ch10'!$AS$129</definedName>
    <definedName name="dnt1002_3_3">'Ch10'!$AS$133</definedName>
    <definedName name="dnt1002_3_4">'Ch10'!$AS$140</definedName>
    <definedName name="dnt1002_3_5">'Ch10'!$AS$142</definedName>
    <definedName name="dnt1002_3_6">'Ch10'!$AS$143</definedName>
    <definedName name="dnt1002_3_7">'Ch10'!$AS$145</definedName>
    <definedName name="dnt1002_3_8">'Ch10'!$AS$146</definedName>
    <definedName name="dnt1002_3_9">'Ch10'!$AS$147</definedName>
    <definedName name="dnt1002_4">'Ch10'!$AS$149</definedName>
    <definedName name="dnt1003_1_1">'Ch10'!$AS$166</definedName>
    <definedName name="dnt1003_1_2">'Ch10'!$AS$168</definedName>
    <definedName name="dnt1003_1_3">'Ch10'!$AS$171</definedName>
    <definedName name="dnt1004_1_1">'Ch10'!$AS$184</definedName>
    <definedName name="dnt1004_1_2">'Ch10'!$AS$186</definedName>
    <definedName name="dnt501_1">'Ch5'!$AS$15</definedName>
    <definedName name="dnt501_2">'Ch5'!$AS$19</definedName>
    <definedName name="dnt501_2_1">'Ch5'!$AS$21</definedName>
    <definedName name="dnt501_2_2">'Ch5'!$AS$23</definedName>
    <definedName name="dnt501_2_3">'Ch5'!$AS$25</definedName>
    <definedName name="dnt501_2_4">'Ch5'!$AS$27</definedName>
    <definedName name="dnt501_2_5">'Ch5'!$AS$36</definedName>
    <definedName name="dnt501_2_6">'Ch5'!$AS$39</definedName>
    <definedName name="dnt502_1">'Ch5'!$AS$45</definedName>
    <definedName name="dnt503_0">'Ch5'!$AS$50</definedName>
    <definedName name="dnt503_1">'Ch5'!$AS$55</definedName>
    <definedName name="dnt503_2">'Ch5'!$AS$67</definedName>
    <definedName name="dnt503_3">'Ch5'!$AS$80</definedName>
    <definedName name="dnt503_4">'Ch5'!$AS$93</definedName>
    <definedName name="dnt503_4_1">'Ch5'!$AS$100</definedName>
    <definedName name="dnt503_4_2">'Ch5'!$AS$103</definedName>
    <definedName name="dnt503_4_3">'Ch5'!$AS$107</definedName>
    <definedName name="dnt503_4_4">'Ch5'!$AS$114</definedName>
    <definedName name="dnt503_5">'Ch5'!$AS$119</definedName>
    <definedName name="dnt503_5_1">'Ch5'!$AS$123</definedName>
    <definedName name="dnt503_5_10">'Ch5'!$AS$151</definedName>
    <definedName name="dnt503_5_11">'Ch5'!$AS$153</definedName>
    <definedName name="dnt503_5_12">'Ch5'!$AS$155</definedName>
    <definedName name="dnt503_5_2">'Ch5'!$AS$129</definedName>
    <definedName name="dnt503_5_3">'Ch5'!$AS$131</definedName>
    <definedName name="dnt503_5_4">'Ch5'!$AS$133</definedName>
    <definedName name="dnt503_5_5">'Ch5'!$AS$135</definedName>
    <definedName name="dnt503_5_6">'Ch5'!$AS$140</definedName>
    <definedName name="dnt503_5_7">'Ch5'!$AS$141</definedName>
    <definedName name="dnt503_5_8">'Ch5'!$AS$146</definedName>
    <definedName name="dnt503_5_9">'Ch5'!$AS$148</definedName>
    <definedName name="dnt503_6">'Ch5'!$AS$157</definedName>
    <definedName name="dnt503_7">'Ch5'!$AS$164</definedName>
    <definedName name="dnt503_8">'Ch5'!$AS$170</definedName>
    <definedName name="dnt504_1">'Ch5'!$AS$178</definedName>
    <definedName name="dnt504_2">'Ch5'!$AS$183</definedName>
    <definedName name="dnt504_3">'Ch5'!$AS$190</definedName>
    <definedName name="dnt504_3_1">'Ch5'!$AS$193</definedName>
    <definedName name="dnt504_3_2">'Ch5'!$AS$195</definedName>
    <definedName name="dnt504_3_3">'Ch5'!$AS$196</definedName>
    <definedName name="dnt504_3_4">'Ch5'!$AS$198</definedName>
    <definedName name="dnt504_3_5">'Ch5'!$AS$200</definedName>
    <definedName name="dnt504_3_6">'Ch5'!$AS$204</definedName>
    <definedName name="dnt504_3_7">'Ch5'!$AS$207</definedName>
    <definedName name="dnt504_3_8">'Ch5'!$AS$208</definedName>
    <definedName name="dnt504_3_9">'Ch5'!$AS$216</definedName>
    <definedName name="dnt505_1_1">'Ch5'!$AS$223</definedName>
    <definedName name="dnt505_1_2">'Ch5'!$AS$225</definedName>
    <definedName name="dnt505_1_3">'Ch5'!$AS$226</definedName>
    <definedName name="dnt505_1_4">'Ch5'!$AS$230</definedName>
    <definedName name="dnt505_2_1">'Ch5'!$AS$236</definedName>
    <definedName name="dnt505_2_2">'Ch5'!$AS$246</definedName>
    <definedName name="dnt505_3">'Ch5'!$AS$249</definedName>
    <definedName name="dnt505_4">'Ch5'!$AS$255</definedName>
    <definedName name="dnt505_5">'Ch5'!$AS$256</definedName>
    <definedName name="dnt505_6">'Ch5'!$AS$258</definedName>
    <definedName name="dnt601_1">'Ch6'!$AS$13</definedName>
    <definedName name="dnt601_2_1">'Ch6'!$AS$29</definedName>
    <definedName name="dnt601_2_2">'Ch6'!$AS$32</definedName>
    <definedName name="dnt601_2_3">'Ch6'!$AS$35</definedName>
    <definedName name="dnt601_3_1">'Ch6'!$AS$39</definedName>
    <definedName name="dnt601_3_2">'Ch6'!$AS$40</definedName>
    <definedName name="dnt601_3_3">'Ch6'!$AS$41</definedName>
    <definedName name="dnt601_3_4">'Ch6'!$AS$42</definedName>
    <definedName name="dnt601_3_5">'Ch6'!$AS$43</definedName>
    <definedName name="dnt601_4">'Ch6'!$AS$44</definedName>
    <definedName name="dnt601_5_1">'Ch6'!$AS$50</definedName>
    <definedName name="dnt601_5_2">'Ch6'!$AS$51</definedName>
    <definedName name="dnt601_5_3">'Ch6'!$AS$52</definedName>
    <definedName name="dnt601_5_4">'Ch6'!$AS$53</definedName>
    <definedName name="dnt601_5_5">'Ch6'!$AS$54</definedName>
    <definedName name="dnt601_6">'Ch6'!$AS$55</definedName>
    <definedName name="dnt601_7">'Ch6'!$AS$60</definedName>
    <definedName name="dnt601_8">'Ch6'!$AS$78</definedName>
    <definedName name="dnt601_9">'Ch6'!$AS$86</definedName>
    <definedName name="dnt602_1_1_1">'Ch6'!$AS$97</definedName>
    <definedName name="dnt602_1_1_2">'Ch6'!$AS$100</definedName>
    <definedName name="dnt602_1_10">'Ch6'!$AS$197</definedName>
    <definedName name="dnt602_1_11">'Ch6'!$AS$209</definedName>
    <definedName name="dnt602_1_12">'Ch6'!$AS$211</definedName>
    <definedName name="dnt602_1_13">'Ch6'!$AS$214</definedName>
    <definedName name="dnt602_1_14_1">'Ch6'!$AS$220</definedName>
    <definedName name="dnt602_1_14_2">'Ch6'!$AS$222</definedName>
    <definedName name="dnt602_1_14_3">'Ch6'!$AS$223</definedName>
    <definedName name="dnt602_1_2">'Ch6'!$AS$102</definedName>
    <definedName name="dnt602_1_3_1">'Ch6'!$AS$107</definedName>
    <definedName name="dnt602_1_3_2">'Ch6'!$AS$109</definedName>
    <definedName name="dnt602_1_4_1_1">'Ch6'!$AS$115</definedName>
    <definedName name="dnt602_1_4_1_2">'Ch6'!$AS$117</definedName>
    <definedName name="dnt602_1_4_2_1">'Ch6'!$AS$121</definedName>
    <definedName name="dnt602_1_4_2_2">'Ch6'!$AS$123</definedName>
    <definedName name="dnt602_1_5">'Ch6'!$AS$126</definedName>
    <definedName name="dnt602_1_6_1">'Ch6'!$AS$135</definedName>
    <definedName name="dnt602_1_7_1_1">'Ch6'!$AS$148</definedName>
    <definedName name="dnt602_1_7_1_2">'Ch6'!$AS$150</definedName>
    <definedName name="dnt602_1_7_1_3">'Ch6'!$AS$153</definedName>
    <definedName name="dnt602_1_7_2">'Ch6'!$AS$155</definedName>
    <definedName name="dnt602_1_7_3">'Ch6'!$AS$157</definedName>
    <definedName name="dnt602_1_8">'Ch6'!$AS$161</definedName>
    <definedName name="dnt602_1_9_1">'Ch6'!$AS$169</definedName>
    <definedName name="dnt602_1_9_2">'Ch6'!$AS$179</definedName>
    <definedName name="dnt602_1_9_3">'Ch6'!$AS$182</definedName>
    <definedName name="dnt602_1_9_4">'Ch6'!$AS$183</definedName>
    <definedName name="dnt602_1_9_5">'Ch6'!$AS$187</definedName>
    <definedName name="dnt602_1_9_6">'Ch6'!$AS$193</definedName>
    <definedName name="dnt602_1_9_7">'Ch6'!$AS$195</definedName>
    <definedName name="dnt602_2_1">'Ch6'!$AS$228</definedName>
    <definedName name="dnt602_2_2">'Ch6'!$AS$230</definedName>
    <definedName name="dnt602_2_3">'Ch6'!$AS$231</definedName>
    <definedName name="dnt602_3">'Ch6'!$AS$234</definedName>
    <definedName name="dnt602_4_1">'Ch6'!$AS$238</definedName>
    <definedName name="dnt602_4_2">'Ch6'!$AS$243</definedName>
    <definedName name="dnt602_4_3">'Ch6'!$AS$245</definedName>
    <definedName name="dnt603_1">'Ch6'!$AS$249</definedName>
    <definedName name="dnt603_2">'Ch6'!$AS$255</definedName>
    <definedName name="dnt603_3">'Ch6'!$AS$262</definedName>
    <definedName name="dnt604_1a">'Ch6'!$AS$266</definedName>
    <definedName name="dnt604_1b">'Ch6'!$AS$268</definedName>
    <definedName name="dnt604_1c">'Ch6'!$AS$270</definedName>
    <definedName name="dnt604_1d">'Ch6'!$AS$272</definedName>
    <definedName name="dnt605_1">'Ch6'!$AS$278</definedName>
    <definedName name="dnt605_2">'Ch6'!$AS$293</definedName>
    <definedName name="dnt605_3_2_a">'Ch6'!$AS$306</definedName>
    <definedName name="dnt605_3_2_h">'Ch6'!$AS$313</definedName>
    <definedName name="dnt605_3_2_i">'Ch6'!$AS$314</definedName>
    <definedName name="dnt606_1_a">'Ch6'!$AS$319</definedName>
    <definedName name="dnt606_2_1a">'Ch6'!$AS$346</definedName>
    <definedName name="dnt606_2_1b">'Ch6'!$AS$347</definedName>
    <definedName name="dnt606_2_2a">'Ch6'!$AS$349</definedName>
    <definedName name="dnt606_2_2b">'Ch6'!$AS$350</definedName>
    <definedName name="dnt606_3">'Ch6'!$AS$352</definedName>
    <definedName name="dnt607_1_1">'Ch6'!$AS$361</definedName>
    <definedName name="dnt607_1_2">'Ch6'!$AS$363</definedName>
    <definedName name="dnt607_2">'Ch6'!$AS$364</definedName>
    <definedName name="dnt608_1">'Ch6'!$AS$367</definedName>
    <definedName name="dnt609_1a">'Ch6'!$AS$376</definedName>
    <definedName name="dnt609_1b">'Ch6'!$AS$379</definedName>
    <definedName name="dnt610_1_1_1">'Ch6'!$AS$392</definedName>
    <definedName name="dnt610_1_1_2">'Ch6'!$AS$401</definedName>
    <definedName name="dnt610_1_1_3">'Ch6'!$AS$408</definedName>
    <definedName name="dnt610_1_2_1">'Ch6'!$AS$414</definedName>
    <definedName name="dnt610_1_2_1_e">'Ch6'!$AS$421</definedName>
    <definedName name="dnt610_1_2_2_e">'Ch6'!$AS$446</definedName>
    <definedName name="dnt610_1_2_2a">'Ch6'!$AS$428</definedName>
    <definedName name="dnt610_1_2_2b">'Ch6'!$AS$434</definedName>
    <definedName name="dnt610_1_2_2c">'Ch6'!$AS$440</definedName>
    <definedName name="dnt611_1">'Ch6'!$AS$453</definedName>
    <definedName name="dnt611_2_1">'Ch6'!$AS$464</definedName>
    <definedName name="dnt611_2_2">'Ch6'!$AS$465</definedName>
    <definedName name="dnt611_2_3">'Ch6'!$AS$466</definedName>
    <definedName name="dnt611_2_4">'Ch6'!$AS$467</definedName>
    <definedName name="dnt611_2_5">'Ch6'!$AS$468</definedName>
    <definedName name="dnt611_2_6">'Ch6'!$AS$469</definedName>
    <definedName name="dnt611_2_7">'Ch6'!$AS$470</definedName>
    <definedName name="dnt611_3_1">'Ch6'!$AS$474</definedName>
    <definedName name="dnt611_3_2">'Ch6'!$AS$479</definedName>
    <definedName name="dnt611_3_3">'Ch6'!$AS$483</definedName>
    <definedName name="dnt611_3_4">'Ch6'!$AS$485</definedName>
    <definedName name="dnt611_3_5">'Ch6'!$AS$487</definedName>
    <definedName name="dnt611_3_6">'Ch6'!$AS$488</definedName>
    <definedName name="dnt611_3_7">'Ch6'!$AS$489</definedName>
    <definedName name="dnt611_3_8">'Ch6'!$AS$493</definedName>
    <definedName name="dnt611_3_9">'Ch6'!$AS$495</definedName>
    <definedName name="dnt611_4_1">'Ch6'!$AS$502</definedName>
    <definedName name="dnt611_4_2">'Ch6'!$AS$511</definedName>
    <definedName name="dnt701_1_1">'Ch7'!$AS$14</definedName>
    <definedName name="dnt701_1_2">'Ch7'!$AS$16</definedName>
    <definedName name="dnt701_1_3">'Ch7'!$AS$19</definedName>
    <definedName name="dnt701_1_4">'Ch7'!$AS$22</definedName>
    <definedName name="dnt701_3">'Ch7'!$AS$32</definedName>
    <definedName name="dnt701_4_1">'Ch7'!$AS$46</definedName>
    <definedName name="dnt701_4_1_1">'Ch7'!$AS$37</definedName>
    <definedName name="dnt701_4_1_2">'Ch7'!$AS$40</definedName>
    <definedName name="dnt701_4_2_2">'Ch7'!$AS$49</definedName>
    <definedName name="dnt701_4_2_3">'Ch7'!$AS$50</definedName>
    <definedName name="dnt701_4_3_1">'Ch7'!$AS$53</definedName>
    <definedName name="dnt701_4_3_1_a">'Ch7'!$AS$57</definedName>
    <definedName name="dnt701_4_3_1_b">'Ch7'!$AS$58</definedName>
    <definedName name="dnt701_4_3_1_c">'Ch7'!$AS$59</definedName>
    <definedName name="dnt701_4_3_1_d">'Ch7'!$AS$60</definedName>
    <definedName name="dnt701_4_3_1_e">'Ch7'!$AS$61</definedName>
    <definedName name="dnt701_4_3_1_f">'Ch7'!$AS$62</definedName>
    <definedName name="dnt701_4_3_1_g">'Ch7'!$AS$63</definedName>
    <definedName name="dnt701_4_3_1_h">'Ch7'!$AS$64</definedName>
    <definedName name="dnt701_4_3_1_i">'Ch7'!$AS$65</definedName>
    <definedName name="dnt701_4_3_1_j">'Ch7'!$AS$66</definedName>
    <definedName name="dnt701_4_3_1_k">'Ch7'!$AS$67</definedName>
    <definedName name="dnt701_4_3_1_l">'Ch7'!$AS$68</definedName>
    <definedName name="dnt701_4_3_2_1_">'Ch7'!$AS$72</definedName>
    <definedName name="dnt701_4_3_2_1_1">'Ch7'!$AS$92</definedName>
    <definedName name="dnt701_4_3_2_1_10">'Ch7'!$AS$109</definedName>
    <definedName name="dnt701_4_3_2_1_11">'Ch7'!$AS$112</definedName>
    <definedName name="dnt701_4_3_2_1_2">'Ch7'!$AS$93</definedName>
    <definedName name="dnt701_4_3_2_1_3">'Ch7'!$AS$95</definedName>
    <definedName name="dnt701_4_3_2_1_4">'Ch7'!$AS$96</definedName>
    <definedName name="dnt701_4_3_2_1_5">'Ch7'!$AS$100</definedName>
    <definedName name="dnt701_4_3_2_1_6">'Ch7'!$AS$102</definedName>
    <definedName name="dnt701_4_3_2_1_7">'Ch7'!$AS$105</definedName>
    <definedName name="dnt701_4_3_2_1_8">'Ch7'!$AS$107</definedName>
    <definedName name="dnt701_4_3_2_1_9">'Ch7'!$AS$108</definedName>
    <definedName name="dnt701_4_3_2_1_a">'Ch7'!$AS$77</definedName>
    <definedName name="dnt701_4_3_2_1_b">'Ch7'!$AS$78</definedName>
    <definedName name="dnt701_4_3_2_1_c">'Ch7'!$AS$80</definedName>
    <definedName name="dnt701_4_3_2_1_d">'Ch7'!$AS$81</definedName>
    <definedName name="dnt701_4_3_2_1_e">'Ch7'!$AS$83</definedName>
    <definedName name="dnt701_4_3_2_1_f">'Ch7'!$AS$84</definedName>
    <definedName name="dnt701_4_3_2_1_g">'Ch7'!$AS$85</definedName>
    <definedName name="dnt701_4_3_2_1_h">'Ch7'!$AS$86</definedName>
    <definedName name="dnt701_4_3_2_2">'Ch7'!$AS$88</definedName>
    <definedName name="dnt701_4_3_2e">'Ch7'!$AS$75</definedName>
    <definedName name="dnt701_4_3_3_3">'Ch7'!$AS$115</definedName>
    <definedName name="dnt701_4_3_3_4">'Ch7'!$AS$118</definedName>
    <definedName name="dnt701_4_3_3_5">'Ch7'!$AS$124</definedName>
    <definedName name="dnt701_4_4_1">'Ch7'!$AS$132</definedName>
    <definedName name="dnt701_4_4_2">'Ch7'!$AS$134</definedName>
    <definedName name="dnt701_4_5">'Ch7'!$AS$135</definedName>
    <definedName name="dnt702_2_1">'Ch7'!$AS$140</definedName>
    <definedName name="dnt702_2_2">'Ch7'!$AS$144</definedName>
    <definedName name="dnt702_2_2_m">'Ch7'!$AS$150</definedName>
    <definedName name="dnt702_2_3">'Ch7'!$AS$153</definedName>
    <definedName name="dnt703_1_1">'Ch7'!$AS$157</definedName>
    <definedName name="dnt703_1_2">'Ch7'!$AS$170</definedName>
    <definedName name="dnt703_1_3">'Ch7'!$AS$173</definedName>
    <definedName name="dnt703_2_1">'Ch7'!$AS$176</definedName>
    <definedName name="dnt703_2_2">'Ch7'!$AS$183</definedName>
    <definedName name="dnt703_2_3">'Ch7'!$AS$185</definedName>
    <definedName name="dnt703_2_4">'Ch7'!$AS$188</definedName>
    <definedName name="dnt703_2_5_1">'Ch7'!$AS$192</definedName>
    <definedName name="dnt703_2_5_1_1">'Ch7'!$AS$199</definedName>
    <definedName name="dnt703_2_5_2">'Ch7'!$AS$207</definedName>
    <definedName name="dnt703_2_5_2_1">'Ch7'!$AS$215</definedName>
    <definedName name="dnt703_3_0_1">'Ch7'!$AS$224</definedName>
    <definedName name="dnt703_3_0_2">'Ch7'!$AS$230</definedName>
    <definedName name="dnt703_3_1">'Ch7'!$AS$237</definedName>
    <definedName name="dnt703_3_2__1">'Ch7'!$AS$243</definedName>
    <definedName name="dnt703_3_2__2">'Ch7'!$AS$249</definedName>
    <definedName name="dnt703_3_2__3">'Ch7'!$AS$252</definedName>
    <definedName name="dnt703_3_2__4">'Ch7'!$AS$257</definedName>
    <definedName name="dnt703_3_3__1">'Ch7'!$AS$263</definedName>
    <definedName name="dnt703_3_3__3">'Ch7'!$AS$268</definedName>
    <definedName name="dnt703_3_4_1">'Ch7'!$AS$272</definedName>
    <definedName name="dnt703_3_4_1_5">'Ch7'!$AS$277</definedName>
    <definedName name="dnt703_3_4_2">'Ch7'!$AS$279</definedName>
    <definedName name="dnt703_3_5">'Ch7'!$AS$280</definedName>
    <definedName name="dnt703_3_6">'Ch7'!$AS$284</definedName>
    <definedName name="dnt703_3_7_1">'Ch7'!$AS$290</definedName>
    <definedName name="dnt703_3_8">'Ch7'!$AS$297</definedName>
    <definedName name="dnt703_4_1">'Ch7'!$AS$303</definedName>
    <definedName name="dnt703_4_2">'Ch7'!$AS$305</definedName>
    <definedName name="dnt703_4_3_1">'Ch7'!$AS$308</definedName>
    <definedName name="dnt703_4_3_2">'Ch7'!$AS$309</definedName>
    <definedName name="dnt703_4_3_3">'Ch7'!$AS$311</definedName>
    <definedName name="dnt703_4_4">'Ch7'!$AS$313</definedName>
    <definedName name="dnt703_5_1">'Ch7'!$AS$323</definedName>
    <definedName name="dnt703_5_2">'Ch7'!$AS$341</definedName>
    <definedName name="dnt703_5_3">'Ch7'!$AS$343</definedName>
    <definedName name="dnt703_5_4">'Ch7'!$AS$345</definedName>
    <definedName name="dnt703_5_5">'Ch7'!$AS$346</definedName>
    <definedName name="dnt703_6_1_1">'Ch7'!$AS$357</definedName>
    <definedName name="dnt703_6_1_2">'Ch7'!$AS$359</definedName>
    <definedName name="dnt703_6_1_3">'Ch7'!$AS$361</definedName>
    <definedName name="dnt703_6_2__1">'Ch7'!$AS$364</definedName>
    <definedName name="dnt703_6_2__2">'Ch7'!$AS$365</definedName>
    <definedName name="dnt703_6_2__3">'Ch7'!$AS$366</definedName>
    <definedName name="dnt703_7_1">'Ch7'!$AS$392</definedName>
    <definedName name="dnt703_7_1_1">'Ch7'!$AS$371</definedName>
    <definedName name="dnt703_7_1_2">'Ch7'!$AS$373</definedName>
    <definedName name="dnt703_7_1_3">'Ch7'!$AS$375</definedName>
    <definedName name="dnt703_7_1_4">'Ch7'!$AS$377</definedName>
    <definedName name="dnt703_7_1_5">'Ch7'!$AS$379</definedName>
    <definedName name="dnt703_7_1_6_a">'Ch7'!$AS$382</definedName>
    <definedName name="dnt703_7_1_6_b">'Ch7'!$AS$384</definedName>
    <definedName name="dnt703_7_1_6_c">'Ch7'!$AS$385</definedName>
    <definedName name="dnt703_7_1_7">'Ch7'!$AS$387</definedName>
    <definedName name="dnt703_7_1_8">'Ch7'!$AS$390</definedName>
    <definedName name="dnt703_7_1_9">'Ch7'!$AS$391</definedName>
    <definedName name="dnt703_7_2">'Ch7'!$AS$397</definedName>
    <definedName name="dnt703_7_3_1_a">'Ch7'!$AS$405</definedName>
    <definedName name="dnt703_7_3_1_b">'Ch7'!$AS$407</definedName>
    <definedName name="dnt703_7_3_1_c">'Ch7'!$AS$408</definedName>
    <definedName name="dnt703_7_3_1_d">'Ch7'!$AS$409</definedName>
    <definedName name="dnt703_7_3_2">'Ch7'!$AS$411</definedName>
    <definedName name="dnt703_7_3_3">'Ch7'!$AS$414</definedName>
    <definedName name="dnt703_7_3_4">'Ch7'!$AS$415</definedName>
    <definedName name="dnt703_7_3_5_a">'Ch7'!$AS$420</definedName>
    <definedName name="dnt703_7_3_5_b">'Ch7'!$AS$422</definedName>
    <definedName name="dnt703_7_3_6">'Ch7'!$AS$424</definedName>
    <definedName name="dnt703_7_4_1">'Ch7'!$AS$429</definedName>
    <definedName name="dnt703_7_4_2_a">'Ch7'!$AS$433</definedName>
    <definedName name="dnt703_7_4_2_b">'Ch7'!$AS$436</definedName>
    <definedName name="dnt703_7_4_2_c">'Ch7'!$AS$444</definedName>
    <definedName name="dnt703_7_4_3">'Ch7'!$AS$447</definedName>
    <definedName name="dnt704_1">'Ch7'!$AS$450</definedName>
    <definedName name="dnt705_2_1_1">'Ch7'!$AS$463</definedName>
    <definedName name="dnt705_2_1_2">'Ch7'!$AS$467</definedName>
    <definedName name="dnt705_2_1_3_1">'Ch7'!$AS$470</definedName>
    <definedName name="dnt705_2_1_3_2">'Ch7'!$AS$474</definedName>
    <definedName name="dnt705_2_1_4">'Ch7'!$AS$479</definedName>
    <definedName name="dnt705_2_2">'Ch7'!$AS$484</definedName>
    <definedName name="dnt705_2_3">'Ch7'!$AS$487</definedName>
    <definedName name="dnt705_2_4">'Ch7'!$AS$489</definedName>
    <definedName name="dnt705_3">'Ch7'!$AS$492</definedName>
    <definedName name="dnt705_4">'Ch7'!$AS$493</definedName>
    <definedName name="dnt705_5_1">'Ch7'!$AS$497</definedName>
    <definedName name="dnt705_5_2">'Ch7'!$AS$502</definedName>
    <definedName name="dnt705_5_2_1">'Ch7'!$AS$504</definedName>
    <definedName name="dnt705_5_2_2">'Ch7'!$AS$505</definedName>
    <definedName name="dnt705_5_2_3">'Ch7'!$AS$506</definedName>
    <definedName name="dnt705_5_2_4">'Ch7'!$AS$507</definedName>
    <definedName name="dnt705_5_2_5">'Ch7'!$AS$508</definedName>
    <definedName name="dnt705_5_2_6">'Ch7'!$AS$509</definedName>
    <definedName name="dnt705_6_1">'Ch7'!$AS$511</definedName>
    <definedName name="dnt705_6_2_1_1">'Ch7'!$AS$524</definedName>
    <definedName name="dnt705_6_2_1_2">'Ch7'!$AS$525</definedName>
    <definedName name="dnt705_6_2_2">'Ch7'!$AS$528</definedName>
    <definedName name="dnt705_6_2_3">'Ch7'!$AS$536</definedName>
    <definedName name="dnt705_6_3_a">'Ch7'!$AS$545</definedName>
    <definedName name="dnt705_6_3_b">'Ch7'!$AS$546</definedName>
    <definedName name="dnt705_6_3_c">'Ch7'!$AS$547</definedName>
    <definedName name="dnt705_6_3_d">'Ch7'!$AS$548</definedName>
    <definedName name="dnt705_6_3_e">'Ch7'!$AS$549</definedName>
    <definedName name="dnt705_6_3_f">'Ch7'!$AS$550</definedName>
    <definedName name="dnt705_6_3_g">'Ch7'!$AS$551</definedName>
    <definedName name="dnt705_6_4_1">'Ch7'!$AS$554</definedName>
    <definedName name="dnt705_6_4_2">'Ch7'!$AS$556</definedName>
    <definedName name="dnt705_7">'Ch7'!$AS$558</definedName>
    <definedName name="dnt706_1_1">'Ch7'!$AS$565</definedName>
    <definedName name="dnt706_1_2">'Ch7'!$AS$566</definedName>
    <definedName name="dnt706_1_3">'Ch7'!$AS$567</definedName>
    <definedName name="dnt706_1_4">'Ch7'!$AS$568</definedName>
    <definedName name="dnt706_1_5">'Ch7'!$AS$570</definedName>
    <definedName name="dnt706_2_1">'Ch7'!$AS$573</definedName>
    <definedName name="dnt706_2_2">'Ch7'!$AS$576</definedName>
    <definedName name="dnt706_3">'Ch7'!$AS$583</definedName>
    <definedName name="dnt706_3_1">'Ch7'!$AS$591</definedName>
    <definedName name="dnt706_3_2">'Ch7'!$AS$592</definedName>
    <definedName name="dnt706_3_3">'Ch7'!$AS$593</definedName>
    <definedName name="dnt706_3_4">'Ch7'!$AS$594</definedName>
    <definedName name="dnt706_3_5">'Ch7'!$AS$595</definedName>
    <definedName name="dnt706_3_6">'Ch7'!$AS$596</definedName>
    <definedName name="dnt706_3_7">'Ch7'!$AS$597</definedName>
    <definedName name="dnt706_3_8">'Ch7'!$AS$598</definedName>
    <definedName name="dnt706_4_1_1">'Ch7'!$AS$601</definedName>
    <definedName name="dnt706_4_1_2">'Ch7'!$AS$603</definedName>
    <definedName name="dnt706_4_2">'Ch7'!$AS$605</definedName>
    <definedName name="dnt706_5">'Ch7'!$AS$607</definedName>
    <definedName name="dnt706_6">'Ch7'!$AS$616</definedName>
    <definedName name="dnt706_7_1">'Ch7'!$AS$620</definedName>
    <definedName name="dnt706_7_2">'Ch7'!$AS$621</definedName>
    <definedName name="dnt706_8">'Ch7'!$AS$624</definedName>
    <definedName name="dnt706_9">'Ch7'!$AS$627</definedName>
    <definedName name="dnt801_1_1">'Ch8'!$AS$25</definedName>
    <definedName name="dnt801_1_5">'Ch8'!$AS$36</definedName>
    <definedName name="dnt801_1_6">'Ch8'!$AS$41</definedName>
    <definedName name="dnt801_2_1">'Ch8'!$AS$46</definedName>
    <definedName name="dnt801_2_2">'Ch8'!$AS$47</definedName>
    <definedName name="dnt801_3_1">'Ch8'!$AS$54</definedName>
    <definedName name="dnt801_3_2">'Ch8'!$AS$63</definedName>
    <definedName name="dnt801_3_3">'Ch8'!$AS$68</definedName>
    <definedName name="dnt801_4_1_1">'Ch8'!$AS$73</definedName>
    <definedName name="dnt801_4_1_2">'Ch8'!$AS$77</definedName>
    <definedName name="dnt801_4_2">'Ch8'!$AS$78</definedName>
    <definedName name="dnt801_5_1">'Ch8'!$AS$83</definedName>
    <definedName name="dnt801_5_2">'Ch8'!$AS$85</definedName>
    <definedName name="dnt801_5_3">'Ch8'!$AS$91</definedName>
    <definedName name="dnt801_5_4_a">'Ch8'!$AS$94</definedName>
    <definedName name="dnt801_5_4_b">'Ch8'!$AS$98</definedName>
    <definedName name="dnt801_5_4_c">'Ch8'!$AS$100</definedName>
    <definedName name="dnt801_6_1">'Ch8'!$AS$102</definedName>
    <definedName name="dnt801_6_2_1">'Ch8'!$AS$106</definedName>
    <definedName name="dnt801_6_2_2">'Ch8'!$AS$107</definedName>
    <definedName name="dnt801_6_2_3">'Ch8'!$AS$108</definedName>
    <definedName name="dnt801_6_3">'Ch8'!$AS$110</definedName>
    <definedName name="dnt801_6_4_1">'Ch8'!$AS$116</definedName>
    <definedName name="dnt801_6_4_2">'Ch8'!$AS$118</definedName>
    <definedName name="dnt801_6_4_3">'Ch8'!$AS$119</definedName>
    <definedName name="dnt801_6_5">'Ch8'!$AS$123</definedName>
    <definedName name="dnt801_7_1">'Ch8'!$AS$127</definedName>
    <definedName name="dnt801_7_2_1">'Ch8'!$AS$141</definedName>
    <definedName name="dnt801_7_2_2">'Ch8'!$AS$143</definedName>
    <definedName name="dnt801_8">'Ch8'!$AS$144</definedName>
    <definedName name="dnt802_1_1">'Ch8'!$AS$151</definedName>
    <definedName name="dnt802_1_2">'Ch8'!$AS$153</definedName>
    <definedName name="dnt802_2">'Ch8'!$AS$154</definedName>
    <definedName name="dnt802_3_1">'Ch8'!$AS$160</definedName>
    <definedName name="dnt802_3_2">'Ch8'!$AS$161</definedName>
    <definedName name="dnt802_4">'Ch8'!$AS$162</definedName>
    <definedName name="dnt802_5">'Ch8'!$AS$165</definedName>
    <definedName name="dnt802_6">'Ch8'!$AS$167</definedName>
    <definedName name="dnt901_1_1">'Ch9'!$AS$12</definedName>
    <definedName name="dnt901_1_2">'Ch9'!$AS$18</definedName>
    <definedName name="dnt901_1_3_1">'Ch9'!$AS$23</definedName>
    <definedName name="dnt901_1_3_2">'Ch9'!$AS$26</definedName>
    <definedName name="dnt901_1_4">'Ch9'!$AS$29</definedName>
    <definedName name="dnt901_1_5">'Ch9'!$AS$33</definedName>
    <definedName name="dnt901_1_6">'Ch9'!$AS$36</definedName>
    <definedName name="dnt901_10_1">'Ch9'!$AS$148</definedName>
    <definedName name="dnt901_10_2">'Ch9'!$AS$153</definedName>
    <definedName name="dnt901_10_3">'Ch9'!$AS$154</definedName>
    <definedName name="dnt901_11">'Ch9'!$AS$158</definedName>
    <definedName name="dnt901_12">'Ch9'!$AS$163</definedName>
    <definedName name="dnt901_13">'Ch9'!$AS$165</definedName>
    <definedName name="dnt901_14_1">'Ch9'!$AS$171</definedName>
    <definedName name="dnt901_14_2">'Ch9'!$AS$173</definedName>
    <definedName name="dnt901_2_1_1">'Ch9'!$AS$42</definedName>
    <definedName name="dnt901_2_1_2">'Ch9'!$AS$45</definedName>
    <definedName name="dnt901_2_1_3">'Ch9'!$AS$47</definedName>
    <definedName name="dnt901_2_1_4">'Ch9'!$AS$50</definedName>
    <definedName name="dnt901_2_1_5">'Ch9'!$AS$52</definedName>
    <definedName name="dnt901_2_2">'Ch9'!$AS$54</definedName>
    <definedName name="dnt901_3_1_a">'Ch9'!$AS$57</definedName>
    <definedName name="dnt901_3_1_b">'Ch9'!$AS$59</definedName>
    <definedName name="dnt901_3_1_c">'Ch9'!$AS$61</definedName>
    <definedName name="dnt901_3_2">'Ch9'!$AS$67</definedName>
    <definedName name="dnt901_4_1">'Ch9'!$AS$71</definedName>
    <definedName name="dnt901_4_a">'Ch9'!$AS$76</definedName>
    <definedName name="dnt901_5_1">'Ch9'!$AS$90</definedName>
    <definedName name="dnt901_5_2">'Ch9'!$AS$92</definedName>
    <definedName name="dnt901_6">'Ch9'!$AS$95</definedName>
    <definedName name="dnt901_7_1">'Ch9'!$AS$104</definedName>
    <definedName name="dnt901_7_2">'Ch9'!$AS$114</definedName>
    <definedName name="dnt901_8">'Ch9'!$AS$118</definedName>
    <definedName name="dnt901_9">'Ch9'!$AS$124</definedName>
    <definedName name="dnt901_9_1_1">'Ch9'!$AS$129</definedName>
    <definedName name="dnt901_9_1_2">'Ch9'!$AS$131</definedName>
    <definedName name="dnt901_9_1_3">'Ch9'!$AS$132</definedName>
    <definedName name="dnt901_9_2">'Ch9'!$AS$134</definedName>
    <definedName name="dnt901_9_3">'Ch9'!$AS$139</definedName>
    <definedName name="dnt902_1_1">'Ch9'!$AS$179</definedName>
    <definedName name="dnt902_1_1_a">'Ch9'!$AS$181</definedName>
    <definedName name="dnt902_1_2">'Ch9'!$AS$188</definedName>
    <definedName name="dnt902_1_2_">'Ch9'!$AS$183</definedName>
    <definedName name="dnt902_1_3">'Ch9'!$AS$192</definedName>
    <definedName name="dnt902_1_3_">'Ch9'!$AS$185</definedName>
    <definedName name="dnt902_1_4">'Ch9'!$AS$196</definedName>
    <definedName name="dnt902_1_5_1">'Ch9'!$AS$203</definedName>
    <definedName name="dnt902_1_5_2">'Ch9'!$AS$205</definedName>
    <definedName name="dnt902_1_5_3">'Ch9'!$AS$207</definedName>
    <definedName name="dnt902_2_1">'Ch9'!$AS$211</definedName>
    <definedName name="dnt902_2_2">'Ch9'!$AS$220</definedName>
    <definedName name="dnt902_2_3">'Ch9'!$AS$222</definedName>
    <definedName name="dnt902_2_4">'Ch9'!$AS$225</definedName>
    <definedName name="dnt902_3">'Ch9'!$AS$228</definedName>
    <definedName name="dnt902_4_1">'Ch9'!$AS$237</definedName>
    <definedName name="dnt902_4_2">'Ch9'!$AS$239</definedName>
    <definedName name="dnt902_5">'Ch9'!$AS$242</definedName>
    <definedName name="dnt902_6">'Ch9'!$AS$244</definedName>
    <definedName name="dnt903_1">'Ch9'!$AS$248</definedName>
    <definedName name="dnt903_2">'Ch9'!$AS$252</definedName>
    <definedName name="dnt903_3">'Ch9'!$AS$256</definedName>
    <definedName name="dnt904_1">'Ch9'!$AS$264</definedName>
    <definedName name="dnt904_2">'Ch9'!$AS$269</definedName>
    <definedName name="dnt905_1">'Ch9'!$AS$273</definedName>
    <definedName name="dnt905_2">'Ch9'!$AS$278</definedName>
    <definedName name="dpa1001_1">'Ch10'!$AM$12</definedName>
    <definedName name="dpa1001_1_1">'Ch10'!$AM$15</definedName>
    <definedName name="dpa1001_1_2">'Ch10'!$AM$16</definedName>
    <definedName name="dpa1001_1_3">'Ch10'!$AM$17</definedName>
    <definedName name="dpa1001_2">'Ch10'!$AM$60</definedName>
    <definedName name="dpa1002_1">'Ch10'!$AM$78</definedName>
    <definedName name="dpa1002_1_1">'Ch10'!$AM$81</definedName>
    <definedName name="dpa1002_1_2">'Ch10'!$AM$84</definedName>
    <definedName name="dpa1002_1_3">'Ch10'!$AM$87</definedName>
    <definedName name="dpa1002_2">'Ch10'!$AM$96</definedName>
    <definedName name="dpa1002_2_1">'Ch10'!$AM$100</definedName>
    <definedName name="dpa1002_2_2">'Ch10'!$AM$102</definedName>
    <definedName name="dpa1002_3">'Ch10'!$AM$123</definedName>
    <definedName name="dpa1002_3_1">'Ch10'!$AM$127</definedName>
    <definedName name="dpa1002_4">'Ch10'!$AM$149</definedName>
    <definedName name="dpa1003_1">'Ch10'!$AM$165</definedName>
    <definedName name="dpa1003_1_1">'Ch10'!$AM$166</definedName>
    <definedName name="dpa1003_1_2">'Ch10'!$AM$168</definedName>
    <definedName name="dpa1003_1_3">'Ch10'!$AM$171</definedName>
    <definedName name="dpa1004_1_1">'Ch10'!$AM$184</definedName>
    <definedName name="dpa1004_1_2">'Ch10'!$AM$186</definedName>
    <definedName name="dpa501_1">'Ch5'!$AM$15</definedName>
    <definedName name="dpa501_1_1">'Ch5'!$AM$16</definedName>
    <definedName name="dpa501_1_2">'Ch5'!$AM$17</definedName>
    <definedName name="dpa501_1_3">'Ch5'!$AM$18</definedName>
    <definedName name="dpa501_2_1">'Ch5'!$AM$21</definedName>
    <definedName name="dpa501_2_2">'Ch5'!$AM$23</definedName>
    <definedName name="dpa501_2_3">'Ch5'!$AM$25</definedName>
    <definedName name="dpa501_2_4">'Ch5'!$AM$27</definedName>
    <definedName name="dpa501_2_5">'Ch5'!$AM$36</definedName>
    <definedName name="dpa501_2_6_a">'Ch5'!$AM$41</definedName>
    <definedName name="dpa501_2_6_b">'Ch5'!$AM$42</definedName>
    <definedName name="dpa501_2_6_c">'Ch5'!$AM$43</definedName>
    <definedName name="dpa502_1">'Ch5'!$AM$45</definedName>
    <definedName name="dpa503_1_1">'Ch5'!$AM$56</definedName>
    <definedName name="dpa503_1_2">'Ch5'!$AM$57</definedName>
    <definedName name="dpa503_1_3">'Ch5'!$AM$59</definedName>
    <definedName name="dpa503_1_4">'Ch5'!$AM$61</definedName>
    <definedName name="dpa503_1_5">'Ch5'!$AM$62</definedName>
    <definedName name="dpa503_1_6">'Ch5'!$AM$63</definedName>
    <definedName name="dpa503_1_7">'Ch5'!$AM$65</definedName>
    <definedName name="dpa503_2_1">'Ch5'!$AM$69</definedName>
    <definedName name="dpa503_2_2">'Ch5'!$AM$70</definedName>
    <definedName name="dpa503_2_3_a">'Ch5'!$AM$74</definedName>
    <definedName name="dpa503_2_3_b">'Ch5'!$AM$75</definedName>
    <definedName name="dpa503_2_3_c">'Ch5'!$AM$76</definedName>
    <definedName name="dpa503_2_4">'Ch5'!$AM$77</definedName>
    <definedName name="dpa503_2_5">'Ch5'!$AM$79</definedName>
    <definedName name="dpa503_3_1">'Ch5'!$AM$83</definedName>
    <definedName name="dpa503_3_2">'Ch5'!$AM$85</definedName>
    <definedName name="dpa503_3_3">'Ch5'!$AM$92</definedName>
    <definedName name="dpa503_4_1">'Ch5'!$AM$100</definedName>
    <definedName name="dpa503_4_2">'Ch5'!$AM$103</definedName>
    <definedName name="dpa503_4_3_a">'Ch5'!$AM$111</definedName>
    <definedName name="dpa503_4_3_b">'Ch5'!$AM$112</definedName>
    <definedName name="dpa503_4_3_c">'Ch5'!$AM$113</definedName>
    <definedName name="dpa503_4_4_a">'Ch5'!$AM$116</definedName>
    <definedName name="dpa503_4_4_b">'Ch5'!$AM$117</definedName>
    <definedName name="dpa503_4_4_c">'Ch5'!$AM$118</definedName>
    <definedName name="dpa503_5_1_a">'Ch5'!$AM$125</definedName>
    <definedName name="dpa503_5_1_b">'Ch5'!$AM$126</definedName>
    <definedName name="dpa503_5_1_c">'Ch5'!$AM$127</definedName>
    <definedName name="dpa503_5_1_d">'Ch5'!$AM$128</definedName>
    <definedName name="dpa503_5_10">'Ch5'!$AM$151</definedName>
    <definedName name="dpa503_5_11">'Ch5'!$AM$153</definedName>
    <definedName name="dpa503_5_12">'Ch5'!$AM$155</definedName>
    <definedName name="dpa503_5_2">'Ch5'!$AM$129</definedName>
    <definedName name="dpa503_5_3">'Ch5'!$AM$131</definedName>
    <definedName name="dpa503_5_4">'Ch5'!$AM$133</definedName>
    <definedName name="dpa503_5_5_a">'Ch5'!$AM$136</definedName>
    <definedName name="dpa503_5_5_b">'Ch5'!$AM$137</definedName>
    <definedName name="dpa503_5_5_c">'Ch5'!$AM$138</definedName>
    <definedName name="dpa503_5_5_d">'Ch5'!$AM$139</definedName>
    <definedName name="dpa503_5_6">'Ch5'!$AM$140</definedName>
    <definedName name="dpa503_5_7">'Ch5'!$AM$141</definedName>
    <definedName name="dpa503_5_8">'Ch5'!$AM$146</definedName>
    <definedName name="dpa503_5_9">'Ch5'!$AM$148</definedName>
    <definedName name="dpa503_6_1">'Ch5'!$AM$159</definedName>
    <definedName name="dpa503_6_2">'Ch5'!$AM$160</definedName>
    <definedName name="dpa503_6_3">'Ch5'!$AM$161</definedName>
    <definedName name="dpa503_6_4">'Ch5'!$AM$163</definedName>
    <definedName name="dpa503_7_1">'Ch5'!$AM$166</definedName>
    <definedName name="dpa503_7_2">'Ch5'!$AM$168</definedName>
    <definedName name="dpa503_8">'Ch5'!$AM$170</definedName>
    <definedName name="dpa504_1">'Ch5'!$AM$178</definedName>
    <definedName name="dpa504_2_1">'Ch5'!$AM$185</definedName>
    <definedName name="dpa504_2_2">'Ch5'!$AM$186</definedName>
    <definedName name="dpa504_2_3">'Ch5'!$AM$188</definedName>
    <definedName name="dpa504_3_1">'Ch5'!$AM$193</definedName>
    <definedName name="dpa504_3_2">'Ch5'!$AM$195</definedName>
    <definedName name="dpa504_3_3">'Ch5'!$AM$196</definedName>
    <definedName name="dpa504_3_4">'Ch5'!$AM$198</definedName>
    <definedName name="dpa504_3_5">'Ch5'!$AM$200</definedName>
    <definedName name="dpa504_3_6">'Ch5'!$AM$204</definedName>
    <definedName name="dpa504_3_7">'Ch5'!$AM$207</definedName>
    <definedName name="dpa504_3_8">'Ch5'!$AM$208</definedName>
    <definedName name="dpa504_3_9">'Ch5'!$AM$216</definedName>
    <definedName name="dpa505_1_1">'Ch5'!$AM$223</definedName>
    <definedName name="dpa505_1_2">'Ch5'!$AM$225</definedName>
    <definedName name="dpa505_1_3_a">'Ch5'!$AM$227</definedName>
    <definedName name="dpa505_1_3_b">'Ch5'!$AM$228</definedName>
    <definedName name="dpa505_1_3_c">'Ch5'!$AM$229</definedName>
    <definedName name="dpa505_1_4_a">'Ch5'!$AM$232</definedName>
    <definedName name="dpa505_1_4_b">'Ch5'!$AM$233</definedName>
    <definedName name="dpa505_1_4_c">'Ch5'!$AM$234</definedName>
    <definedName name="dpa505_2_1">'Ch5'!$AM$236</definedName>
    <definedName name="dpa505_2_2">'Ch5'!$AM$246</definedName>
    <definedName name="dpa505_3_1">'Ch5'!$AM$250</definedName>
    <definedName name="dpa505_3_2">'Ch5'!$AM$251</definedName>
    <definedName name="dpa505_3_3">'Ch5'!$AM$252</definedName>
    <definedName name="dpa505_3_4">'Ch5'!$AM$253</definedName>
    <definedName name="dpa505_3_5">'Ch5'!$AM$254</definedName>
    <definedName name="dpa505_4">'Ch5'!$AM$255</definedName>
    <definedName name="dpa505_5">'Ch5'!$AM$256</definedName>
    <definedName name="dpa505_6">'Ch5'!$AM$258</definedName>
    <definedName name="dpa601_1_1">'Ch6'!$AM$17</definedName>
    <definedName name="dpa601_1_2">'Ch6'!$AM$18</definedName>
    <definedName name="dpa601_1_3">'Ch6'!$AM$19</definedName>
    <definedName name="dpa601_1_4">'Ch6'!$AM$20</definedName>
    <definedName name="dpa601_1_5">'Ch6'!$AM$21</definedName>
    <definedName name="dpa601_2_1">'Ch6'!$AM$29</definedName>
    <definedName name="dpa601_2_2">'Ch6'!$AM$32</definedName>
    <definedName name="dpa601_2_3">'Ch6'!$AM$35</definedName>
    <definedName name="dpa601_3_1">'Ch6'!$AM$39</definedName>
    <definedName name="dpa601_3_2">'Ch6'!$AM$40</definedName>
    <definedName name="dpa601_3_3">'Ch6'!$AM$41</definedName>
    <definedName name="dpa601_3_4">'Ch6'!$AM$42</definedName>
    <definedName name="dpa601_3_5">'Ch6'!$AM$43</definedName>
    <definedName name="dpa601_4">'Ch6'!$AM$44</definedName>
    <definedName name="dpa601_5">'Ch6'!$AM$47</definedName>
    <definedName name="dpa601_5_1">'Ch6'!$AM$50</definedName>
    <definedName name="dpa601_5_2">'Ch6'!$AM$51</definedName>
    <definedName name="dpa601_5_3">'Ch6'!$AM$52</definedName>
    <definedName name="dpa601_5_4">'Ch6'!$AM$53</definedName>
    <definedName name="dpa601_5_5">'Ch6'!$AM$54</definedName>
    <definedName name="dpa601_6">'Ch6'!$AM$55</definedName>
    <definedName name="dpa601_6_1">'Ch6'!$AM$58</definedName>
    <definedName name="dpa601_6_2">'Ch6'!$AM$59</definedName>
    <definedName name="dpa601_7">'Ch6'!$AM$60</definedName>
    <definedName name="dpa601_7_1">'Ch6'!$AM$73</definedName>
    <definedName name="dpa601_7_2">'Ch6'!$AM$74</definedName>
    <definedName name="dpa601_7_3">'Ch6'!$AM$76</definedName>
    <definedName name="dpa601_8">'Ch6'!$AM$78</definedName>
    <definedName name="dpa601_9">'Ch6'!$AM$86</definedName>
    <definedName name="dpa602_1_1_1">'Ch6'!$AM$97</definedName>
    <definedName name="dpa602_1_1_2">'Ch6'!$AM$100</definedName>
    <definedName name="dpa602_1_10">'Ch6'!$AM$196</definedName>
    <definedName name="dpa602_1_11">'Ch6'!$AM$209</definedName>
    <definedName name="dpa602_1_12">'Ch6'!$AM$211</definedName>
    <definedName name="dpa602_1_13">'Ch6'!$AM$214</definedName>
    <definedName name="dpa602_1_14_1">'Ch6'!$AM$220</definedName>
    <definedName name="dpa602_1_14_2">'Ch6'!$AM$222</definedName>
    <definedName name="dpa602_1_14_3">'Ch6'!$AM$223</definedName>
    <definedName name="dpa602_1_2">'Ch6'!$AM$102</definedName>
    <definedName name="dpa602_1_3_1">'Ch6'!$AM$107</definedName>
    <definedName name="dpa602_1_3_2">'Ch6'!$AM$109</definedName>
    <definedName name="dpa602_1_4_1_1">'Ch6'!$AM$115</definedName>
    <definedName name="dpa602_1_4_1_2">'Ch6'!$AM$117</definedName>
    <definedName name="dpa602_1_4_2_1">'Ch6'!$AM$121</definedName>
    <definedName name="dpa602_1_4_2_2">'Ch6'!$AM$123</definedName>
    <definedName name="dpa602_1_5_1">'Ch6'!$AM$127</definedName>
    <definedName name="dpa602_1_5_2">'Ch6'!$AM$129</definedName>
    <definedName name="dpa602_1_6_1">'Ch6'!$AM$135</definedName>
    <definedName name="dpa602_1_6_2">'Ch6'!$AM$139</definedName>
    <definedName name="dpa602_1_6_3">'Ch6'!$AM$143</definedName>
    <definedName name="dpa602_1_7_1_1">'Ch6'!$AM$148</definedName>
    <definedName name="dpa602_1_7_1_2">'Ch6'!$AM$150</definedName>
    <definedName name="dpa602_1_7_1_3">'Ch6'!$AM$153</definedName>
    <definedName name="dpa602_1_7_2">'Ch6'!$AM$155</definedName>
    <definedName name="dpa602_1_7_3">'Ch6'!$AM$157</definedName>
    <definedName name="dpa602_1_8">'Ch6'!$AM$161</definedName>
    <definedName name="dpa602_1_9_1">'Ch6'!$AM$169</definedName>
    <definedName name="dpa602_1_9_2">'Ch6'!$AM$179</definedName>
    <definedName name="dpa602_1_9_3">'Ch6'!$AM$182</definedName>
    <definedName name="dpa602_1_9_4">'Ch6'!$AM$183</definedName>
    <definedName name="dpa602_1_9_5_a">'Ch6'!$AM$188</definedName>
    <definedName name="dpa602_1_9_5_b">'Ch6'!$AM$191</definedName>
    <definedName name="dpa602_1_9_6">'Ch6'!$AM$193</definedName>
    <definedName name="dpa602_1_9_7">'Ch6'!$AM$195</definedName>
    <definedName name="dpa602_2">'Ch6'!$AM$224</definedName>
    <definedName name="dpa602_3">'Ch6'!$AM$234</definedName>
    <definedName name="dpa602_4_1">'Ch6'!$AM$238</definedName>
    <definedName name="dpa602_4_2">'Ch6'!$AM$243</definedName>
    <definedName name="dpa602_4_3">'Ch6'!$AM$245</definedName>
    <definedName name="dpa603_1">'Ch6'!$AM$249</definedName>
    <definedName name="dpa603_2">'Ch6'!$AM$255</definedName>
    <definedName name="dpa603_3">'Ch6'!$AM$262</definedName>
    <definedName name="dpa604_1a">'Ch6'!$AM$266</definedName>
    <definedName name="dpa605_1">'Ch6'!$AM$278</definedName>
    <definedName name="dpa605_2">'Ch6'!$AM$293</definedName>
    <definedName name="dpa605_3">'Ch6'!$AM$302</definedName>
    <definedName name="dpa605_3_1">'Ch6'!$AM$304</definedName>
    <definedName name="dpa605_3_2">'Ch6'!$AM$305</definedName>
    <definedName name="dpa606_1_1">'Ch6'!$AM$329</definedName>
    <definedName name="dpa606_1_2">'Ch6'!$AM$331</definedName>
    <definedName name="dpa606_1_3">'Ch6'!$AM$333</definedName>
    <definedName name="dpa606_2_1a">'Ch6'!$AM$346</definedName>
    <definedName name="dpa606_2_2a">'Ch6'!$AM$349</definedName>
    <definedName name="dpa606_3">'Ch6'!$AM$352</definedName>
    <definedName name="dpa607_1_1">'Ch6'!$AM$361</definedName>
    <definedName name="dpa607_1_2">'Ch6'!$AM$363</definedName>
    <definedName name="dpa607_2">'Ch6'!$AM$364</definedName>
    <definedName name="dpa608_1">'Ch6'!$AM$367</definedName>
    <definedName name="dpa609_1a">'Ch6'!$AM$376</definedName>
    <definedName name="dpa610_1_1_1">'Ch6'!$AM$392</definedName>
    <definedName name="dpa610_1_1_2">'Ch6'!$AM$401</definedName>
    <definedName name="dpa610_1_1_3">'Ch6'!$AM$408</definedName>
    <definedName name="dpa610_1_2">'Ch6'!$AM$410</definedName>
    <definedName name="dpa610_1_2_1">'Ch6'!$AM$414</definedName>
    <definedName name="dpa610_1_2_2a">'Ch6'!$AM$428</definedName>
    <definedName name="dpa611_1">'Ch6'!$AM$453</definedName>
    <definedName name="dpa611_2">'Ch6'!$AM$461</definedName>
    <definedName name="dpa611_2_1">'Ch6'!$AM$464</definedName>
    <definedName name="dpa611_2_2">'Ch6'!$AM$465</definedName>
    <definedName name="dpa611_2_3">'Ch6'!$AM$466</definedName>
    <definedName name="dpa611_2_4">'Ch6'!$AM$467</definedName>
    <definedName name="dpa611_2_5">'Ch6'!$AM$468</definedName>
    <definedName name="dpa611_2_6">'Ch6'!$AM$469</definedName>
    <definedName name="dpa611_2_7">'Ch6'!$AM$470</definedName>
    <definedName name="dpa611_3">'Ch6'!$AM$472</definedName>
    <definedName name="dpa611_3_1">'Ch6'!$AM$474</definedName>
    <definedName name="dpa611_3_2">'Ch6'!$AM$479</definedName>
    <definedName name="dpa611_3_3">'Ch6'!$AM$483</definedName>
    <definedName name="dpa611_3_4">'Ch6'!$AM$485</definedName>
    <definedName name="dpa611_3_5">'Ch6'!$AM$487</definedName>
    <definedName name="dpa611_3_6">'Ch6'!$AM$488</definedName>
    <definedName name="dpa611_3_7">'Ch6'!$AM$489</definedName>
    <definedName name="dpa611_3_8">'Ch6'!$AM$493</definedName>
    <definedName name="dpa611_3_9">'Ch6'!$AM$495</definedName>
    <definedName name="dpa611_4">'Ch6'!$AM$497</definedName>
    <definedName name="dpa701_4_1">'Ch7'!$AM$46</definedName>
    <definedName name="dpa701_4_1_1">'Ch7'!$AM$37</definedName>
    <definedName name="dpa701_4_1_2">'Ch7'!$AM$40</definedName>
    <definedName name="dpa701_4_2_2">'Ch7'!$AM$49</definedName>
    <definedName name="dpa701_4_2_3">'Ch7'!$AM$50</definedName>
    <definedName name="dpa701_4_3_1">'Ch7'!$AM$53</definedName>
    <definedName name="dpa701_4_3_2">'Ch7'!$AM$69</definedName>
    <definedName name="dpa701_4_3_2_1">'Ch7'!$AM$91</definedName>
    <definedName name="dpa701_4_3_3_4">'Ch7'!$AM$118</definedName>
    <definedName name="dpa701_4_3_3_5">'Ch7'!$AM$124</definedName>
    <definedName name="dpa701_4_4">'Ch7'!$AM$130</definedName>
    <definedName name="dpa701_4_5">'Ch7'!$AM$135</definedName>
    <definedName name="dpa702_2_1">'Ch7'!$AM$140</definedName>
    <definedName name="dpa702_2_2">'Ch7'!$AM$144</definedName>
    <definedName name="dpa703_1">'Ch7'!$AM$156</definedName>
    <definedName name="dpa703_1_1">'Ch7'!$AM$157</definedName>
    <definedName name="dpa703_1_2">'Ch7'!$AM$170</definedName>
    <definedName name="dpa703_1_3">'Ch7'!$AM$173</definedName>
    <definedName name="dpa703_2_1">'Ch7'!$AM$176</definedName>
    <definedName name="dpa703_2_2">'Ch7'!$AM$183</definedName>
    <definedName name="dpa703_2_3">'Ch7'!$AM$185</definedName>
    <definedName name="dpa703_2_4">'Ch7'!$AM$188</definedName>
    <definedName name="dpa703_2_5_1">'Ch7'!$AM$192</definedName>
    <definedName name="dpa703_2_5_2">'Ch7'!$AM$207</definedName>
    <definedName name="dpa703_2_5_2_a">'Ch7'!$AM$212</definedName>
    <definedName name="dpa703_2_5_2_b">'Ch7'!$AM$213</definedName>
    <definedName name="dpa703_2_5_2_c">'Ch7'!$AM$214</definedName>
    <definedName name="dpa703_3_1">'Ch7'!$AM$237</definedName>
    <definedName name="dpa703_3_2__1_1">'Ch7'!$AM$244</definedName>
    <definedName name="dpa703_3_2__1_2">'Ch7'!$AM$245</definedName>
    <definedName name="dpa703_3_2__1_3">'Ch7'!$AM$246</definedName>
    <definedName name="dpa703_3_2__1_4">'Ch7'!$AM$247</definedName>
    <definedName name="dpa703_3_2__1_5">'Ch7'!$AM$248</definedName>
    <definedName name="dpa703_3_2__2_1">'Ch7'!$AM$250</definedName>
    <definedName name="dpa703_3_2__2_2">'Ch7'!$AM$251</definedName>
    <definedName name="dpa703_3_2__3_1">'Ch7'!$AM$253</definedName>
    <definedName name="dpa703_3_2__3_2">'Ch7'!$AM$254</definedName>
    <definedName name="dpa703_3_2__3_3">'Ch7'!$AM$255</definedName>
    <definedName name="dpa703_3_2__3_4">'Ch7'!$AM$256</definedName>
    <definedName name="dpa703_3_2__4_1">'Ch7'!$AM$258</definedName>
    <definedName name="dpa703_3_2__4_2">'Ch7'!$AM$259</definedName>
    <definedName name="dpa703_3_3__1_1">'Ch7'!$AM$264</definedName>
    <definedName name="dpa703_3_3__1_2">'Ch7'!$AM$265</definedName>
    <definedName name="dpa703_3_3__1_3">'Ch7'!$AM$266</definedName>
    <definedName name="dpa703_3_3__1_4">'Ch7'!$AM$267</definedName>
    <definedName name="dpa703_3_3__3">'Ch7'!$AM$268</definedName>
    <definedName name="dpa703_3_4_1">'Ch7'!$AM$278</definedName>
    <definedName name="dpa703_3_4_1_1">'Ch7'!$AM$273</definedName>
    <definedName name="dpa703_3_4_1_2">'Ch7'!$AM$274</definedName>
    <definedName name="dpa703_3_4_1_3">'Ch7'!$AM$275</definedName>
    <definedName name="dpa703_3_4_1_4">'Ch7'!$AM$276</definedName>
    <definedName name="dpa703_3_4_1_5">'Ch7'!$AM$277</definedName>
    <definedName name="dpa703_3_4_2">'Ch7'!$AM$279</definedName>
    <definedName name="dpa703_3_5">'Ch7'!$AM$280</definedName>
    <definedName name="dpa703_3_6_1">'Ch7'!$AM$287</definedName>
    <definedName name="dpa703_3_6_2">'Ch7'!$AM$288</definedName>
    <definedName name="dpa703_3_6_3">'Ch7'!$AM$289</definedName>
    <definedName name="dpa703_3_7_1">'Ch7'!$AM$290</definedName>
    <definedName name="dpa703_3_8">'Ch7'!$AM$297</definedName>
    <definedName name="dpa703_4_1">'Ch7'!$AM$303</definedName>
    <definedName name="dpa703_4_2">'Ch7'!$AM$305</definedName>
    <definedName name="dpa703_4_3">'Ch7'!$AM$307</definedName>
    <definedName name="dpa703_4_4_1">'Ch7'!$AM$319</definedName>
    <definedName name="dpa703_4_4_2">'Ch7'!$AM$320</definedName>
    <definedName name="dpa703_4_4_3">'Ch7'!$AM$321</definedName>
    <definedName name="dpa703_5_1_1_a_a">'Ch7'!$AM$327</definedName>
    <definedName name="dpa703_5_1_1_a_b">'Ch7'!$AM$328</definedName>
    <definedName name="dpa703_5_1_1_b_a">'Ch7'!$AM$331</definedName>
    <definedName name="dpa703_5_1_1_b_b">'Ch7'!$AM$332</definedName>
    <definedName name="dpa703_5_1_2_a">'Ch7'!$AM$334</definedName>
    <definedName name="dpa703_5_1_2_b">'Ch7'!$AM$335</definedName>
    <definedName name="dpa703_5_1_3">'Ch7'!$AM$336</definedName>
    <definedName name="dpa703_5_1_4_a">'Ch7'!$AM$338</definedName>
    <definedName name="dpa703_5_1_4_b">'Ch7'!$AM$339</definedName>
    <definedName name="dpa703_5_1_4_c">'Ch7'!$AM$340</definedName>
    <definedName name="dpa703_5_2">'Ch7'!$AM$341</definedName>
    <definedName name="dpa703_5_3">'Ch7'!$AM$343</definedName>
    <definedName name="dpa703_5_4">'Ch7'!$AM$345</definedName>
    <definedName name="dpa703_5_5_1">'Ch7'!$AM$349</definedName>
    <definedName name="dpa703_5_5_2">'Ch7'!$AM$350</definedName>
    <definedName name="dpa703_5_5_3">'Ch7'!$AM$351</definedName>
    <definedName name="dpa703_5_5_4">'Ch7'!$AM$352</definedName>
    <definedName name="dpa703_5_5_5">'Ch7'!$AM$353</definedName>
    <definedName name="dpa703_6_1_1">'Ch7'!$AM$357</definedName>
    <definedName name="dpa703_6_1_2">'Ch7'!$AM$359</definedName>
    <definedName name="dpa703_6_1_3">'Ch7'!$AM$361</definedName>
    <definedName name="dpa703_6_2__1">'Ch7'!$AM$364</definedName>
    <definedName name="dpa703_6_2__2">'Ch7'!$AM$365</definedName>
    <definedName name="dpa703_6_2__3">'Ch7'!$AM$366</definedName>
    <definedName name="dpa703_7_1">'Ch7'!$AM$369</definedName>
    <definedName name="dpa703_7_2">'Ch7'!$AM$397</definedName>
    <definedName name="dpa703_7_3_1">'Ch7'!$AM$401</definedName>
    <definedName name="dpa703_7_3_2">'Ch7'!$AM$402</definedName>
    <definedName name="dpa703_7_4">'Ch7'!$AM$426</definedName>
    <definedName name="dpa705_2_1_1_1">'Ch7'!$AM$465</definedName>
    <definedName name="dpa705_2_1_1_2">'Ch7'!$AM$466</definedName>
    <definedName name="dpa705_2_1_2">'Ch7'!$AM$467</definedName>
    <definedName name="dpa705_2_1_3_1_a">'Ch7'!$AM$472</definedName>
    <definedName name="dpa705_2_1_3_1_b">'Ch7'!$AM$473</definedName>
    <definedName name="dpa705_2_1_3_2_a">'Ch7'!$AM$477</definedName>
    <definedName name="dpa705_2_1_3_2_b">'Ch7'!$AM$478</definedName>
    <definedName name="dpa705_2_1_4_1">'Ch7'!$AM$482</definedName>
    <definedName name="dpa705_2_1_4_2">'Ch7'!$AM$483</definedName>
    <definedName name="dpa705_2_2">'Ch7'!$AM$484</definedName>
    <definedName name="dpa705_2_3">'Ch7'!$AM$487</definedName>
    <definedName name="dpa705_2_4">'Ch7'!$AM$489</definedName>
    <definedName name="dpa705_3">'Ch7'!$AM$492</definedName>
    <definedName name="dpa705_4">'Ch7'!$AM$493</definedName>
    <definedName name="dpa705_5_1">'Ch7'!$AM$497</definedName>
    <definedName name="dpa705_5_2">'Ch7'!$AM$502</definedName>
    <definedName name="dpa705_6_1">'Ch7'!$AM$511</definedName>
    <definedName name="dpa705_6_2_1_1">'Ch7'!$AM$524</definedName>
    <definedName name="dpa705_6_2_1_2">'Ch7'!$AM$525</definedName>
    <definedName name="dpa705_6_2_2">'Ch7'!$AM$528</definedName>
    <definedName name="dpa705_6_2_3_1">'Ch7'!$AM$539</definedName>
    <definedName name="dpa705_6_2_3_2">'Ch7'!$AM$540</definedName>
    <definedName name="dpa705_6_3">'Ch7'!$AM$542</definedName>
    <definedName name="dpa705_6_4_1">'Ch7'!$AM$554</definedName>
    <definedName name="dpa705_6_4_2">'Ch7'!$AM$556</definedName>
    <definedName name="dpa705_7">'Ch7'!$AM$558</definedName>
    <definedName name="dpa706_1">'Ch7'!$AM$563</definedName>
    <definedName name="dpa706_1_1">'Ch7'!$AM$565</definedName>
    <definedName name="dpa706_1_2">'Ch7'!$AM$566</definedName>
    <definedName name="dpa706_1_3">'Ch7'!$AM$567</definedName>
    <definedName name="dpa706_1_4">'Ch7'!$AM$568</definedName>
    <definedName name="dpa706_1_5">'Ch7'!$AM$570</definedName>
    <definedName name="dpa706_2_1">'Ch7'!$AM$573</definedName>
    <definedName name="dpa706_2_2_a">'Ch7'!$AM$579</definedName>
    <definedName name="dpa706_2_2_b">'Ch7'!$AM$581</definedName>
    <definedName name="dpa706_3_a">'Ch7'!$AM$585</definedName>
    <definedName name="dpa706_3_b">'Ch7'!$AM$586</definedName>
    <definedName name="dpa706_4_1_1">'Ch7'!$AM$601</definedName>
    <definedName name="dpa706_4_1_2">'Ch7'!$AM$603</definedName>
    <definedName name="dpa706_4_2">'Ch7'!$AM$605</definedName>
    <definedName name="dpa706_5">'Ch7'!$AM$607</definedName>
    <definedName name="dpa706_6">'Ch7'!$AM$616</definedName>
    <definedName name="dpa706_7_1">'Ch7'!$AM$620</definedName>
    <definedName name="dpa706_7_2">'Ch7'!$AM$621</definedName>
    <definedName name="dpa706_8">'Ch7'!$AM$624</definedName>
    <definedName name="dpa706_9">'Ch7'!$AM$627</definedName>
    <definedName name="dpa801_1_1">'Ch8'!$AM$25</definedName>
    <definedName name="dpa801_1_2">'Ch8'!$AM$27</definedName>
    <definedName name="dpa801_1_3">'Ch8'!$AM$29</definedName>
    <definedName name="dpa801_1_4">'Ch8'!$AM$31</definedName>
    <definedName name="dpa801_1_4_a">'Ch8'!$AM$34</definedName>
    <definedName name="dpa801_1_5">'Ch8'!$AM$36</definedName>
    <definedName name="dpa801_1_6">'Ch8'!$AM$41</definedName>
    <definedName name="dpa801_2_1">'Ch8'!$AM$46</definedName>
    <definedName name="dpa801_2_2">'Ch8'!$AM$47</definedName>
    <definedName name="dpa801_2_3">'Ch8'!$AM$48</definedName>
    <definedName name="dpa801_3_1">'Ch8'!$AM$54</definedName>
    <definedName name="dpa801_3_2_a">'Ch8'!$AM$65</definedName>
    <definedName name="dpa801_3_2_b">'Ch8'!$AM$66</definedName>
    <definedName name="dpa801_3_2_c">'Ch8'!$AM$67</definedName>
    <definedName name="dpa801_3_3">'Ch8'!$AM$68</definedName>
    <definedName name="dpa801_4_1_1">'Ch8'!$AM$73</definedName>
    <definedName name="dpa801_4_1_2">'Ch8'!$AM$77</definedName>
    <definedName name="dpa801_4_2">'Ch8'!$AM$78</definedName>
    <definedName name="dpa801_5_2">'Ch8'!$AM$85</definedName>
    <definedName name="dpa801_5_3">'Ch8'!$AM$91</definedName>
    <definedName name="dpa801_5_4_a">'Ch8'!$AM$94</definedName>
    <definedName name="dpa801_5_4_b">'Ch8'!$AM$98</definedName>
    <definedName name="dpa801_5_4_c">'Ch8'!$AM$100</definedName>
    <definedName name="dpa801_6_1">'Ch8'!$AM$102</definedName>
    <definedName name="dpa801_6_2_1">'Ch8'!$AM$106</definedName>
    <definedName name="dpa801_6_2_2">'Ch8'!$AM$107</definedName>
    <definedName name="dpa801_6_2_3">'Ch8'!$AM$108</definedName>
    <definedName name="dpa801_6_4_1">'Ch8'!$AM$116</definedName>
    <definedName name="dpa801_6_4_2">'Ch8'!$AM$118</definedName>
    <definedName name="dpa801_6_4_3">'Ch8'!$AM$119</definedName>
    <definedName name="dpa801_6_5">'Ch8'!$AM$123</definedName>
    <definedName name="dpa801_7_1_1">'Ch8'!$AM$128</definedName>
    <definedName name="dpa801_7_1_2_a">'Ch8'!$AM$131</definedName>
    <definedName name="dpa801_7_1_2_b">'Ch8'!$AM$132</definedName>
    <definedName name="dpa801_7_1_2_c">'Ch8'!$AM$133</definedName>
    <definedName name="dpa801_7_1_2_d">'Ch8'!$AM$135</definedName>
    <definedName name="dpa801_7_2_1">'Ch8'!$AM$141</definedName>
    <definedName name="dpa801_7_2_2">'Ch8'!$AM$143</definedName>
    <definedName name="dpa801_8">'Ch8'!$AM$144</definedName>
    <definedName name="dpa802_1_1">'Ch8'!$AM$151</definedName>
    <definedName name="dpa802_1_2">'Ch8'!$AM$153</definedName>
    <definedName name="dpa802_2">'Ch8'!$AM$154</definedName>
    <definedName name="dpa802_3">'Ch8'!$AM$157</definedName>
    <definedName name="dpa802_4">'Ch8'!$AM$162</definedName>
    <definedName name="dpa802_5">'Ch8'!$AM$165</definedName>
    <definedName name="dpa802_6">'Ch8'!$AM$167</definedName>
    <definedName name="dpa901_1_1">'Ch9'!$AM$12</definedName>
    <definedName name="dpa901_1_2">'Ch9'!$AM$18</definedName>
    <definedName name="dpa901_1_3_1_a">'Ch9'!$AM$24</definedName>
    <definedName name="dpa901_1_3_1_b">'Ch9'!$AM$25</definedName>
    <definedName name="dpa901_1_3_2_a">'Ch9'!$AM$27</definedName>
    <definedName name="dpa901_1_3_2_b">'Ch9'!$AM$28</definedName>
    <definedName name="dpa901_1_4">'Ch9'!$AM$29</definedName>
    <definedName name="dpa901_1_5">'Ch9'!$AM$33</definedName>
    <definedName name="dpa901_1_6_1">'Ch9'!$AM$37</definedName>
    <definedName name="dpa901_1_6_2">'Ch9'!$AM$38</definedName>
    <definedName name="dpa901_10_1">'Ch9'!$AM$148</definedName>
    <definedName name="dpa901_10_2">'Ch9'!$AM$153</definedName>
    <definedName name="dpa901_10_3">'Ch9'!$AM$154</definedName>
    <definedName name="dpa901_11">'Ch9'!$AM$158</definedName>
    <definedName name="dpa901_12">'Ch9'!$AM$163</definedName>
    <definedName name="dpa901_13_1">'Ch9'!$AM$167</definedName>
    <definedName name="dpa901_13_2">'Ch9'!$AM$168</definedName>
    <definedName name="dpa901_14_1">'Ch9'!$AM$171</definedName>
    <definedName name="dpa901_14_2">'Ch9'!$AM$173</definedName>
    <definedName name="dpa901_2_1_1">'Ch9'!$AM$43</definedName>
    <definedName name="dpa901_2_1_2">'Ch9'!$AM$46</definedName>
    <definedName name="dpa901_2_1_3">'Ch9'!$AM$48</definedName>
    <definedName name="dpa901_2_1_4">'Ch9'!$AM$51</definedName>
    <definedName name="dpa901_2_1_5">'Ch9'!$AM$53</definedName>
    <definedName name="dpa901_2_2">'Ch9'!$AM$54</definedName>
    <definedName name="dpa901_3_1_a">'Ch9'!$AM$58</definedName>
    <definedName name="dpa901_3_1_b">'Ch9'!$AM$60</definedName>
    <definedName name="dpa901_3_1_c">'Ch9'!$AM$61</definedName>
    <definedName name="dpa901_3_2">'Ch9'!$AM$67</definedName>
    <definedName name="dpa901_4">'Ch9'!$AM$68</definedName>
    <definedName name="dpa901_4_1">'Ch9'!$AM$71</definedName>
    <definedName name="dpa901_4_2">'Ch9'!$AM$80</definedName>
    <definedName name="dpa901_4_3">'Ch9'!$AM$82</definedName>
    <definedName name="dpa901_4_4">'Ch9'!$AM$83</definedName>
    <definedName name="dpa901_4_5">'Ch9'!$AM$84</definedName>
    <definedName name="dpa901_4_6">'Ch9'!$AM$86</definedName>
    <definedName name="dpa901_5_1">'Ch9'!$AM$90</definedName>
    <definedName name="dpa901_5_2">'Ch9'!$AM$92</definedName>
    <definedName name="dpa901_6">'Ch9'!$AM$95</definedName>
    <definedName name="dpa901_7">'Ch9'!$AM$97</definedName>
    <definedName name="dpa901_8">'Ch9'!$AM$118</definedName>
    <definedName name="dpa901_9_1">'Ch9'!$AM$127</definedName>
    <definedName name="dpa901_9_2">'Ch9'!$AM$134</definedName>
    <definedName name="dpa901_9_3">'Ch9'!$AM$139</definedName>
    <definedName name="dpa902_1_1_a">'Ch9'!$AM$181</definedName>
    <definedName name="dpa902_1_2">'Ch9'!$AM$188</definedName>
    <definedName name="dpa902_1_2_">'Ch9'!$AM$183</definedName>
    <definedName name="dpa902_1_2_1">'Ch9'!$AM$190</definedName>
    <definedName name="dpa902_1_2_2">'Ch9'!$AM$191</definedName>
    <definedName name="dpa902_1_3">'Ch9'!$AM$192</definedName>
    <definedName name="dpa902_1_3_">'Ch9'!$AM$185</definedName>
    <definedName name="dpa902_1_4">'Ch9'!$AM$196</definedName>
    <definedName name="dpa902_1_4_1">'Ch9'!$AM$197</definedName>
    <definedName name="dpa902_1_4_2">'Ch9'!$AM$199</definedName>
    <definedName name="dpa902_1_5">'Ch9'!$AM$201</definedName>
    <definedName name="dpa902_2_1">'Ch9'!$AM$211</definedName>
    <definedName name="dpa902_2_1_1">'Ch9'!$AM$214</definedName>
    <definedName name="dpa902_2_1_2">'Ch9'!$AM$216</definedName>
    <definedName name="dpa902_2_1_3">'Ch9'!$AM$218</definedName>
    <definedName name="dpa902_2_1_4">'Ch9'!$AM$219</definedName>
    <definedName name="dpa902_2_2">'Ch9'!$AM$220</definedName>
    <definedName name="dpa902_2_3">'Ch9'!$AM$222</definedName>
    <definedName name="dpa902_2_4">'Ch9'!$AM$225</definedName>
    <definedName name="dpa902_3_1">'Ch9'!$AM$230</definedName>
    <definedName name="dpa902_3_1_a">'Ch9'!$AM$231</definedName>
    <definedName name="dpa902_3_1_b">'Ch9'!$AM$232</definedName>
    <definedName name="dpa902_3_2_a">'Ch9'!$AM$234</definedName>
    <definedName name="dpa902_4">'Ch9'!$AM$235</definedName>
    <definedName name="dpa902_5">'Ch9'!$AM$242</definedName>
    <definedName name="dpa902_6">'Ch9'!$AM$244</definedName>
    <definedName name="dpa903_1_1_1">'Ch9'!$AM$249</definedName>
    <definedName name="dpa903_1_2_2">'Ch9'!$AM$251</definedName>
    <definedName name="dpa903_2_1">'Ch9'!$AM$253</definedName>
    <definedName name="dpa903_2_2">'Ch9'!$AM$254</definedName>
    <definedName name="dpa903_3">'Ch9'!$AM$256</definedName>
    <definedName name="dpa904_1">'Ch9'!$AM$264</definedName>
    <definedName name="dpa904_2">'Ch9'!$AM$269</definedName>
    <definedName name="dpa905_1">'Ch9'!$AM$273</definedName>
    <definedName name="dpa905_2">'Ch9'!$AM$278</definedName>
    <definedName name="dpc1001_1">'Ch10'!$AO$12</definedName>
    <definedName name="dpc1002_1">'Ch10'!$AO$78</definedName>
    <definedName name="dpc1002_2">'Ch10'!$AO$96</definedName>
    <definedName name="dpc1002_3">'Ch10'!$AO$123</definedName>
    <definedName name="dpc1003_1">'Ch10'!$AO$165</definedName>
    <definedName name="dpc1004_1_1">'Ch10'!$AO$184</definedName>
    <definedName name="dpc1004_1_2">'Ch10'!$AO$186</definedName>
    <definedName name="dpc501_1">'Ch5'!$AO$15</definedName>
    <definedName name="dpc501_2_1">'Ch5'!$AO$21</definedName>
    <definedName name="dpc501_2_2">'Ch5'!$AO$23</definedName>
    <definedName name="dpc501_2_3">'Ch5'!$AO$25</definedName>
    <definedName name="dpc501_2_4">'Ch5'!$AO$27</definedName>
    <definedName name="dpc501_2_5">'Ch5'!$AO$36</definedName>
    <definedName name="dpc501_2_6">'Ch5'!$AO$39</definedName>
    <definedName name="dpc502_1">'Ch5'!$AO$45</definedName>
    <definedName name="dpc503_1_1">'Ch5'!$AO$56</definedName>
    <definedName name="dpc503_1_2">'Ch5'!$AO$57</definedName>
    <definedName name="dpc503_1_3">'Ch5'!$AO$59</definedName>
    <definedName name="dpc503_1_4">'Ch5'!$AO$61</definedName>
    <definedName name="dpc503_1_5">'Ch5'!$AO$62</definedName>
    <definedName name="dpc503_1_6">'Ch5'!$AO$63</definedName>
    <definedName name="dpc503_1_7">'Ch5'!$AO$65</definedName>
    <definedName name="dpc503_2_1">'Ch5'!$AO$69</definedName>
    <definedName name="dpc503_2_2">'Ch5'!$AO$70</definedName>
    <definedName name="dpc503_2_3">'Ch5'!$AO$72</definedName>
    <definedName name="dpc503_2_4">'Ch5'!$AO$77</definedName>
    <definedName name="dpc503_2_5">'Ch5'!$AO$79</definedName>
    <definedName name="dpc503_3_1">'Ch5'!$AO$83</definedName>
    <definedName name="dpc503_3_2">'Ch5'!$AO$85</definedName>
    <definedName name="dpc503_3_3">'Ch5'!$AO$92</definedName>
    <definedName name="dpc503_4_1">'Ch5'!$AO$100</definedName>
    <definedName name="dpc503_4_2">'Ch5'!$AO$103</definedName>
    <definedName name="dpc503_4_3">'Ch5'!$AO$107</definedName>
    <definedName name="dpc503_4_4">'Ch5'!$AO$114</definedName>
    <definedName name="dpc503_5_1">'Ch5'!$AO$123</definedName>
    <definedName name="dpc503_5_10">'Ch5'!$AO$151</definedName>
    <definedName name="dpc503_5_11">'Ch5'!$AO$153</definedName>
    <definedName name="dpc503_5_12">'Ch5'!$AO$155</definedName>
    <definedName name="dpc503_5_2">'Ch5'!$AO$129</definedName>
    <definedName name="dpc503_5_3">'Ch5'!$AO$131</definedName>
    <definedName name="dpc503_5_4">'Ch5'!$AO$133</definedName>
    <definedName name="dpc503_5_5">'Ch5'!$AO$135</definedName>
    <definedName name="dpc503_5_6">'Ch5'!$AO$140</definedName>
    <definedName name="dpc503_5_7">'Ch5'!$AO$141</definedName>
    <definedName name="dpc503_5_8">'Ch5'!$AO$146</definedName>
    <definedName name="dpc503_5_9">'Ch5'!$AO$148</definedName>
    <definedName name="dpc503_6_1">'Ch5'!$AO$159</definedName>
    <definedName name="dpc503_6_2">'Ch5'!$AO$160</definedName>
    <definedName name="dpc503_6_3">'Ch5'!$AO$161</definedName>
    <definedName name="dpc503_6_4">'Ch5'!$AO$163</definedName>
    <definedName name="dpc503_7_1">'Ch5'!$AO$166</definedName>
    <definedName name="dpc503_7_2">'Ch5'!$AO$168</definedName>
    <definedName name="dpc503_8">'Ch5'!$AO$170</definedName>
    <definedName name="dpc504_1">'Ch5'!$AO$178</definedName>
    <definedName name="dpc504_2_1">'Ch5'!$AO$185</definedName>
    <definedName name="dpc504_2_2">'Ch5'!$AO$186</definedName>
    <definedName name="dpc504_2_3">'Ch5'!$AO$188</definedName>
    <definedName name="dpc504_3_1">'Ch5'!$AO$193</definedName>
    <definedName name="dpc504_3_2">'Ch5'!$AO$195</definedName>
    <definedName name="dpc504_3_3">'Ch5'!$AO$196</definedName>
    <definedName name="dpc504_3_4">'Ch5'!$AO$198</definedName>
    <definedName name="dpc504_3_5">'Ch5'!$AO$200</definedName>
    <definedName name="dpc504_3_6">'Ch5'!$AO$204</definedName>
    <definedName name="dpc504_3_7">'Ch5'!$AO$207</definedName>
    <definedName name="dpc504_3_8">'Ch5'!$AO$208</definedName>
    <definedName name="dpc504_3_9">'Ch5'!$AO$216</definedName>
    <definedName name="dpc505_1_1">'Ch5'!$AO$223</definedName>
    <definedName name="dpc505_1_2">'Ch5'!$AO$225</definedName>
    <definedName name="dpc505_1_3">'Ch5'!$AO$226</definedName>
    <definedName name="dpc505_1_4">'Ch5'!$AO$230</definedName>
    <definedName name="dpc505_2_1">'Ch5'!$AO$236</definedName>
    <definedName name="dpc505_2_2">'Ch5'!$AO$246</definedName>
    <definedName name="dpc505_3">'Ch5'!$AO$249</definedName>
    <definedName name="dpc505_4">'Ch5'!$AO$255</definedName>
    <definedName name="dpc505_5">'Ch5'!$AO$256</definedName>
    <definedName name="dpc505_6">'Ch5'!$AO$258</definedName>
    <definedName name="dpc601_1">'Ch6'!$AO$13</definedName>
    <definedName name="dpc601_2_1">'Ch6'!$AO$29</definedName>
    <definedName name="dpc601_2_2">'Ch6'!$AO$32</definedName>
    <definedName name="dpc601_2_3">'Ch6'!$AO$35</definedName>
    <definedName name="dpc601_3_1">'Ch6'!$AO$39</definedName>
    <definedName name="dpc601_3_2">'Ch6'!$AO$40</definedName>
    <definedName name="dpc601_3_3">'Ch6'!$AO$41</definedName>
    <definedName name="dpc601_3_4">'Ch6'!$AO$42</definedName>
    <definedName name="dpc601_3_5">'Ch6'!$AO$43</definedName>
    <definedName name="dpc601_4">'Ch6'!$AO$44</definedName>
    <definedName name="dpc601_5_1">'Ch6'!$AO$50</definedName>
    <definedName name="dpc601_5_2">'Ch6'!$AO$51</definedName>
    <definedName name="dpc601_5_3">'Ch6'!$AO$52</definedName>
    <definedName name="dpc601_5_4">'Ch6'!$AO$53</definedName>
    <definedName name="dpc601_5_5">'Ch6'!$AO$54</definedName>
    <definedName name="dpc601_6">'Ch6'!$AO$55</definedName>
    <definedName name="dpc601_7">'Ch6'!$AO$60</definedName>
    <definedName name="dpc601_8">'Ch6'!$AO$78</definedName>
    <definedName name="dpc601_9">'Ch6'!$AO$86</definedName>
    <definedName name="dpc602_1_1_2">'Ch6'!$AO$100</definedName>
    <definedName name="dpc602_1_10">'Ch6'!$AO$196</definedName>
    <definedName name="dpc602_1_12">'Ch6'!$AO$211</definedName>
    <definedName name="dpc602_1_14_1">'Ch6'!$AO$220</definedName>
    <definedName name="dpc602_1_14_2">'Ch6'!$AO$222</definedName>
    <definedName name="dpc602_1_14_3">'Ch6'!$AO$223</definedName>
    <definedName name="dpc602_1_2">'Ch6'!$AO$102</definedName>
    <definedName name="dpc602_1_3_2">'Ch6'!$AO$109</definedName>
    <definedName name="dpc602_1_4_1_1">'Ch6'!$AO$115</definedName>
    <definedName name="dpc602_1_4_2_1">'Ch6'!$AO$121</definedName>
    <definedName name="dpc602_1_5_1">'Ch6'!$AO$127</definedName>
    <definedName name="dpc602_1_5_2">'Ch6'!$AO$129</definedName>
    <definedName name="dpc602_1_6_1">'Ch6'!$AO$135</definedName>
    <definedName name="dpc602_1_6_2">'Ch6'!$AO$139</definedName>
    <definedName name="dpc602_1_6_3">'Ch6'!$AO$143</definedName>
    <definedName name="dpc602_1_7_1_1">'Ch6'!$AO$148</definedName>
    <definedName name="dpc602_1_7_1_2">'Ch6'!$AO$150</definedName>
    <definedName name="dpc602_1_7_1_3">'Ch6'!$AO$153</definedName>
    <definedName name="dpc602_1_7_2">'Ch6'!$AO$155</definedName>
    <definedName name="dpc602_1_7_3">'Ch6'!$AO$157</definedName>
    <definedName name="dpc602_1_9_2">'Ch6'!$AO$179</definedName>
    <definedName name="dpc602_1_9_3">'Ch6'!$AO$182</definedName>
    <definedName name="dpc602_1_9_4">'Ch6'!$AO$183</definedName>
    <definedName name="dpc602_1_9_5">'Ch6'!$AO$187</definedName>
    <definedName name="dpc602_1_9_6">'Ch6'!$AO$193</definedName>
    <definedName name="dpc602_1_9_7">'Ch6'!$AO$195</definedName>
    <definedName name="dpc602_2">'Ch6'!$AO$224</definedName>
    <definedName name="dpc602_3">'Ch6'!$AO$234</definedName>
    <definedName name="dpc602_4_2">'Ch6'!$AO$243</definedName>
    <definedName name="dpc602_4_3">'Ch6'!$AO$245</definedName>
    <definedName name="dpc603_1">'Ch6'!$AO$249</definedName>
    <definedName name="dpc603_2">'Ch6'!$AO$255</definedName>
    <definedName name="dpc603_3">'Ch6'!$AO$262</definedName>
    <definedName name="dpc604_1a">'Ch6'!$AO$266</definedName>
    <definedName name="dpc605_1">'Ch6'!$AO$278</definedName>
    <definedName name="dpc605_2">'Ch6'!$AO$293</definedName>
    <definedName name="dpc605_3">'Ch6'!$AO$302</definedName>
    <definedName name="dpc606_1">'Ch6'!$AO$318</definedName>
    <definedName name="dpc606_2_1a">'Ch6'!$AO$346</definedName>
    <definedName name="dpc606_2_2a">'Ch6'!$AO$349</definedName>
    <definedName name="dpc606_3">'Ch6'!$AO$352</definedName>
    <definedName name="dpc607_1_1">'Ch6'!$AO$361</definedName>
    <definedName name="dpc607_1_2">'Ch6'!$AO$363</definedName>
    <definedName name="dpc607_2">'Ch6'!$AO$364</definedName>
    <definedName name="dpc608_1">'Ch6'!$AO$367</definedName>
    <definedName name="dpc609_1a">'Ch6'!$AO$376</definedName>
    <definedName name="dpc610_1_1_1">'Ch6'!$AO$392</definedName>
    <definedName name="dpc610_1_1_2">'Ch6'!$AO$401</definedName>
    <definedName name="dpc610_1_1_3">'Ch6'!$AO$408</definedName>
    <definedName name="dpc610_1_2">'Ch6'!$AO$410</definedName>
    <definedName name="dpc611_1">'Ch6'!$AO$453</definedName>
    <definedName name="dpc611_2">'Ch6'!$AO$461</definedName>
    <definedName name="dpc611_3">'Ch6'!$AO$472</definedName>
    <definedName name="dpc611_4">'Ch6'!$AO$497</definedName>
    <definedName name="dpc701_1_4">'Ch7'!$AO$22</definedName>
    <definedName name="dpc702_2_2">'Ch7'!$AO$144</definedName>
    <definedName name="dpc703_1">'Ch7'!$AO$156</definedName>
    <definedName name="dpc703_2_1">'Ch7'!$AO$176</definedName>
    <definedName name="dpc703_2_2">'Ch7'!$AO$183</definedName>
    <definedName name="dpc703_2_3">'Ch7'!$AO$185</definedName>
    <definedName name="dpc703_2_4">'Ch7'!$AO$188</definedName>
    <definedName name="dpc703_2_5_2">'Ch7'!$AO$207</definedName>
    <definedName name="dpc703_3_1">'Ch7'!$AO$237</definedName>
    <definedName name="dpc703_3_2__1">'Ch7'!$AO$243</definedName>
    <definedName name="dpc703_3_2__2">'Ch7'!$AO$249</definedName>
    <definedName name="dpc703_3_2__3">'Ch7'!$AO$252</definedName>
    <definedName name="dpc703_3_2__4">'Ch7'!$AO$257</definedName>
    <definedName name="dpc703_3_3__1">'Ch7'!$AO$263</definedName>
    <definedName name="dpc703_3_3__3">'Ch7'!$AO$268</definedName>
    <definedName name="dpc703_3_4_1">'Ch7'!$AO$272</definedName>
    <definedName name="dpc703_3_4_1_5">'Ch7'!$AO$277</definedName>
    <definedName name="dpc703_3_4_2">'Ch7'!$AO$279</definedName>
    <definedName name="dpc703_3_5">'Ch7'!$AO$280</definedName>
    <definedName name="dpc703_3_6">'Ch7'!$AO$284</definedName>
    <definedName name="dpc703_3_7_1">'Ch7'!$AO$290</definedName>
    <definedName name="dpc703_3_8">'Ch7'!$AO$297</definedName>
    <definedName name="dpc703_4_1">'Ch7'!$AO$303</definedName>
    <definedName name="dpc703_4_2">'Ch7'!$AO$305</definedName>
    <definedName name="dpc703_4_3">'Ch7'!$AO$307</definedName>
    <definedName name="dpc703_4_4">'Ch7'!$AO$313</definedName>
    <definedName name="dpc703_5_1_1_a">'Ch7'!$AO$326</definedName>
    <definedName name="dpc703_5_1_1_b">'Ch7'!$AO$329</definedName>
    <definedName name="dpc703_5_1_2_a">'Ch7'!$AO$334</definedName>
    <definedName name="dpc703_5_1_2_b">'Ch7'!$AO$335</definedName>
    <definedName name="dpc703_5_1_3">'Ch7'!$AO$336</definedName>
    <definedName name="dpc703_5_1_4">'Ch7'!$AO$337</definedName>
    <definedName name="dpc703_5_2">'Ch7'!$AO$341</definedName>
    <definedName name="dpc703_5_3">'Ch7'!$AO$343</definedName>
    <definedName name="dpc703_5_4">'Ch7'!$AO$345</definedName>
    <definedName name="dpc703_5_5">'Ch7'!$AO$346</definedName>
    <definedName name="dpc703_6_1_1">'Ch7'!$AO$357</definedName>
    <definedName name="dpc703_6_1_2">'Ch7'!$AO$359</definedName>
    <definedName name="dpc703_6_1_3">'Ch7'!$AO$361</definedName>
    <definedName name="dpc703_6_2__1">'Ch7'!$AO$364</definedName>
    <definedName name="dpc703_6_2__2">'Ch7'!$AO$365</definedName>
    <definedName name="dpc703_6_2__3">'Ch7'!$AO$366</definedName>
    <definedName name="dpc703_7_1">'Ch7'!$AO$369</definedName>
    <definedName name="dpc703_7_2">'Ch7'!$AO$397</definedName>
    <definedName name="dpc703_7_3">'Ch7'!$AO$399</definedName>
    <definedName name="dpc703_7_4">'Ch7'!$AO$426</definedName>
    <definedName name="dpc704_1">'Ch7'!$AO$450</definedName>
    <definedName name="dpc705_2_1_1">'Ch7'!$AO$463</definedName>
    <definedName name="dpc705_2_1_2">'Ch7'!$AO$467</definedName>
    <definedName name="dpc705_2_1_3_1">'Ch7'!$AO$470</definedName>
    <definedName name="dpc705_2_1_3_2">'Ch7'!$AO$474</definedName>
    <definedName name="dpc705_2_1_4">'Ch7'!$AO$479</definedName>
    <definedName name="dpc705_2_2">'Ch7'!$AO$484</definedName>
    <definedName name="dpc705_2_3">'Ch7'!$AO$487</definedName>
    <definedName name="dpc705_2_4">'Ch7'!$AO$489</definedName>
    <definedName name="dpc705_3">'Ch7'!$AO$492</definedName>
    <definedName name="dpc705_4">'Ch7'!$AO$493</definedName>
    <definedName name="dpc705_5_1">'Ch7'!$AO$497</definedName>
    <definedName name="dpc705_5_2">'Ch7'!$AO$502</definedName>
    <definedName name="dpc705_6_1">'Ch7'!$AO$511</definedName>
    <definedName name="dpc705_6_2_1_1">'Ch7'!$AO$524</definedName>
    <definedName name="dpc705_6_2_1_2">'Ch7'!$AO$525</definedName>
    <definedName name="dpc705_6_2_2">'Ch7'!$AO$528</definedName>
    <definedName name="dpc705_6_2_3">'Ch7'!$AO$536</definedName>
    <definedName name="dpc705_6_3">'Ch7'!$AO$542</definedName>
    <definedName name="dpc705_6_4_1">'Ch7'!$AO$554</definedName>
    <definedName name="dpc705_6_4_2">'Ch7'!$AO$556</definedName>
    <definedName name="dpc705_7">'Ch7'!$AO$558</definedName>
    <definedName name="dpc706_1">'Ch7'!$AO$563</definedName>
    <definedName name="dpc706_2_1">'Ch7'!$AO$573</definedName>
    <definedName name="dpc706_2_2">'Ch7'!$AO$576</definedName>
    <definedName name="dpc706_3">'Ch7'!$AO$583</definedName>
    <definedName name="dpc706_4_1_1">'Ch7'!$AO$601</definedName>
    <definedName name="dpc706_4_1_2">'Ch7'!$AO$603</definedName>
    <definedName name="dpc706_4_2">'Ch7'!$AO$605</definedName>
    <definedName name="dpc706_5">'Ch7'!$AO$607</definedName>
    <definedName name="dpc706_6">'Ch7'!$AO$616</definedName>
    <definedName name="dpc706_7_1">'Ch7'!$AO$620</definedName>
    <definedName name="dpc706_7_2">'Ch7'!$AO$621</definedName>
    <definedName name="dpc706_8">'Ch7'!$AO$624</definedName>
    <definedName name="dpc706_9">'Ch7'!$AO$627</definedName>
    <definedName name="dpc801_1">'Ch8'!$AO$11</definedName>
    <definedName name="dpc801_1_6">'Ch8'!$AO$41</definedName>
    <definedName name="dpc801_2_1">'Ch8'!$AO$46</definedName>
    <definedName name="dpc801_2_2">'Ch8'!$AO$47</definedName>
    <definedName name="dpc801_3_1">'Ch8'!$AO$54</definedName>
    <definedName name="dpc801_3_2">'Ch8'!$AO$63</definedName>
    <definedName name="dpc801_3_3">'Ch8'!$AO$68</definedName>
    <definedName name="dpc801_4_1_1">'Ch8'!$AO$73</definedName>
    <definedName name="dpc801_4_1_2">'Ch8'!$AO$77</definedName>
    <definedName name="dpc801_4_2">'Ch8'!$AO$78</definedName>
    <definedName name="dpc801_5_2">'Ch8'!$AO$85</definedName>
    <definedName name="dpc801_5_3">'Ch8'!$AO$91</definedName>
    <definedName name="dpc801_5_4_a">'Ch8'!$AO$94</definedName>
    <definedName name="dpc801_5_4_b">'Ch8'!$AO$98</definedName>
    <definedName name="dpc801_5_4_c">'Ch8'!$AO$100</definedName>
    <definedName name="dpc801_6_1">'Ch8'!$AO$102</definedName>
    <definedName name="dpc801_6_2_1">'Ch8'!$AO$106</definedName>
    <definedName name="dpc801_6_2_2">'Ch8'!$AO$107</definedName>
    <definedName name="dpc801_6_2_3">'Ch8'!$AO$108</definedName>
    <definedName name="dpc801_6_4_1">'Ch8'!$AO$116</definedName>
    <definedName name="dpc801_6_4_3">'Ch8'!$AO$119</definedName>
    <definedName name="dpc801_6_5">'Ch8'!$AO$123</definedName>
    <definedName name="dpc801_7_1">'Ch8'!$AO$127</definedName>
    <definedName name="dpc801_7_2">'Ch8'!$AO$138</definedName>
    <definedName name="dpc801_8">'Ch8'!$AO$144</definedName>
    <definedName name="dpc802_1">'Ch8'!$AO$147</definedName>
    <definedName name="dpc802_2">'Ch8'!$AO$154</definedName>
    <definedName name="dpc802_3">'Ch8'!$AO$157</definedName>
    <definedName name="dpc802_4">'Ch8'!$AO$162</definedName>
    <definedName name="dpc802_5">'Ch8'!$AO$165</definedName>
    <definedName name="dpc802_6">'Ch8'!$AO$167</definedName>
    <definedName name="dpc901_1_1">'Ch9'!$AO$12</definedName>
    <definedName name="dpc901_1_2">'Ch9'!$AO$18</definedName>
    <definedName name="dpc901_1_3_1">'Ch9'!$AO$23</definedName>
    <definedName name="dpc901_1_3_2">'Ch9'!$AO$26</definedName>
    <definedName name="dpc901_1_5">'Ch9'!$AO$33</definedName>
    <definedName name="dpc901_1_6">'Ch9'!$AO$36</definedName>
    <definedName name="dpc901_10">'Ch9'!$AO$145</definedName>
    <definedName name="dpc901_11">'Ch9'!$AO$158</definedName>
    <definedName name="dpc901_13">'Ch9'!$AO$165</definedName>
    <definedName name="dpc901_14_1">'Ch9'!$AO$171</definedName>
    <definedName name="dpc901_14_2">'Ch9'!$AO$173</definedName>
    <definedName name="dpc901_2_1_1">'Ch9'!$AO$42</definedName>
    <definedName name="dpc901_2_1_2">'Ch9'!$AO$45</definedName>
    <definedName name="dpc901_2_1_3">'Ch9'!$AO$47</definedName>
    <definedName name="dpc901_2_1_4">'Ch9'!$AO$50</definedName>
    <definedName name="dpc901_2_1_5">'Ch9'!$AO$52</definedName>
    <definedName name="dpc901_2_2">'Ch9'!$AO$54</definedName>
    <definedName name="dpc901_3_1_a">'Ch9'!$AO$57</definedName>
    <definedName name="dpc901_3_1_b">'Ch9'!$AO$59</definedName>
    <definedName name="dpc901_3_1_c">'Ch9'!$AO$61</definedName>
    <definedName name="dpc901_3_2">'Ch9'!$AO$67</definedName>
    <definedName name="dpc901_4">'Ch9'!$AO$68</definedName>
    <definedName name="dpc901_5_1">'Ch9'!$AO$90</definedName>
    <definedName name="dpc901_5_2">'Ch9'!$AO$92</definedName>
    <definedName name="dpc901_7">'Ch9'!$AO$97</definedName>
    <definedName name="dpc901_8">'Ch9'!$AO$118</definedName>
    <definedName name="dpc901_9_1">'Ch9'!$AO$127</definedName>
    <definedName name="dpc901_9_2">'Ch9'!$AO$134</definedName>
    <definedName name="dpc901_9_3">'Ch9'!$AO$139</definedName>
    <definedName name="dpc902_1_1_a">'Ch9'!$AO$181</definedName>
    <definedName name="dpc902_1_2">'Ch9'!$AO$188</definedName>
    <definedName name="dpc902_1_3">'Ch9'!$AO$192</definedName>
    <definedName name="dpc902_1_3_">'Ch9'!$AO$185</definedName>
    <definedName name="dpc902_1_4">'Ch9'!$AO$196</definedName>
    <definedName name="dpc902_1_5">'Ch9'!$AO$201</definedName>
    <definedName name="dpc902_2_1">'Ch9'!$AO$211</definedName>
    <definedName name="dpc902_2_2">'Ch9'!$AO$220</definedName>
    <definedName name="dpc902_2_3">'Ch9'!$AO$222</definedName>
    <definedName name="dpc902_2_4">'Ch9'!$AO$225</definedName>
    <definedName name="dpc902_3_1">'Ch9'!$AO$230</definedName>
    <definedName name="dpc902_3_2_a">'Ch9'!$AO$234</definedName>
    <definedName name="dpc902_4">'Ch9'!$AO$235</definedName>
    <definedName name="dpc902_5">'Ch9'!$AO$242</definedName>
    <definedName name="dpc903_1">'Ch9'!$AO$248</definedName>
    <definedName name="dpc903_2">'Ch9'!$AO$252</definedName>
    <definedName name="dpc903_3">'Ch9'!$AO$256</definedName>
    <definedName name="dpc904_1">'Ch9'!$AO$264</definedName>
    <definedName name="dpc904_2">'Ch9'!$AO$269</definedName>
    <definedName name="dpc905_1">'Ch9'!$AO$273</definedName>
    <definedName name="dpc905_2">'Ch9'!$AO$278</definedName>
    <definedName name="dstAGFloorArea">'Overview (Design)'!$G$20</definedName>
    <definedName name="dstAttachedGarage">'Overview (Design)'!$G$46</definedName>
    <definedName name="dstAttic">'Overview (Design)'!$G$45</definedName>
    <definedName name="dstBuilderName">'Overview (Design)'!$G$8</definedName>
    <definedName name="dstBuildingCode">'Overview (Design)'!$G$58</definedName>
    <definedName name="dstCDucts">'Overview (Design)'!$G$37</definedName>
    <definedName name="dstCity">'Overview (Design)'!$G$11</definedName>
    <definedName name="dstCool1">'Overview (Design)'!$G$34</definedName>
    <definedName name="dstCool2">'Overview (Design)'!$G$35</definedName>
    <definedName name="dstCool3">'Overview (Design)'!$G$36</definedName>
    <definedName name="dstCounty">'Overview (Design)'!$G$13</definedName>
    <definedName name="dstCToilet">'Overview (Design)'!$G$55</definedName>
    <definedName name="dstDesigner">'Overview (Design)'!$G$60</definedName>
    <definedName name="dstDuctless">'Overview (Design)'!$G$52</definedName>
    <definedName name="dstEnergyCode">'Overview (Design)'!$G$57</definedName>
    <definedName name="dstFloors">'Overview (Design)'!$G$22</definedName>
    <definedName name="dstFoundation">'Overview (Design)'!$G$27</definedName>
    <definedName name="dstFuel">'Overview (Design)'!$G$32</definedName>
    <definedName name="dstHDucts">'Overview (Design)'!$G$33</definedName>
    <definedName name="dstHeat1">'Overview (Design)'!$G$29</definedName>
    <definedName name="dstHeat2">'Overview (Design)'!$G$30</definedName>
    <definedName name="dstHeat3">'Overview (Design)'!$G$31</definedName>
    <definedName name="dstHERS">'Overview (Design)'!$G$26</definedName>
    <definedName name="dstHomeAddress">'Overview (Design)'!$G$9</definedName>
    <definedName name="dstLot">'Overview (Design)'!$G$10</definedName>
    <definedName name="dstMassWalls">'Overview (Design)'!$G$51</definedName>
    <definedName name="dstPassiveSolar">'Overview (Design)'!$G$50</definedName>
    <definedName name="dstProjectDesc">'Overview (Design)'!$G$24</definedName>
    <definedName name="dstProjectName">'Overview (Design)'!$G$18</definedName>
    <definedName name="dstRadiantHydronic">'Overview (Design)'!$G$53</definedName>
    <definedName name="dstRecessedLighting">'Overview (Design)'!$G$47</definedName>
    <definedName name="dstRenewable">'Overview (Design)'!$G$43</definedName>
    <definedName name="dstSingleOrMulti">'Overview (Design)'!$G$16</definedName>
    <definedName name="dstsSHGC">'Overview (Design)'!$G$40</definedName>
    <definedName name="dstState">'Overview (Design)'!$G$12</definedName>
    <definedName name="dstsUV">'Overview (Design)'!$G$42</definedName>
    <definedName name="dstTCFloorArea">'Overview (Design)'!$G$21</definedName>
    <definedName name="dstTEInsulation">'Overview (Design)'!$G$44</definedName>
    <definedName name="dstTLWH">'Overview (Design)'!$G$54</definedName>
    <definedName name="dstUnits">'Overview (Design)'!$G$17</definedName>
    <definedName name="dstwdSHGC">'Overview (Design)'!$G$39</definedName>
    <definedName name="dstwdUV">'Overview (Design)'!$G$41</definedName>
    <definedName name="dstZIP">'Overview (Design)'!$G$14</definedName>
    <definedName name="fsgBatchID">'Final Sig.'!$E$100</definedName>
    <definedName name="fsgBatchSubmissiongFinalAddress1">'Final Sig.'!$C$104</definedName>
    <definedName name="fsgBatchSubmissiongFinalAddress10">'Final Sig.'!$C$113</definedName>
    <definedName name="fsgBatchSubmissiongFinalAddress2">'Final Sig.'!$C$105</definedName>
    <definedName name="fsgBatchSubmissiongFinalAddress3">'Final Sig.'!$C$106</definedName>
    <definedName name="fsgBatchSubmissiongFinalAddress4">'Final Sig.'!$C$107</definedName>
    <definedName name="fsgBatchSubmissiongFinalAddress5">'Final Sig.'!$C$108</definedName>
    <definedName name="fsgBatchSubmissiongFinalAddress6">'Final Sig.'!$C$109</definedName>
    <definedName name="fsgBatchSubmissiongFinalAddress7">'Final Sig.'!$C$110</definedName>
    <definedName name="fsgBatchSubmissiongFinalAddress8">'Final Sig.'!$C$111</definedName>
    <definedName name="fsgBatchSubmissiongFinalAddress9">'Final Sig.'!$C$112</definedName>
    <definedName name="fsgBatchSubmissiongInspectionDate1">'Final Sig.'!$I$104</definedName>
    <definedName name="fsgBatchSubmissiongInspectionDate10">'Final Sig.'!$I$113</definedName>
    <definedName name="fsgBatchSubmissiongInspectionDate2">'Final Sig.'!$I$105</definedName>
    <definedName name="fsgBatchSubmissiongInspectionDate3">'Final Sig.'!$I$106</definedName>
    <definedName name="fsgBatchSubmissiongInspectionDate4">'Final Sig.'!$I$107</definedName>
    <definedName name="fsgBatchSubmissiongInspectionDate5">'Final Sig.'!$I$108</definedName>
    <definedName name="fsgBatchSubmissiongInspectionDate6">'Final Sig.'!$I$109</definedName>
    <definedName name="fsgBatchSubmissiongInspectionDate7">'Final Sig.'!$I$110</definedName>
    <definedName name="fsgBatchSubmissiongInspectionDate8">'Final Sig.'!$I$111</definedName>
    <definedName name="fsgBatchSubmissiongInspectionDate9">'Final Sig.'!$I$112</definedName>
    <definedName name="fsgBuilderCertificateDeliveryMethod">'Final Sig.'!$G$47</definedName>
    <definedName name="fsgBuilderCertificateSendToEntity">'Final Sig.'!$G$51</definedName>
    <definedName name="fsgBuilderComments">'Final Sig.'!$C$41</definedName>
    <definedName name="fsgBuilderDate">'Final Sig.'!$C$51</definedName>
    <definedName name="fsgBuilderEmail">'Final Sig.'!$C$47</definedName>
    <definedName name="fsgBuilderName">'Final Sig.'!$C$45</definedName>
    <definedName name="fsgBuilderPhone">'Final Sig.'!$C$49</definedName>
    <definedName name="fsgBuilderRepSignature">'Final Sig.'!$C$38</definedName>
    <definedName name="fsgBuilderSignatureRelease">'Final Sig.'!$G$38</definedName>
    <definedName name="fsgRemoveBatchAddress1">'Final Sig.'!$M$104</definedName>
    <definedName name="fsgRemoveBatchAddress10">'Final Sig.'!$M$113</definedName>
    <definedName name="fsgRemoveBatchAddress2">'Final Sig.'!$M$105</definedName>
    <definedName name="fsgRemoveBatchAddress3">'Final Sig.'!$M$106</definedName>
    <definedName name="fsgRemoveBatchAddress4">'Final Sig.'!$M$107</definedName>
    <definedName name="fsgRemoveBatchAddress5">'Final Sig.'!$M$108</definedName>
    <definedName name="fsgRemoveBatchAddress6">'Final Sig.'!$M$109</definedName>
    <definedName name="fsgRemoveBatchAddress7">'Final Sig.'!$M$110</definedName>
    <definedName name="fsgRemoveBatchAddress8">'Final Sig.'!$M$111</definedName>
    <definedName name="fsgRemoveBatchAddress9">'Final Sig.'!$M$112</definedName>
    <definedName name="fsgTeamVerifierElementsVerified1">'Final Sig.'!$E$92</definedName>
    <definedName name="fsgTeamVerifierElementsVerified2">'Final Sig.'!$E$93</definedName>
    <definedName name="fsgTeamVerifierElementsVerified3">'Final Sig.'!$E$94</definedName>
    <definedName name="fsgTeamVerifierElementsVerified4">'Final Sig.'!$E$95</definedName>
    <definedName name="fsgTeamVerifierElementsVerified5">'Final Sig.'!$E$96</definedName>
    <definedName name="fsgTeamVerifierInspectionDate1">'Final Sig.'!$G$92</definedName>
    <definedName name="fsgTeamVerifierInspectionDate2">'Final Sig.'!$G$93</definedName>
    <definedName name="fsgTeamVerifierInspectionDate3">'Final Sig.'!$G$94</definedName>
    <definedName name="fsgTeamVerifierInspectionDate4">'Final Sig.'!$G$95</definedName>
    <definedName name="fsgTeamVerifierInspectionDate5">'Final Sig.'!$G$96</definedName>
    <definedName name="fsgTeamVerifierName1">'Final Sig.'!$C$92</definedName>
    <definedName name="fsgTeamVerifierName2">'Final Sig.'!$C$93</definedName>
    <definedName name="fsgTeamVerifierName3">'Final Sig.'!$C$94</definedName>
    <definedName name="fsgTeamVerifierName4">'Final Sig.'!$C$95</definedName>
    <definedName name="fsgTeamVerifierName5">'Final Sig.'!$C$96</definedName>
    <definedName name="fsgTeamVerifierRole1">'Final Sig.'!$D$92</definedName>
    <definedName name="fsgTeamVerifierRole2">'Final Sig.'!$D$93</definedName>
    <definedName name="fsgTeamVerifierRole3">'Final Sig.'!$D$94</definedName>
    <definedName name="fsgTeamVerifierRole4">'Final Sig.'!$D$95</definedName>
    <definedName name="fsgTeamVerifierRole5">'Final Sig.'!$D$96</definedName>
    <definedName name="fsgVerifierComments">'Final Sig.'!$C$69</definedName>
    <definedName name="fsgVerifierDate">'Final Sig.'!$C$83</definedName>
    <definedName name="fsgVerifierEmail">'Final Sig.'!$C$75</definedName>
    <definedName name="fsgVerifierEndTime">'Final Sig.'!$C$81</definedName>
    <definedName name="fsgVerifierExpectedCertificationsLevel">'Final Sig.'!$C$63</definedName>
    <definedName name="fsgVerifierName">'Final Sig.'!$C$73</definedName>
    <definedName name="fsgVerifierPhone">'Final Sig.'!$C$77</definedName>
    <definedName name="fsgVerifierServiceDisclosure">'Final Sig.'!$C$60</definedName>
    <definedName name="fsgVerifierServiceDisclosureOtherDesc">'Final Sig.'!$F$59</definedName>
    <definedName name="fsgVerifierSign">'Final Sig.'!$C$66</definedName>
    <definedName name="fsgVerifierStartTime">'Final Sig.'!$C$79</definedName>
    <definedName name="GoalLevel">'Verification Report'!$L$1</definedName>
    <definedName name="hidCh10ErrorsMsg">'Ch10'!$X$3</definedName>
    <definedName name="hidCh10MandatoryMsg">'Ch10'!$X$2</definedName>
    <definedName name="hidCh10OverviewMsg">'Ch10'!$X$1</definedName>
    <definedName name="hidCh5ErrorsMsg">'Ch5'!$X$3</definedName>
    <definedName name="hidCh5MandatoryMsg">'Ch5'!$X$2</definedName>
    <definedName name="hidCh5OverviewMsg">'Ch5'!$X$1</definedName>
    <definedName name="hidCh6ErrorsMsg">'Ch6'!$X$3</definedName>
    <definedName name="hidCh6MandatoryMsg">'Ch6'!$X$2</definedName>
    <definedName name="hidCh6OverviewMsg">'Ch6'!$X$1</definedName>
    <definedName name="hidCh7ErrorsMsg">'Ch7'!$X$3</definedName>
    <definedName name="hidCh7MandatoryMsg">'Ch7'!$X$2</definedName>
    <definedName name="hidCh7OverviewMsg">'Ch7'!$X$1</definedName>
    <definedName name="hidCh8ErrorsMsg">'Ch8'!$X$3</definedName>
    <definedName name="hidCh8MandatoryMsg">'Ch8'!$X$2</definedName>
    <definedName name="hidCh8OverviewMsg">'Ch8'!$X$1</definedName>
    <definedName name="hidCh9ErrorsMsg">'Ch9'!$X$3</definedName>
    <definedName name="hidCh9MandatoryMsg">'Ch9'!$X$2</definedName>
    <definedName name="hidCh9OverviewMsg">'Ch9'!$X$1</definedName>
    <definedName name="hidFSMandatoryMsg">'Final Sig.'!$F$18</definedName>
    <definedName name="hidFSOverviewMsg">'Final Sig.'!$C$18</definedName>
    <definedName name="hidODClimateFormula">'Overview (Design)'!$N$13</definedName>
    <definedName name="hidODClimateLabel">'Overview (Design)'!$N$12</definedName>
    <definedName name="hidODCountyFormula">'Overview (Design)'!$L$13</definedName>
    <definedName name="hidODCountyLabel">'Overview (Design)'!$L$12</definedName>
    <definedName name="hidODMoistFormula">'Overview (Design)'!$O$13</definedName>
    <definedName name="hidODMoistLabel">'Overview (Design)'!$O$12</definedName>
    <definedName name="hidODNumberUnitsLabel">'Overview (Design)'!$A$17</definedName>
    <definedName name="hidODProjectNameLabel">'Overview (Design)'!$A$18</definedName>
    <definedName name="hidODStateFormula">'Overview (Design)'!$K$13</definedName>
    <definedName name="hidODStateLabel">'Overview (Design)'!$K$12</definedName>
    <definedName name="hidODTropicalFormula">'Overview (Design)'!$Q$13</definedName>
    <definedName name="hidODTropicalLabel">'Overview (Design)'!$Q$12</definedName>
    <definedName name="hidODWarmFormula">'Overview (Design)'!$P$13</definedName>
    <definedName name="hidODWarmLabel">'Overview (Design)'!$P$12</definedName>
    <definedName name="hidOVClimateFormula">'Overview (Verification)'!$W$13</definedName>
    <definedName name="hidOVClimateLabel">'Overview (Verification)'!$W$12</definedName>
    <definedName name="hidOVCountyFormula">'Overview (Verification)'!$U$13</definedName>
    <definedName name="hidOVCountyLabel">'Overview (Verification)'!$U$12</definedName>
    <definedName name="hidOVMoistFormula">'Overview (Verification)'!$X$13</definedName>
    <definedName name="hidOVMoistLabel">'Overview (Verification)'!$X$12</definedName>
    <definedName name="hidOVNumberUnitsLabel">'Overview (Verification)'!$A$17</definedName>
    <definedName name="hidOVProjectNameLabel">'Overview (Verification)'!$A$18</definedName>
    <definedName name="hidOVStateFormula">'Overview (Verification)'!$T$13</definedName>
    <definedName name="hidOVStateLabel">'Overview (Verification)'!$T$12</definedName>
    <definedName name="hidOVTropicalFormula">'Overview (Verification)'!$Z$13</definedName>
    <definedName name="hidOVTropicalLabel">'Overview (Verification)'!$Z$12</definedName>
    <definedName name="hidOVWarmFormula">'Overview (Verification)'!$Y$13</definedName>
    <definedName name="hidOVWarmLabel">'Overview (Verification)'!$Y$12</definedName>
    <definedName name="hidRSMandatoryMsg">'Rough Sig.'!$F$18</definedName>
    <definedName name="hidRSOverviewMsg">'Rough Sig.'!$C$18</definedName>
    <definedName name="hidVRErrorsMsg">'Verification Report'!$X$3</definedName>
    <definedName name="hidVRMandatoryMsg">'Verification Report'!$X$2</definedName>
    <definedName name="hidVROverviewMsg">'Verification Report'!$X$1</definedName>
    <definedName name="hyptarg1">'Ch6'!$W$126</definedName>
    <definedName name="hyptarg2">'Ch6'!$W$135</definedName>
    <definedName name="hyptarg3">'Ch6'!$W$211</definedName>
    <definedName name="hyptarg4">'Ch6'!$W$267</definedName>
    <definedName name="hyptarg5">'Ch6'!$W$416</definedName>
    <definedName name="hyptarg6">'Ch6'!$W$429</definedName>
    <definedName name="hyptarg7.1">'Ch7'!$W$88</definedName>
    <definedName name="hyptarg7.2">'Ch7'!$W$176</definedName>
    <definedName name="hyptarg7.26">'Ch7'!$W$369</definedName>
    <definedName name="hyptarg7.3">'Ch7'!$W$184</definedName>
    <definedName name="hyptarg7.4">'Ch7'!$W$192</definedName>
    <definedName name="hyptarg7.5">'Ch7'!$W$207</definedName>
    <definedName name="hyptarg8.1">'Ch8'!$W$12</definedName>
    <definedName name="hyptarg9.1">'Ch9'!$W$132</definedName>
    <definedName name="hyptarg9.2">'Ch9'!$W$134</definedName>
    <definedName name="hyptarg9.3">'Ch9'!$W$154</definedName>
    <definedName name="photoRevList">'Photo Review'!$H$9:$H$11</definedName>
    <definedName name="_xlnm.Print_Area" localSheetId="8">'Ch10'!$I$1:$X$188</definedName>
    <definedName name="_xlnm.Print_Area" localSheetId="3">'Ch5'!$I$1:$X$264</definedName>
    <definedName name="_xlnm.Print_Area" localSheetId="4">'Ch6'!$I$1:$X$518</definedName>
    <definedName name="_xlnm.Print_Area" localSheetId="6">'Ch8'!$I$1:$X$170</definedName>
    <definedName name="_xlnm.Print_Area" localSheetId="10">'Design Summ.'!$A$1:$M$26</definedName>
    <definedName name="_xlnm.Print_Area" localSheetId="18">'Final Sig.'!$A$1:$I$144</definedName>
    <definedName name="_xlnm.Print_Area" localSheetId="1">'Overview (Design)'!$A$1:$U$62</definedName>
    <definedName name="_xlnm.Print_Area" localSheetId="14">'Overview (Verification)'!$A$1:$Y$62</definedName>
    <definedName name="_xlnm.Print_Area" localSheetId="9">'Req. Doc.'!$B$1:$J$2004</definedName>
    <definedName name="_xlnm.Print_Area" localSheetId="17">'Rough Sig.'!$A$1:$I$144</definedName>
    <definedName name="_xlnm.Print_Area" localSheetId="15">'Verification Report'!$I:$W</definedName>
    <definedName name="ReportType">'Verification Report'!$L$5</definedName>
    <definedName name="rsgBatchSubmissiongInspectionDate1">'Rough Sig.'!$H$104</definedName>
    <definedName name="rsgBatchSubmissiongInspectionDate10">'Rough Sig.'!$H$113</definedName>
    <definedName name="rsgBatchSubmissiongInspectionDate2">'Rough Sig.'!$H$105</definedName>
    <definedName name="rsgBatchSubmissiongInspectionDate3">'Rough Sig.'!$H$106</definedName>
    <definedName name="rsgBatchSubmissiongInspectionDate4">'Rough Sig.'!$H$107</definedName>
    <definedName name="rsgBatchSubmissiongInspectionDate5">'Rough Sig.'!$H$108</definedName>
    <definedName name="rsgBatchSubmissiongInspectionDate6">'Rough Sig.'!$H$109</definedName>
    <definedName name="rsgBatchSubmissiongInspectionDate7">'Rough Sig.'!$H$110</definedName>
    <definedName name="rsgBatchSubmissiongInspectionDate8">'Rough Sig.'!$H$111</definedName>
    <definedName name="rsgBatchSubmissiongInspectionDate9">'Rough Sig.'!$H$112</definedName>
    <definedName name="rsgBatchSubmissiongProjectID1">'Rough Sig.'!$G$104</definedName>
    <definedName name="rsgBatchSubmissiongProjectID10">'Rough Sig.'!$G$113</definedName>
    <definedName name="rsgBatchSubmissiongProjectID2">'Rough Sig.'!$G$105</definedName>
    <definedName name="rsgBatchSubmissiongProjectID3">'Rough Sig.'!$G$106</definedName>
    <definedName name="rsgBatchSubmissiongProjectID4">'Rough Sig.'!$G$107</definedName>
    <definedName name="rsgBatchSubmissiongProjectID5">'Rough Sig.'!$G$108</definedName>
    <definedName name="rsgBatchSubmissiongProjectID6">'Rough Sig.'!$G$109</definedName>
    <definedName name="rsgBatchSubmissiongProjectID7">'Rough Sig.'!$G$110</definedName>
    <definedName name="rsgBatchSubmissiongProjectID8">'Rough Sig.'!$G$111</definedName>
    <definedName name="rsgBatchSubmissiongProjectID9">'Rough Sig.'!$G$112</definedName>
    <definedName name="rsgBatchSubmissiongRoughAddress1">'Rough Sig.'!$C$104</definedName>
    <definedName name="rsgBatchSubmissiongRoughAddress10">'Rough Sig.'!$C$113</definedName>
    <definedName name="rsgBatchSubmissiongRoughAddress2">'Rough Sig.'!$C$105</definedName>
    <definedName name="rsgBatchSubmissiongRoughAddress3">'Rough Sig.'!$C$106</definedName>
    <definedName name="rsgBatchSubmissiongRoughAddress4">'Rough Sig.'!$C$107</definedName>
    <definedName name="rsgBatchSubmissiongRoughAddress5">'Rough Sig.'!$C$108</definedName>
    <definedName name="rsgBatchSubmissiongRoughAddress6">'Rough Sig.'!$C$109</definedName>
    <definedName name="rsgBatchSubmissiongRoughAddress7">'Rough Sig.'!$C$110</definedName>
    <definedName name="rsgBatchSubmissiongRoughAddress8">'Rough Sig.'!$C$111</definedName>
    <definedName name="rsgBatchSubmissiongRoughAddress9">'Rough Sig.'!$C$112</definedName>
    <definedName name="rsgBuilderComments">'Rough Sig.'!$C$41</definedName>
    <definedName name="rsgBuilderDate">'Rough Sig.'!$C$51</definedName>
    <definedName name="rsgBuilderEmail">'Rough Sig.'!$C$47</definedName>
    <definedName name="rsgBuilderName">'Rough Sig.'!$C$45</definedName>
    <definedName name="rsgBuilderPhone">'Rough Sig.'!$C$49</definedName>
    <definedName name="rsgBuilderRepSignature">'Rough Sig.'!$C$38</definedName>
    <definedName name="rsgBuilderSignatureRelease">'Rough Sig.'!$G$38</definedName>
    <definedName name="rsgTeamVerifierElementsVerified1">'Rough Sig.'!$E$92</definedName>
    <definedName name="rsgTeamVerifierElementsVerified2">'Rough Sig.'!$E$93</definedName>
    <definedName name="rsgTeamVerifierElementsVerified3">'Rough Sig.'!$E$94</definedName>
    <definedName name="rsgTeamVerifierElementsVerified4">'Rough Sig.'!$E$95</definedName>
    <definedName name="rsgTeamVerifierElementsVerified5">'Rough Sig.'!$E$96</definedName>
    <definedName name="rsgTeamVerifierInspectionDate1">'Rough Sig.'!$G$92</definedName>
    <definedName name="rsgTeamVerifierInspectionDate2">'Rough Sig.'!$G$93</definedName>
    <definedName name="rsgTeamVerifierInspectionDate3">'Rough Sig.'!$G$94</definedName>
    <definedName name="rsgTeamVerifierInspectionDate4">'Rough Sig.'!$G$95</definedName>
    <definedName name="rsgTeamVerifierInspectionDate5">'Rough Sig.'!$G$96</definedName>
    <definedName name="rsgTeamVerifierName1">'Rough Sig.'!$C$92</definedName>
    <definedName name="rsgTeamVerifierName2">'Rough Sig.'!$C$93</definedName>
    <definedName name="rsgTeamVerifierName3">'Rough Sig.'!$C$94</definedName>
    <definedName name="rsgTeamVerifierName4">'Rough Sig.'!$C$95</definedName>
    <definedName name="rsgTeamVerifierName5">'Rough Sig.'!$C$96</definedName>
    <definedName name="rsgTeamVerifierRole1">'Rough Sig.'!$D$92</definedName>
    <definedName name="rsgTeamVerifierRole2">'Rough Sig.'!$D$93</definedName>
    <definedName name="rsgTeamVerifierRole3">'Rough Sig.'!$D$94</definedName>
    <definedName name="rsgTeamVerifierRole4">'Rough Sig.'!$D$95</definedName>
    <definedName name="rsgTeamVerifierRole5">'Rough Sig.'!$D$96</definedName>
    <definedName name="rsgVerifierComments">'Rough Sig.'!$C$69</definedName>
    <definedName name="rsgVerifierDate">'Rough Sig.'!$C$83</definedName>
    <definedName name="rsgVerifierEmail">'Rough Sig.'!$C$75</definedName>
    <definedName name="rsgVerifierEndTime">'Rough Sig.'!$C$81</definedName>
    <definedName name="rsgVerifierName">'Rough Sig.'!$C$73</definedName>
    <definedName name="rsgVerifierPhone">'Rough Sig.'!$C$77</definedName>
    <definedName name="rsgVerifierSign">'Rough Sig.'!$C$66</definedName>
    <definedName name="rsgVerifierStartTime">'Rough Sig.'!$C$79</definedName>
    <definedName name="startError">Points!$B$3</definedName>
    <definedName name="TorF">Dropdowns!$B$5:$B$6</definedName>
    <definedName name="vch1001_1_1">'Verification Report'!$AQ$1833</definedName>
    <definedName name="vch1001_1_10">'Verification Report'!$AQ$1848</definedName>
    <definedName name="vch1001_1_11">'Verification Report'!$AQ$1849</definedName>
    <definedName name="vch1001_1_12">'Verification Report'!$AQ$1850</definedName>
    <definedName name="vch1001_1_13">'Verification Report'!$AQ$1856</definedName>
    <definedName name="vch1001_1_14">'Verification Report'!$AQ$1860</definedName>
    <definedName name="vch1001_1_15">'Verification Report'!$AQ$1862</definedName>
    <definedName name="vch1001_1_16">'Verification Report'!$AQ$1864</definedName>
    <definedName name="vch1001_1_17">'Verification Report'!$AQ$1865</definedName>
    <definedName name="vch1001_1_18">'Verification Report'!$AQ$1867</definedName>
    <definedName name="vch1001_1_19">'Verification Report'!$AQ$1869</definedName>
    <definedName name="vch1001_1_2">'Verification Report'!$AQ$1834</definedName>
    <definedName name="vch1001_1_20">'Verification Report'!$AQ$1870</definedName>
    <definedName name="vch1001_1_21">'Verification Report'!$AQ$1872</definedName>
    <definedName name="vch1001_1_22">'Verification Report'!$AQ$1874</definedName>
    <definedName name="vch1001_1_23">'Verification Report'!$AQ$1876</definedName>
    <definedName name="vch1001_1_24">'Verification Report'!$AQ$1877</definedName>
    <definedName name="vch1001_1_3">'Verification Report'!$AQ$1835</definedName>
    <definedName name="vch1001_1_4">'Verification Report'!$AQ$1839</definedName>
    <definedName name="vch1001_1_5">'Verification Report'!$AQ$1840</definedName>
    <definedName name="vch1001_1_6">'Verification Report'!$AQ$1841</definedName>
    <definedName name="vch1001_1_7">'Verification Report'!$AQ$1843</definedName>
    <definedName name="vch1001_1_8">'Verification Report'!$AQ$1845</definedName>
    <definedName name="vch1001_1_9">'Verification Report'!$AQ$1846</definedName>
    <definedName name="vch1001_2">'Verification Report'!$AQ$1878</definedName>
    <definedName name="vch1002_1_1">'Verification Report'!$AQ$1899</definedName>
    <definedName name="vch1002_1_2">'Verification Report'!$AQ$1902</definedName>
    <definedName name="vch1002_1_3">'Verification Report'!$AQ$1905</definedName>
    <definedName name="vch1002_1_4">'Verification Report'!$AQ$1907</definedName>
    <definedName name="vch1002_1_5">'Verification Report'!$AQ$1908</definedName>
    <definedName name="vch1002_1_6">'Verification Report'!$AQ$1910</definedName>
    <definedName name="vch1002_1_7">'Verification Report'!$AQ$1911</definedName>
    <definedName name="vch1002_1_8">'Verification Report'!$AQ$1912</definedName>
    <definedName name="vch1002_2_1">'Verification Report'!$AQ$1918</definedName>
    <definedName name="vch1002_2_10">'Verification Report'!$AQ$1936</definedName>
    <definedName name="vch1002_2_11">'Verification Report'!$AQ$1939</definedName>
    <definedName name="vch1002_2_2">'Verification Report'!$AQ$1920</definedName>
    <definedName name="vch1002_2_3">'Verification Report'!$AQ$1923</definedName>
    <definedName name="vch1002_2_4">'Verification Report'!$AQ$1925</definedName>
    <definedName name="vch1002_2_5">'Verification Report'!$AQ$1928</definedName>
    <definedName name="vch1002_2_6">'Verification Report'!$AQ$1930</definedName>
    <definedName name="vch1002_2_7">'Verification Report'!$AQ$1931</definedName>
    <definedName name="vch1002_2_8">'Verification Report'!$AQ$1933</definedName>
    <definedName name="vch1002_2_9">'Verification Report'!$AQ$1935</definedName>
    <definedName name="vch1002_3_1">'Verification Report'!$AQ$1945</definedName>
    <definedName name="vch1002_3_10">'Verification Report'!$AQ$1966</definedName>
    <definedName name="vch1002_3_2">'Verification Report'!$AQ$1947</definedName>
    <definedName name="vch1002_3_3">'Verification Report'!$AQ$1951</definedName>
    <definedName name="vch1002_3_4">'Verification Report'!$AQ$1958</definedName>
    <definedName name="vch1002_3_5">'Verification Report'!$AQ$1960</definedName>
    <definedName name="vch1002_3_6">'Verification Report'!$AQ$1961</definedName>
    <definedName name="vch1002_3_7">'Verification Report'!$AQ$1963</definedName>
    <definedName name="vch1002_3_8">'Verification Report'!$AQ$1964</definedName>
    <definedName name="vch1002_3_9">'Verification Report'!$AQ$1965</definedName>
    <definedName name="vch1002_4">'Verification Report'!$AQ$1967</definedName>
    <definedName name="vch1003_1_1">'Verification Report'!$AQ$1984</definedName>
    <definedName name="vch1003_1_2">'Verification Report'!$AQ$1986</definedName>
    <definedName name="vch1003_1_3">'Verification Report'!$AQ$1989</definedName>
    <definedName name="vch1004_1_1">'Verification Report'!$AQ$2002</definedName>
    <definedName name="vch1004_1_2">'Verification Report'!$AQ$2004</definedName>
    <definedName name="vch501_1">'Verification Report'!$AQ$14</definedName>
    <definedName name="vch501_1_1">'Verification Report'!$AQ$15</definedName>
    <definedName name="vch501_1_2">'Verification Report'!$AQ$16</definedName>
    <definedName name="vch501_1_3">'Verification Report'!$AQ$17</definedName>
    <definedName name="vch501_2_1">'Verification Report'!$AQ$20</definedName>
    <definedName name="vch501_2_2">'Verification Report'!$AQ$22</definedName>
    <definedName name="vch501_2_3">'Verification Report'!$AQ$24</definedName>
    <definedName name="vch501_2_4">'Verification Report'!$AQ$26</definedName>
    <definedName name="vch501_2_5">'Verification Report'!$AQ$35</definedName>
    <definedName name="vch501_2_6">'Verification Report'!$AQ$38</definedName>
    <definedName name="vch502_1">'Verification Report'!$AQ$44</definedName>
    <definedName name="vch503_1_1">'Verification Report'!$AQ$55</definedName>
    <definedName name="vch503_1_2">'Verification Report'!$AQ$56</definedName>
    <definedName name="vch503_1_3">'Verification Report'!$AQ$58</definedName>
    <definedName name="vch503_1_4">'Verification Report'!$AQ$60</definedName>
    <definedName name="vch503_1_5">'Verification Report'!$AQ$61</definedName>
    <definedName name="vch503_1_6">'Verification Report'!$AQ$62</definedName>
    <definedName name="vch503_1_7">'Verification Report'!$AQ$64</definedName>
    <definedName name="vch503_2">'Verification Report'!$AQ$67</definedName>
    <definedName name="vch503_2_1">'Verification Report'!$AQ$68</definedName>
    <definedName name="vch503_2_2">'Verification Report'!$AQ$69</definedName>
    <definedName name="vch503_2_3">'Verification Report'!$AQ$71</definedName>
    <definedName name="vch503_2_4">'Verification Report'!$AQ$76</definedName>
    <definedName name="vch503_2_5">'Verification Report'!$AQ$78</definedName>
    <definedName name="vch503_3_1">'Verification Report'!$AQ$82</definedName>
    <definedName name="vch503_3_2_a">'Verification Report'!$AQ$86</definedName>
    <definedName name="vch503_3_2_b">'Verification Report'!$AQ$87</definedName>
    <definedName name="vch503_3_2_c">'Verification Report'!$AQ$89</definedName>
    <definedName name="vch503_3_2_d">'Verification Report'!$AQ$90</definedName>
    <definedName name="vch503_3_3">'Verification Report'!$AQ$91</definedName>
    <definedName name="vch503_4_1">'Verification Report'!$AQ$99</definedName>
    <definedName name="vch503_4_2">'Verification Report'!$AQ$102</definedName>
    <definedName name="vch503_4_3">'Verification Report'!$AQ$106</definedName>
    <definedName name="vch503_4_4">'Verification Report'!$AQ$113</definedName>
    <definedName name="vch503_5">'Verification Report'!$AQ$120</definedName>
    <definedName name="vch503_5_1">'Verification Report'!$AQ$122</definedName>
    <definedName name="vch503_5_10">'Verification Report'!$AQ$150</definedName>
    <definedName name="vch503_5_11">'Verification Report'!$AQ$152</definedName>
    <definedName name="vch503_5_12">'Verification Report'!$AQ$154</definedName>
    <definedName name="vch503_5_2">'Verification Report'!$AQ$128</definedName>
    <definedName name="vch503_5_3">'Verification Report'!$AQ$130</definedName>
    <definedName name="vch503_5_4">'Verification Report'!$AQ$132</definedName>
    <definedName name="vch503_5_5">'Verification Report'!$AQ$134</definedName>
    <definedName name="vch503_5_6">'Verification Report'!$AQ$139</definedName>
    <definedName name="vch503_5_7">'Verification Report'!$AQ$140</definedName>
    <definedName name="vch503_5_8">'Verification Report'!$AQ$145</definedName>
    <definedName name="vch503_5_9">'Verification Report'!$AQ$147</definedName>
    <definedName name="vch503_6_1">'Verification Report'!$AQ$158</definedName>
    <definedName name="vch503_6_2">'Verification Report'!$AQ$159</definedName>
    <definedName name="vch503_6_3">'Verification Report'!$AQ$160</definedName>
    <definedName name="vch503_6_4">'Verification Report'!$AQ$162</definedName>
    <definedName name="vch503_7_1">'Verification Report'!$AQ$165</definedName>
    <definedName name="vch503_7_2">'Verification Report'!$AQ$167</definedName>
    <definedName name="vch503_8">'Verification Report'!$AQ$169</definedName>
    <definedName name="vch504_1">'Verification Report'!$AQ$177</definedName>
    <definedName name="vch504_2_1">'Verification Report'!$AQ$184</definedName>
    <definedName name="vch504_2_2">'Verification Report'!$AQ$185</definedName>
    <definedName name="vch504_2_3">'Verification Report'!$AQ$187</definedName>
    <definedName name="vch504_3_1">'Verification Report'!$AQ$192</definedName>
    <definedName name="vch504_3_2">'Verification Report'!$AQ$194</definedName>
    <definedName name="vch504_3_3">'Verification Report'!$AQ$195</definedName>
    <definedName name="vch504_3_4">'Verification Report'!$AQ$197</definedName>
    <definedName name="vch504_3_5">'Verification Report'!$AQ$199</definedName>
    <definedName name="vch504_3_6">'Verification Report'!$AQ$203</definedName>
    <definedName name="vch504_3_7">'Verification Report'!$AQ$206</definedName>
    <definedName name="vch504_3_8a">'Verification Report'!$AQ$208</definedName>
    <definedName name="vch504_3_8b">'Verification Report'!$AQ$209</definedName>
    <definedName name="vch504_3_8c">'Verification Report'!$AQ$210</definedName>
    <definedName name="vch504_3_8d">'Verification Report'!$AQ$211</definedName>
    <definedName name="vch504_3_8e">'Verification Report'!$AQ$212</definedName>
    <definedName name="vch504_3_8f">'Verification Report'!$AQ$213</definedName>
    <definedName name="vch504_3_9">'Verification Report'!$AQ$215</definedName>
    <definedName name="vch505_1_1">'Verification Report'!$AQ$222</definedName>
    <definedName name="vch505_1_2">'Verification Report'!$AQ$224</definedName>
    <definedName name="vch505_1_3">'Verification Report'!$AQ$225</definedName>
    <definedName name="vch505_1_4">'Verification Report'!$AQ$229</definedName>
    <definedName name="vch505_2_1_a">'Verification Report'!$AQ$237</definedName>
    <definedName name="vch505_2_1_b">'Verification Report'!$AQ$240</definedName>
    <definedName name="vch505_2_1_c">'Verification Report'!$AQ$244</definedName>
    <definedName name="vch505_2_2">'Verification Report'!$AQ$245</definedName>
    <definedName name="vch505_3">'Verification Report'!$AQ$248</definedName>
    <definedName name="vch505_4">'Verification Report'!$AQ$254</definedName>
    <definedName name="vch505_5">'Verification Report'!$AQ$255</definedName>
    <definedName name="vch505_6">'Verification Report'!$AQ$257</definedName>
    <definedName name="vch601_2_1">'Verification Report'!$AQ$283</definedName>
    <definedName name="vch601_2_2">'Verification Report'!$AQ$286</definedName>
    <definedName name="vch601_2_3">'Verification Report'!$AQ$289</definedName>
    <definedName name="vch601_3_1">'Verification Report'!$AQ$293</definedName>
    <definedName name="vch601_3_2">'Verification Report'!$AQ$294</definedName>
    <definedName name="vch601_3_3">'Verification Report'!$AQ$295</definedName>
    <definedName name="vch601_3_4">'Verification Report'!$AQ$296</definedName>
    <definedName name="vch601_3_5">'Verification Report'!$AQ$297</definedName>
    <definedName name="vch601_4">'Verification Report'!$AQ$298</definedName>
    <definedName name="vch601_5_1">'Verification Report'!$AQ$304</definedName>
    <definedName name="vch601_5_2">'Verification Report'!$AQ$305</definedName>
    <definedName name="vch601_5_3">'Verification Report'!$AQ$306</definedName>
    <definedName name="vch601_5_4">'Verification Report'!$AQ$307</definedName>
    <definedName name="vch601_5_5">'Verification Report'!$AQ$308</definedName>
    <definedName name="vch601_6">'Verification Report'!$AQ$310</definedName>
    <definedName name="vch601_7_a">'Verification Report'!$AQ$317</definedName>
    <definedName name="vch601_7_b">'Verification Report'!$AQ$318</definedName>
    <definedName name="vch601_7_c">'Verification Report'!$AQ$319</definedName>
    <definedName name="vch601_7_d">'Verification Report'!$AQ$323</definedName>
    <definedName name="vch601_7_e">'Verification Report'!$AQ$325</definedName>
    <definedName name="vch601_8">'Verification Report'!$AQ$332</definedName>
    <definedName name="vch601_9">'Verification Report'!$AQ$340</definedName>
    <definedName name="vch602_1_1_1">'Verification Report'!$AQ$351</definedName>
    <definedName name="vch602_1_1_2">'Verification Report'!$AQ$354</definedName>
    <definedName name="vch602_1_10">'Verification Report'!$AQ$451</definedName>
    <definedName name="vch602_1_11">'Verification Report'!$AQ$463</definedName>
    <definedName name="vch602_1_12">'Verification Report'!$AQ$465</definedName>
    <definedName name="vch602_1_13">'Verification Report'!$AQ$468</definedName>
    <definedName name="vch602_1_14_1">'Verification Report'!$AQ$474</definedName>
    <definedName name="vch602_1_14_2">'Verification Report'!$AQ$476</definedName>
    <definedName name="vch602_1_14_3">'Verification Report'!$AQ$477</definedName>
    <definedName name="vch602_1_2__1">'Verification Report'!$AQ$358</definedName>
    <definedName name="vch602_1_2__2">'Verification Report'!$AQ$359</definedName>
    <definedName name="vch602_1_3_1">'Verification Report'!$AQ$361</definedName>
    <definedName name="vch602_1_3_2">'Verification Report'!$AQ$363</definedName>
    <definedName name="vch602_1_4_1_1">'Verification Report'!$AQ$369</definedName>
    <definedName name="vch602_1_4_1_2">'Verification Report'!$AQ$371</definedName>
    <definedName name="vch602_1_4_2_1">'Verification Report'!$AQ$375</definedName>
    <definedName name="vch602_1_4_2_2">'Verification Report'!$AQ$377</definedName>
    <definedName name="vch602_1_5">'Verification Report'!$AQ$380</definedName>
    <definedName name="vch602_1_5_1">'Verification Report'!$AQ$381</definedName>
    <definedName name="vch602_1_5_2">'Verification Report'!$AQ$383</definedName>
    <definedName name="vch602_1_6_1">'Verification Report'!$AQ$389</definedName>
    <definedName name="vch602_1_6_2">'Verification Report'!$AQ$393</definedName>
    <definedName name="vch602_1_6_3">'Verification Report'!$AQ$397</definedName>
    <definedName name="vch602_1_7_1_1">'Verification Report'!$AQ$402</definedName>
    <definedName name="vch602_1_7_1_2">'Verification Report'!$AQ$404</definedName>
    <definedName name="vch602_1_7_1_3">'Verification Report'!$AQ$407</definedName>
    <definedName name="vch602_1_7_2">'Verification Report'!$AQ$409</definedName>
    <definedName name="vch602_1_7_3">'Verification Report'!$AQ$411</definedName>
    <definedName name="vch602_1_8">'Verification Report'!$AQ$415</definedName>
    <definedName name="vch602_1_9_1">'Verification Report'!$AQ$423</definedName>
    <definedName name="vch602_1_9_2">'Verification Report'!$AQ$433</definedName>
    <definedName name="vch602_1_9_3">'Verification Report'!$AQ$436</definedName>
    <definedName name="vch602_1_9_4">'Verification Report'!$AQ$437</definedName>
    <definedName name="vch602_1_9_5">'Verification Report'!$AQ$441</definedName>
    <definedName name="vch602_1_9_6">'Verification Report'!$AQ$447</definedName>
    <definedName name="vch602_1_9_7">'Verification Report'!$AQ$449</definedName>
    <definedName name="vch602_2_1">'Verification Report'!$AQ$482</definedName>
    <definedName name="vch602_2_2">'Verification Report'!$AQ$484</definedName>
    <definedName name="vch602_2_3">'Verification Report'!$AQ$485</definedName>
    <definedName name="vch602_3">'Verification Report'!$AQ$488</definedName>
    <definedName name="vch602_4_1">'Verification Report'!$AQ$492</definedName>
    <definedName name="vch602_4_2">'Verification Report'!$AQ$497</definedName>
    <definedName name="vch602_4_3">'Verification Report'!$AQ$499</definedName>
    <definedName name="vch603_1">'Verification Report'!$AQ$503</definedName>
    <definedName name="vch603_2">'Verification Report'!$AQ$509</definedName>
    <definedName name="vch603_3">'Verification Report'!$AQ$516</definedName>
    <definedName name="vch604_1a">'Verification Report'!$AQ$521</definedName>
    <definedName name="vch604_1b">'Verification Report'!$AQ$523</definedName>
    <definedName name="vch604_1c">'Verification Report'!$AQ$525</definedName>
    <definedName name="vch604_1d">'Verification Report'!$AQ$527</definedName>
    <definedName name="vch605_1">'Verification Report'!$AQ$532</definedName>
    <definedName name="vch605_1_2">'Verification Report'!$AQ$545</definedName>
    <definedName name="vch605_2">'Verification Report'!$AQ$547</definedName>
    <definedName name="vch605_3_2_a">'Verification Report'!$AQ$560</definedName>
    <definedName name="vch605_3_2_b">'Verification Report'!$AQ$561</definedName>
    <definedName name="vch605_3_2_c">'Verification Report'!$AQ$562</definedName>
    <definedName name="vch605_3_2_d">'Verification Report'!$AQ$563</definedName>
    <definedName name="vch605_3_2_e">'Verification Report'!$AQ$564</definedName>
    <definedName name="vch605_3_2_f">'Verification Report'!$AQ$565</definedName>
    <definedName name="vch605_3_2_g">'Verification Report'!$AQ$566</definedName>
    <definedName name="vch605_3_2_h">'Verification Report'!$AQ$567</definedName>
    <definedName name="vch605_3_2_i">'Verification Report'!$AQ$568</definedName>
    <definedName name="vch606_1_a">'Verification Report'!$AQ$573</definedName>
    <definedName name="vch606_1_b">'Verification Report'!$AQ$574</definedName>
    <definedName name="vch606_1_c">'Verification Report'!$AQ$575</definedName>
    <definedName name="vch606_1_d">'Verification Report'!$AQ$576</definedName>
    <definedName name="vch606_1_e">'Verification Report'!$AQ$577</definedName>
    <definedName name="vch606_1_f">'Verification Report'!$AQ$578</definedName>
    <definedName name="vch606_1_g">'Verification Report'!$AQ$579</definedName>
    <definedName name="vch606_1_h">'Verification Report'!$AQ$580</definedName>
    <definedName name="vch606_2_1a">'Verification Report'!$AQ$600</definedName>
    <definedName name="vch606_2_1b">'Verification Report'!$AQ$601</definedName>
    <definedName name="vch606_2_2a">'Verification Report'!$AQ$603</definedName>
    <definedName name="vch606_2_2b">'Verification Report'!$AQ$604</definedName>
    <definedName name="vch606_3">'Verification Report'!$AQ$606</definedName>
    <definedName name="vch607_1_1">'Verification Report'!$AQ$615</definedName>
    <definedName name="vch607_1_2">'Verification Report'!$AQ$617</definedName>
    <definedName name="vch607_2">'Verification Report'!$AQ$618</definedName>
    <definedName name="vch608_1">'Verification Report'!$AQ$621</definedName>
    <definedName name="vch609_1a">'Verification Report'!$AQ$631</definedName>
    <definedName name="vch609_1b">'Verification Report'!$AQ$634</definedName>
    <definedName name="vch610_1_1_1">'Verification Report'!$AQ$646</definedName>
    <definedName name="vch610_1_1_2">'Verification Report'!$AQ$655</definedName>
    <definedName name="vch610_1_1_3">'Verification Report'!$AQ$662</definedName>
    <definedName name="vch610_1_2_1a">'Verification Report'!$AQ$670</definedName>
    <definedName name="vch610_1_2_1b">'Verification Report'!$AQ$677</definedName>
    <definedName name="vch610_1_2_2_f">'Verification Report'!$AQ$701</definedName>
    <definedName name="vch610_1_2_2a">'Verification Report'!$AQ$683</definedName>
    <definedName name="vch610_1_2_2b">'Verification Report'!$AQ$689</definedName>
    <definedName name="vch610_1_2_2c">'Verification Report'!$AQ$695</definedName>
    <definedName name="vch611_1">'Verification Report'!$AQ$707</definedName>
    <definedName name="vch611_2_1">'Verification Report'!$AQ$718</definedName>
    <definedName name="vch611_2_2">'Verification Report'!$AQ$719</definedName>
    <definedName name="vch611_2_3">'Verification Report'!$AQ$720</definedName>
    <definedName name="vch611_2_4">'Verification Report'!$AQ$721</definedName>
    <definedName name="vch611_2_5">'Verification Report'!$AQ$722</definedName>
    <definedName name="vch611_2_6">'Verification Report'!$AQ$723</definedName>
    <definedName name="vch611_2_7">'Verification Report'!$AQ$724</definedName>
    <definedName name="vch611_3_1">'Verification Report'!$AQ$728</definedName>
    <definedName name="vch611_3_2">'Verification Report'!$AQ$733</definedName>
    <definedName name="vch611_3_3">'Verification Report'!$AQ$737</definedName>
    <definedName name="vch611_3_4">'Verification Report'!$AQ$739</definedName>
    <definedName name="vch611_3_5">'Verification Report'!$AQ$741</definedName>
    <definedName name="vch611_3_6">'Verification Report'!$AQ$742</definedName>
    <definedName name="vch611_3_7">'Verification Report'!$AQ$743</definedName>
    <definedName name="vch611_3_8">'Verification Report'!$AQ$747</definedName>
    <definedName name="vch611_3_9">'Verification Report'!$AQ$749</definedName>
    <definedName name="vch611_4_1">'Verification Report'!$AQ$757</definedName>
    <definedName name="vch611_4_2">'Verification Report'!$AQ$767</definedName>
    <definedName name="vch701_1">'Verification Report'!$AQ$775</definedName>
    <definedName name="vch701_1_4">'Verification Report'!$AQ$786</definedName>
    <definedName name="vch701_3">'Verification Report'!$AQ$795</definedName>
    <definedName name="vch701_4_1">'Verification Report'!$AQ$809</definedName>
    <definedName name="vch701_4_1_1">'Verification Report'!$AQ$800</definedName>
    <definedName name="vch701_4_1_2">'Verification Report'!$AQ$803</definedName>
    <definedName name="vch701_4_2_2">'Verification Report'!$AQ$812</definedName>
    <definedName name="vch701_4_2_3">'Verification Report'!$AQ$813</definedName>
    <definedName name="vch701_4_3_1_1">'Verification Report'!$AQ$817</definedName>
    <definedName name="vch701_4_3_1_2">'Verification Report'!$AQ$819</definedName>
    <definedName name="vch701_4_3_2_1">'Verification Report'!$AQ$854</definedName>
    <definedName name="vch701_4_3_2_1_">'Verification Report'!$AQ$835</definedName>
    <definedName name="vch701_4_3_2_2">'Verification Report'!$AQ$851</definedName>
    <definedName name="vch701_4_3_2e">'Verification Report'!$AQ$838</definedName>
    <definedName name="vch701_4_3_3_4">'Verification Report'!$AQ$881</definedName>
    <definedName name="vch701_4_3_3_5">'Verification Report'!$AQ$887</definedName>
    <definedName name="vch701_4_4_1">'Verification Report'!$AQ$895</definedName>
    <definedName name="vch701_4_4_2">'Verification Report'!$AQ$897</definedName>
    <definedName name="vch701_4_5">'Verification Report'!$AQ$898</definedName>
    <definedName name="vch702_2_1">'Verification Report'!$AQ$903</definedName>
    <definedName name="vch702_2_2">'Verification Report'!$AQ$909</definedName>
    <definedName name="vch703_1_1">'Verification Report'!$AQ$920</definedName>
    <definedName name="vch703_1_2">'Verification Report'!$AQ$933</definedName>
    <definedName name="vch703_1_3">'Verification Report'!$AQ$936</definedName>
    <definedName name="vch703_2_1">'Verification Report'!$AQ$939</definedName>
    <definedName name="vch703_2_1_2">'Verification Report'!$AQ$941</definedName>
    <definedName name="vch703_2_2">'Verification Report'!$AQ$947</definedName>
    <definedName name="vch703_2_3">'Verification Report'!$AQ$948</definedName>
    <definedName name="vch703_2_5_1">'Verification Report'!$AQ$955</definedName>
    <definedName name="vch703_2_5_1_1">'Verification Report'!$AQ$962</definedName>
    <definedName name="vch703_2_5_2">'Verification Report'!$AQ$970</definedName>
    <definedName name="vch703_2_5_2_1">'Verification Report'!$AQ$978</definedName>
    <definedName name="vch703_3_0_1">'Verification Report'!$AQ$988</definedName>
    <definedName name="vch703_3_0_2">'Verification Report'!$AQ$994</definedName>
    <definedName name="vch703_3_1">'Verification Report'!$AQ$1000</definedName>
    <definedName name="vch703_3_2__1_1">'Verification Report'!$AQ$1007</definedName>
    <definedName name="vch703_3_2__2_1">'Verification Report'!$AQ$1013</definedName>
    <definedName name="vch703_3_2__3_1">'Verification Report'!$AQ$1016</definedName>
    <definedName name="vch703_3_2__4_1">'Verification Report'!$AQ$1021</definedName>
    <definedName name="vch703_3_3__1_1">'Verification Report'!$AQ$1027</definedName>
    <definedName name="vch703_3_3__3">'Verification Report'!$AQ$1031</definedName>
    <definedName name="vch703_3_4_1_1">'Verification Report'!$AQ$1036</definedName>
    <definedName name="vch703_3_4_1_5">'Verification Report'!$AQ$1040</definedName>
    <definedName name="vch703_3_4_2">'Verification Report'!$AQ$1042</definedName>
    <definedName name="vch703_3_5">'Verification Report'!$AQ$1043</definedName>
    <definedName name="vch703_3_6">'Verification Report'!$AQ$1048</definedName>
    <definedName name="vch703_3_7_1">'Verification Report'!$AQ$1053</definedName>
    <definedName name="vch703_3_7_2">'Verification Report'!$AQ$1055</definedName>
    <definedName name="vch703_3_8">'Verification Report'!$AQ$1060</definedName>
    <definedName name="vch703_4_1">'Verification Report'!$AQ$1066</definedName>
    <definedName name="vch703_4_2">'Verification Report'!$AQ$1068</definedName>
    <definedName name="vch703_4_3_1">'Verification Report'!$AQ$1071</definedName>
    <definedName name="vch703_4_3_2">'Verification Report'!$AQ$1072</definedName>
    <definedName name="vch703_4_3_3">'Verification Report'!$AQ$1074</definedName>
    <definedName name="vch703_4_4">'Verification Report'!$AQ$1076</definedName>
    <definedName name="vch703_5_1">'Verification Report'!$AQ$1087</definedName>
    <definedName name="vch703_5_1_1_a">'Verification Report'!$AQ$1089</definedName>
    <definedName name="vch703_5_2">'Verification Report'!$AQ$1104</definedName>
    <definedName name="vch703_5_3">'Verification Report'!$AQ$1106</definedName>
    <definedName name="vch703_5_4">'Verification Report'!$AQ$1108</definedName>
    <definedName name="vch703_5_5">'Verification Report'!$AQ$1110</definedName>
    <definedName name="vch703_6_1_1">'Verification Report'!$AQ$1120</definedName>
    <definedName name="vch703_6_1_2">'Verification Report'!$AQ$1122</definedName>
    <definedName name="vch703_6_1_3">'Verification Report'!$AQ$1124</definedName>
    <definedName name="vch703_6_2__1">'Verification Report'!$AQ$1127</definedName>
    <definedName name="vch703_6_2__2">'Verification Report'!$AQ$1128</definedName>
    <definedName name="vch703_6_2__3">'Verification Report'!$AQ$1129</definedName>
    <definedName name="vch703_7_1">'Verification Report'!$AQ$1132</definedName>
    <definedName name="vch703_7_2">'Verification Report'!$AQ$1160</definedName>
    <definedName name="vch703_7_3_1_a">'Verification Report'!$AQ$1168</definedName>
    <definedName name="vch703_7_3_1_b">'Verification Report'!$AQ$1170</definedName>
    <definedName name="vch703_7_3_1_c">'Verification Report'!$AQ$1171</definedName>
    <definedName name="vch703_7_3_1_d">'Verification Report'!$AQ$1172</definedName>
    <definedName name="vch703_7_3_2">'Verification Report'!$AQ$1174</definedName>
    <definedName name="vch703_7_3_3">'Verification Report'!$AQ$1177</definedName>
    <definedName name="vch703_7_3_4">'Verification Report'!$AQ$1178</definedName>
    <definedName name="vch703_7_3_5_a">'Verification Report'!$AQ$1183</definedName>
    <definedName name="vch703_7_3_5_b">'Verification Report'!$AQ$1185</definedName>
    <definedName name="vch703_7_3_6">'Verification Report'!$AQ$1187</definedName>
    <definedName name="vch703_7_4">'Verification Report'!$AQ$1189</definedName>
    <definedName name="vch704_2">'Verification Report'!$AQ$1217</definedName>
    <definedName name="vch705_2_1_1">'Verification Report'!$AQ$1226</definedName>
    <definedName name="vch705_2_1_2">'Verification Report'!$AQ$1230</definedName>
    <definedName name="vch705_2_1_3_1">'Verification Report'!$AQ$1233</definedName>
    <definedName name="vch705_2_1_3_2">'Verification Report'!$AQ$1237</definedName>
    <definedName name="vch705_2_1_4">'Verification Report'!$AQ$1242</definedName>
    <definedName name="vch705_2_2">'Verification Report'!$AQ$1247</definedName>
    <definedName name="vch705_2_3">'Verification Report'!$AQ$1250</definedName>
    <definedName name="vch705_2_4">'Verification Report'!$AQ$1253</definedName>
    <definedName name="vch705_3">'Verification Report'!$AQ$1255</definedName>
    <definedName name="vch705_4">'Verification Report'!$AQ$1256</definedName>
    <definedName name="vch705_5_1">'Verification Report'!$AQ$1260</definedName>
    <definedName name="vch705_5_2">'Verification Report'!$AQ$1265</definedName>
    <definedName name="vch705_6_2_1_1">'Verification Report'!$AQ$1287</definedName>
    <definedName name="vch705_6_2_1_2">'Verification Report'!$AQ$1288</definedName>
    <definedName name="vch705_6_2_2">'Verification Report'!$AQ$1291</definedName>
    <definedName name="vch705_6_2_3">'Verification Report'!$AQ$1299</definedName>
    <definedName name="vch705_6_3">'Verification Report'!$AQ$1305</definedName>
    <definedName name="vch705_6_4_1">'Verification Report'!$AQ$1317</definedName>
    <definedName name="vch705_6_4_2">'Verification Report'!$AQ$1319</definedName>
    <definedName name="vch705_7">'Verification Report'!$AQ$1321</definedName>
    <definedName name="vch706_1_1">'Verification Report'!$AQ$1328</definedName>
    <definedName name="vch706_1_2">'Verification Report'!$AQ$1329</definedName>
    <definedName name="vch706_1_3">'Verification Report'!$AQ$1330</definedName>
    <definedName name="vch706_1_4">'Verification Report'!$AQ$1331</definedName>
    <definedName name="vch706_1_5">'Verification Report'!$AQ$1333</definedName>
    <definedName name="vch706_2_1">'Verification Report'!$AQ$1336</definedName>
    <definedName name="vch706_2_2">'Verification Report'!$AQ$1339</definedName>
    <definedName name="vch706_3_1">'Verification Report'!$AQ$1354</definedName>
    <definedName name="vch706_3_2">'Verification Report'!$AQ$1355</definedName>
    <definedName name="vch706_3_3">'Verification Report'!$AQ$1356</definedName>
    <definedName name="vch706_3_4">'Verification Report'!$AQ$1357</definedName>
    <definedName name="vch706_3_5">'Verification Report'!$AQ$1358</definedName>
    <definedName name="vch706_3_6">'Verification Report'!$AQ$1359</definedName>
    <definedName name="vch706_3_7">'Verification Report'!$AQ$1360</definedName>
    <definedName name="vch706_3_8">'Verification Report'!$AQ$1361</definedName>
    <definedName name="vch706_4_1_1">'Verification Report'!$AQ$1364</definedName>
    <definedName name="vch706_4_1_2">'Verification Report'!$AQ$1366</definedName>
    <definedName name="vch706_4_2">'Verification Report'!$AQ$1368</definedName>
    <definedName name="vch706_5">'Verification Report'!$AQ$1371</definedName>
    <definedName name="vch706_6">'Verification Report'!$AQ$1379</definedName>
    <definedName name="vch706_7_1">'Verification Report'!$AQ$1383</definedName>
    <definedName name="vch706_7_2">'Verification Report'!$AQ$1384</definedName>
    <definedName name="vch706_8">'Verification Report'!$AQ$1387</definedName>
    <definedName name="vch706_9">'Verification Report'!$AQ$1390</definedName>
    <definedName name="vch801_1">'Verification Report'!$AQ$1398</definedName>
    <definedName name="vch801_1_6">'Verification Report'!$AQ$1427</definedName>
    <definedName name="vch801_2_1">'Verification Report'!$AQ$1432</definedName>
    <definedName name="vch801_2_2">'Verification Report'!$AQ$1433</definedName>
    <definedName name="vch801_3_1">'Verification Report'!$AQ$1440</definedName>
    <definedName name="vch801_3_2">'Verification Report'!$AQ$1449</definedName>
    <definedName name="vch801_3_3">'Verification Report'!$AQ$1454</definedName>
    <definedName name="vch801_4_1_1">'Verification Report'!$AQ$1459</definedName>
    <definedName name="vch801_4_1_2">'Verification Report'!$AQ$1463</definedName>
    <definedName name="vch801_4_2">'Verification Report'!$AQ$1464</definedName>
    <definedName name="vch801_5_2">'Verification Report'!$AQ$1471</definedName>
    <definedName name="vch801_5_3">'Verification Report'!$AQ$1477</definedName>
    <definedName name="vch801_5_4_a">'Verification Report'!$AQ$1480</definedName>
    <definedName name="vch801_5_4_b">'Verification Report'!$AQ$1484</definedName>
    <definedName name="vch801_5_4_c">'Verification Report'!$AQ$1486</definedName>
    <definedName name="vch801_6_1">'Verification Report'!$AQ$1488</definedName>
    <definedName name="vch801_6_2_1">'Verification Report'!$AQ$1492</definedName>
    <definedName name="vch801_6_2_2">'Verification Report'!$AQ$1493</definedName>
    <definedName name="vch801_6_2_3">'Verification Report'!$AQ$1494</definedName>
    <definedName name="vch801_6_3">'Verification Report'!$AQ$1496</definedName>
    <definedName name="vch801_6_4_1">'Verification Report'!$AQ$1502</definedName>
    <definedName name="vch801_6_4_2">'Verification Report'!$AQ$1504</definedName>
    <definedName name="vch801_6_4_3">'Verification Report'!$AQ$1505</definedName>
    <definedName name="vch801_6_5">'Verification Report'!$AQ$1509</definedName>
    <definedName name="vch801_7_1">'Verification Report'!$AQ$1513</definedName>
    <definedName name="vch801_7_2_1">'Verification Report'!$AQ$1527</definedName>
    <definedName name="vch801_7_2_2">'Verification Report'!$AQ$1529</definedName>
    <definedName name="vch801_8">'Verification Report'!$AQ$1530</definedName>
    <definedName name="vch802_1_1">'Verification Report'!$AQ$1537</definedName>
    <definedName name="vch802_1_2">'Verification Report'!$AQ$1539</definedName>
    <definedName name="vch802_2">'Verification Report'!$AQ$1541</definedName>
    <definedName name="vch802_3_1">'Verification Report'!$AQ$1546</definedName>
    <definedName name="vch802_3_2">'Verification Report'!$AQ$1547</definedName>
    <definedName name="vch802_4">'Verification Report'!$AQ$1548</definedName>
    <definedName name="vch802_5">'Verification Report'!$AQ$1551</definedName>
    <definedName name="vch802_6">'Verification Report'!$AQ$1553</definedName>
    <definedName name="vch901_1_1">'Verification Report'!$AQ$1559</definedName>
    <definedName name="vch901_1_2">'Verification Report'!$AQ$1565</definedName>
    <definedName name="vch901_1_3_1">'Verification Report'!$AQ$1570</definedName>
    <definedName name="vch901_1_3_2">'Verification Report'!$AQ$1573</definedName>
    <definedName name="vch901_1_4">'Verification Report'!$AQ$1576</definedName>
    <definedName name="vch901_1_5">'Verification Report'!$AQ$1580</definedName>
    <definedName name="vch901_1_6">'Verification Report'!$AQ$1583</definedName>
    <definedName name="vch901_10_1">'Verification Report'!$AQ$1695</definedName>
    <definedName name="vch901_10_2">'Verification Report'!$AQ$1700</definedName>
    <definedName name="vch901_10_3">'Verification Report'!$AQ$1701</definedName>
    <definedName name="vch901_11">'Verification Report'!$AQ$1705</definedName>
    <definedName name="vch901_12">'Verification Report'!$AQ$1710</definedName>
    <definedName name="vch901_13_1">'Verification Report'!$AQ$1714</definedName>
    <definedName name="vch901_13_2">'Verification Report'!$AQ$1715</definedName>
    <definedName name="vch901_14_1">'Verification Report'!$AQ$1718</definedName>
    <definedName name="vch901_14_2">'Verification Report'!$AQ$1720</definedName>
    <definedName name="vch901_2_1_1">'Verification Report'!$AQ$1589</definedName>
    <definedName name="vch901_2_1_2">'Verification Report'!$AQ$1592</definedName>
    <definedName name="vch901_2_1_3">'Verification Report'!$AQ$1594</definedName>
    <definedName name="vch901_2_1_4">'Verification Report'!$AQ$1597</definedName>
    <definedName name="vch901_2_1_5">'Verification Report'!$AQ$1599</definedName>
    <definedName name="vch901_2_2">'Verification Report'!$AQ$1601</definedName>
    <definedName name="vch901_3_1_a">'Verification Report'!$AQ$1604</definedName>
    <definedName name="vch901_3_1_b">'Verification Report'!$AQ$1606</definedName>
    <definedName name="vch901_3_1_c">'Verification Report'!$AQ$1608</definedName>
    <definedName name="vch901_3_2">'Verification Report'!$AQ$1614</definedName>
    <definedName name="vch901_4_1">'Verification Report'!$AQ$1618</definedName>
    <definedName name="vch901_4_a">'Verification Report'!$AQ$1623</definedName>
    <definedName name="vch901_4_b">'Verification Report'!$AQ$1624</definedName>
    <definedName name="vch901_4_c">'Verification Report'!$AQ$1625</definedName>
    <definedName name="vch901_4_d">'Verification Report'!$AQ$1626</definedName>
    <definedName name="vch901_5_1">'Verification Report'!$AQ$1637</definedName>
    <definedName name="vch901_5_2">'Verification Report'!$AQ$1639</definedName>
    <definedName name="vch901_6">'Verification Report'!$AQ$1642</definedName>
    <definedName name="vch901_7_1">'Verification Report'!$AQ$1651</definedName>
    <definedName name="vch901_7_2">'Verification Report'!$AQ$1661</definedName>
    <definedName name="vch901_7_3">'Verification Report'!$AQ$1662</definedName>
    <definedName name="vch901_8">'Verification Report'!$AQ$1665</definedName>
    <definedName name="vch901_9_1_1">'Verification Report'!$AQ$1676</definedName>
    <definedName name="vch901_9_1_2">'Verification Report'!$AQ$1678</definedName>
    <definedName name="vch901_9_1_3">'Verification Report'!$AQ$1679</definedName>
    <definedName name="vch901_9_2">'Verification Report'!$AQ$1681</definedName>
    <definedName name="vch901_9_3">'Verification Report'!$AQ$1686</definedName>
    <definedName name="vch902_1_1">'Verification Report'!$AQ$1726</definedName>
    <definedName name="vch902_1_1_a">'Verification Report'!$AQ$1728</definedName>
    <definedName name="vch902_1_2">'Verification Report'!$AQ$1736</definedName>
    <definedName name="vch902_1_2_">'Verification Report'!$AQ$1730</definedName>
    <definedName name="vch902_1_2_2">'Verification Report'!$AQ$1738</definedName>
    <definedName name="vch902_1_3">'Verification Report'!$AQ$1739</definedName>
    <definedName name="vch902_1_3_">'Verification Report'!$AQ$1732</definedName>
    <definedName name="vch902_1_4_1">'Verification Report'!$AQ$1745</definedName>
    <definedName name="vch902_1_4_2">'Verification Report'!$AQ$1747</definedName>
    <definedName name="vch902_1_5_1">'Verification Report'!$AQ$1750</definedName>
    <definedName name="vch902_1_5_2">'Verification Report'!$AQ$1752</definedName>
    <definedName name="vch902_1_5_3">'Verification Report'!$AQ$1754</definedName>
    <definedName name="vch902_2_1">'Verification Report'!$AQ$1758</definedName>
    <definedName name="vch902_2_2">'Verification Report'!$AQ$1767</definedName>
    <definedName name="vch902_2_3">'Verification Report'!$AQ$1769</definedName>
    <definedName name="vch902_2_4">'Verification Report'!$AQ$1772</definedName>
    <definedName name="vch902_3_1">'Verification Report'!$AQ$1777</definedName>
    <definedName name="vch902_3_2_a">'Verification Report'!$AQ$1781</definedName>
    <definedName name="vch902_4_1">'Verification Report'!$AQ$1784</definedName>
    <definedName name="vch902_4_2">'Verification Report'!$AQ$1786</definedName>
    <definedName name="vch902_5">'Verification Report'!$AQ$1789</definedName>
    <definedName name="vch902_6">'Verification Report'!$AQ$1791</definedName>
    <definedName name="vch903_1">'Verification Report'!$AQ$1795</definedName>
    <definedName name="vch903_2">'Verification Report'!$AQ$1799</definedName>
    <definedName name="vch903_3_1">'Verification Report'!$AQ$1805</definedName>
    <definedName name="vch903_3_2">'Verification Report'!$AQ$1806</definedName>
    <definedName name="vch904_1">'Verification Report'!$AQ$1811</definedName>
    <definedName name="vch904_2">'Verification Report'!$AQ$1816</definedName>
    <definedName name="vch905_1">'Verification Report'!$AQ$1820</definedName>
    <definedName name="vch905_2">'Verification Report'!$AQ$1825</definedName>
    <definedName name="verAGFloorArea">'Overview (Verification)'!$P$20</definedName>
    <definedName name="verAttachedGarage">'Overview (Verification)'!$P$46</definedName>
    <definedName name="verAttic">'Overview (Verification)'!$P$45</definedName>
    <definedName name="verBuilderName">'Overview (Verification)'!$P$8</definedName>
    <definedName name="verBuildingCode">'Overview (Verification)'!$P$58</definedName>
    <definedName name="verCDucts">'Overview (Verification)'!$P$37</definedName>
    <definedName name="verCity">'Overview (Verification)'!$P$11</definedName>
    <definedName name="verCool1">'Overview (Verification)'!$P$34</definedName>
    <definedName name="verCool2">'Overview (Verification)'!$P$35</definedName>
    <definedName name="verCool3">'Overview (Verification)'!$P$36</definedName>
    <definedName name="verCounty">'Overview (Verification)'!$P$13</definedName>
    <definedName name="verCToilet">'Overview (Verification)'!$P$55</definedName>
    <definedName name="verDuctless">'Overview (Verification)'!$P$52</definedName>
    <definedName name="verEnergyCode">'Overview (Verification)'!$P$57</definedName>
    <definedName name="verFloors">'Overview (Verification)'!$P$22</definedName>
    <definedName name="verFoundation">'Overview (Verification)'!$P$27</definedName>
    <definedName name="verFuel">'Overview (Verification)'!$P$32</definedName>
    <definedName name="verGoalLevel">Points!$T$10</definedName>
    <definedName name="verHDucts">'Overview (Verification)'!$P$33</definedName>
    <definedName name="verHERS">'Overview (Verification)'!$P$26</definedName>
    <definedName name="verHomeAddress">'Overview (Verification)'!$P$9</definedName>
    <definedName name="verHVAC1">'Overview (Verification)'!$P$29</definedName>
    <definedName name="verHVAC2">'Overview (Verification)'!$P$30</definedName>
    <definedName name="verHVAC3">'Overview (Verification)'!$P$31</definedName>
    <definedName name="verLot">'Overview (Verification)'!$P$10</definedName>
    <definedName name="verMassWalls">'Overview (Verification)'!$P$51</definedName>
    <definedName name="verPassiveSolar">'Overview (Verification)'!$P$50</definedName>
    <definedName name="verProjectDesc">'Overview (Verification)'!$P$24</definedName>
    <definedName name="verProjectID">'Overview (Verification)'!$P$60</definedName>
    <definedName name="verProjectName">'Overview (Verification)'!$P$18</definedName>
    <definedName name="verRadiantHydronic">'Overview (Verification)'!$P$53</definedName>
    <definedName name="verRecessedLighting">'Overview (Verification)'!$P$47</definedName>
    <definedName name="verRenewable">'Overview (Verification)'!$P$43</definedName>
    <definedName name="verSingleOrMulti">'Overview (Verification)'!$P$16</definedName>
    <definedName name="VersionDate">'Info &amp; Intro'!$E$7</definedName>
    <definedName name="VersionNum">'Info &amp; Intro'!$B$7</definedName>
    <definedName name="versSHGC">'Overview (Verification)'!$P$40</definedName>
    <definedName name="verStartError">Points!$B$4</definedName>
    <definedName name="verState">'Overview (Verification)'!$P$12</definedName>
    <definedName name="versUV">'Overview (Verification)'!$P$42</definedName>
    <definedName name="verTCFloorArea">'Overview (Verification)'!$P$21</definedName>
    <definedName name="verTEInsulation">'Overview (Verification)'!$P$44</definedName>
    <definedName name="verTLWH">'Overview (Verification)'!$P$54</definedName>
    <definedName name="verUnits">'Overview (Verification)'!$P$17</definedName>
    <definedName name="verwdSHGC">'Overview (Verification)'!$P$39</definedName>
    <definedName name="verwdUV">'Overview (Verification)'!$P$41</definedName>
    <definedName name="verZIP">'Overview (Verification)'!$P$14</definedName>
    <definedName name="vnt1001_1_1">'Verification Report'!$AS$1833</definedName>
    <definedName name="vnt1001_1_10">'Verification Report'!$AS$1848</definedName>
    <definedName name="vnt1001_1_11">'Verification Report'!$AS$1849</definedName>
    <definedName name="vnt1001_1_12">'Verification Report'!$AS$1850</definedName>
    <definedName name="vnt1001_1_13">'Verification Report'!$AS$1856</definedName>
    <definedName name="vnt1001_1_14">'Verification Report'!$AS$1860</definedName>
    <definedName name="vnt1001_1_15">'Verification Report'!$AS$1862</definedName>
    <definedName name="vnt1001_1_16">'Verification Report'!$AS$1864</definedName>
    <definedName name="vnt1001_1_17">'Verification Report'!$AS$1865</definedName>
    <definedName name="vnt1001_1_18">'Verification Report'!$AS$1867</definedName>
    <definedName name="vnt1001_1_19">'Verification Report'!$AS$1869</definedName>
    <definedName name="vnt1001_1_2">'Verification Report'!$AS$1834</definedName>
    <definedName name="vnt1001_1_20">'Verification Report'!$AS$1870</definedName>
    <definedName name="vnt1001_1_21">'Verification Report'!$AS$1872</definedName>
    <definedName name="vnt1001_1_22">'Verification Report'!$AS$1874</definedName>
    <definedName name="vnt1001_1_23">'Verification Report'!$AS$1876</definedName>
    <definedName name="vnt1001_1_24">'Verification Report'!$AS$1877</definedName>
    <definedName name="vnt1001_1_3">'Verification Report'!$AS$1835</definedName>
    <definedName name="vnt1001_1_4">'Verification Report'!$AS$1839</definedName>
    <definedName name="vnt1001_1_5">'Verification Report'!$AS$1840</definedName>
    <definedName name="vnt1001_1_6">'Verification Report'!$AS$1841</definedName>
    <definedName name="vnt1001_1_7">'Verification Report'!$AS$1843</definedName>
    <definedName name="vnt1001_1_8">'Verification Report'!$AS$1845</definedName>
    <definedName name="vnt1001_1_9">'Verification Report'!$AS$1846</definedName>
    <definedName name="vnt1001_2">'Verification Report'!$AS$1878</definedName>
    <definedName name="vnt1002_1_1">'Verification Report'!$AS$1899</definedName>
    <definedName name="vnt1002_1_2">'Verification Report'!$AS$1902</definedName>
    <definedName name="vnt1002_1_3">'Verification Report'!$AS$1905</definedName>
    <definedName name="vnt1002_1_4">'Verification Report'!$AS$1907</definedName>
    <definedName name="vnt1002_1_5">'Verification Report'!$AS$1908</definedName>
    <definedName name="vnt1002_1_6">'Verification Report'!$AS$1910</definedName>
    <definedName name="vnt1002_1_7">'Verification Report'!$AS$1911</definedName>
    <definedName name="vnt1002_1_8">'Verification Report'!$AS$1912</definedName>
    <definedName name="vnt1002_2_1">'Verification Report'!$AS$1918</definedName>
    <definedName name="vnt1002_2_10">'Verification Report'!$AS$1936</definedName>
    <definedName name="vnt1002_2_11">'Verification Report'!$AS$1939</definedName>
    <definedName name="vnt1002_2_2">'Verification Report'!$AS$1920</definedName>
    <definedName name="vnt1002_2_3">'Verification Report'!$AS$1923</definedName>
    <definedName name="vnt1002_2_4">'Verification Report'!$AS$1925</definedName>
    <definedName name="vnt1002_2_5">'Verification Report'!$AS$1928</definedName>
    <definedName name="vnt1002_2_6">'Verification Report'!$AS$1930</definedName>
    <definedName name="vnt1002_2_7">'Verification Report'!$AS$1931</definedName>
    <definedName name="vnt1002_2_8">'Verification Report'!$AS$1933</definedName>
    <definedName name="vnt1002_2_9">'Verification Report'!$AS$1935</definedName>
    <definedName name="vnt1002_3_1">'Verification Report'!$AS$1945</definedName>
    <definedName name="vnt1002_3_10">'Verification Report'!$AS$1966</definedName>
    <definedName name="vnt1002_3_2">'Verification Report'!$AS$1947</definedName>
    <definedName name="vnt1002_3_3">'Verification Report'!$AS$1951</definedName>
    <definedName name="vnt1002_3_4">'Verification Report'!$AS$1958</definedName>
    <definedName name="vnt1002_3_5">'Verification Report'!$AS$1960</definedName>
    <definedName name="vnt1002_3_6">'Verification Report'!$AS$1961</definedName>
    <definedName name="vnt1002_3_7">'Verification Report'!$AS$1963</definedName>
    <definedName name="vnt1002_3_8">'Verification Report'!$AS$1964</definedName>
    <definedName name="vnt1002_3_9">'Verification Report'!$AS$1965</definedName>
    <definedName name="vnt1002_4">'Verification Report'!$AS$1967</definedName>
    <definedName name="vnt1003_1_1">'Verification Report'!$AS$1984</definedName>
    <definedName name="vnt1003_1_2">'Verification Report'!$AS$1986</definedName>
    <definedName name="vnt1003_1_3">'Verification Report'!$AS$1989</definedName>
    <definedName name="vnt1004_1_1">'Verification Report'!$AS$2002</definedName>
    <definedName name="vnt1004_1_2">'Verification Report'!$AS$2004</definedName>
    <definedName name="vnt501_1">'Verification Report'!$AS$14</definedName>
    <definedName name="vnt501_2">'Verification Report'!$AS$18</definedName>
    <definedName name="vnt501_2_1">'Verification Report'!$AS$20</definedName>
    <definedName name="vnt501_2_2">'Verification Report'!$AS$22</definedName>
    <definedName name="vnt501_2_3">'Verification Report'!$AS$24</definedName>
    <definedName name="vnt501_2_4">'Verification Report'!$AS$26</definedName>
    <definedName name="vnt501_2_5">'Verification Report'!$AS$35</definedName>
    <definedName name="vnt501_2_6">'Verification Report'!$AS$38</definedName>
    <definedName name="vnt502_1">'Verification Report'!$AS$44</definedName>
    <definedName name="vnt503_0">'Verification Report'!$AS$49</definedName>
    <definedName name="vnt503_1">'Verification Report'!$AS$54</definedName>
    <definedName name="vnt503_2">'Verification Report'!$AS$66</definedName>
    <definedName name="vnt503_3">'Verification Report'!$AS$79</definedName>
    <definedName name="vnt503_4">'Verification Report'!$AS$92</definedName>
    <definedName name="vnt503_4_1">'Verification Report'!$AS$99</definedName>
    <definedName name="vnt503_4_2">'Verification Report'!$AS$102</definedName>
    <definedName name="vnt503_4_3">'Verification Report'!$AS$106</definedName>
    <definedName name="vnt503_4_4">'Verification Report'!$AS$113</definedName>
    <definedName name="vnt503_5">'Verification Report'!$AS$118</definedName>
    <definedName name="vnt503_5_1">'Verification Report'!$AS$122</definedName>
    <definedName name="vnt503_5_10">'Verification Report'!$AS$150</definedName>
    <definedName name="vnt503_5_11">'Verification Report'!$AS$152</definedName>
    <definedName name="vnt503_5_12">'Verification Report'!$AS$154</definedName>
    <definedName name="vnt503_5_2">'Verification Report'!$AS$128</definedName>
    <definedName name="vnt503_5_3">'Verification Report'!$AS$130</definedName>
    <definedName name="vnt503_5_4">'Verification Report'!$AS$132</definedName>
    <definedName name="vnt503_5_5">'Verification Report'!$AS$134</definedName>
    <definedName name="vnt503_5_6">'Verification Report'!$AS$139</definedName>
    <definedName name="vnt503_5_7">'Verification Report'!$AS$140</definedName>
    <definedName name="vnt503_5_8">'Verification Report'!$AS$145</definedName>
    <definedName name="vnt503_5_9">'Verification Report'!$AS$147</definedName>
    <definedName name="vnt503_6">'Verification Report'!$AS$156</definedName>
    <definedName name="vnt503_7">'Verification Report'!$AS$163</definedName>
    <definedName name="vnt503_8">'Verification Report'!$AS$169</definedName>
    <definedName name="vnt504_1">'Verification Report'!$AS$177</definedName>
    <definedName name="vnt504_2">'Verification Report'!$AS$182</definedName>
    <definedName name="vnt504_3">'Verification Report'!$AS$189</definedName>
    <definedName name="vnt504_3_1">'Verification Report'!$AS$192</definedName>
    <definedName name="vnt504_3_2">'Verification Report'!$AS$194</definedName>
    <definedName name="vnt504_3_3">'Verification Report'!$AS$195</definedName>
    <definedName name="vnt504_3_4">'Verification Report'!$AS$197</definedName>
    <definedName name="vnt504_3_5">'Verification Report'!$AS$199</definedName>
    <definedName name="vnt504_3_6">'Verification Report'!$AS$203</definedName>
    <definedName name="vnt504_3_7">'Verification Report'!$AS$206</definedName>
    <definedName name="vnt504_3_8">'Verification Report'!$AS$207</definedName>
    <definedName name="vnt504_3_9">'Verification Report'!$AS$215</definedName>
    <definedName name="vnt505_1_1">'Verification Report'!$AS$222</definedName>
    <definedName name="vnt505_1_2">'Verification Report'!$AS$224</definedName>
    <definedName name="vnt505_1_3">'Verification Report'!$AS$225</definedName>
    <definedName name="vnt505_1_4">'Verification Report'!$AS$229</definedName>
    <definedName name="vnt505_2_1">'Verification Report'!$AS$235</definedName>
    <definedName name="vnt505_2_2">'Verification Report'!$AS$245</definedName>
    <definedName name="vnt505_3">'Verification Report'!$AS$248</definedName>
    <definedName name="vnt505_4">'Verification Report'!$AS$254</definedName>
    <definedName name="vnt505_5">'Verification Report'!$AS$255</definedName>
    <definedName name="vnt505_6">'Verification Report'!$AS$257</definedName>
    <definedName name="vnt601_1">'Verification Report'!$AS$267</definedName>
    <definedName name="vnt601_2_1">'Verification Report'!$AS$283</definedName>
    <definedName name="vnt601_2_2">'Verification Report'!$AS$286</definedName>
    <definedName name="vnt601_2_3">'Verification Report'!$AS$289</definedName>
    <definedName name="vnt601_3_1">'Verification Report'!$AS$293</definedName>
    <definedName name="vnt601_3_2">'Verification Report'!$AS$294</definedName>
    <definedName name="vnt601_3_3">'Verification Report'!$AS$295</definedName>
    <definedName name="vnt601_3_4">'Verification Report'!$AS$296</definedName>
    <definedName name="vnt601_3_5">'Verification Report'!$AS$297</definedName>
    <definedName name="vnt601_4">'Verification Report'!$AS$298</definedName>
    <definedName name="vnt601_5_1">'Verification Report'!$AS$304</definedName>
    <definedName name="vnt601_5_2">'Verification Report'!$AS$305</definedName>
    <definedName name="vnt601_5_3">'Verification Report'!$AS$306</definedName>
    <definedName name="vnt601_5_4">'Verification Report'!$AS$307</definedName>
    <definedName name="vnt601_5_5">'Verification Report'!$AS$308</definedName>
    <definedName name="vnt601_6">'Verification Report'!$AS$309</definedName>
    <definedName name="vnt601_7">'Verification Report'!$AS$314</definedName>
    <definedName name="vnt601_8">'Verification Report'!$AS$332</definedName>
    <definedName name="vnt601_9">'Verification Report'!$AS$340</definedName>
    <definedName name="vnt602_1_1_1">'Verification Report'!$AS$351</definedName>
    <definedName name="vnt602_1_1_2">'Verification Report'!$AS$354</definedName>
    <definedName name="vnt602_1_10">'Verification Report'!$AS$451</definedName>
    <definedName name="vnt602_1_11">'Verification Report'!$AS$463</definedName>
    <definedName name="vnt602_1_12">'Verification Report'!$AS$465</definedName>
    <definedName name="vnt602_1_13">'Verification Report'!$AS$468</definedName>
    <definedName name="vnt602_1_14_1">'Verification Report'!$AS$474</definedName>
    <definedName name="vnt602_1_14_2">'Verification Report'!$AS$476</definedName>
    <definedName name="vnt602_1_14_3">'Verification Report'!$AS$477</definedName>
    <definedName name="vnt602_1_2">'Verification Report'!$AS$356</definedName>
    <definedName name="vnt602_1_3_1">'Verification Report'!$AS$361</definedName>
    <definedName name="vnt602_1_3_2">'Verification Report'!$AS$363</definedName>
    <definedName name="vnt602_1_4_1_1">'Verification Report'!$AS$369</definedName>
    <definedName name="vnt602_1_4_1_2">'Verification Report'!$AS$371</definedName>
    <definedName name="vnt602_1_4_2_1">'Verification Report'!$AS$375</definedName>
    <definedName name="vnt602_1_4_2_2">'Verification Report'!$AS$377</definedName>
    <definedName name="vnt602_1_5">'Verification Report'!$AS$380</definedName>
    <definedName name="vnt602_1_6_1">'Verification Report'!$AS$389</definedName>
    <definedName name="vnt602_1_7_1_1">'Verification Report'!$AS$402</definedName>
    <definedName name="vnt602_1_7_1_2">'Verification Report'!$AS$404</definedName>
    <definedName name="vnt602_1_7_1_3">'Verification Report'!$AS$407</definedName>
    <definedName name="vnt602_1_7_2">'Verification Report'!$AS$409</definedName>
    <definedName name="vnt602_1_7_3">'Verification Report'!$AS$411</definedName>
    <definedName name="vnt602_1_8">'Verification Report'!$AS$415</definedName>
    <definedName name="vnt602_1_9_1">'Verification Report'!$AS$423</definedName>
    <definedName name="vnt602_1_9_2">'Verification Report'!$AS$433</definedName>
    <definedName name="vnt602_1_9_3">'Verification Report'!$AS$436</definedName>
    <definedName name="vnt602_1_9_4">'Verification Report'!$AS$437</definedName>
    <definedName name="vnt602_1_9_5">'Verification Report'!$AS$441</definedName>
    <definedName name="vnt602_1_9_6">'Verification Report'!$AS$447</definedName>
    <definedName name="vnt602_1_9_7">'Verification Report'!$AS$449</definedName>
    <definedName name="vnt602_2_1">'Verification Report'!$AS$482</definedName>
    <definedName name="vnt602_2_2">'Verification Report'!$AS$484</definedName>
    <definedName name="vnt602_2_3">'Verification Report'!$AS$485</definedName>
    <definedName name="vnt602_3">'Verification Report'!$AS$488</definedName>
    <definedName name="vnt602_4_1">'Verification Report'!$AS$492</definedName>
    <definedName name="vnt602_4_2">'Verification Report'!$AS$497</definedName>
    <definedName name="vnt602_4_3">'Verification Report'!$AS$499</definedName>
    <definedName name="vnt603_1">'Verification Report'!$AS$503</definedName>
    <definedName name="vnt603_2">'Verification Report'!$AS$509</definedName>
    <definedName name="vnt603_3">'Verification Report'!$AS$516</definedName>
    <definedName name="vnt604_1a">'Verification Report'!$AS$520</definedName>
    <definedName name="vnt604_1b">'Verification Report'!$AS$522</definedName>
    <definedName name="vnt604_1c">'Verification Report'!$AS$524</definedName>
    <definedName name="vnt604_1d">'Verification Report'!$AS$526</definedName>
    <definedName name="vnt605_1">'Verification Report'!$AS$532</definedName>
    <definedName name="vnt605_2">'Verification Report'!$AS$547</definedName>
    <definedName name="vnt605_3_2_a">'Verification Report'!$AS$560</definedName>
    <definedName name="vnt605_3_2_h">'Verification Report'!$AS$567</definedName>
    <definedName name="vnt605_3_2_i">'Verification Report'!$AS$568</definedName>
    <definedName name="vnt606_1_a">'Verification Report'!$AS$573</definedName>
    <definedName name="vnt606_2_1a">'Verification Report'!$AS$600</definedName>
    <definedName name="vnt606_2_1b">'Verification Report'!$AS$601</definedName>
    <definedName name="vnt606_2_2a">'Verification Report'!$AS$603</definedName>
    <definedName name="vnt606_2_2b">'Verification Report'!$AS$604</definedName>
    <definedName name="vnt606_3">'Verification Report'!$AS$606</definedName>
    <definedName name="vnt607_1_1">'Verification Report'!$AS$615</definedName>
    <definedName name="vnt607_1_2">'Verification Report'!$AS$617</definedName>
    <definedName name="vnt607_2">'Verification Report'!$AS$618</definedName>
    <definedName name="vnt608_1">'Verification Report'!$AS$621</definedName>
    <definedName name="vnt609_1a">'Verification Report'!$AS$630</definedName>
    <definedName name="vnt609_1b">'Verification Report'!$AS$633</definedName>
    <definedName name="vnt610_1_1_1">'Verification Report'!$AS$646</definedName>
    <definedName name="vnt610_1_1_2">'Verification Report'!$AS$655</definedName>
    <definedName name="vnt610_1_1_3">'Verification Report'!$AS$662</definedName>
    <definedName name="vnt610_1_2_1">'Verification Report'!$AS$668</definedName>
    <definedName name="vnt610_1_2_1_e">'Verification Report'!$AS$675</definedName>
    <definedName name="vnt610_1_2_2_e">'Verification Report'!$AS$700</definedName>
    <definedName name="vnt610_1_2_2a">'Verification Report'!$AS$682</definedName>
    <definedName name="vnt610_1_2_2b">'Verification Report'!$AS$688</definedName>
    <definedName name="vnt610_1_2_2c">'Verification Report'!$AS$694</definedName>
    <definedName name="vnt611_1">'Verification Report'!$AS$707</definedName>
    <definedName name="vnt611_2_1">'Verification Report'!$AS$718</definedName>
    <definedName name="vnt611_2_2">'Verification Report'!$AS$719</definedName>
    <definedName name="vnt611_2_3">'Verification Report'!$AS$720</definedName>
    <definedName name="vnt611_2_4">'Verification Report'!$AS$721</definedName>
    <definedName name="vnt611_2_5">'Verification Report'!$AS$722</definedName>
    <definedName name="vnt611_2_6">'Verification Report'!$AS$723</definedName>
    <definedName name="vnt611_2_7">'Verification Report'!$AS$724</definedName>
    <definedName name="vnt611_3_1">'Verification Report'!$AS$728</definedName>
    <definedName name="vnt611_3_2">'Verification Report'!$AS$733</definedName>
    <definedName name="vnt611_3_3">'Verification Report'!$AS$737</definedName>
    <definedName name="vnt611_3_4">'Verification Report'!$AS$739</definedName>
    <definedName name="vnt611_3_5">'Verification Report'!$AS$741</definedName>
    <definedName name="vnt611_3_6">'Verification Report'!$AS$742</definedName>
    <definedName name="vnt611_3_7">'Verification Report'!$AS$743</definedName>
    <definedName name="vnt611_3_8">'Verification Report'!$AS$747</definedName>
    <definedName name="vnt611_3_9">'Verification Report'!$AS$749</definedName>
    <definedName name="vnt611_4_1">'Verification Report'!$AS$756</definedName>
    <definedName name="vnt611_4_2">'Verification Report'!$AS$765</definedName>
    <definedName name="vnt701_1_1">'Verification Report'!$AS$777</definedName>
    <definedName name="vnt701_1_2">'Verification Report'!$AS$779</definedName>
    <definedName name="vnt701_1_3">'Verification Report'!$AS$782</definedName>
    <definedName name="vnt701_1_4">'Verification Report'!$AS$785</definedName>
    <definedName name="vnt701_3">'Verification Report'!$AS$795</definedName>
    <definedName name="vnt701_4_1">'Verification Report'!$AS$809</definedName>
    <definedName name="vnt701_4_1_1">'Verification Report'!$AS$800</definedName>
    <definedName name="vnt701_4_1_2">'Verification Report'!$AS$803</definedName>
    <definedName name="vnt701_4_2_2">'Verification Report'!$AS$812</definedName>
    <definedName name="vnt701_4_2_3">'Verification Report'!$AS$813</definedName>
    <definedName name="vnt701_4_3_1">'Verification Report'!$AS$816</definedName>
    <definedName name="vnt701_4_3_1_a">'Verification Report'!$AS$820</definedName>
    <definedName name="vnt701_4_3_1_b">'Verification Report'!$AS$821</definedName>
    <definedName name="vnt701_4_3_1_c">'Verification Report'!$AS$822</definedName>
    <definedName name="vnt701_4_3_1_d">'Verification Report'!$AS$823</definedName>
    <definedName name="vnt701_4_3_1_e">'Verification Report'!$AS$824</definedName>
    <definedName name="vnt701_4_3_1_f">'Verification Report'!$AS$825</definedName>
    <definedName name="vnt701_4_3_1_g">'Verification Report'!$AS$826</definedName>
    <definedName name="vnt701_4_3_1_h">'Verification Report'!$AS$827</definedName>
    <definedName name="vnt701_4_3_1_i">'Verification Report'!$AS$828</definedName>
    <definedName name="vnt701_4_3_1_j">'Verification Report'!$AS$829</definedName>
    <definedName name="vnt701_4_3_1_k">'Verification Report'!$AS$830</definedName>
    <definedName name="vnt701_4_3_1_l">'Verification Report'!$AS$831</definedName>
    <definedName name="vnt701_4_3_2_1_">'Verification Report'!$AS$835</definedName>
    <definedName name="vnt701_4_3_2_1_1">'Verification Report'!$AS$855</definedName>
    <definedName name="vnt701_4_3_2_1_10">'Verification Report'!$AS$872</definedName>
    <definedName name="vnt701_4_3_2_1_11">'Verification Report'!$AS$875</definedName>
    <definedName name="vnt701_4_3_2_1_2">'Verification Report'!$AS$856</definedName>
    <definedName name="vnt701_4_3_2_1_3">'Verification Report'!$AS$858</definedName>
    <definedName name="vnt701_4_3_2_1_4">'Verification Report'!$AS$859</definedName>
    <definedName name="vnt701_4_3_2_1_5">'Verification Report'!$AS$863</definedName>
    <definedName name="vnt701_4_3_2_1_6">'Verification Report'!$AS$865</definedName>
    <definedName name="vnt701_4_3_2_1_7">'Verification Report'!$AS$868</definedName>
    <definedName name="vnt701_4_3_2_1_8">'Verification Report'!$AS$870</definedName>
    <definedName name="vnt701_4_3_2_1_9">'Verification Report'!$AS$871</definedName>
    <definedName name="vnt701_4_3_2_1_a">'Verification Report'!$AS$840</definedName>
    <definedName name="vnt701_4_3_2_1_b">'Verification Report'!$AS$841</definedName>
    <definedName name="vnt701_4_3_2_1_c">'Verification Report'!$AS$843</definedName>
    <definedName name="vnt701_4_3_2_1_d">'Verification Report'!$AS$844</definedName>
    <definedName name="vnt701_4_3_2_1_e">'Verification Report'!$AS$846</definedName>
    <definedName name="vnt701_4_3_2_1_f">'Verification Report'!$AS$847</definedName>
    <definedName name="vnt701_4_3_2_1_g">'Verification Report'!$AS$848</definedName>
    <definedName name="vnt701_4_3_2_1_h">'Verification Report'!$AS$849</definedName>
    <definedName name="vnt701_4_3_2_2">'Verification Report'!$AS$851</definedName>
    <definedName name="vnt701_4_3_2e">'Verification Report'!$AS$838</definedName>
    <definedName name="vnt701_4_3_3_3">'Verification Report'!$AS$878</definedName>
    <definedName name="vnt701_4_3_3_4">'Verification Report'!$AS$881</definedName>
    <definedName name="vnt701_4_3_3_5">'Verification Report'!$AS$887</definedName>
    <definedName name="vnt701_4_4_1">'Verification Report'!$AS$895</definedName>
    <definedName name="vnt701_4_4_2">'Verification Report'!$AS$897</definedName>
    <definedName name="vnt701_4_5">'Verification Report'!$AS$898</definedName>
    <definedName name="vnt702_2_1">'Verification Report'!$AS$903</definedName>
    <definedName name="vnt702_2_2">'Verification Report'!$AS$907</definedName>
    <definedName name="vnt702_2_2_m">'Verification Report'!$AS$913</definedName>
    <definedName name="vnt702_2_3">'Verification Report'!$AS$916</definedName>
    <definedName name="vnt703_1_1">'Verification Report'!$AS$920</definedName>
    <definedName name="vnt703_1_2">'Verification Report'!$AS$933</definedName>
    <definedName name="vnt703_1_3">'Verification Report'!$AS$936</definedName>
    <definedName name="vnt703_2_1">'Verification Report'!$AS$939</definedName>
    <definedName name="vnt703_2_2">'Verification Report'!$AS$946</definedName>
    <definedName name="vnt703_2_3">'Verification Report'!$AS$948</definedName>
    <definedName name="vnt703_2_4">'Verification Report'!$AS$951</definedName>
    <definedName name="vnt703_2_5_1">'Verification Report'!$AS$955</definedName>
    <definedName name="vnt703_2_5_1_1">'Verification Report'!$AS$962</definedName>
    <definedName name="vnt703_2_5_2">'Verification Report'!$AS$970</definedName>
    <definedName name="vnt703_2_5_2_1">'Verification Report'!$AS$978</definedName>
    <definedName name="vnt703_3_0_1">'Verification Report'!$AS$987</definedName>
    <definedName name="vnt703_3_0_2">'Verification Report'!$AS$993</definedName>
    <definedName name="vnt703_3_1">'Verification Report'!$AS$1000</definedName>
    <definedName name="vnt703_3_2__1">'Verification Report'!$AS$1006</definedName>
    <definedName name="vnt703_3_2__2">'Verification Report'!$AS$1012</definedName>
    <definedName name="vnt703_3_2__3">'Verification Report'!$AS$1015</definedName>
    <definedName name="vnt703_3_2__4">'Verification Report'!$AS$1020</definedName>
    <definedName name="vnt703_3_3__1">'Verification Report'!$AS$1026</definedName>
    <definedName name="vnt703_3_3__3">'Verification Report'!$AS$1031</definedName>
    <definedName name="vnt703_3_4_1">'Verification Report'!$AS$1035</definedName>
    <definedName name="vnt703_3_4_1_5">'Verification Report'!$AS$1040</definedName>
    <definedName name="vnt703_3_4_2">'Verification Report'!$AS$1042</definedName>
    <definedName name="vnt703_3_5">'Verification Report'!$AS$1043</definedName>
    <definedName name="vnt703_3_6">'Verification Report'!$AS$1047</definedName>
    <definedName name="vnt703_3_7_1">'Verification Report'!$AS$1053</definedName>
    <definedName name="vnt703_3_8">'Verification Report'!$AS$1060</definedName>
    <definedName name="vnt703_4_1">'Verification Report'!$AS$1066</definedName>
    <definedName name="vnt703_4_2">'Verification Report'!$AS$1068</definedName>
    <definedName name="vnt703_4_3_1">'Verification Report'!$AS$1071</definedName>
    <definedName name="vnt703_4_3_2">'Verification Report'!$AS$1072</definedName>
    <definedName name="vnt703_4_3_3">'Verification Report'!$AS$1074</definedName>
    <definedName name="vnt703_4_4">'Verification Report'!$AS$1076</definedName>
    <definedName name="vnt703_5_1">'Verification Report'!$AS$1086</definedName>
    <definedName name="vnt703_5_2">'Verification Report'!$AS$1104</definedName>
    <definedName name="vnt703_5_3">'Verification Report'!$AS$1106</definedName>
    <definedName name="vnt703_5_4">'Verification Report'!$AS$1108</definedName>
    <definedName name="vnt703_5_5">'Verification Report'!$AS$1109</definedName>
    <definedName name="vnt703_6_1_1">'Verification Report'!$AS$1120</definedName>
    <definedName name="vnt703_6_1_2">'Verification Report'!$AS$1122</definedName>
    <definedName name="vnt703_6_1_3">'Verification Report'!$AS$1124</definedName>
    <definedName name="vnt703_6_2__1">'Verification Report'!$AS$1127</definedName>
    <definedName name="vnt703_6_2__2">'Verification Report'!$AS$1128</definedName>
    <definedName name="vnt703_6_2__3">'Verification Report'!$AS$1129</definedName>
    <definedName name="vnt703_7_1">'Verification Report'!$AS$1155</definedName>
    <definedName name="vnt703_7_1_1">'Verification Report'!$AS$1134</definedName>
    <definedName name="vnt703_7_1_2">'Verification Report'!$AS$1136</definedName>
    <definedName name="vnt703_7_1_3">'Verification Report'!$AS$1138</definedName>
    <definedName name="vnt703_7_1_4">'Verification Report'!$AS$1140</definedName>
    <definedName name="vnt703_7_1_5">'Verification Report'!$AS$1142</definedName>
    <definedName name="vnt703_7_1_6_a">'Verification Report'!$AS$1145</definedName>
    <definedName name="vnt703_7_1_6_b">'Verification Report'!$AS$1147</definedName>
    <definedName name="vnt703_7_1_6_c">'Verification Report'!$AS$1148</definedName>
    <definedName name="vnt703_7_1_7">'Verification Report'!$AS$1150</definedName>
    <definedName name="vnt703_7_1_8">'Verification Report'!$AS$1153</definedName>
    <definedName name="vnt703_7_1_9">'Verification Report'!$AS$1154</definedName>
    <definedName name="vnt703_7_2">'Verification Report'!$AS$1160</definedName>
    <definedName name="vnt703_7_3_1_a">'Verification Report'!$AS$1168</definedName>
    <definedName name="vnt703_7_3_1_b">'Verification Report'!$AS$1170</definedName>
    <definedName name="vnt703_7_3_1_c">'Verification Report'!$AS$1171</definedName>
    <definedName name="vnt703_7_3_1_d">'Verification Report'!$AS$1172</definedName>
    <definedName name="vnt703_7_3_2">'Verification Report'!$AS$1174</definedName>
    <definedName name="vnt703_7_3_3">'Verification Report'!$AS$1177</definedName>
    <definedName name="vnt703_7_3_4">'Verification Report'!$AS$1178</definedName>
    <definedName name="vnt703_7_3_5_a">'Verification Report'!$AS$1183</definedName>
    <definedName name="vnt703_7_3_5_b">'Verification Report'!$AS$1185</definedName>
    <definedName name="vnt703_7_3_6">'Verification Report'!$AS$1187</definedName>
    <definedName name="vnt703_7_4_1">'Verification Report'!$AS$1192</definedName>
    <definedName name="vnt703_7_4_2_a">'Verification Report'!$AS$1196</definedName>
    <definedName name="vnt703_7_4_2_b">'Verification Report'!$AS$1199</definedName>
    <definedName name="vnt703_7_4_2_c">'Verification Report'!$AS$1207</definedName>
    <definedName name="vnt703_7_4_3">'Verification Report'!$AS$1210</definedName>
    <definedName name="vnt704_1">'Verification Report'!$AS$1213</definedName>
    <definedName name="vnt705_2_1_1">'Verification Report'!$AS$1226</definedName>
    <definedName name="vnt705_2_1_2">'Verification Report'!$AS$1230</definedName>
    <definedName name="vnt705_2_1_3_1">'Verification Report'!$AS$1233</definedName>
    <definedName name="vnt705_2_1_3_2">'Verification Report'!$AS$1237</definedName>
    <definedName name="vnt705_2_1_4">'Verification Report'!$AS$1242</definedName>
    <definedName name="vnt705_2_2">'Verification Report'!$AS$1247</definedName>
    <definedName name="vnt705_2_3">'Verification Report'!$AS$1250</definedName>
    <definedName name="vnt705_2_4">'Verification Report'!$AS$1252</definedName>
    <definedName name="vnt705_3">'Verification Report'!$AS$1255</definedName>
    <definedName name="vnt705_4">'Verification Report'!$AS$1256</definedName>
    <definedName name="vnt705_5_1">'Verification Report'!$AS$1260</definedName>
    <definedName name="vnt705_5_2">'Verification Report'!$AS$1265</definedName>
    <definedName name="vnt705_5_2_1">'Verification Report'!$AS$1267</definedName>
    <definedName name="vnt705_5_2_2">'Verification Report'!$AS$1268</definedName>
    <definedName name="vnt705_5_2_3">'Verification Report'!$AS$1269</definedName>
    <definedName name="vnt705_5_2_4">'Verification Report'!$AS$1270</definedName>
    <definedName name="vnt705_5_2_5">'Verification Report'!$AS$1271</definedName>
    <definedName name="vnt705_5_2_6">'Verification Report'!$AS$1272</definedName>
    <definedName name="vnt705_6_1">'Verification Report'!$AS$1274</definedName>
    <definedName name="vnt705_6_2_1_1">'Verification Report'!$AS$1287</definedName>
    <definedName name="vnt705_6_2_1_2">'Verification Report'!$AS$1288</definedName>
    <definedName name="vnt705_6_2_2">'Verification Report'!$AS$1291</definedName>
    <definedName name="vnt705_6_2_3">'Verification Report'!$AS$1299</definedName>
    <definedName name="vnt705_6_3_a">'Verification Report'!$AS$1308</definedName>
    <definedName name="vnt705_6_3_b">'Verification Report'!$AS$1309</definedName>
    <definedName name="vnt705_6_3_c">'Verification Report'!$AS$1310</definedName>
    <definedName name="vnt705_6_3_d">'Verification Report'!$AS$1311</definedName>
    <definedName name="vnt705_6_3_e">'Verification Report'!$AS$1312</definedName>
    <definedName name="vnt705_6_3_f">'Verification Report'!$AS$1313</definedName>
    <definedName name="vnt705_6_3_g">'Verification Report'!$AS$1314</definedName>
    <definedName name="vnt705_6_4_1">'Verification Report'!$AS$1317</definedName>
    <definedName name="vnt705_6_4_2">'Verification Report'!$AS$1319</definedName>
    <definedName name="vnt705_7">'Verification Report'!$AS$1321</definedName>
    <definedName name="vnt706_1_1">'Verification Report'!$AS$1328</definedName>
    <definedName name="vnt706_1_2">'Verification Report'!$AS$1329</definedName>
    <definedName name="vnt706_1_3">'Verification Report'!$AS$1330</definedName>
    <definedName name="vnt706_1_4">'Verification Report'!$AS$1331</definedName>
    <definedName name="vnt706_1_5">'Verification Report'!$AS$1333</definedName>
    <definedName name="vnt706_2_1">'Verification Report'!$AS$1336</definedName>
    <definedName name="vnt706_2_2">'Verification Report'!$AS$1339</definedName>
    <definedName name="vnt706_3">'Verification Report'!$AS$1346</definedName>
    <definedName name="vnt706_3_1">'Verification Report'!$AS$1354</definedName>
    <definedName name="vnt706_3_2">'Verification Report'!$AS$1355</definedName>
    <definedName name="vnt706_3_3">'Verification Report'!$AS$1356</definedName>
    <definedName name="vnt706_3_4">'Verification Report'!$AS$1357</definedName>
    <definedName name="vnt706_3_5">'Verification Report'!$AS$1358</definedName>
    <definedName name="vnt706_3_6">'Verification Report'!$AS$1359</definedName>
    <definedName name="vnt706_3_7">'Verification Report'!$AS$1360</definedName>
    <definedName name="vnt706_3_8">'Verification Report'!$AS$1361</definedName>
    <definedName name="vnt706_4_1_1">'Verification Report'!$AS$1364</definedName>
    <definedName name="vnt706_4_1_2">'Verification Report'!$AS$1366</definedName>
    <definedName name="vnt706_4_2">'Verification Report'!$AS$1368</definedName>
    <definedName name="vnt706_5">'Verification Report'!$AS$1370</definedName>
    <definedName name="vnt706_6">'Verification Report'!$AS$1379</definedName>
    <definedName name="vnt706_7_1">'Verification Report'!$AS$1383</definedName>
    <definedName name="vnt706_7_2">'Verification Report'!$AS$1384</definedName>
    <definedName name="vnt706_8">'Verification Report'!$AS$1387</definedName>
    <definedName name="vnt706_9">'Verification Report'!$AS$1390</definedName>
    <definedName name="vnt801_1_1">'Verification Report'!$AS$1411</definedName>
    <definedName name="vnt801_1_5">'Verification Report'!$AS$1422</definedName>
    <definedName name="vnt801_1_6">'Verification Report'!$AS$1427</definedName>
    <definedName name="vnt801_2_1">'Verification Report'!$AS$1432</definedName>
    <definedName name="vnt801_2_2">'Verification Report'!$AS$1433</definedName>
    <definedName name="vnt801_3_1">'Verification Report'!$AS$1440</definedName>
    <definedName name="vnt801_3_2">'Verification Report'!$AS$1449</definedName>
    <definedName name="vnt801_3_3">'Verification Report'!$AS$1454</definedName>
    <definedName name="vnt801_4_1_1">'Verification Report'!$AS$1459</definedName>
    <definedName name="vnt801_4_1_2">'Verification Report'!$AS$1463</definedName>
    <definedName name="vnt801_4_2">'Verification Report'!$AS$1464</definedName>
    <definedName name="vnt801_5_1">'Verification Report'!$AS$1469</definedName>
    <definedName name="vnt801_5_2">'Verification Report'!$AS$1471</definedName>
    <definedName name="vnt801_5_3">'Verification Report'!$AS$1477</definedName>
    <definedName name="vnt801_5_4_a">'Verification Report'!$AS$1480</definedName>
    <definedName name="vnt801_5_4_b">'Verification Report'!$AS$1484</definedName>
    <definedName name="vnt801_5_4_c">'Verification Report'!$AS$1486</definedName>
    <definedName name="vnt801_6_1">'Verification Report'!$AS$1488</definedName>
    <definedName name="vnt801_6_2_1">'Verification Report'!$AS$1492</definedName>
    <definedName name="vnt801_6_2_2">'Verification Report'!$AS$1493</definedName>
    <definedName name="vnt801_6_2_3">'Verification Report'!$AS$1494</definedName>
    <definedName name="vnt801_6_3">'Verification Report'!$AS$1496</definedName>
    <definedName name="vnt801_6_4_1">'Verification Report'!$AS$1502</definedName>
    <definedName name="vnt801_6_4_2">'Verification Report'!$AS$1504</definedName>
    <definedName name="vnt801_6_4_3">'Verification Report'!$AS$1505</definedName>
    <definedName name="vnt801_6_5">'Verification Report'!$AS$1509</definedName>
    <definedName name="vnt801_7_1">'Verification Report'!$AS$1513</definedName>
    <definedName name="vnt801_7_2_1">'Verification Report'!$AS$1527</definedName>
    <definedName name="vnt801_7_2_2">'Verification Report'!$AS$1529</definedName>
    <definedName name="vnt801_8">'Verification Report'!$AS$1530</definedName>
    <definedName name="vnt802_1_1">'Verification Report'!$AS$1537</definedName>
    <definedName name="vnt802_1_2">'Verification Report'!$AS$1539</definedName>
    <definedName name="vnt802_2">'Verification Report'!$AS$1540</definedName>
    <definedName name="vnt802_3_1">'Verification Report'!$AS$1546</definedName>
    <definedName name="vnt802_3_2">'Verification Report'!$AS$1547</definedName>
    <definedName name="vnt802_4">'Verification Report'!$AS$1548</definedName>
    <definedName name="vnt802_5">'Verification Report'!$AS$1551</definedName>
    <definedName name="vnt802_6">'Verification Report'!$AS$1553</definedName>
    <definedName name="vnt901_1_1">'Verification Report'!$AS$1559</definedName>
    <definedName name="vnt901_1_2">'Verification Report'!$AS$1565</definedName>
    <definedName name="vnt901_1_3_1">'Verification Report'!$AS$1570</definedName>
    <definedName name="vnt901_1_3_2">'Verification Report'!$AS$1573</definedName>
    <definedName name="vnt901_1_4">'Verification Report'!$AS$1576</definedName>
    <definedName name="vnt901_1_5">'Verification Report'!$AS$1580</definedName>
    <definedName name="vnt901_1_6">'Verification Report'!$AS$1583</definedName>
    <definedName name="vnt901_10_1">'Verification Report'!$AS$1695</definedName>
    <definedName name="vnt901_10_2">'Verification Report'!$AS$1700</definedName>
    <definedName name="vnt901_10_3">'Verification Report'!$AS$1701</definedName>
    <definedName name="vnt901_11">'Verification Report'!$AS$1705</definedName>
    <definedName name="vnt901_12">'Verification Report'!$AS$1710</definedName>
    <definedName name="vnt901_13">'Verification Report'!$AS$1712</definedName>
    <definedName name="vnt901_14_1">'Verification Report'!$AS$1718</definedName>
    <definedName name="vnt901_14_2">'Verification Report'!$AS$1720</definedName>
    <definedName name="vnt901_2_1_1">'Verification Report'!$AS$1589</definedName>
    <definedName name="vnt901_2_1_2">'Verification Report'!$AS$1592</definedName>
    <definedName name="vnt901_2_1_3">'Verification Report'!$AS$1594</definedName>
    <definedName name="vnt901_2_1_4">'Verification Report'!$AS$1597</definedName>
    <definedName name="vnt901_2_1_5">'Verification Report'!$AS$1599</definedName>
    <definedName name="vnt901_2_2">'Verification Report'!$AS$1601</definedName>
    <definedName name="vnt901_3_1_a">'Verification Report'!$AS$1604</definedName>
    <definedName name="vnt901_3_1_b">'Verification Report'!$AS$1606</definedName>
    <definedName name="vnt901_3_1_c">'Verification Report'!$AS$1608</definedName>
    <definedName name="vnt901_3_2">'Verification Report'!$AS$1614</definedName>
    <definedName name="vnt901_4_1">'Verification Report'!$AS$1618</definedName>
    <definedName name="vnt901_4_a">'Verification Report'!$AS$1623</definedName>
    <definedName name="vnt901_5_1">'Verification Report'!$AS$1637</definedName>
    <definedName name="vnt901_5_2">'Verification Report'!$AS$1639</definedName>
    <definedName name="vnt901_6">'Verification Report'!$AS$1642</definedName>
    <definedName name="vnt901_7_1">'Verification Report'!$AS$1651</definedName>
    <definedName name="vnt901_7_2">'Verification Report'!$AS$1661</definedName>
    <definedName name="vnt901_8">'Verification Report'!$AS$1665</definedName>
    <definedName name="vnt901_9">'Verification Report'!$AS$1671</definedName>
    <definedName name="vnt901_9_1_1">'Verification Report'!$AS$1676</definedName>
    <definedName name="vnt901_9_1_2">'Verification Report'!$AS$1678</definedName>
    <definedName name="vnt901_9_1_3">'Verification Report'!$AS$1679</definedName>
    <definedName name="vnt901_9_2">'Verification Report'!$AS$1681</definedName>
    <definedName name="vnt901_9_3">'Verification Report'!$AS$1686</definedName>
    <definedName name="vnt902_1_1">'Verification Report'!$AS$1726</definedName>
    <definedName name="vnt902_1_1_a">'Verification Report'!$AS$1728</definedName>
    <definedName name="vnt902_1_2">'Verification Report'!$AS$1735</definedName>
    <definedName name="vnt902_1_2_">'Verification Report'!$AS$1730</definedName>
    <definedName name="vnt902_1_3">'Verification Report'!$AS$1739</definedName>
    <definedName name="vnt902_1_3_">'Verification Report'!$AS$1732</definedName>
    <definedName name="vnt902_1_4">'Verification Report'!$AS$1743</definedName>
    <definedName name="vnt902_1_5_1">'Verification Report'!$AS$1750</definedName>
    <definedName name="vnt902_1_5_2">'Verification Report'!$AS$1752</definedName>
    <definedName name="vnt902_1_5_3">'Verification Report'!$AS$1754</definedName>
    <definedName name="vnt902_2_1">'Verification Report'!$AS$1758</definedName>
    <definedName name="vnt902_2_2">'Verification Report'!$AS$1767</definedName>
    <definedName name="vnt902_2_3">'Verification Report'!$AS$1769</definedName>
    <definedName name="vnt902_2_4">'Verification Report'!$AS$1772</definedName>
    <definedName name="vnt902_3">'Verification Report'!$AS$1775</definedName>
    <definedName name="vnt902_4_1">'Verification Report'!$AS$1784</definedName>
    <definedName name="vnt902_4_2">'Verification Report'!$AS$1786</definedName>
    <definedName name="vnt902_5">'Verification Report'!$AS$1789</definedName>
    <definedName name="vnt902_6">'Verification Report'!$AS$1791</definedName>
    <definedName name="vnt903_1">'Verification Report'!$AS$1795</definedName>
    <definedName name="vnt903_2">'Verification Report'!$AS$1799</definedName>
    <definedName name="vnt903_3">'Verification Report'!$AS$1803</definedName>
    <definedName name="vnt904_1">'Verification Report'!$AS$1811</definedName>
    <definedName name="vnt904_2">'Verification Report'!$AS$1816</definedName>
    <definedName name="vnt905_1">'Verification Report'!$AS$1820</definedName>
    <definedName name="vnt905_2">'Verification Report'!$AS$1825</definedName>
    <definedName name="vpa1001_1">'Verification Report'!$AM$1830</definedName>
    <definedName name="vpa1001_1_1">'Verification Report'!$AM$1833</definedName>
    <definedName name="vpa1001_1_2">'Verification Report'!$AM$1834</definedName>
    <definedName name="vpa1001_1_3">'Verification Report'!$AM$1835</definedName>
    <definedName name="vpa1001_2">'Verification Report'!$AM$1878</definedName>
    <definedName name="vpa1002_1">'Verification Report'!$AM$1896</definedName>
    <definedName name="vpa1002_1_1">'Verification Report'!$AM$1899</definedName>
    <definedName name="vpa1002_1_2">'Verification Report'!$AM$1902</definedName>
    <definedName name="vpa1002_1_3">'Verification Report'!$AM$1905</definedName>
    <definedName name="vpa1002_2">'Verification Report'!$AM$1914</definedName>
    <definedName name="vpa1002_2_1">'Verification Report'!$AM$1918</definedName>
    <definedName name="vpa1002_2_2">'Verification Report'!$AM$1920</definedName>
    <definedName name="vpa1002_3">'Verification Report'!$AM$1941</definedName>
    <definedName name="vpa1002_3_1">'Verification Report'!$AM$1945</definedName>
    <definedName name="vpa1002_4">'Verification Report'!$AM$1967</definedName>
    <definedName name="vpa1003_1">'Verification Report'!$AM$1983</definedName>
    <definedName name="vpa1003_1_1">'Verification Report'!$AM$1984</definedName>
    <definedName name="vpa1003_1_2">'Verification Report'!$AM$1986</definedName>
    <definedName name="vpa1003_1_3">'Verification Report'!$AM$1989</definedName>
    <definedName name="vpa1004_1_1">'Verification Report'!$AM$2002</definedName>
    <definedName name="vpa1004_1_2">'Verification Report'!$AM$2004</definedName>
    <definedName name="vpa501_1">'Verification Report'!$AM$14</definedName>
    <definedName name="vpa501_1_1">'Verification Report'!$AM$15</definedName>
    <definedName name="vpa501_1_2">'Verification Report'!$AM$16</definedName>
    <definedName name="vpa501_1_3">'Verification Report'!$AM$17</definedName>
    <definedName name="vpa501_2_1">'Verification Report'!$AM$20</definedName>
    <definedName name="vpa501_2_2">'Verification Report'!$AM$22</definedName>
    <definedName name="vpa501_2_3">'Verification Report'!$AM$24</definedName>
    <definedName name="vpa501_2_4">'Verification Report'!$AM$26</definedName>
    <definedName name="vpa501_2_5">'Verification Report'!$AM$35</definedName>
    <definedName name="vpa501_2_6_a">'Verification Report'!$AM$40</definedName>
    <definedName name="vpa501_2_6_b">'Verification Report'!$AM$41</definedName>
    <definedName name="vpa501_2_6_c">'Verification Report'!$AM$42</definedName>
    <definedName name="vpa502_1">'Verification Report'!$AM$44</definedName>
    <definedName name="vpa503_1_1">'Verification Report'!$AM$55</definedName>
    <definedName name="vpa503_1_2">'Verification Report'!$AM$56</definedName>
    <definedName name="vpa503_1_3">'Verification Report'!$AM$58</definedName>
    <definedName name="vpa503_1_4">'Verification Report'!$AM$60</definedName>
    <definedName name="vpa503_1_5">'Verification Report'!$AM$61</definedName>
    <definedName name="vpa503_1_6">'Verification Report'!$AM$62</definedName>
    <definedName name="vpa503_1_7">'Verification Report'!$AM$64</definedName>
    <definedName name="vpa503_2_1">'Verification Report'!$AM$68</definedName>
    <definedName name="vpa503_2_2">'Verification Report'!$AM$69</definedName>
    <definedName name="vpa503_2_3_a">'Verification Report'!$AM$73</definedName>
    <definedName name="vpa503_2_3_b">'Verification Report'!$AM$74</definedName>
    <definedName name="vpa503_2_3_c">'Verification Report'!$AM$75</definedName>
    <definedName name="vpa503_2_4">'Verification Report'!$AM$76</definedName>
    <definedName name="vpa503_2_5">'Verification Report'!$AM$78</definedName>
    <definedName name="vpa503_3_1">'Verification Report'!$AM$82</definedName>
    <definedName name="vpa503_3_2">'Verification Report'!$AM$84</definedName>
    <definedName name="vpa503_3_3">'Verification Report'!$AM$91</definedName>
    <definedName name="vpa503_4_1">'Verification Report'!$AM$99</definedName>
    <definedName name="vpa503_4_2">'Verification Report'!$AM$102</definedName>
    <definedName name="vpa503_4_3_a">'Verification Report'!$AM$110</definedName>
    <definedName name="vpa503_4_3_b">'Verification Report'!$AM$111</definedName>
    <definedName name="vpa503_4_3_c">'Verification Report'!$AM$112</definedName>
    <definedName name="vpa503_4_4_a">'Verification Report'!$AM$115</definedName>
    <definedName name="vpa503_4_4_b">'Verification Report'!$AM$116</definedName>
    <definedName name="vpa503_4_4_c">'Verification Report'!$AM$117</definedName>
    <definedName name="vpa503_5_1_a">'Verification Report'!$AM$124</definedName>
    <definedName name="vpa503_5_1_b">'Verification Report'!$AM$125</definedName>
    <definedName name="vpa503_5_1_c">'Verification Report'!$AM$126</definedName>
    <definedName name="vpa503_5_1_d">'Verification Report'!$AM$127</definedName>
    <definedName name="vpa503_5_10">'Verification Report'!$AM$150</definedName>
    <definedName name="vpa503_5_11">'Verification Report'!$AM$152</definedName>
    <definedName name="vpa503_5_12">'Verification Report'!$AM$154</definedName>
    <definedName name="vpa503_5_2">'Verification Report'!$AM$128</definedName>
    <definedName name="vpa503_5_3">'Verification Report'!$AM$130</definedName>
    <definedName name="vpa503_5_4">'Verification Report'!$AM$132</definedName>
    <definedName name="vpa503_5_5_a">'Verification Report'!$AM$135</definedName>
    <definedName name="vpa503_5_5_b">'Verification Report'!$AM$136</definedName>
    <definedName name="vpa503_5_5_c">'Verification Report'!$AM$137</definedName>
    <definedName name="vpa503_5_5_d">'Verification Report'!$AM$138</definedName>
    <definedName name="vpa503_5_6">'Verification Report'!$AM$139</definedName>
    <definedName name="vpa503_5_7">'Verification Report'!$AM$140</definedName>
    <definedName name="vpa503_5_8">'Verification Report'!$AM$145</definedName>
    <definedName name="vpa503_5_9">'Verification Report'!$AM$147</definedName>
    <definedName name="vpa503_6_1">'Verification Report'!$AM$158</definedName>
    <definedName name="vpa503_6_2">'Verification Report'!$AM$159</definedName>
    <definedName name="vpa503_6_3">'Verification Report'!$AM$160</definedName>
    <definedName name="vpa503_6_4">'Verification Report'!$AM$162</definedName>
    <definedName name="vpa503_7_1">'Verification Report'!$AM$165</definedName>
    <definedName name="vpa503_7_2">'Verification Report'!$AM$167</definedName>
    <definedName name="vpa503_8">'Verification Report'!$AM$169</definedName>
    <definedName name="vpa504_1">'Verification Report'!$AM$177</definedName>
    <definedName name="vpa504_2_1">'Verification Report'!$AM$184</definedName>
    <definedName name="vpa504_2_2">'Verification Report'!$AM$185</definedName>
    <definedName name="vpa504_2_3">'Verification Report'!$AM$187</definedName>
    <definedName name="vpa504_3_1">'Verification Report'!$AM$192</definedName>
    <definedName name="vpa504_3_2">'Verification Report'!$AM$194</definedName>
    <definedName name="vpa504_3_3">'Verification Report'!$AM$195</definedName>
    <definedName name="vpa504_3_4">'Verification Report'!$AM$197</definedName>
    <definedName name="vpa504_3_5">'Verification Report'!$AM$199</definedName>
    <definedName name="vpa504_3_6">'Verification Report'!$AM$203</definedName>
    <definedName name="vpa504_3_7">'Verification Report'!$AM$206</definedName>
    <definedName name="vpa504_3_8">'Verification Report'!$AM$207</definedName>
    <definedName name="vpa504_3_9">'Verification Report'!$AM$215</definedName>
    <definedName name="vpa505_1_1">'Verification Report'!$AM$222</definedName>
    <definedName name="vpa505_1_2">'Verification Report'!$AM$224</definedName>
    <definedName name="vpa505_1_3_a">'Verification Report'!$AM$226</definedName>
    <definedName name="vpa505_1_3_b">'Verification Report'!$AM$227</definedName>
    <definedName name="vpa505_1_3_c">'Verification Report'!$AM$228</definedName>
    <definedName name="vpa505_1_4_a">'Verification Report'!$AM$231</definedName>
    <definedName name="vpa505_1_4_b">'Verification Report'!$AM$232</definedName>
    <definedName name="vpa505_1_4_c">'Verification Report'!$AM$233</definedName>
    <definedName name="vpa505_2_1">'Verification Report'!$AM$235</definedName>
    <definedName name="vpa505_2_2">'Verification Report'!$AM$245</definedName>
    <definedName name="vpa505_3_1">'Verification Report'!$AM$249</definedName>
    <definedName name="vpa505_3_2">'Verification Report'!$AM$250</definedName>
    <definedName name="vpa505_3_3">'Verification Report'!$AM$251</definedName>
    <definedName name="vpa505_3_4">'Verification Report'!$AM$252</definedName>
    <definedName name="vpa505_3_5">'Verification Report'!$AM$253</definedName>
    <definedName name="vpa505_4">'Verification Report'!$AM$254</definedName>
    <definedName name="vpa505_5">'Verification Report'!$AM$255</definedName>
    <definedName name="vpa505_6">'Verification Report'!$AM$257</definedName>
    <definedName name="vpa601_1_1">'Verification Report'!$AM$271</definedName>
    <definedName name="vpa601_1_2">'Verification Report'!$AM$272</definedName>
    <definedName name="vpa601_1_3">'Verification Report'!$AM$273</definedName>
    <definedName name="vpa601_1_4">'Verification Report'!$AM$274</definedName>
    <definedName name="vpa601_1_5">'Verification Report'!$AM$275</definedName>
    <definedName name="vpa601_2_1">'Verification Report'!$AM$283</definedName>
    <definedName name="vpa601_2_2">'Verification Report'!$AM$286</definedName>
    <definedName name="vpa601_2_3">'Verification Report'!$AM$289</definedName>
    <definedName name="vpa601_3_1">'Verification Report'!$AM$293</definedName>
    <definedName name="vpa601_3_2">'Verification Report'!$AM$294</definedName>
    <definedName name="vpa601_3_3">'Verification Report'!$AM$295</definedName>
    <definedName name="vpa601_3_4">'Verification Report'!$AM$296</definedName>
    <definedName name="vpa601_3_5">'Verification Report'!$AM$297</definedName>
    <definedName name="vpa601_4">'Verification Report'!$AM$298</definedName>
    <definedName name="vpa601_5">'Verification Report'!$AM$301</definedName>
    <definedName name="vpa601_5_1">'Verification Report'!$AM$304</definedName>
    <definedName name="vpa601_5_2">'Verification Report'!$AM$305</definedName>
    <definedName name="vpa601_5_3">'Verification Report'!$AM$306</definedName>
    <definedName name="vpa601_5_4">'Verification Report'!$AM$307</definedName>
    <definedName name="vpa601_5_5">'Verification Report'!$AM$308</definedName>
    <definedName name="vpa601_6">'Verification Report'!$AM$309</definedName>
    <definedName name="vpa601_6_1">'Verification Report'!$AM$312</definedName>
    <definedName name="vpa601_6_2">'Verification Report'!$AM$313</definedName>
    <definedName name="vpa601_7">'Verification Report'!$AM$314</definedName>
    <definedName name="vpa601_7_1">'Verification Report'!$AM$327</definedName>
    <definedName name="vpa601_7_2">'Verification Report'!$AM$328</definedName>
    <definedName name="vpa601_7_3">'Verification Report'!$AM$330</definedName>
    <definedName name="vpa601_8">'Verification Report'!$AM$332</definedName>
    <definedName name="vpa601_9">'Verification Report'!$AM$340</definedName>
    <definedName name="vpa602_1_1_1">'Verification Report'!$AM$351</definedName>
    <definedName name="vpa602_1_1_2">'Verification Report'!$AM$354</definedName>
    <definedName name="vpa602_1_10">'Verification Report'!$AM$450</definedName>
    <definedName name="vpa602_1_11">'Verification Report'!$AM$463</definedName>
    <definedName name="vpa602_1_12">'Verification Report'!$AM$465</definedName>
    <definedName name="vpa602_1_13">'Verification Report'!$AM$468</definedName>
    <definedName name="vpa602_1_14_1">'Verification Report'!$AM$474</definedName>
    <definedName name="vpa602_1_14_2">'Verification Report'!$AM$476</definedName>
    <definedName name="vpa602_1_14_3">'Verification Report'!$AM$477</definedName>
    <definedName name="vpa602_1_2">'Verification Report'!$AM$356</definedName>
    <definedName name="vpa602_1_3_1">'Verification Report'!$AM$361</definedName>
    <definedName name="vpa602_1_3_2">'Verification Report'!$AM$363</definedName>
    <definedName name="vpa602_1_4_1_1">'Verification Report'!$AM$369</definedName>
    <definedName name="vpa602_1_4_1_2">'Verification Report'!$AM$371</definedName>
    <definedName name="vpa602_1_4_2_1">'Verification Report'!$AM$375</definedName>
    <definedName name="vpa602_1_4_2_2">'Verification Report'!$AM$377</definedName>
    <definedName name="vpa602_1_5_1">'Verification Report'!$AM$381</definedName>
    <definedName name="vpa602_1_5_2">'Verification Report'!$AM$383</definedName>
    <definedName name="vpa602_1_6_1">'Verification Report'!$AM$389</definedName>
    <definedName name="vpa602_1_6_2">'Verification Report'!$AM$393</definedName>
    <definedName name="vpa602_1_6_3">'Verification Report'!$AM$397</definedName>
    <definedName name="vpa602_1_7_1_1">'Verification Report'!$AM$402</definedName>
    <definedName name="vpa602_1_7_1_2">'Verification Report'!$AM$404</definedName>
    <definedName name="vpa602_1_7_1_3">'Verification Report'!$AM$407</definedName>
    <definedName name="vpa602_1_7_2">'Verification Report'!$AM$409</definedName>
    <definedName name="vpa602_1_7_3">'Verification Report'!$AM$411</definedName>
    <definedName name="vpa602_1_8">'Verification Report'!$AM$415</definedName>
    <definedName name="vpa602_1_9_1">'Verification Report'!$AM$423</definedName>
    <definedName name="vpa602_1_9_2">'Verification Report'!$AM$433</definedName>
    <definedName name="vpa602_1_9_3">'Verification Report'!$AM$436</definedName>
    <definedName name="vpa602_1_9_4">'Verification Report'!$AM$437</definedName>
    <definedName name="vpa602_1_9_5_a">'Verification Report'!$AM$442</definedName>
    <definedName name="vpa602_1_9_5_b">'Verification Report'!$AM$445</definedName>
    <definedName name="vpa602_1_9_6">'Verification Report'!$AM$447</definedName>
    <definedName name="vpa602_1_9_7">'Verification Report'!$AM$449</definedName>
    <definedName name="vpa602_2">'Verification Report'!$AM$478</definedName>
    <definedName name="vpa602_3">'Verification Report'!$AM$488</definedName>
    <definedName name="vpa602_4_1">'Verification Report'!$AM$492</definedName>
    <definedName name="vpa602_4_2">'Verification Report'!$AM$497</definedName>
    <definedName name="vpa602_4_3">'Verification Report'!$AM$499</definedName>
    <definedName name="vpa603_1">'Verification Report'!$AM$503</definedName>
    <definedName name="vpa603_2">'Verification Report'!$AM$509</definedName>
    <definedName name="vpa603_3">'Verification Report'!$AM$516</definedName>
    <definedName name="vpa604_1a">'Verification Report'!$AM$520</definedName>
    <definedName name="vpa605_1">'Verification Report'!$AM$532</definedName>
    <definedName name="vpa605_2">'Verification Report'!$AM$547</definedName>
    <definedName name="vpa605_3">'Verification Report'!$AM$556</definedName>
    <definedName name="vpa605_3_1">'Verification Report'!$AM$558</definedName>
    <definedName name="vpa605_3_2">'Verification Report'!$AM$559</definedName>
    <definedName name="vpa606_1_1">'Verification Report'!$AM$583</definedName>
    <definedName name="vpa606_1_2">'Verification Report'!$AM$585</definedName>
    <definedName name="vpa606_1_3">'Verification Report'!$AM$587</definedName>
    <definedName name="vpa606_2_1a">'Verification Report'!$AM$600</definedName>
    <definedName name="vpa606_2_2a">'Verification Report'!$AM$603</definedName>
    <definedName name="vpa606_3">'Verification Report'!$AM$606</definedName>
    <definedName name="vpa607_1_1">'Verification Report'!$AM$615</definedName>
    <definedName name="vpa607_1_2">'Verification Report'!$AM$617</definedName>
    <definedName name="vpa607_2">'Verification Report'!$AM$618</definedName>
    <definedName name="vpa608_1">'Verification Report'!$AM$621</definedName>
    <definedName name="vpa609_1a">'Verification Report'!$AM$630</definedName>
    <definedName name="vpa610_1_1_1">'Verification Report'!$AM$646</definedName>
    <definedName name="vpa610_1_1_2">'Verification Report'!$AM$655</definedName>
    <definedName name="vpa610_1_1_3">'Verification Report'!$AM$662</definedName>
    <definedName name="vpa610_1_2">'Verification Report'!$AM$664</definedName>
    <definedName name="vpa610_1_2_1">'Verification Report'!$AM$668</definedName>
    <definedName name="vpa610_1_2_2a">'Verification Report'!$AM$682</definedName>
    <definedName name="vpa611_1">'Verification Report'!$AM$707</definedName>
    <definedName name="vpa611_2">'Verification Report'!$AM$715</definedName>
    <definedName name="vpa611_2_1">'Verification Report'!$AM$718</definedName>
    <definedName name="vpa611_2_2">'Verification Report'!$AM$719</definedName>
    <definedName name="vpa611_2_3">'Verification Report'!$AM$720</definedName>
    <definedName name="vpa611_2_4">'Verification Report'!$AM$721</definedName>
    <definedName name="vpa611_2_5">'Verification Report'!$AM$722</definedName>
    <definedName name="vpa611_2_6">'Verification Report'!$AM$723</definedName>
    <definedName name="vpa611_2_7">'Verification Report'!$AM$724</definedName>
    <definedName name="vpa611_3">'Verification Report'!$AM$726</definedName>
    <definedName name="vpa611_3_1">'Verification Report'!$AM$728</definedName>
    <definedName name="vpa611_3_2">'Verification Report'!$AM$733</definedName>
    <definedName name="vpa611_3_3">'Verification Report'!$AM$737</definedName>
    <definedName name="vpa611_3_4">'Verification Report'!$AM$739</definedName>
    <definedName name="vpa611_3_5">'Verification Report'!$AM$741</definedName>
    <definedName name="vpa611_3_6">'Verification Report'!$AM$742</definedName>
    <definedName name="vpa611_3_7">'Verification Report'!$AM$743</definedName>
    <definedName name="vpa611_3_8">'Verification Report'!$AM$747</definedName>
    <definedName name="vpa611_3_9">'Verification Report'!$AM$749</definedName>
    <definedName name="vpa611_4">'Verification Report'!$AM$751</definedName>
    <definedName name="vpa701_4_1">'Verification Report'!$AM$809</definedName>
    <definedName name="vpa701_4_1_1">'Verification Report'!$AM$800</definedName>
    <definedName name="vpa701_4_1_2">'Verification Report'!$AM$803</definedName>
    <definedName name="vpa701_4_2_2">'Verification Report'!$AM$812</definedName>
    <definedName name="vpa701_4_2_3">'Verification Report'!$AM$813</definedName>
    <definedName name="vpa701_4_3_1">'Verification Report'!$AM$816</definedName>
    <definedName name="vpa701_4_3_2">'Verification Report'!$AM$832</definedName>
    <definedName name="vpa701_4_3_2_1">'Verification Report'!$AM$854</definedName>
    <definedName name="vpa701_4_3_3_4">'Verification Report'!$AM$881</definedName>
    <definedName name="vpa701_4_3_3_5">'Verification Report'!$AM$887</definedName>
    <definedName name="vpa701_4_4">'Verification Report'!$AM$893</definedName>
    <definedName name="vpa701_4_5">'Verification Report'!$AM$898</definedName>
    <definedName name="vpa702_2_1">'Verification Report'!$AM$903</definedName>
    <definedName name="vpa702_2_2">'Verification Report'!$AM$907</definedName>
    <definedName name="vpa703_1">'Verification Report'!$AM$919</definedName>
    <definedName name="vpa703_1_1">'Verification Report'!$AM$920</definedName>
    <definedName name="vpa703_1_2">'Verification Report'!$AM$933</definedName>
    <definedName name="vpa703_1_3">'Verification Report'!$AM$936</definedName>
    <definedName name="vpa703_2_1">'Verification Report'!$AM$939</definedName>
    <definedName name="vpa703_2_2">'Verification Report'!$AM$946</definedName>
    <definedName name="vpa703_2_3">'Verification Report'!$AM$948</definedName>
    <definedName name="vpa703_2_4">'Verification Report'!$AM$951</definedName>
    <definedName name="vpa703_2_5_1">'Verification Report'!$AM$955</definedName>
    <definedName name="vpa703_2_5_2">'Verification Report'!$AM$970</definedName>
    <definedName name="vpa703_2_5_2_a">'Verification Report'!$AM$975</definedName>
    <definedName name="vpa703_2_5_2_b">'Verification Report'!$AM$976</definedName>
    <definedName name="vpa703_2_5_2_c">'Verification Report'!$AM$977</definedName>
    <definedName name="vpa703_3_1">'Verification Report'!$AM$1000</definedName>
    <definedName name="vpa703_3_2__1_1">'Verification Report'!$AM$1007</definedName>
    <definedName name="vpa703_3_2__1_2">'Verification Report'!$AM$1008</definedName>
    <definedName name="vpa703_3_2__1_3">'Verification Report'!$AM$1009</definedName>
    <definedName name="vpa703_3_2__1_4">'Verification Report'!$AM$1010</definedName>
    <definedName name="vpa703_3_2__1_5">'Verification Report'!$AM$1011</definedName>
    <definedName name="vpa703_3_2__2_1">'Verification Report'!$AM$1013</definedName>
    <definedName name="vpa703_3_2__2_2">'Verification Report'!$AM$1014</definedName>
    <definedName name="vpa703_3_2__3_1">'Verification Report'!$AM$1016</definedName>
    <definedName name="vpa703_3_2__3_2">'Verification Report'!$AM$1017</definedName>
    <definedName name="vpa703_3_2__3_3">'Verification Report'!$AM$1018</definedName>
    <definedName name="vpa703_3_2__3_4">'Verification Report'!$AM$1019</definedName>
    <definedName name="vpa703_3_2__4_1">'Verification Report'!$AM$1021</definedName>
    <definedName name="vpa703_3_2__4_2">'Verification Report'!$AM$1022</definedName>
    <definedName name="vpa703_3_3__1_1">'Verification Report'!$AM$1027</definedName>
    <definedName name="vpa703_3_3__1_2">'Verification Report'!$AM$1028</definedName>
    <definedName name="vpa703_3_3__1_3">'Verification Report'!$AM$1029</definedName>
    <definedName name="vpa703_3_3__1_4">'Verification Report'!$AM$1030</definedName>
    <definedName name="vpa703_3_3__3">'Verification Report'!$AM$1031</definedName>
    <definedName name="vpa703_3_4_1">'Verification Report'!$AM$1041</definedName>
    <definedName name="vpa703_3_4_1_1">'Verification Report'!$AM$1036</definedName>
    <definedName name="vpa703_3_4_1_2">'Verification Report'!$AM$1037</definedName>
    <definedName name="vpa703_3_4_1_3">'Verification Report'!$AM$1038</definedName>
    <definedName name="vpa703_3_4_1_4">'Verification Report'!$AM$1039</definedName>
    <definedName name="vpa703_3_4_1_5">'Verification Report'!$AM$1040</definedName>
    <definedName name="vpa703_3_4_2">'Verification Report'!$AM$1042</definedName>
    <definedName name="vpa703_3_5">'Verification Report'!$AM$1043</definedName>
    <definedName name="vpa703_3_6_1">'Verification Report'!$AM$1050</definedName>
    <definedName name="vpa703_3_6_2">'Verification Report'!$AM$1051</definedName>
    <definedName name="vpa703_3_6_3">'Verification Report'!$AM$1052</definedName>
    <definedName name="vpa703_3_7_1">'Verification Report'!$AM$1053</definedName>
    <definedName name="vpa703_3_8">'Verification Report'!$AM$1060</definedName>
    <definedName name="vpa703_4_1">'Verification Report'!$AM$1066</definedName>
    <definedName name="vpa703_4_2">'Verification Report'!$AM$1068</definedName>
    <definedName name="vpa703_4_3">'Verification Report'!$AM$1070</definedName>
    <definedName name="vpa703_4_4_1">'Verification Report'!$AM$1082</definedName>
    <definedName name="vpa703_4_4_2">'Verification Report'!$AM$1083</definedName>
    <definedName name="vpa703_4_4_3">'Verification Report'!$AM$1084</definedName>
    <definedName name="vpa703_5_1_1_a_a">'Verification Report'!$AM$1090</definedName>
    <definedName name="vpa703_5_1_1_a_b">'Verification Report'!$AM$1091</definedName>
    <definedName name="vpa703_5_1_1_b_a">'Verification Report'!$AM$1094</definedName>
    <definedName name="vpa703_5_1_1_b_b">'Verification Report'!$AM$1095</definedName>
    <definedName name="vpa703_5_1_2_a">'Verification Report'!$AM$1097</definedName>
    <definedName name="vpa703_5_1_2_b">'Verification Report'!$AM$1098</definedName>
    <definedName name="vpa703_5_1_3">'Verification Report'!$AM$1099</definedName>
    <definedName name="vpa703_5_1_4_a">'Verification Report'!$AM$1101</definedName>
    <definedName name="vpa703_5_1_4_b">'Verification Report'!$AM$1102</definedName>
    <definedName name="vpa703_5_1_4_c">'Verification Report'!$AM$1103</definedName>
    <definedName name="vpa703_5_2">'Verification Report'!$AM$1104</definedName>
    <definedName name="vpa703_5_3">'Verification Report'!$AM$1106</definedName>
    <definedName name="vpa703_5_4">'Verification Report'!$AM$1108</definedName>
    <definedName name="vpa703_5_5_1">'Verification Report'!$AM$1112</definedName>
    <definedName name="vpa703_5_5_2">'Verification Report'!$AM$1113</definedName>
    <definedName name="vpa703_5_5_3">'Verification Report'!$AM$1114</definedName>
    <definedName name="vpa703_5_5_4">'Verification Report'!$AM$1115</definedName>
    <definedName name="vpa703_5_5_5">'Verification Report'!$AM$1116</definedName>
    <definedName name="vpa703_6_1_1">'Verification Report'!$AM$1120</definedName>
    <definedName name="vpa703_6_1_2">'Verification Report'!$AM$1122</definedName>
    <definedName name="vpa703_6_1_3">'Verification Report'!$AM$1124</definedName>
    <definedName name="vpa703_6_2__1">'Verification Report'!$AM$1127</definedName>
    <definedName name="vpa703_6_2__2">'Verification Report'!$AM$1128</definedName>
    <definedName name="vpa703_6_2__3">'Verification Report'!$AM$1129</definedName>
    <definedName name="vpa703_7_1">'Verification Report'!$AM$1132</definedName>
    <definedName name="vpa703_7_2">'Verification Report'!$AM$1160</definedName>
    <definedName name="vpa703_7_3_1">'Verification Report'!$AM$1164</definedName>
    <definedName name="vpa703_7_3_2">'Verification Report'!$AM$1165</definedName>
    <definedName name="vpa703_7_4">'Verification Report'!$AM$1189</definedName>
    <definedName name="vpa705_2_1_1_1">'Verification Report'!$AM$1228</definedName>
    <definedName name="vpa705_2_1_1_2">'Verification Report'!$AM$1229</definedName>
    <definedName name="vpa705_2_1_2">'Verification Report'!$AM$1230</definedName>
    <definedName name="vpa705_2_1_3_1_a">'Verification Report'!$AM$1235</definedName>
    <definedName name="vpa705_2_1_3_1_b">'Verification Report'!$AM$1236</definedName>
    <definedName name="vpa705_2_1_3_2_a">'Verification Report'!$AM$1240</definedName>
    <definedName name="vpa705_2_1_3_2_b">'Verification Report'!$AM$1241</definedName>
    <definedName name="vpa705_2_1_4_1">'Verification Report'!$AM$1245</definedName>
    <definedName name="vpa705_2_1_4_2">'Verification Report'!$AM$1246</definedName>
    <definedName name="vpa705_2_2">'Verification Report'!$AM$1247</definedName>
    <definedName name="vpa705_2_3">'Verification Report'!$AM$1250</definedName>
    <definedName name="vpa705_2_4">'Verification Report'!$AM$1252</definedName>
    <definedName name="vpa705_3">'Verification Report'!$AM$1255</definedName>
    <definedName name="vpa705_4">'Verification Report'!$AM$1256</definedName>
    <definedName name="vpa705_5_1">'Verification Report'!$AM$1260</definedName>
    <definedName name="vpa705_5_2">'Verification Report'!$AM$1265</definedName>
    <definedName name="vpa705_6_1">'Verification Report'!$AM$1274</definedName>
    <definedName name="vpa705_6_2_1_1">'Verification Report'!$AM$1287</definedName>
    <definedName name="vpa705_6_2_1_2">'Verification Report'!$AM$1288</definedName>
    <definedName name="vpa705_6_2_2">'Verification Report'!$AM$1291</definedName>
    <definedName name="vpa705_6_2_3_1">'Verification Report'!$AM$1302</definedName>
    <definedName name="vpa705_6_2_3_2">'Verification Report'!$AM$1303</definedName>
    <definedName name="vpa705_6_3">'Verification Report'!$AM$1305</definedName>
    <definedName name="vpa705_6_4_1">'Verification Report'!$AM$1317</definedName>
    <definedName name="vpa705_6_4_2">'Verification Report'!$AM$1319</definedName>
    <definedName name="vpa705_7">'Verification Report'!$AM$1321</definedName>
    <definedName name="vpa706_1">'Verification Report'!$AM$1326</definedName>
    <definedName name="vpa706_1_1">'Verification Report'!$AM$1328</definedName>
    <definedName name="vpa706_1_2">'Verification Report'!$AM$1329</definedName>
    <definedName name="vpa706_1_3">'Verification Report'!$AM$1330</definedName>
    <definedName name="vpa706_1_4">'Verification Report'!$AM$1331</definedName>
    <definedName name="vpa706_1_5">'Verification Report'!$AM$1333</definedName>
    <definedName name="vpa706_2_1">'Verification Report'!$AM$1336</definedName>
    <definedName name="vpa706_2_2_a">'Verification Report'!$AM$1342</definedName>
    <definedName name="vpa706_2_2_b">'Verification Report'!$AM$1344</definedName>
    <definedName name="vpa706_3_a">'Verification Report'!$AM$1348</definedName>
    <definedName name="vpa706_3_b">'Verification Report'!$AM$1349</definedName>
    <definedName name="vpa706_4_1_1">'Verification Report'!$AM$1364</definedName>
    <definedName name="vpa706_4_1_2">'Verification Report'!$AM$1366</definedName>
    <definedName name="vpa706_4_2">'Verification Report'!$AM$1368</definedName>
    <definedName name="vpa706_5">'Verification Report'!$AM$1370</definedName>
    <definedName name="vpa706_6">'Verification Report'!$AM$1379</definedName>
    <definedName name="vpa706_7_1">'Verification Report'!$AM$1383</definedName>
    <definedName name="vpa706_7_2">'Verification Report'!$AM$1384</definedName>
    <definedName name="vpa706_8">'Verification Report'!$AM$1387</definedName>
    <definedName name="vpa706_9">'Verification Report'!$AM$1390</definedName>
    <definedName name="vpa801_1_1">'Verification Report'!$AM$1411</definedName>
    <definedName name="vpa801_1_2">'Verification Report'!$AM$1413</definedName>
    <definedName name="vpa801_1_3">'Verification Report'!$AM$1415</definedName>
    <definedName name="vpa801_1_4">'Verification Report'!$AM$1417</definedName>
    <definedName name="vpa801_1_4_a">'Verification Report'!$AM$1420</definedName>
    <definedName name="vpa801_1_5">'Verification Report'!$AM$1422</definedName>
    <definedName name="vpa801_1_6">'Verification Report'!$AM$1427</definedName>
    <definedName name="vpa801_2_1">'Verification Report'!$AM$1432</definedName>
    <definedName name="vpa801_2_2">'Verification Report'!$AM$1433</definedName>
    <definedName name="vpa801_2_3">'Verification Report'!$AM$1434</definedName>
    <definedName name="vpa801_3_1">'Verification Report'!$AM$1440</definedName>
    <definedName name="vpa801_3_2_a">'Verification Report'!$AM$1451</definedName>
    <definedName name="vpa801_3_2_b">'Verification Report'!$AM$1452</definedName>
    <definedName name="vpa801_3_2_c">'Verification Report'!$AM$1453</definedName>
    <definedName name="vpa801_3_3">'Verification Report'!$AM$1454</definedName>
    <definedName name="vpa801_4_1_1">'Verification Report'!$AM$1459</definedName>
    <definedName name="vpa801_4_1_2">'Verification Report'!$AM$1463</definedName>
    <definedName name="vpa801_4_2">'Verification Report'!$AM$1464</definedName>
    <definedName name="vpa801_5_2">'Verification Report'!$AM$1471</definedName>
    <definedName name="vpa801_5_3">'Verification Report'!$AM$1477</definedName>
    <definedName name="vpa801_5_4_a">'Verification Report'!$AM$1480</definedName>
    <definedName name="vpa801_5_4_b">'Verification Report'!$AM$1484</definedName>
    <definedName name="vpa801_5_4_c">'Verification Report'!$AM$1486</definedName>
    <definedName name="vpa801_6_1">'Verification Report'!$AM$1488</definedName>
    <definedName name="vpa801_6_2_1">'Verification Report'!$AM$1492</definedName>
    <definedName name="vpa801_6_2_2">'Verification Report'!$AM$1493</definedName>
    <definedName name="vpa801_6_2_3">'Verification Report'!$AM$1494</definedName>
    <definedName name="vpa801_6_4_1">'Verification Report'!$AM$1502</definedName>
    <definedName name="vpa801_6_4_2">'Verification Report'!$AM$1504</definedName>
    <definedName name="vpa801_6_4_3">'Verification Report'!$AM$1505</definedName>
    <definedName name="vpa801_6_5">'Verification Report'!$AM$1509</definedName>
    <definedName name="vpa801_7_1_1">'Verification Report'!$AM$1514</definedName>
    <definedName name="vpa801_7_1_2_a">'Verification Report'!$AM$1517</definedName>
    <definedName name="vpa801_7_1_2_b">'Verification Report'!$AM$1518</definedName>
    <definedName name="vpa801_7_1_2_c">'Verification Report'!$AM$1519</definedName>
    <definedName name="vpa801_7_1_2_d">'Verification Report'!$AM$1521</definedName>
    <definedName name="vpa801_7_2_1">'Verification Report'!$AM$1527</definedName>
    <definedName name="vpa801_7_2_2">'Verification Report'!$AM$1529</definedName>
    <definedName name="vpa801_8">'Verification Report'!$AM$1530</definedName>
    <definedName name="vpa802_1_1">'Verification Report'!$AM$1537</definedName>
    <definedName name="vpa802_1_2">'Verification Report'!$AM$1539</definedName>
    <definedName name="vpa802_2">'Verification Report'!$AM$1540</definedName>
    <definedName name="vpa802_3">'Verification Report'!$AM$1543</definedName>
    <definedName name="vpa802_4">'Verification Report'!$AM$1548</definedName>
    <definedName name="vpa802_5">'Verification Report'!$AM$1551</definedName>
    <definedName name="vpa802_6">'Verification Report'!$AM$1553</definedName>
    <definedName name="vpa901_1_1">'Verification Report'!$AM$1559</definedName>
    <definedName name="vpa901_1_2">'Verification Report'!$AM$1565</definedName>
    <definedName name="vpa901_1_3_1_a">'Verification Report'!$AM$1571</definedName>
    <definedName name="vpa901_1_3_1_b">'Verification Report'!$AM$1572</definedName>
    <definedName name="vpa901_1_3_2_a">'Verification Report'!$AM$1574</definedName>
    <definedName name="vpa901_1_3_2_b">'Verification Report'!$AM$1575</definedName>
    <definedName name="vpa901_1_4">'Verification Report'!$AM$1576</definedName>
    <definedName name="vpa901_1_5">'Verification Report'!$AM$1580</definedName>
    <definedName name="vpa901_1_6_1">'Verification Report'!$AM$1584</definedName>
    <definedName name="vpa901_1_6_2">'Verification Report'!$AM$1585</definedName>
    <definedName name="vpa901_10_1">'Verification Report'!$AM$1695</definedName>
    <definedName name="vpa901_10_2">'Verification Report'!$AM$1700</definedName>
    <definedName name="vpa901_10_3">'Verification Report'!$AM$1701</definedName>
    <definedName name="vpa901_11">'Verification Report'!$AM$1705</definedName>
    <definedName name="vpa901_12">'Verification Report'!$AM$1710</definedName>
    <definedName name="vpa901_13_1">'Verification Report'!$AM$1714</definedName>
    <definedName name="vpa901_13_2">'Verification Report'!$AM$1715</definedName>
    <definedName name="vpa901_14_1">'Verification Report'!$AM$1718</definedName>
    <definedName name="vpa901_14_2">'Verification Report'!$AM$1720</definedName>
    <definedName name="vpa901_2_1_1">'Verification Report'!$AM$1590</definedName>
    <definedName name="vpa901_2_1_2">'Verification Report'!$AM$1593</definedName>
    <definedName name="vpa901_2_1_3">'Verification Report'!$AM$1595</definedName>
    <definedName name="vpa901_2_1_4">'Verification Report'!$AM$1598</definedName>
    <definedName name="vpa901_2_1_5">'Verification Report'!$AM$1600</definedName>
    <definedName name="vpa901_2_2">'Verification Report'!$AM$1601</definedName>
    <definedName name="vpa901_3_1_a">'Verification Report'!$AM$1605</definedName>
    <definedName name="vpa901_3_1_b">'Verification Report'!$AM$1607</definedName>
    <definedName name="vpa901_3_1_c">'Verification Report'!$AM$1608</definedName>
    <definedName name="vpa901_3_2">'Verification Report'!$AM$1614</definedName>
    <definedName name="vpa901_4">'Verification Report'!$AM$1615</definedName>
    <definedName name="vpa901_4_1">'Verification Report'!$AM$1618</definedName>
    <definedName name="vpa901_4_2">'Verification Report'!$AM$1627</definedName>
    <definedName name="vpa901_4_3">'Verification Report'!$AM$1629</definedName>
    <definedName name="vpa901_4_4">'Verification Report'!$AM$1630</definedName>
    <definedName name="vpa901_4_5">'Verification Report'!$AM$1631</definedName>
    <definedName name="vpa901_4_6">'Verification Report'!$AM$1633</definedName>
    <definedName name="vpa901_5_1">'Verification Report'!$AM$1637</definedName>
    <definedName name="vpa901_5_2">'Verification Report'!$AM$1639</definedName>
    <definedName name="vpa901_6">'Verification Report'!$AM$1642</definedName>
    <definedName name="vpa901_7">'Verification Report'!$AM$1644</definedName>
    <definedName name="vpa901_8">'Verification Report'!$AM$1665</definedName>
    <definedName name="vpa901_9_1">'Verification Report'!$AM$1674</definedName>
    <definedName name="vpa901_9_2">'Verification Report'!$AM$1681</definedName>
    <definedName name="vpa901_9_3">'Verification Report'!$AM$1686</definedName>
    <definedName name="vpa902_1_1_a">'Verification Report'!$AM$1728</definedName>
    <definedName name="vpa902_1_2">'Verification Report'!$AM$1735</definedName>
    <definedName name="vpa902_1_2_">'Verification Report'!$AM$1730</definedName>
    <definedName name="vpa902_1_2_1">'Verification Report'!$AM$1737</definedName>
    <definedName name="vpa902_1_2_2">'Verification Report'!$AM$1738</definedName>
    <definedName name="vpa902_1_3">'Verification Report'!$AM$1739</definedName>
    <definedName name="vpa902_1_3_">'Verification Report'!$AM$1732</definedName>
    <definedName name="vpa902_1_4">'Verification Report'!$AM$1743</definedName>
    <definedName name="vpa902_1_4_1">'Verification Report'!$AM$1744</definedName>
    <definedName name="vpa902_1_4_2">'Verification Report'!$AM$1746</definedName>
    <definedName name="vpa902_1_5">'Verification Report'!$AM$1748</definedName>
    <definedName name="vpa902_2_1">'Verification Report'!$AM$1758</definedName>
    <definedName name="vpa902_2_1_1">'Verification Report'!$AM$1761</definedName>
    <definedName name="vpa902_2_1_2">'Verification Report'!$AM$1763</definedName>
    <definedName name="vpa902_2_1_3">'Verification Report'!$AM$1765</definedName>
    <definedName name="vpa902_2_1_4">'Verification Report'!$AM$1766</definedName>
    <definedName name="vpa902_2_2">'Verification Report'!$AM$1767</definedName>
    <definedName name="vpa902_2_3">'Verification Report'!$AM$1769</definedName>
    <definedName name="vpa902_2_4">'Verification Report'!$AM$1772</definedName>
    <definedName name="vpa902_3_1">'Verification Report'!$AM$1777</definedName>
    <definedName name="vpa902_3_1_a">'Verification Report'!$AM$1778</definedName>
    <definedName name="vpa902_3_1_b">'Verification Report'!$AM$1779</definedName>
    <definedName name="vpa902_3_2_a">'Verification Report'!$AM$1781</definedName>
    <definedName name="vpa902_4">'Verification Report'!$AM$1782</definedName>
    <definedName name="vpa902_5">'Verification Report'!$AM$1789</definedName>
    <definedName name="vpa902_6">'Verification Report'!$AM$1791</definedName>
    <definedName name="vpa903_1_1_1">'Verification Report'!$AM$1796</definedName>
    <definedName name="vpa903_1_2_2">'Verification Report'!$AM$1798</definedName>
    <definedName name="vpa903_2_1">'Verification Report'!$AM$1800</definedName>
    <definedName name="vpa903_2_2">'Verification Report'!$AM$1801</definedName>
    <definedName name="vpa903_3">'Verification Report'!$AM$1803</definedName>
    <definedName name="vpa904_1">'Verification Report'!$AM$1811</definedName>
    <definedName name="vpa904_2">'Verification Report'!$AM$1816</definedName>
    <definedName name="vpa905_1">'Verification Report'!$AM$1820</definedName>
    <definedName name="vpa905_2">'Verification Report'!$AM$1825</definedName>
    <definedName name="vpc1001_1">'Verification Report'!$AO$1830</definedName>
    <definedName name="vpc1002_1">'Verification Report'!$AO$1896</definedName>
    <definedName name="vpc1002_2">'Verification Report'!$AO$1914</definedName>
    <definedName name="vpc1002_3">'Verification Report'!$AO$1941</definedName>
    <definedName name="vpc1003_1">'Verification Report'!$AO$1983</definedName>
    <definedName name="vpc1004_1_1">'Verification Report'!$AO$2002</definedName>
    <definedName name="vpc1004_1_2">'Verification Report'!$AO$2004</definedName>
    <definedName name="vpc501_1">'Verification Report'!$AO$14</definedName>
    <definedName name="vpc501_2_1">'Verification Report'!$AO$20</definedName>
    <definedName name="vpc501_2_2">'Verification Report'!$AO$22</definedName>
    <definedName name="vpc501_2_3">'Verification Report'!$AO$24</definedName>
    <definedName name="vpc501_2_4">'Verification Report'!$AO$26</definedName>
    <definedName name="vpc501_2_5">'Verification Report'!$AO$35</definedName>
    <definedName name="vpc501_2_6">'Verification Report'!$AO$38</definedName>
    <definedName name="vpc502_1">'Verification Report'!$AO$44</definedName>
    <definedName name="vpc503_1_1">'Verification Report'!$AO$55</definedName>
    <definedName name="vpc503_1_2">'Verification Report'!$AO$56</definedName>
    <definedName name="vpc503_1_3">'Verification Report'!$AO$58</definedName>
    <definedName name="vpc503_1_4">'Verification Report'!$AO$60</definedName>
    <definedName name="vpc503_1_5">'Verification Report'!$AO$61</definedName>
    <definedName name="vpc503_1_6">'Verification Report'!$AO$62</definedName>
    <definedName name="vpc503_1_7">'Verification Report'!$AO$64</definedName>
    <definedName name="vpc503_2_1">'Verification Report'!$AO$68</definedName>
    <definedName name="vpc503_2_2">'Verification Report'!$AO$69</definedName>
    <definedName name="vpc503_2_3">'Verification Report'!$AO$71</definedName>
    <definedName name="vpc503_2_4">'Verification Report'!$AO$76</definedName>
    <definedName name="vpc503_2_5">'Verification Report'!$AO$78</definedName>
    <definedName name="vpc503_3_1">'Verification Report'!$AO$82</definedName>
    <definedName name="vpc503_3_2">'Verification Report'!$AO$84</definedName>
    <definedName name="vpc503_3_3">'Verification Report'!$AO$91</definedName>
    <definedName name="vpc503_4_1">'Verification Report'!$AO$99</definedName>
    <definedName name="vpc503_4_2">'Verification Report'!$AO$102</definedName>
    <definedName name="vpc503_4_3">'Verification Report'!$AO$106</definedName>
    <definedName name="vpc503_4_4">'Verification Report'!$AO$113</definedName>
    <definedName name="vpc503_5_1">'Verification Report'!$AO$122</definedName>
    <definedName name="vpc503_5_10">'Verification Report'!$AO$150</definedName>
    <definedName name="vpc503_5_11">'Verification Report'!$AO$152</definedName>
    <definedName name="vpc503_5_12">'Verification Report'!$AO$154</definedName>
    <definedName name="vpc503_5_2">'Verification Report'!$AO$128</definedName>
    <definedName name="vpc503_5_3">'Verification Report'!$AO$130</definedName>
    <definedName name="vpc503_5_4">'Verification Report'!$AO$132</definedName>
    <definedName name="vpc503_5_5">'Verification Report'!$AO$134</definedName>
    <definedName name="vpc503_5_6">'Verification Report'!$AO$139</definedName>
    <definedName name="vpc503_5_7">'Verification Report'!$AO$140</definedName>
    <definedName name="vpc503_5_8">'Verification Report'!$AO$145</definedName>
    <definedName name="vpc503_5_9">'Verification Report'!$AO$147</definedName>
    <definedName name="vpc503_6_1">'Verification Report'!$AO$158</definedName>
    <definedName name="vpc503_6_2">'Verification Report'!$AO$159</definedName>
    <definedName name="vpc503_6_3">'Verification Report'!$AO$160</definedName>
    <definedName name="vpc503_6_4">'Verification Report'!$AO$162</definedName>
    <definedName name="vpc503_7_1">'Verification Report'!$AO$165</definedName>
    <definedName name="vpc503_7_2">'Verification Report'!$AO$167</definedName>
    <definedName name="vpc503_8">'Verification Report'!$AO$169</definedName>
    <definedName name="vpc504_1">'Verification Report'!$AO$177</definedName>
    <definedName name="vpc504_2_1">'Verification Report'!$AO$184</definedName>
    <definedName name="vpc504_2_2">'Verification Report'!$AO$185</definedName>
    <definedName name="vpc504_2_3">'Verification Report'!$AO$187</definedName>
    <definedName name="vpc504_3_1">'Verification Report'!$AO$192</definedName>
    <definedName name="vpc504_3_2">'Verification Report'!$AO$194</definedName>
    <definedName name="vpc504_3_3">'Verification Report'!$AO$195</definedName>
    <definedName name="vpc504_3_4">'Verification Report'!$AO$197</definedName>
    <definedName name="vpc504_3_5">'Verification Report'!$AO$199</definedName>
    <definedName name="vpc504_3_6">'Verification Report'!$AO$203</definedName>
    <definedName name="vpc504_3_7">'Verification Report'!$AO$206</definedName>
    <definedName name="vpc504_3_8">'Verification Report'!$AO$207</definedName>
    <definedName name="vpc504_3_9">'Verification Report'!$AO$215</definedName>
    <definedName name="vpc505_1_1">'Verification Report'!$AO$222</definedName>
    <definedName name="vpc505_1_2">'Verification Report'!$AO$224</definedName>
    <definedName name="vpc505_1_3">'Verification Report'!$AO$225</definedName>
    <definedName name="vpc505_1_4">'Verification Report'!$AO$229</definedName>
    <definedName name="vpc505_2_1">'Verification Report'!$AO$235</definedName>
    <definedName name="vpc505_2_2">'Verification Report'!$AO$245</definedName>
    <definedName name="vpc505_3">'Verification Report'!$AO$248</definedName>
    <definedName name="vpc505_4">'Verification Report'!$AO$254</definedName>
    <definedName name="vpc505_5">'Verification Report'!$AO$255</definedName>
    <definedName name="vpc505_6">'Verification Report'!$AO$257</definedName>
    <definedName name="vpc601_1">'Verification Report'!$AO$267</definedName>
    <definedName name="vpc601_2_1">'Verification Report'!$AO$283</definedName>
    <definedName name="vpc601_2_2">'Verification Report'!$AO$286</definedName>
    <definedName name="vpc601_2_3">'Verification Report'!$AO$289</definedName>
    <definedName name="vpc601_3_1">'Verification Report'!$AO$293</definedName>
    <definedName name="vpc601_3_2">'Verification Report'!$AO$294</definedName>
    <definedName name="vpc601_3_3">'Verification Report'!$AO$295</definedName>
    <definedName name="vpc601_3_4">'Verification Report'!$AO$296</definedName>
    <definedName name="vpc601_3_5">'Verification Report'!$AO$297</definedName>
    <definedName name="vpc601_4">'Verification Report'!$AO$298</definedName>
    <definedName name="vpc601_5_1">'Verification Report'!$AO$304</definedName>
    <definedName name="vpc601_5_2">'Verification Report'!$AO$305</definedName>
    <definedName name="vpc601_5_3">'Verification Report'!$AO$306</definedName>
    <definedName name="vpc601_5_4">'Verification Report'!$AO$307</definedName>
    <definedName name="vpc601_5_5">'Verification Report'!$AO$308</definedName>
    <definedName name="vpc601_6">'Verification Report'!$AO$309</definedName>
    <definedName name="vpc601_7">'Verification Report'!$AO$314</definedName>
    <definedName name="vpc601_8">'Verification Report'!$AO$332</definedName>
    <definedName name="vpc601_9">'Verification Report'!$AO$340</definedName>
    <definedName name="vpc602_1_1_2">'Verification Report'!$AO$354</definedName>
    <definedName name="vpc602_1_10">'Verification Report'!$AO$450</definedName>
    <definedName name="vpc602_1_12">'Verification Report'!$AO$465</definedName>
    <definedName name="vpc602_1_14_1">'Verification Report'!$AO$474</definedName>
    <definedName name="vpc602_1_14_2">'Verification Report'!$AO$476</definedName>
    <definedName name="vpc602_1_14_3">'Verification Report'!$AO$477</definedName>
    <definedName name="vpc602_1_2">'Verification Report'!$AO$356</definedName>
    <definedName name="vpc602_1_3_2">'Verification Report'!$AO$363</definedName>
    <definedName name="vpc602_1_4_1_1">'Verification Report'!$AO$369</definedName>
    <definedName name="vpc602_1_4_2_1">'Verification Report'!$AO$375</definedName>
    <definedName name="vpc602_1_5_1">'Verification Report'!$AO$381</definedName>
    <definedName name="vpc602_1_5_2">'Verification Report'!$AO$383</definedName>
    <definedName name="vpc602_1_6_1">'Verification Report'!$AO$389</definedName>
    <definedName name="vpc602_1_6_2">'Verification Report'!$AO$393</definedName>
    <definedName name="vpc602_1_6_3">'Verification Report'!$AO$397</definedName>
    <definedName name="vpc602_1_7_1_1">'Verification Report'!$AO$402</definedName>
    <definedName name="vpc602_1_7_1_2">'Verification Report'!$AO$404</definedName>
    <definedName name="vpc602_1_7_1_3">'Verification Report'!$AO$407</definedName>
    <definedName name="vpc602_1_7_2">'Verification Report'!$AO$409</definedName>
    <definedName name="vpc602_1_7_3">'Verification Report'!$AO$411</definedName>
    <definedName name="vpc602_1_9_2">'Verification Report'!$AO$433</definedName>
    <definedName name="vpc602_1_9_3">'Verification Report'!$AO$436</definedName>
    <definedName name="vpc602_1_9_4">'Verification Report'!$AO$437</definedName>
    <definedName name="vpc602_1_9_5">'Verification Report'!$AO$441</definedName>
    <definedName name="vpc602_1_9_6">'Verification Report'!$AO$447</definedName>
    <definedName name="vpc602_1_9_7">'Verification Report'!$AO$449</definedName>
    <definedName name="vpc602_2">'Verification Report'!$AO$478</definedName>
    <definedName name="vpc602_3">'Verification Report'!$AO$488</definedName>
    <definedName name="vpc602_4_2">'Verification Report'!$AO$497</definedName>
    <definedName name="vpc602_4_3">'Verification Report'!$AO$499</definedName>
    <definedName name="vpc603_1">'Verification Report'!$AO$503</definedName>
    <definedName name="vpc603_2">'Verification Report'!$AO$509</definedName>
    <definedName name="vpc603_3">'Verification Report'!$AO$516</definedName>
    <definedName name="vpc604_1a">'Verification Report'!$AO$520</definedName>
    <definedName name="vpc605_1">'Verification Report'!$AO$532</definedName>
    <definedName name="vpc605_2">'Verification Report'!$AO$547</definedName>
    <definedName name="vpc605_3">'Verification Report'!$AO$556</definedName>
    <definedName name="vpc606_1">'Verification Report'!$AO$572</definedName>
    <definedName name="vpc606_2_1a">'Verification Report'!$AO$600</definedName>
    <definedName name="vpc606_2_2a">'Verification Report'!$AO$603</definedName>
    <definedName name="vpc606_3">'Verification Report'!$AO$606</definedName>
    <definedName name="vpc607_1_1">'Verification Report'!$AO$615</definedName>
    <definedName name="vpc607_1_2">'Verification Report'!$AO$617</definedName>
    <definedName name="vpc607_2">'Verification Report'!$AO$618</definedName>
    <definedName name="vpc608_1">'Verification Report'!$AO$621</definedName>
    <definedName name="vpc609_1a">'Verification Report'!$AO$630</definedName>
    <definedName name="vpc610_1_1_1">'Verification Report'!$AO$646</definedName>
    <definedName name="vpc610_1_1_2">'Verification Report'!$AO$655</definedName>
    <definedName name="vpc610_1_1_3">'Verification Report'!$AO$662</definedName>
    <definedName name="vpc610_1_2">'Verification Report'!$AO$664</definedName>
    <definedName name="vpc611_1">'Verification Report'!$AO$707</definedName>
    <definedName name="vpc611_2">'Verification Report'!$AO$715</definedName>
    <definedName name="vpc611_3">'Verification Report'!$AO$726</definedName>
    <definedName name="vpc611_4">'Verification Report'!$AO$751</definedName>
    <definedName name="vpc701_1_4">'Verification Report'!$AO$785</definedName>
    <definedName name="vpc702_2_2">'Verification Report'!$AO$907</definedName>
    <definedName name="vpc703_1">'Verification Report'!$AO$919</definedName>
    <definedName name="vpc703_2_1">'Verification Report'!$AO$939</definedName>
    <definedName name="vpc703_2_2">'Verification Report'!$AO$946</definedName>
    <definedName name="vpc703_2_3">'Verification Report'!$AO$948</definedName>
    <definedName name="vpc703_2_4">'Verification Report'!$AO$951</definedName>
    <definedName name="vpc703_2_5_2">'Verification Report'!$AO$970</definedName>
    <definedName name="vpc703_3_1">'Verification Report'!$AO$1000</definedName>
    <definedName name="vpc703_3_2__1">'Verification Report'!$AO$1006</definedName>
    <definedName name="vpc703_3_2__2">'Verification Report'!$AO$1012</definedName>
    <definedName name="vpc703_3_2__3">'Verification Report'!$AO$1015</definedName>
    <definedName name="vpc703_3_2__4">'Verification Report'!$AO$1020</definedName>
    <definedName name="vpc703_3_3__1">'Verification Report'!$AO$1026</definedName>
    <definedName name="vpc703_3_3__3">'Verification Report'!$AO$1031</definedName>
    <definedName name="vpc703_3_4_1">'Verification Report'!$AO$1035</definedName>
    <definedName name="vpc703_3_4_1_5">'Verification Report'!$AO$1040</definedName>
    <definedName name="vpc703_3_4_2">'Verification Report'!$AO$1042</definedName>
    <definedName name="vpc703_3_5">'Verification Report'!$AO$1043</definedName>
    <definedName name="vpc703_3_6">'Verification Report'!$AO$1047</definedName>
    <definedName name="vpc703_3_7_1">'Verification Report'!$AO$1053</definedName>
    <definedName name="vpc703_3_8">'Verification Report'!$AO$1060</definedName>
    <definedName name="vpc703_4_1">'Verification Report'!$AO$1066</definedName>
    <definedName name="vpc703_4_2">'Verification Report'!$AO$1068</definedName>
    <definedName name="vpc703_4_3">'Verification Report'!$AO$1070</definedName>
    <definedName name="vpc703_4_4">'Verification Report'!$AO$1076</definedName>
    <definedName name="vpc703_5_1_1_a">'Verification Report'!$AO$1089</definedName>
    <definedName name="vpc703_5_1_1_b">'Verification Report'!$AO$1092</definedName>
    <definedName name="vpc703_5_1_2_a">'Verification Report'!$AO$1097</definedName>
    <definedName name="vpc703_5_1_2_b">'Verification Report'!$AO$1098</definedName>
    <definedName name="vpc703_5_1_3">'Verification Report'!$AO$1099</definedName>
    <definedName name="vpc703_5_1_4">'Verification Report'!$AO$1100</definedName>
    <definedName name="vpc703_5_2">'Verification Report'!$AO$1104</definedName>
    <definedName name="vpc703_5_3">'Verification Report'!$AO$1106</definedName>
    <definedName name="vpc703_5_4">'Verification Report'!$AO$1108</definedName>
    <definedName name="vpc703_5_5">'Verification Report'!$AO$1109</definedName>
    <definedName name="vpc703_6_1_1">'Verification Report'!$AO$1120</definedName>
    <definedName name="vpc703_6_1_2">'Verification Report'!$AO$1122</definedName>
    <definedName name="vpc703_6_1_3">'Verification Report'!$AO$1124</definedName>
    <definedName name="vpc703_6_2__1">'Verification Report'!$AO$1127</definedName>
    <definedName name="vpc703_6_2__2">'Verification Report'!$AO$1128</definedName>
    <definedName name="vpc703_6_2__3">'Verification Report'!$AO$1129</definedName>
    <definedName name="vpc703_7_1">'Verification Report'!$AO$1132</definedName>
    <definedName name="vpc703_7_2">'Verification Report'!$AO$1160</definedName>
    <definedName name="vpc703_7_3">'Verification Report'!$AO$1162</definedName>
    <definedName name="vpc703_7_4">'Verification Report'!$AO$1189</definedName>
    <definedName name="vpc704_1">'Verification Report'!$AO$1213</definedName>
    <definedName name="vpc705_2_1_1">'Verification Report'!$AO$1226</definedName>
    <definedName name="vpc705_2_1_2">'Verification Report'!$AO$1230</definedName>
    <definedName name="vpc705_2_1_3_1">'Verification Report'!$AO$1233</definedName>
    <definedName name="vpc705_2_1_3_2">'Verification Report'!$AO$1237</definedName>
    <definedName name="vpc705_2_1_4">'Verification Report'!$AO$1242</definedName>
    <definedName name="vpc705_2_2">'Verification Report'!$AO$1247</definedName>
    <definedName name="vpc705_2_3">'Verification Report'!$AO$1250</definedName>
    <definedName name="vpc705_2_4">'Verification Report'!$AO$1252</definedName>
    <definedName name="vpc705_3">'Verification Report'!$AO$1255</definedName>
    <definedName name="vpc705_4">'Verification Report'!$AO$1256</definedName>
    <definedName name="vpc705_5_1">'Verification Report'!$AO$1260</definedName>
    <definedName name="vpc705_5_2">'Verification Report'!$AO$1265</definedName>
    <definedName name="vpc705_6_1">'Verification Report'!$AO$1274</definedName>
    <definedName name="vpc705_6_2_1_1">'Verification Report'!$AO$1287</definedName>
    <definedName name="vpc705_6_2_1_2">'Verification Report'!$AO$1288</definedName>
    <definedName name="vpc705_6_2_2">'Verification Report'!$AO$1291</definedName>
    <definedName name="vpc705_6_2_3">'Verification Report'!$AO$1299</definedName>
    <definedName name="vpc705_6_3">'Verification Report'!$AO$1305</definedName>
    <definedName name="vpc705_6_4_1">'Verification Report'!$AO$1317</definedName>
    <definedName name="vpc705_6_4_2">'Verification Report'!$AO$1319</definedName>
    <definedName name="vpc705_7">'Verification Report'!$AO$1321</definedName>
    <definedName name="vpc706_1">'Verification Report'!$AO$1326</definedName>
    <definedName name="vpc706_2_1">'Verification Report'!$AO$1336</definedName>
    <definedName name="vpc706_2_2">'Verification Report'!$AO$1339</definedName>
    <definedName name="vpc706_3">'Verification Report'!$AO$1346</definedName>
    <definedName name="vpc706_4_1_1">'Verification Report'!$AO$1364</definedName>
    <definedName name="vpc706_4_1_2">'Verification Report'!$AO$1366</definedName>
    <definedName name="vpc706_4_2">'Verification Report'!$AO$1368</definedName>
    <definedName name="vpc706_5">'Verification Report'!$AO$1370</definedName>
    <definedName name="vpc706_6">'Verification Report'!$AO$1379</definedName>
    <definedName name="vpc706_7_1">'Verification Report'!$AO$1383</definedName>
    <definedName name="vpc706_7_2">'Verification Report'!$AO$1384</definedName>
    <definedName name="vpc706_8">'Verification Report'!$AO$1387</definedName>
    <definedName name="vpc706_9">'Verification Report'!$AO$1390</definedName>
    <definedName name="vpc801_1">'Verification Report'!$AO$1397</definedName>
    <definedName name="vpc801_1_6">'Verification Report'!$AO$1427</definedName>
    <definedName name="vpc801_2_1">'Verification Report'!$AO$1432</definedName>
    <definedName name="vpc801_2_2">'Verification Report'!$AO$1433</definedName>
    <definedName name="vpc801_3_1">'Verification Report'!$AO$1440</definedName>
    <definedName name="vpc801_3_2">'Verification Report'!$AO$1449</definedName>
    <definedName name="vpc801_3_3">'Verification Report'!$AO$1454</definedName>
    <definedName name="vpc801_4_1_1">'Verification Report'!$AO$1459</definedName>
    <definedName name="vpc801_4_1_2">'Verification Report'!$AO$1463</definedName>
    <definedName name="vpc801_4_2">'Verification Report'!$AO$1464</definedName>
    <definedName name="vpc801_5_2">'Verification Report'!$AO$1471</definedName>
    <definedName name="vpc801_5_3">'Verification Report'!$AO$1477</definedName>
    <definedName name="vpc801_5_4_a">'Verification Report'!$AO$1480</definedName>
    <definedName name="vpc801_5_4_b">'Verification Report'!$AO$1484</definedName>
    <definedName name="vpc801_5_4_c">'Verification Report'!$AO$1486</definedName>
    <definedName name="vpc801_6_1">'Verification Report'!$AO$1488</definedName>
    <definedName name="vpc801_6_2_1">'Verification Report'!$AO$1492</definedName>
    <definedName name="vpc801_6_2_2">'Verification Report'!$AO$1493</definedName>
    <definedName name="vpc801_6_2_3">'Verification Report'!$AO$1494</definedName>
    <definedName name="vpc801_6_4_1">'Verification Report'!$AO$1502</definedName>
    <definedName name="vpc801_6_4_3">'Verification Report'!$AO$1505</definedName>
    <definedName name="vpc801_6_5">'Verification Report'!$AO$1509</definedName>
    <definedName name="vpc801_7_1">'Verification Report'!$AO$1513</definedName>
    <definedName name="vpc801_7_2">'Verification Report'!$AO$1524</definedName>
    <definedName name="vpc801_8">'Verification Report'!$AO$1530</definedName>
    <definedName name="vpc802_1">'Verification Report'!$AO$1533</definedName>
    <definedName name="vpc802_2">'Verification Report'!$AO$1540</definedName>
    <definedName name="vpc802_3">'Verification Report'!$AO$1543</definedName>
    <definedName name="vpc802_4">'Verification Report'!$AO$1548</definedName>
    <definedName name="vpc802_5">'Verification Report'!$AO$1551</definedName>
    <definedName name="vpc802_6">'Verification Report'!$AO$1553</definedName>
    <definedName name="vpc901_1_1">'Verification Report'!$AO$1559</definedName>
    <definedName name="vpc901_1_2">'Verification Report'!$AO$1565</definedName>
    <definedName name="vpc901_1_3_1">'Verification Report'!$AO$1570</definedName>
    <definedName name="vpc901_1_3_2">'Verification Report'!$AO$1573</definedName>
    <definedName name="vpc901_1_5">'Verification Report'!$AO$1580</definedName>
    <definedName name="vpc901_1_6">'Verification Report'!$AO$1583</definedName>
    <definedName name="vpc901_10">'Verification Report'!$AO$1692</definedName>
    <definedName name="vpc901_11">'Verification Report'!$AO$1705</definedName>
    <definedName name="vpc901_13">'Verification Report'!$AO$1712</definedName>
    <definedName name="vpc901_14_1">'Verification Report'!$AO$1718</definedName>
    <definedName name="vpc901_14_2">'Verification Report'!$AO$1720</definedName>
    <definedName name="vpc901_2_1_1">'Verification Report'!$AO$1589</definedName>
    <definedName name="vpc901_2_1_2">'Verification Report'!$AO$1592</definedName>
    <definedName name="vpc901_2_1_3">'Verification Report'!$AO$1594</definedName>
    <definedName name="vpc901_2_1_4">'Verification Report'!$AO$1597</definedName>
    <definedName name="vpc901_2_1_5">'Verification Report'!$AO$1599</definedName>
    <definedName name="vpc901_2_2">'Verification Report'!$AO$1601</definedName>
    <definedName name="vpc901_3_1_a">'Verification Report'!$AO$1604</definedName>
    <definedName name="vpc901_3_1_b">'Verification Report'!$AO$1606</definedName>
    <definedName name="vpc901_3_1_c">'Verification Report'!$AO$1608</definedName>
    <definedName name="vpc901_3_2">'Verification Report'!$AO$1614</definedName>
    <definedName name="vpc901_4">'Verification Report'!$AO$1615</definedName>
    <definedName name="vpc901_5_1">'Verification Report'!$AO$1637</definedName>
    <definedName name="vpc901_5_2">'Verification Report'!$AO$1639</definedName>
    <definedName name="vpc901_7">'Verification Report'!$AO$1644</definedName>
    <definedName name="vpc901_8">'Verification Report'!$AO$1665</definedName>
    <definedName name="vpc901_9_1">'Verification Report'!$AO$1674</definedName>
    <definedName name="vpc901_9_2">'Verification Report'!$AO$1681</definedName>
    <definedName name="vpc901_9_3">'Verification Report'!$AO$1686</definedName>
    <definedName name="vpc902_1_1_a">'Verification Report'!$AO$1728</definedName>
    <definedName name="vpc902_1_2">'Verification Report'!$AO$1735</definedName>
    <definedName name="vpc902_1_3">'Verification Report'!$AO$1739</definedName>
    <definedName name="vpc902_1_3_">'Verification Report'!$AO$1732</definedName>
    <definedName name="vpc902_1_4">'Verification Report'!$AO$1743</definedName>
    <definedName name="vpc902_1_5">'Verification Report'!$AO$1748</definedName>
    <definedName name="vpc902_2_1">'Verification Report'!$AO$1758</definedName>
    <definedName name="vpc902_2_2">'Verification Report'!$AO$1767</definedName>
    <definedName name="vpc902_2_3">'Verification Report'!$AO$1769</definedName>
    <definedName name="vpc902_2_4">'Verification Report'!$AO$1772</definedName>
    <definedName name="vpc902_3_1">'Verification Report'!$AO$1777</definedName>
    <definedName name="vpc902_3_2_a">'Verification Report'!$AO$1781</definedName>
    <definedName name="vpc902_4">'Verification Report'!$AO$1782</definedName>
    <definedName name="vpc902_5">'Verification Report'!$AO$1789</definedName>
    <definedName name="vpc903_1">'Verification Report'!$AO$1795</definedName>
    <definedName name="vpc903_2">'Verification Report'!$AO$1799</definedName>
    <definedName name="vpc903_3">'Verification Report'!$AO$1803</definedName>
    <definedName name="vpc904_1">'Verification Report'!$AO$1811</definedName>
    <definedName name="vpc904_2">'Verification Report'!$AO$1816</definedName>
    <definedName name="vpc905_1">'Verification Report'!$AO$1820</definedName>
    <definedName name="vpc905_2">'Verification Report'!$AO$1825</definedName>
    <definedName name="vscAGFloorArea">'Overview (Verification)'!$I$20</definedName>
    <definedName name="vscAttachedGarage">'Overview (Verification)'!$I$46</definedName>
    <definedName name="vscAttic">'Overview (Verification)'!$I$45</definedName>
    <definedName name="vscBuilderName">'Overview (Verification)'!$I$8</definedName>
    <definedName name="vscBuildingCode">'Overview (Verification)'!$I$58</definedName>
    <definedName name="vscCDucts">'Overview (Verification)'!$I$37</definedName>
    <definedName name="vscCity">'Overview (Verification)'!$I$11</definedName>
    <definedName name="vscCool1">'Overview (Verification)'!$I$34</definedName>
    <definedName name="vscCool2">'Overview (Verification)'!$I$35</definedName>
    <definedName name="vscCool3">'Overview (Verification)'!$I$36</definedName>
    <definedName name="vscCounty">'Overview (Verification)'!$I$13</definedName>
    <definedName name="vscCToilet">'Overview (Verification)'!$I$55</definedName>
    <definedName name="vscDuctless">'Overview (Verification)'!$I$52</definedName>
    <definedName name="vscEnergyCode">'Overview (Verification)'!$I$57</definedName>
    <definedName name="vscFloors">'Overview (Verification)'!$I$22</definedName>
    <definedName name="vscFoundation">'Overview (Verification)'!$I$27</definedName>
    <definedName name="vscFuel">'Overview (Verification)'!$I$32</definedName>
    <definedName name="vscHDucts">'Overview (Verification)'!$I$33</definedName>
    <definedName name="vscHERS">'Overview (Verification)'!$I$26</definedName>
    <definedName name="vscHomeAddress">'Overview (Verification)'!$I$9</definedName>
    <definedName name="vscHVAC1">'Overview (Verification)'!$I$29</definedName>
    <definedName name="vscHVAC2">'Overview (Verification)'!$I$30</definedName>
    <definedName name="vscHVAC3">'Overview (Verification)'!$I$31</definedName>
    <definedName name="vscLot">'Overview (Verification)'!$I$10</definedName>
    <definedName name="vscMassWalls">'Overview (Verification)'!$I$51</definedName>
    <definedName name="vscPassiveSolar">'Overview (Verification)'!$I$50</definedName>
    <definedName name="vscProjectDesc">'Overview (Verification)'!$I$24</definedName>
    <definedName name="vscProjectName">'Overview (Verification)'!$I$18</definedName>
    <definedName name="vscRadiantHydronic">'Overview (Verification)'!$I$53</definedName>
    <definedName name="vscRecessedLighting">'Overview (Verification)'!$I$47</definedName>
    <definedName name="vscRenewable">'Overview (Verification)'!$I$43</definedName>
    <definedName name="vscSingleOrMulti">'Overview (Verification)'!$I$16</definedName>
    <definedName name="vscsSHGC">'Overview (Verification)'!$I$40</definedName>
    <definedName name="vscState">'Overview (Verification)'!$I$12</definedName>
    <definedName name="vscsUV">'Overview (Verification)'!$I$42</definedName>
    <definedName name="vscTCFloorArea">'Overview (Verification)'!$I$21</definedName>
    <definedName name="vscTEInsulation">'Overview (Verification)'!$I$44</definedName>
    <definedName name="vscTLWH">'Overview (Verification)'!$I$54</definedName>
    <definedName name="vscUnits">'Overview (Verification)'!$I$17</definedName>
    <definedName name="vscwdSHGC">'Overview (Verification)'!$I$39</definedName>
    <definedName name="vscwdUV">'Overview (Verification)'!$I$41</definedName>
    <definedName name="vscZIP">'Overview (Verification)'!$I$14</definedName>
    <definedName name="vsfAGFloorArea">'Overview (Verification)'!$J$20</definedName>
    <definedName name="vsfAttachedGarage">'Overview (Verification)'!$J$46</definedName>
    <definedName name="vsfAttic">'Overview (Verification)'!$J$45</definedName>
    <definedName name="vsfBuilderName">'Overview (Verification)'!$J$8</definedName>
    <definedName name="vsfBuildingCode">'Overview (Verification)'!$J$58</definedName>
    <definedName name="vsfCDucts">'Overview (Verification)'!$J$37</definedName>
    <definedName name="vsfCity">'Overview (Verification)'!$J$11</definedName>
    <definedName name="vsfCool1">'Overview (Verification)'!$J$34</definedName>
    <definedName name="vsfCool2">'Overview (Verification)'!$J$35</definedName>
    <definedName name="vsfCool3">'Overview (Verification)'!$J$36</definedName>
    <definedName name="vsfCounty">'Overview (Verification)'!$J$13</definedName>
    <definedName name="vsfCToilet">'Overview (Verification)'!$J$55</definedName>
    <definedName name="vsfDuctless">'Overview (Verification)'!$J$52</definedName>
    <definedName name="vsfEnergyCode">'Overview (Verification)'!$J$57</definedName>
    <definedName name="vsfFloors">'Overview (Verification)'!$J$22</definedName>
    <definedName name="vsfFoundation">'Overview (Verification)'!$J$27</definedName>
    <definedName name="vsfFuel">'Overview (Verification)'!$J$32</definedName>
    <definedName name="vsfHDucts">'Overview (Verification)'!$J$33</definedName>
    <definedName name="vsfHERS">'Overview (Verification)'!$J$26</definedName>
    <definedName name="vsfHomeAddress">'Overview (Verification)'!$J$9</definedName>
    <definedName name="vsfHVAC1">'Overview (Verification)'!$J$29</definedName>
    <definedName name="vsfHVAC2">'Overview (Verification)'!$J$30</definedName>
    <definedName name="vsfHVAC3">'Overview (Verification)'!$J$31</definedName>
    <definedName name="vsfLot">'Overview (Verification)'!$J$10</definedName>
    <definedName name="vsfMassWalls">'Overview (Verification)'!$J$51</definedName>
    <definedName name="vsfPassiveSolar">'Overview (Verification)'!$J$50</definedName>
    <definedName name="vsfProjectDesc">'Overview (Verification)'!$J$24</definedName>
    <definedName name="vsfProjectID">'Overview (Verification)'!$J$60</definedName>
    <definedName name="vsfProjectName">'Overview (Verification)'!$J$18</definedName>
    <definedName name="vsfRadiantHydronic">'Overview (Verification)'!$J$53</definedName>
    <definedName name="vsfRecessedLighting">'Overview (Verification)'!$J$47</definedName>
    <definedName name="vsfRenewable">'Overview (Verification)'!$J$43</definedName>
    <definedName name="vsfSingleOrMulti">'Overview (Verification)'!$J$16</definedName>
    <definedName name="vsfsSHGC">'Overview (Verification)'!$J$40</definedName>
    <definedName name="vsfState">'Overview (Verification)'!$J$12</definedName>
    <definedName name="vsfsUV">'Overview (Verification)'!$J$42</definedName>
    <definedName name="vsfTCFloorArea">'Overview (Verification)'!$J$21</definedName>
    <definedName name="vsfTEInsulation">'Overview (Verification)'!$J$44</definedName>
    <definedName name="vsfTLWH">'Overview (Verification)'!$J$54</definedName>
    <definedName name="vsfUnits">'Overview (Verification)'!$J$17</definedName>
    <definedName name="vsfwdSHGC">'Overview (Verification)'!$J$39</definedName>
    <definedName name="vsfwdUV">'Overview (Verification)'!$J$41</definedName>
    <definedName name="vsfZIP">'Overview (Verification)'!$J$14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004" i="16" l="1"/>
  <c r="G2002" i="16"/>
  <c r="G1825" i="16"/>
  <c r="G1820" i="16"/>
  <c r="G1789" i="16"/>
  <c r="G1748" i="16"/>
  <c r="G1735" i="16"/>
  <c r="G1705" i="16"/>
  <c r="G1692" i="16"/>
  <c r="G1644" i="16"/>
  <c r="G1639" i="16"/>
  <c r="G1637" i="16"/>
  <c r="G1559" i="16"/>
  <c r="G1553" i="16"/>
  <c r="G1551" i="16"/>
  <c r="G1548" i="16"/>
  <c r="G1543" i="16"/>
  <c r="G1540" i="16"/>
  <c r="G1530" i="16"/>
  <c r="G1390" i="16"/>
  <c r="G1387" i="16"/>
  <c r="G1384" i="16"/>
  <c r="G1383" i="16"/>
  <c r="G1381" i="16" s="1"/>
  <c r="G1368" i="16"/>
  <c r="G1366" i="16"/>
  <c r="G1364" i="16"/>
  <c r="G1346" i="16"/>
  <c r="G1336" i="16"/>
  <c r="G1326" i="16"/>
  <c r="G1305" i="16"/>
  <c r="G1291" i="16"/>
  <c r="G1288" i="16"/>
  <c r="G1287" i="16"/>
  <c r="G1281" i="16" s="1"/>
  <c r="G1265" i="16"/>
  <c r="G1260" i="16"/>
  <c r="G1256" i="16"/>
  <c r="G1255" i="16"/>
  <c r="G1250" i="16"/>
  <c r="G1247" i="16"/>
  <c r="G1230" i="16"/>
  <c r="G1213" i="16"/>
  <c r="G751" i="16"/>
  <c r="G715" i="16"/>
  <c r="G662" i="16"/>
  <c r="G655" i="16"/>
  <c r="G646" i="16"/>
  <c r="G618" i="16"/>
  <c r="G617" i="16"/>
  <c r="G600" i="16"/>
  <c r="G547" i="16"/>
  <c r="G532" i="16"/>
  <c r="G520" i="16"/>
  <c r="G516" i="16"/>
  <c r="G509" i="16"/>
  <c r="G503" i="16"/>
  <c r="G478" i="16"/>
  <c r="G449" i="16"/>
  <c r="G447" i="16"/>
  <c r="G437" i="16"/>
  <c r="G436" i="16"/>
  <c r="G433" i="16"/>
  <c r="G411" i="16"/>
  <c r="G409" i="16"/>
  <c r="G340" i="16"/>
  <c r="G306" i="16"/>
  <c r="G305" i="16"/>
  <c r="G297" i="16"/>
  <c r="G296" i="16"/>
  <c r="G295" i="16"/>
  <c r="G294" i="16"/>
  <c r="G293" i="16"/>
  <c r="G290" i="16"/>
  <c r="G289" i="16"/>
  <c r="G286" i="16"/>
  <c r="G255" i="16"/>
  <c r="G245" i="16"/>
  <c r="G222" i="16"/>
  <c r="G207" i="16"/>
  <c r="G206" i="16"/>
  <c r="G203" i="16"/>
  <c r="G199" i="16"/>
  <c r="G197" i="16"/>
  <c r="G195" i="16"/>
  <c r="G187" i="16"/>
  <c r="G185" i="16"/>
  <c r="G184" i="16"/>
  <c r="G177" i="16"/>
  <c r="G167" i="16"/>
  <c r="G165" i="16"/>
  <c r="G162" i="16"/>
  <c r="G160" i="16"/>
  <c r="G159" i="16"/>
  <c r="G158" i="16"/>
  <c r="G99" i="16"/>
  <c r="G91" i="16"/>
  <c r="G84" i="16"/>
  <c r="G82" i="16"/>
  <c r="G78" i="16"/>
  <c r="G76" i="16"/>
  <c r="G69" i="16"/>
  <c r="G68" i="16"/>
  <c r="G64" i="16"/>
  <c r="G62" i="16"/>
  <c r="G61" i="16"/>
  <c r="G58" i="16"/>
  <c r="G56" i="16"/>
  <c r="G55" i="16"/>
  <c r="G35" i="16"/>
  <c r="G26" i="16"/>
  <c r="G24" i="16"/>
  <c r="G22" i="16"/>
  <c r="G20" i="16"/>
  <c r="G13" i="16"/>
  <c r="A2003" i="66"/>
  <c r="A2001" i="66"/>
  <c r="A1988" i="66"/>
  <c r="A1985" i="66"/>
  <c r="A1983" i="66"/>
  <c r="A1966" i="66"/>
  <c r="A1877" i="66"/>
  <c r="A1824" i="66"/>
  <c r="A1819" i="66"/>
  <c r="A1815" i="66"/>
  <c r="A1810" i="66"/>
  <c r="A1798" i="66"/>
  <c r="A1794" i="66"/>
  <c r="A1790" i="66"/>
  <c r="A1788" i="66"/>
  <c r="A1785" i="66"/>
  <c r="A1783" i="66"/>
  <c r="A1780" i="66"/>
  <c r="A1776" i="66"/>
  <c r="A1771" i="66"/>
  <c r="A1768" i="66"/>
  <c r="A1766" i="66"/>
  <c r="A1757" i="66"/>
  <c r="A1747" i="66"/>
  <c r="A1738" i="66"/>
  <c r="A1734" i="66"/>
  <c r="A1731" i="66"/>
  <c r="A1729" i="66"/>
  <c r="A1727" i="66"/>
  <c r="A1725" i="66"/>
  <c r="A1709" i="66"/>
  <c r="A1704" i="66"/>
  <c r="A1691" i="66"/>
  <c r="A1685" i="66"/>
  <c r="A1680" i="66"/>
  <c r="A1664" i="66"/>
  <c r="A1643" i="66"/>
  <c r="A1641" i="66"/>
  <c r="A1638" i="66"/>
  <c r="A1636" i="66"/>
  <c r="A1617" i="66"/>
  <c r="A1613" i="66"/>
  <c r="A1607" i="66"/>
  <c r="A1605" i="66"/>
  <c r="A1603" i="66"/>
  <c r="A1600" i="66"/>
  <c r="A1598" i="66"/>
  <c r="A1596" i="66"/>
  <c r="A1593" i="66"/>
  <c r="A1591" i="66"/>
  <c r="A1588" i="66"/>
  <c r="A1582" i="66"/>
  <c r="A1579" i="66"/>
  <c r="A1575" i="66"/>
  <c r="A1564" i="66"/>
  <c r="A1558" i="66"/>
  <c r="A1552" i="66"/>
  <c r="A1550" i="66"/>
  <c r="A1547" i="66"/>
  <c r="A1542" i="66"/>
  <c r="A1539" i="66"/>
  <c r="A1529" i="66"/>
  <c r="A1528" i="66"/>
  <c r="A1526" i="66"/>
  <c r="A1512" i="66"/>
  <c r="A1508" i="66"/>
  <c r="A1504" i="66"/>
  <c r="A1503" i="66"/>
  <c r="A1501" i="66"/>
  <c r="A1495" i="66"/>
  <c r="A1487" i="66"/>
  <c r="A1463" i="66"/>
  <c r="A1389" i="66"/>
  <c r="A1386" i="66"/>
  <c r="A1380" i="66"/>
  <c r="A1378" i="66"/>
  <c r="A1367" i="66"/>
  <c r="A1362" i="66"/>
  <c r="A1361" i="66" s="1"/>
  <c r="A1345" i="66"/>
  <c r="A1338" i="66"/>
  <c r="A1335" i="66"/>
  <c r="A1325" i="66"/>
  <c r="A1320" i="66"/>
  <c r="A1318" i="66"/>
  <c r="A1316" i="66"/>
  <c r="A1304" i="66"/>
  <c r="A1298" i="66"/>
  <c r="A1290" i="66"/>
  <c r="A1280" i="66"/>
  <c r="A1264" i="66"/>
  <c r="A1259" i="66"/>
  <c r="A1255" i="66"/>
  <c r="A1254" i="66"/>
  <c r="A1249" i="66"/>
  <c r="A1246" i="66"/>
  <c r="A1241" i="66"/>
  <c r="A1236" i="66"/>
  <c r="A1232" i="66"/>
  <c r="A1229" i="66"/>
  <c r="A1225" i="66"/>
  <c r="A1216" i="66"/>
  <c r="A1188" i="66"/>
  <c r="A1159" i="66"/>
  <c r="A1131" i="66"/>
  <c r="A1107" i="66"/>
  <c r="A1105" i="66"/>
  <c r="A1103" i="66"/>
  <c r="A1075" i="66"/>
  <c r="A1067" i="66"/>
  <c r="A1065" i="66"/>
  <c r="A1059" i="66"/>
  <c r="A1052" i="66"/>
  <c r="A1042" i="66"/>
  <c r="A999" i="66"/>
  <c r="A977" i="66"/>
  <c r="A969" i="66"/>
  <c r="A961" i="66"/>
  <c r="A954" i="66"/>
  <c r="A947" i="66"/>
  <c r="A935" i="66"/>
  <c r="A932" i="66"/>
  <c r="A919" i="66"/>
  <c r="A902" i="66"/>
  <c r="A897" i="66"/>
  <c r="A892" i="66"/>
  <c r="A886" i="66"/>
  <c r="A880" i="66"/>
  <c r="A877" i="66"/>
  <c r="A853" i="66"/>
  <c r="A850" i="66"/>
  <c r="A834" i="66"/>
  <c r="A831" i="66"/>
  <c r="A814" i="66"/>
  <c r="A812" i="66"/>
  <c r="A811" i="66"/>
  <c r="A808" i="66"/>
  <c r="A802" i="66"/>
  <c r="A799" i="66"/>
  <c r="A766" i="66"/>
  <c r="A764" i="66" s="1"/>
  <c r="A756" i="66"/>
  <c r="A755" i="66" s="1"/>
  <c r="A750" i="66"/>
  <c r="A714" i="66"/>
  <c r="A706" i="66"/>
  <c r="A681" i="66"/>
  <c r="A667" i="66"/>
  <c r="A643" i="66"/>
  <c r="A620" i="66"/>
  <c r="A617" i="66"/>
  <c r="A605" i="66"/>
  <c r="A546" i="66"/>
  <c r="A531" i="66"/>
  <c r="A519" i="66"/>
  <c r="A515" i="66"/>
  <c r="A508" i="66"/>
  <c r="A502" i="66"/>
  <c r="A498" i="66"/>
  <c r="A496" i="66"/>
  <c r="A491" i="66"/>
  <c r="A487" i="66"/>
  <c r="A477" i="66"/>
  <c r="A467" i="66"/>
  <c r="A464" i="66"/>
  <c r="A462" i="66"/>
  <c r="A414" i="66"/>
  <c r="A410" i="66"/>
  <c r="A408" i="66"/>
  <c r="A406" i="66"/>
  <c r="A403" i="66"/>
  <c r="A401" i="66"/>
  <c r="A376" i="66"/>
  <c r="A374" i="66"/>
  <c r="A362" i="66"/>
  <c r="A360" i="66"/>
  <c r="A353" i="66"/>
  <c r="A350" i="66"/>
  <c r="A339" i="66"/>
  <c r="A331" i="66"/>
  <c r="A307" i="66"/>
  <c r="A306" i="66"/>
  <c r="A305" i="66"/>
  <c r="A304" i="66"/>
  <c r="A303" i="66"/>
  <c r="A300" i="66" s="1"/>
  <c r="A297" i="66"/>
  <c r="A289" i="66"/>
  <c r="A288" i="66"/>
  <c r="A285" i="66"/>
  <c r="A282" i="66"/>
  <c r="A256" i="66"/>
  <c r="A254" i="66"/>
  <c r="A253" i="66"/>
  <c r="A247" i="66"/>
  <c r="A244" i="66"/>
  <c r="A228" i="66"/>
  <c r="A224" i="66"/>
  <c r="A223" i="66"/>
  <c r="A221" i="66"/>
  <c r="A214" i="66"/>
  <c r="A206" i="66"/>
  <c r="A205" i="66"/>
  <c r="A202" i="66"/>
  <c r="A198" i="66"/>
  <c r="A196" i="66"/>
  <c r="A194" i="66"/>
  <c r="A193" i="66"/>
  <c r="A191" i="66"/>
  <c r="A186" i="66"/>
  <c r="A184" i="66"/>
  <c r="A183" i="66"/>
  <c r="A176" i="66"/>
  <c r="A166" i="66"/>
  <c r="A164" i="66"/>
  <c r="A153" i="66"/>
  <c r="A151" i="66"/>
  <c r="A149" i="66"/>
  <c r="A146" i="66"/>
  <c r="A144" i="66"/>
  <c r="A139" i="66"/>
  <c r="A138" i="66"/>
  <c r="A133" i="66"/>
  <c r="A131" i="66"/>
  <c r="A129" i="66"/>
  <c r="A127" i="66"/>
  <c r="A121" i="66"/>
  <c r="A112" i="66"/>
  <c r="A105" i="66"/>
  <c r="A101" i="66"/>
  <c r="A98" i="66"/>
  <c r="A90" i="66"/>
  <c r="A89" i="66"/>
  <c r="A88" i="66"/>
  <c r="A86" i="66"/>
  <c r="A85" i="66"/>
  <c r="A83" i="66"/>
  <c r="A81" i="66"/>
  <c r="A77" i="66"/>
  <c r="A75" i="66"/>
  <c r="A70" i="66"/>
  <c r="A68" i="66"/>
  <c r="A67" i="66"/>
  <c r="A63" i="66"/>
  <c r="A61" i="66"/>
  <c r="A60" i="66"/>
  <c r="A59" i="66"/>
  <c r="A57" i="66"/>
  <c r="A55" i="66"/>
  <c r="A54" i="66"/>
  <c r="A43" i="66"/>
  <c r="A37" i="66"/>
  <c r="A34" i="66"/>
  <c r="A25" i="66"/>
  <c r="A23" i="66"/>
  <c r="A21" i="66"/>
  <c r="A19" i="66"/>
  <c r="A16" i="66"/>
  <c r="A15" i="66"/>
  <c r="A14" i="66"/>
  <c r="A12" i="66"/>
  <c r="AE817" i="16" l="1"/>
  <c r="AF817" i="16" s="1"/>
  <c r="AE54" i="25"/>
  <c r="J73" i="18" l="1"/>
  <c r="K93" i="18"/>
  <c r="K94" i="18"/>
  <c r="K95" i="18"/>
  <c r="K96" i="18"/>
  <c r="K92" i="18"/>
  <c r="K105" i="17" l="1"/>
  <c r="K106" i="17"/>
  <c r="K107" i="17"/>
  <c r="K108" i="17"/>
  <c r="K109" i="17"/>
  <c r="K110" i="17"/>
  <c r="K111" i="17"/>
  <c r="K112" i="17"/>
  <c r="K113" i="17"/>
  <c r="K104" i="17"/>
  <c r="J73" i="17" l="1"/>
  <c r="J92" i="18"/>
  <c r="J93" i="18"/>
  <c r="J94" i="18"/>
  <c r="J95" i="18"/>
  <c r="J96" i="18"/>
  <c r="J52" i="18"/>
  <c r="J106" i="17" l="1"/>
  <c r="J107" i="17"/>
  <c r="J105" i="17"/>
  <c r="J108" i="17"/>
  <c r="J109" i="17"/>
  <c r="J110" i="17"/>
  <c r="J111" i="17"/>
  <c r="J112" i="17"/>
  <c r="J113" i="17"/>
  <c r="J104" i="17"/>
  <c r="K93" i="17"/>
  <c r="J93" i="17" s="1"/>
  <c r="K94" i="17"/>
  <c r="J94" i="17" s="1"/>
  <c r="K95" i="17"/>
  <c r="J95" i="17" s="1"/>
  <c r="K96" i="17"/>
  <c r="J96" i="17" s="1"/>
  <c r="K92" i="17"/>
  <c r="J92" i="17" s="1"/>
  <c r="AF1553" i="16" l="1"/>
  <c r="AF1551" i="16"/>
  <c r="AF1547" i="16"/>
  <c r="AF1548" i="16"/>
  <c r="AF1546" i="16"/>
  <c r="AF1539" i="16"/>
  <c r="AF1530" i="16"/>
  <c r="AF1529" i="16"/>
  <c r="AF1509" i="16"/>
  <c r="AF1505" i="16"/>
  <c r="AF1504" i="16"/>
  <c r="AF1502" i="16"/>
  <c r="AF1493" i="16"/>
  <c r="AF1494" i="16"/>
  <c r="AF1492" i="16"/>
  <c r="AF1488" i="16"/>
  <c r="AF1486" i="16"/>
  <c r="AF1484" i="16"/>
  <c r="AF1477" i="16"/>
  <c r="AF1463" i="16"/>
  <c r="AF1432" i="16"/>
  <c r="AF1427" i="16"/>
  <c r="AF779" i="16"/>
  <c r="AF724" i="16"/>
  <c r="AF723" i="16"/>
  <c r="AF722" i="16"/>
  <c r="AF721" i="16"/>
  <c r="AF720" i="16"/>
  <c r="AF719" i="16"/>
  <c r="AF718" i="16"/>
  <c r="AF465" i="16"/>
  <c r="AF397" i="16"/>
  <c r="AF393" i="16"/>
  <c r="AF389" i="16"/>
  <c r="AF383" i="16"/>
  <c r="AF381" i="16"/>
  <c r="AF308" i="16"/>
  <c r="AF307" i="16"/>
  <c r="AF306" i="16"/>
  <c r="AF305" i="16"/>
  <c r="AF304" i="16"/>
  <c r="AF270" i="16"/>
  <c r="AA7" i="16" l="1"/>
  <c r="F237" i="76" l="1"/>
  <c r="AA1587" i="16"/>
  <c r="AA497" i="16"/>
  <c r="AA499" i="16"/>
  <c r="AA728" i="16"/>
  <c r="AA1601" i="16"/>
  <c r="AA1614" i="16"/>
  <c r="AA1603" i="16"/>
  <c r="AA492" i="16"/>
  <c r="AA488" i="16"/>
  <c r="AA477" i="16"/>
  <c r="AA476" i="16"/>
  <c r="AA474" i="16"/>
  <c r="AA465" i="16"/>
  <c r="AA450" i="16"/>
  <c r="AA415" i="16"/>
  <c r="AA325" i="16"/>
  <c r="AA319" i="16"/>
  <c r="AA318" i="16"/>
  <c r="AA309" i="16"/>
  <c r="AA267" i="16"/>
  <c r="AA248" i="16"/>
  <c r="AA245" i="16"/>
  <c r="AA240" i="16"/>
  <c r="AA237" i="16"/>
  <c r="AA222" i="16"/>
  <c r="AA195" i="16"/>
  <c r="AA194" i="16"/>
  <c r="AA192" i="16"/>
  <c r="AA140" i="16"/>
  <c r="AA139" i="16"/>
  <c r="AA134" i="16"/>
  <c r="AA128" i="16"/>
  <c r="AA113" i="16"/>
  <c r="AA66" i="16"/>
  <c r="AA24" i="16"/>
  <c r="AA15" i="16"/>
  <c r="F728" i="76"/>
  <c r="F492" i="76"/>
  <c r="F451" i="76"/>
  <c r="F415" i="76"/>
  <c r="F325" i="76"/>
  <c r="F319" i="76"/>
  <c r="F318" i="76"/>
  <c r="F240" i="76"/>
  <c r="F67" i="76"/>
  <c r="F15" i="76"/>
  <c r="E1826" i="76"/>
  <c r="E1824" i="76"/>
  <c r="E1823" i="76"/>
  <c r="E1822" i="76"/>
  <c r="E1821" i="76"/>
  <c r="E1818" i="76"/>
  <c r="E1817" i="76"/>
  <c r="E1815" i="76"/>
  <c r="E1814" i="76"/>
  <c r="E1813" i="76"/>
  <c r="E1812" i="76"/>
  <c r="E1804" i="76"/>
  <c r="E1790" i="76"/>
  <c r="E1783" i="76"/>
  <c r="E1774" i="76"/>
  <c r="E1773" i="76"/>
  <c r="E1771" i="76"/>
  <c r="E1770" i="76"/>
  <c r="E1768" i="76"/>
  <c r="E1760" i="76"/>
  <c r="E1759" i="76"/>
  <c r="E1749" i="76"/>
  <c r="E1740" i="76"/>
  <c r="E1736" i="76"/>
  <c r="E1734" i="76"/>
  <c r="E1733" i="76"/>
  <c r="E1729" i="76"/>
  <c r="E1721" i="76"/>
  <c r="E1719" i="76"/>
  <c r="E1713" i="76"/>
  <c r="E1709" i="76"/>
  <c r="E1708" i="76"/>
  <c r="E1707" i="76"/>
  <c r="E1706" i="76"/>
  <c r="E1694" i="76"/>
  <c r="E1693" i="76"/>
  <c r="E1691" i="76"/>
  <c r="E1690" i="76"/>
  <c r="E1689" i="76"/>
  <c r="E1688" i="76"/>
  <c r="E1687" i="76"/>
  <c r="E1684" i="76"/>
  <c r="E1683" i="76"/>
  <c r="E1682" i="76"/>
  <c r="E1675" i="76"/>
  <c r="E1670" i="76"/>
  <c r="E1669" i="76"/>
  <c r="E1668" i="76"/>
  <c r="E1667" i="76"/>
  <c r="E1666" i="76"/>
  <c r="E1650" i="76"/>
  <c r="E1649" i="76"/>
  <c r="E1648" i="76"/>
  <c r="E1647" i="76"/>
  <c r="E1646" i="76"/>
  <c r="E1645" i="76"/>
  <c r="E1641" i="76"/>
  <c r="E1640" i="76"/>
  <c r="E1638" i="76"/>
  <c r="E1617" i="76"/>
  <c r="E1616" i="76"/>
  <c r="E1613" i="76"/>
  <c r="E1612" i="76"/>
  <c r="E1611" i="76"/>
  <c r="E1610" i="76"/>
  <c r="E1609" i="76"/>
  <c r="E1607" i="76"/>
  <c r="E1605" i="76"/>
  <c r="E1600" i="76"/>
  <c r="E1598" i="76"/>
  <c r="E1596" i="76"/>
  <c r="E1595" i="76"/>
  <c r="E1593" i="76"/>
  <c r="E1591" i="76"/>
  <c r="E1590" i="76"/>
  <c r="E1582" i="76"/>
  <c r="E1581" i="76"/>
  <c r="E1566" i="76"/>
  <c r="E1564" i="76"/>
  <c r="E1563" i="76"/>
  <c r="E1562" i="76"/>
  <c r="E1561" i="76"/>
  <c r="E1560" i="76"/>
  <c r="E1555" i="76"/>
  <c r="E1554" i="76"/>
  <c r="E1552" i="76"/>
  <c r="E1550" i="76"/>
  <c r="E1549" i="76"/>
  <c r="E1545" i="76"/>
  <c r="E1544" i="76"/>
  <c r="E1542" i="76"/>
  <c r="E1541" i="76"/>
  <c r="E1535" i="76"/>
  <c r="E1534" i="76"/>
  <c r="E1531" i="76"/>
  <c r="E1526" i="76"/>
  <c r="E1525" i="76"/>
  <c r="E1510" i="76"/>
  <c r="E1506" i="76"/>
  <c r="E1504" i="76"/>
  <c r="E1503" i="76"/>
  <c r="E1495" i="76"/>
  <c r="E1490" i="76"/>
  <c r="E1489" i="76"/>
  <c r="E1485" i="76"/>
  <c r="E1483" i="76"/>
  <c r="E1482" i="76"/>
  <c r="E1481" i="76"/>
  <c r="E1473" i="76"/>
  <c r="E1472" i="76"/>
  <c r="E1466" i="76"/>
  <c r="E1465" i="76"/>
  <c r="E1462" i="76"/>
  <c r="E1461" i="76"/>
  <c r="E1460" i="76"/>
  <c r="E1455" i="76"/>
  <c r="E1450" i="76"/>
  <c r="E1445" i="76"/>
  <c r="E1444" i="76"/>
  <c r="E1443" i="76"/>
  <c r="E1442" i="76"/>
  <c r="E1441" i="76"/>
  <c r="E1434" i="76"/>
  <c r="E1429" i="76"/>
  <c r="E1428" i="76"/>
  <c r="E1401" i="76"/>
  <c r="E1400" i="76"/>
  <c r="E1399" i="76"/>
  <c r="E1398" i="76"/>
  <c r="E1392" i="76"/>
  <c r="E1391" i="76"/>
  <c r="E1389" i="76"/>
  <c r="E1388" i="76"/>
  <c r="E1380" i="76"/>
  <c r="E1373" i="76"/>
  <c r="E1372" i="76"/>
  <c r="E1371" i="76"/>
  <c r="E1369" i="76"/>
  <c r="E1367" i="76"/>
  <c r="E1365" i="76"/>
  <c r="E1347" i="76"/>
  <c r="E1341" i="76"/>
  <c r="E1340" i="76"/>
  <c r="E1338" i="76"/>
  <c r="E1337" i="76"/>
  <c r="E1327" i="76"/>
  <c r="E1324" i="76"/>
  <c r="E1323" i="76"/>
  <c r="E1322" i="76"/>
  <c r="E1320" i="76"/>
  <c r="E1318" i="76"/>
  <c r="E1306" i="76"/>
  <c r="E1301" i="76"/>
  <c r="E1300" i="76"/>
  <c r="E1293" i="76"/>
  <c r="E1292" i="76"/>
  <c r="E1279" i="76"/>
  <c r="E1278" i="76"/>
  <c r="E1277" i="76"/>
  <c r="E1276" i="76"/>
  <c r="E1275" i="76"/>
  <c r="E1266" i="76"/>
  <c r="E1264" i="76"/>
  <c r="E1263" i="76"/>
  <c r="E1262" i="76"/>
  <c r="E1261" i="76"/>
  <c r="E1258" i="76"/>
  <c r="E1257" i="76"/>
  <c r="E1254" i="76"/>
  <c r="E1253" i="76"/>
  <c r="E1251" i="76"/>
  <c r="E1248" i="76"/>
  <c r="E1244" i="76"/>
  <c r="E1243" i="76"/>
  <c r="E1239" i="76"/>
  <c r="E1238" i="76"/>
  <c r="E1234" i="76"/>
  <c r="E1231" i="76"/>
  <c r="E1227" i="76"/>
  <c r="E1220" i="76"/>
  <c r="E1219" i="76"/>
  <c r="E1218" i="76"/>
  <c r="E1217" i="76"/>
  <c r="E1216" i="76"/>
  <c r="E1215" i="76"/>
  <c r="E1214" i="76"/>
  <c r="E1190" i="76"/>
  <c r="E1163" i="76"/>
  <c r="E1161" i="76"/>
  <c r="E1133" i="76"/>
  <c r="E1125" i="76"/>
  <c r="E1123" i="76"/>
  <c r="E1121" i="76"/>
  <c r="E1111" i="76"/>
  <c r="E1110" i="76"/>
  <c r="E1105" i="76"/>
  <c r="E1093" i="76"/>
  <c r="E1080" i="76"/>
  <c r="E1079" i="76"/>
  <c r="E1078" i="76"/>
  <c r="E1077" i="76"/>
  <c r="E1069" i="76"/>
  <c r="E1067" i="76"/>
  <c r="E1061" i="76"/>
  <c r="E1049" i="76"/>
  <c r="E1048" i="76"/>
  <c r="E1046" i="76"/>
  <c r="E1045" i="76"/>
  <c r="E1044" i="76"/>
  <c r="E1041" i="76"/>
  <c r="E1004" i="76"/>
  <c r="E1003" i="76"/>
  <c r="E1002" i="76"/>
  <c r="E1001" i="76"/>
  <c r="E974" i="76"/>
  <c r="E973" i="76"/>
  <c r="E972" i="76"/>
  <c r="E971" i="76"/>
  <c r="E953" i="76"/>
  <c r="E952" i="76"/>
  <c r="E950" i="76"/>
  <c r="E949" i="76"/>
  <c r="E947" i="76"/>
  <c r="E944" i="76"/>
  <c r="E943" i="76"/>
  <c r="E942" i="76"/>
  <c r="E941" i="76"/>
  <c r="E940" i="76"/>
  <c r="E911" i="76"/>
  <c r="E910" i="76"/>
  <c r="E909" i="76"/>
  <c r="E908" i="76"/>
  <c r="E792" i="76"/>
  <c r="E791" i="76"/>
  <c r="E790" i="76"/>
  <c r="E789" i="76"/>
  <c r="E788" i="76"/>
  <c r="E787" i="76"/>
  <c r="E786" i="76"/>
  <c r="E755" i="76"/>
  <c r="E754" i="76"/>
  <c r="E753" i="76"/>
  <c r="E752" i="76"/>
  <c r="E727" i="76"/>
  <c r="E717" i="76"/>
  <c r="E716" i="76"/>
  <c r="E714" i="76"/>
  <c r="E713" i="76"/>
  <c r="E712" i="76"/>
  <c r="E711" i="76"/>
  <c r="E710" i="76"/>
  <c r="E709" i="76"/>
  <c r="E708" i="76"/>
  <c r="E667" i="76"/>
  <c r="E666" i="76"/>
  <c r="E665" i="76"/>
  <c r="E663" i="76"/>
  <c r="E661" i="76"/>
  <c r="E660" i="76"/>
  <c r="E659" i="76"/>
  <c r="E658" i="76"/>
  <c r="E657" i="76"/>
  <c r="E656" i="76"/>
  <c r="E654" i="76"/>
  <c r="E653" i="76"/>
  <c r="E652" i="76"/>
  <c r="E651" i="76"/>
  <c r="E650" i="76"/>
  <c r="E649" i="76"/>
  <c r="E648" i="76"/>
  <c r="E647" i="76"/>
  <c r="E636" i="76"/>
  <c r="E635" i="76"/>
  <c r="E634" i="76"/>
  <c r="E633" i="76"/>
  <c r="E632" i="76"/>
  <c r="E631" i="76"/>
  <c r="E628" i="76"/>
  <c r="E627" i="76"/>
  <c r="E626" i="76"/>
  <c r="E625" i="76"/>
  <c r="E624" i="76"/>
  <c r="E623" i="76"/>
  <c r="E622" i="76"/>
  <c r="E619" i="76"/>
  <c r="E616" i="76"/>
  <c r="E611" i="76"/>
  <c r="E610" i="76"/>
  <c r="E609" i="76"/>
  <c r="E608" i="76"/>
  <c r="E607" i="76"/>
  <c r="E605" i="76"/>
  <c r="E604" i="76"/>
  <c r="E602" i="76"/>
  <c r="E601" i="76"/>
  <c r="E581" i="76"/>
  <c r="E580" i="76"/>
  <c r="E579" i="76"/>
  <c r="E578" i="76"/>
  <c r="E577" i="76"/>
  <c r="E576" i="76"/>
  <c r="E575" i="76"/>
  <c r="E574" i="76"/>
  <c r="E573" i="76"/>
  <c r="E557" i="76"/>
  <c r="E548" i="76"/>
  <c r="E546" i="76"/>
  <c r="E545" i="76"/>
  <c r="E544" i="76"/>
  <c r="E543" i="76"/>
  <c r="E542" i="76"/>
  <c r="E541" i="76"/>
  <c r="E540" i="76"/>
  <c r="E539" i="76"/>
  <c r="E538" i="76"/>
  <c r="E537" i="76"/>
  <c r="E536" i="76"/>
  <c r="E535" i="76"/>
  <c r="E534" i="76"/>
  <c r="E533" i="76"/>
  <c r="E518" i="76"/>
  <c r="E517" i="76"/>
  <c r="E515" i="76"/>
  <c r="E514" i="76"/>
  <c r="E513" i="76"/>
  <c r="E512" i="76"/>
  <c r="E511" i="76"/>
  <c r="E510" i="76"/>
  <c r="E508" i="76"/>
  <c r="E507" i="76"/>
  <c r="E506" i="76"/>
  <c r="E505" i="76"/>
  <c r="E504" i="76"/>
  <c r="E498" i="76"/>
  <c r="E490" i="76"/>
  <c r="E489" i="76"/>
  <c r="E481" i="76"/>
  <c r="E480" i="76"/>
  <c r="E479" i="76"/>
  <c r="E475" i="76"/>
  <c r="E467" i="76"/>
  <c r="E466" i="76"/>
  <c r="E462" i="76"/>
  <c r="E461" i="76"/>
  <c r="E460" i="76"/>
  <c r="E459" i="76"/>
  <c r="E458" i="76"/>
  <c r="E457" i="76"/>
  <c r="E456" i="76"/>
  <c r="E455" i="76"/>
  <c r="E454" i="76"/>
  <c r="E453" i="76"/>
  <c r="E452" i="76"/>
  <c r="E451" i="76"/>
  <c r="E448" i="76"/>
  <c r="E440" i="76"/>
  <c r="E439" i="76"/>
  <c r="E438" i="76"/>
  <c r="E435" i="76"/>
  <c r="E434" i="76"/>
  <c r="E414" i="76"/>
  <c r="E413" i="76"/>
  <c r="E412" i="76"/>
  <c r="E410" i="76"/>
  <c r="E408" i="76"/>
  <c r="E406" i="76"/>
  <c r="E405" i="76"/>
  <c r="E403" i="76"/>
  <c r="E399" i="76"/>
  <c r="E398" i="76"/>
  <c r="E396" i="76"/>
  <c r="E395" i="76"/>
  <c r="E394" i="76"/>
  <c r="E392" i="76"/>
  <c r="E391" i="76"/>
  <c r="E390" i="76"/>
  <c r="E385" i="76"/>
  <c r="E384" i="76"/>
  <c r="E382" i="76"/>
  <c r="E376" i="76"/>
  <c r="E370" i="76"/>
  <c r="E364" i="76"/>
  <c r="E359" i="76"/>
  <c r="E358" i="76"/>
  <c r="E357" i="76"/>
  <c r="E355" i="76"/>
  <c r="E345" i="76"/>
  <c r="E344" i="76"/>
  <c r="E343" i="76"/>
  <c r="E342" i="76"/>
  <c r="E341" i="76"/>
  <c r="E339" i="76"/>
  <c r="E338" i="76"/>
  <c r="E337" i="76"/>
  <c r="E336" i="76"/>
  <c r="E335" i="76"/>
  <c r="E334" i="76"/>
  <c r="E333" i="76"/>
  <c r="E315" i="76"/>
  <c r="E311" i="76"/>
  <c r="E310" i="76"/>
  <c r="E300" i="76"/>
  <c r="E299" i="76"/>
  <c r="E288" i="76"/>
  <c r="E287" i="76"/>
  <c r="E285" i="76"/>
  <c r="E284" i="76"/>
  <c r="E270" i="76"/>
  <c r="E269" i="76"/>
  <c r="E268" i="76"/>
  <c r="E262" i="76"/>
  <c r="E261" i="76"/>
  <c r="E260" i="76"/>
  <c r="E259" i="76"/>
  <c r="E258" i="76"/>
  <c r="E256" i="76"/>
  <c r="E247" i="76"/>
  <c r="E246" i="76"/>
  <c r="E236" i="76"/>
  <c r="E230" i="76"/>
  <c r="E223" i="76"/>
  <c r="E214" i="76"/>
  <c r="E213" i="76"/>
  <c r="E212" i="76"/>
  <c r="E211" i="76"/>
  <c r="E210" i="76"/>
  <c r="E209" i="76"/>
  <c r="E208" i="76"/>
  <c r="E205" i="76"/>
  <c r="E204" i="76"/>
  <c r="E202" i="76"/>
  <c r="E201" i="76"/>
  <c r="E200" i="76"/>
  <c r="E198" i="76"/>
  <c r="E196" i="76"/>
  <c r="E193" i="76"/>
  <c r="E188" i="76"/>
  <c r="E186" i="76"/>
  <c r="E181" i="76"/>
  <c r="E180" i="76"/>
  <c r="E179" i="76"/>
  <c r="E178" i="76"/>
  <c r="E171" i="76"/>
  <c r="E170" i="76"/>
  <c r="E168" i="76"/>
  <c r="E166" i="76"/>
  <c r="E157" i="76"/>
  <c r="E155" i="76"/>
  <c r="E153" i="76"/>
  <c r="E151" i="76"/>
  <c r="E149" i="76"/>
  <c r="E148" i="76"/>
  <c r="E146" i="76"/>
  <c r="E144" i="76"/>
  <c r="E143" i="76"/>
  <c r="E142" i="76"/>
  <c r="E141" i="76"/>
  <c r="E131" i="76"/>
  <c r="E133" i="76"/>
  <c r="E129" i="76"/>
  <c r="E123" i="76"/>
  <c r="E114" i="76"/>
  <c r="E109" i="76"/>
  <c r="E108" i="76"/>
  <c r="E107" i="76"/>
  <c r="E105" i="76"/>
  <c r="E104" i="76"/>
  <c r="E103" i="76"/>
  <c r="E101" i="76"/>
  <c r="E100" i="76"/>
  <c r="E90" i="76"/>
  <c r="E89" i="76"/>
  <c r="E88" i="76"/>
  <c r="E87" i="76"/>
  <c r="E86" i="76"/>
  <c r="E85" i="76"/>
  <c r="E83" i="76"/>
  <c r="E77" i="76"/>
  <c r="E72" i="76"/>
  <c r="E70" i="76"/>
  <c r="E34" i="76"/>
  <c r="E33" i="76"/>
  <c r="E32" i="76"/>
  <c r="E31" i="76"/>
  <c r="E30" i="76"/>
  <c r="E29" i="76"/>
  <c r="E28" i="76"/>
  <c r="E27" i="76"/>
  <c r="E37" i="76"/>
  <c r="E36" i="76"/>
  <c r="E65" i="76"/>
  <c r="E63" i="76"/>
  <c r="E59" i="76"/>
  <c r="E57" i="76"/>
  <c r="E46" i="76"/>
  <c r="E520" i="76"/>
  <c r="D456" i="76"/>
  <c r="S1401" i="16" l="1"/>
  <c r="S1400" i="16"/>
  <c r="S1398" i="16"/>
  <c r="O1305" i="16"/>
  <c r="E1305" i="76" s="1"/>
  <c r="S15" i="27"/>
  <c r="S12" i="27" s="1"/>
  <c r="S14" i="27"/>
  <c r="S1601" i="16" l="1"/>
  <c r="S54" i="28"/>
  <c r="AQ1307" i="16"/>
  <c r="AP1307" i="16"/>
  <c r="AE1307" i="16"/>
  <c r="AD1307" i="16"/>
  <c r="O542" i="25"/>
  <c r="AQ544" i="25"/>
  <c r="AP544" i="25"/>
  <c r="AE544" i="25"/>
  <c r="AC544" i="25" s="1"/>
  <c r="AD544" i="25"/>
  <c r="AC1307" i="16" l="1"/>
  <c r="AF1307" i="16"/>
  <c r="S1606" i="16"/>
  <c r="T1606" i="16" s="1"/>
  <c r="AD1606" i="16" s="1"/>
  <c r="S1604" i="16"/>
  <c r="T1604" i="16" s="1"/>
  <c r="AD1604" i="16" s="1"/>
  <c r="E8" i="72"/>
  <c r="F9" i="72"/>
  <c r="K13" i="7"/>
  <c r="BC16" i="25" s="1"/>
  <c r="L13" i="7"/>
  <c r="BD16" i="25" s="1"/>
  <c r="F8" i="72"/>
  <c r="O25" i="10"/>
  <c r="O38" i="10" s="1"/>
  <c r="T953" i="16" s="1"/>
  <c r="N25" i="10"/>
  <c r="N38" i="10" s="1"/>
  <c r="S953" i="16" s="1"/>
  <c r="C26" i="10"/>
  <c r="O6" i="10"/>
  <c r="AS838" i="16"/>
  <c r="AR838" i="16"/>
  <c r="AQ838" i="16"/>
  <c r="AP838" i="16"/>
  <c r="AE838" i="16"/>
  <c r="AF838" i="16" s="1"/>
  <c r="Y838" i="16"/>
  <c r="AS75" i="25"/>
  <c r="AR75" i="25"/>
  <c r="AQ75" i="25"/>
  <c r="AP75" i="25"/>
  <c r="AE75" i="25"/>
  <c r="AY23" i="24"/>
  <c r="O13" i="24" s="1"/>
  <c r="A266" i="66" s="1"/>
  <c r="AY30" i="24"/>
  <c r="AZ30" i="24" s="1"/>
  <c r="AY24" i="25"/>
  <c r="W491" i="25" s="1"/>
  <c r="O489" i="25" s="1"/>
  <c r="A1251" i="66" s="1"/>
  <c r="AY19" i="29"/>
  <c r="B1827" i="66"/>
  <c r="C1827" i="66" s="1"/>
  <c r="B1828" i="66"/>
  <c r="C1828" i="66" s="1"/>
  <c r="B1829" i="66"/>
  <c r="B1830" i="66"/>
  <c r="B1831" i="66"/>
  <c r="B1832" i="66"/>
  <c r="B1833" i="66"/>
  <c r="B1834" i="66"/>
  <c r="B1835" i="66"/>
  <c r="B1836" i="66"/>
  <c r="B1837" i="66"/>
  <c r="B1838" i="66"/>
  <c r="C1838" i="66" s="1"/>
  <c r="B1839" i="66"/>
  <c r="C1839" i="66" s="1"/>
  <c r="B1840" i="66"/>
  <c r="C1840" i="66" s="1"/>
  <c r="B1841" i="66"/>
  <c r="C1841" i="66" s="1"/>
  <c r="B1842" i="66"/>
  <c r="C1842" i="66" s="1"/>
  <c r="B1843" i="66"/>
  <c r="C1843" i="66" s="1"/>
  <c r="B1844" i="66"/>
  <c r="C1844" i="66" s="1"/>
  <c r="B1845" i="66"/>
  <c r="C1845" i="66" s="1"/>
  <c r="B1846" i="66"/>
  <c r="C1846" i="66" s="1"/>
  <c r="B1847" i="66"/>
  <c r="C1847" i="66" s="1"/>
  <c r="B1848" i="66"/>
  <c r="C1848" i="66" s="1"/>
  <c r="B1849" i="66"/>
  <c r="C1849" i="66" s="1"/>
  <c r="B1850" i="66"/>
  <c r="C1850" i="66" s="1"/>
  <c r="B1851" i="66"/>
  <c r="C1851" i="66" s="1"/>
  <c r="B1852" i="66"/>
  <c r="C1852" i="66" s="1"/>
  <c r="B1853" i="66"/>
  <c r="C1853" i="66" s="1"/>
  <c r="B1854" i="66"/>
  <c r="C1854" i="66" s="1"/>
  <c r="B1855" i="66"/>
  <c r="C1855" i="66" s="1"/>
  <c r="B1856" i="66"/>
  <c r="C1856" i="66" s="1"/>
  <c r="B1857" i="66"/>
  <c r="C1857" i="66" s="1"/>
  <c r="B1858" i="66"/>
  <c r="C1858" i="66" s="1"/>
  <c r="B1859" i="66"/>
  <c r="C1859" i="66" s="1"/>
  <c r="B1860" i="66"/>
  <c r="C1860" i="66" s="1"/>
  <c r="B1861" i="66"/>
  <c r="C1861" i="66" s="1"/>
  <c r="B1862" i="66"/>
  <c r="C1862" i="66" s="1"/>
  <c r="B1863" i="66"/>
  <c r="C1863" i="66" s="1"/>
  <c r="B1864" i="66"/>
  <c r="C1864" i="66" s="1"/>
  <c r="B1865" i="66"/>
  <c r="C1865" i="66" s="1"/>
  <c r="B1866" i="66"/>
  <c r="C1866" i="66" s="1"/>
  <c r="B1867" i="66"/>
  <c r="C1867" i="66" s="1"/>
  <c r="B1868" i="66"/>
  <c r="C1868" i="66" s="1"/>
  <c r="B1869" i="66"/>
  <c r="C1869" i="66" s="1"/>
  <c r="B1870" i="66"/>
  <c r="C1870" i="66" s="1"/>
  <c r="B1871" i="66"/>
  <c r="C1871" i="66" s="1"/>
  <c r="B1872" i="66"/>
  <c r="C1872" i="66" s="1"/>
  <c r="B1873" i="66"/>
  <c r="C1873" i="66" s="1"/>
  <c r="B1874" i="66"/>
  <c r="C1874" i="66" s="1"/>
  <c r="B1875" i="66"/>
  <c r="C1875" i="66" s="1"/>
  <c r="B1876" i="66"/>
  <c r="C1876" i="66" s="1"/>
  <c r="B1877" i="66"/>
  <c r="B1878" i="66"/>
  <c r="B1879" i="66"/>
  <c r="B1880" i="66"/>
  <c r="B1881" i="66"/>
  <c r="C1881" i="66" s="1"/>
  <c r="B1882" i="66"/>
  <c r="C1882" i="66" s="1"/>
  <c r="B1883" i="66"/>
  <c r="C1883" i="66" s="1"/>
  <c r="B1884" i="66"/>
  <c r="C1884" i="66" s="1"/>
  <c r="B1885" i="66"/>
  <c r="C1885" i="66" s="1"/>
  <c r="B1886" i="66"/>
  <c r="C1886" i="66" s="1"/>
  <c r="B1887" i="66"/>
  <c r="C1887" i="66" s="1"/>
  <c r="B1888" i="66"/>
  <c r="C1888" i="66" s="1"/>
  <c r="B1889" i="66"/>
  <c r="C1889" i="66" s="1"/>
  <c r="B1890" i="66"/>
  <c r="C1890" i="66" s="1"/>
  <c r="B1891" i="66"/>
  <c r="C1891" i="66" s="1"/>
  <c r="B1892" i="66"/>
  <c r="C1892" i="66" s="1"/>
  <c r="B1893" i="66"/>
  <c r="C1893" i="66" s="1"/>
  <c r="B1894" i="66"/>
  <c r="C1894" i="66" s="1"/>
  <c r="B1895" i="66"/>
  <c r="B1896" i="66"/>
  <c r="B1897" i="66"/>
  <c r="B1898" i="66"/>
  <c r="B1899" i="66"/>
  <c r="B1900" i="66"/>
  <c r="B1901" i="66"/>
  <c r="B1902" i="66"/>
  <c r="B1903" i="66"/>
  <c r="B1904" i="66"/>
  <c r="B1905" i="66"/>
  <c r="B1906" i="66"/>
  <c r="C1906" i="66" s="1"/>
  <c r="B1907" i="66"/>
  <c r="C1907" i="66" s="1"/>
  <c r="B1908" i="66"/>
  <c r="C1908" i="66" s="1"/>
  <c r="B1909" i="66"/>
  <c r="C1909" i="66" s="1"/>
  <c r="B1910" i="66"/>
  <c r="C1910" i="66" s="1"/>
  <c r="B1911" i="66"/>
  <c r="C1911" i="66" s="1"/>
  <c r="B1912" i="66"/>
  <c r="C1912" i="66" s="1"/>
  <c r="B1913" i="66"/>
  <c r="B1914" i="66"/>
  <c r="B1915" i="66"/>
  <c r="B1916" i="66"/>
  <c r="C1916" i="66" s="1"/>
  <c r="B1917" i="66"/>
  <c r="B1918" i="66"/>
  <c r="B1919" i="66"/>
  <c r="B1920" i="66"/>
  <c r="B1921" i="66"/>
  <c r="B1922" i="66"/>
  <c r="C1922" i="66" s="1"/>
  <c r="B1923" i="66"/>
  <c r="C1923" i="66" s="1"/>
  <c r="B1924" i="66"/>
  <c r="C1924" i="66" s="1"/>
  <c r="B1925" i="66"/>
  <c r="C1925" i="66" s="1"/>
  <c r="B1926" i="66"/>
  <c r="C1926" i="66" s="1"/>
  <c r="B1927" i="66"/>
  <c r="C1927" i="66" s="1"/>
  <c r="B1928" i="66"/>
  <c r="C1928" i="66" s="1"/>
  <c r="B1929" i="66"/>
  <c r="C1929" i="66" s="1"/>
  <c r="B1930" i="66"/>
  <c r="C1930" i="66" s="1"/>
  <c r="B1931" i="66"/>
  <c r="C1931" i="66" s="1"/>
  <c r="B1932" i="66"/>
  <c r="C1932" i="66" s="1"/>
  <c r="B1933" i="66"/>
  <c r="C1933" i="66" s="1"/>
  <c r="B1934" i="66"/>
  <c r="C1934" i="66" s="1"/>
  <c r="B1935" i="66"/>
  <c r="C1935" i="66" s="1"/>
  <c r="B1936" i="66"/>
  <c r="C1936" i="66" s="1"/>
  <c r="B1937" i="66"/>
  <c r="C1937" i="66" s="1"/>
  <c r="B1938" i="66"/>
  <c r="C1938" i="66" s="1"/>
  <c r="B1939" i="66"/>
  <c r="C1939" i="66" s="1"/>
  <c r="B1940" i="66"/>
  <c r="B1941" i="66"/>
  <c r="B1942" i="66"/>
  <c r="B1943" i="66"/>
  <c r="C1943" i="66" s="1"/>
  <c r="B1944" i="66"/>
  <c r="B1945" i="66"/>
  <c r="B1946" i="66"/>
  <c r="C1946" i="66" s="1"/>
  <c r="B1947" i="66"/>
  <c r="C1947" i="66" s="1"/>
  <c r="B1948" i="66"/>
  <c r="C1948" i="66" s="1"/>
  <c r="B1949" i="66"/>
  <c r="C1949" i="66" s="1"/>
  <c r="B1950" i="66"/>
  <c r="C1950" i="66" s="1"/>
  <c r="B1951" i="66"/>
  <c r="C1951" i="66" s="1"/>
  <c r="B1952" i="66"/>
  <c r="C1952" i="66" s="1"/>
  <c r="B1953" i="66"/>
  <c r="C1953" i="66" s="1"/>
  <c r="B1954" i="66"/>
  <c r="C1954" i="66" s="1"/>
  <c r="B1955" i="66"/>
  <c r="C1955" i="66" s="1"/>
  <c r="B1956" i="66"/>
  <c r="C1956" i="66" s="1"/>
  <c r="B1957" i="66"/>
  <c r="C1957" i="66" s="1"/>
  <c r="B1958" i="66"/>
  <c r="C1958" i="66" s="1"/>
  <c r="B1959" i="66"/>
  <c r="C1959" i="66" s="1"/>
  <c r="B1960" i="66"/>
  <c r="C1960" i="66" s="1"/>
  <c r="B1961" i="66"/>
  <c r="C1961" i="66" s="1"/>
  <c r="B1962" i="66"/>
  <c r="C1962" i="66" s="1"/>
  <c r="B1963" i="66"/>
  <c r="C1963" i="66" s="1"/>
  <c r="B1964" i="66"/>
  <c r="C1964" i="66" s="1"/>
  <c r="B1965" i="66"/>
  <c r="C1965" i="66" s="1"/>
  <c r="B1966" i="66"/>
  <c r="B1967" i="66"/>
  <c r="B1968" i="66"/>
  <c r="B1969" i="66"/>
  <c r="B1970" i="66"/>
  <c r="B1971" i="66"/>
  <c r="C1971" i="66" s="1"/>
  <c r="B1972" i="66"/>
  <c r="C1972" i="66" s="1"/>
  <c r="B1973" i="66"/>
  <c r="C1973" i="66" s="1"/>
  <c r="B1974" i="66"/>
  <c r="C1974" i="66" s="1"/>
  <c r="B1975" i="66"/>
  <c r="C1975" i="66" s="1"/>
  <c r="B1976" i="66"/>
  <c r="C1976" i="66" s="1"/>
  <c r="B1977" i="66"/>
  <c r="C1977" i="66" s="1"/>
  <c r="B1978" i="66"/>
  <c r="C1978" i="66" s="1"/>
  <c r="B1979" i="66"/>
  <c r="C1979" i="66" s="1"/>
  <c r="B1980" i="66"/>
  <c r="C1980" i="66" s="1"/>
  <c r="B1981" i="66"/>
  <c r="C1981" i="66" s="1"/>
  <c r="B1982" i="66"/>
  <c r="B1983" i="66"/>
  <c r="B1984" i="66"/>
  <c r="B1985" i="66"/>
  <c r="B1986" i="66"/>
  <c r="B1987" i="66"/>
  <c r="B1988" i="66"/>
  <c r="B1989" i="66"/>
  <c r="B1990" i="66"/>
  <c r="B1991" i="66"/>
  <c r="C1991" i="66" s="1"/>
  <c r="B1992" i="66"/>
  <c r="C1992" i="66" s="1"/>
  <c r="B1993" i="66"/>
  <c r="C1993" i="66" s="1"/>
  <c r="B1994" i="66"/>
  <c r="C1994" i="66" s="1"/>
  <c r="B1995" i="66"/>
  <c r="C1995" i="66" s="1"/>
  <c r="B1996" i="66"/>
  <c r="B1997" i="66"/>
  <c r="B1998" i="66"/>
  <c r="B1999" i="66"/>
  <c r="B2000" i="66"/>
  <c r="B2001" i="66"/>
  <c r="B2002" i="66"/>
  <c r="B2003" i="66"/>
  <c r="B2004" i="66"/>
  <c r="B1826" i="66"/>
  <c r="C1826" i="66" s="1"/>
  <c r="B1556" i="66"/>
  <c r="C1556" i="66" s="1"/>
  <c r="B1557" i="66"/>
  <c r="B1558" i="66"/>
  <c r="B1559" i="66"/>
  <c r="B1560" i="66"/>
  <c r="B1561" i="66"/>
  <c r="B1562" i="66"/>
  <c r="C1562" i="66" s="1"/>
  <c r="B1563" i="66"/>
  <c r="C1563" i="66" s="1"/>
  <c r="B1564" i="66"/>
  <c r="B1565" i="66"/>
  <c r="B1566" i="66"/>
  <c r="C1566" i="66" s="1"/>
  <c r="B1567" i="66"/>
  <c r="B1568" i="66"/>
  <c r="B1569" i="66"/>
  <c r="C1569" i="66" s="1"/>
  <c r="B1570" i="66"/>
  <c r="C1570" i="66" s="1"/>
  <c r="B1571" i="66"/>
  <c r="C1571" i="66" s="1"/>
  <c r="B1572" i="66"/>
  <c r="C1572" i="66" s="1"/>
  <c r="B1573" i="66"/>
  <c r="C1573" i="66" s="1"/>
  <c r="B1574" i="66"/>
  <c r="C1574" i="66" s="1"/>
  <c r="B1575" i="66"/>
  <c r="B1576" i="66"/>
  <c r="B1577" i="66"/>
  <c r="B1578" i="66"/>
  <c r="B1579" i="66"/>
  <c r="B1580" i="66"/>
  <c r="B1581" i="66"/>
  <c r="B1582" i="66"/>
  <c r="B1583" i="66"/>
  <c r="C1583" i="66" s="1"/>
  <c r="B1584" i="66"/>
  <c r="C1584" i="66" s="1"/>
  <c r="B1585" i="66"/>
  <c r="B1586" i="66"/>
  <c r="B1587" i="66"/>
  <c r="B1588" i="66"/>
  <c r="B1589" i="66"/>
  <c r="B1590" i="66"/>
  <c r="B1591" i="66"/>
  <c r="B1592" i="66"/>
  <c r="B1593" i="66"/>
  <c r="B1594" i="66"/>
  <c r="B1595" i="66"/>
  <c r="B1596" i="66"/>
  <c r="B1597" i="66"/>
  <c r="B1598" i="66"/>
  <c r="B1599" i="66"/>
  <c r="B1600" i="66"/>
  <c r="B1601" i="66"/>
  <c r="B1602" i="66"/>
  <c r="B1603" i="66"/>
  <c r="B1604" i="66"/>
  <c r="B1605" i="66"/>
  <c r="B1606" i="66"/>
  <c r="B1607" i="66"/>
  <c r="B1608" i="66"/>
  <c r="B1609" i="66"/>
  <c r="B1610" i="66"/>
  <c r="B1611" i="66"/>
  <c r="B1612" i="66"/>
  <c r="B1613" i="66"/>
  <c r="B1614" i="66"/>
  <c r="B1615" i="66"/>
  <c r="B1616" i="66"/>
  <c r="B1617" i="66"/>
  <c r="B1618" i="66"/>
  <c r="B1619" i="66"/>
  <c r="B1620" i="66"/>
  <c r="B1621" i="66"/>
  <c r="C1621" i="66" s="1"/>
  <c r="B1622" i="66"/>
  <c r="B1623" i="66"/>
  <c r="B1624" i="66"/>
  <c r="B1625" i="66"/>
  <c r="B1626" i="66"/>
  <c r="B1627" i="66"/>
  <c r="B1628" i="66"/>
  <c r="B1629" i="66"/>
  <c r="B1630" i="66"/>
  <c r="B1631" i="66"/>
  <c r="B1632" i="66"/>
  <c r="B1633" i="66"/>
  <c r="B1634" i="66"/>
  <c r="B1635" i="66"/>
  <c r="C1635" i="66" s="1"/>
  <c r="B1636" i="66"/>
  <c r="B1637" i="66"/>
  <c r="B1638" i="66"/>
  <c r="B1639" i="66"/>
  <c r="B1640" i="66"/>
  <c r="B1641" i="66"/>
  <c r="B1642" i="66"/>
  <c r="B1643" i="66"/>
  <c r="B1644" i="66"/>
  <c r="B1645" i="66"/>
  <c r="B1646" i="66"/>
  <c r="B1647" i="66"/>
  <c r="B1648" i="66"/>
  <c r="C1648" i="66" s="1"/>
  <c r="B1649" i="66"/>
  <c r="C1649" i="66" s="1"/>
  <c r="B1650" i="66"/>
  <c r="B1651" i="66"/>
  <c r="B1652" i="66"/>
  <c r="B1653" i="66"/>
  <c r="B1654" i="66"/>
  <c r="B1655" i="66"/>
  <c r="B1656" i="66"/>
  <c r="B1657" i="66"/>
  <c r="B1658" i="66"/>
  <c r="B1659" i="66"/>
  <c r="B1660" i="66"/>
  <c r="C1660" i="66" s="1"/>
  <c r="B1661" i="66"/>
  <c r="C1661" i="66" s="1"/>
  <c r="B1662" i="66"/>
  <c r="C1662" i="66" s="1"/>
  <c r="B1663" i="66"/>
  <c r="C1663" i="66" s="1"/>
  <c r="B1664" i="66"/>
  <c r="B1665" i="66"/>
  <c r="B1666" i="66"/>
  <c r="B1667" i="66"/>
  <c r="B1668" i="66"/>
  <c r="B1669" i="66"/>
  <c r="B1670" i="66"/>
  <c r="C1670" i="66" s="1"/>
  <c r="B1671" i="66"/>
  <c r="C1671" i="66" s="1"/>
  <c r="B1672" i="66"/>
  <c r="C1672" i="66" s="1"/>
  <c r="B1673" i="66"/>
  <c r="B1674" i="66"/>
  <c r="B1675" i="66"/>
  <c r="C1675" i="66" s="1"/>
  <c r="B1676" i="66"/>
  <c r="C1676" i="66" s="1"/>
  <c r="B1677" i="66"/>
  <c r="C1677" i="66" s="1"/>
  <c r="B1678" i="66"/>
  <c r="C1678" i="66" s="1"/>
  <c r="B1679" i="66"/>
  <c r="C1679" i="66" s="1"/>
  <c r="B1680" i="66"/>
  <c r="B1681" i="66"/>
  <c r="B1682" i="66"/>
  <c r="C1682" i="66" s="1"/>
  <c r="B1683" i="66"/>
  <c r="C1683" i="66" s="1"/>
  <c r="B1684" i="66"/>
  <c r="C1684" i="66" s="1"/>
  <c r="B1685" i="66"/>
  <c r="B1686" i="66"/>
  <c r="B1687" i="66"/>
  <c r="B1688" i="66"/>
  <c r="B1689" i="66"/>
  <c r="B1690" i="66"/>
  <c r="B1691" i="66"/>
  <c r="B1692" i="66"/>
  <c r="B1693" i="66"/>
  <c r="B1694" i="66"/>
  <c r="C1694" i="66" s="1"/>
  <c r="B1695" i="66"/>
  <c r="C1695" i="66" s="1"/>
  <c r="B1696" i="66"/>
  <c r="C1696" i="66" s="1"/>
  <c r="B1697" i="66"/>
  <c r="C1697" i="66" s="1"/>
  <c r="B1698" i="66"/>
  <c r="C1698" i="66" s="1"/>
  <c r="B1699" i="66"/>
  <c r="C1699" i="66" s="1"/>
  <c r="B1700" i="66"/>
  <c r="C1700" i="66" s="1"/>
  <c r="B1701" i="66"/>
  <c r="C1701" i="66" s="1"/>
  <c r="B1702" i="66"/>
  <c r="C1702" i="66" s="1"/>
  <c r="B1703" i="66"/>
  <c r="C1703" i="66" s="1"/>
  <c r="B1704" i="66"/>
  <c r="B1705" i="66"/>
  <c r="B1706" i="66"/>
  <c r="B1707" i="66"/>
  <c r="B1708" i="66"/>
  <c r="B1709" i="66"/>
  <c r="B1710" i="66"/>
  <c r="B1711" i="66"/>
  <c r="B1712" i="66"/>
  <c r="B1713" i="66"/>
  <c r="C1713" i="66" s="1"/>
  <c r="B1714" i="66"/>
  <c r="C1714" i="66" s="1"/>
  <c r="B1715" i="66"/>
  <c r="B1716" i="66"/>
  <c r="B1717" i="66"/>
  <c r="C1717" i="66" s="1"/>
  <c r="B1718" i="66"/>
  <c r="C1718" i="66" s="1"/>
  <c r="B1719" i="66"/>
  <c r="C1719" i="66" s="1"/>
  <c r="B1720" i="66"/>
  <c r="C1720" i="66" s="1"/>
  <c r="B1721" i="66"/>
  <c r="C1721" i="66" s="1"/>
  <c r="B1722" i="66"/>
  <c r="C1722" i="66" s="1"/>
  <c r="B1723" i="66"/>
  <c r="B1724" i="66"/>
  <c r="B1725" i="66"/>
  <c r="B1726" i="66"/>
  <c r="B1727" i="66"/>
  <c r="B1728" i="66"/>
  <c r="B1729" i="66"/>
  <c r="B1730" i="66"/>
  <c r="B1731" i="66"/>
  <c r="B1732" i="66"/>
  <c r="B1733" i="66"/>
  <c r="B1734" i="66"/>
  <c r="B1735" i="66"/>
  <c r="B1736" i="66"/>
  <c r="C1736" i="66" s="1"/>
  <c r="B1737" i="66"/>
  <c r="C1737" i="66" s="1"/>
  <c r="B1738" i="66"/>
  <c r="B1739" i="66"/>
  <c r="B1740" i="66"/>
  <c r="C1740" i="66" s="1"/>
  <c r="B1741" i="66"/>
  <c r="C1741" i="66" s="1"/>
  <c r="B1742" i="66"/>
  <c r="B1743" i="66"/>
  <c r="C1743" i="66" s="1"/>
  <c r="B1744" i="66"/>
  <c r="C1744" i="66" s="1"/>
  <c r="B1745" i="66"/>
  <c r="C1745" i="66" s="1"/>
  <c r="B1746" i="66"/>
  <c r="C1746" i="66" s="1"/>
  <c r="B1747" i="66"/>
  <c r="B1748" i="66"/>
  <c r="B1749" i="66"/>
  <c r="C1749" i="66" s="1"/>
  <c r="B1750" i="66"/>
  <c r="C1750" i="66" s="1"/>
  <c r="B1751" i="66"/>
  <c r="C1751" i="66" s="1"/>
  <c r="B1752" i="66"/>
  <c r="C1752" i="66" s="1"/>
  <c r="B1753" i="66"/>
  <c r="C1753" i="66" s="1"/>
  <c r="B1754" i="66"/>
  <c r="C1754" i="66" s="1"/>
  <c r="B1755" i="66"/>
  <c r="C1755" i="66" s="1"/>
  <c r="B1756" i="66"/>
  <c r="B1757" i="66"/>
  <c r="B1758" i="66"/>
  <c r="B1759" i="66"/>
  <c r="B1760" i="66"/>
  <c r="C1760" i="66" s="1"/>
  <c r="B1761" i="66"/>
  <c r="C1761" i="66" s="1"/>
  <c r="B1762" i="66"/>
  <c r="C1762" i="66" s="1"/>
  <c r="B1763" i="66"/>
  <c r="C1763" i="66" s="1"/>
  <c r="B1764" i="66"/>
  <c r="C1764" i="66" s="1"/>
  <c r="B1765" i="66"/>
  <c r="C1765" i="66" s="1"/>
  <c r="B1766" i="66"/>
  <c r="B1767" i="66"/>
  <c r="B1768" i="66"/>
  <c r="B1769" i="66"/>
  <c r="B1770" i="66"/>
  <c r="B1771" i="66"/>
  <c r="B1772" i="66"/>
  <c r="B1773" i="66"/>
  <c r="B1774" i="66"/>
  <c r="B1775" i="66"/>
  <c r="B1776" i="66"/>
  <c r="B1777" i="66"/>
  <c r="B1778" i="66"/>
  <c r="B1779" i="66"/>
  <c r="B1780" i="66"/>
  <c r="B1781" i="66"/>
  <c r="B1782" i="66"/>
  <c r="B1783" i="66"/>
  <c r="B1784" i="66"/>
  <c r="B1785" i="66"/>
  <c r="B1786" i="66"/>
  <c r="B1787" i="66"/>
  <c r="B1788" i="66"/>
  <c r="B1789" i="66"/>
  <c r="B1790" i="66"/>
  <c r="B1791" i="66"/>
  <c r="B1792" i="66"/>
  <c r="C1792" i="66" s="1"/>
  <c r="B1793" i="66"/>
  <c r="C1793" i="66" s="1"/>
  <c r="B1794" i="66"/>
  <c r="B1795" i="66"/>
  <c r="C1795" i="66" s="1"/>
  <c r="B1796" i="66"/>
  <c r="C1796" i="66" s="1"/>
  <c r="B1797" i="66"/>
  <c r="C1797" i="66" s="1"/>
  <c r="B1798" i="66"/>
  <c r="B1799" i="66"/>
  <c r="C1799" i="66" s="1"/>
  <c r="B1800" i="66"/>
  <c r="C1800" i="66" s="1"/>
  <c r="B1801" i="66"/>
  <c r="C1801" i="66" s="1"/>
  <c r="B1802" i="66"/>
  <c r="B1803" i="66"/>
  <c r="B1804" i="66"/>
  <c r="C1804" i="66" s="1"/>
  <c r="B1805" i="66"/>
  <c r="C1805" i="66" s="1"/>
  <c r="B1806" i="66"/>
  <c r="C1806" i="66" s="1"/>
  <c r="B1807" i="66"/>
  <c r="C1807" i="66" s="1"/>
  <c r="B1808" i="66"/>
  <c r="C1808" i="66" s="1"/>
  <c r="B1809" i="66"/>
  <c r="C1809" i="66" s="1"/>
  <c r="B1810" i="66"/>
  <c r="B1811" i="66"/>
  <c r="B1812" i="66"/>
  <c r="B1813" i="66"/>
  <c r="B1814" i="66"/>
  <c r="B1815" i="66"/>
  <c r="B1816" i="66"/>
  <c r="B1817" i="66"/>
  <c r="B1818" i="66"/>
  <c r="C1818" i="66" s="1"/>
  <c r="B1819" i="66"/>
  <c r="B1820" i="66"/>
  <c r="B1821" i="66"/>
  <c r="B1822" i="66"/>
  <c r="B1823" i="66"/>
  <c r="B1824" i="66"/>
  <c r="B1825" i="66"/>
  <c r="B1555" i="66"/>
  <c r="C1555" i="66" s="1"/>
  <c r="B1395" i="66"/>
  <c r="C1395" i="66" s="1"/>
  <c r="B1396" i="66"/>
  <c r="B1397" i="66"/>
  <c r="B1398" i="66"/>
  <c r="B1399" i="66"/>
  <c r="B1400" i="66"/>
  <c r="B1401" i="66"/>
  <c r="C1401" i="66" s="1"/>
  <c r="B1402" i="66"/>
  <c r="C1402" i="66" s="1"/>
  <c r="B1403" i="66"/>
  <c r="C1403" i="66" s="1"/>
  <c r="B1404" i="66"/>
  <c r="C1404" i="66" s="1"/>
  <c r="B1405" i="66"/>
  <c r="C1405" i="66" s="1"/>
  <c r="B1406" i="66"/>
  <c r="C1406" i="66" s="1"/>
  <c r="B1407" i="66"/>
  <c r="C1407" i="66" s="1"/>
  <c r="B1408" i="66"/>
  <c r="C1408" i="66" s="1"/>
  <c r="B1409" i="66"/>
  <c r="C1409" i="66" s="1"/>
  <c r="B1410" i="66"/>
  <c r="C1410" i="66" s="1"/>
  <c r="B1411" i="66"/>
  <c r="C1411" i="66" s="1"/>
  <c r="B1412" i="66"/>
  <c r="C1412" i="66" s="1"/>
  <c r="B1413" i="66"/>
  <c r="C1413" i="66" s="1"/>
  <c r="B1414" i="66"/>
  <c r="C1414" i="66" s="1"/>
  <c r="B1415" i="66"/>
  <c r="C1415" i="66" s="1"/>
  <c r="B1416" i="66"/>
  <c r="C1416" i="66" s="1"/>
  <c r="B1417" i="66"/>
  <c r="C1417" i="66" s="1"/>
  <c r="B1418" i="66"/>
  <c r="C1418" i="66" s="1"/>
  <c r="B1419" i="66"/>
  <c r="C1419" i="66" s="1"/>
  <c r="B1420" i="66"/>
  <c r="C1420" i="66" s="1"/>
  <c r="B1421" i="66"/>
  <c r="C1421" i="66" s="1"/>
  <c r="B1422" i="66"/>
  <c r="C1422" i="66" s="1"/>
  <c r="B1423" i="66"/>
  <c r="C1423" i="66" s="1"/>
  <c r="B1424" i="66"/>
  <c r="C1424" i="66" s="1"/>
  <c r="B1425" i="66"/>
  <c r="C1425" i="66" s="1"/>
  <c r="B1426" i="66"/>
  <c r="C1426" i="66" s="1"/>
  <c r="B1427" i="66"/>
  <c r="C1427" i="66" s="1"/>
  <c r="B1428" i="66"/>
  <c r="C1428" i="66" s="1"/>
  <c r="B1429" i="66"/>
  <c r="B1430" i="66"/>
  <c r="B1431" i="66"/>
  <c r="C1431" i="66" s="1"/>
  <c r="B1432" i="66"/>
  <c r="C1432" i="66" s="1"/>
  <c r="B1433" i="66"/>
  <c r="C1433" i="66" s="1"/>
  <c r="B1434" i="66"/>
  <c r="C1434" i="66" s="1"/>
  <c r="B1435" i="66"/>
  <c r="C1435" i="66" s="1"/>
  <c r="B1436" i="66"/>
  <c r="C1436" i="66" s="1"/>
  <c r="B1437" i="66"/>
  <c r="C1437" i="66" s="1"/>
  <c r="B1438" i="66"/>
  <c r="B1439" i="66"/>
  <c r="C1439" i="66" s="1"/>
  <c r="B1440" i="66"/>
  <c r="C1440" i="66" s="1"/>
  <c r="B1441" i="66"/>
  <c r="C1441" i="66" s="1"/>
  <c r="B1442" i="66"/>
  <c r="C1442" i="66" s="1"/>
  <c r="B1443" i="66"/>
  <c r="C1443" i="66" s="1"/>
  <c r="B1444" i="66"/>
  <c r="C1444" i="66" s="1"/>
  <c r="B1445" i="66"/>
  <c r="C1445" i="66" s="1"/>
  <c r="B1446" i="66"/>
  <c r="C1446" i="66" s="1"/>
  <c r="B1447" i="66"/>
  <c r="C1447" i="66" s="1"/>
  <c r="B1448" i="66"/>
  <c r="C1448" i="66" s="1"/>
  <c r="B1449" i="66"/>
  <c r="C1449" i="66" s="1"/>
  <c r="B1450" i="66"/>
  <c r="C1450" i="66" s="1"/>
  <c r="B1451" i="66"/>
  <c r="C1451" i="66" s="1"/>
  <c r="B1452" i="66"/>
  <c r="C1452" i="66" s="1"/>
  <c r="B1453" i="66"/>
  <c r="C1453" i="66" s="1"/>
  <c r="B1454" i="66"/>
  <c r="C1454" i="66" s="1"/>
  <c r="B1455" i="66"/>
  <c r="B1456" i="66"/>
  <c r="B1457" i="66"/>
  <c r="B1458" i="66"/>
  <c r="C1458" i="66" s="1"/>
  <c r="B1459" i="66"/>
  <c r="C1459" i="66" s="1"/>
  <c r="B1460" i="66"/>
  <c r="C1460" i="66" s="1"/>
  <c r="B1461" i="66"/>
  <c r="C1461" i="66" s="1"/>
  <c r="B1462" i="66"/>
  <c r="C1462" i="66" s="1"/>
  <c r="B1463" i="66"/>
  <c r="B1464" i="66"/>
  <c r="B1465" i="66"/>
  <c r="C1465" i="66" s="1"/>
  <c r="B1466" i="66"/>
  <c r="B1467" i="66"/>
  <c r="B1468" i="66"/>
  <c r="C1468" i="66" s="1"/>
  <c r="B1469" i="66"/>
  <c r="C1469" i="66" s="1"/>
  <c r="B1470" i="66"/>
  <c r="C1470" i="66" s="1"/>
  <c r="B1471" i="66"/>
  <c r="C1471" i="66" s="1"/>
  <c r="B1472" i="66"/>
  <c r="C1472" i="66" s="1"/>
  <c r="B1473" i="66"/>
  <c r="C1473" i="66" s="1"/>
  <c r="B1474" i="66"/>
  <c r="C1474" i="66" s="1"/>
  <c r="B1475" i="66"/>
  <c r="C1475" i="66" s="1"/>
  <c r="B1476" i="66"/>
  <c r="C1476" i="66" s="1"/>
  <c r="B1477" i="66"/>
  <c r="C1477" i="66" s="1"/>
  <c r="B1478" i="66"/>
  <c r="C1478" i="66" s="1"/>
  <c r="B1479" i="66"/>
  <c r="C1479" i="66" s="1"/>
  <c r="B1480" i="66"/>
  <c r="C1480" i="66" s="1"/>
  <c r="B1481" i="66"/>
  <c r="C1481" i="66" s="1"/>
  <c r="B1482" i="66"/>
  <c r="C1482" i="66" s="1"/>
  <c r="B1483" i="66"/>
  <c r="C1483" i="66" s="1"/>
  <c r="B1484" i="66"/>
  <c r="C1484" i="66" s="1"/>
  <c r="B1485" i="66"/>
  <c r="C1485" i="66" s="1"/>
  <c r="B1486" i="66"/>
  <c r="B1487" i="66"/>
  <c r="B1488" i="66"/>
  <c r="B1489" i="66"/>
  <c r="B1490" i="66"/>
  <c r="B1491" i="66"/>
  <c r="C1491" i="66" s="1"/>
  <c r="B1492" i="66"/>
  <c r="C1492" i="66" s="1"/>
  <c r="B1493" i="66"/>
  <c r="C1493" i="66" s="1"/>
  <c r="B1494" i="66"/>
  <c r="C1494" i="66" s="1"/>
  <c r="B1495" i="66"/>
  <c r="B1496" i="66"/>
  <c r="B1497" i="66"/>
  <c r="B1498" i="66"/>
  <c r="B1499" i="66"/>
  <c r="B1500" i="66"/>
  <c r="C1500" i="66" s="1"/>
  <c r="B1501" i="66"/>
  <c r="B1502" i="66"/>
  <c r="B1503" i="66"/>
  <c r="B1504" i="66"/>
  <c r="B1505" i="66"/>
  <c r="B1506" i="66"/>
  <c r="C1506" i="66" s="1"/>
  <c r="B1507" i="66"/>
  <c r="C1507" i="66" s="1"/>
  <c r="B1508" i="66"/>
  <c r="B1509" i="66"/>
  <c r="B1510" i="66"/>
  <c r="B1511" i="66"/>
  <c r="B1512" i="66"/>
  <c r="B1513" i="66"/>
  <c r="C1513" i="66" s="1"/>
  <c r="B1514" i="66"/>
  <c r="C1514" i="66" s="1"/>
  <c r="B1515" i="66"/>
  <c r="C1515" i="66" s="1"/>
  <c r="B1516" i="66"/>
  <c r="C1516" i="66" s="1"/>
  <c r="B1517" i="66"/>
  <c r="C1517" i="66" s="1"/>
  <c r="B1518" i="66"/>
  <c r="C1518" i="66" s="1"/>
  <c r="B1519" i="66"/>
  <c r="C1519" i="66" s="1"/>
  <c r="B1520" i="66"/>
  <c r="C1520" i="66" s="1"/>
  <c r="B1521" i="66"/>
  <c r="C1521" i="66" s="1"/>
  <c r="B1522" i="66"/>
  <c r="C1522" i="66" s="1"/>
  <c r="B1523" i="66"/>
  <c r="B1524" i="66"/>
  <c r="B1525" i="66"/>
  <c r="B1526" i="66"/>
  <c r="B1527" i="66"/>
  <c r="B1528" i="66"/>
  <c r="B1529" i="66"/>
  <c r="B1530" i="66"/>
  <c r="B1531" i="66"/>
  <c r="C1531" i="66" s="1"/>
  <c r="B1532" i="66"/>
  <c r="B1533" i="66"/>
  <c r="B1534" i="66"/>
  <c r="C1534" i="66" s="1"/>
  <c r="B1535" i="66"/>
  <c r="C1535" i="66" s="1"/>
  <c r="B1536" i="66"/>
  <c r="C1536" i="66" s="1"/>
  <c r="B1537" i="66"/>
  <c r="C1537" i="66" s="1"/>
  <c r="B1538" i="66"/>
  <c r="C1538" i="66" s="1"/>
  <c r="B1539" i="66"/>
  <c r="B1540" i="66"/>
  <c r="B1541" i="66"/>
  <c r="B1542" i="66"/>
  <c r="B1543" i="66"/>
  <c r="B1544" i="66"/>
  <c r="B1545" i="66"/>
  <c r="C1545" i="66" s="1"/>
  <c r="B1546" i="66"/>
  <c r="C1546" i="66" s="1"/>
  <c r="B1547" i="66"/>
  <c r="B1548" i="66"/>
  <c r="B1549" i="66"/>
  <c r="B1550" i="66"/>
  <c r="B1551" i="66"/>
  <c r="B1552" i="66"/>
  <c r="B1553" i="66"/>
  <c r="B1554" i="66"/>
  <c r="B1394" i="66"/>
  <c r="C1394" i="66" s="1"/>
  <c r="B772" i="66"/>
  <c r="C772" i="66" s="1"/>
  <c r="B773" i="66"/>
  <c r="C773" i="66" s="1"/>
  <c r="B774" i="66"/>
  <c r="C774" i="66" s="1"/>
  <c r="B775" i="66"/>
  <c r="C775" i="66" s="1"/>
  <c r="B776" i="66"/>
  <c r="B777" i="66"/>
  <c r="B778" i="66"/>
  <c r="B779" i="66"/>
  <c r="B780" i="66"/>
  <c r="B781" i="66"/>
  <c r="B782" i="66"/>
  <c r="B783" i="66"/>
  <c r="B784" i="66"/>
  <c r="B785" i="66"/>
  <c r="B786" i="66"/>
  <c r="B787" i="66"/>
  <c r="B788" i="66"/>
  <c r="B789" i="66"/>
  <c r="B790" i="66"/>
  <c r="B791" i="66"/>
  <c r="B792" i="66"/>
  <c r="C792" i="66" s="1"/>
  <c r="B793" i="66"/>
  <c r="C793" i="66" s="1"/>
  <c r="B794" i="66"/>
  <c r="C794" i="66" s="1"/>
  <c r="B795" i="66"/>
  <c r="C795" i="66" s="1"/>
  <c r="B796" i="66"/>
  <c r="C796" i="66" s="1"/>
  <c r="B797" i="66"/>
  <c r="B798" i="66"/>
  <c r="B799" i="66"/>
  <c r="B800" i="66"/>
  <c r="B801" i="66"/>
  <c r="B802" i="66"/>
  <c r="B803" i="66"/>
  <c r="B804" i="66"/>
  <c r="B805" i="66"/>
  <c r="B806" i="66"/>
  <c r="B807" i="66"/>
  <c r="B808" i="66"/>
  <c r="B809" i="66"/>
  <c r="B810" i="66"/>
  <c r="B811" i="66"/>
  <c r="B812" i="66"/>
  <c r="B813" i="66"/>
  <c r="B814" i="66"/>
  <c r="B815" i="66"/>
  <c r="B816" i="66"/>
  <c r="B817" i="66"/>
  <c r="B818" i="66"/>
  <c r="B819" i="66"/>
  <c r="C819" i="66" s="1"/>
  <c r="B820" i="66"/>
  <c r="C820" i="66" s="1"/>
  <c r="B821" i="66"/>
  <c r="C821" i="66" s="1"/>
  <c r="B822" i="66"/>
  <c r="C822" i="66" s="1"/>
  <c r="B823" i="66"/>
  <c r="C823" i="66" s="1"/>
  <c r="B824" i="66"/>
  <c r="C824" i="66" s="1"/>
  <c r="B825" i="66"/>
  <c r="C825" i="66" s="1"/>
  <c r="B826" i="66"/>
  <c r="C826" i="66" s="1"/>
  <c r="B827" i="66"/>
  <c r="C827" i="66" s="1"/>
  <c r="B828" i="66"/>
  <c r="C828" i="66" s="1"/>
  <c r="B829" i="66"/>
  <c r="C829" i="66" s="1"/>
  <c r="B830" i="66"/>
  <c r="C830" i="66" s="1"/>
  <c r="B831" i="66"/>
  <c r="B832" i="66"/>
  <c r="B833" i="66"/>
  <c r="B834" i="66"/>
  <c r="B835" i="66"/>
  <c r="B836" i="66"/>
  <c r="B837" i="66"/>
  <c r="B838" i="66"/>
  <c r="B839" i="66"/>
  <c r="C839" i="66" s="1"/>
  <c r="B840" i="66"/>
  <c r="C840" i="66" s="1"/>
  <c r="B841" i="66"/>
  <c r="C841" i="66" s="1"/>
  <c r="B842" i="66"/>
  <c r="C842" i="66" s="1"/>
  <c r="B843" i="66"/>
  <c r="C843" i="66" s="1"/>
  <c r="B844" i="66"/>
  <c r="C844" i="66" s="1"/>
  <c r="B845" i="66"/>
  <c r="C845" i="66" s="1"/>
  <c r="B846" i="66"/>
  <c r="C846" i="66" s="1"/>
  <c r="B847" i="66"/>
  <c r="C847" i="66" s="1"/>
  <c r="B848" i="66"/>
  <c r="C848" i="66" s="1"/>
  <c r="B849" i="66"/>
  <c r="C849" i="66" s="1"/>
  <c r="B850" i="66"/>
  <c r="B851" i="66"/>
  <c r="B852" i="66"/>
  <c r="C852" i="66" s="1"/>
  <c r="B853" i="66"/>
  <c r="B854" i="66"/>
  <c r="C854" i="66" s="1"/>
  <c r="B855" i="66"/>
  <c r="C855" i="66" s="1"/>
  <c r="B856" i="66"/>
  <c r="C856" i="66" s="1"/>
  <c r="B857" i="66"/>
  <c r="C857" i="66" s="1"/>
  <c r="B858" i="66"/>
  <c r="C858" i="66" s="1"/>
  <c r="B859" i="66"/>
  <c r="C859" i="66" s="1"/>
  <c r="B860" i="66"/>
  <c r="C860" i="66" s="1"/>
  <c r="B861" i="66"/>
  <c r="C861" i="66" s="1"/>
  <c r="B862" i="66"/>
  <c r="C862" i="66" s="1"/>
  <c r="B863" i="66"/>
  <c r="C863" i="66" s="1"/>
  <c r="B864" i="66"/>
  <c r="C864" i="66" s="1"/>
  <c r="B865" i="66"/>
  <c r="C865" i="66" s="1"/>
  <c r="B866" i="66"/>
  <c r="C866" i="66" s="1"/>
  <c r="B867" i="66"/>
  <c r="C867" i="66" s="1"/>
  <c r="B868" i="66"/>
  <c r="C868" i="66" s="1"/>
  <c r="B869" i="66"/>
  <c r="C869" i="66" s="1"/>
  <c r="B870" i="66"/>
  <c r="C870" i="66" s="1"/>
  <c r="B871" i="66"/>
  <c r="C871" i="66" s="1"/>
  <c r="B872" i="66"/>
  <c r="C872" i="66" s="1"/>
  <c r="B873" i="66"/>
  <c r="C873" i="66" s="1"/>
  <c r="B874" i="66"/>
  <c r="C874" i="66" s="1"/>
  <c r="B875" i="66"/>
  <c r="C875" i="66" s="1"/>
  <c r="B876" i="66"/>
  <c r="C876" i="66" s="1"/>
  <c r="B877" i="66"/>
  <c r="B878" i="66"/>
  <c r="B879" i="66"/>
  <c r="B880" i="66"/>
  <c r="B881" i="66"/>
  <c r="B882" i="66"/>
  <c r="B883" i="66"/>
  <c r="B884" i="66"/>
  <c r="B885" i="66"/>
  <c r="B886" i="66"/>
  <c r="B887" i="66"/>
  <c r="B888" i="66"/>
  <c r="B889" i="66"/>
  <c r="B890" i="66"/>
  <c r="B891" i="66"/>
  <c r="B892" i="66"/>
  <c r="B893" i="66"/>
  <c r="B894" i="66"/>
  <c r="C894" i="66" s="1"/>
  <c r="B895" i="66"/>
  <c r="C895" i="66" s="1"/>
  <c r="B896" i="66"/>
  <c r="C896" i="66" s="1"/>
  <c r="B897" i="66"/>
  <c r="B898" i="66"/>
  <c r="C898" i="66" s="1"/>
  <c r="B899" i="66"/>
  <c r="C899" i="66" s="1"/>
  <c r="B900" i="66"/>
  <c r="C900" i="66" s="1"/>
  <c r="B901" i="66"/>
  <c r="B902" i="66"/>
  <c r="B903" i="66"/>
  <c r="B904" i="66"/>
  <c r="B905" i="66"/>
  <c r="B906" i="66"/>
  <c r="B907" i="66"/>
  <c r="B908" i="66"/>
  <c r="B909" i="66"/>
  <c r="B910" i="66"/>
  <c r="B911" i="66"/>
  <c r="B912" i="66"/>
  <c r="C912" i="66" s="1"/>
  <c r="B913" i="66"/>
  <c r="C913" i="66" s="1"/>
  <c r="B914" i="66"/>
  <c r="C914" i="66" s="1"/>
  <c r="B915" i="66"/>
  <c r="B916" i="66"/>
  <c r="B917" i="66"/>
  <c r="C917" i="66" s="1"/>
  <c r="B918" i="66"/>
  <c r="B919" i="66"/>
  <c r="B920" i="66"/>
  <c r="B921" i="66"/>
  <c r="B922" i="66"/>
  <c r="C922" i="66" s="1"/>
  <c r="B923" i="66"/>
  <c r="C923" i="66" s="1"/>
  <c r="B924" i="66"/>
  <c r="C924" i="66" s="1"/>
  <c r="B925" i="66"/>
  <c r="C925" i="66" s="1"/>
  <c r="B926" i="66"/>
  <c r="C926" i="66" s="1"/>
  <c r="B927" i="66"/>
  <c r="C927" i="66" s="1"/>
  <c r="B928" i="66"/>
  <c r="C928" i="66" s="1"/>
  <c r="B929" i="66"/>
  <c r="C929" i="66" s="1"/>
  <c r="B930" i="66"/>
  <c r="C930" i="66" s="1"/>
  <c r="B931" i="66"/>
  <c r="C931" i="66" s="1"/>
  <c r="B932" i="66"/>
  <c r="B933" i="66"/>
  <c r="B934" i="66"/>
  <c r="C934" i="66" s="1"/>
  <c r="B935" i="66"/>
  <c r="B936" i="66"/>
  <c r="B937" i="66"/>
  <c r="B938" i="66"/>
  <c r="B939" i="66"/>
  <c r="B940" i="66"/>
  <c r="B941" i="66"/>
  <c r="B942" i="66"/>
  <c r="B943" i="66"/>
  <c r="B944" i="66"/>
  <c r="C944" i="66" s="1"/>
  <c r="B945" i="66"/>
  <c r="B946" i="66"/>
  <c r="B947" i="66"/>
  <c r="B948" i="66"/>
  <c r="B949" i="66"/>
  <c r="B950" i="66"/>
  <c r="B951" i="66"/>
  <c r="B952" i="66"/>
  <c r="B953" i="66"/>
  <c r="B954" i="66"/>
  <c r="B955" i="66"/>
  <c r="B956" i="66"/>
  <c r="B957" i="66"/>
  <c r="B958" i="66"/>
  <c r="B959" i="66"/>
  <c r="B960" i="66"/>
  <c r="C960" i="66" s="1"/>
  <c r="B961" i="66"/>
  <c r="B962" i="66"/>
  <c r="B963" i="66"/>
  <c r="B964" i="66"/>
  <c r="B965" i="66"/>
  <c r="B966" i="66"/>
  <c r="B967" i="66"/>
  <c r="B968" i="66"/>
  <c r="B969" i="66"/>
  <c r="B970" i="66"/>
  <c r="B971" i="66"/>
  <c r="B972" i="66"/>
  <c r="B973" i="66"/>
  <c r="B974" i="66"/>
  <c r="C974" i="66" s="1"/>
  <c r="B975" i="66"/>
  <c r="C975" i="66" s="1"/>
  <c r="B976" i="66"/>
  <c r="C976" i="66" s="1"/>
  <c r="B977" i="66"/>
  <c r="B978" i="66"/>
  <c r="B979" i="66"/>
  <c r="B980" i="66"/>
  <c r="B981" i="66"/>
  <c r="B982" i="66"/>
  <c r="B983" i="66"/>
  <c r="B984" i="66"/>
  <c r="B985" i="66"/>
  <c r="B986" i="66"/>
  <c r="C986" i="66" s="1"/>
  <c r="B987" i="66"/>
  <c r="C987" i="66" s="1"/>
  <c r="B988" i="66"/>
  <c r="C988" i="66" s="1"/>
  <c r="B989" i="66"/>
  <c r="C989" i="66" s="1"/>
  <c r="B990" i="66"/>
  <c r="C990" i="66" s="1"/>
  <c r="B991" i="66"/>
  <c r="C991" i="66" s="1"/>
  <c r="B992" i="66"/>
  <c r="C992" i="66" s="1"/>
  <c r="B993" i="66"/>
  <c r="C993" i="66" s="1"/>
  <c r="B994" i="66"/>
  <c r="C994" i="66" s="1"/>
  <c r="B995" i="66"/>
  <c r="C995" i="66" s="1"/>
  <c r="B996" i="66"/>
  <c r="C996" i="66" s="1"/>
  <c r="B997" i="66"/>
  <c r="C997" i="66" s="1"/>
  <c r="B998" i="66"/>
  <c r="C998" i="66" s="1"/>
  <c r="B999" i="66"/>
  <c r="B1000" i="66"/>
  <c r="B1001" i="66"/>
  <c r="B1002" i="66"/>
  <c r="B1003" i="66"/>
  <c r="B1004" i="66"/>
  <c r="B1005" i="66"/>
  <c r="C1005" i="66" s="1"/>
  <c r="B1006" i="66"/>
  <c r="C1006" i="66" s="1"/>
  <c r="B1007" i="66"/>
  <c r="C1007" i="66" s="1"/>
  <c r="B1008" i="66"/>
  <c r="C1008" i="66" s="1"/>
  <c r="B1009" i="66"/>
  <c r="C1009" i="66" s="1"/>
  <c r="B1010" i="66"/>
  <c r="C1010" i="66" s="1"/>
  <c r="B1011" i="66"/>
  <c r="C1011" i="66" s="1"/>
  <c r="B1012" i="66"/>
  <c r="C1012" i="66" s="1"/>
  <c r="B1013" i="66"/>
  <c r="C1013" i="66" s="1"/>
  <c r="B1014" i="66"/>
  <c r="C1014" i="66" s="1"/>
  <c r="B1015" i="66"/>
  <c r="C1015" i="66" s="1"/>
  <c r="B1016" i="66"/>
  <c r="C1016" i="66" s="1"/>
  <c r="B1017" i="66"/>
  <c r="C1017" i="66" s="1"/>
  <c r="B1018" i="66"/>
  <c r="C1018" i="66" s="1"/>
  <c r="B1019" i="66"/>
  <c r="C1019" i="66" s="1"/>
  <c r="B1020" i="66"/>
  <c r="C1020" i="66" s="1"/>
  <c r="B1021" i="66"/>
  <c r="C1021" i="66" s="1"/>
  <c r="B1022" i="66"/>
  <c r="B1023" i="66"/>
  <c r="B1024" i="66"/>
  <c r="B1025" i="66"/>
  <c r="C1025" i="66" s="1"/>
  <c r="B1026" i="66"/>
  <c r="C1026" i="66" s="1"/>
  <c r="B1027" i="66"/>
  <c r="C1027" i="66" s="1"/>
  <c r="B1028" i="66"/>
  <c r="C1028" i="66" s="1"/>
  <c r="B1029" i="66"/>
  <c r="C1029" i="66" s="1"/>
  <c r="B1030" i="66"/>
  <c r="C1030" i="66" s="1"/>
  <c r="B1031" i="66"/>
  <c r="B1032" i="66"/>
  <c r="B1033" i="66"/>
  <c r="B1034" i="66"/>
  <c r="C1034" i="66" s="1"/>
  <c r="B1035" i="66"/>
  <c r="C1035" i="66" s="1"/>
  <c r="B1036" i="66"/>
  <c r="C1036" i="66" s="1"/>
  <c r="B1037" i="66"/>
  <c r="C1037" i="66" s="1"/>
  <c r="B1038" i="66"/>
  <c r="C1038" i="66" s="1"/>
  <c r="B1039" i="66"/>
  <c r="C1039" i="66" s="1"/>
  <c r="B1040" i="66"/>
  <c r="C1040" i="66" s="1"/>
  <c r="B1041" i="66"/>
  <c r="C1041" i="66" s="1"/>
  <c r="B1042" i="66"/>
  <c r="B1043" i="66"/>
  <c r="B1044" i="66"/>
  <c r="B1045" i="66"/>
  <c r="C1045" i="66" s="1"/>
  <c r="B1046" i="66"/>
  <c r="B1047" i="66"/>
  <c r="B1048" i="66"/>
  <c r="B1049" i="66"/>
  <c r="C1049" i="66" s="1"/>
  <c r="B1050" i="66"/>
  <c r="C1050" i="66" s="1"/>
  <c r="B1051" i="66"/>
  <c r="C1051" i="66" s="1"/>
  <c r="B1052" i="66"/>
  <c r="B1053" i="66"/>
  <c r="C1053" i="66" s="1"/>
  <c r="B1054" i="66"/>
  <c r="C1054" i="66" s="1"/>
  <c r="B1055" i="66"/>
  <c r="C1055" i="66" s="1"/>
  <c r="B1056" i="66"/>
  <c r="C1056" i="66" s="1"/>
  <c r="B1057" i="66"/>
  <c r="C1057" i="66" s="1"/>
  <c r="B1058" i="66"/>
  <c r="C1058" i="66" s="1"/>
  <c r="B1059" i="66"/>
  <c r="B1060" i="66"/>
  <c r="B1061" i="66"/>
  <c r="C1061" i="66" s="1"/>
  <c r="B1062" i="66"/>
  <c r="C1062" i="66" s="1"/>
  <c r="B1063" i="66"/>
  <c r="C1063" i="66" s="1"/>
  <c r="B1064" i="66"/>
  <c r="B1065" i="66"/>
  <c r="B1066" i="66"/>
  <c r="C1066" i="66" s="1"/>
  <c r="B1067" i="66"/>
  <c r="B1068" i="66"/>
  <c r="C1068" i="66" s="1"/>
  <c r="B1069" i="66"/>
  <c r="B1070" i="66"/>
  <c r="C1070" i="66" s="1"/>
  <c r="B1071" i="66"/>
  <c r="C1071" i="66" s="1"/>
  <c r="B1072" i="66"/>
  <c r="C1072" i="66" s="1"/>
  <c r="B1073" i="66"/>
  <c r="C1073" i="66" s="1"/>
  <c r="B1074" i="66"/>
  <c r="C1074" i="66" s="1"/>
  <c r="B1075" i="66"/>
  <c r="B1076" i="66"/>
  <c r="B1077" i="66"/>
  <c r="B1078" i="66"/>
  <c r="B1079" i="66"/>
  <c r="B1080" i="66"/>
  <c r="C1080" i="66" s="1"/>
  <c r="B1081" i="66"/>
  <c r="C1081" i="66" s="1"/>
  <c r="B1082" i="66"/>
  <c r="C1082" i="66" s="1"/>
  <c r="B1083" i="66"/>
  <c r="C1083" i="66" s="1"/>
  <c r="B1084" i="66"/>
  <c r="B1085" i="66"/>
  <c r="B1086" i="66"/>
  <c r="C1086" i="66" s="1"/>
  <c r="B1087" i="66"/>
  <c r="C1087" i="66" s="1"/>
  <c r="B1088" i="66"/>
  <c r="C1088" i="66" s="1"/>
  <c r="B1089" i="66"/>
  <c r="C1089" i="66" s="1"/>
  <c r="B1090" i="66"/>
  <c r="C1090" i="66" s="1"/>
  <c r="B1091" i="66"/>
  <c r="C1091" i="66" s="1"/>
  <c r="B1092" i="66"/>
  <c r="C1092" i="66" s="1"/>
  <c r="B1093" i="66"/>
  <c r="C1093" i="66" s="1"/>
  <c r="B1094" i="66"/>
  <c r="C1094" i="66" s="1"/>
  <c r="B1095" i="66"/>
  <c r="C1095" i="66" s="1"/>
  <c r="B1096" i="66"/>
  <c r="C1096" i="66" s="1"/>
  <c r="B1097" i="66"/>
  <c r="C1097" i="66" s="1"/>
  <c r="B1098" i="66"/>
  <c r="C1098" i="66" s="1"/>
  <c r="B1099" i="66"/>
  <c r="C1099" i="66" s="1"/>
  <c r="B1100" i="66"/>
  <c r="C1100" i="66" s="1"/>
  <c r="B1101" i="66"/>
  <c r="C1101" i="66" s="1"/>
  <c r="B1102" i="66"/>
  <c r="C1102" i="66" s="1"/>
  <c r="B1103" i="66"/>
  <c r="B1104" i="66"/>
  <c r="B1105" i="66"/>
  <c r="B1106" i="66"/>
  <c r="B1107" i="66"/>
  <c r="B1108" i="66"/>
  <c r="B1109" i="66"/>
  <c r="B1110" i="66"/>
  <c r="B1111" i="66"/>
  <c r="C1111" i="66" s="1"/>
  <c r="B1112" i="66"/>
  <c r="C1112" i="66" s="1"/>
  <c r="B1113" i="66"/>
  <c r="C1113" i="66" s="1"/>
  <c r="B1114" i="66"/>
  <c r="C1114" i="66" s="1"/>
  <c r="B1115" i="66"/>
  <c r="C1115" i="66" s="1"/>
  <c r="B1116" i="66"/>
  <c r="B1117" i="66"/>
  <c r="B1118" i="66"/>
  <c r="B1119" i="66"/>
  <c r="C1119" i="66" s="1"/>
  <c r="B1120" i="66"/>
  <c r="C1120" i="66" s="1"/>
  <c r="B1121" i="66"/>
  <c r="C1121" i="66" s="1"/>
  <c r="B1122" i="66"/>
  <c r="C1122" i="66" s="1"/>
  <c r="B1123" i="66"/>
  <c r="C1123" i="66" s="1"/>
  <c r="B1124" i="66"/>
  <c r="C1124" i="66" s="1"/>
  <c r="B1125" i="66"/>
  <c r="B1126" i="66"/>
  <c r="C1126" i="66" s="1"/>
  <c r="B1127" i="66"/>
  <c r="C1127" i="66" s="1"/>
  <c r="B1128" i="66"/>
  <c r="C1128" i="66" s="1"/>
  <c r="B1129" i="66"/>
  <c r="C1129" i="66" s="1"/>
  <c r="B1130" i="66"/>
  <c r="B1131" i="66"/>
  <c r="B1132" i="66"/>
  <c r="B1133" i="66"/>
  <c r="C1133" i="66" s="1"/>
  <c r="B1134" i="66"/>
  <c r="C1134" i="66" s="1"/>
  <c r="B1135" i="66"/>
  <c r="C1135" i="66" s="1"/>
  <c r="B1136" i="66"/>
  <c r="C1136" i="66" s="1"/>
  <c r="B1137" i="66"/>
  <c r="C1137" i="66" s="1"/>
  <c r="B1138" i="66"/>
  <c r="C1138" i="66" s="1"/>
  <c r="B1139" i="66"/>
  <c r="C1139" i="66" s="1"/>
  <c r="B1140" i="66"/>
  <c r="C1140" i="66" s="1"/>
  <c r="B1141" i="66"/>
  <c r="C1141" i="66" s="1"/>
  <c r="B1142" i="66"/>
  <c r="C1142" i="66" s="1"/>
  <c r="B1143" i="66"/>
  <c r="C1143" i="66" s="1"/>
  <c r="B1144" i="66"/>
  <c r="C1144" i="66" s="1"/>
  <c r="B1145" i="66"/>
  <c r="C1145" i="66" s="1"/>
  <c r="B1146" i="66"/>
  <c r="C1146" i="66" s="1"/>
  <c r="B1147" i="66"/>
  <c r="C1147" i="66" s="1"/>
  <c r="B1148" i="66"/>
  <c r="C1148" i="66" s="1"/>
  <c r="B1149" i="66"/>
  <c r="C1149" i="66" s="1"/>
  <c r="B1150" i="66"/>
  <c r="C1150" i="66" s="1"/>
  <c r="B1151" i="66"/>
  <c r="C1151" i="66" s="1"/>
  <c r="B1152" i="66"/>
  <c r="C1152" i="66" s="1"/>
  <c r="B1153" i="66"/>
  <c r="C1153" i="66" s="1"/>
  <c r="B1154" i="66"/>
  <c r="C1154" i="66" s="1"/>
  <c r="B1155" i="66"/>
  <c r="C1155" i="66" s="1"/>
  <c r="B1156" i="66"/>
  <c r="C1156" i="66" s="1"/>
  <c r="B1157" i="66"/>
  <c r="C1157" i="66" s="1"/>
  <c r="B1158" i="66"/>
  <c r="C1158" i="66" s="1"/>
  <c r="B1159" i="66"/>
  <c r="B1160" i="66"/>
  <c r="B1161" i="66"/>
  <c r="B1162" i="66"/>
  <c r="B1163" i="66"/>
  <c r="C1163" i="66" s="1"/>
  <c r="B1164" i="66"/>
  <c r="C1164" i="66" s="1"/>
  <c r="B1165" i="66"/>
  <c r="C1165" i="66" s="1"/>
  <c r="B1166" i="66"/>
  <c r="C1166" i="66" s="1"/>
  <c r="B1167" i="66"/>
  <c r="C1167" i="66" s="1"/>
  <c r="B1168" i="66"/>
  <c r="C1168" i="66" s="1"/>
  <c r="B1169" i="66"/>
  <c r="C1169" i="66" s="1"/>
  <c r="B1170" i="66"/>
  <c r="C1170" i="66" s="1"/>
  <c r="B1171" i="66"/>
  <c r="C1171" i="66" s="1"/>
  <c r="B1172" i="66"/>
  <c r="C1172" i="66" s="1"/>
  <c r="B1173" i="66"/>
  <c r="C1173" i="66" s="1"/>
  <c r="B1174" i="66"/>
  <c r="C1174" i="66" s="1"/>
  <c r="B1175" i="66"/>
  <c r="C1175" i="66" s="1"/>
  <c r="B1176" i="66"/>
  <c r="C1176" i="66" s="1"/>
  <c r="B1177" i="66"/>
  <c r="C1177" i="66" s="1"/>
  <c r="B1178" i="66"/>
  <c r="C1178" i="66" s="1"/>
  <c r="B1179" i="66"/>
  <c r="C1179" i="66" s="1"/>
  <c r="B1180" i="66"/>
  <c r="C1180" i="66" s="1"/>
  <c r="B1181" i="66"/>
  <c r="C1181" i="66" s="1"/>
  <c r="B1182" i="66"/>
  <c r="C1182" i="66" s="1"/>
  <c r="B1183" i="66"/>
  <c r="C1183" i="66" s="1"/>
  <c r="B1184" i="66"/>
  <c r="C1184" i="66" s="1"/>
  <c r="B1185" i="66"/>
  <c r="C1185" i="66" s="1"/>
  <c r="B1186" i="66"/>
  <c r="C1186" i="66" s="1"/>
  <c r="B1187" i="66"/>
  <c r="C1187" i="66" s="1"/>
  <c r="B1188" i="66"/>
  <c r="B1189" i="66"/>
  <c r="B1190" i="66"/>
  <c r="C1190" i="66" s="1"/>
  <c r="B1191" i="66"/>
  <c r="C1191" i="66" s="1"/>
  <c r="B1192" i="66"/>
  <c r="C1192" i="66" s="1"/>
  <c r="B1193" i="66"/>
  <c r="C1193" i="66" s="1"/>
  <c r="B1194" i="66"/>
  <c r="C1194" i="66" s="1"/>
  <c r="B1195" i="66"/>
  <c r="C1195" i="66" s="1"/>
  <c r="B1196" i="66"/>
  <c r="C1196" i="66" s="1"/>
  <c r="B1197" i="66"/>
  <c r="C1197" i="66" s="1"/>
  <c r="B1198" i="66"/>
  <c r="C1198" i="66" s="1"/>
  <c r="B1199" i="66"/>
  <c r="C1199" i="66" s="1"/>
  <c r="B1200" i="66"/>
  <c r="C1200" i="66" s="1"/>
  <c r="B1201" i="66"/>
  <c r="C1201" i="66" s="1"/>
  <c r="B1202" i="66"/>
  <c r="C1202" i="66" s="1"/>
  <c r="B1203" i="66"/>
  <c r="C1203" i="66" s="1"/>
  <c r="B1204" i="66"/>
  <c r="C1204" i="66" s="1"/>
  <c r="B1205" i="66"/>
  <c r="C1205" i="66" s="1"/>
  <c r="B1206" i="66"/>
  <c r="C1206" i="66" s="1"/>
  <c r="B1207" i="66"/>
  <c r="C1207" i="66" s="1"/>
  <c r="B1208" i="66"/>
  <c r="C1208" i="66" s="1"/>
  <c r="B1209" i="66"/>
  <c r="C1209" i="66" s="1"/>
  <c r="B1210" i="66"/>
  <c r="C1210" i="66" s="1"/>
  <c r="B1211" i="66"/>
  <c r="C1211" i="66" s="1"/>
  <c r="B1212" i="66"/>
  <c r="C1212" i="66" s="1"/>
  <c r="B1213" i="66"/>
  <c r="C1213" i="66" s="1"/>
  <c r="B1214" i="66"/>
  <c r="C1214" i="66" s="1"/>
  <c r="B1215" i="66"/>
  <c r="C1215" i="66" s="1"/>
  <c r="B1216" i="66"/>
  <c r="B1217" i="66"/>
  <c r="B1218" i="66"/>
  <c r="B1219" i="66"/>
  <c r="C1219" i="66" s="1"/>
  <c r="B1220" i="66"/>
  <c r="C1220" i="66" s="1"/>
  <c r="B1221" i="66"/>
  <c r="B1222" i="66"/>
  <c r="B1223" i="66"/>
  <c r="C1223" i="66" s="1"/>
  <c r="B1224" i="66"/>
  <c r="C1224" i="66" s="1"/>
  <c r="B1225" i="66"/>
  <c r="B1226" i="66"/>
  <c r="B1227" i="66"/>
  <c r="C1227" i="66" s="1"/>
  <c r="B1228" i="66"/>
  <c r="C1228" i="66" s="1"/>
  <c r="B1229" i="66"/>
  <c r="B1230" i="66"/>
  <c r="B1231" i="66"/>
  <c r="B1232" i="66"/>
  <c r="B1233" i="66"/>
  <c r="B1234" i="66"/>
  <c r="C1234" i="66" s="1"/>
  <c r="B1235" i="66"/>
  <c r="C1235" i="66" s="1"/>
  <c r="B1236" i="66"/>
  <c r="B1237" i="66"/>
  <c r="B1238" i="66"/>
  <c r="B1239" i="66"/>
  <c r="C1239" i="66" s="1"/>
  <c r="B1240" i="66"/>
  <c r="C1240" i="66" s="1"/>
  <c r="B1241" i="66"/>
  <c r="B1242" i="66"/>
  <c r="B1243" i="66"/>
  <c r="B1244" i="66"/>
  <c r="C1244" i="66" s="1"/>
  <c r="B1245" i="66"/>
  <c r="C1245" i="66" s="1"/>
  <c r="B1246" i="66"/>
  <c r="B1247" i="66"/>
  <c r="B1248" i="66"/>
  <c r="C1248" i="66" s="1"/>
  <c r="B1249" i="66"/>
  <c r="B1250" i="66"/>
  <c r="B1251" i="66"/>
  <c r="B1252" i="66"/>
  <c r="B1253" i="66"/>
  <c r="B1254" i="66"/>
  <c r="B1255" i="66"/>
  <c r="B1256" i="66"/>
  <c r="B1257" i="66"/>
  <c r="B1258" i="66"/>
  <c r="B1259" i="66"/>
  <c r="B1260" i="66"/>
  <c r="B1261" i="66"/>
  <c r="B1262" i="66"/>
  <c r="B1263" i="66"/>
  <c r="B1264" i="66"/>
  <c r="B1265" i="66"/>
  <c r="B1266" i="66"/>
  <c r="C1266" i="66" s="1"/>
  <c r="B1267" i="66"/>
  <c r="C1267" i="66" s="1"/>
  <c r="B1268" i="66"/>
  <c r="C1268" i="66" s="1"/>
  <c r="B1269" i="66"/>
  <c r="C1269" i="66" s="1"/>
  <c r="B1270" i="66"/>
  <c r="C1270" i="66" s="1"/>
  <c r="B1271" i="66"/>
  <c r="C1271" i="66" s="1"/>
  <c r="B1272" i="66"/>
  <c r="B1273" i="66"/>
  <c r="B1274" i="66"/>
  <c r="B1275" i="66"/>
  <c r="B1276" i="66"/>
  <c r="B1277" i="66"/>
  <c r="B1278" i="66"/>
  <c r="B1279" i="66"/>
  <c r="B1280" i="66"/>
  <c r="B1281" i="66"/>
  <c r="B1282" i="66"/>
  <c r="B1283" i="66"/>
  <c r="C1283" i="66" s="1"/>
  <c r="B1284" i="66"/>
  <c r="C1284" i="66" s="1"/>
  <c r="B1285" i="66"/>
  <c r="C1285" i="66" s="1"/>
  <c r="B1286" i="66"/>
  <c r="C1286" i="66" s="1"/>
  <c r="B1287" i="66"/>
  <c r="C1287" i="66" s="1"/>
  <c r="B1288" i="66"/>
  <c r="C1288" i="66" s="1"/>
  <c r="B1289" i="66"/>
  <c r="C1289" i="66" s="1"/>
  <c r="B1290" i="66"/>
  <c r="B1291" i="66"/>
  <c r="B1292" i="66"/>
  <c r="B1293" i="66"/>
  <c r="C1293" i="66" s="1"/>
  <c r="B1294" i="66"/>
  <c r="C1294" i="66" s="1"/>
  <c r="B1295" i="66"/>
  <c r="C1295" i="66" s="1"/>
  <c r="B1296" i="66"/>
  <c r="C1296" i="66" s="1"/>
  <c r="B1297" i="66"/>
  <c r="C1297" i="66" s="1"/>
  <c r="B1298" i="66"/>
  <c r="B1299" i="66"/>
  <c r="C1299" i="66" s="1"/>
  <c r="B1300" i="66"/>
  <c r="C1300" i="66" s="1"/>
  <c r="B1301" i="66"/>
  <c r="C1301" i="66" s="1"/>
  <c r="B1302" i="66"/>
  <c r="C1302" i="66" s="1"/>
  <c r="B1303" i="66"/>
  <c r="C1303" i="66" s="1"/>
  <c r="B1304" i="66"/>
  <c r="B1305" i="66"/>
  <c r="B1306" i="66"/>
  <c r="C1306" i="66" s="1"/>
  <c r="B1307" i="66"/>
  <c r="C1307" i="66" s="1"/>
  <c r="B1308" i="66"/>
  <c r="C1308" i="66" s="1"/>
  <c r="B1309" i="66"/>
  <c r="C1309" i="66" s="1"/>
  <c r="B1310" i="66"/>
  <c r="C1310" i="66" s="1"/>
  <c r="B1311" i="66"/>
  <c r="C1311" i="66" s="1"/>
  <c r="B1312" i="66"/>
  <c r="C1312" i="66" s="1"/>
  <c r="B1313" i="66"/>
  <c r="C1313" i="66" s="1"/>
  <c r="B1314" i="66"/>
  <c r="C1314" i="66" s="1"/>
  <c r="B1315" i="66"/>
  <c r="B1316" i="66"/>
  <c r="B1317" i="66"/>
  <c r="B1318" i="66"/>
  <c r="B1319" i="66"/>
  <c r="B1320" i="66"/>
  <c r="B1321" i="66"/>
  <c r="B1322" i="66"/>
  <c r="B1323" i="66"/>
  <c r="B1324" i="66"/>
  <c r="C1324" i="66" s="1"/>
  <c r="B1325" i="66"/>
  <c r="B1326" i="66"/>
  <c r="B1327" i="66"/>
  <c r="C1327" i="66" s="1"/>
  <c r="B1328" i="66"/>
  <c r="C1328" i="66" s="1"/>
  <c r="B1329" i="66"/>
  <c r="C1329" i="66" s="1"/>
  <c r="B1330" i="66"/>
  <c r="C1330" i="66" s="1"/>
  <c r="B1331" i="66"/>
  <c r="C1331" i="66" s="1"/>
  <c r="B1332" i="66"/>
  <c r="C1332" i="66" s="1"/>
  <c r="B1333" i="66"/>
  <c r="B1334" i="66"/>
  <c r="B1335" i="66"/>
  <c r="B1336" i="66"/>
  <c r="B1337" i="66"/>
  <c r="B1338" i="66"/>
  <c r="B1339" i="66"/>
  <c r="B1340" i="66"/>
  <c r="B1341" i="66"/>
  <c r="C1341" i="66" s="1"/>
  <c r="B1342" i="66"/>
  <c r="C1342" i="66" s="1"/>
  <c r="B1343" i="66"/>
  <c r="C1343" i="66" s="1"/>
  <c r="B1344" i="66"/>
  <c r="C1344" i="66" s="1"/>
  <c r="B1345" i="66"/>
  <c r="B1346" i="66"/>
  <c r="B1347" i="66"/>
  <c r="C1347" i="66" s="1"/>
  <c r="B1348" i="66"/>
  <c r="C1348" i="66" s="1"/>
  <c r="B1349" i="66"/>
  <c r="C1349" i="66" s="1"/>
  <c r="B1350" i="66"/>
  <c r="C1350" i="66" s="1"/>
  <c r="B1351" i="66"/>
  <c r="C1351" i="66" s="1"/>
  <c r="B1352" i="66"/>
  <c r="C1352" i="66" s="1"/>
  <c r="B1353" i="66"/>
  <c r="C1353" i="66" s="1"/>
  <c r="B1354" i="66"/>
  <c r="C1354" i="66" s="1"/>
  <c r="B1355" i="66"/>
  <c r="C1355" i="66" s="1"/>
  <c r="B1356" i="66"/>
  <c r="C1356" i="66" s="1"/>
  <c r="B1357" i="66"/>
  <c r="C1357" i="66" s="1"/>
  <c r="B1358" i="66"/>
  <c r="C1358" i="66" s="1"/>
  <c r="B1359" i="66"/>
  <c r="C1359" i="66" s="1"/>
  <c r="B1360" i="66"/>
  <c r="C1360" i="66" s="1"/>
  <c r="B1361" i="66"/>
  <c r="B1362" i="66"/>
  <c r="B1363" i="66"/>
  <c r="C1363" i="66" s="1"/>
  <c r="B1364" i="66"/>
  <c r="C1364" i="66" s="1"/>
  <c r="B1365" i="66"/>
  <c r="C1365" i="66" s="1"/>
  <c r="B1366" i="66"/>
  <c r="C1366" i="66" s="1"/>
  <c r="B1367" i="66"/>
  <c r="B1368" i="66"/>
  <c r="B1369" i="66"/>
  <c r="B1370" i="66"/>
  <c r="B1371" i="66"/>
  <c r="C1371" i="66" s="1"/>
  <c r="B1372" i="66"/>
  <c r="C1372" i="66" s="1"/>
  <c r="B1373" i="66"/>
  <c r="C1373" i="66" s="1"/>
  <c r="B1374" i="66"/>
  <c r="C1374" i="66" s="1"/>
  <c r="B1375" i="66"/>
  <c r="C1375" i="66" s="1"/>
  <c r="B1376" i="66"/>
  <c r="C1376" i="66" s="1"/>
  <c r="B1377" i="66"/>
  <c r="C1377" i="66" s="1"/>
  <c r="B1378" i="66"/>
  <c r="B1379" i="66"/>
  <c r="B1380" i="66"/>
  <c r="B1381" i="66"/>
  <c r="B1382" i="66"/>
  <c r="C1382" i="66" s="1"/>
  <c r="B1383" i="66"/>
  <c r="C1383" i="66" s="1"/>
  <c r="B1384" i="66"/>
  <c r="C1384" i="66" s="1"/>
  <c r="B1385" i="66"/>
  <c r="C1385" i="66" s="1"/>
  <c r="B1386" i="66"/>
  <c r="B1387" i="66"/>
  <c r="B1388" i="66"/>
  <c r="B1389" i="66"/>
  <c r="B1390" i="66"/>
  <c r="B1391" i="66"/>
  <c r="B1392" i="66"/>
  <c r="C1392" i="66" s="1"/>
  <c r="B1393" i="66"/>
  <c r="C1393" i="66" s="1"/>
  <c r="B771" i="66"/>
  <c r="C771" i="66" s="1"/>
  <c r="B263" i="66"/>
  <c r="C263" i="66" s="1"/>
  <c r="B264" i="66"/>
  <c r="C264" i="66" s="1"/>
  <c r="B265" i="66"/>
  <c r="C265" i="66" s="1"/>
  <c r="B266" i="66"/>
  <c r="B267" i="66"/>
  <c r="B268" i="66"/>
  <c r="B269" i="66"/>
  <c r="B270" i="66"/>
  <c r="C270" i="66" s="1"/>
  <c r="B271" i="66"/>
  <c r="C271" i="66" s="1"/>
  <c r="B272" i="66"/>
  <c r="C272" i="66" s="1"/>
  <c r="B273" i="66"/>
  <c r="C273" i="66" s="1"/>
  <c r="B274" i="66"/>
  <c r="C274" i="66" s="1"/>
  <c r="B275" i="66"/>
  <c r="C275" i="66" s="1"/>
  <c r="B276" i="66"/>
  <c r="C276" i="66" s="1"/>
  <c r="B277" i="66"/>
  <c r="C277" i="66" s="1"/>
  <c r="B278" i="66"/>
  <c r="C278" i="66" s="1"/>
  <c r="B279" i="66"/>
  <c r="C279" i="66" s="1"/>
  <c r="B280" i="66"/>
  <c r="B281" i="66"/>
  <c r="B282" i="66"/>
  <c r="B283" i="66"/>
  <c r="B284" i="66"/>
  <c r="B285" i="66"/>
  <c r="B286" i="66"/>
  <c r="B287" i="66"/>
  <c r="B288" i="66"/>
  <c r="B289" i="66"/>
  <c r="B290" i="66"/>
  <c r="B291" i="66"/>
  <c r="B292" i="66"/>
  <c r="C292" i="66" s="1"/>
  <c r="B293" i="66"/>
  <c r="C293" i="66" s="1"/>
  <c r="B294" i="66"/>
  <c r="C294" i="66" s="1"/>
  <c r="B295" i="66"/>
  <c r="C295" i="66" s="1"/>
  <c r="B296" i="66"/>
  <c r="C296" i="66" s="1"/>
  <c r="B297" i="66"/>
  <c r="B298" i="66"/>
  <c r="B299" i="66"/>
  <c r="B300" i="66"/>
  <c r="B301" i="66"/>
  <c r="B302" i="66"/>
  <c r="B303" i="66"/>
  <c r="B304" i="66"/>
  <c r="B305" i="66"/>
  <c r="B306" i="66"/>
  <c r="B307" i="66"/>
  <c r="B308" i="66"/>
  <c r="B309" i="66"/>
  <c r="B310" i="66"/>
  <c r="B311" i="66"/>
  <c r="C311" i="66" s="1"/>
  <c r="B312" i="66"/>
  <c r="C312" i="66" s="1"/>
  <c r="B313" i="66"/>
  <c r="B314" i="66"/>
  <c r="B315" i="66"/>
  <c r="C315" i="66" s="1"/>
  <c r="B316" i="66"/>
  <c r="C316" i="66" s="1"/>
  <c r="B317" i="66"/>
  <c r="C317" i="66" s="1"/>
  <c r="B318" i="66"/>
  <c r="C318" i="66" s="1"/>
  <c r="B319" i="66"/>
  <c r="C319" i="66" s="1"/>
  <c r="B320" i="66"/>
  <c r="C320" i="66" s="1"/>
  <c r="B321" i="66"/>
  <c r="C321" i="66" s="1"/>
  <c r="B322" i="66"/>
  <c r="C322" i="66" s="1"/>
  <c r="B323" i="66"/>
  <c r="C323" i="66" s="1"/>
  <c r="B324" i="66"/>
  <c r="C324" i="66" s="1"/>
  <c r="B325" i="66"/>
  <c r="C325" i="66" s="1"/>
  <c r="B326" i="66"/>
  <c r="C326" i="66" s="1"/>
  <c r="B327" i="66"/>
  <c r="C327" i="66" s="1"/>
  <c r="B328" i="66"/>
  <c r="C328" i="66" s="1"/>
  <c r="B329" i="66"/>
  <c r="C329" i="66" s="1"/>
  <c r="B330" i="66"/>
  <c r="C330" i="66" s="1"/>
  <c r="B331" i="66"/>
  <c r="B332" i="66"/>
  <c r="B333" i="66"/>
  <c r="B334" i="66"/>
  <c r="B335" i="66"/>
  <c r="B336" i="66"/>
  <c r="C336" i="66" s="1"/>
  <c r="B337" i="66"/>
  <c r="C337" i="66" s="1"/>
  <c r="B338" i="66"/>
  <c r="C338" i="66" s="1"/>
  <c r="B339" i="66"/>
  <c r="B340" i="66"/>
  <c r="B341" i="66"/>
  <c r="B342" i="66"/>
  <c r="C342" i="66" s="1"/>
  <c r="B343" i="66"/>
  <c r="C343" i="66" s="1"/>
  <c r="B344" i="66"/>
  <c r="C344" i="66" s="1"/>
  <c r="B345" i="66"/>
  <c r="C345" i="66" s="1"/>
  <c r="B346" i="66"/>
  <c r="C346" i="66" s="1"/>
  <c r="B347" i="66"/>
  <c r="C347" i="66" s="1"/>
  <c r="B348" i="66"/>
  <c r="B349" i="66"/>
  <c r="B350" i="66"/>
  <c r="B351" i="66"/>
  <c r="B352" i="66"/>
  <c r="B353" i="66"/>
  <c r="B354" i="66"/>
  <c r="B355" i="66"/>
  <c r="B356" i="66"/>
  <c r="B357" i="66"/>
  <c r="C357" i="66" s="1"/>
  <c r="B358" i="66"/>
  <c r="C358" i="66" s="1"/>
  <c r="B359" i="66"/>
  <c r="B360" i="66"/>
  <c r="B361" i="66"/>
  <c r="B362" i="66"/>
  <c r="B363" i="66"/>
  <c r="B364" i="66"/>
  <c r="B365" i="66"/>
  <c r="B366" i="66"/>
  <c r="B367" i="66"/>
  <c r="B368" i="66"/>
  <c r="C368" i="66" s="1"/>
  <c r="B369" i="66"/>
  <c r="C369" i="66" s="1"/>
  <c r="B370" i="66"/>
  <c r="C370" i="66" s="1"/>
  <c r="B371" i="66"/>
  <c r="B372" i="66"/>
  <c r="B373" i="66"/>
  <c r="B374" i="66"/>
  <c r="B375" i="66"/>
  <c r="B376" i="66"/>
  <c r="B377" i="66"/>
  <c r="B378" i="66"/>
  <c r="B379" i="66"/>
  <c r="C379" i="66" s="1"/>
  <c r="B380" i="66"/>
  <c r="C380" i="66" s="1"/>
  <c r="B381" i="66"/>
  <c r="C381" i="66" s="1"/>
  <c r="B382" i="66"/>
  <c r="C382" i="66" s="1"/>
  <c r="B383" i="66"/>
  <c r="C383" i="66" s="1"/>
  <c r="B384" i="66"/>
  <c r="C384" i="66" s="1"/>
  <c r="B385" i="66"/>
  <c r="B386" i="66"/>
  <c r="B387" i="66"/>
  <c r="C387" i="66" s="1"/>
  <c r="B388" i="66"/>
  <c r="C388" i="66" s="1"/>
  <c r="B389" i="66"/>
  <c r="C389" i="66" s="1"/>
  <c r="B390" i="66"/>
  <c r="C390" i="66" s="1"/>
  <c r="B391" i="66"/>
  <c r="C391" i="66" s="1"/>
  <c r="B392" i="66"/>
  <c r="C392" i="66" s="1"/>
  <c r="B393" i="66"/>
  <c r="C393" i="66" s="1"/>
  <c r="B394" i="66"/>
  <c r="C394" i="66" s="1"/>
  <c r="B395" i="66"/>
  <c r="C395" i="66" s="1"/>
  <c r="B396" i="66"/>
  <c r="C396" i="66" s="1"/>
  <c r="B397" i="66"/>
  <c r="C397" i="66" s="1"/>
  <c r="B398" i="66"/>
  <c r="C398" i="66" s="1"/>
  <c r="B399" i="66"/>
  <c r="B400" i="66"/>
  <c r="B401" i="66"/>
  <c r="B402" i="66"/>
  <c r="B403" i="66"/>
  <c r="B404" i="66"/>
  <c r="B405" i="66"/>
  <c r="C405" i="66" s="1"/>
  <c r="B406" i="66"/>
  <c r="B407" i="66"/>
  <c r="B408" i="66"/>
  <c r="B409" i="66"/>
  <c r="B410" i="66"/>
  <c r="B411" i="66"/>
  <c r="B412" i="66"/>
  <c r="B413" i="66"/>
  <c r="B414" i="66"/>
  <c r="B415" i="66"/>
  <c r="B416" i="66"/>
  <c r="C416" i="66" s="1"/>
  <c r="B417" i="66"/>
  <c r="C417" i="66" s="1"/>
  <c r="B418" i="66"/>
  <c r="C418" i="66" s="1"/>
  <c r="B419" i="66"/>
  <c r="C419" i="66" s="1"/>
  <c r="B420" i="66"/>
  <c r="C420" i="66" s="1"/>
  <c r="B421" i="66"/>
  <c r="C421" i="66" s="1"/>
  <c r="B422" i="66"/>
  <c r="C422" i="66" s="1"/>
  <c r="B423" i="66"/>
  <c r="C423" i="66" s="1"/>
  <c r="B424" i="66"/>
  <c r="C424" i="66" s="1"/>
  <c r="B425" i="66"/>
  <c r="C425" i="66" s="1"/>
  <c r="B426" i="66"/>
  <c r="C426" i="66" s="1"/>
  <c r="B427" i="66"/>
  <c r="C427" i="66" s="1"/>
  <c r="B428" i="66"/>
  <c r="C428" i="66" s="1"/>
  <c r="B429" i="66"/>
  <c r="C429" i="66" s="1"/>
  <c r="B430" i="66"/>
  <c r="C430" i="66" s="1"/>
  <c r="B431" i="66"/>
  <c r="C431" i="66" s="1"/>
  <c r="B432" i="66"/>
  <c r="C432" i="66" s="1"/>
  <c r="B433" i="66"/>
  <c r="C433" i="66" s="1"/>
  <c r="B434" i="66"/>
  <c r="C434" i="66" s="1"/>
  <c r="B435" i="66"/>
  <c r="C435" i="66" s="1"/>
  <c r="B436" i="66"/>
  <c r="C436" i="66" s="1"/>
  <c r="B437" i="66"/>
  <c r="C437" i="66" s="1"/>
  <c r="B438" i="66"/>
  <c r="C438" i="66" s="1"/>
  <c r="B439" i="66"/>
  <c r="C439" i="66" s="1"/>
  <c r="B440" i="66"/>
  <c r="C440" i="66" s="1"/>
  <c r="B441" i="66"/>
  <c r="C441" i="66" s="1"/>
  <c r="B442" i="66"/>
  <c r="C442" i="66" s="1"/>
  <c r="B443" i="66"/>
  <c r="C443" i="66" s="1"/>
  <c r="B444" i="66"/>
  <c r="C444" i="66" s="1"/>
  <c r="B445" i="66"/>
  <c r="C445" i="66" s="1"/>
  <c r="B446" i="66"/>
  <c r="C446" i="66" s="1"/>
  <c r="B447" i="66"/>
  <c r="C447" i="66" s="1"/>
  <c r="B448" i="66"/>
  <c r="C448" i="66" s="1"/>
  <c r="B449" i="66"/>
  <c r="B450" i="66"/>
  <c r="B451" i="66"/>
  <c r="B452" i="66"/>
  <c r="B453" i="66"/>
  <c r="B454" i="66"/>
  <c r="B455" i="66"/>
  <c r="C455" i="66" s="1"/>
  <c r="B456" i="66"/>
  <c r="C456" i="66" s="1"/>
  <c r="B457" i="66"/>
  <c r="C457" i="66" s="1"/>
  <c r="B458" i="66"/>
  <c r="C458" i="66" s="1"/>
  <c r="B459" i="66"/>
  <c r="C459" i="66" s="1"/>
  <c r="B460" i="66"/>
  <c r="C460" i="66" s="1"/>
  <c r="B461" i="66"/>
  <c r="C461" i="66" s="1"/>
  <c r="B462" i="66"/>
  <c r="B463" i="66"/>
  <c r="B464" i="66"/>
  <c r="B465" i="66"/>
  <c r="B466" i="66"/>
  <c r="C466" i="66" s="1"/>
  <c r="B467" i="66"/>
  <c r="B468" i="66"/>
  <c r="B469" i="66"/>
  <c r="B470" i="66"/>
  <c r="B471" i="66"/>
  <c r="B472" i="66"/>
  <c r="B473" i="66"/>
  <c r="C473" i="66" s="1"/>
  <c r="B474" i="66"/>
  <c r="C474" i="66" s="1"/>
  <c r="B475" i="66"/>
  <c r="C475" i="66" s="1"/>
  <c r="B476" i="66"/>
  <c r="C476" i="66" s="1"/>
  <c r="B477" i="66"/>
  <c r="B478" i="66"/>
  <c r="B479" i="66"/>
  <c r="B480" i="66"/>
  <c r="B481" i="66"/>
  <c r="C481" i="66" s="1"/>
  <c r="B482" i="66"/>
  <c r="C482" i="66" s="1"/>
  <c r="B483" i="66"/>
  <c r="C483" i="66" s="1"/>
  <c r="B484" i="66"/>
  <c r="C484" i="66" s="1"/>
  <c r="B485" i="66"/>
  <c r="C485" i="66" s="1"/>
  <c r="B486" i="66"/>
  <c r="C486" i="66" s="1"/>
  <c r="B487" i="66"/>
  <c r="B488" i="66"/>
  <c r="B489" i="66"/>
  <c r="B490" i="66"/>
  <c r="B491" i="66"/>
  <c r="B492" i="66"/>
  <c r="B493" i="66"/>
  <c r="B494" i="66"/>
  <c r="B495" i="66"/>
  <c r="B496" i="66"/>
  <c r="B497" i="66"/>
  <c r="B498" i="66"/>
  <c r="B499" i="66"/>
  <c r="C499" i="66" s="1"/>
  <c r="B500" i="66"/>
  <c r="C500" i="66" s="1"/>
  <c r="B501" i="66"/>
  <c r="C501" i="66" s="1"/>
  <c r="B502" i="66"/>
  <c r="B503" i="66"/>
  <c r="B504" i="66"/>
  <c r="C504" i="66" s="1"/>
  <c r="B505" i="66"/>
  <c r="C505" i="66" s="1"/>
  <c r="B506" i="66"/>
  <c r="C506" i="66" s="1"/>
  <c r="B507" i="66"/>
  <c r="C507" i="66" s="1"/>
  <c r="B508" i="66"/>
  <c r="B509" i="66"/>
  <c r="B510" i="66"/>
  <c r="B511" i="66"/>
  <c r="C511" i="66" s="1"/>
  <c r="B512" i="66"/>
  <c r="C512" i="66" s="1"/>
  <c r="B513" i="66"/>
  <c r="C513" i="66" s="1"/>
  <c r="B514" i="66"/>
  <c r="C514" i="66" s="1"/>
  <c r="B515" i="66"/>
  <c r="B516" i="66"/>
  <c r="B517" i="66"/>
  <c r="C517" i="66" s="1"/>
  <c r="B518" i="66"/>
  <c r="C518" i="66" s="1"/>
  <c r="B519" i="66"/>
  <c r="B520" i="66"/>
  <c r="B521" i="66"/>
  <c r="C521" i="66" s="1"/>
  <c r="B522" i="66"/>
  <c r="C522" i="66" s="1"/>
  <c r="B523" i="66"/>
  <c r="C523" i="66" s="1"/>
  <c r="B524" i="66"/>
  <c r="C524" i="66" s="1"/>
  <c r="B525" i="66"/>
  <c r="C525" i="66" s="1"/>
  <c r="B526" i="66"/>
  <c r="C526" i="66" s="1"/>
  <c r="B527" i="66"/>
  <c r="C527" i="66" s="1"/>
  <c r="B528" i="66"/>
  <c r="C528" i="66" s="1"/>
  <c r="B529" i="66"/>
  <c r="C529" i="66" s="1"/>
  <c r="B530" i="66"/>
  <c r="C530" i="66" s="1"/>
  <c r="B531" i="66"/>
  <c r="B532" i="66"/>
  <c r="B533" i="66"/>
  <c r="B534" i="66"/>
  <c r="B535" i="66"/>
  <c r="B536" i="66"/>
  <c r="B537" i="66"/>
  <c r="C537" i="66" s="1"/>
  <c r="B538" i="66"/>
  <c r="C538" i="66" s="1"/>
  <c r="B539" i="66"/>
  <c r="C539" i="66" s="1"/>
  <c r="B540" i="66"/>
  <c r="C540" i="66" s="1"/>
  <c r="B541" i="66"/>
  <c r="C541" i="66" s="1"/>
  <c r="B542" i="66"/>
  <c r="C542" i="66" s="1"/>
  <c r="B543" i="66"/>
  <c r="C543" i="66" s="1"/>
  <c r="B544" i="66"/>
  <c r="C544" i="66" s="1"/>
  <c r="B545" i="66"/>
  <c r="C545" i="66" s="1"/>
  <c r="B546" i="66"/>
  <c r="B547" i="66"/>
  <c r="B548" i="66"/>
  <c r="C548" i="66" s="1"/>
  <c r="B549" i="66"/>
  <c r="C549" i="66" s="1"/>
  <c r="B550" i="66"/>
  <c r="C550" i="66" s="1"/>
  <c r="B551" i="66"/>
  <c r="C551" i="66" s="1"/>
  <c r="B552" i="66"/>
  <c r="C552" i="66" s="1"/>
  <c r="B553" i="66"/>
  <c r="C553" i="66" s="1"/>
  <c r="B554" i="66"/>
  <c r="C554" i="66" s="1"/>
  <c r="B555" i="66"/>
  <c r="B556" i="66"/>
  <c r="B557" i="66"/>
  <c r="C557" i="66" s="1"/>
  <c r="B558" i="66"/>
  <c r="C558" i="66" s="1"/>
  <c r="B559" i="66"/>
  <c r="C559" i="66" s="1"/>
  <c r="B560" i="66"/>
  <c r="C560" i="66" s="1"/>
  <c r="B561" i="66"/>
  <c r="C561" i="66" s="1"/>
  <c r="B562" i="66"/>
  <c r="C562" i="66" s="1"/>
  <c r="B563" i="66"/>
  <c r="C563" i="66" s="1"/>
  <c r="B564" i="66"/>
  <c r="C564" i="66" s="1"/>
  <c r="B565" i="66"/>
  <c r="C565" i="66" s="1"/>
  <c r="B566" i="66"/>
  <c r="C566" i="66" s="1"/>
  <c r="B567" i="66"/>
  <c r="C567" i="66" s="1"/>
  <c r="B568" i="66"/>
  <c r="C568" i="66" s="1"/>
  <c r="B569" i="66"/>
  <c r="C569" i="66" s="1"/>
  <c r="B570" i="66"/>
  <c r="C570" i="66" s="1"/>
  <c r="B571" i="66"/>
  <c r="B572" i="66"/>
  <c r="C572" i="66" s="1"/>
  <c r="B573" i="66"/>
  <c r="C573" i="66" s="1"/>
  <c r="B574" i="66"/>
  <c r="C574" i="66" s="1"/>
  <c r="B575" i="66"/>
  <c r="C575" i="66" s="1"/>
  <c r="B576" i="66"/>
  <c r="C576" i="66" s="1"/>
  <c r="B577" i="66"/>
  <c r="C577" i="66" s="1"/>
  <c r="B578" i="66"/>
  <c r="C578" i="66" s="1"/>
  <c r="B579" i="66"/>
  <c r="C579" i="66" s="1"/>
  <c r="B580" i="66"/>
  <c r="C580" i="66" s="1"/>
  <c r="B581" i="66"/>
  <c r="C581" i="66" s="1"/>
  <c r="B582" i="66"/>
  <c r="C582" i="66" s="1"/>
  <c r="B583" i="66"/>
  <c r="C583" i="66" s="1"/>
  <c r="B584" i="66"/>
  <c r="C584" i="66" s="1"/>
  <c r="B585" i="66"/>
  <c r="C585" i="66" s="1"/>
  <c r="B586" i="66"/>
  <c r="C586" i="66" s="1"/>
  <c r="B587" i="66"/>
  <c r="C587" i="66" s="1"/>
  <c r="B588" i="66"/>
  <c r="B589" i="66"/>
  <c r="B590" i="66"/>
  <c r="C590" i="66" s="1"/>
  <c r="B591" i="66"/>
  <c r="C591" i="66" s="1"/>
  <c r="B592" i="66"/>
  <c r="C592" i="66" s="1"/>
  <c r="B593" i="66"/>
  <c r="C593" i="66" s="1"/>
  <c r="B594" i="66"/>
  <c r="C594" i="66" s="1"/>
  <c r="B595" i="66"/>
  <c r="C595" i="66" s="1"/>
  <c r="B596" i="66"/>
  <c r="C596" i="66" s="1"/>
  <c r="B597" i="66"/>
  <c r="C597" i="66" s="1"/>
  <c r="B598" i="66"/>
  <c r="C598" i="66" s="1"/>
  <c r="B599" i="66"/>
  <c r="C599" i="66" s="1"/>
  <c r="B600" i="66"/>
  <c r="C600" i="66" s="1"/>
  <c r="B601" i="66"/>
  <c r="C601" i="66" s="1"/>
  <c r="B602" i="66"/>
  <c r="C602" i="66" s="1"/>
  <c r="B603" i="66"/>
  <c r="C603" i="66" s="1"/>
  <c r="B604" i="66"/>
  <c r="C604" i="66" s="1"/>
  <c r="B605" i="66"/>
  <c r="B606" i="66"/>
  <c r="B607" i="66"/>
  <c r="B608" i="66"/>
  <c r="B609" i="66"/>
  <c r="C609" i="66" s="1"/>
  <c r="B610" i="66"/>
  <c r="C610" i="66" s="1"/>
  <c r="B611" i="66"/>
  <c r="C611" i="66" s="1"/>
  <c r="B612" i="66"/>
  <c r="B613" i="66"/>
  <c r="B614" i="66"/>
  <c r="C614" i="66" s="1"/>
  <c r="B615" i="66"/>
  <c r="C615" i="66" s="1"/>
  <c r="B616" i="66"/>
  <c r="C616" i="66" s="1"/>
  <c r="B617" i="66"/>
  <c r="B618" i="66"/>
  <c r="B619" i="66"/>
  <c r="C619" i="66" s="1"/>
  <c r="B620" i="66"/>
  <c r="B621" i="66"/>
  <c r="B622" i="66"/>
  <c r="B623" i="66"/>
  <c r="C623" i="66" s="1"/>
  <c r="B624" i="66"/>
  <c r="C624" i="66" s="1"/>
  <c r="B625" i="66"/>
  <c r="C625" i="66" s="1"/>
  <c r="B626" i="66"/>
  <c r="C626" i="66" s="1"/>
  <c r="B627" i="66"/>
  <c r="C627" i="66" s="1"/>
  <c r="B628" i="66"/>
  <c r="C628" i="66" s="1"/>
  <c r="B629" i="66"/>
  <c r="B630" i="66"/>
  <c r="B631" i="66"/>
  <c r="C631" i="66" s="1"/>
  <c r="B632" i="66"/>
  <c r="C632" i="66" s="1"/>
  <c r="B633" i="66"/>
  <c r="C633" i="66" s="1"/>
  <c r="B634" i="66"/>
  <c r="C634" i="66" s="1"/>
  <c r="B635" i="66"/>
  <c r="C635" i="66" s="1"/>
  <c r="B636" i="66"/>
  <c r="C636" i="66" s="1"/>
  <c r="B637" i="66"/>
  <c r="C637" i="66" s="1"/>
  <c r="B638" i="66"/>
  <c r="C638" i="66" s="1"/>
  <c r="B639" i="66"/>
  <c r="C639" i="66" s="1"/>
  <c r="B640" i="66"/>
  <c r="C640" i="66" s="1"/>
  <c r="B641" i="66"/>
  <c r="C641" i="66" s="1"/>
  <c r="B642" i="66"/>
  <c r="C642" i="66" s="1"/>
  <c r="B643" i="66"/>
  <c r="B644" i="66"/>
  <c r="B645" i="66"/>
  <c r="C645" i="66" s="1"/>
  <c r="B646" i="66"/>
  <c r="C646" i="66" s="1"/>
  <c r="B647" i="66"/>
  <c r="C647" i="66" s="1"/>
  <c r="B648" i="66"/>
  <c r="C648" i="66" s="1"/>
  <c r="B649" i="66"/>
  <c r="C649" i="66" s="1"/>
  <c r="B650" i="66"/>
  <c r="C650" i="66" s="1"/>
  <c r="B651" i="66"/>
  <c r="C651" i="66" s="1"/>
  <c r="B652" i="66"/>
  <c r="C652" i="66" s="1"/>
  <c r="B653" i="66"/>
  <c r="C653" i="66" s="1"/>
  <c r="B654" i="66"/>
  <c r="C654" i="66" s="1"/>
  <c r="B655" i="66"/>
  <c r="C655" i="66" s="1"/>
  <c r="B656" i="66"/>
  <c r="C656" i="66" s="1"/>
  <c r="B657" i="66"/>
  <c r="C657" i="66" s="1"/>
  <c r="B658" i="66"/>
  <c r="C658" i="66" s="1"/>
  <c r="B659" i="66"/>
  <c r="C659" i="66" s="1"/>
  <c r="B660" i="66"/>
  <c r="C660" i="66" s="1"/>
  <c r="B661" i="66"/>
  <c r="C661" i="66" s="1"/>
  <c r="B662" i="66"/>
  <c r="C662" i="66" s="1"/>
  <c r="B663" i="66"/>
  <c r="C663" i="66" s="1"/>
  <c r="B664" i="66"/>
  <c r="C664" i="66" s="1"/>
  <c r="B665" i="66"/>
  <c r="C665" i="66" s="1"/>
  <c r="B666" i="66"/>
  <c r="C666" i="66" s="1"/>
  <c r="B667" i="66"/>
  <c r="B668" i="66"/>
  <c r="B669" i="66"/>
  <c r="B670" i="66"/>
  <c r="C670" i="66" s="1"/>
  <c r="B671" i="66"/>
  <c r="C671" i="66" s="1"/>
  <c r="B672" i="66"/>
  <c r="C672" i="66" s="1"/>
  <c r="B673" i="66"/>
  <c r="C673" i="66" s="1"/>
  <c r="B674" i="66"/>
  <c r="C674" i="66" s="1"/>
  <c r="B675" i="66"/>
  <c r="C675" i="66" s="1"/>
  <c r="B676" i="66"/>
  <c r="C676" i="66" s="1"/>
  <c r="B677" i="66"/>
  <c r="C677" i="66" s="1"/>
  <c r="B678" i="66"/>
  <c r="C678" i="66" s="1"/>
  <c r="B679" i="66"/>
  <c r="C679" i="66" s="1"/>
  <c r="B680" i="66"/>
  <c r="C680" i="66" s="1"/>
  <c r="B681" i="66"/>
  <c r="B682" i="66"/>
  <c r="B683" i="66"/>
  <c r="B684" i="66"/>
  <c r="B685" i="66"/>
  <c r="B686" i="66"/>
  <c r="B687" i="66"/>
  <c r="B688" i="66"/>
  <c r="B689" i="66"/>
  <c r="C689" i="66" s="1"/>
  <c r="B690" i="66"/>
  <c r="C690" i="66" s="1"/>
  <c r="B691" i="66"/>
  <c r="C691" i="66" s="1"/>
  <c r="B692" i="66"/>
  <c r="C692" i="66" s="1"/>
  <c r="B693" i="66"/>
  <c r="C693" i="66" s="1"/>
  <c r="B694" i="66"/>
  <c r="C694" i="66" s="1"/>
  <c r="B695" i="66"/>
  <c r="C695" i="66" s="1"/>
  <c r="B696" i="66"/>
  <c r="C696" i="66" s="1"/>
  <c r="B697" i="66"/>
  <c r="C697" i="66" s="1"/>
  <c r="B698" i="66"/>
  <c r="C698" i="66" s="1"/>
  <c r="B699" i="66"/>
  <c r="C699" i="66" s="1"/>
  <c r="B700" i="66"/>
  <c r="C700" i="66" s="1"/>
  <c r="B701" i="66"/>
  <c r="C701" i="66" s="1"/>
  <c r="B702" i="66"/>
  <c r="C702" i="66" s="1"/>
  <c r="B703" i="66"/>
  <c r="C703" i="66" s="1"/>
  <c r="B704" i="66"/>
  <c r="C704" i="66" s="1"/>
  <c r="B705" i="66"/>
  <c r="C705" i="66" s="1"/>
  <c r="B706" i="66"/>
  <c r="B707" i="66"/>
  <c r="B708" i="66"/>
  <c r="B709" i="66"/>
  <c r="B710" i="66"/>
  <c r="B711" i="66"/>
  <c r="C711" i="66" s="1"/>
  <c r="B712" i="66"/>
  <c r="C712" i="66" s="1"/>
  <c r="B713" i="66"/>
  <c r="C713" i="66" s="1"/>
  <c r="B714" i="66"/>
  <c r="B715" i="66"/>
  <c r="B716" i="66"/>
  <c r="B717" i="66"/>
  <c r="C717" i="66" s="1"/>
  <c r="B718" i="66"/>
  <c r="C718" i="66" s="1"/>
  <c r="B719" i="66"/>
  <c r="C719" i="66" s="1"/>
  <c r="B720" i="66"/>
  <c r="C720" i="66" s="1"/>
  <c r="B721" i="66"/>
  <c r="C721" i="66" s="1"/>
  <c r="B722" i="66"/>
  <c r="C722" i="66" s="1"/>
  <c r="B723" i="66"/>
  <c r="C723" i="66" s="1"/>
  <c r="B724" i="66"/>
  <c r="C724" i="66" s="1"/>
  <c r="B725" i="66"/>
  <c r="B726" i="66"/>
  <c r="B727" i="66"/>
  <c r="C727" i="66" s="1"/>
  <c r="B728" i="66"/>
  <c r="C728" i="66" s="1"/>
  <c r="B729" i="66"/>
  <c r="C729" i="66" s="1"/>
  <c r="B730" i="66"/>
  <c r="C730" i="66" s="1"/>
  <c r="B731" i="66"/>
  <c r="C731" i="66" s="1"/>
  <c r="B732" i="66"/>
  <c r="C732" i="66" s="1"/>
  <c r="B733" i="66"/>
  <c r="C733" i="66" s="1"/>
  <c r="B734" i="66"/>
  <c r="C734" i="66" s="1"/>
  <c r="B735" i="66"/>
  <c r="C735" i="66" s="1"/>
  <c r="B736" i="66"/>
  <c r="C736" i="66" s="1"/>
  <c r="B737" i="66"/>
  <c r="C737" i="66" s="1"/>
  <c r="B738" i="66"/>
  <c r="C738" i="66" s="1"/>
  <c r="B739" i="66"/>
  <c r="C739" i="66" s="1"/>
  <c r="B740" i="66"/>
  <c r="C740" i="66" s="1"/>
  <c r="B741" i="66"/>
  <c r="C741" i="66" s="1"/>
  <c r="B742" i="66"/>
  <c r="C742" i="66" s="1"/>
  <c r="B743" i="66"/>
  <c r="C743" i="66" s="1"/>
  <c r="B744" i="66"/>
  <c r="C744" i="66" s="1"/>
  <c r="B745" i="66"/>
  <c r="C745" i="66" s="1"/>
  <c r="B746" i="66"/>
  <c r="C746" i="66" s="1"/>
  <c r="B747" i="66"/>
  <c r="C747" i="66" s="1"/>
  <c r="B748" i="66"/>
  <c r="C748" i="66" s="1"/>
  <c r="B749" i="66"/>
  <c r="C749" i="66" s="1"/>
  <c r="B750" i="66"/>
  <c r="B751" i="66"/>
  <c r="B752" i="66"/>
  <c r="B753" i="66"/>
  <c r="B754" i="66"/>
  <c r="B755" i="66"/>
  <c r="B756" i="66"/>
  <c r="B757" i="66"/>
  <c r="B758" i="66"/>
  <c r="B759" i="66"/>
  <c r="B760" i="66"/>
  <c r="B761" i="66"/>
  <c r="B762" i="66"/>
  <c r="B763" i="66"/>
  <c r="C763" i="66" s="1"/>
  <c r="B764" i="66"/>
  <c r="B765" i="66"/>
  <c r="B766" i="66"/>
  <c r="B767" i="66"/>
  <c r="B768" i="66"/>
  <c r="B769" i="66"/>
  <c r="B770" i="66"/>
  <c r="C770" i="66" s="1"/>
  <c r="B262" i="66"/>
  <c r="C262" i="66" s="1"/>
  <c r="B8" i="66"/>
  <c r="C8" i="66" s="1"/>
  <c r="B9" i="66"/>
  <c r="C9" i="66" s="1"/>
  <c r="B10" i="66"/>
  <c r="C10" i="66" s="1"/>
  <c r="B11" i="66"/>
  <c r="C11" i="66" s="1"/>
  <c r="B12" i="66"/>
  <c r="B13" i="66"/>
  <c r="B14" i="66"/>
  <c r="B15" i="66"/>
  <c r="B16" i="66"/>
  <c r="B17" i="66"/>
  <c r="B18" i="66"/>
  <c r="B19" i="66"/>
  <c r="B20" i="66"/>
  <c r="B21" i="66"/>
  <c r="B22" i="66"/>
  <c r="B23" i="66"/>
  <c r="B24" i="66"/>
  <c r="B25" i="66"/>
  <c r="B26" i="66"/>
  <c r="B27" i="66"/>
  <c r="B28" i="66"/>
  <c r="B29" i="66"/>
  <c r="C29" i="66" s="1"/>
  <c r="B30" i="66"/>
  <c r="C30" i="66" s="1"/>
  <c r="B31" i="66"/>
  <c r="C31" i="66" s="1"/>
  <c r="B32" i="66"/>
  <c r="C32" i="66" s="1"/>
  <c r="B33" i="66"/>
  <c r="C33" i="66" s="1"/>
  <c r="B34" i="66"/>
  <c r="B35" i="66"/>
  <c r="B36" i="66"/>
  <c r="B37" i="66"/>
  <c r="B38" i="66"/>
  <c r="B39" i="66"/>
  <c r="C39" i="66" s="1"/>
  <c r="B40" i="66"/>
  <c r="C40" i="66" s="1"/>
  <c r="B41" i="66"/>
  <c r="C41" i="66" s="1"/>
  <c r="B42" i="66"/>
  <c r="C42" i="66" s="1"/>
  <c r="B43" i="66"/>
  <c r="B44" i="66"/>
  <c r="B45" i="66"/>
  <c r="B46" i="66"/>
  <c r="B47" i="66"/>
  <c r="C47" i="66" s="1"/>
  <c r="B48" i="66"/>
  <c r="C48" i="66" s="1"/>
  <c r="B49" i="66"/>
  <c r="C49" i="66" s="1"/>
  <c r="B50" i="66"/>
  <c r="C50" i="66" s="1"/>
  <c r="B51" i="66"/>
  <c r="C51" i="66" s="1"/>
  <c r="B52" i="66"/>
  <c r="C52" i="66" s="1"/>
  <c r="B53" i="66"/>
  <c r="B54" i="66"/>
  <c r="B55" i="66"/>
  <c r="B56" i="66"/>
  <c r="B57" i="66"/>
  <c r="B58" i="66"/>
  <c r="B59" i="66"/>
  <c r="B60" i="66"/>
  <c r="B61" i="66"/>
  <c r="B62" i="66"/>
  <c r="B63" i="66"/>
  <c r="B64" i="66"/>
  <c r="B65" i="66"/>
  <c r="B66" i="66"/>
  <c r="C66" i="66" s="1"/>
  <c r="B67" i="66"/>
  <c r="B68" i="66"/>
  <c r="B69" i="66"/>
  <c r="B70" i="66"/>
  <c r="B71" i="66"/>
  <c r="B72" i="66"/>
  <c r="C72" i="66" s="1"/>
  <c r="B73" i="66"/>
  <c r="C73" i="66" s="1"/>
  <c r="B74" i="66"/>
  <c r="C74" i="66" s="1"/>
  <c r="B75" i="66"/>
  <c r="B76" i="66"/>
  <c r="B77" i="66"/>
  <c r="B78" i="66"/>
  <c r="B79" i="66"/>
  <c r="B80" i="66"/>
  <c r="C80" i="66" s="1"/>
  <c r="B81" i="66"/>
  <c r="B82" i="66"/>
  <c r="B83" i="66"/>
  <c r="B84" i="66"/>
  <c r="B85" i="66"/>
  <c r="B86" i="66"/>
  <c r="B87" i="66"/>
  <c r="B88" i="66"/>
  <c r="B89" i="66"/>
  <c r="B90" i="66"/>
  <c r="B91" i="66"/>
  <c r="B92" i="66"/>
  <c r="B93" i="66"/>
  <c r="B94" i="66"/>
  <c r="B95" i="66"/>
  <c r="C95" i="66" s="1"/>
  <c r="B96" i="66"/>
  <c r="C96" i="66" s="1"/>
  <c r="B97" i="66"/>
  <c r="C97" i="66" s="1"/>
  <c r="B98" i="66"/>
  <c r="B99" i="66"/>
  <c r="B100" i="66"/>
  <c r="B101" i="66"/>
  <c r="B102" i="66"/>
  <c r="B103" i="66"/>
  <c r="B104" i="66"/>
  <c r="B105" i="66"/>
  <c r="B106" i="66"/>
  <c r="B107" i="66"/>
  <c r="B108" i="66"/>
  <c r="B109" i="66"/>
  <c r="C109" i="66" s="1"/>
  <c r="B110" i="66"/>
  <c r="C110" i="66" s="1"/>
  <c r="B111" i="66"/>
  <c r="C111" i="66" s="1"/>
  <c r="B112" i="66"/>
  <c r="B113" i="66"/>
  <c r="B114" i="66"/>
  <c r="C114" i="66" s="1"/>
  <c r="B115" i="66"/>
  <c r="C115" i="66" s="1"/>
  <c r="B116" i="66"/>
  <c r="C116" i="66" s="1"/>
  <c r="B117" i="66"/>
  <c r="B118" i="66"/>
  <c r="B119" i="66"/>
  <c r="C119" i="66" s="1"/>
  <c r="B120" i="66"/>
  <c r="C120" i="66" s="1"/>
  <c r="B121" i="66"/>
  <c r="B122" i="66"/>
  <c r="B123" i="66"/>
  <c r="C123" i="66" s="1"/>
  <c r="B124" i="66"/>
  <c r="C124" i="66" s="1"/>
  <c r="B125" i="66"/>
  <c r="C125" i="66" s="1"/>
  <c r="B126" i="66"/>
  <c r="C126" i="66" s="1"/>
  <c r="B127" i="66"/>
  <c r="B128" i="66"/>
  <c r="B129" i="66"/>
  <c r="B130" i="66"/>
  <c r="B131" i="66"/>
  <c r="B132" i="66"/>
  <c r="B133" i="66"/>
  <c r="B134" i="66"/>
  <c r="C134" i="66" s="1"/>
  <c r="B135" i="66"/>
  <c r="C135" i="66" s="1"/>
  <c r="B136" i="66"/>
  <c r="C136" i="66" s="1"/>
  <c r="B137" i="66"/>
  <c r="C137" i="66" s="1"/>
  <c r="B138" i="66"/>
  <c r="B139" i="66"/>
  <c r="B140" i="66"/>
  <c r="B141" i="66"/>
  <c r="B142" i="66"/>
  <c r="B143" i="66"/>
  <c r="B144" i="66"/>
  <c r="B145" i="66"/>
  <c r="B146" i="66"/>
  <c r="B147" i="66"/>
  <c r="B148" i="66"/>
  <c r="B149" i="66"/>
  <c r="B150" i="66"/>
  <c r="B151" i="66"/>
  <c r="B152" i="66"/>
  <c r="B153" i="66"/>
  <c r="B154" i="66"/>
  <c r="B155" i="66"/>
  <c r="B156" i="66"/>
  <c r="B157" i="66"/>
  <c r="C157" i="66" s="1"/>
  <c r="B158" i="66"/>
  <c r="C158" i="66" s="1"/>
  <c r="B159" i="66"/>
  <c r="C159" i="66" s="1"/>
  <c r="B160" i="66"/>
  <c r="C160" i="66" s="1"/>
  <c r="B161" i="66"/>
  <c r="C161" i="66" s="1"/>
  <c r="B162" i="66"/>
  <c r="B163" i="66"/>
  <c r="B164" i="66"/>
  <c r="B165" i="66"/>
  <c r="B166" i="66"/>
  <c r="B167" i="66"/>
  <c r="B168" i="66"/>
  <c r="B169" i="66"/>
  <c r="B170" i="66"/>
  <c r="B171" i="66"/>
  <c r="C171" i="66" s="1"/>
  <c r="B172" i="66"/>
  <c r="C172" i="66" s="1"/>
  <c r="B173" i="66"/>
  <c r="C173" i="66" s="1"/>
  <c r="B174" i="66"/>
  <c r="C174" i="66" s="1"/>
  <c r="B175" i="66"/>
  <c r="C175" i="66" s="1"/>
  <c r="B176" i="66"/>
  <c r="B177" i="66"/>
  <c r="B178" i="66"/>
  <c r="B179" i="66"/>
  <c r="B180" i="66"/>
  <c r="C180" i="66" s="1"/>
  <c r="B181" i="66"/>
  <c r="B182" i="66"/>
  <c r="B183" i="66"/>
  <c r="B184" i="66"/>
  <c r="B185" i="66"/>
  <c r="B186" i="66"/>
  <c r="B187" i="66"/>
  <c r="B188" i="66"/>
  <c r="B189" i="66"/>
  <c r="B190" i="66"/>
  <c r="B191" i="66"/>
  <c r="B192" i="66"/>
  <c r="B193" i="66"/>
  <c r="B194" i="66"/>
  <c r="B195" i="66"/>
  <c r="B196" i="66"/>
  <c r="B197" i="66"/>
  <c r="B198" i="66"/>
  <c r="B199" i="66"/>
  <c r="B200" i="66"/>
  <c r="B201" i="66"/>
  <c r="B202" i="66"/>
  <c r="B203" i="66"/>
  <c r="B204" i="66"/>
  <c r="B205" i="66"/>
  <c r="B206" i="66"/>
  <c r="B207" i="66"/>
  <c r="B208" i="66"/>
  <c r="B209" i="66"/>
  <c r="B210" i="66"/>
  <c r="B211" i="66"/>
  <c r="B212" i="66"/>
  <c r="B213" i="66"/>
  <c r="C213" i="66" s="1"/>
  <c r="B214" i="66"/>
  <c r="B215" i="66"/>
  <c r="C215" i="66" s="1"/>
  <c r="B216" i="66"/>
  <c r="C216" i="66" s="1"/>
  <c r="B217" i="66"/>
  <c r="C217" i="66" s="1"/>
  <c r="B218" i="66"/>
  <c r="C218" i="66" s="1"/>
  <c r="B219" i="66"/>
  <c r="B220" i="66"/>
  <c r="B221" i="66"/>
  <c r="B222" i="66"/>
  <c r="B223" i="66"/>
  <c r="B224" i="66"/>
  <c r="B225" i="66"/>
  <c r="C225" i="66" s="1"/>
  <c r="B226" i="66"/>
  <c r="C226" i="66" s="1"/>
  <c r="B227" i="66"/>
  <c r="C227" i="66" s="1"/>
  <c r="B228" i="66"/>
  <c r="B229" i="66"/>
  <c r="B230" i="66"/>
  <c r="C230" i="66" s="1"/>
  <c r="B231" i="66"/>
  <c r="C231" i="66" s="1"/>
  <c r="B232" i="66"/>
  <c r="C232" i="66" s="1"/>
  <c r="B233" i="66"/>
  <c r="B234" i="66"/>
  <c r="B235" i="66"/>
  <c r="B236" i="66"/>
  <c r="C236" i="66" s="1"/>
  <c r="B237" i="66"/>
  <c r="C237" i="66" s="1"/>
  <c r="B238" i="66"/>
  <c r="C238" i="66" s="1"/>
  <c r="B239" i="66"/>
  <c r="C239" i="66" s="1"/>
  <c r="B240" i="66"/>
  <c r="C240" i="66" s="1"/>
  <c r="B241" i="66"/>
  <c r="C241" i="66" s="1"/>
  <c r="B242" i="66"/>
  <c r="C242" i="66" s="1"/>
  <c r="B243" i="66"/>
  <c r="C243" i="66" s="1"/>
  <c r="B244" i="66"/>
  <c r="B245" i="66"/>
  <c r="B246" i="66"/>
  <c r="B247" i="66"/>
  <c r="B248" i="66"/>
  <c r="C248" i="66" s="1"/>
  <c r="B249" i="66"/>
  <c r="C249" i="66" s="1"/>
  <c r="B250" i="66"/>
  <c r="C250" i="66" s="1"/>
  <c r="B251" i="66"/>
  <c r="C251" i="66" s="1"/>
  <c r="B252" i="66"/>
  <c r="C252" i="66" s="1"/>
  <c r="B253" i="66"/>
  <c r="B254" i="66"/>
  <c r="B255" i="66"/>
  <c r="B256" i="66"/>
  <c r="B257" i="66"/>
  <c r="B258" i="66"/>
  <c r="B259" i="66"/>
  <c r="B260" i="66"/>
  <c r="B261" i="66"/>
  <c r="B7" i="66"/>
  <c r="C7" i="66" s="1"/>
  <c r="U1496" i="16"/>
  <c r="U110" i="27"/>
  <c r="CZ4" i="2" s="1"/>
  <c r="P9" i="23"/>
  <c r="AY775" i="16" s="1"/>
  <c r="P11" i="23"/>
  <c r="P14" i="23"/>
  <c r="AY1564" i="16" s="1"/>
  <c r="P17" i="23"/>
  <c r="AY783" i="16" s="1"/>
  <c r="P18" i="23"/>
  <c r="AY784" i="16" s="1"/>
  <c r="P20" i="23"/>
  <c r="AY786" i="16" s="1"/>
  <c r="P21" i="23"/>
  <c r="AY1571" i="16" s="1"/>
  <c r="P22" i="23"/>
  <c r="AY788" i="16" s="1"/>
  <c r="P27" i="23"/>
  <c r="P29" i="23"/>
  <c r="AY795" i="16" s="1"/>
  <c r="P33" i="23"/>
  <c r="AY1854" i="16" s="1"/>
  <c r="P34" i="23"/>
  <c r="AY1423" i="16" s="1"/>
  <c r="AY800" i="16"/>
  <c r="P37" i="23"/>
  <c r="AY803" i="16" s="1"/>
  <c r="P39" i="23"/>
  <c r="AY1589" i="16" s="1"/>
  <c r="P41" i="23"/>
  <c r="P45" i="23"/>
  <c r="AY1434" i="16" s="1"/>
  <c r="AY1418" i="16"/>
  <c r="AY1428" i="16"/>
  <c r="AY1579" i="16"/>
  <c r="AY1584" i="16"/>
  <c r="AY1843" i="16"/>
  <c r="BD1401" i="16"/>
  <c r="BD1562" i="16"/>
  <c r="BD1833" i="16"/>
  <c r="BC1833" i="16"/>
  <c r="BC1562" i="16"/>
  <c r="BC1401" i="16"/>
  <c r="S1253" i="16"/>
  <c r="T1253" i="16" s="1"/>
  <c r="AD1253" i="16" s="1"/>
  <c r="S490" i="25"/>
  <c r="T490" i="25" s="1"/>
  <c r="AR14" i="16"/>
  <c r="AR18" i="16"/>
  <c r="AR20" i="16"/>
  <c r="AR22" i="16"/>
  <c r="AR24" i="16"/>
  <c r="AR26" i="16"/>
  <c r="AR35" i="16"/>
  <c r="AR38" i="16"/>
  <c r="AR44" i="16"/>
  <c r="AR49" i="16"/>
  <c r="AR54" i="16"/>
  <c r="AR66" i="16"/>
  <c r="AR79" i="16"/>
  <c r="AR92" i="16"/>
  <c r="AR99" i="16"/>
  <c r="AR102" i="16"/>
  <c r="AR106" i="16"/>
  <c r="AR113" i="16"/>
  <c r="AR118" i="16"/>
  <c r="AR122" i="16"/>
  <c r="AR128" i="16"/>
  <c r="AR130" i="16"/>
  <c r="AR132" i="16"/>
  <c r="AR134" i="16"/>
  <c r="AR140" i="16"/>
  <c r="AR139" i="16"/>
  <c r="AR145" i="16"/>
  <c r="AR147" i="16"/>
  <c r="AR150" i="16"/>
  <c r="AR152" i="16"/>
  <c r="AR154" i="16"/>
  <c r="AR156" i="16"/>
  <c r="AR163" i="16"/>
  <c r="AR169" i="16"/>
  <c r="AR177" i="16"/>
  <c r="AR182" i="16"/>
  <c r="AR189" i="16"/>
  <c r="AR192" i="16"/>
  <c r="AR195" i="16"/>
  <c r="AR194" i="16"/>
  <c r="AR197" i="16"/>
  <c r="AR199" i="16"/>
  <c r="AR203" i="16"/>
  <c r="AR207" i="16"/>
  <c r="AR206" i="16"/>
  <c r="AR215" i="16"/>
  <c r="AR222" i="16"/>
  <c r="AR225" i="16"/>
  <c r="AR224" i="16"/>
  <c r="AR229" i="16"/>
  <c r="AR235" i="16"/>
  <c r="AR245" i="16"/>
  <c r="AR248" i="16"/>
  <c r="AR255" i="16"/>
  <c r="AR254" i="16"/>
  <c r="AR257" i="16"/>
  <c r="AR267" i="16"/>
  <c r="AR283" i="16"/>
  <c r="AR286" i="16"/>
  <c r="AR289" i="16"/>
  <c r="AR298" i="16"/>
  <c r="AR297" i="16"/>
  <c r="AR296" i="16"/>
  <c r="AR295" i="16"/>
  <c r="AR294" i="16"/>
  <c r="AR293" i="16"/>
  <c r="AR309" i="16"/>
  <c r="AR308" i="16"/>
  <c r="AR307" i="16"/>
  <c r="AR306" i="16"/>
  <c r="AR305" i="16"/>
  <c r="AR304" i="16"/>
  <c r="AR314" i="16"/>
  <c r="AR332" i="16"/>
  <c r="AR340" i="16"/>
  <c r="AR351" i="16"/>
  <c r="AR354" i="16"/>
  <c r="AR356" i="16"/>
  <c r="AR361" i="16"/>
  <c r="AR363" i="16"/>
  <c r="AR369" i="16"/>
  <c r="AR371" i="16"/>
  <c r="AR375" i="16"/>
  <c r="AR377" i="16"/>
  <c r="AR380" i="16"/>
  <c r="AR389" i="16"/>
  <c r="AR402" i="16"/>
  <c r="AR404" i="16"/>
  <c r="AR407" i="16"/>
  <c r="AR409" i="16"/>
  <c r="AR411" i="16"/>
  <c r="AR415" i="16"/>
  <c r="AR423" i="16"/>
  <c r="AR433" i="16"/>
  <c r="AR437" i="16"/>
  <c r="AR436" i="16"/>
  <c r="AR441" i="16"/>
  <c r="AR447" i="16"/>
  <c r="AR449" i="16"/>
  <c r="AR451" i="16"/>
  <c r="AR463" i="16"/>
  <c r="AR465" i="16"/>
  <c r="AR468" i="16"/>
  <c r="AR474" i="16"/>
  <c r="AR477" i="16"/>
  <c r="AR476" i="16"/>
  <c r="AR482" i="16"/>
  <c r="AR485" i="16"/>
  <c r="AR484" i="16"/>
  <c r="AR488" i="16"/>
  <c r="AR492" i="16"/>
  <c r="AR497" i="16"/>
  <c r="AR499" i="16"/>
  <c r="AR503" i="16"/>
  <c r="AR509" i="16"/>
  <c r="AR516" i="16"/>
  <c r="AR520" i="16"/>
  <c r="AR522" i="16"/>
  <c r="AR524" i="16"/>
  <c r="AR526" i="16"/>
  <c r="AR532" i="16"/>
  <c r="AR547" i="16"/>
  <c r="AR560" i="16"/>
  <c r="AR568" i="16"/>
  <c r="AR567" i="16"/>
  <c r="AR573" i="16"/>
  <c r="AR601" i="16"/>
  <c r="AR600" i="16"/>
  <c r="AR604" i="16"/>
  <c r="AR603" i="16"/>
  <c r="AR606" i="16"/>
  <c r="AR615" i="16"/>
  <c r="AR618" i="16"/>
  <c r="AR617" i="16"/>
  <c r="AR621" i="16"/>
  <c r="AR630" i="16"/>
  <c r="AR633" i="16"/>
  <c r="AR646" i="16"/>
  <c r="AR655" i="16"/>
  <c r="AR662" i="16"/>
  <c r="AR668" i="16"/>
  <c r="AR675" i="16"/>
  <c r="AR682" i="16"/>
  <c r="AR688" i="16"/>
  <c r="AR694" i="16"/>
  <c r="AR700" i="16"/>
  <c r="AR707" i="16"/>
  <c r="AR724" i="16"/>
  <c r="AR723" i="16"/>
  <c r="AR722" i="16"/>
  <c r="AR721" i="16"/>
  <c r="AR720" i="16"/>
  <c r="AR719" i="16"/>
  <c r="AR718" i="16"/>
  <c r="AR728" i="16"/>
  <c r="AR733" i="16"/>
  <c r="AR737" i="16"/>
  <c r="AR739" i="16"/>
  <c r="AR743" i="16"/>
  <c r="AR742" i="16"/>
  <c r="AR741" i="16"/>
  <c r="AR747" i="16"/>
  <c r="AR749" i="16"/>
  <c r="AR756" i="16"/>
  <c r="AR765" i="16"/>
  <c r="AR777" i="16"/>
  <c r="AR779" i="16"/>
  <c r="AR782" i="16"/>
  <c r="AR785" i="16"/>
  <c r="AR795" i="16"/>
  <c r="AR800" i="16"/>
  <c r="AR803" i="16"/>
  <c r="AR809" i="16"/>
  <c r="AR813" i="16"/>
  <c r="AR812" i="16"/>
  <c r="AR816" i="16"/>
  <c r="AR831" i="16"/>
  <c r="AR830" i="16"/>
  <c r="AR829" i="16"/>
  <c r="AR828" i="16"/>
  <c r="AR827" i="16"/>
  <c r="AR826" i="16"/>
  <c r="AR825" i="16"/>
  <c r="AR824" i="16"/>
  <c r="AR823" i="16"/>
  <c r="AR822" i="16"/>
  <c r="AR821" i="16"/>
  <c r="AR820" i="16"/>
  <c r="AR835" i="16"/>
  <c r="AR841" i="16"/>
  <c r="AR840" i="16"/>
  <c r="AR844" i="16"/>
  <c r="AR843" i="16"/>
  <c r="AR849" i="16"/>
  <c r="AR848" i="16"/>
  <c r="AR847" i="16"/>
  <c r="AR846" i="16"/>
  <c r="AR851" i="16"/>
  <c r="AR856" i="16"/>
  <c r="AR855" i="16"/>
  <c r="AR859" i="16"/>
  <c r="AR858" i="16"/>
  <c r="AR863" i="16"/>
  <c r="AR865" i="16"/>
  <c r="AR868" i="16"/>
  <c r="AR872" i="16"/>
  <c r="AR871" i="16"/>
  <c r="AR870" i="16"/>
  <c r="AR875" i="16"/>
  <c r="AR878" i="16"/>
  <c r="AR881" i="16"/>
  <c r="AR887" i="16"/>
  <c r="AR895" i="16"/>
  <c r="AR898" i="16"/>
  <c r="AR897" i="16"/>
  <c r="AR903" i="16"/>
  <c r="AR907" i="16"/>
  <c r="AR913" i="16"/>
  <c r="AR916" i="16"/>
  <c r="AR920" i="16"/>
  <c r="AR933" i="16"/>
  <c r="AR936" i="16"/>
  <c r="AR939" i="16"/>
  <c r="AR946" i="16"/>
  <c r="AR948" i="16"/>
  <c r="AR951" i="16"/>
  <c r="AR955" i="16"/>
  <c r="AR962" i="16"/>
  <c r="AR970" i="16"/>
  <c r="AR978" i="16"/>
  <c r="AR987" i="16"/>
  <c r="AR993" i="16"/>
  <c r="AR1000" i="16"/>
  <c r="AR1006" i="16"/>
  <c r="AR1012" i="16"/>
  <c r="AR1015" i="16"/>
  <c r="AR1020" i="16"/>
  <c r="AR1026" i="16"/>
  <c r="AR1031" i="16"/>
  <c r="AR1035" i="16"/>
  <c r="AR1040" i="16"/>
  <c r="AR1043" i="16"/>
  <c r="AR1042" i="16"/>
  <c r="AR1047" i="16"/>
  <c r="AR1053" i="16"/>
  <c r="AR1060" i="16"/>
  <c r="AR1066" i="16"/>
  <c r="AR1068" i="16"/>
  <c r="AR1072" i="16"/>
  <c r="AR1071" i="16"/>
  <c r="AR1074" i="16"/>
  <c r="AR1076" i="16"/>
  <c r="AR1086" i="16"/>
  <c r="AR1104" i="16"/>
  <c r="AR1106" i="16"/>
  <c r="AR1109" i="16"/>
  <c r="AR1108" i="16"/>
  <c r="AR1120" i="16"/>
  <c r="AR1122" i="16"/>
  <c r="AR1124" i="16"/>
  <c r="AR1129" i="16"/>
  <c r="AR1128" i="16"/>
  <c r="AR1127" i="16"/>
  <c r="AR1134" i="16"/>
  <c r="AR1136" i="16"/>
  <c r="AR1138" i="16"/>
  <c r="AR1140" i="16"/>
  <c r="AR1142" i="16"/>
  <c r="AR1145" i="16"/>
  <c r="AR1148" i="16"/>
  <c r="AR1147" i="16"/>
  <c r="AR1150" i="16"/>
  <c r="AR1155" i="16"/>
  <c r="AR1154" i="16"/>
  <c r="AR1153" i="16"/>
  <c r="AR1160" i="16"/>
  <c r="AR1168" i="16"/>
  <c r="AR1172" i="16"/>
  <c r="AR1171" i="16"/>
  <c r="AR1170" i="16"/>
  <c r="AR1174" i="16"/>
  <c r="AR1178" i="16"/>
  <c r="AR1177" i="16"/>
  <c r="AR1183" i="16"/>
  <c r="AR1185" i="16"/>
  <c r="AR1187" i="16"/>
  <c r="AR1192" i="16"/>
  <c r="AR1196" i="16"/>
  <c r="AR1199" i="16"/>
  <c r="AR1207" i="16"/>
  <c r="AR1210" i="16"/>
  <c r="AR1213" i="16"/>
  <c r="AR1226" i="16"/>
  <c r="AR1230" i="16"/>
  <c r="AR1233" i="16"/>
  <c r="AR1237" i="16"/>
  <c r="AR1242" i="16"/>
  <c r="AR1247" i="16"/>
  <c r="AR1250" i="16"/>
  <c r="AR1252" i="16"/>
  <c r="AR1256" i="16"/>
  <c r="AR1255" i="16"/>
  <c r="AR1260" i="16"/>
  <c r="AR1272" i="16"/>
  <c r="AR1271" i="16"/>
  <c r="AR1270" i="16"/>
  <c r="AR1269" i="16"/>
  <c r="AR1268" i="16"/>
  <c r="AR1267" i="16"/>
  <c r="AR1274" i="16"/>
  <c r="AR1288" i="16"/>
  <c r="AR1287" i="16"/>
  <c r="AR1291" i="16"/>
  <c r="AR1299" i="16"/>
  <c r="AR1314" i="16"/>
  <c r="AR1313" i="16"/>
  <c r="AR1312" i="16"/>
  <c r="AR1311" i="16"/>
  <c r="AR1310" i="16"/>
  <c r="AR1309" i="16"/>
  <c r="AR1308" i="16"/>
  <c r="AR1317" i="16"/>
  <c r="AR1319" i="16"/>
  <c r="AR1321" i="16"/>
  <c r="AR1331" i="16"/>
  <c r="AR1330" i="16"/>
  <c r="AR1329" i="16"/>
  <c r="AR1328" i="16"/>
  <c r="AR1333" i="16"/>
  <c r="AR1336" i="16"/>
  <c r="AR1339" i="16"/>
  <c r="AR1346" i="16"/>
  <c r="AR1361" i="16"/>
  <c r="AR1360" i="16"/>
  <c r="AR1359" i="16"/>
  <c r="AR1358" i="16"/>
  <c r="AR1357" i="16"/>
  <c r="AR1356" i="16"/>
  <c r="AR1355" i="16"/>
  <c r="AR1354" i="16"/>
  <c r="AR1364" i="16"/>
  <c r="AR1366" i="16"/>
  <c r="AR1368" i="16"/>
  <c r="AR1370" i="16"/>
  <c r="AR1379" i="16"/>
  <c r="AR1384" i="16"/>
  <c r="AR1383" i="16"/>
  <c r="AR1387" i="16"/>
  <c r="AR1390" i="16"/>
  <c r="AR1411" i="16"/>
  <c r="AR1422" i="16"/>
  <c r="AR1427" i="16"/>
  <c r="AR1433" i="16"/>
  <c r="AR1432" i="16"/>
  <c r="AR1440" i="16"/>
  <c r="AR1449" i="16"/>
  <c r="AR1454" i="16"/>
  <c r="AR1459" i="16"/>
  <c r="AR1464" i="16"/>
  <c r="AR1463" i="16"/>
  <c r="AR1469" i="16"/>
  <c r="AR1471" i="16"/>
  <c r="AR1477" i="16"/>
  <c r="AR1480" i="16"/>
  <c r="AR1484" i="16"/>
  <c r="AR1486" i="16"/>
  <c r="AR1488" i="16"/>
  <c r="AR1494" i="16"/>
  <c r="AR1493" i="16"/>
  <c r="AR1492" i="16"/>
  <c r="AR1496" i="16"/>
  <c r="AR1502" i="16"/>
  <c r="AR1505" i="16"/>
  <c r="AR1504" i="16"/>
  <c r="AR1509" i="16"/>
  <c r="AR1513" i="16"/>
  <c r="AR1527" i="16"/>
  <c r="AR1530" i="16"/>
  <c r="AR1529" i="16"/>
  <c r="AR1537" i="16"/>
  <c r="AR1540" i="16"/>
  <c r="AR1539" i="16"/>
  <c r="AR1548" i="16"/>
  <c r="AR1547" i="16"/>
  <c r="AR1546" i="16"/>
  <c r="AR1551" i="16"/>
  <c r="AR1553" i="16"/>
  <c r="AR1559" i="16"/>
  <c r="AR1565" i="16"/>
  <c r="AR1570" i="16"/>
  <c r="AR1573" i="16"/>
  <c r="AR1576" i="16"/>
  <c r="AR1580" i="16"/>
  <c r="AR1583" i="16"/>
  <c r="AR1589" i="16"/>
  <c r="AR1592" i="16"/>
  <c r="AR1594" i="16"/>
  <c r="AR1597" i="16"/>
  <c r="AR1599" i="16"/>
  <c r="AR1601" i="16"/>
  <c r="AR1604" i="16"/>
  <c r="AR1606" i="16"/>
  <c r="AR1608" i="16"/>
  <c r="AR1614" i="16"/>
  <c r="AR1618" i="16"/>
  <c r="AR1623" i="16"/>
  <c r="AR1637" i="16"/>
  <c r="AR1639" i="16"/>
  <c r="AR1642" i="16"/>
  <c r="AR1651" i="16"/>
  <c r="AR1661" i="16"/>
  <c r="AR1665" i="16"/>
  <c r="AR1671" i="16"/>
  <c r="AR1676" i="16"/>
  <c r="AR1679" i="16"/>
  <c r="AR1678" i="16"/>
  <c r="AR1681" i="16"/>
  <c r="AR1686" i="16"/>
  <c r="AR1695" i="16"/>
  <c r="AR1701" i="16"/>
  <c r="AR1700" i="16"/>
  <c r="AR1705" i="16"/>
  <c r="AR1710" i="16"/>
  <c r="AR1712" i="16"/>
  <c r="AR1718" i="16"/>
  <c r="AR1720" i="16"/>
  <c r="AR1726" i="16"/>
  <c r="AR1728" i="16"/>
  <c r="AR1730" i="16"/>
  <c r="AR1732" i="16"/>
  <c r="AR1735" i="16"/>
  <c r="AR1739" i="16"/>
  <c r="AR1743" i="16"/>
  <c r="AR1750" i="16"/>
  <c r="AR1752" i="16"/>
  <c r="AR1754" i="16"/>
  <c r="AR1758" i="16"/>
  <c r="AR1767" i="16"/>
  <c r="AR1769" i="16"/>
  <c r="AR1772" i="16"/>
  <c r="AR1775" i="16"/>
  <c r="AR1784" i="16"/>
  <c r="AR1786" i="16"/>
  <c r="AR1789" i="16"/>
  <c r="AR1791" i="16"/>
  <c r="AR1795" i="16"/>
  <c r="AR1799" i="16"/>
  <c r="AR1803" i="16"/>
  <c r="AR1811" i="16"/>
  <c r="AR1816" i="16"/>
  <c r="AR1820" i="16"/>
  <c r="AR1825" i="16"/>
  <c r="AR1835" i="16"/>
  <c r="AR1834" i="16"/>
  <c r="AR1833" i="16"/>
  <c r="AR1841" i="16"/>
  <c r="AR1840" i="16"/>
  <c r="AR1839" i="16"/>
  <c r="AR1843" i="16"/>
  <c r="AR1850" i="16"/>
  <c r="AR1849" i="16"/>
  <c r="AR1848" i="16"/>
  <c r="AR1846" i="16"/>
  <c r="AR1845" i="16"/>
  <c r="AR1856" i="16"/>
  <c r="AR1860" i="16"/>
  <c r="AR1862" i="16"/>
  <c r="AR1865" i="16"/>
  <c r="AR1864" i="16"/>
  <c r="AR1867" i="16"/>
  <c r="AR1870" i="16"/>
  <c r="AR1869" i="16"/>
  <c r="AR1872" i="16"/>
  <c r="AR1874" i="16"/>
  <c r="AR1878" i="16"/>
  <c r="AR1877" i="16"/>
  <c r="AR1876" i="16"/>
  <c r="AR1899" i="16"/>
  <c r="AR1902" i="16"/>
  <c r="AR1905" i="16"/>
  <c r="AR1908" i="16"/>
  <c r="AR1907" i="16"/>
  <c r="AR1912" i="16"/>
  <c r="AR1911" i="16"/>
  <c r="AR1910" i="16"/>
  <c r="AR1918" i="16"/>
  <c r="AR1920" i="16"/>
  <c r="AR1923" i="16"/>
  <c r="AR1925" i="16"/>
  <c r="AR1928" i="16"/>
  <c r="AR1931" i="16"/>
  <c r="AR1930" i="16"/>
  <c r="AR1933" i="16"/>
  <c r="AR1936" i="16"/>
  <c r="AR1935" i="16"/>
  <c r="AR1939" i="16"/>
  <c r="AR1945" i="16"/>
  <c r="AR1947" i="16"/>
  <c r="AR1951" i="16"/>
  <c r="AR1958" i="16"/>
  <c r="AR1961" i="16"/>
  <c r="AR1960" i="16"/>
  <c r="AR1967" i="16"/>
  <c r="AR1966" i="16"/>
  <c r="AR1965" i="16"/>
  <c r="AR1964" i="16"/>
  <c r="AR1963" i="16"/>
  <c r="AR1984" i="16"/>
  <c r="AR1986" i="16"/>
  <c r="AR1989" i="16"/>
  <c r="AR2002" i="16"/>
  <c r="AR2004" i="16"/>
  <c r="AP2004" i="16"/>
  <c r="AP2002" i="16"/>
  <c r="AP1989" i="16"/>
  <c r="AP1986" i="16"/>
  <c r="AP1984" i="16"/>
  <c r="AP1967" i="16"/>
  <c r="AP1966" i="16"/>
  <c r="AP1965" i="16"/>
  <c r="AP1964" i="16"/>
  <c r="AP1963" i="16"/>
  <c r="AP1961" i="16"/>
  <c r="AP1960" i="16"/>
  <c r="AP1958" i="16"/>
  <c r="AP1951" i="16"/>
  <c r="AP1947" i="16"/>
  <c r="AP1945" i="16"/>
  <c r="AP1939" i="16"/>
  <c r="AP1936" i="16"/>
  <c r="AP1935" i="16"/>
  <c r="AP1933" i="16"/>
  <c r="AP1931" i="16"/>
  <c r="AP1930" i="16"/>
  <c r="AP1928" i="16"/>
  <c r="AP1925" i="16"/>
  <c r="AP1923" i="16"/>
  <c r="AP1920" i="16"/>
  <c r="AP1918" i="16"/>
  <c r="AP1912" i="16"/>
  <c r="AP1911" i="16"/>
  <c r="AP1910" i="16"/>
  <c r="AP1908" i="16"/>
  <c r="AP1907" i="16"/>
  <c r="AP1905" i="16"/>
  <c r="AP1902" i="16"/>
  <c r="AP1899" i="16"/>
  <c r="AP1878" i="16"/>
  <c r="AP1877" i="16"/>
  <c r="AP1876" i="16"/>
  <c r="AP1874" i="16"/>
  <c r="AP1872" i="16"/>
  <c r="AP1870" i="16"/>
  <c r="AP1869" i="16"/>
  <c r="AP1867" i="16"/>
  <c r="AP1865" i="16"/>
  <c r="AP1864" i="16"/>
  <c r="AP1862" i="16"/>
  <c r="AP1860" i="16"/>
  <c r="AP1856" i="16"/>
  <c r="AP1850" i="16"/>
  <c r="AP1849" i="16"/>
  <c r="AP1848" i="16"/>
  <c r="AP1846" i="16"/>
  <c r="AP1845" i="16"/>
  <c r="AP1843" i="16"/>
  <c r="AP1841" i="16"/>
  <c r="AP1840" i="16"/>
  <c r="AP1839" i="16"/>
  <c r="AP1835" i="16"/>
  <c r="AP1834" i="16"/>
  <c r="AP1833" i="16"/>
  <c r="AP1825" i="16"/>
  <c r="AP1820" i="16"/>
  <c r="AP1816" i="16"/>
  <c r="AP1811" i="16"/>
  <c r="AP1806" i="16"/>
  <c r="AP1805" i="16"/>
  <c r="AP1799" i="16"/>
  <c r="AP1795" i="16"/>
  <c r="AP1791" i="16"/>
  <c r="AP1789" i="16"/>
  <c r="AP1786" i="16"/>
  <c r="AP1784" i="16"/>
  <c r="AP1781" i="16"/>
  <c r="AP1777" i="16"/>
  <c r="AP1772" i="16"/>
  <c r="AP1769" i="16"/>
  <c r="AP1767" i="16"/>
  <c r="AP1758" i="16"/>
  <c r="AP1754" i="16"/>
  <c r="AP1752" i="16"/>
  <c r="AP1750" i="16"/>
  <c r="AP1747" i="16"/>
  <c r="AP1745" i="16"/>
  <c r="AP1739" i="16"/>
  <c r="AP1738" i="16"/>
  <c r="AP1736" i="16"/>
  <c r="AP1732" i="16"/>
  <c r="AP1730" i="16"/>
  <c r="AP1728" i="16"/>
  <c r="AP1726" i="16"/>
  <c r="AP1720" i="16"/>
  <c r="AP1718" i="16"/>
  <c r="AP1715" i="16"/>
  <c r="AP1714" i="16"/>
  <c r="AP1710" i="16"/>
  <c r="AP1705" i="16"/>
  <c r="AP1701" i="16"/>
  <c r="AP1700" i="16"/>
  <c r="AP1695" i="16"/>
  <c r="AP1686" i="16"/>
  <c r="AP1681" i="16"/>
  <c r="AP1679" i="16"/>
  <c r="AP1678" i="16"/>
  <c r="AP1676" i="16"/>
  <c r="AP1665" i="16"/>
  <c r="AP1662" i="16"/>
  <c r="AP1661" i="16"/>
  <c r="AP1651" i="16"/>
  <c r="AP1642" i="16"/>
  <c r="AP1639" i="16"/>
  <c r="AP1637" i="16"/>
  <c r="AP1626" i="16"/>
  <c r="AP1625" i="16"/>
  <c r="AP1624" i="16"/>
  <c r="AP1623" i="16"/>
  <c r="AP1618" i="16"/>
  <c r="AP1614" i="16"/>
  <c r="AP1608" i="16"/>
  <c r="AP1606" i="16"/>
  <c r="AP1604" i="16"/>
  <c r="AP1601" i="16"/>
  <c r="AP1599" i="16"/>
  <c r="AP1597" i="16"/>
  <c r="AP1594" i="16"/>
  <c r="AP1592" i="16"/>
  <c r="AP1589" i="16"/>
  <c r="AP1583" i="16"/>
  <c r="AP1580" i="16"/>
  <c r="AP1576" i="16"/>
  <c r="AP1573" i="16"/>
  <c r="AP1570" i="16"/>
  <c r="AP1565" i="16"/>
  <c r="AP1559" i="16"/>
  <c r="AP1553" i="16"/>
  <c r="AP1551" i="16"/>
  <c r="AP1548" i="16"/>
  <c r="AP1547" i="16"/>
  <c r="AP1546" i="16"/>
  <c r="AP1541" i="16"/>
  <c r="AP1539" i="16"/>
  <c r="AP1537" i="16"/>
  <c r="AP1530" i="16"/>
  <c r="AP1529" i="16"/>
  <c r="AP1527" i="16"/>
  <c r="AP1513" i="16"/>
  <c r="AP1509" i="16"/>
  <c r="AP1505" i="16"/>
  <c r="AP1504" i="16"/>
  <c r="AP1502" i="16"/>
  <c r="AP1496" i="16"/>
  <c r="AP1494" i="16"/>
  <c r="AP1493" i="16"/>
  <c r="AP1492" i="16"/>
  <c r="AP1488" i="16"/>
  <c r="AP1486" i="16"/>
  <c r="AP1484" i="16"/>
  <c r="AP1480" i="16"/>
  <c r="AP1477" i="16"/>
  <c r="AP1471" i="16"/>
  <c r="AP1464" i="16"/>
  <c r="AP1463" i="16"/>
  <c r="AP1459" i="16"/>
  <c r="AP1454" i="16"/>
  <c r="AP1449" i="16"/>
  <c r="AP1440" i="16"/>
  <c r="AP1433" i="16"/>
  <c r="AP1432" i="16"/>
  <c r="AP1427" i="16"/>
  <c r="AP1398" i="16"/>
  <c r="AP1390" i="16"/>
  <c r="AP1387" i="16"/>
  <c r="AP1384" i="16"/>
  <c r="AP1383" i="16"/>
  <c r="AP1379" i="16"/>
  <c r="AP1371" i="16"/>
  <c r="AP1368" i="16"/>
  <c r="AP1366" i="16"/>
  <c r="AP1364" i="16"/>
  <c r="AP1361" i="16"/>
  <c r="AP1360" i="16"/>
  <c r="AP1359" i="16"/>
  <c r="AP1358" i="16"/>
  <c r="AP1357" i="16"/>
  <c r="AP1356" i="16"/>
  <c r="AP1355" i="16"/>
  <c r="AP1354" i="16"/>
  <c r="AP1339" i="16"/>
  <c r="AP1336" i="16"/>
  <c r="AP1333" i="16"/>
  <c r="AP1331" i="16"/>
  <c r="AP1330" i="16"/>
  <c r="AP1329" i="16"/>
  <c r="AP1328" i="16"/>
  <c r="AP1321" i="16"/>
  <c r="AP1319" i="16"/>
  <c r="AP1317" i="16"/>
  <c r="AP1305" i="16"/>
  <c r="AP1299" i="16"/>
  <c r="AP1291" i="16"/>
  <c r="AP1288" i="16"/>
  <c r="AP1287" i="16"/>
  <c r="AP1265" i="16"/>
  <c r="AP1260" i="16"/>
  <c r="AP1256" i="16"/>
  <c r="AP1255" i="16"/>
  <c r="AP1253" i="16"/>
  <c r="AP1250" i="16"/>
  <c r="AP1247" i="16"/>
  <c r="AP1242" i="16"/>
  <c r="AP1237" i="16"/>
  <c r="AP1233" i="16"/>
  <c r="AP1230" i="16"/>
  <c r="AP1226" i="16"/>
  <c r="AP1217" i="16"/>
  <c r="AP1189" i="16"/>
  <c r="AP1187" i="16"/>
  <c r="AP1185" i="16"/>
  <c r="AP1183" i="16"/>
  <c r="AP1178" i="16"/>
  <c r="AP1177" i="16"/>
  <c r="AP1174" i="16"/>
  <c r="AP1172" i="16"/>
  <c r="AP1171" i="16"/>
  <c r="AP1170" i="16"/>
  <c r="AP1168" i="16"/>
  <c r="AP1160" i="16"/>
  <c r="AP1132" i="16"/>
  <c r="AP1129" i="16"/>
  <c r="AP1128" i="16"/>
  <c r="AP1127" i="16"/>
  <c r="AP1124" i="16"/>
  <c r="AP1122" i="16"/>
  <c r="AP1120" i="16"/>
  <c r="AP1110" i="16"/>
  <c r="AP1108" i="16"/>
  <c r="AP1106" i="16"/>
  <c r="AP1104" i="16"/>
  <c r="AP1089" i="16"/>
  <c r="AP1087" i="16"/>
  <c r="AP1076" i="16"/>
  <c r="AP1074" i="16"/>
  <c r="AP1072" i="16"/>
  <c r="AP1071" i="16"/>
  <c r="AP1068" i="16"/>
  <c r="AP1066" i="16"/>
  <c r="AP1060" i="16"/>
  <c r="AP1055" i="16"/>
  <c r="AP1053" i="16"/>
  <c r="AP1048" i="16"/>
  <c r="AP1043" i="16"/>
  <c r="AP1042" i="16"/>
  <c r="AP1040" i="16"/>
  <c r="AP1036" i="16"/>
  <c r="AP1031" i="16"/>
  <c r="AP1027" i="16"/>
  <c r="AP1021" i="16"/>
  <c r="AP1016" i="16"/>
  <c r="AP1013" i="16"/>
  <c r="AP1007" i="16"/>
  <c r="AP1000" i="16"/>
  <c r="AP994" i="16"/>
  <c r="AP988" i="16"/>
  <c r="AP978" i="16"/>
  <c r="AP970" i="16"/>
  <c r="AP962" i="16"/>
  <c r="AP955" i="16"/>
  <c r="AP948" i="16"/>
  <c r="AP947" i="16"/>
  <c r="AP941" i="16"/>
  <c r="AP939" i="16"/>
  <c r="AP936" i="16"/>
  <c r="AP933" i="16"/>
  <c r="AP920" i="16"/>
  <c r="AP909" i="16"/>
  <c r="AP903" i="16"/>
  <c r="AP898" i="16"/>
  <c r="AP897" i="16"/>
  <c r="AP895" i="16"/>
  <c r="AP887" i="16"/>
  <c r="AP881" i="16"/>
  <c r="AP854" i="16"/>
  <c r="AP851" i="16"/>
  <c r="AP835" i="16"/>
  <c r="AP819" i="16"/>
  <c r="AP817" i="16"/>
  <c r="AP813" i="16"/>
  <c r="AP812" i="16"/>
  <c r="AP809" i="16"/>
  <c r="AP803" i="16"/>
  <c r="AP800" i="16"/>
  <c r="AP795" i="16"/>
  <c r="AP786" i="16"/>
  <c r="AP775" i="16"/>
  <c r="AP767" i="16"/>
  <c r="AP757" i="16"/>
  <c r="AP749" i="16"/>
  <c r="AP747" i="16"/>
  <c r="AP743" i="16"/>
  <c r="AP742" i="16"/>
  <c r="AP741" i="16"/>
  <c r="AP739" i="16"/>
  <c r="AP737" i="16"/>
  <c r="AP733" i="16"/>
  <c r="AP728" i="16"/>
  <c r="AP724" i="16"/>
  <c r="AP723" i="16"/>
  <c r="AP722" i="16"/>
  <c r="AP721" i="16"/>
  <c r="AP720" i="16"/>
  <c r="AP719" i="16"/>
  <c r="AP718" i="16"/>
  <c r="AP707" i="16"/>
  <c r="AP701" i="16"/>
  <c r="AP695" i="16"/>
  <c r="AP689" i="16"/>
  <c r="AP683" i="16"/>
  <c r="AP677" i="16"/>
  <c r="AP670" i="16"/>
  <c r="AP662" i="16"/>
  <c r="AP655" i="16"/>
  <c r="AP646" i="16"/>
  <c r="AP634" i="16"/>
  <c r="AP631" i="16"/>
  <c r="AP621" i="16"/>
  <c r="AP618" i="16"/>
  <c r="AP617" i="16"/>
  <c r="AP615" i="16"/>
  <c r="AP606" i="16"/>
  <c r="AP604" i="16"/>
  <c r="AP603" i="16"/>
  <c r="AP601" i="16"/>
  <c r="AP600" i="16"/>
  <c r="AP580" i="16"/>
  <c r="AP579" i="16"/>
  <c r="AP578" i="16"/>
  <c r="AP577" i="16"/>
  <c r="AP576" i="16"/>
  <c r="AP575" i="16"/>
  <c r="AP574" i="16"/>
  <c r="AP573" i="16"/>
  <c r="AP568" i="16"/>
  <c r="AP567" i="16"/>
  <c r="AP566" i="16"/>
  <c r="AP565" i="16"/>
  <c r="AP564" i="16"/>
  <c r="AP563" i="16"/>
  <c r="AP562" i="16"/>
  <c r="AP561" i="16"/>
  <c r="AP560" i="16"/>
  <c r="AP547" i="16"/>
  <c r="AP545" i="16"/>
  <c r="AP532" i="16"/>
  <c r="AP527" i="16"/>
  <c r="AP525" i="16"/>
  <c r="AP523" i="16"/>
  <c r="AP521" i="16"/>
  <c r="AP516" i="16"/>
  <c r="AP509" i="16"/>
  <c r="AP503" i="16"/>
  <c r="AP499" i="16"/>
  <c r="AP497" i="16"/>
  <c r="AP492" i="16"/>
  <c r="AP488" i="16"/>
  <c r="AP485" i="16"/>
  <c r="AP484" i="16"/>
  <c r="AP482" i="16"/>
  <c r="AP477" i="16"/>
  <c r="AP476" i="16"/>
  <c r="AP474" i="16"/>
  <c r="AP468" i="16"/>
  <c r="AP465" i="16"/>
  <c r="AP463" i="16"/>
  <c r="AP451" i="16"/>
  <c r="AP449" i="16"/>
  <c r="AP447" i="16"/>
  <c r="AP441" i="16"/>
  <c r="AP437" i="16"/>
  <c r="AP436" i="16"/>
  <c r="AP433" i="16"/>
  <c r="AP423" i="16"/>
  <c r="AP415" i="16"/>
  <c r="AP411" i="16"/>
  <c r="AP409" i="16"/>
  <c r="AP407" i="16"/>
  <c r="AP404" i="16"/>
  <c r="AP402" i="16"/>
  <c r="AP397" i="16"/>
  <c r="AP393" i="16"/>
  <c r="AP389" i="16"/>
  <c r="AP383" i="16"/>
  <c r="AP381" i="16"/>
  <c r="AP380" i="16"/>
  <c r="AP377" i="16"/>
  <c r="AP375" i="16"/>
  <c r="AP371" i="16"/>
  <c r="AP369" i="16"/>
  <c r="AP363" i="16"/>
  <c r="AP361" i="16"/>
  <c r="AP359" i="16"/>
  <c r="AP358" i="16"/>
  <c r="AP354" i="16"/>
  <c r="AP351" i="16"/>
  <c r="AP340" i="16"/>
  <c r="AP332" i="16"/>
  <c r="AP325" i="16"/>
  <c r="AP323" i="16"/>
  <c r="AP319" i="16"/>
  <c r="AP318" i="16"/>
  <c r="AP317" i="16"/>
  <c r="AP310" i="16"/>
  <c r="AP308" i="16"/>
  <c r="AP307" i="16"/>
  <c r="AP306" i="16"/>
  <c r="AP305" i="16"/>
  <c r="AP304" i="16"/>
  <c r="AP298" i="16"/>
  <c r="AP297" i="16"/>
  <c r="AP296" i="16"/>
  <c r="AP295" i="16"/>
  <c r="AP294" i="16"/>
  <c r="AP293" i="16"/>
  <c r="AP289" i="16"/>
  <c r="AP286" i="16"/>
  <c r="AP283" i="16"/>
  <c r="AP257" i="16"/>
  <c r="AP255" i="16"/>
  <c r="AP254" i="16"/>
  <c r="AP248" i="16"/>
  <c r="AP245" i="16"/>
  <c r="AP244" i="16"/>
  <c r="AP240" i="16"/>
  <c r="AP237" i="16"/>
  <c r="AP229" i="16"/>
  <c r="AP225" i="16"/>
  <c r="AP224" i="16"/>
  <c r="AP222" i="16"/>
  <c r="AP215" i="16"/>
  <c r="AP213" i="16"/>
  <c r="AP212" i="16"/>
  <c r="AP211" i="16"/>
  <c r="AP210" i="16"/>
  <c r="AP209" i="16"/>
  <c r="AP208" i="16"/>
  <c r="AP206" i="16"/>
  <c r="AP203" i="16"/>
  <c r="AP199" i="16"/>
  <c r="AP197" i="16"/>
  <c r="AP195" i="16"/>
  <c r="AP194" i="16"/>
  <c r="AP192" i="16"/>
  <c r="AP187" i="16"/>
  <c r="AP185" i="16"/>
  <c r="AP184" i="16"/>
  <c r="AP177" i="16"/>
  <c r="AP169" i="16"/>
  <c r="AP167" i="16"/>
  <c r="AP165" i="16"/>
  <c r="AP162" i="16"/>
  <c r="AP160" i="16"/>
  <c r="AP159" i="16"/>
  <c r="AP158" i="16"/>
  <c r="AP154" i="16"/>
  <c r="AP152" i="16"/>
  <c r="AP150" i="16"/>
  <c r="AP147" i="16"/>
  <c r="AP145" i="16"/>
  <c r="AP140" i="16"/>
  <c r="AP139" i="16"/>
  <c r="AP134" i="16"/>
  <c r="AP132" i="16"/>
  <c r="AP130" i="16"/>
  <c r="AP128" i="16"/>
  <c r="AP122" i="16"/>
  <c r="AP120" i="16"/>
  <c r="AP113" i="16"/>
  <c r="AP106" i="16"/>
  <c r="AP102" i="16"/>
  <c r="AP99" i="16"/>
  <c r="AP91" i="16"/>
  <c r="AP90" i="16"/>
  <c r="AP89" i="16"/>
  <c r="AP87" i="16"/>
  <c r="AP86" i="16"/>
  <c r="AP82" i="16"/>
  <c r="AP78" i="16"/>
  <c r="AP76" i="16"/>
  <c r="AP71" i="16"/>
  <c r="AP69" i="16"/>
  <c r="AP68" i="16"/>
  <c r="AP67" i="16"/>
  <c r="AP64" i="16"/>
  <c r="AP62" i="16"/>
  <c r="AP61" i="16"/>
  <c r="AP60" i="16"/>
  <c r="AP58" i="16"/>
  <c r="AP56" i="16"/>
  <c r="AP55" i="16"/>
  <c r="AP44" i="16"/>
  <c r="AP38" i="16"/>
  <c r="AP35" i="16"/>
  <c r="AP26" i="16"/>
  <c r="AP24" i="16"/>
  <c r="AP22" i="16"/>
  <c r="AP20" i="16"/>
  <c r="AP17" i="16"/>
  <c r="AP16" i="16"/>
  <c r="AP15" i="16"/>
  <c r="AP14" i="16"/>
  <c r="AN14" i="16"/>
  <c r="AN20" i="16"/>
  <c r="AN22" i="16"/>
  <c r="AN24" i="16"/>
  <c r="AN26" i="16"/>
  <c r="AN35" i="16"/>
  <c r="AN38" i="16"/>
  <c r="AN44" i="16"/>
  <c r="AN56" i="16"/>
  <c r="AN55" i="16"/>
  <c r="AN58" i="16"/>
  <c r="AN62" i="16"/>
  <c r="AN61" i="16"/>
  <c r="AN60" i="16"/>
  <c r="AN64" i="16"/>
  <c r="AN69" i="16"/>
  <c r="AN68" i="16"/>
  <c r="AN71" i="16"/>
  <c r="AN76" i="16"/>
  <c r="AN78" i="16"/>
  <c r="AN82" i="16"/>
  <c r="AN84" i="16"/>
  <c r="AN91" i="16"/>
  <c r="AN99" i="16"/>
  <c r="AN102" i="16"/>
  <c r="AN106" i="16"/>
  <c r="AN113" i="16"/>
  <c r="AN122" i="16"/>
  <c r="AN128" i="16"/>
  <c r="AN130" i="16"/>
  <c r="AN132" i="16"/>
  <c r="AN134" i="16"/>
  <c r="AN140" i="16"/>
  <c r="AN139" i="16"/>
  <c r="AN145" i="16"/>
  <c r="AN147" i="16"/>
  <c r="AN150" i="16"/>
  <c r="AN152" i="16"/>
  <c r="AN154" i="16"/>
  <c r="AN160" i="16"/>
  <c r="AN159" i="16"/>
  <c r="AN158" i="16"/>
  <c r="AN162" i="16"/>
  <c r="AN165" i="16"/>
  <c r="AN167" i="16"/>
  <c r="AN169" i="16"/>
  <c r="AN177" i="16"/>
  <c r="AN185" i="16"/>
  <c r="AN184" i="16"/>
  <c r="AN187" i="16"/>
  <c r="AN192" i="16"/>
  <c r="AN195" i="16"/>
  <c r="AN194" i="16"/>
  <c r="AN197" i="16"/>
  <c r="AN199" i="16"/>
  <c r="AN203" i="16"/>
  <c r="AN207" i="16"/>
  <c r="AN206" i="16"/>
  <c r="AN215" i="16"/>
  <c r="AN222" i="16"/>
  <c r="AN225" i="16"/>
  <c r="AN224" i="16"/>
  <c r="AN229" i="16"/>
  <c r="AN235" i="16"/>
  <c r="AN245" i="16"/>
  <c r="AN248" i="16"/>
  <c r="AN255" i="16"/>
  <c r="AN254" i="16"/>
  <c r="AN257" i="16"/>
  <c r="AN267" i="16"/>
  <c r="AN283" i="16"/>
  <c r="AN286" i="16"/>
  <c r="AN289" i="16"/>
  <c r="AN298" i="16"/>
  <c r="AN297" i="16"/>
  <c r="AN296" i="16"/>
  <c r="AN295" i="16"/>
  <c r="AN294" i="16"/>
  <c r="AN293" i="16"/>
  <c r="AN309" i="16"/>
  <c r="AN308" i="16"/>
  <c r="AN307" i="16"/>
  <c r="AN306" i="16"/>
  <c r="AN305" i="16"/>
  <c r="AN304" i="16"/>
  <c r="AN314" i="16"/>
  <c r="AN332" i="16"/>
  <c r="AN340" i="16"/>
  <c r="AN354" i="16"/>
  <c r="AN356" i="16"/>
  <c r="AN363" i="16"/>
  <c r="AN369" i="16"/>
  <c r="AN375" i="16"/>
  <c r="AN381" i="16"/>
  <c r="AN383" i="16"/>
  <c r="AN389" i="16"/>
  <c r="AN393" i="16"/>
  <c r="AN397" i="16"/>
  <c r="AN402" i="16"/>
  <c r="AN404" i="16"/>
  <c r="AN407" i="16"/>
  <c r="AN409" i="16"/>
  <c r="AN411" i="16"/>
  <c r="AN433" i="16"/>
  <c r="AN437" i="16"/>
  <c r="AN436" i="16"/>
  <c r="AN441" i="16"/>
  <c r="AN447" i="16"/>
  <c r="AN450" i="16"/>
  <c r="AN449" i="16"/>
  <c r="AN465" i="16"/>
  <c r="AN474" i="16"/>
  <c r="AN478" i="16"/>
  <c r="AN477" i="16"/>
  <c r="AN476" i="16"/>
  <c r="AN488" i="16"/>
  <c r="AN497" i="16"/>
  <c r="AN499" i="16"/>
  <c r="AN503" i="16"/>
  <c r="AN509" i="16"/>
  <c r="AN516" i="16"/>
  <c r="AN520" i="16"/>
  <c r="AN532" i="16"/>
  <c r="AN547" i="16"/>
  <c r="AN556" i="16"/>
  <c r="AN572" i="16"/>
  <c r="AN600" i="16"/>
  <c r="AN603" i="16"/>
  <c r="AN606" i="16"/>
  <c r="AN615" i="16"/>
  <c r="AN618" i="16"/>
  <c r="AN617" i="16"/>
  <c r="AN621" i="16"/>
  <c r="AN630" i="16"/>
  <c r="AN646" i="16"/>
  <c r="AN655" i="16"/>
  <c r="AN662" i="16"/>
  <c r="AN664" i="16"/>
  <c r="AN707" i="16"/>
  <c r="AN715" i="16"/>
  <c r="AN726" i="16"/>
  <c r="AN751" i="16"/>
  <c r="AN785" i="16"/>
  <c r="AN907" i="16"/>
  <c r="AN919" i="16"/>
  <c r="AN939" i="16"/>
  <c r="AN946" i="16"/>
  <c r="AN948" i="16"/>
  <c r="AN951" i="16"/>
  <c r="AN970" i="16"/>
  <c r="AN1000" i="16"/>
  <c r="AN1006" i="16"/>
  <c r="AN1012" i="16"/>
  <c r="AN1015" i="16"/>
  <c r="AN1020" i="16"/>
  <c r="AN1026" i="16"/>
  <c r="AN1031" i="16"/>
  <c r="AN1035" i="16"/>
  <c r="AN1040" i="16"/>
  <c r="AN1043" i="16"/>
  <c r="AN1042" i="16"/>
  <c r="AN1047" i="16"/>
  <c r="AN1053" i="16"/>
  <c r="AN1060" i="16"/>
  <c r="AN1066" i="16"/>
  <c r="AN1068" i="16"/>
  <c r="AN1070" i="16"/>
  <c r="AN1076" i="16"/>
  <c r="AN1089" i="16"/>
  <c r="AN1092" i="16"/>
  <c r="AN1100" i="16"/>
  <c r="AN1099" i="16"/>
  <c r="AN1098" i="16"/>
  <c r="AN1097" i="16"/>
  <c r="AN1104" i="16"/>
  <c r="AN1106" i="16"/>
  <c r="AN1109" i="16"/>
  <c r="AN1108" i="16"/>
  <c r="AN1120" i="16"/>
  <c r="AN1122" i="16"/>
  <c r="AN1124" i="16"/>
  <c r="AN1129" i="16"/>
  <c r="AN1128" i="16"/>
  <c r="AN1127" i="16"/>
  <c r="AN1132" i="16"/>
  <c r="AN1160" i="16"/>
  <c r="AN1162" i="16"/>
  <c r="AN1189" i="16"/>
  <c r="AN1213" i="16"/>
  <c r="AN1226" i="16"/>
  <c r="AN1230" i="16"/>
  <c r="AN1233" i="16"/>
  <c r="AN1237" i="16"/>
  <c r="AN1242" i="16"/>
  <c r="AN1247" i="16"/>
  <c r="AN1250" i="16"/>
  <c r="AN1252" i="16"/>
  <c r="AN1256" i="16"/>
  <c r="AN1255" i="16"/>
  <c r="AN1260" i="16"/>
  <c r="AN1265" i="16"/>
  <c r="AN1274" i="16"/>
  <c r="AN1288" i="16"/>
  <c r="AN1287" i="16"/>
  <c r="AN1291" i="16"/>
  <c r="AN1299" i="16"/>
  <c r="AN1305" i="16"/>
  <c r="AN1317" i="16"/>
  <c r="AN1319" i="16"/>
  <c r="AN1321" i="16"/>
  <c r="AN1326" i="16"/>
  <c r="AN1336" i="16"/>
  <c r="AN1339" i="16"/>
  <c r="AN1346" i="16"/>
  <c r="AN1364" i="16"/>
  <c r="AN1366" i="16"/>
  <c r="AN1368" i="16"/>
  <c r="AN1370" i="16"/>
  <c r="AN1379" i="16"/>
  <c r="AN1384" i="16"/>
  <c r="AN1383" i="16"/>
  <c r="AN1387" i="16"/>
  <c r="AN1390" i="16"/>
  <c r="AN1397" i="16"/>
  <c r="AN1427" i="16"/>
  <c r="AN1433" i="16"/>
  <c r="AN1432" i="16"/>
  <c r="AN1440" i="16"/>
  <c r="AN1449" i="16"/>
  <c r="AN1454" i="16"/>
  <c r="AN1459" i="16"/>
  <c r="AN1464" i="16"/>
  <c r="AN1463" i="16"/>
  <c r="AN1471" i="16"/>
  <c r="AN1477" i="16"/>
  <c r="AN1480" i="16"/>
  <c r="AN1484" i="16"/>
  <c r="AN1486" i="16"/>
  <c r="AN1488" i="16"/>
  <c r="AN1494" i="16"/>
  <c r="AN1493" i="16"/>
  <c r="AN1492" i="16"/>
  <c r="AN1502" i="16"/>
  <c r="AN1505" i="16"/>
  <c r="AN1509" i="16"/>
  <c r="AN1513" i="16"/>
  <c r="AN1524" i="16"/>
  <c r="AN1530" i="16"/>
  <c r="AN1533" i="16"/>
  <c r="AN1540" i="16"/>
  <c r="AN1543" i="16"/>
  <c r="AN1548" i="16"/>
  <c r="AN1551" i="16"/>
  <c r="AN1553" i="16"/>
  <c r="AN1559" i="16"/>
  <c r="AN1565" i="16"/>
  <c r="AN1570" i="16"/>
  <c r="AN1573" i="16"/>
  <c r="AN1580" i="16"/>
  <c r="AN1583" i="16"/>
  <c r="AN1589" i="16"/>
  <c r="AN1592" i="16"/>
  <c r="AN1594" i="16"/>
  <c r="AN1597" i="16"/>
  <c r="AN1599" i="16"/>
  <c r="AN1601" i="16"/>
  <c r="AN1604" i="16"/>
  <c r="AN1606" i="16"/>
  <c r="AN1608" i="16"/>
  <c r="AN1615" i="16"/>
  <c r="AN1614" i="16"/>
  <c r="AN1637" i="16"/>
  <c r="AN1639" i="16"/>
  <c r="AN1644" i="16"/>
  <c r="AN1665" i="16"/>
  <c r="AN1674" i="16"/>
  <c r="AN1681" i="16"/>
  <c r="AN1686" i="16"/>
  <c r="AN1692" i="16"/>
  <c r="AN1705" i="16"/>
  <c r="AN1712" i="16"/>
  <c r="AN1718" i="16"/>
  <c r="AN1720" i="16"/>
  <c r="AN1728" i="16"/>
  <c r="AN1732" i="16"/>
  <c r="AN1735" i="16"/>
  <c r="AN1739" i="16"/>
  <c r="AN1743" i="16"/>
  <c r="AN1748" i="16"/>
  <c r="AN1758" i="16"/>
  <c r="AN1767" i="16"/>
  <c r="AN1769" i="16"/>
  <c r="AN1772" i="16"/>
  <c r="AN1777" i="16"/>
  <c r="AN1782" i="16"/>
  <c r="AN1781" i="16"/>
  <c r="AN1789" i="16"/>
  <c r="AN1795" i="16"/>
  <c r="AN1799" i="16"/>
  <c r="AN1803" i="16"/>
  <c r="AN1811" i="16"/>
  <c r="AN1816" i="16"/>
  <c r="AN1820" i="16"/>
  <c r="AN1825" i="16"/>
  <c r="AN1830" i="16"/>
  <c r="AN1896" i="16"/>
  <c r="AN1914" i="16"/>
  <c r="AN1941" i="16"/>
  <c r="AN1983" i="16"/>
  <c r="AN2002" i="16"/>
  <c r="AN2004" i="16"/>
  <c r="AL2004" i="16"/>
  <c r="AL2002" i="16"/>
  <c r="AL1989" i="16"/>
  <c r="AL1986" i="16"/>
  <c r="AL1984" i="16"/>
  <c r="AL1983" i="16"/>
  <c r="AL1967" i="16"/>
  <c r="AL1945" i="16"/>
  <c r="AL1941" i="16"/>
  <c r="AL1920" i="16"/>
  <c r="AL1918" i="16"/>
  <c r="AL1914" i="16"/>
  <c r="AL1905" i="16"/>
  <c r="AL1902" i="16"/>
  <c r="AL1899" i="16"/>
  <c r="AL1896" i="16"/>
  <c r="AL1878" i="16"/>
  <c r="AL1835" i="16"/>
  <c r="AL1834" i="16"/>
  <c r="AL1833" i="16"/>
  <c r="AL1830" i="16"/>
  <c r="AL1825" i="16"/>
  <c r="AL1820" i="16"/>
  <c r="AL1816" i="16"/>
  <c r="AL1811" i="16"/>
  <c r="AL1803" i="16"/>
  <c r="AL1801" i="16"/>
  <c r="AL1800" i="16"/>
  <c r="AL1798" i="16"/>
  <c r="AL1796" i="16"/>
  <c r="AL1791" i="16"/>
  <c r="AL1789" i="16"/>
  <c r="AL1782" i="16"/>
  <c r="AL1781" i="16"/>
  <c r="AL1779" i="16"/>
  <c r="AL1778" i="16"/>
  <c r="AL1777" i="16"/>
  <c r="AL1772" i="16"/>
  <c r="AL1769" i="16"/>
  <c r="AL1767" i="16"/>
  <c r="AL1766" i="16"/>
  <c r="AL1765" i="16"/>
  <c r="AL1763" i="16"/>
  <c r="AL1761" i="16"/>
  <c r="AL1758" i="16"/>
  <c r="AL1748" i="16"/>
  <c r="AL1746" i="16"/>
  <c r="AL1744" i="16"/>
  <c r="AL1743" i="16"/>
  <c r="AL1739" i="16"/>
  <c r="AL1738" i="16"/>
  <c r="AL1737" i="16"/>
  <c r="AL1735" i="16"/>
  <c r="AL1732" i="16"/>
  <c r="AL1730" i="16"/>
  <c r="AL1728" i="16"/>
  <c r="AL1720" i="16"/>
  <c r="AL1718" i="16"/>
  <c r="AL1715" i="16"/>
  <c r="AL1714" i="16"/>
  <c r="AL1710" i="16"/>
  <c r="AL1705" i="16"/>
  <c r="AL1701" i="16"/>
  <c r="AL1700" i="16"/>
  <c r="AL1695" i="16"/>
  <c r="AL1686" i="16"/>
  <c r="AL1681" i="16"/>
  <c r="AL1674" i="16"/>
  <c r="AL1665" i="16"/>
  <c r="AL1644" i="16"/>
  <c r="AL1642" i="16"/>
  <c r="AL1639" i="16"/>
  <c r="AL1637" i="16"/>
  <c r="AL1633" i="16"/>
  <c r="AL1631" i="16"/>
  <c r="AL1630" i="16"/>
  <c r="AL1629" i="16"/>
  <c r="AL1627" i="16"/>
  <c r="AL1618" i="16"/>
  <c r="AL1615" i="16"/>
  <c r="AL1614" i="16"/>
  <c r="AL1608" i="16"/>
  <c r="AL1607" i="16"/>
  <c r="AL1605" i="16"/>
  <c r="AL1601" i="16"/>
  <c r="AL1600" i="16"/>
  <c r="AL1598" i="16"/>
  <c r="AL1595" i="16"/>
  <c r="AL1593" i="16"/>
  <c r="AL1590" i="16"/>
  <c r="AL1585" i="16"/>
  <c r="AL1584" i="16"/>
  <c r="AL1580" i="16"/>
  <c r="AL1576" i="16"/>
  <c r="AL1575" i="16"/>
  <c r="AL1574" i="16"/>
  <c r="AL1572" i="16"/>
  <c r="AL1571" i="16"/>
  <c r="AL1565" i="16"/>
  <c r="AL1559" i="16"/>
  <c r="AL1553" i="16"/>
  <c r="AL1551" i="16"/>
  <c r="AL1548" i="16"/>
  <c r="AL1543" i="16"/>
  <c r="AL1540" i="16"/>
  <c r="AL1539" i="16"/>
  <c r="AL1537" i="16"/>
  <c r="AL1530" i="16"/>
  <c r="AL1529" i="16"/>
  <c r="AL1527" i="16"/>
  <c r="AL1521" i="16"/>
  <c r="AL1519" i="16"/>
  <c r="AL1518" i="16"/>
  <c r="AL1517" i="16"/>
  <c r="AL1514" i="16"/>
  <c r="AL1509" i="16"/>
  <c r="AL1505" i="16"/>
  <c r="AL1504" i="16"/>
  <c r="AL1502" i="16"/>
  <c r="AL1494" i="16"/>
  <c r="AL1493" i="16"/>
  <c r="AL1492" i="16"/>
  <c r="AL1488" i="16"/>
  <c r="AL1486" i="16"/>
  <c r="AL1484" i="16"/>
  <c r="AL1480" i="16"/>
  <c r="AL1477" i="16"/>
  <c r="AL1471" i="16"/>
  <c r="AL1464" i="16"/>
  <c r="AL1463" i="16"/>
  <c r="AL1459" i="16"/>
  <c r="AL1454" i="16"/>
  <c r="AL1453" i="16"/>
  <c r="AL1452" i="16"/>
  <c r="AL1451" i="16"/>
  <c r="AL1440" i="16"/>
  <c r="AL1434" i="16"/>
  <c r="AL1433" i="16"/>
  <c r="AL1432" i="16"/>
  <c r="AL1427" i="16"/>
  <c r="AL1413" i="16"/>
  <c r="AL1422" i="16"/>
  <c r="AL1420" i="16"/>
  <c r="AL1417" i="16"/>
  <c r="AL1415" i="16"/>
  <c r="AL1411" i="16"/>
  <c r="AL1390" i="16"/>
  <c r="AL1387" i="16"/>
  <c r="AL1384" i="16"/>
  <c r="AL1383" i="16"/>
  <c r="AL1379" i="16"/>
  <c r="AL1370" i="16"/>
  <c r="AL1368" i="16"/>
  <c r="AL1366" i="16"/>
  <c r="AL1364" i="16"/>
  <c r="AL1349" i="16"/>
  <c r="AL1348" i="16"/>
  <c r="AL1344" i="16"/>
  <c r="AL1342" i="16"/>
  <c r="AL1336" i="16"/>
  <c r="AL1333" i="16"/>
  <c r="AL1331" i="16"/>
  <c r="AL1330" i="16"/>
  <c r="AL1329" i="16"/>
  <c r="AL1328" i="16"/>
  <c r="AL1326" i="16"/>
  <c r="AL1321" i="16"/>
  <c r="AL1319" i="16"/>
  <c r="AL1317" i="16"/>
  <c r="AL1305" i="16"/>
  <c r="AL1303" i="16"/>
  <c r="AL1302" i="16"/>
  <c r="AL1291" i="16"/>
  <c r="AL1288" i="16"/>
  <c r="AL1287" i="16"/>
  <c r="AL1274" i="16"/>
  <c r="AL1265" i="16"/>
  <c r="AL1260" i="16"/>
  <c r="AL1256" i="16"/>
  <c r="AL1255" i="16"/>
  <c r="AL1252" i="16"/>
  <c r="AL1250" i="16"/>
  <c r="AL1247" i="16"/>
  <c r="AL1246" i="16"/>
  <c r="AL1245" i="16"/>
  <c r="AL1241" i="16"/>
  <c r="AL1240" i="16"/>
  <c r="AL1236" i="16"/>
  <c r="AL1235" i="16"/>
  <c r="AL1230" i="16"/>
  <c r="AL1229" i="16"/>
  <c r="AL1228" i="16"/>
  <c r="AL1189" i="16"/>
  <c r="AL1165" i="16"/>
  <c r="AL1164" i="16"/>
  <c r="AL1160" i="16"/>
  <c r="AL1132" i="16"/>
  <c r="AL1129" i="16"/>
  <c r="AL1128" i="16"/>
  <c r="AL1127" i="16"/>
  <c r="AL1124" i="16"/>
  <c r="AL1122" i="16"/>
  <c r="AL1120" i="16"/>
  <c r="AL1116" i="16"/>
  <c r="AL1115" i="16"/>
  <c r="AL1114" i="16"/>
  <c r="AL1113" i="16"/>
  <c r="AL1112" i="16"/>
  <c r="AL1108" i="16"/>
  <c r="AL1106" i="16"/>
  <c r="AL1104" i="16"/>
  <c r="AL1103" i="16"/>
  <c r="AL1102" i="16"/>
  <c r="AL1101" i="16"/>
  <c r="AL1099" i="16"/>
  <c r="AL1098" i="16"/>
  <c r="AL1097" i="16"/>
  <c r="AL1095" i="16"/>
  <c r="AL1094" i="16"/>
  <c r="AL1091" i="16"/>
  <c r="AL1090" i="16"/>
  <c r="AL1084" i="16"/>
  <c r="AL1083" i="16"/>
  <c r="AL1082" i="16"/>
  <c r="AL1070" i="16"/>
  <c r="AL1068" i="16"/>
  <c r="AL1066" i="16"/>
  <c r="AL1060" i="16"/>
  <c r="AL1053" i="16"/>
  <c r="AL1052" i="16"/>
  <c r="AL1051" i="16"/>
  <c r="AL1050" i="16"/>
  <c r="AL1043" i="16"/>
  <c r="AL1042" i="16"/>
  <c r="AL1041" i="16"/>
  <c r="AL1040" i="16"/>
  <c r="AL1039" i="16"/>
  <c r="AL1038" i="16"/>
  <c r="AL1037" i="16"/>
  <c r="AL1036" i="16"/>
  <c r="AL1031" i="16"/>
  <c r="AL1030" i="16"/>
  <c r="AL1029" i="16"/>
  <c r="AL1028" i="16"/>
  <c r="AL1027" i="16"/>
  <c r="AL1022" i="16"/>
  <c r="AL1021" i="16"/>
  <c r="AL1019" i="16"/>
  <c r="AL1018" i="16"/>
  <c r="AL1017" i="16"/>
  <c r="AL1016" i="16"/>
  <c r="AL1014" i="16"/>
  <c r="AL1013" i="16"/>
  <c r="AL1011" i="16"/>
  <c r="AL1010" i="16"/>
  <c r="AL1009" i="16"/>
  <c r="AL1008" i="16"/>
  <c r="AL1007" i="16"/>
  <c r="AL1000" i="16"/>
  <c r="AL977" i="16"/>
  <c r="AL976" i="16"/>
  <c r="AL975" i="16"/>
  <c r="AL970" i="16"/>
  <c r="AL955" i="16"/>
  <c r="AL951" i="16"/>
  <c r="AL948" i="16"/>
  <c r="AL946" i="16"/>
  <c r="AL939" i="16"/>
  <c r="AL936" i="16"/>
  <c r="AL933" i="16"/>
  <c r="AL920" i="16"/>
  <c r="AL919" i="16"/>
  <c r="AL907" i="16"/>
  <c r="AL903" i="16"/>
  <c r="AL898" i="16"/>
  <c r="AL893" i="16"/>
  <c r="AL887" i="16"/>
  <c r="AL881" i="16"/>
  <c r="AL854" i="16"/>
  <c r="AL832" i="16"/>
  <c r="AL816" i="16"/>
  <c r="AL813" i="16"/>
  <c r="AL812" i="16"/>
  <c r="AL809" i="16"/>
  <c r="AL803" i="16"/>
  <c r="AL800" i="16"/>
  <c r="AL751" i="16"/>
  <c r="AL749" i="16"/>
  <c r="AL747" i="16"/>
  <c r="AL743" i="16"/>
  <c r="AL742" i="16"/>
  <c r="AL741" i="16"/>
  <c r="AL739" i="16"/>
  <c r="AL737" i="16"/>
  <c r="AL733" i="16"/>
  <c r="AL728" i="16"/>
  <c r="AL726" i="16"/>
  <c r="AL724" i="16"/>
  <c r="AL723" i="16"/>
  <c r="AL722" i="16"/>
  <c r="AL721" i="16"/>
  <c r="AL720" i="16"/>
  <c r="AL719" i="16"/>
  <c r="AL718" i="16"/>
  <c r="AL715" i="16"/>
  <c r="AL707" i="16"/>
  <c r="AL682" i="16"/>
  <c r="AL668" i="16"/>
  <c r="AL664" i="16"/>
  <c r="AL662" i="16"/>
  <c r="AL655" i="16"/>
  <c r="AL646" i="16"/>
  <c r="AL630" i="16"/>
  <c r="AL621" i="16"/>
  <c r="AL618" i="16"/>
  <c r="AL617" i="16"/>
  <c r="AL615" i="16"/>
  <c r="AL606" i="16"/>
  <c r="AL603" i="16"/>
  <c r="AL600" i="16"/>
  <c r="AL587" i="16"/>
  <c r="AL585" i="16"/>
  <c r="AL583" i="16"/>
  <c r="AL559" i="16"/>
  <c r="AL558" i="16"/>
  <c r="AL556" i="16"/>
  <c r="AL547" i="16"/>
  <c r="AL532" i="16"/>
  <c r="AL520" i="16"/>
  <c r="AL516" i="16"/>
  <c r="AL509" i="16"/>
  <c r="AL503" i="16"/>
  <c r="AL499" i="16"/>
  <c r="AL497" i="16"/>
  <c r="AL492" i="16"/>
  <c r="AL488" i="16"/>
  <c r="AL478" i="16"/>
  <c r="AL477" i="16"/>
  <c r="AL476" i="16"/>
  <c r="AL474" i="16"/>
  <c r="AL468" i="16"/>
  <c r="AL465" i="16"/>
  <c r="AL463" i="16"/>
  <c r="AL450" i="16"/>
  <c r="AL449" i="16"/>
  <c r="AL447" i="16"/>
  <c r="AL445" i="16"/>
  <c r="AL442" i="16"/>
  <c r="AL437" i="16"/>
  <c r="AL436" i="16"/>
  <c r="AL433" i="16"/>
  <c r="AL423" i="16"/>
  <c r="AL415" i="16"/>
  <c r="AL411" i="16"/>
  <c r="AL409" i="16"/>
  <c r="AL407" i="16"/>
  <c r="AL404" i="16"/>
  <c r="AL402" i="16"/>
  <c r="AL397" i="16"/>
  <c r="AL393" i="16"/>
  <c r="AL389" i="16"/>
  <c r="AL383" i="16"/>
  <c r="AL381" i="16"/>
  <c r="AL377" i="16"/>
  <c r="AL375" i="16"/>
  <c r="AL371" i="16"/>
  <c r="AL369" i="16"/>
  <c r="AL363" i="16"/>
  <c r="AL361" i="16"/>
  <c r="AL356" i="16"/>
  <c r="AL354" i="16"/>
  <c r="AL351" i="16"/>
  <c r="AL340" i="16"/>
  <c r="AL332" i="16"/>
  <c r="AL330" i="16"/>
  <c r="AL328" i="16"/>
  <c r="AL327" i="16"/>
  <c r="AL314" i="16"/>
  <c r="AL313" i="16"/>
  <c r="AL312" i="16"/>
  <c r="AL309" i="16"/>
  <c r="AL308" i="16"/>
  <c r="AL307" i="16"/>
  <c r="AL306" i="16"/>
  <c r="AL305" i="16"/>
  <c r="AL304" i="16"/>
  <c r="AL301" i="16"/>
  <c r="AL298" i="16"/>
  <c r="AL297" i="16"/>
  <c r="AL296" i="16"/>
  <c r="AL295" i="16"/>
  <c r="AL294" i="16"/>
  <c r="AL293" i="16"/>
  <c r="AL289" i="16"/>
  <c r="AL286" i="16"/>
  <c r="AL283" i="16"/>
  <c r="AL275" i="16"/>
  <c r="AL274" i="16"/>
  <c r="AL273" i="16"/>
  <c r="AL272" i="16"/>
  <c r="AL271" i="16"/>
  <c r="AL257" i="16"/>
  <c r="AL255" i="16"/>
  <c r="AL254" i="16"/>
  <c r="AL253" i="16"/>
  <c r="AL252" i="16"/>
  <c r="AL251" i="16"/>
  <c r="AL250" i="16"/>
  <c r="AL249" i="16"/>
  <c r="AL245" i="16"/>
  <c r="AL235" i="16"/>
  <c r="AL233" i="16"/>
  <c r="AL232" i="16"/>
  <c r="AL231" i="16"/>
  <c r="AL228" i="16"/>
  <c r="AL227" i="16"/>
  <c r="AL226" i="16"/>
  <c r="AL224" i="16"/>
  <c r="AL222" i="16"/>
  <c r="AL215" i="16"/>
  <c r="AL207" i="16"/>
  <c r="AL206" i="16"/>
  <c r="AL203" i="16"/>
  <c r="AL199" i="16"/>
  <c r="AL197" i="16"/>
  <c r="AL195" i="16"/>
  <c r="AL194" i="16"/>
  <c r="AL192" i="16"/>
  <c r="AL187" i="16"/>
  <c r="AL185" i="16"/>
  <c r="AL184" i="16"/>
  <c r="AL177" i="16"/>
  <c r="AL169" i="16"/>
  <c r="AL167" i="16"/>
  <c r="AL165" i="16"/>
  <c r="AL162" i="16"/>
  <c r="AL160" i="16"/>
  <c r="AL159" i="16"/>
  <c r="AL158" i="16"/>
  <c r="AL154" i="16"/>
  <c r="AL152" i="16"/>
  <c r="AL150" i="16"/>
  <c r="AL147" i="16"/>
  <c r="AL145" i="16"/>
  <c r="AL140" i="16"/>
  <c r="AL139" i="16"/>
  <c r="AL138" i="16"/>
  <c r="AL137" i="16"/>
  <c r="AL136" i="16"/>
  <c r="AL135" i="16"/>
  <c r="AL132" i="16"/>
  <c r="AL130" i="16"/>
  <c r="AL128" i="16"/>
  <c r="AL127" i="16"/>
  <c r="AL126" i="16"/>
  <c r="AL125" i="16"/>
  <c r="AL124" i="16"/>
  <c r="AL117" i="16"/>
  <c r="AL116" i="16"/>
  <c r="AL115" i="16"/>
  <c r="AL112" i="16"/>
  <c r="AL111" i="16"/>
  <c r="AL110" i="16"/>
  <c r="AL102" i="16"/>
  <c r="AL99" i="16"/>
  <c r="AL91" i="16"/>
  <c r="AL84" i="16"/>
  <c r="AL82" i="16"/>
  <c r="AL78" i="16"/>
  <c r="AL76" i="16"/>
  <c r="AL75" i="16"/>
  <c r="AL74" i="16"/>
  <c r="AL73" i="16"/>
  <c r="AL69" i="16"/>
  <c r="AL68" i="16"/>
  <c r="AL64" i="16"/>
  <c r="AL62" i="16"/>
  <c r="AL61" i="16"/>
  <c r="AL60" i="16"/>
  <c r="AL58" i="16"/>
  <c r="AL56" i="16"/>
  <c r="AL55" i="16"/>
  <c r="AL44" i="16"/>
  <c r="AL42" i="16"/>
  <c r="AL41" i="16"/>
  <c r="AL40" i="16"/>
  <c r="AL35" i="16"/>
  <c r="AL26" i="16"/>
  <c r="AL24" i="16"/>
  <c r="AL22" i="16"/>
  <c r="AL20" i="16"/>
  <c r="AL17" i="16"/>
  <c r="AL16" i="16"/>
  <c r="AL15" i="16"/>
  <c r="AL14" i="16"/>
  <c r="U38" i="16"/>
  <c r="AL12" i="29"/>
  <c r="AL17" i="29"/>
  <c r="AL16" i="29"/>
  <c r="AL15" i="29"/>
  <c r="AL60" i="29"/>
  <c r="AL78" i="29"/>
  <c r="AL81" i="29"/>
  <c r="AL84" i="29"/>
  <c r="AL87" i="29"/>
  <c r="AL96" i="29"/>
  <c r="AL100" i="29"/>
  <c r="AL102" i="29"/>
  <c r="AL123" i="29"/>
  <c r="AL127" i="29"/>
  <c r="AL149" i="29"/>
  <c r="AL165" i="29"/>
  <c r="AL166" i="29"/>
  <c r="AL168" i="29"/>
  <c r="AL171" i="29"/>
  <c r="AL184" i="29"/>
  <c r="AL186" i="29"/>
  <c r="AN186" i="29"/>
  <c r="AN184" i="29"/>
  <c r="AN165" i="29"/>
  <c r="AN123" i="29"/>
  <c r="AN96" i="29"/>
  <c r="AN78" i="29"/>
  <c r="AN12" i="29"/>
  <c r="AP17" i="29"/>
  <c r="AP16" i="29"/>
  <c r="AP15" i="29"/>
  <c r="AP23" i="29"/>
  <c r="AP22" i="29"/>
  <c r="AP21" i="29"/>
  <c r="AP25" i="29"/>
  <c r="AP32" i="29"/>
  <c r="AP31" i="29"/>
  <c r="AP30" i="29"/>
  <c r="AP28" i="29"/>
  <c r="AP27" i="29"/>
  <c r="AP38" i="29"/>
  <c r="AP42" i="29"/>
  <c r="AP44" i="29"/>
  <c r="AP47" i="29"/>
  <c r="AP46" i="29"/>
  <c r="AP49" i="29"/>
  <c r="AP52" i="29"/>
  <c r="AP51" i="29"/>
  <c r="AP54" i="29"/>
  <c r="AP56" i="29"/>
  <c r="AP60" i="29"/>
  <c r="AP59" i="29"/>
  <c r="AP58" i="29"/>
  <c r="AP81" i="29"/>
  <c r="AP84" i="29"/>
  <c r="AP87" i="29"/>
  <c r="AP90" i="29"/>
  <c r="AP89" i="29"/>
  <c r="AP94" i="29"/>
  <c r="AP93" i="29"/>
  <c r="AP92" i="29"/>
  <c r="AP100" i="29"/>
  <c r="AP102" i="29"/>
  <c r="AP105" i="29"/>
  <c r="AP107" i="29"/>
  <c r="AP110" i="29"/>
  <c r="AP113" i="29"/>
  <c r="AP112" i="29"/>
  <c r="AP115" i="29"/>
  <c r="AP118" i="29"/>
  <c r="AP117" i="29"/>
  <c r="AP121" i="29"/>
  <c r="AP127" i="29"/>
  <c r="AP129" i="29"/>
  <c r="AP133" i="29"/>
  <c r="AP140" i="29"/>
  <c r="AP143" i="29"/>
  <c r="AP142" i="29"/>
  <c r="AP149" i="29"/>
  <c r="AP148" i="29"/>
  <c r="AP147" i="29"/>
  <c r="AP146" i="29"/>
  <c r="AP145" i="29"/>
  <c r="AP166" i="29"/>
  <c r="AP168" i="29"/>
  <c r="AP171" i="29"/>
  <c r="AP184" i="29"/>
  <c r="AP186" i="29"/>
  <c r="AR186" i="29"/>
  <c r="AR184" i="29"/>
  <c r="AR171" i="29"/>
  <c r="AR168" i="29"/>
  <c r="AR166" i="29"/>
  <c r="AR149" i="29"/>
  <c r="AR148" i="29"/>
  <c r="AR147" i="29"/>
  <c r="AR146" i="29"/>
  <c r="AR145" i="29"/>
  <c r="AR143" i="29"/>
  <c r="AR142" i="29"/>
  <c r="AR140" i="29"/>
  <c r="AR133" i="29"/>
  <c r="AR129" i="29"/>
  <c r="AR127" i="29"/>
  <c r="AR121" i="29"/>
  <c r="AR118" i="29"/>
  <c r="AR117" i="29"/>
  <c r="AR115" i="29"/>
  <c r="AR113" i="29"/>
  <c r="AR112" i="29"/>
  <c r="AR110" i="29"/>
  <c r="AR107" i="29"/>
  <c r="AR105" i="29"/>
  <c r="AR102" i="29"/>
  <c r="AR100" i="29"/>
  <c r="AR94" i="29"/>
  <c r="AR93" i="29"/>
  <c r="AR92" i="29"/>
  <c r="AR90" i="29"/>
  <c r="AR89" i="29"/>
  <c r="AR87" i="29"/>
  <c r="AR84" i="29"/>
  <c r="AR81" i="29"/>
  <c r="AR60" i="29"/>
  <c r="AR59" i="29"/>
  <c r="AR58" i="29"/>
  <c r="AR56" i="29"/>
  <c r="AR54" i="29"/>
  <c r="AR52" i="29"/>
  <c r="AR51" i="29"/>
  <c r="AR49" i="29"/>
  <c r="AR47" i="29"/>
  <c r="AR46" i="29"/>
  <c r="AR44" i="29"/>
  <c r="AR42" i="29"/>
  <c r="AR38" i="29"/>
  <c r="AR32" i="29"/>
  <c r="AR31" i="29"/>
  <c r="AR30" i="29"/>
  <c r="AR28" i="29"/>
  <c r="AR27" i="29"/>
  <c r="AR25" i="29"/>
  <c r="AR23" i="29"/>
  <c r="AR22" i="29"/>
  <c r="AR21" i="29"/>
  <c r="AR17" i="29"/>
  <c r="AR16" i="29"/>
  <c r="AR15" i="29"/>
  <c r="AR12" i="28"/>
  <c r="AR18" i="28"/>
  <c r="AR23" i="28"/>
  <c r="AR26" i="28"/>
  <c r="AR29" i="28"/>
  <c r="AR33" i="28"/>
  <c r="AR36" i="28"/>
  <c r="AR42" i="28"/>
  <c r="AR45" i="28"/>
  <c r="AR47" i="28"/>
  <c r="AR50" i="28"/>
  <c r="AR52" i="28"/>
  <c r="AR54" i="28"/>
  <c r="AR57" i="28"/>
  <c r="AR59" i="28"/>
  <c r="AR61" i="28"/>
  <c r="AR67" i="28"/>
  <c r="AR71" i="28"/>
  <c r="AR76" i="28"/>
  <c r="AR90" i="28"/>
  <c r="AR92" i="28"/>
  <c r="AR95" i="28"/>
  <c r="AR104" i="28"/>
  <c r="AR114" i="28"/>
  <c r="AR118" i="28"/>
  <c r="AR124" i="28"/>
  <c r="AR129" i="28"/>
  <c r="AR132" i="28"/>
  <c r="AR131" i="28"/>
  <c r="AR134" i="28"/>
  <c r="AR139" i="28"/>
  <c r="AR148" i="28"/>
  <c r="AR153" i="28"/>
  <c r="AR154" i="28"/>
  <c r="AR158" i="28"/>
  <c r="AR163" i="28"/>
  <c r="AR165" i="28"/>
  <c r="AR171" i="28"/>
  <c r="AR173" i="28"/>
  <c r="AR179" i="28"/>
  <c r="AR181" i="28"/>
  <c r="AR183" i="28"/>
  <c r="AR185" i="28"/>
  <c r="AR188" i="28"/>
  <c r="AR192" i="28"/>
  <c r="AR196" i="28"/>
  <c r="AR203" i="28"/>
  <c r="AR205" i="28"/>
  <c r="AR207" i="28"/>
  <c r="AR211" i="28"/>
  <c r="AR220" i="28"/>
  <c r="AR222" i="28"/>
  <c r="AR225" i="28"/>
  <c r="AR228" i="28"/>
  <c r="AR237" i="28"/>
  <c r="AR239" i="28"/>
  <c r="AR242" i="28"/>
  <c r="AR244" i="28"/>
  <c r="AR248" i="28"/>
  <c r="AR252" i="28"/>
  <c r="AR256" i="28"/>
  <c r="AR264" i="28"/>
  <c r="AR269" i="28"/>
  <c r="AR273" i="28"/>
  <c r="AR278" i="28"/>
  <c r="AP278" i="28"/>
  <c r="AP273" i="28"/>
  <c r="AP269" i="28"/>
  <c r="AP264" i="28"/>
  <c r="AP259" i="28"/>
  <c r="AP258" i="28"/>
  <c r="AP252" i="28"/>
  <c r="AP248" i="28"/>
  <c r="AP244" i="28"/>
  <c r="AP242" i="28"/>
  <c r="AP239" i="28"/>
  <c r="AP237" i="28"/>
  <c r="AP234" i="28"/>
  <c r="AP230" i="28"/>
  <c r="AP225" i="28"/>
  <c r="AP222" i="28"/>
  <c r="AP220" i="28"/>
  <c r="AP211" i="28"/>
  <c r="AP207" i="28"/>
  <c r="AP205" i="28"/>
  <c r="AP203" i="28"/>
  <c r="AP200" i="28"/>
  <c r="AP198" i="28"/>
  <c r="AP192" i="28"/>
  <c r="AP191" i="28"/>
  <c r="AP189" i="28"/>
  <c r="AP185" i="28"/>
  <c r="AP183" i="28"/>
  <c r="AP181" i="28"/>
  <c r="AP179" i="28"/>
  <c r="AP173" i="28"/>
  <c r="AP171" i="28"/>
  <c r="AP168" i="28"/>
  <c r="AP167" i="28"/>
  <c r="AP163" i="28"/>
  <c r="AP158" i="28"/>
  <c r="AP154" i="28"/>
  <c r="AP153" i="28"/>
  <c r="AP148" i="28"/>
  <c r="AP139" i="28"/>
  <c r="AP134" i="28"/>
  <c r="AP132" i="28"/>
  <c r="AP131" i="28"/>
  <c r="AP129" i="28"/>
  <c r="AP118" i="28"/>
  <c r="AP115" i="28"/>
  <c r="AP114" i="28"/>
  <c r="AP104" i="28"/>
  <c r="AP95" i="28"/>
  <c r="AP92" i="28"/>
  <c r="AP90" i="28"/>
  <c r="AP79" i="28"/>
  <c r="AP78" i="28"/>
  <c r="AP77" i="28"/>
  <c r="AP76" i="28"/>
  <c r="AP71" i="28"/>
  <c r="AP67" i="28"/>
  <c r="AP61" i="28"/>
  <c r="AP59" i="28"/>
  <c r="AP57" i="28"/>
  <c r="AP54" i="28"/>
  <c r="AP52" i="28"/>
  <c r="AP50" i="28"/>
  <c r="AP47" i="28"/>
  <c r="AP45" i="28"/>
  <c r="AP42" i="28"/>
  <c r="AP36" i="28"/>
  <c r="AP33" i="28"/>
  <c r="AP29" i="28"/>
  <c r="AP26" i="28"/>
  <c r="AP23" i="28"/>
  <c r="AP18" i="28"/>
  <c r="AP12" i="28"/>
  <c r="AN12" i="28"/>
  <c r="AN18" i="28"/>
  <c r="AN23" i="28"/>
  <c r="AN26" i="28"/>
  <c r="AN33" i="28"/>
  <c r="AN36" i="28"/>
  <c r="AN42" i="28"/>
  <c r="AN45" i="28"/>
  <c r="AN47" i="28"/>
  <c r="AN50" i="28"/>
  <c r="AN52" i="28"/>
  <c r="AN54" i="28"/>
  <c r="AN57" i="28"/>
  <c r="AN59" i="28"/>
  <c r="AN61" i="28"/>
  <c r="AN67" i="28"/>
  <c r="AN68" i="28"/>
  <c r="AN90" i="28"/>
  <c r="AN92" i="28"/>
  <c r="AN97" i="28"/>
  <c r="AN118" i="28"/>
  <c r="AN127" i="28"/>
  <c r="AN134" i="28"/>
  <c r="AN139" i="28"/>
  <c r="AN145" i="28"/>
  <c r="AN158" i="28"/>
  <c r="AN165" i="28"/>
  <c r="AN171" i="28"/>
  <c r="AN173" i="28"/>
  <c r="AN181" i="28"/>
  <c r="AN185" i="28"/>
  <c r="AN188" i="28"/>
  <c r="AN192" i="28"/>
  <c r="AN196" i="28"/>
  <c r="AN201" i="28"/>
  <c r="AN211" i="28"/>
  <c r="AN220" i="28"/>
  <c r="AN222" i="28"/>
  <c r="AN225" i="28"/>
  <c r="AN230" i="28"/>
  <c r="AN234" i="28"/>
  <c r="AN235" i="28"/>
  <c r="AN242" i="28"/>
  <c r="AN248" i="28"/>
  <c r="AN252" i="28"/>
  <c r="AN256" i="28"/>
  <c r="AN264" i="28"/>
  <c r="AN269" i="28"/>
  <c r="AN273" i="28"/>
  <c r="AN278" i="28"/>
  <c r="AL278" i="28"/>
  <c r="AL273" i="28"/>
  <c r="AL269" i="28"/>
  <c r="AL264" i="28"/>
  <c r="AL256" i="28"/>
  <c r="AL254" i="28"/>
  <c r="AL253" i="28"/>
  <c r="AL251" i="28"/>
  <c r="AL249" i="28"/>
  <c r="AL244" i="28"/>
  <c r="AL242" i="28"/>
  <c r="AL235" i="28"/>
  <c r="AL234" i="28"/>
  <c r="AL232" i="28"/>
  <c r="AL231" i="28"/>
  <c r="AL230" i="28"/>
  <c r="AL225" i="28"/>
  <c r="AL222" i="28"/>
  <c r="AL220" i="28"/>
  <c r="AL219" i="28"/>
  <c r="AL218" i="28"/>
  <c r="AL216" i="28"/>
  <c r="AL214" i="28"/>
  <c r="AL211" i="28"/>
  <c r="AL201" i="28"/>
  <c r="AL199" i="28"/>
  <c r="AL197" i="28"/>
  <c r="AL196" i="28"/>
  <c r="AL192" i="28"/>
  <c r="AL191" i="28"/>
  <c r="AL190" i="28"/>
  <c r="AL188" i="28"/>
  <c r="AL185" i="28"/>
  <c r="AL183" i="28"/>
  <c r="AL181" i="28"/>
  <c r="AL173" i="28"/>
  <c r="AL171" i="28"/>
  <c r="AL168" i="28"/>
  <c r="AL167" i="28"/>
  <c r="AL163" i="28"/>
  <c r="AL158" i="28"/>
  <c r="AL154" i="28"/>
  <c r="AL153" i="28"/>
  <c r="AL148" i="28"/>
  <c r="AL139" i="28"/>
  <c r="AL134" i="28"/>
  <c r="AL127" i="28"/>
  <c r="AL118" i="28"/>
  <c r="AL97" i="28"/>
  <c r="AL95" i="28"/>
  <c r="AL92" i="28"/>
  <c r="AL90" i="28"/>
  <c r="AL86" i="28"/>
  <c r="AL84" i="28"/>
  <c r="AL83" i="28"/>
  <c r="AL82" i="28"/>
  <c r="AL80" i="28"/>
  <c r="AL71" i="28"/>
  <c r="AL68" i="28"/>
  <c r="AL67" i="28"/>
  <c r="AL61" i="28"/>
  <c r="AL60" i="28"/>
  <c r="AL58" i="28"/>
  <c r="AL54" i="28"/>
  <c r="AL53" i="28"/>
  <c r="AL51" i="28"/>
  <c r="AL48" i="28"/>
  <c r="AL46" i="28"/>
  <c r="AL43" i="28"/>
  <c r="AL38" i="28"/>
  <c r="AL37" i="28"/>
  <c r="AL33" i="28"/>
  <c r="AL29" i="28"/>
  <c r="AL28" i="28"/>
  <c r="AL27" i="28"/>
  <c r="AL25" i="28"/>
  <c r="AL24" i="28"/>
  <c r="AL18" i="28"/>
  <c r="AL12" i="28"/>
  <c r="AL25" i="27"/>
  <c r="AL27" i="27"/>
  <c r="AL29" i="27"/>
  <c r="AL31" i="27"/>
  <c r="AL34" i="27"/>
  <c r="AL36" i="27"/>
  <c r="AL41" i="27"/>
  <c r="AL48" i="27"/>
  <c r="AL47" i="27"/>
  <c r="AL46" i="27"/>
  <c r="AL54" i="27"/>
  <c r="AL68" i="27"/>
  <c r="AL67" i="27"/>
  <c r="AL66" i="27"/>
  <c r="AL65" i="27"/>
  <c r="AL73" i="27"/>
  <c r="AL78" i="27"/>
  <c r="AL77" i="27"/>
  <c r="AL85" i="27"/>
  <c r="AL91" i="27"/>
  <c r="AL94" i="27"/>
  <c r="AL98" i="27"/>
  <c r="AL100" i="27"/>
  <c r="AL102" i="27"/>
  <c r="AL108" i="27"/>
  <c r="AL107" i="27"/>
  <c r="AL106" i="27"/>
  <c r="AL116" i="27"/>
  <c r="AL119" i="27"/>
  <c r="AL118" i="27"/>
  <c r="AL123" i="27"/>
  <c r="AL128" i="27"/>
  <c r="AL133" i="27"/>
  <c r="AL132" i="27"/>
  <c r="AL131" i="27"/>
  <c r="AL135" i="27"/>
  <c r="AL141" i="27"/>
  <c r="AL144" i="27"/>
  <c r="AL143" i="27"/>
  <c r="AL151" i="27"/>
  <c r="AL154" i="27"/>
  <c r="AL153" i="27"/>
  <c r="AL157" i="27"/>
  <c r="AL162" i="27"/>
  <c r="AL165" i="27"/>
  <c r="AL167" i="27"/>
  <c r="AN167" i="27"/>
  <c r="AN165" i="27"/>
  <c r="AN162" i="27"/>
  <c r="AN157" i="27"/>
  <c r="AN154" i="27"/>
  <c r="AN147" i="27"/>
  <c r="AN144" i="27"/>
  <c r="AN138" i="27"/>
  <c r="AN127" i="27"/>
  <c r="AN123" i="27"/>
  <c r="AN119" i="27"/>
  <c r="AN116" i="27"/>
  <c r="AN108" i="27"/>
  <c r="AN107" i="27"/>
  <c r="AN106" i="27"/>
  <c r="AN102" i="27"/>
  <c r="AN100" i="27"/>
  <c r="AN98" i="27"/>
  <c r="AN94" i="27"/>
  <c r="AN91" i="27"/>
  <c r="AN85" i="27"/>
  <c r="AN78" i="27"/>
  <c r="AN77" i="27"/>
  <c r="AN73" i="27"/>
  <c r="AN68" i="27"/>
  <c r="AN63" i="27"/>
  <c r="AN54" i="27"/>
  <c r="AN47" i="27"/>
  <c r="AN46" i="27"/>
  <c r="AN41" i="27"/>
  <c r="AN11" i="27"/>
  <c r="AP12" i="27"/>
  <c r="AP41" i="27"/>
  <c r="AP47" i="27"/>
  <c r="AP46" i="27"/>
  <c r="AP54" i="27"/>
  <c r="AP63" i="27"/>
  <c r="AP68" i="27"/>
  <c r="AP73" i="27"/>
  <c r="AP78" i="27"/>
  <c r="AP77" i="27"/>
  <c r="AP85" i="27"/>
  <c r="AP91" i="27"/>
  <c r="AP94" i="27"/>
  <c r="AP98" i="27"/>
  <c r="AP100" i="27"/>
  <c r="AP102" i="27"/>
  <c r="AP108" i="27"/>
  <c r="AP107" i="27"/>
  <c r="AP106" i="27"/>
  <c r="AP110" i="27"/>
  <c r="AP116" i="27"/>
  <c r="AP119" i="27"/>
  <c r="AP118" i="27"/>
  <c r="AP123" i="27"/>
  <c r="AP127" i="27"/>
  <c r="AP141" i="27"/>
  <c r="AP144" i="27"/>
  <c r="AP143" i="27"/>
  <c r="AP151" i="27"/>
  <c r="AP153" i="27"/>
  <c r="AP155" i="27"/>
  <c r="AP162" i="27"/>
  <c r="AP161" i="27"/>
  <c r="AP160" i="27"/>
  <c r="AP165" i="27"/>
  <c r="AP167" i="27"/>
  <c r="AR167" i="27"/>
  <c r="AR165" i="27"/>
  <c r="AR162" i="27"/>
  <c r="AR161" i="27"/>
  <c r="AR160" i="27"/>
  <c r="AR154" i="27"/>
  <c r="AR153" i="27"/>
  <c r="AR151" i="27"/>
  <c r="AR144" i="27"/>
  <c r="AR143" i="27"/>
  <c r="AR141" i="27"/>
  <c r="AR127" i="27"/>
  <c r="AR123" i="27"/>
  <c r="AR119" i="27"/>
  <c r="AR118" i="27"/>
  <c r="AR116" i="27"/>
  <c r="AR110" i="27"/>
  <c r="AR108" i="27"/>
  <c r="AR107" i="27"/>
  <c r="AR106" i="27"/>
  <c r="AR102" i="27"/>
  <c r="AR100" i="27"/>
  <c r="AR98" i="27"/>
  <c r="AR94" i="27"/>
  <c r="AR91" i="27"/>
  <c r="AR85" i="27"/>
  <c r="AR83" i="27"/>
  <c r="AR78" i="27"/>
  <c r="AR77" i="27"/>
  <c r="AR73" i="27"/>
  <c r="AR68" i="27"/>
  <c r="AR63" i="27"/>
  <c r="AR54" i="27"/>
  <c r="AR47" i="27"/>
  <c r="AR46" i="27"/>
  <c r="AR41" i="27"/>
  <c r="AR36" i="27"/>
  <c r="AR25" i="27"/>
  <c r="AR14" i="25"/>
  <c r="AR16" i="25"/>
  <c r="AR19" i="25"/>
  <c r="AR22" i="25"/>
  <c r="AR32" i="25"/>
  <c r="AR37" i="25"/>
  <c r="AR40" i="25"/>
  <c r="AR46" i="25"/>
  <c r="AR50" i="25"/>
  <c r="AR49" i="25"/>
  <c r="AR53" i="25"/>
  <c r="AR68" i="25"/>
  <c r="AR67" i="25"/>
  <c r="AR66" i="25"/>
  <c r="AR65" i="25"/>
  <c r="AR64" i="25"/>
  <c r="AR63" i="25"/>
  <c r="AR62" i="25"/>
  <c r="AR61" i="25"/>
  <c r="AR60" i="25"/>
  <c r="AR59" i="25"/>
  <c r="AR58" i="25"/>
  <c r="AR57" i="25"/>
  <c r="AR72" i="25"/>
  <c r="AR78" i="25"/>
  <c r="AR77" i="25"/>
  <c r="AR81" i="25"/>
  <c r="AR80" i="25"/>
  <c r="AR86" i="25"/>
  <c r="AR85" i="25"/>
  <c r="AR84" i="25"/>
  <c r="AR83" i="25"/>
  <c r="AR88" i="25"/>
  <c r="AR93" i="25"/>
  <c r="AR92" i="25"/>
  <c r="AR96" i="25"/>
  <c r="AR95" i="25"/>
  <c r="AR100" i="25"/>
  <c r="AR102" i="25"/>
  <c r="AR105" i="25"/>
  <c r="AR109" i="25"/>
  <c r="AR108" i="25"/>
  <c r="AR107" i="25"/>
  <c r="AR112" i="25"/>
  <c r="AR115" i="25"/>
  <c r="AR118" i="25"/>
  <c r="AR124" i="25"/>
  <c r="AR132" i="25"/>
  <c r="AR134" i="25"/>
  <c r="AR135" i="25"/>
  <c r="AR140" i="25"/>
  <c r="AR144" i="25"/>
  <c r="AR150" i="25"/>
  <c r="AR153" i="25"/>
  <c r="AR157" i="25"/>
  <c r="AR170" i="25"/>
  <c r="AR173" i="25"/>
  <c r="AR176" i="25"/>
  <c r="AR183" i="25"/>
  <c r="AR185" i="25"/>
  <c r="AR188" i="25"/>
  <c r="AR192" i="25"/>
  <c r="AR199" i="25"/>
  <c r="AR207" i="25"/>
  <c r="AR215" i="25"/>
  <c r="AR224" i="25"/>
  <c r="AR230" i="25"/>
  <c r="AR237" i="25"/>
  <c r="AR243" i="25"/>
  <c r="AR249" i="25"/>
  <c r="AR252" i="25"/>
  <c r="AR257" i="25"/>
  <c r="AR263" i="25"/>
  <c r="AR268" i="25"/>
  <c r="AR272" i="25"/>
  <c r="AR277" i="25"/>
  <c r="AR280" i="25"/>
  <c r="AR279" i="25"/>
  <c r="AR284" i="25"/>
  <c r="AR290" i="25"/>
  <c r="AR297" i="25"/>
  <c r="AR303" i="25"/>
  <c r="AR305" i="25"/>
  <c r="AR309" i="25"/>
  <c r="AR308" i="25"/>
  <c r="AR311" i="25"/>
  <c r="AR313" i="25"/>
  <c r="AR323" i="25"/>
  <c r="AR341" i="25"/>
  <c r="AR343" i="25"/>
  <c r="AR346" i="25"/>
  <c r="AR345" i="25"/>
  <c r="AR357" i="25"/>
  <c r="AR359" i="25"/>
  <c r="AR361" i="25"/>
  <c r="AR366" i="25"/>
  <c r="AR365" i="25"/>
  <c r="AR364" i="25"/>
  <c r="AR371" i="25"/>
  <c r="AR373" i="25"/>
  <c r="AR375" i="25"/>
  <c r="AR377" i="25"/>
  <c r="AR379" i="25"/>
  <c r="AR382" i="25"/>
  <c r="AR385" i="25"/>
  <c r="AR384" i="25"/>
  <c r="AR387" i="25"/>
  <c r="AR392" i="25"/>
  <c r="AR391" i="25"/>
  <c r="AR390" i="25"/>
  <c r="AR397" i="25"/>
  <c r="AR405" i="25"/>
  <c r="AR409" i="25"/>
  <c r="AR408" i="25"/>
  <c r="AR407" i="25"/>
  <c r="AR411" i="25"/>
  <c r="AR415" i="25"/>
  <c r="AR414" i="25"/>
  <c r="AR420" i="25"/>
  <c r="AR422" i="25"/>
  <c r="AR424" i="25"/>
  <c r="AR429" i="25"/>
  <c r="AR433" i="25"/>
  <c r="AR436" i="25"/>
  <c r="AR444" i="25"/>
  <c r="AR447" i="25"/>
  <c r="AR450" i="25"/>
  <c r="AR463" i="25"/>
  <c r="AR467" i="25"/>
  <c r="AR470" i="25"/>
  <c r="AR474" i="25"/>
  <c r="AR479" i="25"/>
  <c r="AR484" i="25"/>
  <c r="AR487" i="25"/>
  <c r="AR489" i="25"/>
  <c r="AR493" i="25"/>
  <c r="AR492" i="25"/>
  <c r="AR497" i="25"/>
  <c r="AR502" i="25"/>
  <c r="AR509" i="25"/>
  <c r="AR508" i="25"/>
  <c r="AR507" i="25"/>
  <c r="AR506" i="25"/>
  <c r="AR505" i="25"/>
  <c r="AR504" i="25"/>
  <c r="AR511" i="25"/>
  <c r="AR525" i="25"/>
  <c r="AR524" i="25"/>
  <c r="AR528" i="25"/>
  <c r="AR536" i="25"/>
  <c r="AR551" i="25"/>
  <c r="AR550" i="25"/>
  <c r="AR549" i="25"/>
  <c r="AR548" i="25"/>
  <c r="AR547" i="25"/>
  <c r="AR546" i="25"/>
  <c r="AR545" i="25"/>
  <c r="AR554" i="25"/>
  <c r="AR556" i="25"/>
  <c r="AR558" i="25"/>
  <c r="AR568" i="25"/>
  <c r="AR567" i="25"/>
  <c r="AR566" i="25"/>
  <c r="AR565" i="25"/>
  <c r="AR570" i="25"/>
  <c r="AR573" i="25"/>
  <c r="AR576" i="25"/>
  <c r="AR583" i="25"/>
  <c r="AR598" i="25"/>
  <c r="AR597" i="25"/>
  <c r="AR596" i="25"/>
  <c r="AR595" i="25"/>
  <c r="AR594" i="25"/>
  <c r="AR593" i="25"/>
  <c r="AR592" i="25"/>
  <c r="AR591" i="25"/>
  <c r="AR601" i="25"/>
  <c r="AR603" i="25"/>
  <c r="AR605" i="25"/>
  <c r="AR607" i="25"/>
  <c r="AR616" i="25"/>
  <c r="AR621" i="25"/>
  <c r="AR620" i="25"/>
  <c r="AR624" i="25"/>
  <c r="AR627" i="25"/>
  <c r="AP627" i="25"/>
  <c r="AP624" i="25"/>
  <c r="AP621" i="25"/>
  <c r="AP620" i="25"/>
  <c r="AP616" i="25"/>
  <c r="AP608" i="25"/>
  <c r="AP605" i="25"/>
  <c r="AP603" i="25"/>
  <c r="AP601" i="25"/>
  <c r="AP598" i="25"/>
  <c r="AP597" i="25"/>
  <c r="AP596" i="25"/>
  <c r="AP595" i="25"/>
  <c r="AP594" i="25"/>
  <c r="AP593" i="25"/>
  <c r="AP592" i="25"/>
  <c r="AP591" i="25"/>
  <c r="AP576" i="25"/>
  <c r="AP573" i="25"/>
  <c r="AP570" i="25"/>
  <c r="AP568" i="25"/>
  <c r="AP567" i="25"/>
  <c r="AP566" i="25"/>
  <c r="AP565" i="25"/>
  <c r="AP558" i="25"/>
  <c r="AP556" i="25"/>
  <c r="AP554" i="25"/>
  <c r="AP542" i="25"/>
  <c r="AP536" i="25"/>
  <c r="AP528" i="25"/>
  <c r="AP525" i="25"/>
  <c r="AP524" i="25"/>
  <c r="AP502" i="25"/>
  <c r="AP497" i="25"/>
  <c r="AP493" i="25"/>
  <c r="AP492" i="25"/>
  <c r="AP490" i="25"/>
  <c r="AP487" i="25"/>
  <c r="AP484" i="25"/>
  <c r="AP479" i="25"/>
  <c r="AP474" i="25"/>
  <c r="AP470" i="25"/>
  <c r="AP467" i="25"/>
  <c r="AP463" i="25"/>
  <c r="AP454" i="25"/>
  <c r="AP426" i="25"/>
  <c r="AP424" i="25"/>
  <c r="AP422" i="25"/>
  <c r="AP420" i="25"/>
  <c r="AP415" i="25"/>
  <c r="AP414" i="25"/>
  <c r="AP411" i="25"/>
  <c r="AP409" i="25"/>
  <c r="AP408" i="25"/>
  <c r="AP407" i="25"/>
  <c r="AP405" i="25"/>
  <c r="AP397" i="25"/>
  <c r="AP369" i="25"/>
  <c r="AP366" i="25"/>
  <c r="AP365" i="25"/>
  <c r="AP364" i="25"/>
  <c r="AP361" i="25"/>
  <c r="AP359" i="25"/>
  <c r="AP357" i="25"/>
  <c r="AP347" i="25"/>
  <c r="AP345" i="25"/>
  <c r="AP343" i="25"/>
  <c r="AP341" i="25"/>
  <c r="AP326" i="25"/>
  <c r="AP324" i="25"/>
  <c r="AP313" i="25"/>
  <c r="AP311" i="25"/>
  <c r="AP309" i="25"/>
  <c r="AP308" i="25"/>
  <c r="AP305" i="25"/>
  <c r="AP303" i="25"/>
  <c r="AP297" i="25"/>
  <c r="AP292" i="25"/>
  <c r="AP290" i="25"/>
  <c r="AP285" i="25"/>
  <c r="AP280" i="25"/>
  <c r="AP279" i="25"/>
  <c r="AP277" i="25"/>
  <c r="AP273" i="25"/>
  <c r="AP268" i="25"/>
  <c r="AP264" i="25"/>
  <c r="AP258" i="25"/>
  <c r="AP253" i="25"/>
  <c r="AP250" i="25"/>
  <c r="AP244" i="25"/>
  <c r="AP237" i="25"/>
  <c r="AP231" i="25"/>
  <c r="AP225" i="25"/>
  <c r="AP215" i="25"/>
  <c r="AP207" i="25"/>
  <c r="AP199" i="25"/>
  <c r="AP192" i="25"/>
  <c r="AP185" i="25"/>
  <c r="AP184" i="25"/>
  <c r="AP178" i="25"/>
  <c r="AP176" i="25"/>
  <c r="AP173" i="25"/>
  <c r="AP170" i="25"/>
  <c r="AP157" i="25"/>
  <c r="AP146" i="25"/>
  <c r="AP140" i="25"/>
  <c r="AP135" i="25"/>
  <c r="AP134" i="25"/>
  <c r="AP132" i="25"/>
  <c r="AP124" i="25"/>
  <c r="AP118" i="25"/>
  <c r="AP91" i="25"/>
  <c r="AP88" i="25"/>
  <c r="AP72" i="25"/>
  <c r="AP56" i="25"/>
  <c r="AP54" i="25"/>
  <c r="AP50" i="25"/>
  <c r="AP49" i="25"/>
  <c r="AP46" i="25"/>
  <c r="AP40" i="25"/>
  <c r="AP37" i="25"/>
  <c r="AP32" i="25"/>
  <c r="AP23" i="25"/>
  <c r="AP12" i="25"/>
  <c r="AN22" i="25"/>
  <c r="AN144" i="25"/>
  <c r="AN156" i="25"/>
  <c r="AN176" i="25"/>
  <c r="AN183" i="25"/>
  <c r="AN185" i="25"/>
  <c r="AN188" i="25"/>
  <c r="AN207" i="25"/>
  <c r="AN237" i="25"/>
  <c r="AN243" i="25"/>
  <c r="AN249" i="25"/>
  <c r="AN252" i="25"/>
  <c r="AN257" i="25"/>
  <c r="AN263" i="25"/>
  <c r="AN268" i="25"/>
  <c r="AN272" i="25"/>
  <c r="AN277" i="25"/>
  <c r="AN280" i="25"/>
  <c r="AN279" i="25"/>
  <c r="AN284" i="25"/>
  <c r="AN290" i="25"/>
  <c r="AN297" i="25"/>
  <c r="AN303" i="25"/>
  <c r="AN305" i="25"/>
  <c r="AN307" i="25"/>
  <c r="AN313" i="25"/>
  <c r="AN326" i="25"/>
  <c r="AN329" i="25"/>
  <c r="AN337" i="25"/>
  <c r="AN336" i="25"/>
  <c r="AN335" i="25"/>
  <c r="AN334" i="25"/>
  <c r="AN341" i="25"/>
  <c r="AN343" i="25"/>
  <c r="AN346" i="25"/>
  <c r="AN345" i="25"/>
  <c r="AN357" i="25"/>
  <c r="AN359" i="25"/>
  <c r="AN361" i="25"/>
  <c r="AN364" i="25"/>
  <c r="AN365" i="25"/>
  <c r="AN366" i="25"/>
  <c r="AN369" i="25"/>
  <c r="AN397" i="25"/>
  <c r="AN399" i="25"/>
  <c r="AN426" i="25"/>
  <c r="AN450" i="25"/>
  <c r="AN463" i="25"/>
  <c r="AN467" i="25"/>
  <c r="AN470" i="25"/>
  <c r="AN474" i="25"/>
  <c r="AN479" i="25"/>
  <c r="AN484" i="25"/>
  <c r="AN487" i="25"/>
  <c r="AN489" i="25"/>
  <c r="AN493" i="25"/>
  <c r="AN492" i="25"/>
  <c r="AN497" i="25"/>
  <c r="AN502" i="25"/>
  <c r="AN511" i="25"/>
  <c r="AN525" i="25"/>
  <c r="AN524" i="25"/>
  <c r="AN528" i="25"/>
  <c r="AN536" i="25"/>
  <c r="AN542" i="25"/>
  <c r="AN554" i="25"/>
  <c r="AN556" i="25"/>
  <c r="AN558" i="25"/>
  <c r="AN563" i="25"/>
  <c r="AN573" i="25"/>
  <c r="AN576" i="25"/>
  <c r="AN583" i="25"/>
  <c r="AN601" i="25"/>
  <c r="AN603" i="25"/>
  <c r="AN605" i="25"/>
  <c r="AN607" i="25"/>
  <c r="AN616" i="25"/>
  <c r="AN620" i="25"/>
  <c r="AN621" i="25"/>
  <c r="AN624" i="25"/>
  <c r="AN627" i="25"/>
  <c r="AL627" i="25"/>
  <c r="AL624" i="25"/>
  <c r="AL621" i="25"/>
  <c r="AL620" i="25"/>
  <c r="AL616" i="25"/>
  <c r="AL607" i="25"/>
  <c r="AL605" i="25"/>
  <c r="AL603" i="25"/>
  <c r="AL601" i="25"/>
  <c r="AL586" i="25"/>
  <c r="AL585" i="25"/>
  <c r="AL581" i="25"/>
  <c r="AL579" i="25"/>
  <c r="AL573" i="25"/>
  <c r="AL570" i="25"/>
  <c r="AL568" i="25"/>
  <c r="AL567" i="25"/>
  <c r="AL566" i="25"/>
  <c r="AL565" i="25"/>
  <c r="AL563" i="25"/>
  <c r="AL558" i="25"/>
  <c r="AL556" i="25"/>
  <c r="AL554" i="25"/>
  <c r="AL542" i="25"/>
  <c r="AL540" i="25"/>
  <c r="AL539" i="25"/>
  <c r="AL528" i="25"/>
  <c r="AL525" i="25"/>
  <c r="AL524" i="25"/>
  <c r="AL511" i="25"/>
  <c r="AL502" i="25"/>
  <c r="AL497" i="25"/>
  <c r="AL493" i="25"/>
  <c r="AL492" i="25"/>
  <c r="AL489" i="25"/>
  <c r="AL487" i="25"/>
  <c r="AL484" i="25"/>
  <c r="AL483" i="25"/>
  <c r="AL482" i="25"/>
  <c r="AL478" i="25"/>
  <c r="AL477" i="25"/>
  <c r="AL473" i="25"/>
  <c r="AL472" i="25"/>
  <c r="AL467" i="25"/>
  <c r="AL466" i="25"/>
  <c r="AL465" i="25"/>
  <c r="AL426" i="25"/>
  <c r="AL402" i="25"/>
  <c r="AL401" i="25"/>
  <c r="AL397" i="25"/>
  <c r="AL369" i="25"/>
  <c r="AL366" i="25"/>
  <c r="AL365" i="25"/>
  <c r="AL364" i="25"/>
  <c r="AL361" i="25"/>
  <c r="AL359" i="25"/>
  <c r="AL357" i="25"/>
  <c r="AL353" i="25"/>
  <c r="AL352" i="25"/>
  <c r="AL351" i="25"/>
  <c r="AL350" i="25"/>
  <c r="AL349" i="25"/>
  <c r="AL345" i="25"/>
  <c r="AL343" i="25"/>
  <c r="AL341" i="25"/>
  <c r="AL340" i="25"/>
  <c r="AL339" i="25"/>
  <c r="AL338" i="25"/>
  <c r="AL336" i="25"/>
  <c r="AL335" i="25"/>
  <c r="AL334" i="25"/>
  <c r="AL332" i="25"/>
  <c r="AL331" i="25"/>
  <c r="AL328" i="25"/>
  <c r="AL327" i="25"/>
  <c r="AL321" i="25"/>
  <c r="AL320" i="25"/>
  <c r="AL319" i="25"/>
  <c r="AL307" i="25"/>
  <c r="AL305" i="25"/>
  <c r="AL303" i="25"/>
  <c r="AL297" i="25"/>
  <c r="AL290" i="25"/>
  <c r="AL289" i="25"/>
  <c r="AL288" i="25"/>
  <c r="AL287" i="25"/>
  <c r="AL280" i="25"/>
  <c r="AL279" i="25"/>
  <c r="AL278" i="25"/>
  <c r="AL277" i="25"/>
  <c r="AL276" i="25"/>
  <c r="AL275" i="25"/>
  <c r="AL274" i="25"/>
  <c r="AL273" i="25"/>
  <c r="AL268" i="25"/>
  <c r="AL267" i="25"/>
  <c r="AL266" i="25"/>
  <c r="AL265" i="25"/>
  <c r="AL264" i="25"/>
  <c r="AL259" i="25"/>
  <c r="AL258" i="25"/>
  <c r="AL256" i="25"/>
  <c r="AL255" i="25"/>
  <c r="AL254" i="25"/>
  <c r="AL253" i="25"/>
  <c r="AL251" i="25"/>
  <c r="AL250" i="25"/>
  <c r="AL248" i="25"/>
  <c r="AL247" i="25"/>
  <c r="AL246" i="25"/>
  <c r="AL245" i="25"/>
  <c r="AL244" i="25"/>
  <c r="AL237" i="25"/>
  <c r="AL214" i="25"/>
  <c r="AL213" i="25"/>
  <c r="AL212" i="25"/>
  <c r="AL207" i="25"/>
  <c r="AL192" i="25"/>
  <c r="AL188" i="25"/>
  <c r="AL185" i="25"/>
  <c r="AL183" i="25"/>
  <c r="AL176" i="25"/>
  <c r="AL173" i="25"/>
  <c r="AL170" i="25"/>
  <c r="AL157" i="25"/>
  <c r="AL156" i="25"/>
  <c r="AL144" i="25"/>
  <c r="AL140" i="25"/>
  <c r="AL135" i="25"/>
  <c r="AL130" i="25"/>
  <c r="AL124" i="25"/>
  <c r="AL118" i="25"/>
  <c r="AL91" i="25"/>
  <c r="AL69" i="25"/>
  <c r="AL53" i="25"/>
  <c r="AL50" i="25"/>
  <c r="AL49" i="25"/>
  <c r="AL46" i="25"/>
  <c r="AL40" i="25"/>
  <c r="AL37" i="25"/>
  <c r="AL497" i="24"/>
  <c r="AL495" i="24"/>
  <c r="AL493" i="24"/>
  <c r="AL489" i="24"/>
  <c r="AL488" i="24"/>
  <c r="AL487" i="24"/>
  <c r="AL485" i="24"/>
  <c r="AL483" i="24"/>
  <c r="AL479" i="24"/>
  <c r="AL474" i="24"/>
  <c r="AL472" i="24"/>
  <c r="AL470" i="24"/>
  <c r="AL469" i="24"/>
  <c r="AL468" i="24"/>
  <c r="AL467" i="24"/>
  <c r="AL466" i="24"/>
  <c r="AL465" i="24"/>
  <c r="AL464" i="24"/>
  <c r="AL461" i="24"/>
  <c r="AL453" i="24"/>
  <c r="AL428" i="24"/>
  <c r="AL414" i="24"/>
  <c r="AL410" i="24"/>
  <c r="AL408" i="24"/>
  <c r="AL401" i="24"/>
  <c r="AL392" i="24"/>
  <c r="AL376" i="24"/>
  <c r="AL367" i="24"/>
  <c r="AL364" i="24"/>
  <c r="AL363" i="24"/>
  <c r="AL361" i="24"/>
  <c r="AL352" i="24"/>
  <c r="AL349" i="24"/>
  <c r="AL346" i="24"/>
  <c r="AL333" i="24"/>
  <c r="AL331" i="24"/>
  <c r="AL329" i="24"/>
  <c r="AL305" i="24"/>
  <c r="AL304" i="24"/>
  <c r="AL302" i="24"/>
  <c r="AL293" i="24"/>
  <c r="AL278" i="24"/>
  <c r="AL266" i="24"/>
  <c r="AL262" i="24"/>
  <c r="AL255" i="24"/>
  <c r="AL249" i="24"/>
  <c r="AL245" i="24"/>
  <c r="AL243" i="24"/>
  <c r="AL238" i="24"/>
  <c r="AL234" i="24"/>
  <c r="AL224" i="24"/>
  <c r="AL223" i="24"/>
  <c r="AL222" i="24"/>
  <c r="AL220" i="24"/>
  <c r="AL214" i="24"/>
  <c r="AL211" i="24"/>
  <c r="AL209" i="24"/>
  <c r="AL196" i="24"/>
  <c r="AL195" i="24"/>
  <c r="AL193" i="24"/>
  <c r="AL191" i="24"/>
  <c r="AL188" i="24"/>
  <c r="AL183" i="24"/>
  <c r="AL182" i="24"/>
  <c r="AL179" i="24"/>
  <c r="AL169" i="24"/>
  <c r="AL161" i="24"/>
  <c r="AL157" i="24"/>
  <c r="AL155" i="24"/>
  <c r="AL153" i="24"/>
  <c r="AL150" i="24"/>
  <c r="AL148" i="24"/>
  <c r="AL143" i="24"/>
  <c r="AL139" i="24"/>
  <c r="AL135" i="24"/>
  <c r="AL129" i="24"/>
  <c r="AL127" i="24"/>
  <c r="AL123" i="24"/>
  <c r="AL121" i="24"/>
  <c r="AL117" i="24"/>
  <c r="AL115" i="24"/>
  <c r="AL109" i="24"/>
  <c r="AL107" i="24"/>
  <c r="AL102" i="24"/>
  <c r="AL100" i="24"/>
  <c r="AL97" i="24"/>
  <c r="AL86" i="24"/>
  <c r="AL78" i="24"/>
  <c r="AL76" i="24"/>
  <c r="AL74" i="24"/>
  <c r="AL73" i="24"/>
  <c r="AL60" i="24"/>
  <c r="AL59" i="24"/>
  <c r="AL58" i="24"/>
  <c r="AL55" i="24"/>
  <c r="AL54" i="24"/>
  <c r="AL53" i="24"/>
  <c r="AL52" i="24"/>
  <c r="AL51" i="24"/>
  <c r="AL50" i="24"/>
  <c r="AL47" i="24"/>
  <c r="AL44" i="24"/>
  <c r="AL43" i="24"/>
  <c r="AL42" i="24"/>
  <c r="AL41" i="24"/>
  <c r="AL40" i="24"/>
  <c r="AL39" i="24"/>
  <c r="AL35" i="24"/>
  <c r="AL32" i="24"/>
  <c r="AL29" i="24"/>
  <c r="AL21" i="24"/>
  <c r="AL20" i="24"/>
  <c r="AL19" i="24"/>
  <c r="AL18" i="24"/>
  <c r="AL17" i="24"/>
  <c r="AN13" i="24"/>
  <c r="AN29" i="24"/>
  <c r="AN32" i="24"/>
  <c r="AN35" i="24"/>
  <c r="AN44" i="24"/>
  <c r="AN43" i="24"/>
  <c r="AN42" i="24"/>
  <c r="AN41" i="24"/>
  <c r="AN40" i="24"/>
  <c r="AN39" i="24"/>
  <c r="AN55" i="24"/>
  <c r="AN54" i="24"/>
  <c r="AN53" i="24"/>
  <c r="AN52" i="24"/>
  <c r="AN51" i="24"/>
  <c r="AN50" i="24"/>
  <c r="AN60" i="24"/>
  <c r="AN78" i="24"/>
  <c r="AN86" i="24"/>
  <c r="AN100" i="24"/>
  <c r="AN102" i="24"/>
  <c r="AN109" i="24"/>
  <c r="AN115" i="24"/>
  <c r="AN121" i="24"/>
  <c r="AN127" i="24"/>
  <c r="AN129" i="24"/>
  <c r="AN135" i="24"/>
  <c r="AN139" i="24"/>
  <c r="AN143" i="24"/>
  <c r="AN148" i="24"/>
  <c r="AN150" i="24"/>
  <c r="AN153" i="24"/>
  <c r="AN155" i="24"/>
  <c r="AN157" i="24"/>
  <c r="AN179" i="24"/>
  <c r="AN183" i="24"/>
  <c r="AN182" i="24"/>
  <c r="AN187" i="24"/>
  <c r="AN193" i="24"/>
  <c r="AN196" i="24"/>
  <c r="AN195" i="24"/>
  <c r="AN211" i="24"/>
  <c r="AN220" i="24"/>
  <c r="AN224" i="24"/>
  <c r="AN223" i="24"/>
  <c r="AN222" i="24"/>
  <c r="AN234" i="24"/>
  <c r="AN243" i="24"/>
  <c r="AN245" i="24"/>
  <c r="AN249" i="24"/>
  <c r="AN255" i="24"/>
  <c r="AN262" i="24"/>
  <c r="AN266" i="24"/>
  <c r="AN278" i="24"/>
  <c r="AN293" i="24"/>
  <c r="AN302" i="24"/>
  <c r="AN318" i="24"/>
  <c r="AN346" i="24"/>
  <c r="AN349" i="24"/>
  <c r="AN352" i="24"/>
  <c r="AN361" i="24"/>
  <c r="AN364" i="24"/>
  <c r="AN363" i="24"/>
  <c r="AN367" i="24"/>
  <c r="AN376" i="24"/>
  <c r="AN392" i="24"/>
  <c r="AN401" i="24"/>
  <c r="AN408" i="24"/>
  <c r="AN410" i="24"/>
  <c r="AN453" i="24"/>
  <c r="AN461" i="24"/>
  <c r="AN472" i="24"/>
  <c r="AN497" i="24"/>
  <c r="AP513" i="24"/>
  <c r="AP503" i="24"/>
  <c r="AP495" i="24"/>
  <c r="AP493" i="24"/>
  <c r="AP489" i="24"/>
  <c r="AP488" i="24"/>
  <c r="AP487" i="24"/>
  <c r="AP485" i="24"/>
  <c r="AP483" i="24"/>
  <c r="AP479" i="24"/>
  <c r="AP474" i="24"/>
  <c r="AP470" i="24"/>
  <c r="AP469" i="24"/>
  <c r="AP468" i="24"/>
  <c r="AP467" i="24"/>
  <c r="AP466" i="24"/>
  <c r="AP465" i="24"/>
  <c r="AP464" i="24"/>
  <c r="AP453" i="24"/>
  <c r="AP447" i="24"/>
  <c r="AP441" i="24"/>
  <c r="AP435" i="24"/>
  <c r="AP429" i="24"/>
  <c r="AP423" i="24"/>
  <c r="AP416" i="24"/>
  <c r="AP408" i="24"/>
  <c r="AP401" i="24"/>
  <c r="AP392" i="24"/>
  <c r="AP380" i="24"/>
  <c r="AP377" i="24"/>
  <c r="AP367" i="24"/>
  <c r="AP364" i="24"/>
  <c r="AP363" i="24"/>
  <c r="AP361" i="24"/>
  <c r="AP352" i="24"/>
  <c r="AP350" i="24"/>
  <c r="AP349" i="24"/>
  <c r="AP347" i="24"/>
  <c r="AP346" i="24"/>
  <c r="AP326" i="24"/>
  <c r="AP325" i="24"/>
  <c r="AP324" i="24"/>
  <c r="AP323" i="24"/>
  <c r="AP322" i="24"/>
  <c r="AP321" i="24"/>
  <c r="AP320" i="24"/>
  <c r="AP319" i="24"/>
  <c r="AP314" i="24"/>
  <c r="AP313" i="24"/>
  <c r="AP312" i="24"/>
  <c r="AP311" i="24"/>
  <c r="AP310" i="24"/>
  <c r="AP309" i="24"/>
  <c r="AP308" i="24"/>
  <c r="AP307" i="24"/>
  <c r="AP306" i="24"/>
  <c r="AP293" i="24"/>
  <c r="AP291" i="24"/>
  <c r="AP278" i="24"/>
  <c r="AP273" i="24"/>
  <c r="AP271" i="24"/>
  <c r="AP269" i="24"/>
  <c r="AP267" i="24"/>
  <c r="AP262" i="24"/>
  <c r="AP255" i="24"/>
  <c r="AP249" i="24"/>
  <c r="AP245" i="24"/>
  <c r="AP243" i="24"/>
  <c r="AP238" i="24"/>
  <c r="AP234" i="24"/>
  <c r="AP231" i="24"/>
  <c r="AP230" i="24"/>
  <c r="AP228" i="24"/>
  <c r="AP223" i="24"/>
  <c r="AP222" i="24"/>
  <c r="AP220" i="24"/>
  <c r="AP214" i="24"/>
  <c r="AP211" i="24"/>
  <c r="AP209" i="24"/>
  <c r="AP197" i="24"/>
  <c r="AP195" i="24"/>
  <c r="AP193" i="24"/>
  <c r="AP187" i="24"/>
  <c r="AP183" i="24"/>
  <c r="AP182" i="24"/>
  <c r="AP179" i="24"/>
  <c r="AP169" i="24"/>
  <c r="AP161" i="24"/>
  <c r="AP157" i="24"/>
  <c r="AP155" i="24"/>
  <c r="AP153" i="24"/>
  <c r="AP150" i="24"/>
  <c r="AP148" i="24"/>
  <c r="AP143" i="24"/>
  <c r="AP139" i="24"/>
  <c r="AP135" i="24"/>
  <c r="AP129" i="24"/>
  <c r="AP127" i="24"/>
  <c r="AP126" i="24"/>
  <c r="AP123" i="24"/>
  <c r="AP121" i="24"/>
  <c r="AP117" i="24"/>
  <c r="AP115" i="24"/>
  <c r="AP109" i="24"/>
  <c r="AP107" i="24"/>
  <c r="AP105" i="24"/>
  <c r="AP104" i="24"/>
  <c r="AP100" i="24"/>
  <c r="AP97" i="24"/>
  <c r="AP86" i="24"/>
  <c r="AP78" i="24"/>
  <c r="AP71" i="24"/>
  <c r="AP69" i="24"/>
  <c r="AP65" i="24"/>
  <c r="AP64" i="24"/>
  <c r="AP63" i="24"/>
  <c r="AP56" i="24"/>
  <c r="AP54" i="24"/>
  <c r="AP53" i="24"/>
  <c r="AP52" i="24"/>
  <c r="AP51" i="24"/>
  <c r="AP50" i="24"/>
  <c r="AP44" i="24"/>
  <c r="AP43" i="24"/>
  <c r="AP42" i="24"/>
  <c r="AP41" i="24"/>
  <c r="AP40" i="24"/>
  <c r="AP39" i="24"/>
  <c r="AP35" i="24"/>
  <c r="AP32" i="24"/>
  <c r="AP29" i="24"/>
  <c r="AR511" i="24"/>
  <c r="AR502" i="24"/>
  <c r="AR495" i="24"/>
  <c r="AR493" i="24"/>
  <c r="AR488" i="24"/>
  <c r="AR489" i="24"/>
  <c r="AR487" i="24"/>
  <c r="AR485" i="24"/>
  <c r="AR483" i="24"/>
  <c r="AR479" i="24"/>
  <c r="AR474" i="24"/>
  <c r="AR470" i="24"/>
  <c r="AR469" i="24"/>
  <c r="AR468" i="24"/>
  <c r="AR467" i="24"/>
  <c r="AR466" i="24"/>
  <c r="AR465" i="24"/>
  <c r="AR464" i="24"/>
  <c r="AR453" i="24"/>
  <c r="AR446" i="24"/>
  <c r="AR440" i="24"/>
  <c r="AR434" i="24"/>
  <c r="AR428" i="24"/>
  <c r="AR421" i="24"/>
  <c r="AR414" i="24"/>
  <c r="AR408" i="24"/>
  <c r="AR401" i="24"/>
  <c r="AR392" i="24"/>
  <c r="AR379" i="24"/>
  <c r="AR376" i="24"/>
  <c r="AR367" i="24"/>
  <c r="AR364" i="24"/>
  <c r="AR363" i="24"/>
  <c r="AR361" i="24"/>
  <c r="AR352" i="24"/>
  <c r="AR350" i="24"/>
  <c r="AR349" i="24"/>
  <c r="AR347" i="24"/>
  <c r="AR346" i="24"/>
  <c r="AR319" i="24"/>
  <c r="AR314" i="24"/>
  <c r="AR313" i="24"/>
  <c r="AR306" i="24"/>
  <c r="AR293" i="24"/>
  <c r="AR278" i="24"/>
  <c r="AR272" i="24"/>
  <c r="AR270" i="24"/>
  <c r="AR268" i="24"/>
  <c r="AR266" i="24"/>
  <c r="AR262" i="24"/>
  <c r="AR255" i="24"/>
  <c r="AR249" i="24"/>
  <c r="AR245" i="24"/>
  <c r="AR243" i="24"/>
  <c r="AR238" i="24"/>
  <c r="AR234" i="24"/>
  <c r="AR231" i="24"/>
  <c r="AR230" i="24"/>
  <c r="AR228" i="24"/>
  <c r="AR223" i="24"/>
  <c r="AR222" i="24"/>
  <c r="AR220" i="24"/>
  <c r="AR214" i="24"/>
  <c r="AR211" i="24"/>
  <c r="AR209" i="24"/>
  <c r="AR197" i="24"/>
  <c r="AR195" i="24"/>
  <c r="AR193" i="24"/>
  <c r="AR187" i="24"/>
  <c r="AR183" i="24"/>
  <c r="AR182" i="24"/>
  <c r="AR179" i="24"/>
  <c r="AR169" i="24"/>
  <c r="AR161" i="24"/>
  <c r="AR157" i="24"/>
  <c r="AR155" i="24"/>
  <c r="AR153" i="24"/>
  <c r="AR150" i="24"/>
  <c r="AR148" i="24"/>
  <c r="AR135" i="24"/>
  <c r="AR126" i="24"/>
  <c r="AR123" i="24"/>
  <c r="AR121" i="24"/>
  <c r="AR117" i="24"/>
  <c r="AR115" i="24"/>
  <c r="AR109" i="24"/>
  <c r="AR107" i="24"/>
  <c r="AR102" i="24"/>
  <c r="AR100" i="24"/>
  <c r="AR97" i="24"/>
  <c r="AR86" i="24"/>
  <c r="AR78" i="24"/>
  <c r="AR60" i="24"/>
  <c r="AR55" i="24"/>
  <c r="AR54" i="24"/>
  <c r="AR53" i="24"/>
  <c r="AR52" i="24"/>
  <c r="AR51" i="24"/>
  <c r="AR50" i="24"/>
  <c r="AR43" i="24"/>
  <c r="AR42" i="24"/>
  <c r="AR41" i="24"/>
  <c r="AR40" i="24"/>
  <c r="AR44" i="24"/>
  <c r="AR39" i="24"/>
  <c r="AR35" i="24"/>
  <c r="AR32" i="24"/>
  <c r="AR29" i="24"/>
  <c r="AR13" i="24"/>
  <c r="AR258" i="8"/>
  <c r="AR256" i="8"/>
  <c r="AR255" i="8"/>
  <c r="AR249" i="8"/>
  <c r="AR246" i="8"/>
  <c r="AR236" i="8"/>
  <c r="AR230" i="8"/>
  <c r="AR226" i="8"/>
  <c r="AR225" i="8"/>
  <c r="AR223" i="8"/>
  <c r="AR216" i="8"/>
  <c r="AR208" i="8"/>
  <c r="AR207" i="8"/>
  <c r="AR204" i="8"/>
  <c r="AR200" i="8"/>
  <c r="AR198" i="8"/>
  <c r="AR196" i="8"/>
  <c r="AR195" i="8"/>
  <c r="AR193" i="8"/>
  <c r="AR190" i="8"/>
  <c r="AR183" i="8"/>
  <c r="AR178" i="8"/>
  <c r="AR170" i="8"/>
  <c r="AR164" i="8"/>
  <c r="AR157" i="8"/>
  <c r="AR155" i="8"/>
  <c r="AR153" i="8"/>
  <c r="AR151" i="8"/>
  <c r="AR148" i="8"/>
  <c r="AR146" i="8"/>
  <c r="AR141" i="8"/>
  <c r="AR140" i="8"/>
  <c r="AR135" i="8"/>
  <c r="AR133" i="8"/>
  <c r="AR131" i="8"/>
  <c r="AR129" i="8"/>
  <c r="AR123" i="8"/>
  <c r="AR119" i="8"/>
  <c r="AR114" i="8"/>
  <c r="AR107" i="8"/>
  <c r="AR103" i="8"/>
  <c r="AR100" i="8"/>
  <c r="AR93" i="8"/>
  <c r="AR80" i="8"/>
  <c r="AR67" i="8"/>
  <c r="AR55" i="8"/>
  <c r="AR50" i="8"/>
  <c r="AR45" i="8"/>
  <c r="AR39" i="8"/>
  <c r="AR36" i="8"/>
  <c r="AR27" i="8"/>
  <c r="AR25" i="8"/>
  <c r="AR23" i="8"/>
  <c r="AR21" i="8"/>
  <c r="AR19" i="8"/>
  <c r="AR15" i="8"/>
  <c r="AP18" i="8"/>
  <c r="AP17" i="8"/>
  <c r="AP16" i="8"/>
  <c r="AP15" i="8"/>
  <c r="AP21" i="8"/>
  <c r="AP23" i="8"/>
  <c r="AP25" i="8"/>
  <c r="AP27" i="8"/>
  <c r="AP36" i="8"/>
  <c r="AP39" i="8"/>
  <c r="AP45" i="8"/>
  <c r="AP57" i="8"/>
  <c r="AP56" i="8"/>
  <c r="AP59" i="8"/>
  <c r="AP63" i="8"/>
  <c r="AP62" i="8"/>
  <c r="AP61" i="8"/>
  <c r="AP65" i="8"/>
  <c r="AP70" i="8"/>
  <c r="AP69" i="8"/>
  <c r="AP68" i="8"/>
  <c r="AP72" i="8"/>
  <c r="AP77" i="8"/>
  <c r="AP79" i="8"/>
  <c r="AP83" i="8"/>
  <c r="AP88" i="8"/>
  <c r="AP87" i="8"/>
  <c r="AP92" i="8"/>
  <c r="AP91" i="8"/>
  <c r="AP90" i="8"/>
  <c r="AP100" i="8"/>
  <c r="AP103" i="8"/>
  <c r="AP107" i="8"/>
  <c r="AP114" i="8"/>
  <c r="AP121" i="8"/>
  <c r="AP123" i="8"/>
  <c r="AP129" i="8"/>
  <c r="AP131" i="8"/>
  <c r="AP133" i="8"/>
  <c r="AP135" i="8"/>
  <c r="AP141" i="8"/>
  <c r="AP140" i="8"/>
  <c r="AP146" i="8"/>
  <c r="AP148" i="8"/>
  <c r="AP151" i="8"/>
  <c r="AP153" i="8"/>
  <c r="AP155" i="8"/>
  <c r="AP161" i="8"/>
  <c r="AP160" i="8"/>
  <c r="AP159" i="8"/>
  <c r="AP163" i="8"/>
  <c r="AP166" i="8"/>
  <c r="AP168" i="8"/>
  <c r="AP170" i="8"/>
  <c r="AP178" i="8"/>
  <c r="AP186" i="8"/>
  <c r="AP185" i="8"/>
  <c r="AP188" i="8"/>
  <c r="AP193" i="8"/>
  <c r="AP196" i="8"/>
  <c r="AP195" i="8"/>
  <c r="AP198" i="8"/>
  <c r="AP200" i="8"/>
  <c r="AP204" i="8"/>
  <c r="AP207" i="8"/>
  <c r="AP214" i="8"/>
  <c r="AP213" i="8"/>
  <c r="AP212" i="8"/>
  <c r="AP211" i="8"/>
  <c r="AP210" i="8"/>
  <c r="AP209" i="8"/>
  <c r="AP216" i="8"/>
  <c r="AP223" i="8"/>
  <c r="AP226" i="8"/>
  <c r="AP225" i="8"/>
  <c r="AP230" i="8"/>
  <c r="AP238" i="8"/>
  <c r="AP241" i="8"/>
  <c r="AP246" i="8"/>
  <c r="AP245" i="8"/>
  <c r="AP249" i="8"/>
  <c r="AP256" i="8"/>
  <c r="AP255" i="8"/>
  <c r="AP258" i="8"/>
  <c r="AN258" i="8"/>
  <c r="AN256" i="8"/>
  <c r="AN255" i="8"/>
  <c r="AN249" i="8"/>
  <c r="AN246" i="8"/>
  <c r="AN236" i="8"/>
  <c r="AN230" i="8"/>
  <c r="AN226" i="8"/>
  <c r="AN225" i="8"/>
  <c r="AN223" i="8"/>
  <c r="AN216" i="8"/>
  <c r="AN208" i="8"/>
  <c r="AN207" i="8"/>
  <c r="AN204" i="8"/>
  <c r="AN200" i="8"/>
  <c r="AN198" i="8"/>
  <c r="AN196" i="8"/>
  <c r="AN195" i="8"/>
  <c r="AN193" i="8"/>
  <c r="AN188" i="8"/>
  <c r="AN186" i="8"/>
  <c r="AN185" i="8"/>
  <c r="AN178" i="8"/>
  <c r="AN170" i="8"/>
  <c r="AN168" i="8"/>
  <c r="AN166" i="8"/>
  <c r="AN163" i="8"/>
  <c r="AN161" i="8"/>
  <c r="AN160" i="8"/>
  <c r="AN159" i="8"/>
  <c r="AN155" i="8"/>
  <c r="AN153" i="8"/>
  <c r="AN151" i="8"/>
  <c r="AN148" i="8"/>
  <c r="AN146" i="8"/>
  <c r="AN141" i="8"/>
  <c r="AN140" i="8"/>
  <c r="AN135" i="8"/>
  <c r="AN133" i="8"/>
  <c r="AN131" i="8"/>
  <c r="AN129" i="8"/>
  <c r="AN123" i="8"/>
  <c r="AN114" i="8"/>
  <c r="AN107" i="8"/>
  <c r="AN103" i="8"/>
  <c r="AN100" i="8"/>
  <c r="AN92" i="8"/>
  <c r="AN85" i="8"/>
  <c r="AN83" i="8"/>
  <c r="AN79" i="8"/>
  <c r="AN77" i="8"/>
  <c r="AN72" i="8"/>
  <c r="AN70" i="8"/>
  <c r="AN69" i="8"/>
  <c r="AN65" i="8"/>
  <c r="AN63" i="8"/>
  <c r="AN62" i="8"/>
  <c r="AN61" i="8"/>
  <c r="AN59" i="8"/>
  <c r="AN57" i="8"/>
  <c r="AN56" i="8"/>
  <c r="AN45" i="8"/>
  <c r="AN39" i="8"/>
  <c r="AN36" i="8"/>
  <c r="AN27" i="8"/>
  <c r="AN25" i="8"/>
  <c r="AN23" i="8"/>
  <c r="AN21" i="8"/>
  <c r="AN15" i="8"/>
  <c r="AL258" i="8"/>
  <c r="AL256" i="8"/>
  <c r="AL255" i="8"/>
  <c r="AL254" i="8"/>
  <c r="AL253" i="8"/>
  <c r="AL252" i="8"/>
  <c r="AL251" i="8"/>
  <c r="AL250" i="8"/>
  <c r="AL246" i="8"/>
  <c r="AL236" i="8"/>
  <c r="AL234" i="8"/>
  <c r="AL233" i="8"/>
  <c r="AL232" i="8"/>
  <c r="AL229" i="8"/>
  <c r="AL228" i="8"/>
  <c r="AL227" i="8"/>
  <c r="AL225" i="8"/>
  <c r="AL223" i="8"/>
  <c r="AL216" i="8"/>
  <c r="AL208" i="8"/>
  <c r="AL207" i="8"/>
  <c r="AL204" i="8"/>
  <c r="AL200" i="8"/>
  <c r="AL198" i="8"/>
  <c r="AL196" i="8"/>
  <c r="AL195" i="8"/>
  <c r="AL193" i="8"/>
  <c r="AL188" i="8"/>
  <c r="AL186" i="8"/>
  <c r="AL185" i="8"/>
  <c r="AL178" i="8"/>
  <c r="AL170" i="8"/>
  <c r="AL168" i="8"/>
  <c r="AL166" i="8"/>
  <c r="AL163" i="8"/>
  <c r="AL161" i="8"/>
  <c r="AL160" i="8"/>
  <c r="AL159" i="8"/>
  <c r="AL155" i="8"/>
  <c r="AL153" i="8"/>
  <c r="AL151" i="8"/>
  <c r="AL148" i="8"/>
  <c r="AL146" i="8"/>
  <c r="AL141" i="8"/>
  <c r="AL140" i="8"/>
  <c r="AL139" i="8"/>
  <c r="AL138" i="8"/>
  <c r="AL137" i="8"/>
  <c r="AL136" i="8"/>
  <c r="AL133" i="8"/>
  <c r="AL131" i="8"/>
  <c r="AL129" i="8"/>
  <c r="AL128" i="8"/>
  <c r="AL127" i="8"/>
  <c r="AL126" i="8"/>
  <c r="AL125" i="8"/>
  <c r="AL118" i="8"/>
  <c r="AL117" i="8"/>
  <c r="AL116" i="8"/>
  <c r="AL113" i="8"/>
  <c r="AL112" i="8"/>
  <c r="AL111" i="8"/>
  <c r="AL103" i="8"/>
  <c r="AL100" i="8"/>
  <c r="AL92" i="8"/>
  <c r="AL85" i="8"/>
  <c r="AL83" i="8"/>
  <c r="AL79" i="8"/>
  <c r="AL77" i="8"/>
  <c r="AL76" i="8"/>
  <c r="AL75" i="8"/>
  <c r="AL74" i="8"/>
  <c r="AL70" i="8"/>
  <c r="AL69" i="8"/>
  <c r="AL65" i="8"/>
  <c r="AL63" i="8"/>
  <c r="AL62" i="8"/>
  <c r="AL61" i="8"/>
  <c r="AL59" i="8"/>
  <c r="AL57" i="8"/>
  <c r="AL56" i="8"/>
  <c r="AL45" i="8"/>
  <c r="AL43" i="8"/>
  <c r="AL42" i="8"/>
  <c r="AL41" i="8"/>
  <c r="AL36" i="8"/>
  <c r="AL27" i="8"/>
  <c r="AL25" i="8"/>
  <c r="AL23" i="8"/>
  <c r="AL21" i="8"/>
  <c r="AL18" i="8"/>
  <c r="AL17" i="8"/>
  <c r="AL16" i="8"/>
  <c r="AL15" i="8"/>
  <c r="U39" i="8"/>
  <c r="AB4" i="2" s="1"/>
  <c r="Y38" i="16"/>
  <c r="Y35" i="16"/>
  <c r="Y26" i="16"/>
  <c r="Y24" i="16"/>
  <c r="Y22" i="16"/>
  <c r="Y20" i="16"/>
  <c r="Y18" i="16"/>
  <c r="Y13" i="16"/>
  <c r="A2004" i="66"/>
  <c r="A2002" i="66"/>
  <c r="A1996" i="66" s="1"/>
  <c r="A1986" i="66"/>
  <c r="C1986" i="66" s="1"/>
  <c r="A1984" i="66"/>
  <c r="A1878" i="66"/>
  <c r="A1879" i="66" s="1"/>
  <c r="A1825" i="66"/>
  <c r="A1820" i="66"/>
  <c r="A1816" i="66"/>
  <c r="A1791" i="66"/>
  <c r="C1791" i="66" s="1"/>
  <c r="A1789" i="66"/>
  <c r="C1789" i="66" s="1"/>
  <c r="A1786" i="66"/>
  <c r="A1784" i="66"/>
  <c r="C1784" i="66" s="1"/>
  <c r="A1772" i="66"/>
  <c r="A1769" i="66"/>
  <c r="A1770" i="66" s="1"/>
  <c r="A1767" i="66"/>
  <c r="C1767" i="66" s="1"/>
  <c r="A1758" i="66"/>
  <c r="A1739" i="66"/>
  <c r="A1732" i="66"/>
  <c r="A1726" i="66"/>
  <c r="A1710" i="66"/>
  <c r="C1710" i="66" s="1"/>
  <c r="A1705" i="66"/>
  <c r="A1686" i="66"/>
  <c r="A1681" i="66"/>
  <c r="A1665" i="66"/>
  <c r="A1642" i="66"/>
  <c r="C1642" i="66" s="1"/>
  <c r="A1618" i="66"/>
  <c r="A1608" i="66"/>
  <c r="A1606" i="66"/>
  <c r="C1606" i="66" s="1"/>
  <c r="A1604" i="66"/>
  <c r="A1594" i="66"/>
  <c r="A1592" i="66"/>
  <c r="A1589" i="66"/>
  <c r="A1580" i="66"/>
  <c r="A1576" i="66"/>
  <c r="A1553" i="66"/>
  <c r="C1553" i="66" s="1"/>
  <c r="A1548" i="66"/>
  <c r="A1530" i="66"/>
  <c r="A1527" i="66"/>
  <c r="C1527" i="66" s="1"/>
  <c r="A1509" i="66"/>
  <c r="C1509" i="66" s="1"/>
  <c r="A1505" i="66"/>
  <c r="C1505" i="66" s="1"/>
  <c r="A1502" i="66"/>
  <c r="A1496" i="66"/>
  <c r="A1497" i="66" s="1"/>
  <c r="C1497" i="66" s="1"/>
  <c r="A1488" i="66"/>
  <c r="A1464" i="66"/>
  <c r="A1390" i="66"/>
  <c r="A1379" i="66"/>
  <c r="A1339" i="66"/>
  <c r="A1340" i="66" s="1"/>
  <c r="C1340" i="66" s="1"/>
  <c r="A1321" i="66"/>
  <c r="A1322" i="66" s="1"/>
  <c r="A1319" i="66"/>
  <c r="C1319" i="66" s="1"/>
  <c r="A1265" i="66"/>
  <c r="A1260" i="66"/>
  <c r="A1256" i="66"/>
  <c r="A1257" i="66" s="1"/>
  <c r="A1250" i="66"/>
  <c r="A1242" i="66"/>
  <c r="A1243" i="66" s="1"/>
  <c r="A1230" i="66"/>
  <c r="C1230" i="66" s="1"/>
  <c r="A1226" i="66"/>
  <c r="A1217" i="66"/>
  <c r="A1218" i="66" s="1"/>
  <c r="C1218" i="66" s="1"/>
  <c r="A1189" i="66"/>
  <c r="C1189" i="66" s="1"/>
  <c r="A1132" i="66"/>
  <c r="A1106" i="66"/>
  <c r="A1104" i="66"/>
  <c r="A1076" i="66"/>
  <c r="C1052" i="66"/>
  <c r="A1000" i="66"/>
  <c r="A978" i="66"/>
  <c r="A970" i="66"/>
  <c r="A962" i="66"/>
  <c r="A948" i="66"/>
  <c r="C948" i="66" s="1"/>
  <c r="A936" i="66"/>
  <c r="A903" i="66"/>
  <c r="A887" i="66"/>
  <c r="C887" i="66" s="1"/>
  <c r="A881" i="66"/>
  <c r="A878" i="66"/>
  <c r="A879" i="66" s="1"/>
  <c r="C879" i="66" s="1"/>
  <c r="A815" i="66"/>
  <c r="A816" i="66" s="1"/>
  <c r="A817" i="66" s="1"/>
  <c r="A813" i="66"/>
  <c r="C813" i="66" s="1"/>
  <c r="A803" i="66"/>
  <c r="A804" i="66" s="1"/>
  <c r="C804" i="66" s="1"/>
  <c r="A800" i="66"/>
  <c r="A801" i="66" s="1"/>
  <c r="A767" i="66"/>
  <c r="A707" i="66"/>
  <c r="A547" i="66"/>
  <c r="C547" i="66" s="1"/>
  <c r="A516" i="66"/>
  <c r="C516" i="66" s="1"/>
  <c r="A509" i="66"/>
  <c r="A497" i="66"/>
  <c r="C497" i="66" s="1"/>
  <c r="A488" i="66"/>
  <c r="A465" i="66"/>
  <c r="C465" i="66" s="1"/>
  <c r="A463" i="66"/>
  <c r="C463" i="66" s="1"/>
  <c r="A411" i="66"/>
  <c r="A412" i="66" s="1"/>
  <c r="A409" i="66"/>
  <c r="C409" i="66" s="1"/>
  <c r="A404" i="66"/>
  <c r="C404" i="66" s="1"/>
  <c r="A377" i="66"/>
  <c r="C377" i="66" s="1"/>
  <c r="A354" i="66"/>
  <c r="C354" i="66" s="1"/>
  <c r="A340" i="66"/>
  <c r="C340" i="66" s="1"/>
  <c r="A283" i="66"/>
  <c r="A257" i="66"/>
  <c r="C257" i="66" s="1"/>
  <c r="A229" i="66"/>
  <c r="C229" i="66" s="1"/>
  <c r="A222" i="66"/>
  <c r="A203" i="66"/>
  <c r="A197" i="66"/>
  <c r="A192" i="66"/>
  <c r="A187" i="66"/>
  <c r="C187" i="66" s="1"/>
  <c r="A185" i="66"/>
  <c r="A181" i="66" s="1"/>
  <c r="A167" i="66"/>
  <c r="A154" i="66"/>
  <c r="A152" i="66"/>
  <c r="A147" i="66"/>
  <c r="A145" i="66"/>
  <c r="C145" i="66" s="1"/>
  <c r="A132" i="66"/>
  <c r="C132" i="66" s="1"/>
  <c r="A130" i="66"/>
  <c r="A128" i="66"/>
  <c r="A122" i="66"/>
  <c r="A113" i="66"/>
  <c r="C113" i="66" s="1"/>
  <c r="A102" i="66"/>
  <c r="A87" i="66"/>
  <c r="A71" i="66"/>
  <c r="A69" i="66"/>
  <c r="A64" i="66"/>
  <c r="A62" i="66"/>
  <c r="C62" i="66" s="1"/>
  <c r="A56" i="66"/>
  <c r="A53" i="66" s="1"/>
  <c r="A38" i="66"/>
  <c r="C38" i="66" s="1"/>
  <c r="A35" i="66"/>
  <c r="A24" i="66"/>
  <c r="C24" i="66" s="1"/>
  <c r="A20" i="66"/>
  <c r="L113" i="18"/>
  <c r="L108" i="18"/>
  <c r="L106" i="18"/>
  <c r="J83" i="17"/>
  <c r="J81" i="17"/>
  <c r="J79" i="17"/>
  <c r="J77" i="17"/>
  <c r="J75" i="17"/>
  <c r="J61" i="18"/>
  <c r="J83" i="18"/>
  <c r="J81" i="18"/>
  <c r="J79" i="18"/>
  <c r="J77" i="18"/>
  <c r="J75" i="18"/>
  <c r="J63" i="18"/>
  <c r="J60" i="18"/>
  <c r="J53" i="18"/>
  <c r="J51" i="18"/>
  <c r="J49" i="18"/>
  <c r="J47" i="18"/>
  <c r="J45" i="18"/>
  <c r="AD1291" i="16"/>
  <c r="AD767" i="16"/>
  <c r="AD757" i="16"/>
  <c r="AD707" i="16"/>
  <c r="AC707" i="16" s="1"/>
  <c r="AD634" i="16"/>
  <c r="AD631" i="16"/>
  <c r="AD621" i="16"/>
  <c r="AD606" i="16"/>
  <c r="AD604" i="16"/>
  <c r="AD603" i="16"/>
  <c r="AD601" i="16"/>
  <c r="AC601" i="16" s="1"/>
  <c r="AD600" i="16"/>
  <c r="AD580" i="16"/>
  <c r="AD568" i="16"/>
  <c r="AD567" i="16"/>
  <c r="AD527" i="16"/>
  <c r="AD525" i="16"/>
  <c r="AD523" i="16"/>
  <c r="AD521" i="16"/>
  <c r="AD516" i="16"/>
  <c r="AC516" i="16" s="1"/>
  <c r="AD509" i="16"/>
  <c r="AD340" i="16"/>
  <c r="AD213" i="16"/>
  <c r="AD26" i="16"/>
  <c r="H105" i="18"/>
  <c r="H106" i="18"/>
  <c r="K106" i="18" s="1"/>
  <c r="J106" i="18" s="1"/>
  <c r="H107" i="18"/>
  <c r="H108" i="18"/>
  <c r="K108" i="18" s="1"/>
  <c r="J108" i="18" s="1"/>
  <c r="H109" i="18"/>
  <c r="H110" i="18"/>
  <c r="H111" i="18"/>
  <c r="H112" i="18"/>
  <c r="H113" i="18"/>
  <c r="H104" i="18"/>
  <c r="D104" i="18"/>
  <c r="K104" i="18" s="1"/>
  <c r="J104" i="18" s="1"/>
  <c r="D105" i="18"/>
  <c r="D106" i="18"/>
  <c r="D107" i="18"/>
  <c r="D108" i="18"/>
  <c r="D109" i="18"/>
  <c r="K109" i="18" s="1"/>
  <c r="J109" i="18" s="1"/>
  <c r="D110" i="18"/>
  <c r="D111" i="18"/>
  <c r="K111" i="18" s="1"/>
  <c r="J111" i="18" s="1"/>
  <c r="D112" i="18"/>
  <c r="D113" i="18"/>
  <c r="L109" i="18"/>
  <c r="L112" i="18"/>
  <c r="L111" i="18"/>
  <c r="L107" i="18"/>
  <c r="L110" i="18"/>
  <c r="L104" i="18"/>
  <c r="K110" i="18"/>
  <c r="J110" i="18" s="1"/>
  <c r="E20" i="18"/>
  <c r="E20" i="17"/>
  <c r="H2003" i="66"/>
  <c r="H2001" i="66"/>
  <c r="H1988" i="66"/>
  <c r="H1985" i="66"/>
  <c r="H1983" i="66"/>
  <c r="H1965" i="66"/>
  <c r="H1964" i="66"/>
  <c r="H1963" i="66"/>
  <c r="H1966" i="66"/>
  <c r="H1962" i="66"/>
  <c r="H1960" i="66"/>
  <c r="H1959" i="66"/>
  <c r="H1957" i="66"/>
  <c r="H1950" i="66"/>
  <c r="H1946" i="66"/>
  <c r="H1944" i="66"/>
  <c r="H1938" i="66"/>
  <c r="H1935" i="66"/>
  <c r="H1934" i="66"/>
  <c r="H1932" i="66"/>
  <c r="H1930" i="66"/>
  <c r="H1929" i="66"/>
  <c r="H1927" i="66"/>
  <c r="H1924" i="66"/>
  <c r="H1922" i="66"/>
  <c r="H1919" i="66"/>
  <c r="H1917" i="66"/>
  <c r="H1910" i="66"/>
  <c r="H1911" i="66"/>
  <c r="H1909" i="66"/>
  <c r="H1907" i="66"/>
  <c r="H1906" i="66"/>
  <c r="H1904" i="66"/>
  <c r="H1901" i="66"/>
  <c r="H1898" i="66"/>
  <c r="H1876" i="66"/>
  <c r="H1877" i="66"/>
  <c r="H1875" i="66"/>
  <c r="H1873" i="66"/>
  <c r="H1871" i="66"/>
  <c r="H1869" i="66"/>
  <c r="H1868" i="66"/>
  <c r="H1866" i="66"/>
  <c r="H1864" i="66"/>
  <c r="H1863" i="66"/>
  <c r="H1861" i="66"/>
  <c r="H1859" i="66"/>
  <c r="H1855" i="66"/>
  <c r="H1845" i="66"/>
  <c r="H1847" i="66"/>
  <c r="H1848" i="66"/>
  <c r="H1849" i="66"/>
  <c r="H1844" i="66"/>
  <c r="H1842" i="66"/>
  <c r="H1839" i="66"/>
  <c r="H1840" i="66"/>
  <c r="H1838" i="66"/>
  <c r="H1834" i="66"/>
  <c r="H1833" i="66"/>
  <c r="H1832" i="66"/>
  <c r="H1824" i="66"/>
  <c r="H1819" i="66"/>
  <c r="H1815" i="66"/>
  <c r="H1810" i="66"/>
  <c r="H1805" i="66"/>
  <c r="H1804" i="66"/>
  <c r="H1798" i="66"/>
  <c r="H1794" i="66"/>
  <c r="H1790" i="66"/>
  <c r="H1788" i="66"/>
  <c r="H1785" i="66"/>
  <c r="H1783" i="66"/>
  <c r="H1780" i="66"/>
  <c r="H1776" i="66"/>
  <c r="H1771" i="66"/>
  <c r="H1768" i="66"/>
  <c r="H1766" i="66"/>
  <c r="H1757" i="66"/>
  <c r="H1753" i="66"/>
  <c r="H1751" i="66"/>
  <c r="H1749" i="66"/>
  <c r="H1746" i="66"/>
  <c r="H1744" i="66"/>
  <c r="H1738" i="66"/>
  <c r="H1737" i="66"/>
  <c r="H1735" i="66"/>
  <c r="H1731" i="66"/>
  <c r="H1729" i="66"/>
  <c r="H1727" i="66"/>
  <c r="H1725" i="66"/>
  <c r="H1719" i="66"/>
  <c r="H1717" i="66"/>
  <c r="H1714" i="66"/>
  <c r="H1713" i="66"/>
  <c r="H1709" i="66"/>
  <c r="H1704" i="66"/>
  <c r="H1700" i="66"/>
  <c r="H1699" i="66"/>
  <c r="H1694" i="66"/>
  <c r="H1685" i="66"/>
  <c r="H1680" i="66"/>
  <c r="H1678" i="66"/>
  <c r="H1677" i="66"/>
  <c r="H1675" i="66"/>
  <c r="H1664" i="66"/>
  <c r="H1661" i="66"/>
  <c r="H1660" i="66"/>
  <c r="H1650" i="66"/>
  <c r="H1641" i="66"/>
  <c r="H1638" i="66"/>
  <c r="H1636" i="66"/>
  <c r="H1625" i="66"/>
  <c r="H1624" i="66"/>
  <c r="H1623" i="66"/>
  <c r="H1622" i="66"/>
  <c r="H1617" i="66"/>
  <c r="H1613" i="66"/>
  <c r="H1607" i="66"/>
  <c r="H1605" i="66"/>
  <c r="H1603" i="66"/>
  <c r="H1600" i="66"/>
  <c r="H1598" i="66"/>
  <c r="H1596" i="66"/>
  <c r="H1593" i="66"/>
  <c r="H1591" i="66"/>
  <c r="H1588" i="66"/>
  <c r="H1582" i="66"/>
  <c r="H1579" i="66"/>
  <c r="H1575" i="66"/>
  <c r="H1572" i="66"/>
  <c r="H1569" i="66"/>
  <c r="H1564" i="66"/>
  <c r="H1558" i="66"/>
  <c r="H1552" i="66"/>
  <c r="H1550" i="66"/>
  <c r="H1546" i="66"/>
  <c r="H1547" i="66"/>
  <c r="H1545" i="66"/>
  <c r="H1540" i="66"/>
  <c r="H1538" i="66"/>
  <c r="H1536" i="66"/>
  <c r="H1529" i="66"/>
  <c r="H1528" i="66"/>
  <c r="H1526" i="66"/>
  <c r="H1512" i="66"/>
  <c r="H1508" i="66"/>
  <c r="H1504" i="66"/>
  <c r="H1503" i="66"/>
  <c r="H1501" i="66"/>
  <c r="H1495" i="66"/>
  <c r="H1492" i="66"/>
  <c r="H1491" i="66"/>
  <c r="H1493" i="66"/>
  <c r="H1487" i="66"/>
  <c r="H1485" i="66"/>
  <c r="H1483" i="66"/>
  <c r="H1479" i="66"/>
  <c r="H1476" i="66"/>
  <c r="H1470" i="66"/>
  <c r="H1463" i="66"/>
  <c r="H1462" i="66"/>
  <c r="H1458" i="66"/>
  <c r="H1453" i="66"/>
  <c r="H1448" i="66"/>
  <c r="H1439" i="66"/>
  <c r="H1432" i="66"/>
  <c r="H1431" i="66"/>
  <c r="H1426" i="66"/>
  <c r="H1397" i="66"/>
  <c r="H1389" i="66"/>
  <c r="H1386" i="66"/>
  <c r="H1383" i="66"/>
  <c r="H1382" i="66"/>
  <c r="H1378" i="66"/>
  <c r="H1370" i="66"/>
  <c r="H1367" i="66"/>
  <c r="H1365" i="66"/>
  <c r="H1363" i="66"/>
  <c r="H1360" i="66"/>
  <c r="H1359" i="66"/>
  <c r="H1358" i="66"/>
  <c r="H1357" i="66"/>
  <c r="H1356" i="66"/>
  <c r="H1355" i="66"/>
  <c r="H1354" i="66"/>
  <c r="H1353" i="66"/>
  <c r="H1338" i="66"/>
  <c r="H1335" i="66"/>
  <c r="H1332" i="66"/>
  <c r="H1330" i="66"/>
  <c r="H1329" i="66"/>
  <c r="H1328" i="66"/>
  <c r="H1327" i="66"/>
  <c r="H1320" i="66"/>
  <c r="H1318" i="66"/>
  <c r="H1316" i="66"/>
  <c r="H1304" i="66"/>
  <c r="H1298" i="66"/>
  <c r="H1290" i="66"/>
  <c r="H1287" i="66"/>
  <c r="H1286" i="66"/>
  <c r="H1264" i="66"/>
  <c r="H1259" i="66"/>
  <c r="H1255" i="66"/>
  <c r="H1254" i="66"/>
  <c r="H1252" i="66"/>
  <c r="H1249" i="66"/>
  <c r="H1246" i="66"/>
  <c r="H1241" i="66"/>
  <c r="H1236" i="66"/>
  <c r="H1232" i="66"/>
  <c r="H1229" i="66"/>
  <c r="H1225" i="66"/>
  <c r="H1216" i="66"/>
  <c r="H1188" i="66"/>
  <c r="H1186" i="66"/>
  <c r="H1184" i="66"/>
  <c r="H1182" i="66"/>
  <c r="H1177" i="66"/>
  <c r="H1176" i="66"/>
  <c r="H1173" i="66"/>
  <c r="H1170" i="66"/>
  <c r="H1171" i="66"/>
  <c r="H1169" i="66"/>
  <c r="H1167" i="66"/>
  <c r="H1159" i="66"/>
  <c r="H1131" i="66"/>
  <c r="H1127" i="66"/>
  <c r="H1128" i="66"/>
  <c r="H1126" i="66"/>
  <c r="H1123" i="66"/>
  <c r="H1121" i="66"/>
  <c r="H1119" i="66"/>
  <c r="H1109" i="66"/>
  <c r="H1107" i="66"/>
  <c r="H1105" i="66"/>
  <c r="H1103" i="66"/>
  <c r="H1088" i="66"/>
  <c r="H1086" i="66"/>
  <c r="H1073" i="66"/>
  <c r="H1075" i="66"/>
  <c r="H1071" i="66"/>
  <c r="H1070" i="66"/>
  <c r="H1067" i="66"/>
  <c r="H1065" i="66"/>
  <c r="H1059" i="66"/>
  <c r="H1054" i="66"/>
  <c r="H1052" i="66"/>
  <c r="H1047" i="66"/>
  <c r="H1042" i="66"/>
  <c r="H1041" i="66"/>
  <c r="H1039" i="66"/>
  <c r="H1035" i="66"/>
  <c r="H1030" i="66"/>
  <c r="H1026" i="66"/>
  <c r="H1020" i="66"/>
  <c r="H1015" i="66"/>
  <c r="H1012" i="66"/>
  <c r="H1006" i="66"/>
  <c r="H999" i="66"/>
  <c r="H993" i="66"/>
  <c r="H987" i="66"/>
  <c r="H977" i="66"/>
  <c r="H969" i="66"/>
  <c r="H961" i="66"/>
  <c r="H954" i="66"/>
  <c r="H947" i="66"/>
  <c r="H946" i="66"/>
  <c r="H940" i="66"/>
  <c r="H938" i="66"/>
  <c r="H935" i="66"/>
  <c r="H932" i="66"/>
  <c r="H919" i="66"/>
  <c r="H908" i="66"/>
  <c r="H902" i="66"/>
  <c r="H897" i="66"/>
  <c r="H896" i="66"/>
  <c r="H894" i="66"/>
  <c r="H886" i="66"/>
  <c r="H880" i="66"/>
  <c r="H853" i="66"/>
  <c r="H850" i="66"/>
  <c r="H834" i="66"/>
  <c r="C831" i="66" s="1"/>
  <c r="H818" i="66"/>
  <c r="H816" i="66"/>
  <c r="H812" i="66"/>
  <c r="H811" i="66"/>
  <c r="H808" i="66"/>
  <c r="H802" i="66"/>
  <c r="H799" i="66"/>
  <c r="H794" i="66"/>
  <c r="H785" i="66"/>
  <c r="H774" i="66"/>
  <c r="H775" i="66" s="1"/>
  <c r="H766" i="66"/>
  <c r="H756" i="66"/>
  <c r="H748" i="66"/>
  <c r="H746" i="66"/>
  <c r="H741" i="66"/>
  <c r="H742" i="66"/>
  <c r="H740" i="66"/>
  <c r="H738" i="66"/>
  <c r="H736" i="66"/>
  <c r="H732" i="66"/>
  <c r="H727" i="66"/>
  <c r="H723" i="66"/>
  <c r="H722" i="66"/>
  <c r="H721" i="66"/>
  <c r="H720" i="66"/>
  <c r="H719" i="66"/>
  <c r="H718" i="66"/>
  <c r="H717" i="66"/>
  <c r="H706" i="66"/>
  <c r="H700" i="66"/>
  <c r="H694" i="66"/>
  <c r="H688" i="66"/>
  <c r="H682" i="66"/>
  <c r="H676" i="66"/>
  <c r="H669" i="66"/>
  <c r="A668" i="66" s="1"/>
  <c r="C668" i="66" s="1"/>
  <c r="H661" i="66"/>
  <c r="H654" i="66"/>
  <c r="H645" i="66"/>
  <c r="H633" i="66"/>
  <c r="H630" i="66"/>
  <c r="H620" i="66"/>
  <c r="H617" i="66"/>
  <c r="H616" i="66"/>
  <c r="H614" i="66"/>
  <c r="H605" i="66"/>
  <c r="H603" i="66"/>
  <c r="H602" i="66"/>
  <c r="H600" i="66"/>
  <c r="H599" i="66"/>
  <c r="H579" i="66"/>
  <c r="H578" i="66"/>
  <c r="H577" i="66"/>
  <c r="H576" i="66"/>
  <c r="H575" i="66"/>
  <c r="H574" i="66"/>
  <c r="H573" i="66"/>
  <c r="H572" i="66"/>
  <c r="H567" i="66"/>
  <c r="H566" i="66"/>
  <c r="H565" i="66"/>
  <c r="H564" i="66"/>
  <c r="H563" i="66"/>
  <c r="H562" i="66"/>
  <c r="H561" i="66"/>
  <c r="H560" i="66"/>
  <c r="H559" i="66"/>
  <c r="H546" i="66"/>
  <c r="H544" i="66"/>
  <c r="H531" i="66"/>
  <c r="H526" i="66"/>
  <c r="H524" i="66"/>
  <c r="H522" i="66"/>
  <c r="H520" i="66"/>
  <c r="H515" i="66"/>
  <c r="H508" i="66"/>
  <c r="H502" i="66"/>
  <c r="H498" i="66"/>
  <c r="H496" i="66"/>
  <c r="H491" i="66"/>
  <c r="H487" i="66"/>
  <c r="H484" i="66"/>
  <c r="H483" i="66"/>
  <c r="H481" i="66"/>
  <c r="H476" i="66"/>
  <c r="H475" i="66"/>
  <c r="H473" i="66"/>
  <c r="H467" i="66"/>
  <c r="H464" i="66"/>
  <c r="H462" i="66"/>
  <c r="H450" i="66"/>
  <c r="H448" i="66"/>
  <c r="H446" i="66"/>
  <c r="H440" i="66"/>
  <c r="H436" i="66"/>
  <c r="H435" i="66"/>
  <c r="H432" i="66"/>
  <c r="H422" i="66"/>
  <c r="H414" i="66"/>
  <c r="H410" i="66"/>
  <c r="H408" i="66"/>
  <c r="H406" i="66"/>
  <c r="H403" i="66"/>
  <c r="H401" i="66"/>
  <c r="H396" i="66"/>
  <c r="H392" i="66"/>
  <c r="H388" i="66"/>
  <c r="H382" i="66"/>
  <c r="H380" i="66"/>
  <c r="H379" i="66"/>
  <c r="H376" i="66"/>
  <c r="H374" i="66"/>
  <c r="H370" i="66"/>
  <c r="H368" i="66"/>
  <c r="H362" i="66"/>
  <c r="H360" i="66"/>
  <c r="H358" i="66"/>
  <c r="H357" i="66"/>
  <c r="H353" i="66"/>
  <c r="H350" i="66"/>
  <c r="H339" i="66"/>
  <c r="H331" i="66"/>
  <c r="H324" i="66"/>
  <c r="H322" i="66"/>
  <c r="H317" i="66"/>
  <c r="H318" i="66"/>
  <c r="H316" i="66"/>
  <c r="H309" i="66"/>
  <c r="H307" i="66"/>
  <c r="H306" i="66"/>
  <c r="H305" i="66"/>
  <c r="H304" i="66"/>
  <c r="H303" i="66"/>
  <c r="H297" i="66"/>
  <c r="H296" i="66"/>
  <c r="H295" i="66"/>
  <c r="H294" i="66"/>
  <c r="H293" i="66"/>
  <c r="H292" i="66"/>
  <c r="H288" i="66"/>
  <c r="H285" i="66"/>
  <c r="H282" i="66"/>
  <c r="H256" i="66"/>
  <c r="H254" i="66"/>
  <c r="H253" i="66"/>
  <c r="H247" i="66"/>
  <c r="H244" i="66"/>
  <c r="H243" i="66"/>
  <c r="H239" i="66"/>
  <c r="H236" i="66"/>
  <c r="H228" i="66"/>
  <c r="H224" i="66"/>
  <c r="H223" i="66"/>
  <c r="H221" i="66"/>
  <c r="H214" i="66"/>
  <c r="H211" i="66"/>
  <c r="H210" i="66"/>
  <c r="H209" i="66"/>
  <c r="H208" i="66"/>
  <c r="H212" i="66"/>
  <c r="H207" i="66"/>
  <c r="H205" i="66"/>
  <c r="H202" i="66"/>
  <c r="H198" i="66"/>
  <c r="H196" i="66"/>
  <c r="H194" i="66"/>
  <c r="H193" i="66"/>
  <c r="H191" i="66"/>
  <c r="H186" i="66"/>
  <c r="H184" i="66"/>
  <c r="H183" i="66"/>
  <c r="H176" i="66"/>
  <c r="H169" i="66"/>
  <c r="H166" i="66"/>
  <c r="H164" i="66"/>
  <c r="H161" i="66"/>
  <c r="H158" i="66"/>
  <c r="H159" i="66"/>
  <c r="H157" i="66"/>
  <c r="H153" i="66"/>
  <c r="H151" i="66"/>
  <c r="H149" i="66"/>
  <c r="H146" i="66"/>
  <c r="H144" i="66"/>
  <c r="H139" i="66"/>
  <c r="H138" i="66"/>
  <c r="H133" i="66"/>
  <c r="H131" i="66"/>
  <c r="H129" i="66"/>
  <c r="H127" i="66"/>
  <c r="H121" i="66"/>
  <c r="H119" i="66"/>
  <c r="H112" i="66"/>
  <c r="H105" i="66"/>
  <c r="H101" i="66"/>
  <c r="H98" i="66"/>
  <c r="H89" i="66"/>
  <c r="H90" i="66"/>
  <c r="H88" i="66"/>
  <c r="H86" i="66"/>
  <c r="H85" i="66"/>
  <c r="H81" i="66"/>
  <c r="H77" i="66"/>
  <c r="H75" i="66"/>
  <c r="H70" i="66"/>
  <c r="H67" i="66"/>
  <c r="H68" i="66"/>
  <c r="H66" i="66"/>
  <c r="H63" i="66"/>
  <c r="H60" i="66"/>
  <c r="H61" i="66"/>
  <c r="H59" i="66"/>
  <c r="H57" i="66"/>
  <c r="H55" i="66"/>
  <c r="H54" i="66"/>
  <c r="H43" i="66"/>
  <c r="H37" i="66"/>
  <c r="H34" i="66"/>
  <c r="H25" i="66"/>
  <c r="H23" i="66"/>
  <c r="H21" i="66"/>
  <c r="H19" i="66"/>
  <c r="H16" i="66"/>
  <c r="H15" i="66"/>
  <c r="H14" i="66"/>
  <c r="H13" i="66"/>
  <c r="A532" i="66"/>
  <c r="A533" i="66" s="1"/>
  <c r="A1368" i="66"/>
  <c r="A618" i="66"/>
  <c r="C618" i="66" s="1"/>
  <c r="A245" i="66"/>
  <c r="C245" i="66" s="1"/>
  <c r="A1989" i="66"/>
  <c r="A1990" i="66" s="1"/>
  <c r="A1967" i="66"/>
  <c r="A1968" i="66" s="1"/>
  <c r="A1969" i="66" s="1"/>
  <c r="A1970" i="66" s="1"/>
  <c r="C1970" i="66" s="1"/>
  <c r="A1811" i="66"/>
  <c r="A1777" i="66"/>
  <c r="A1728" i="66"/>
  <c r="C1728" i="66" s="1"/>
  <c r="A1639" i="66"/>
  <c r="A1599" i="66"/>
  <c r="C1599" i="66" s="1"/>
  <c r="A1597" i="66"/>
  <c r="C1597" i="66" s="1"/>
  <c r="A1565" i="66"/>
  <c r="C1565" i="66" s="1"/>
  <c r="A1551" i="66"/>
  <c r="A1387" i="66"/>
  <c r="A1305" i="66"/>
  <c r="A1291" i="66"/>
  <c r="A1292" i="66" s="1"/>
  <c r="C1292" i="66" s="1"/>
  <c r="A1247" i="66"/>
  <c r="C1247" i="66" s="1"/>
  <c r="A1237" i="66"/>
  <c r="C1237" i="66" s="1"/>
  <c r="A1160" i="66"/>
  <c r="A1060" i="66"/>
  <c r="C1060" i="66" s="1"/>
  <c r="A1043" i="66"/>
  <c r="A1044" i="66" s="1"/>
  <c r="C1044" i="66" s="1"/>
  <c r="A933" i="66"/>
  <c r="C933" i="66" s="1"/>
  <c r="A851" i="66"/>
  <c r="A809" i="66"/>
  <c r="A606" i="66"/>
  <c r="A607" i="66" s="1"/>
  <c r="A492" i="66"/>
  <c r="A468" i="66"/>
  <c r="C468" i="66" s="1"/>
  <c r="A415" i="66"/>
  <c r="A407" i="66"/>
  <c r="A402" i="66"/>
  <c r="A363" i="66"/>
  <c r="A351" i="66"/>
  <c r="A332" i="66"/>
  <c r="C332" i="66" s="1"/>
  <c r="A298" i="66"/>
  <c r="A299" i="66" s="1"/>
  <c r="A286" i="66"/>
  <c r="A287" i="66" s="1"/>
  <c r="A255" i="66"/>
  <c r="A199" i="66"/>
  <c r="A200" i="66" s="1"/>
  <c r="A201" i="66" s="1"/>
  <c r="C201" i="66" s="1"/>
  <c r="A195" i="66"/>
  <c r="C195" i="66" s="1"/>
  <c r="A177" i="66"/>
  <c r="A165" i="66"/>
  <c r="A150" i="66"/>
  <c r="C150" i="66" s="1"/>
  <c r="A140" i="66"/>
  <c r="C140" i="66" s="1"/>
  <c r="A106" i="66"/>
  <c r="A107" i="66" s="1"/>
  <c r="C107" i="66" s="1"/>
  <c r="A99" i="66"/>
  <c r="A82" i="66"/>
  <c r="A76" i="66"/>
  <c r="C76" i="66" s="1"/>
  <c r="A58" i="66"/>
  <c r="A44" i="66"/>
  <c r="C44" i="66" s="1"/>
  <c r="A26" i="66"/>
  <c r="A27" i="66" s="1"/>
  <c r="A28" i="66" s="1"/>
  <c r="C28" i="66" s="1"/>
  <c r="A22" i="66"/>
  <c r="C22" i="66" s="1"/>
  <c r="A1812" i="66"/>
  <c r="A1813" i="66" s="1"/>
  <c r="C1813" i="66" s="1"/>
  <c r="A489" i="66"/>
  <c r="C489" i="66" s="1"/>
  <c r="A949" i="66"/>
  <c r="C949" i="66" s="1"/>
  <c r="A1619" i="66"/>
  <c r="A1620" i="66" s="1"/>
  <c r="A1238" i="66"/>
  <c r="C1238" i="66" s="1"/>
  <c r="A1637" i="66"/>
  <c r="A1559" i="66"/>
  <c r="AX1879" i="16"/>
  <c r="AX1878" i="16"/>
  <c r="AX1876" i="16"/>
  <c r="AX1875" i="16"/>
  <c r="AX1874" i="16"/>
  <c r="AX1873" i="16"/>
  <c r="AX1872" i="16"/>
  <c r="AX1871" i="16"/>
  <c r="AX1870" i="16"/>
  <c r="AX1868" i="16"/>
  <c r="AX1867" i="16"/>
  <c r="AX1866" i="16"/>
  <c r="AX1865" i="16"/>
  <c r="AX1864" i="16"/>
  <c r="AX1863" i="16"/>
  <c r="AX1862" i="16"/>
  <c r="AX1861" i="16"/>
  <c r="AX1860" i="16"/>
  <c r="AX1858" i="16"/>
  <c r="AX1857" i="16"/>
  <c r="AX1856" i="16"/>
  <c r="AX1855" i="16"/>
  <c r="AX1854" i="16"/>
  <c r="AX1853" i="16"/>
  <c r="AX1852" i="16"/>
  <c r="AX1851" i="16"/>
  <c r="AX1850" i="16"/>
  <c r="AX1848" i="16"/>
  <c r="AX1847" i="16"/>
  <c r="AX1845" i="16"/>
  <c r="AX1843" i="16"/>
  <c r="AX1842" i="16"/>
  <c r="AX1841" i="16"/>
  <c r="AX1839" i="16"/>
  <c r="AX1838" i="16"/>
  <c r="AX1837" i="16"/>
  <c r="AX1835" i="16"/>
  <c r="AX1834" i="16"/>
  <c r="AX1833" i="16"/>
  <c r="AX1832" i="16"/>
  <c r="AX1831" i="16"/>
  <c r="AX1830" i="16"/>
  <c r="AX1829" i="16"/>
  <c r="AX1608" i="16"/>
  <c r="AX1607" i="16"/>
  <c r="AX1605" i="16"/>
  <c r="AX1604" i="16"/>
  <c r="AX1603" i="16"/>
  <c r="AX1602" i="16"/>
  <c r="AX1601" i="16"/>
  <c r="AX1600" i="16"/>
  <c r="AX1599" i="16"/>
  <c r="AX1597" i="16"/>
  <c r="AX1596" i="16"/>
  <c r="AX1595" i="16"/>
  <c r="AX1594" i="16"/>
  <c r="AX1593" i="16"/>
  <c r="AX1592" i="16"/>
  <c r="AX1591" i="16"/>
  <c r="AX1590" i="16"/>
  <c r="AX1589" i="16"/>
  <c r="AX1587" i="16"/>
  <c r="AX1586" i="16"/>
  <c r="AX1585" i="16"/>
  <c r="AX1584" i="16"/>
  <c r="AX1583" i="16"/>
  <c r="AX1582" i="16"/>
  <c r="AX1581" i="16"/>
  <c r="AX1580" i="16"/>
  <c r="AX1579" i="16"/>
  <c r="AX1577" i="16"/>
  <c r="AX1576" i="16"/>
  <c r="AX1574" i="16"/>
  <c r="AX1572" i="16"/>
  <c r="AX1571" i="16"/>
  <c r="AX1570" i="16"/>
  <c r="AX1568" i="16"/>
  <c r="AX1567" i="16"/>
  <c r="AX1566" i="16"/>
  <c r="AX1564" i="16"/>
  <c r="AX1563" i="16"/>
  <c r="AX1562" i="16"/>
  <c r="AX1561" i="16"/>
  <c r="AX1560" i="16"/>
  <c r="AX1559" i="16"/>
  <c r="AX1558" i="16"/>
  <c r="AX1447" i="16"/>
  <c r="AX1446" i="16"/>
  <c r="AX1444" i="16"/>
  <c r="AX1443" i="16"/>
  <c r="AX1442" i="16"/>
  <c r="AX1441" i="16"/>
  <c r="AX1440" i="16"/>
  <c r="AX1439" i="16"/>
  <c r="AX1438" i="16"/>
  <c r="AX1436" i="16"/>
  <c r="AX1435" i="16"/>
  <c r="AX1434" i="16"/>
  <c r="AX1433" i="16"/>
  <c r="AX1432" i="16"/>
  <c r="AX1431" i="16"/>
  <c r="AX1430" i="16"/>
  <c r="AX1429" i="16"/>
  <c r="AX1428" i="16"/>
  <c r="AX1426" i="16"/>
  <c r="AX1425" i="16"/>
  <c r="AX1424" i="16"/>
  <c r="AX1423" i="16"/>
  <c r="AX1422" i="16"/>
  <c r="AX1421" i="16"/>
  <c r="AX1420" i="16"/>
  <c r="AX1419" i="16"/>
  <c r="AX1418" i="16"/>
  <c r="AX1416" i="16"/>
  <c r="AX1415" i="16"/>
  <c r="AX1413" i="16"/>
  <c r="AX1411" i="16"/>
  <c r="AX1410" i="16"/>
  <c r="AX1409" i="16"/>
  <c r="AX1407" i="16"/>
  <c r="AX1406" i="16"/>
  <c r="AX1405" i="16"/>
  <c r="AX1398" i="16"/>
  <c r="AX1399" i="16"/>
  <c r="AX1400" i="16"/>
  <c r="AX1401" i="16"/>
  <c r="AX1402" i="16"/>
  <c r="AX1403" i="16"/>
  <c r="AX1397" i="16"/>
  <c r="I5" i="29"/>
  <c r="O1530" i="16"/>
  <c r="E1530" i="76" s="1"/>
  <c r="O144" i="27"/>
  <c r="I1529" i="66" s="1"/>
  <c r="O1336" i="16"/>
  <c r="E1336" i="76" s="1"/>
  <c r="O573" i="25"/>
  <c r="N1336" i="16" s="1"/>
  <c r="G1337" i="16" s="1"/>
  <c r="G161" i="16"/>
  <c r="G156" i="16" s="1"/>
  <c r="AO144" i="27"/>
  <c r="AR1265" i="16"/>
  <c r="S1759" i="16"/>
  <c r="R1758" i="16" s="1"/>
  <c r="M1758" i="16" s="1"/>
  <c r="AM1758" i="16" s="1"/>
  <c r="T1812" i="16"/>
  <c r="Y2004" i="16"/>
  <c r="Y2002" i="16"/>
  <c r="Y1989" i="16"/>
  <c r="Y1986" i="16"/>
  <c r="Y1984" i="16"/>
  <c r="Y1967" i="16"/>
  <c r="Y1966" i="16"/>
  <c r="Y1965" i="16"/>
  <c r="Y1964" i="16"/>
  <c r="Y1963" i="16"/>
  <c r="Y1961" i="16"/>
  <c r="Y1960" i="16"/>
  <c r="Y1958" i="16"/>
  <c r="Y1951" i="16"/>
  <c r="Y1947" i="16"/>
  <c r="Y1945" i="16"/>
  <c r="Y1939" i="16"/>
  <c r="Y1936" i="16"/>
  <c r="Y1935" i="16"/>
  <c r="Y1933" i="16"/>
  <c r="Y1931" i="16"/>
  <c r="Y1930" i="16"/>
  <c r="Y1928" i="16"/>
  <c r="Y1925" i="16"/>
  <c r="Y1923" i="16"/>
  <c r="Y1920" i="16"/>
  <c r="Y1918" i="16"/>
  <c r="Y1912" i="16"/>
  <c r="Y1911" i="16"/>
  <c r="Y1910" i="16"/>
  <c r="Y1908" i="16"/>
  <c r="Y1907" i="16"/>
  <c r="Y1905" i="16"/>
  <c r="Y1902" i="16"/>
  <c r="Y1899" i="16"/>
  <c r="Y1878" i="16"/>
  <c r="Y1877" i="16"/>
  <c r="Y1876" i="16"/>
  <c r="Y1874" i="16"/>
  <c r="Y1872" i="16"/>
  <c r="Y1870" i="16"/>
  <c r="Y1869" i="16"/>
  <c r="Y1867" i="16"/>
  <c r="Y1865" i="16"/>
  <c r="Y1864" i="16"/>
  <c r="Y1862" i="16"/>
  <c r="Y1860" i="16"/>
  <c r="Y1856" i="16"/>
  <c r="Y1850" i="16"/>
  <c r="Y1849" i="16"/>
  <c r="Y1848" i="16"/>
  <c r="Y1846" i="16"/>
  <c r="Y1845" i="16"/>
  <c r="Y1843" i="16"/>
  <c r="Y1841" i="16"/>
  <c r="Y1840" i="16"/>
  <c r="Y1839" i="16"/>
  <c r="Y1835" i="16"/>
  <c r="Y1834" i="16"/>
  <c r="Y1833" i="16"/>
  <c r="Y1825" i="16"/>
  <c r="Y1820" i="16"/>
  <c r="Y1816" i="16"/>
  <c r="Y1811" i="16"/>
  <c r="Y1803" i="16"/>
  <c r="Y1799" i="16"/>
  <c r="Y1795" i="16"/>
  <c r="Y1791" i="16"/>
  <c r="Y1789" i="16"/>
  <c r="Y1786" i="16"/>
  <c r="Y1784" i="16"/>
  <c r="Y1775" i="16"/>
  <c r="Y1772" i="16"/>
  <c r="Y1769" i="16"/>
  <c r="Y1767" i="16"/>
  <c r="Y1758" i="16"/>
  <c r="Y1754" i="16"/>
  <c r="Y1752" i="16"/>
  <c r="Y1750" i="16"/>
  <c r="Y1743" i="16"/>
  <c r="Y1739" i="16"/>
  <c r="Y1735" i="16"/>
  <c r="Y1732" i="16"/>
  <c r="Y1730" i="16"/>
  <c r="Y1728" i="16"/>
  <c r="Y1726" i="16"/>
  <c r="Y1720" i="16"/>
  <c r="Y1718" i="16"/>
  <c r="Y1712" i="16"/>
  <c r="Y1710" i="16"/>
  <c r="Y1705" i="16"/>
  <c r="Y1701" i="16"/>
  <c r="Y1700" i="16"/>
  <c r="Y1695" i="16"/>
  <c r="Y1686" i="16"/>
  <c r="Y1681" i="16"/>
  <c r="Y1679" i="16"/>
  <c r="Y1678" i="16"/>
  <c r="Y1676" i="16"/>
  <c r="Y1671" i="16"/>
  <c r="Y1665" i="16"/>
  <c r="Y1661" i="16"/>
  <c r="Y1651" i="16"/>
  <c r="Y1642" i="16"/>
  <c r="Y1639" i="16"/>
  <c r="Y1637" i="16"/>
  <c r="Y1623" i="16"/>
  <c r="Y1618" i="16"/>
  <c r="Y1614" i="16"/>
  <c r="Y1608" i="16"/>
  <c r="Y1606" i="16"/>
  <c r="Y1604" i="16"/>
  <c r="Y1601" i="16"/>
  <c r="Y1599" i="16"/>
  <c r="Y1597" i="16"/>
  <c r="Y1594" i="16"/>
  <c r="Y1592" i="16"/>
  <c r="Y1589" i="16"/>
  <c r="Y1583" i="16"/>
  <c r="Y1580" i="16"/>
  <c r="Y1576" i="16"/>
  <c r="Y1573" i="16"/>
  <c r="Y1570" i="16"/>
  <c r="Y1565" i="16"/>
  <c r="Y1559" i="16"/>
  <c r="Y1553" i="16"/>
  <c r="Y1551" i="16"/>
  <c r="Y1548" i="16"/>
  <c r="Y1547" i="16"/>
  <c r="Y1546" i="16"/>
  <c r="Y1540" i="16"/>
  <c r="Y1539" i="16"/>
  <c r="Y1537" i="16"/>
  <c r="Y1530" i="16"/>
  <c r="Y1529" i="16"/>
  <c r="Y1527" i="16"/>
  <c r="Y1513" i="16"/>
  <c r="Y1509" i="16"/>
  <c r="Y1505" i="16"/>
  <c r="Y1504" i="16"/>
  <c r="Y1502" i="16"/>
  <c r="Y1496" i="16"/>
  <c r="Y1494" i="16"/>
  <c r="Y1493" i="16"/>
  <c r="Y1492" i="16"/>
  <c r="Y1488" i="16"/>
  <c r="Y1486" i="16"/>
  <c r="Y1484" i="16"/>
  <c r="Y1480" i="16"/>
  <c r="Y1477" i="16"/>
  <c r="Y1471" i="16"/>
  <c r="Y1469" i="16"/>
  <c r="Y1464" i="16"/>
  <c r="Y1463" i="16"/>
  <c r="Y1459" i="16"/>
  <c r="Y1454" i="16"/>
  <c r="Y1449" i="16"/>
  <c r="Y1440" i="16"/>
  <c r="Y1433" i="16"/>
  <c r="Y1432" i="16"/>
  <c r="Y1427" i="16"/>
  <c r="Y1422" i="16"/>
  <c r="Y1411" i="16"/>
  <c r="AS2004" i="16"/>
  <c r="AQ2004" i="16"/>
  <c r="AM2004" i="16"/>
  <c r="O2004" i="16"/>
  <c r="AO2004" i="16" s="1"/>
  <c r="AS2002" i="16"/>
  <c r="AQ2002" i="16"/>
  <c r="AM2002" i="16"/>
  <c r="O2002" i="16"/>
  <c r="AO2002" i="16" s="1"/>
  <c r="AS1989" i="16"/>
  <c r="AQ1989" i="16"/>
  <c r="AM1989" i="16"/>
  <c r="AS1986" i="16"/>
  <c r="AQ1986" i="16"/>
  <c r="AM1986" i="16"/>
  <c r="AS1984" i="16"/>
  <c r="AQ1984" i="16"/>
  <c r="AM1984" i="16"/>
  <c r="AM1983" i="16"/>
  <c r="O1983" i="16"/>
  <c r="AO1983" i="16" s="1"/>
  <c r="M1971" i="16"/>
  <c r="M1970" i="16"/>
  <c r="M1969" i="16"/>
  <c r="M1968" i="16"/>
  <c r="AS1967" i="16"/>
  <c r="AQ1967" i="16"/>
  <c r="AS1966" i="16"/>
  <c r="AQ1966" i="16"/>
  <c r="AS1965" i="16"/>
  <c r="AQ1965" i="16"/>
  <c r="AS1964" i="16"/>
  <c r="AQ1964" i="16"/>
  <c r="AS1963" i="16"/>
  <c r="AQ1963" i="16"/>
  <c r="AS1961" i="16"/>
  <c r="AQ1961" i="16"/>
  <c r="AS1960" i="16"/>
  <c r="AQ1960" i="16"/>
  <c r="AS1958" i="16"/>
  <c r="AQ1958" i="16"/>
  <c r="AS1951" i="16"/>
  <c r="AQ1951" i="16"/>
  <c r="AS1947" i="16"/>
  <c r="AQ1947" i="16"/>
  <c r="M1946" i="16"/>
  <c r="AS1945" i="16"/>
  <c r="AQ1945" i="16"/>
  <c r="AM1941" i="16"/>
  <c r="AS1939" i="16"/>
  <c r="AQ1939" i="16"/>
  <c r="AS1936" i="16"/>
  <c r="AQ1936" i="16"/>
  <c r="AS1935" i="16"/>
  <c r="AQ1935" i="16"/>
  <c r="AS1933" i="16"/>
  <c r="AQ1933" i="16"/>
  <c r="AS1931" i="16"/>
  <c r="AQ1931" i="16"/>
  <c r="AS1930" i="16"/>
  <c r="AQ1930" i="16"/>
  <c r="AS1928" i="16"/>
  <c r="AQ1928" i="16"/>
  <c r="AS1925" i="16"/>
  <c r="AQ1925" i="16"/>
  <c r="AS1923" i="16"/>
  <c r="AQ1923" i="16"/>
  <c r="M1922" i="16"/>
  <c r="M1921" i="16"/>
  <c r="AS1920" i="16"/>
  <c r="AQ1920" i="16"/>
  <c r="M1919" i="16"/>
  <c r="AS1918" i="16"/>
  <c r="AQ1918" i="16"/>
  <c r="AM1914" i="16"/>
  <c r="AS1912" i="16"/>
  <c r="AQ1912" i="16"/>
  <c r="AS1911" i="16"/>
  <c r="AQ1911" i="16"/>
  <c r="AS1910" i="16"/>
  <c r="AQ1910" i="16"/>
  <c r="AS1908" i="16"/>
  <c r="AQ1908" i="16"/>
  <c r="AS1907" i="16"/>
  <c r="AQ1907" i="16"/>
  <c r="M1906" i="16"/>
  <c r="AS1905" i="16"/>
  <c r="AQ1905" i="16"/>
  <c r="M1904" i="16"/>
  <c r="M1903" i="16"/>
  <c r="AS1902" i="16"/>
  <c r="AQ1902" i="16"/>
  <c r="M1901" i="16"/>
  <c r="M1900" i="16"/>
  <c r="AS1899" i="16"/>
  <c r="AQ1899" i="16"/>
  <c r="AM1896" i="16"/>
  <c r="M1881" i="16"/>
  <c r="M1880" i="16"/>
  <c r="M1879" i="16"/>
  <c r="AS1878" i="16"/>
  <c r="AQ1878" i="16"/>
  <c r="AS1877" i="16"/>
  <c r="AQ1877" i="16"/>
  <c r="AS1876" i="16"/>
  <c r="AQ1876" i="16"/>
  <c r="AS1874" i="16"/>
  <c r="AQ1874" i="16"/>
  <c r="AS1872" i="16"/>
  <c r="AQ1872" i="16"/>
  <c r="AS1870" i="16"/>
  <c r="AQ1870" i="16"/>
  <c r="AS1869" i="16"/>
  <c r="AQ1869" i="16"/>
  <c r="AS1867" i="16"/>
  <c r="AQ1867" i="16"/>
  <c r="AS1865" i="16"/>
  <c r="AQ1865" i="16"/>
  <c r="AS1864" i="16"/>
  <c r="AQ1864" i="16"/>
  <c r="AS1862" i="16"/>
  <c r="AQ1862" i="16"/>
  <c r="AS1860" i="16"/>
  <c r="AQ1860" i="16"/>
  <c r="AS1856" i="16"/>
  <c r="AQ1856" i="16"/>
  <c r="AS1850" i="16"/>
  <c r="AQ1850" i="16"/>
  <c r="AS1849" i="16"/>
  <c r="AQ1849" i="16"/>
  <c r="AS1848" i="16"/>
  <c r="AQ1848" i="16"/>
  <c r="AS1846" i="16"/>
  <c r="AQ1846" i="16"/>
  <c r="AS1845" i="16"/>
  <c r="AQ1845" i="16"/>
  <c r="AS1843" i="16"/>
  <c r="AQ1843" i="16"/>
  <c r="AS1841" i="16"/>
  <c r="AQ1841" i="16"/>
  <c r="AS1840" i="16"/>
  <c r="AQ1840" i="16"/>
  <c r="AS1839" i="16"/>
  <c r="AQ1839" i="16"/>
  <c r="M1838" i="16"/>
  <c r="M1837" i="16"/>
  <c r="M1836" i="16"/>
  <c r="AS1835" i="16"/>
  <c r="AQ1835" i="16"/>
  <c r="AS1834" i="16"/>
  <c r="AQ1834" i="16"/>
  <c r="AS1833" i="16"/>
  <c r="AQ1833" i="16"/>
  <c r="AM1830" i="16"/>
  <c r="AS1825" i="16"/>
  <c r="AQ1825" i="16"/>
  <c r="AM1825" i="16"/>
  <c r="AE1825" i="16"/>
  <c r="AF1825" i="16" s="1"/>
  <c r="AD1825" i="16"/>
  <c r="O1825" i="16"/>
  <c r="E1825" i="76" s="1"/>
  <c r="AO1825" i="16"/>
  <c r="AS1820" i="16"/>
  <c r="AQ1820" i="16"/>
  <c r="AM1820" i="16"/>
  <c r="AE1820" i="16"/>
  <c r="AF1820" i="16" s="1"/>
  <c r="AD1820" i="16"/>
  <c r="O1820" i="16"/>
  <c r="E1820" i="76" s="1"/>
  <c r="AS1816" i="16"/>
  <c r="AQ1816" i="16"/>
  <c r="AM1816" i="16"/>
  <c r="AE1816" i="16"/>
  <c r="AF1816" i="16" s="1"/>
  <c r="AS1811" i="16"/>
  <c r="AQ1811" i="16"/>
  <c r="AM1811" i="16"/>
  <c r="AE1811" i="16"/>
  <c r="AF1811" i="16" s="1"/>
  <c r="AQ1806" i="16"/>
  <c r="AE1806" i="16"/>
  <c r="AF1806" i="16" s="1"/>
  <c r="AQ1805" i="16"/>
  <c r="AE1805" i="16"/>
  <c r="AF1805" i="16" s="1"/>
  <c r="AS1803" i="16"/>
  <c r="AM1803" i="16"/>
  <c r="AM1801" i="16"/>
  <c r="AM1800" i="16"/>
  <c r="AS1799" i="16"/>
  <c r="AQ1799" i="16"/>
  <c r="AE1799" i="16"/>
  <c r="AF1799" i="16" s="1"/>
  <c r="AD1799" i="16"/>
  <c r="U1799" i="16"/>
  <c r="AM1798" i="16"/>
  <c r="AM1796" i="16"/>
  <c r="AS1795" i="16"/>
  <c r="AQ1795" i="16"/>
  <c r="AE1795" i="16"/>
  <c r="AF1795" i="16" s="1"/>
  <c r="AD1795" i="16"/>
  <c r="U1795" i="16"/>
  <c r="AS1791" i="16"/>
  <c r="AQ1791" i="16"/>
  <c r="AD1791" i="16"/>
  <c r="R1791" i="16"/>
  <c r="AS1789" i="16"/>
  <c r="AQ1789" i="16"/>
  <c r="AM1789" i="16"/>
  <c r="AE1789" i="16"/>
  <c r="AF1789" i="16" s="1"/>
  <c r="AD1789" i="16"/>
  <c r="AC1789" i="16" s="1"/>
  <c r="O1789" i="16"/>
  <c r="E1789" i="76" s="1"/>
  <c r="AS1786" i="16"/>
  <c r="AQ1786" i="16"/>
  <c r="AE1786" i="16"/>
  <c r="AF1786" i="16" s="1"/>
  <c r="AD1786" i="16"/>
  <c r="AS1784" i="16"/>
  <c r="AQ1784" i="16"/>
  <c r="AE1784" i="16"/>
  <c r="AF1784" i="16" s="1"/>
  <c r="AD1784" i="16"/>
  <c r="AC1784" i="16" s="1"/>
  <c r="AM1782" i="16"/>
  <c r="O1782" i="16"/>
  <c r="E1782" i="76" s="1"/>
  <c r="AQ1781" i="16"/>
  <c r="AM1781" i="16"/>
  <c r="AE1781" i="16"/>
  <c r="AF1781" i="16" s="1"/>
  <c r="AM1779" i="16"/>
  <c r="AM1778" i="16"/>
  <c r="AQ1777" i="16"/>
  <c r="U1777" i="16"/>
  <c r="AS1775" i="16"/>
  <c r="AS1772" i="16"/>
  <c r="AQ1772" i="16"/>
  <c r="AM1772" i="16"/>
  <c r="AE1772" i="16"/>
  <c r="AF1772" i="16" s="1"/>
  <c r="AS1769" i="16"/>
  <c r="AQ1769" i="16"/>
  <c r="AM1769" i="16"/>
  <c r="AE1769" i="16"/>
  <c r="AF1769" i="16" s="1"/>
  <c r="AS1767" i="16"/>
  <c r="AQ1767" i="16"/>
  <c r="AM1767" i="16"/>
  <c r="AE1767" i="16"/>
  <c r="AF1767" i="16" s="1"/>
  <c r="AM1766" i="16"/>
  <c r="AM1765" i="16"/>
  <c r="AM1763" i="16"/>
  <c r="AM1761" i="16"/>
  <c r="AS1758" i="16"/>
  <c r="AQ1758" i="16"/>
  <c r="U1758" i="16"/>
  <c r="AS1754" i="16"/>
  <c r="AQ1754" i="16"/>
  <c r="AE1754" i="16"/>
  <c r="AD1754" i="16"/>
  <c r="AS1752" i="16"/>
  <c r="AQ1752" i="16"/>
  <c r="AE1752" i="16"/>
  <c r="AF1752" i="16" s="1"/>
  <c r="AD1752" i="16"/>
  <c r="AS1750" i="16"/>
  <c r="AQ1750" i="16"/>
  <c r="AE1750" i="16"/>
  <c r="AF1750" i="16" s="1"/>
  <c r="AD1750" i="16"/>
  <c r="AM1748" i="16"/>
  <c r="O1748" i="16"/>
  <c r="E1748" i="76" s="1"/>
  <c r="AQ1747" i="16"/>
  <c r="AE1747" i="16"/>
  <c r="AF1747" i="16" s="1"/>
  <c r="AD1747" i="16"/>
  <c r="AC1747" i="16" s="1"/>
  <c r="AM1746" i="16"/>
  <c r="AQ1745" i="16"/>
  <c r="AE1745" i="16"/>
  <c r="AF1745" i="16" s="1"/>
  <c r="AD1745" i="16"/>
  <c r="AM1744" i="16"/>
  <c r="AS1743" i="16"/>
  <c r="AM1743" i="16"/>
  <c r="O1743" i="16"/>
  <c r="E1743" i="76" s="1"/>
  <c r="AS1739" i="16"/>
  <c r="AQ1739" i="16"/>
  <c r="AM1739" i="16"/>
  <c r="AE1739" i="16"/>
  <c r="AD1739" i="16"/>
  <c r="O1739" i="16"/>
  <c r="E1739" i="76" s="1"/>
  <c r="AQ1738" i="16"/>
  <c r="AM1738" i="16"/>
  <c r="AE1738" i="16"/>
  <c r="AD1738" i="16"/>
  <c r="AM1737" i="16"/>
  <c r="AQ1736" i="16"/>
  <c r="AE1736" i="16"/>
  <c r="AF1736" i="16" s="1"/>
  <c r="AD1736" i="16"/>
  <c r="AS1735" i="16"/>
  <c r="AM1735" i="16"/>
  <c r="O1735" i="16"/>
  <c r="AS1732" i="16"/>
  <c r="AQ1732" i="16"/>
  <c r="AM1732" i="16"/>
  <c r="AE1732" i="16"/>
  <c r="AF1732" i="16" s="1"/>
  <c r="AD1732" i="16"/>
  <c r="O1732" i="16"/>
  <c r="E1732" i="76" s="1"/>
  <c r="AS1730" i="16"/>
  <c r="AQ1730" i="16"/>
  <c r="AD1730" i="16"/>
  <c r="U1730" i="16"/>
  <c r="R1730" i="16"/>
  <c r="AS1728" i="16"/>
  <c r="AQ1728" i="16"/>
  <c r="AM1728" i="16"/>
  <c r="AE1728" i="16"/>
  <c r="AF1728" i="16" s="1"/>
  <c r="S1728" i="16"/>
  <c r="T1728" i="16" s="1"/>
  <c r="AD1728" i="16" s="1"/>
  <c r="AS1726" i="16"/>
  <c r="AQ1726" i="16"/>
  <c r="AD1726" i="16"/>
  <c r="R1726" i="16"/>
  <c r="AE1726" i="16" s="1"/>
  <c r="AF1726" i="16" s="1"/>
  <c r="AS1720" i="16"/>
  <c r="AQ1720" i="16"/>
  <c r="AM1720" i="16"/>
  <c r="AE1720" i="16"/>
  <c r="AF1720" i="16" s="1"/>
  <c r="AS1718" i="16"/>
  <c r="AQ1718" i="16"/>
  <c r="AM1718" i="16"/>
  <c r="AE1718" i="16"/>
  <c r="AF1718" i="16" s="1"/>
  <c r="AQ1715" i="16"/>
  <c r="AM1715" i="16"/>
  <c r="AE1715" i="16"/>
  <c r="AF1715" i="16" s="1"/>
  <c r="AQ1714" i="16"/>
  <c r="AM1714" i="16"/>
  <c r="AE1714" i="16"/>
  <c r="AF1714" i="16" s="1"/>
  <c r="AS1712" i="16"/>
  <c r="AS1710" i="16"/>
  <c r="AQ1710" i="16"/>
  <c r="AD1710" i="16"/>
  <c r="U1710" i="16"/>
  <c r="R1710" i="16"/>
  <c r="AE1710" i="16" s="1"/>
  <c r="AF1710" i="16" s="1"/>
  <c r="AS1705" i="16"/>
  <c r="AQ1705" i="16"/>
  <c r="AM1705" i="16"/>
  <c r="AE1705" i="16"/>
  <c r="AF1705" i="16" s="1"/>
  <c r="AD1705" i="16"/>
  <c r="O1705" i="16"/>
  <c r="E1705" i="76" s="1"/>
  <c r="AS1701" i="16"/>
  <c r="AQ1701" i="16"/>
  <c r="AM1701" i="16"/>
  <c r="AE1701" i="16"/>
  <c r="AF1701" i="16" s="1"/>
  <c r="AD1701" i="16"/>
  <c r="AS1700" i="16"/>
  <c r="AQ1700" i="16"/>
  <c r="AM1700" i="16"/>
  <c r="AE1700" i="16"/>
  <c r="AF1700" i="16" s="1"/>
  <c r="AD1700" i="16"/>
  <c r="AS1695" i="16"/>
  <c r="AQ1695" i="16"/>
  <c r="AM1695" i="16"/>
  <c r="AE1695" i="16"/>
  <c r="AD1695" i="16"/>
  <c r="O1692" i="16"/>
  <c r="E1692" i="76" s="1"/>
  <c r="AS1686" i="16"/>
  <c r="AQ1686" i="16"/>
  <c r="AM1686" i="16"/>
  <c r="AE1686" i="16"/>
  <c r="AF1686" i="16" s="1"/>
  <c r="S1686" i="16"/>
  <c r="AS1681" i="16"/>
  <c r="AQ1681" i="16"/>
  <c r="AM1681" i="16"/>
  <c r="AE1681" i="16"/>
  <c r="AF1681" i="16" s="1"/>
  <c r="S1681" i="16"/>
  <c r="AS1679" i="16"/>
  <c r="AQ1679" i="16"/>
  <c r="AE1679" i="16"/>
  <c r="AF1679" i="16" s="1"/>
  <c r="S1679" i="16"/>
  <c r="T1679" i="16" s="1"/>
  <c r="AD1679" i="16" s="1"/>
  <c r="AS1678" i="16"/>
  <c r="AQ1678" i="16"/>
  <c r="AE1678" i="16"/>
  <c r="AF1678" i="16" s="1"/>
  <c r="S1678" i="16"/>
  <c r="T1678" i="16" s="1"/>
  <c r="AD1678" i="16" s="1"/>
  <c r="AS1676" i="16"/>
  <c r="AQ1676" i="16"/>
  <c r="AE1676" i="16"/>
  <c r="AF1676" i="16" s="1"/>
  <c r="S1676" i="16"/>
  <c r="T1676" i="16" s="1"/>
  <c r="AD1676" i="16" s="1"/>
  <c r="AC1676" i="16" s="1"/>
  <c r="AM1674" i="16"/>
  <c r="AS1671" i="16"/>
  <c r="AS1665" i="16"/>
  <c r="AQ1665" i="16"/>
  <c r="AM1665" i="16"/>
  <c r="AE1665" i="16"/>
  <c r="AF1665" i="16" s="1"/>
  <c r="AD1665" i="16"/>
  <c r="AC1665" i="16" s="1"/>
  <c r="O1665" i="16"/>
  <c r="E1665" i="76" s="1"/>
  <c r="AQ1662" i="16"/>
  <c r="AE1662" i="16"/>
  <c r="AF1662" i="16" s="1"/>
  <c r="T1662" i="16"/>
  <c r="AD1662" i="16" s="1"/>
  <c r="AS1661" i="16"/>
  <c r="AQ1661" i="16"/>
  <c r="AE1661" i="16"/>
  <c r="AF1661" i="16" s="1"/>
  <c r="T1661" i="16"/>
  <c r="AD1661" i="16" s="1"/>
  <c r="AS1651" i="16"/>
  <c r="AQ1651" i="16"/>
  <c r="AE1651" i="16"/>
  <c r="AF1651" i="16" s="1"/>
  <c r="T1651" i="16"/>
  <c r="AD1651" i="16" s="1"/>
  <c r="AM1644" i="16"/>
  <c r="O1644" i="16"/>
  <c r="E1644" i="76" s="1"/>
  <c r="AS1642" i="16"/>
  <c r="AQ1642" i="16"/>
  <c r="AD1642" i="16"/>
  <c r="R1642" i="16"/>
  <c r="M1642" i="16" s="1"/>
  <c r="AM1642" i="16" s="1"/>
  <c r="AS1639" i="16"/>
  <c r="AQ1639" i="16"/>
  <c r="AM1639" i="16"/>
  <c r="AE1639" i="16"/>
  <c r="AD1639" i="16"/>
  <c r="O1639" i="16"/>
  <c r="E1639" i="76" s="1"/>
  <c r="AS1637" i="16"/>
  <c r="AQ1637" i="16"/>
  <c r="AM1637" i="16"/>
  <c r="AE1637" i="16"/>
  <c r="AF1637" i="16" s="1"/>
  <c r="AD1637" i="16"/>
  <c r="AC1637" i="16" s="1"/>
  <c r="O1637" i="16"/>
  <c r="E1637" i="76" s="1"/>
  <c r="AM1633" i="16"/>
  <c r="AM1631" i="16"/>
  <c r="AM1630" i="16"/>
  <c r="AM1629" i="16"/>
  <c r="AM1627" i="16"/>
  <c r="AQ1626" i="16"/>
  <c r="AE1626" i="16"/>
  <c r="AF1626" i="16" s="1"/>
  <c r="AD1626" i="16"/>
  <c r="U1626" i="16"/>
  <c r="AQ1625" i="16"/>
  <c r="AE1625" i="16"/>
  <c r="AF1625" i="16" s="1"/>
  <c r="AD1625" i="16"/>
  <c r="U1625" i="16"/>
  <c r="AQ1624" i="16"/>
  <c r="AE1624" i="16"/>
  <c r="AF1624" i="16" s="1"/>
  <c r="AD1624" i="16"/>
  <c r="AC1624" i="16" s="1"/>
  <c r="U1624" i="16"/>
  <c r="AS1623" i="16"/>
  <c r="AQ1623" i="16"/>
  <c r="AE1623" i="16"/>
  <c r="AF1623" i="16" s="1"/>
  <c r="AD1623" i="16"/>
  <c r="U1623" i="16"/>
  <c r="AS1618" i="16"/>
  <c r="AQ1618" i="16"/>
  <c r="AD1618" i="16"/>
  <c r="U1618" i="16"/>
  <c r="R1618" i="16"/>
  <c r="M1618" i="16" s="1"/>
  <c r="AM1618" i="16" s="1"/>
  <c r="AM1615" i="16"/>
  <c r="AS1614" i="16"/>
  <c r="AQ1614" i="16"/>
  <c r="AM1614" i="16"/>
  <c r="AE1614" i="16"/>
  <c r="AF1614" i="16" s="1"/>
  <c r="S1614" i="16"/>
  <c r="T1614" i="16" s="1"/>
  <c r="AD1614" i="16" s="1"/>
  <c r="AS1608" i="16"/>
  <c r="AQ1608" i="16"/>
  <c r="AM1608" i="16"/>
  <c r="AE1608" i="16"/>
  <c r="AF1608" i="16" s="1"/>
  <c r="AM1607" i="16"/>
  <c r="AS1606" i="16"/>
  <c r="AQ1606" i="16"/>
  <c r="U1606" i="16"/>
  <c r="AM1605" i="16"/>
  <c r="AS1604" i="16"/>
  <c r="AQ1604" i="16"/>
  <c r="U1604" i="16"/>
  <c r="R1604" i="16"/>
  <c r="AS1601" i="16"/>
  <c r="AQ1601" i="16"/>
  <c r="AM1601" i="16"/>
  <c r="AE1601" i="16"/>
  <c r="AF1601" i="16" s="1"/>
  <c r="T1601" i="16"/>
  <c r="AD1601" i="16" s="1"/>
  <c r="AM1600" i="16"/>
  <c r="AS1599" i="16"/>
  <c r="AQ1599" i="16"/>
  <c r="U1599" i="16"/>
  <c r="S1599" i="16"/>
  <c r="R1599" i="16" s="1"/>
  <c r="AM1598" i="16"/>
  <c r="AS1597" i="16"/>
  <c r="AQ1597" i="16"/>
  <c r="U1597" i="16"/>
  <c r="S1597" i="16"/>
  <c r="O1597" i="16" s="1"/>
  <c r="AM1595" i="16"/>
  <c r="AS1594" i="16"/>
  <c r="AQ1594" i="16"/>
  <c r="U1594" i="16"/>
  <c r="S1594" i="16"/>
  <c r="AM1593" i="16"/>
  <c r="AS1592" i="16"/>
  <c r="AQ1592" i="16"/>
  <c r="U1592" i="16"/>
  <c r="S1592" i="16"/>
  <c r="R1592" i="16" s="1"/>
  <c r="AM1590" i="16"/>
  <c r="AS1589" i="16"/>
  <c r="AQ1589" i="16"/>
  <c r="U1589" i="16"/>
  <c r="S1589" i="16"/>
  <c r="O1589" i="16" s="1"/>
  <c r="AM1585" i="16"/>
  <c r="AM1584" i="16"/>
  <c r="AS1583" i="16"/>
  <c r="AQ1583" i="16"/>
  <c r="AE1583" i="16"/>
  <c r="AF1583" i="16" s="1"/>
  <c r="U1583" i="16"/>
  <c r="AS1580" i="16"/>
  <c r="AQ1580" i="16"/>
  <c r="AM1580" i="16"/>
  <c r="AE1580" i="16"/>
  <c r="AF1580" i="16" s="1"/>
  <c r="S1580" i="16"/>
  <c r="T1580" i="16" s="1"/>
  <c r="AD1580" i="16" s="1"/>
  <c r="AS1576" i="16"/>
  <c r="AQ1576" i="16"/>
  <c r="AD1576" i="16"/>
  <c r="U1576" i="16"/>
  <c r="R1576" i="16"/>
  <c r="AE1576" i="16" s="1"/>
  <c r="AF1576" i="16" s="1"/>
  <c r="AM1575" i="16"/>
  <c r="AM1574" i="16"/>
  <c r="AS1573" i="16"/>
  <c r="AQ1573" i="16"/>
  <c r="U1573" i="16"/>
  <c r="AM1572" i="16"/>
  <c r="AM1571" i="16"/>
  <c r="AS1570" i="16"/>
  <c r="AQ1570" i="16"/>
  <c r="U1570" i="16"/>
  <c r="AS1565" i="16"/>
  <c r="AQ1565" i="16"/>
  <c r="AM1565" i="16"/>
  <c r="AE1565" i="16"/>
  <c r="AF1565" i="16" s="1"/>
  <c r="AD1565" i="16"/>
  <c r="O1565" i="16"/>
  <c r="E1565" i="76" s="1"/>
  <c r="AS1559" i="16"/>
  <c r="AQ1559" i="16"/>
  <c r="AM1559" i="16"/>
  <c r="AE1559" i="16"/>
  <c r="AD1559" i="16"/>
  <c r="O1559" i="16"/>
  <c r="E1559" i="76" s="1"/>
  <c r="AS1553" i="16"/>
  <c r="AQ1553" i="16"/>
  <c r="AM1553" i="16"/>
  <c r="S1553" i="16"/>
  <c r="T1553" i="16" s="1"/>
  <c r="AD1553" i="16" s="1"/>
  <c r="AC1553" i="16" s="1"/>
  <c r="AS1551" i="16"/>
  <c r="AQ1551" i="16"/>
  <c r="AM1551" i="16"/>
  <c r="T1551" i="16"/>
  <c r="AD1551" i="16" s="1"/>
  <c r="AC1551" i="16" s="1"/>
  <c r="O1551" i="16"/>
  <c r="E1551" i="76" s="1"/>
  <c r="AS1548" i="16"/>
  <c r="AQ1548" i="16"/>
  <c r="AM1548" i="16"/>
  <c r="T1548" i="16"/>
  <c r="AD1548" i="16" s="1"/>
  <c r="AC1548" i="16" s="1"/>
  <c r="O1548" i="16"/>
  <c r="E1548" i="76" s="1"/>
  <c r="AS1547" i="16"/>
  <c r="AQ1547" i="16"/>
  <c r="T1547" i="16"/>
  <c r="AD1547" i="16" s="1"/>
  <c r="AC1547" i="16" s="1"/>
  <c r="AS1546" i="16"/>
  <c r="AQ1546" i="16"/>
  <c r="T1546" i="16"/>
  <c r="AD1546" i="16" s="1"/>
  <c r="AC1546" i="16" s="1"/>
  <c r="AM1543" i="16"/>
  <c r="O1543" i="16"/>
  <c r="E1543" i="76" s="1"/>
  <c r="AQ1541" i="16"/>
  <c r="T1541" i="16"/>
  <c r="AD1541" i="16" s="1"/>
  <c r="AC1541" i="16" s="1"/>
  <c r="AS1540" i="16"/>
  <c r="AM1540" i="16"/>
  <c r="O1540" i="16"/>
  <c r="E1540" i="76" s="1"/>
  <c r="AS1539" i="16"/>
  <c r="AQ1539" i="16"/>
  <c r="AM1539" i="16"/>
  <c r="S1539" i="16"/>
  <c r="T1539" i="16" s="1"/>
  <c r="AD1539" i="16" s="1"/>
  <c r="AC1539" i="16" s="1"/>
  <c r="AS1537" i="16"/>
  <c r="AQ1537" i="16"/>
  <c r="AM1537" i="16"/>
  <c r="U1537" i="16"/>
  <c r="S1537" i="16"/>
  <c r="T1537" i="16" s="1"/>
  <c r="AD1537" i="16" s="1"/>
  <c r="AC1537" i="16" s="1"/>
  <c r="AS1530" i="16"/>
  <c r="AQ1530" i="16"/>
  <c r="AM1530" i="16"/>
  <c r="AD1530" i="16"/>
  <c r="AC1530" i="16" s="1"/>
  <c r="AS1529" i="16"/>
  <c r="AQ1529" i="16"/>
  <c r="AM1529" i="16"/>
  <c r="AD1529" i="16"/>
  <c r="AC1529" i="16" s="1"/>
  <c r="AS1527" i="16"/>
  <c r="AQ1527" i="16"/>
  <c r="AM1527" i="16"/>
  <c r="U1527" i="16"/>
  <c r="T1527" i="16"/>
  <c r="AD1527" i="16" s="1"/>
  <c r="AC1527" i="16" s="1"/>
  <c r="AM1521" i="16"/>
  <c r="AM1519" i="16"/>
  <c r="AM1518" i="16"/>
  <c r="AM1517" i="16"/>
  <c r="AM1514" i="16"/>
  <c r="AS1513" i="16"/>
  <c r="AQ1513" i="16"/>
  <c r="U1513" i="16"/>
  <c r="T1513" i="16"/>
  <c r="AD1513" i="16" s="1"/>
  <c r="AC1513" i="16" s="1"/>
  <c r="AS1509" i="16"/>
  <c r="AQ1509" i="16"/>
  <c r="AM1509" i="16"/>
  <c r="S1509" i="16"/>
  <c r="T1509" i="16" s="1"/>
  <c r="AD1509" i="16" s="1"/>
  <c r="AC1509" i="16" s="1"/>
  <c r="AS1505" i="16"/>
  <c r="AQ1505" i="16"/>
  <c r="AM1505" i="16"/>
  <c r="AS1504" i="16"/>
  <c r="AQ1504" i="16"/>
  <c r="AM1504" i="16"/>
  <c r="S1504" i="16"/>
  <c r="T1504" i="16" s="1"/>
  <c r="AD1504" i="16" s="1"/>
  <c r="AC1504" i="16" s="1"/>
  <c r="AS1502" i="16"/>
  <c r="AQ1502" i="16"/>
  <c r="AM1502" i="16"/>
  <c r="S1502" i="16"/>
  <c r="AS1496" i="16"/>
  <c r="AQ1496" i="16"/>
  <c r="S1496" i="16"/>
  <c r="T1496" i="16" s="1"/>
  <c r="AD1496" i="16" s="1"/>
  <c r="R1496" i="16"/>
  <c r="M1496" i="16" s="1"/>
  <c r="AS1494" i="16"/>
  <c r="AQ1494" i="16"/>
  <c r="AM1494" i="16"/>
  <c r="S1494" i="16"/>
  <c r="O1494" i="16" s="1"/>
  <c r="AS1493" i="16"/>
  <c r="AQ1493" i="16"/>
  <c r="AM1493" i="16"/>
  <c r="S1493" i="16"/>
  <c r="T1493" i="16" s="1"/>
  <c r="AD1493" i="16" s="1"/>
  <c r="AC1493" i="16" s="1"/>
  <c r="AS1492" i="16"/>
  <c r="AQ1492" i="16"/>
  <c r="AM1492" i="16"/>
  <c r="S1492" i="16"/>
  <c r="AS1488" i="16"/>
  <c r="AQ1488" i="16"/>
  <c r="AM1488" i="16"/>
  <c r="S1488" i="16"/>
  <c r="AS1486" i="16"/>
  <c r="AQ1486" i="16"/>
  <c r="AM1486" i="16"/>
  <c r="AS1484" i="16"/>
  <c r="AQ1484" i="16"/>
  <c r="AM1484" i="16"/>
  <c r="AS1480" i="16"/>
  <c r="AQ1480" i="16"/>
  <c r="AM1480" i="16"/>
  <c r="AE1480" i="16"/>
  <c r="AF1480" i="16" s="1"/>
  <c r="U1480" i="16"/>
  <c r="AS1477" i="16"/>
  <c r="AQ1477" i="16"/>
  <c r="S1477" i="16"/>
  <c r="S1486" i="16" s="1"/>
  <c r="AS1471" i="16"/>
  <c r="AQ1471" i="16"/>
  <c r="AM1471" i="16"/>
  <c r="AE1471" i="16"/>
  <c r="AF1471" i="16" s="1"/>
  <c r="U1471" i="16"/>
  <c r="T1471" i="16"/>
  <c r="AD1471" i="16" s="1"/>
  <c r="AS1469" i="16"/>
  <c r="AS1464" i="16"/>
  <c r="AQ1464" i="16"/>
  <c r="AM1464" i="16"/>
  <c r="AE1464" i="16"/>
  <c r="AF1464" i="16" s="1"/>
  <c r="AD1464" i="16"/>
  <c r="AC1464" i="16" s="1"/>
  <c r="U1464" i="16"/>
  <c r="AS1463" i="16"/>
  <c r="AQ1463" i="16"/>
  <c r="AM1463" i="16"/>
  <c r="S1463" i="16"/>
  <c r="O1463" i="16" s="1"/>
  <c r="AS1459" i="16"/>
  <c r="AQ1459" i="16"/>
  <c r="AM1459" i="16"/>
  <c r="AE1459" i="16"/>
  <c r="AF1459" i="16" s="1"/>
  <c r="U1459" i="16"/>
  <c r="T1459" i="16"/>
  <c r="AD1459" i="16" s="1"/>
  <c r="AS1454" i="16"/>
  <c r="AQ1454" i="16"/>
  <c r="AM1454" i="16"/>
  <c r="AE1454" i="16"/>
  <c r="AF1454" i="16" s="1"/>
  <c r="U1454" i="16"/>
  <c r="T1454" i="16"/>
  <c r="AD1454" i="16" s="1"/>
  <c r="AM1453" i="16"/>
  <c r="AM1452" i="16"/>
  <c r="AM1451" i="16"/>
  <c r="AS1449" i="16"/>
  <c r="AQ1449" i="16"/>
  <c r="AE1449" i="16"/>
  <c r="AF1449" i="16" s="1"/>
  <c r="U1449" i="16"/>
  <c r="S1449" i="16"/>
  <c r="T1449" i="16" s="1"/>
  <c r="AD1449" i="16" s="1"/>
  <c r="AC1449" i="16" s="1"/>
  <c r="AS1440" i="16"/>
  <c r="AQ1440" i="16"/>
  <c r="AM1440" i="16"/>
  <c r="AE1440" i="16"/>
  <c r="AF1440" i="16" s="1"/>
  <c r="U1440" i="16"/>
  <c r="T1440" i="16"/>
  <c r="AD1440" i="16" s="1"/>
  <c r="AM1434" i="16"/>
  <c r="AS1433" i="16"/>
  <c r="AQ1433" i="16"/>
  <c r="AM1433" i="16"/>
  <c r="AE1433" i="16"/>
  <c r="AF1433" i="16" s="1"/>
  <c r="U1433" i="16"/>
  <c r="T1433" i="16"/>
  <c r="AD1433" i="16" s="1"/>
  <c r="AS1432" i="16"/>
  <c r="AQ1432" i="16"/>
  <c r="AM1432" i="16"/>
  <c r="T1432" i="16"/>
  <c r="AD1432" i="16" s="1"/>
  <c r="AC1432" i="16" s="1"/>
  <c r="O1432" i="16"/>
  <c r="E1432" i="76" s="1"/>
  <c r="AS1427" i="16"/>
  <c r="AQ1427" i="16"/>
  <c r="AM1427" i="16"/>
  <c r="AS1422" i="16"/>
  <c r="AM1422" i="16"/>
  <c r="AM1420" i="16"/>
  <c r="AM1417" i="16"/>
  <c r="AM1415" i="16"/>
  <c r="AM1413" i="16"/>
  <c r="AS1411" i="16"/>
  <c r="AM1411" i="16"/>
  <c r="AQ1398" i="16"/>
  <c r="AE1398" i="16"/>
  <c r="AF1398" i="16" s="1"/>
  <c r="U1398" i="16"/>
  <c r="S1427" i="16"/>
  <c r="T1427" i="16" s="1"/>
  <c r="AD1427" i="16" s="1"/>
  <c r="AC1427" i="16" s="1"/>
  <c r="AE1496" i="16"/>
  <c r="AF1496" i="16" s="1"/>
  <c r="R1589" i="16"/>
  <c r="AE1589" i="16" s="1"/>
  <c r="AF1589" i="16" s="1"/>
  <c r="T1589" i="16"/>
  <c r="AD1589" i="16" s="1"/>
  <c r="T1597" i="16"/>
  <c r="AD1597" i="16" s="1"/>
  <c r="R1606" i="16"/>
  <c r="AE1606" i="16" s="1"/>
  <c r="AF1606" i="16" s="1"/>
  <c r="M1606" i="16"/>
  <c r="AC1732" i="16"/>
  <c r="O1601" i="16"/>
  <c r="E1601" i="76" s="1"/>
  <c r="AO1601" i="16"/>
  <c r="O1604" i="16"/>
  <c r="E1604" i="76" s="1"/>
  <c r="O1614" i="16"/>
  <c r="E1614" i="76" s="1"/>
  <c r="O1592" i="16"/>
  <c r="AC1799" i="16"/>
  <c r="S1480" i="16"/>
  <c r="T1480" i="16" s="1"/>
  <c r="AD1480" i="16" s="1"/>
  <c r="O1606" i="16"/>
  <c r="M1710" i="16"/>
  <c r="AM1710" i="16" s="1"/>
  <c r="R1597" i="16"/>
  <c r="AC1662" i="16"/>
  <c r="O1728" i="16"/>
  <c r="E1728" i="76" s="1"/>
  <c r="M1589" i="16"/>
  <c r="AE1604" i="16"/>
  <c r="AF1604" i="16" s="1"/>
  <c r="M1604" i="16"/>
  <c r="T1758" i="16"/>
  <c r="AD1758" i="16" s="1"/>
  <c r="AE1642" i="16"/>
  <c r="AF1642" i="16" s="1"/>
  <c r="O1553" i="16"/>
  <c r="E1553" i="76" s="1"/>
  <c r="S1484" i="16"/>
  <c r="O1427" i="16"/>
  <c r="T1477" i="16"/>
  <c r="AD1477" i="16" s="1"/>
  <c r="AC1477" i="16" s="1"/>
  <c r="O1509" i="16"/>
  <c r="E1509" i="76" s="1"/>
  <c r="Y1043" i="16"/>
  <c r="Y1390" i="16"/>
  <c r="Y1387" i="16"/>
  <c r="Y1384" i="16"/>
  <c r="Y1383" i="16"/>
  <c r="Y1379" i="16"/>
  <c r="Y1370" i="16"/>
  <c r="Y1368" i="16"/>
  <c r="Y1366" i="16"/>
  <c r="Y1364" i="16"/>
  <c r="Y1361" i="16"/>
  <c r="Y1360" i="16"/>
  <c r="Y1359" i="16"/>
  <c r="Y1358" i="16"/>
  <c r="Y1357" i="16"/>
  <c r="Y1356" i="16"/>
  <c r="Y1355" i="16"/>
  <c r="Y1354" i="16"/>
  <c r="Y1346" i="16"/>
  <c r="Y1339" i="16"/>
  <c r="Y1336" i="16"/>
  <c r="Y1333" i="16"/>
  <c r="Y1331" i="16"/>
  <c r="Y1330" i="16"/>
  <c r="Y1329" i="16"/>
  <c r="Y1328" i="16"/>
  <c r="Y1321" i="16"/>
  <c r="Y1319" i="16"/>
  <c r="Y1317" i="16"/>
  <c r="Y1314" i="16"/>
  <c r="Y1313" i="16"/>
  <c r="Y1312" i="16"/>
  <c r="Y1311" i="16"/>
  <c r="Y1310" i="16"/>
  <c r="Y1309" i="16"/>
  <c r="Y1308" i="16"/>
  <c r="Y1299" i="16"/>
  <c r="Y1291" i="16"/>
  <c r="Y1288" i="16"/>
  <c r="Y1287" i="16"/>
  <c r="Y1274" i="16"/>
  <c r="Y1272" i="16"/>
  <c r="Y1271" i="16"/>
  <c r="Y1270" i="16"/>
  <c r="Y1269" i="16"/>
  <c r="Y1268" i="16"/>
  <c r="Y1267" i="16"/>
  <c r="Y1265" i="16"/>
  <c r="Y1260" i="16"/>
  <c r="Y1256" i="16"/>
  <c r="Y1255" i="16"/>
  <c r="Y1252" i="16"/>
  <c r="Y1250" i="16"/>
  <c r="Y1247" i="16"/>
  <c r="Y1242" i="16"/>
  <c r="Y1237" i="16"/>
  <c r="Y1233" i="16"/>
  <c r="Y1230" i="16"/>
  <c r="Y1226" i="16"/>
  <c r="Y1213" i="16"/>
  <c r="Y1210" i="16"/>
  <c r="Y1207" i="16"/>
  <c r="Y1199" i="16"/>
  <c r="Y1196" i="16"/>
  <c r="Y1192" i="16"/>
  <c r="Y1187" i="16"/>
  <c r="Y1185" i="16"/>
  <c r="Y1183" i="16"/>
  <c r="Y1178" i="16"/>
  <c r="Y1177" i="16"/>
  <c r="Y1174" i="16"/>
  <c r="Y1172" i="16"/>
  <c r="Y1171" i="16"/>
  <c r="Y1170" i="16"/>
  <c r="Y1168" i="16"/>
  <c r="Y1160" i="16"/>
  <c r="Y1155" i="16"/>
  <c r="Y1154" i="16"/>
  <c r="Y1153" i="16"/>
  <c r="Y1150" i="16"/>
  <c r="Y1148" i="16"/>
  <c r="Y1147" i="16"/>
  <c r="Y1145" i="16"/>
  <c r="Y1142" i="16"/>
  <c r="Y1140" i="16"/>
  <c r="Y1138" i="16"/>
  <c r="Y1136" i="16"/>
  <c r="Y1134" i="16"/>
  <c r="Y1129" i="16"/>
  <c r="Y1128" i="16"/>
  <c r="Y1127" i="16"/>
  <c r="Y1124" i="16"/>
  <c r="Y1122" i="16"/>
  <c r="Y1120" i="16"/>
  <c r="Y1109" i="16"/>
  <c r="Y1108" i="16"/>
  <c r="Y1106" i="16"/>
  <c r="Y1104" i="16"/>
  <c r="Y1086" i="16"/>
  <c r="Y1076" i="16"/>
  <c r="Y1074" i="16"/>
  <c r="Y1072" i="16"/>
  <c r="Y1071" i="16"/>
  <c r="Y1068" i="16"/>
  <c r="Y1066" i="16"/>
  <c r="Y1060" i="16"/>
  <c r="Y1053" i="16"/>
  <c r="Y1047" i="16"/>
  <c r="Y1042" i="16"/>
  <c r="Y1040" i="16"/>
  <c r="Y1035" i="16"/>
  <c r="Y1031" i="16"/>
  <c r="Y1026" i="16"/>
  <c r="Y1020" i="16"/>
  <c r="Y1015" i="16"/>
  <c r="Y1012" i="16"/>
  <c r="Y1006" i="16"/>
  <c r="Y1000" i="16"/>
  <c r="Y993" i="16"/>
  <c r="Y987" i="16"/>
  <c r="Y978" i="16"/>
  <c r="Y970" i="16"/>
  <c r="Y962" i="16"/>
  <c r="Y955" i="16"/>
  <c r="Y951" i="16"/>
  <c r="Y948" i="16"/>
  <c r="Y946" i="16"/>
  <c r="Y939" i="16"/>
  <c r="Y936" i="16"/>
  <c r="Y933" i="16"/>
  <c r="Y920" i="16"/>
  <c r="Y916" i="16"/>
  <c r="Y913" i="16"/>
  <c r="Y907" i="16"/>
  <c r="Y903" i="16"/>
  <c r="Y898" i="16"/>
  <c r="Y897" i="16"/>
  <c r="Y895" i="16"/>
  <c r="Y887" i="16"/>
  <c r="Y881" i="16"/>
  <c r="Y878" i="16"/>
  <c r="Y875" i="16"/>
  <c r="Y872" i="16"/>
  <c r="Y871" i="16"/>
  <c r="Y870" i="16"/>
  <c r="Y868" i="16"/>
  <c r="Y865" i="16"/>
  <c r="Y863" i="16"/>
  <c r="Y859" i="16"/>
  <c r="Y858" i="16"/>
  <c r="Y856" i="16"/>
  <c r="Y855" i="16"/>
  <c r="Y851" i="16"/>
  <c r="Y849" i="16"/>
  <c r="Y848" i="16"/>
  <c r="Y847" i="16"/>
  <c r="Y846" i="16"/>
  <c r="Y844" i="16"/>
  <c r="Y843" i="16"/>
  <c r="Y841" i="16"/>
  <c r="Y840" i="16"/>
  <c r="Y835" i="16"/>
  <c r="Y831" i="16"/>
  <c r="Y830" i="16"/>
  <c r="Y829" i="16"/>
  <c r="Y828" i="16"/>
  <c r="Y827" i="16"/>
  <c r="Y826" i="16"/>
  <c r="Y825" i="16"/>
  <c r="Y824" i="16"/>
  <c r="Y823" i="16"/>
  <c r="Y822" i="16"/>
  <c r="Y821" i="16"/>
  <c r="Y820" i="16"/>
  <c r="Y816" i="16"/>
  <c r="Y813" i="16"/>
  <c r="Y812" i="16"/>
  <c r="Y809" i="16"/>
  <c r="Y803" i="16"/>
  <c r="Y800" i="16"/>
  <c r="Y795" i="16"/>
  <c r="Y785" i="16"/>
  <c r="Y782" i="16"/>
  <c r="Y779" i="16"/>
  <c r="Y777" i="16"/>
  <c r="BD778" i="16"/>
  <c r="BC778" i="16"/>
  <c r="AX782" i="16"/>
  <c r="AX783" i="16"/>
  <c r="AX784" i="16"/>
  <c r="AX786" i="16"/>
  <c r="AX787" i="16"/>
  <c r="AX788" i="16"/>
  <c r="AX790" i="16"/>
  <c r="AX792" i="16"/>
  <c r="AX793" i="16"/>
  <c r="AX795" i="16"/>
  <c r="AX796" i="16"/>
  <c r="AX797" i="16"/>
  <c r="AX798" i="16"/>
  <c r="AX799" i="16"/>
  <c r="AX800" i="16"/>
  <c r="AX801" i="16"/>
  <c r="AX802" i="16"/>
  <c r="AX803" i="16"/>
  <c r="AX805" i="16"/>
  <c r="AX806" i="16"/>
  <c r="AX807" i="16"/>
  <c r="AX808" i="16"/>
  <c r="AX809" i="16"/>
  <c r="AX810" i="16"/>
  <c r="AX811" i="16"/>
  <c r="AX812" i="16"/>
  <c r="AX813" i="16"/>
  <c r="AX816" i="16"/>
  <c r="AX817" i="16"/>
  <c r="AX818" i="16"/>
  <c r="AX819" i="16"/>
  <c r="AX820" i="16"/>
  <c r="AX821" i="16"/>
  <c r="AX823" i="16"/>
  <c r="AX824" i="16"/>
  <c r="AX775" i="16"/>
  <c r="AX776" i="16"/>
  <c r="AX777" i="16"/>
  <c r="AX778" i="16"/>
  <c r="AX779" i="16"/>
  <c r="AX780" i="16"/>
  <c r="AX774" i="16"/>
  <c r="AS1390" i="16"/>
  <c r="AQ1390" i="16"/>
  <c r="AM1390" i="16"/>
  <c r="AE1390" i="16"/>
  <c r="AF1390" i="16" s="1"/>
  <c r="S1390" i="16"/>
  <c r="T1390" i="16" s="1"/>
  <c r="AD1390" i="16" s="1"/>
  <c r="AS1387" i="16"/>
  <c r="AQ1387" i="16"/>
  <c r="AM1387" i="16"/>
  <c r="AE1387" i="16"/>
  <c r="AF1387" i="16" s="1"/>
  <c r="AD1387" i="16"/>
  <c r="AC1387" i="16" s="1"/>
  <c r="O1387" i="16"/>
  <c r="AS1384" i="16"/>
  <c r="AQ1384" i="16"/>
  <c r="AM1384" i="16"/>
  <c r="AE1384" i="16"/>
  <c r="AF1384" i="16" s="1"/>
  <c r="S1384" i="16"/>
  <c r="AS1383" i="16"/>
  <c r="AQ1383" i="16"/>
  <c r="AM1383" i="16"/>
  <c r="AE1383" i="16"/>
  <c r="AF1383" i="16" s="1"/>
  <c r="S1383" i="16"/>
  <c r="AS1379" i="16"/>
  <c r="AQ1379" i="16"/>
  <c r="AM1379" i="16"/>
  <c r="AE1379" i="16"/>
  <c r="AF1379" i="16" s="1"/>
  <c r="AQ1371" i="16"/>
  <c r="AE1371" i="16"/>
  <c r="AF1371" i="16" s="1"/>
  <c r="AD1371" i="16"/>
  <c r="AS1370" i="16"/>
  <c r="AM1370" i="16"/>
  <c r="AS1368" i="16"/>
  <c r="AQ1368" i="16"/>
  <c r="AM1368" i="16"/>
  <c r="AE1368" i="16"/>
  <c r="AF1368" i="16" s="1"/>
  <c r="AD1368" i="16"/>
  <c r="O1368" i="16"/>
  <c r="E1368" i="76" s="1"/>
  <c r="AS1366" i="16"/>
  <c r="AQ1366" i="16"/>
  <c r="AM1366" i="16"/>
  <c r="AE1366" i="16"/>
  <c r="AF1366" i="16" s="1"/>
  <c r="AD1366" i="16"/>
  <c r="O1366" i="16"/>
  <c r="E1366" i="76" s="1"/>
  <c r="AS1364" i="16"/>
  <c r="AQ1364" i="16"/>
  <c r="AM1364" i="16"/>
  <c r="AE1364" i="16"/>
  <c r="AF1364" i="16" s="1"/>
  <c r="AD1364" i="16"/>
  <c r="O1364" i="16"/>
  <c r="E1364" i="76" s="1"/>
  <c r="AS1361" i="16"/>
  <c r="AQ1361" i="16"/>
  <c r="AE1361" i="16"/>
  <c r="AF1361" i="16" s="1"/>
  <c r="S1361" i="16"/>
  <c r="T1361" i="16" s="1"/>
  <c r="AD1361" i="16" s="1"/>
  <c r="AS1360" i="16"/>
  <c r="AQ1360" i="16"/>
  <c r="AE1360" i="16"/>
  <c r="AF1360" i="16" s="1"/>
  <c r="S1360" i="16"/>
  <c r="T1360" i="16" s="1"/>
  <c r="AD1360" i="16" s="1"/>
  <c r="AS1359" i="16"/>
  <c r="AQ1359" i="16"/>
  <c r="AE1359" i="16"/>
  <c r="AF1359" i="16" s="1"/>
  <c r="S1359" i="16"/>
  <c r="T1359" i="16" s="1"/>
  <c r="AD1359" i="16" s="1"/>
  <c r="AS1358" i="16"/>
  <c r="AQ1358" i="16"/>
  <c r="AE1358" i="16"/>
  <c r="AF1358" i="16" s="1"/>
  <c r="S1358" i="16"/>
  <c r="T1358" i="16" s="1"/>
  <c r="AD1358" i="16" s="1"/>
  <c r="AS1357" i="16"/>
  <c r="AQ1357" i="16"/>
  <c r="AE1357" i="16"/>
  <c r="AF1357" i="16" s="1"/>
  <c r="S1357" i="16"/>
  <c r="T1357" i="16" s="1"/>
  <c r="AD1357" i="16" s="1"/>
  <c r="AS1356" i="16"/>
  <c r="AQ1356" i="16"/>
  <c r="AE1356" i="16"/>
  <c r="AF1356" i="16" s="1"/>
  <c r="S1356" i="16"/>
  <c r="T1356" i="16" s="1"/>
  <c r="AD1356" i="16" s="1"/>
  <c r="AS1355" i="16"/>
  <c r="AQ1355" i="16"/>
  <c r="AE1355" i="16"/>
  <c r="AF1355" i="16" s="1"/>
  <c r="S1355" i="16"/>
  <c r="T1355" i="16" s="1"/>
  <c r="AD1355" i="16" s="1"/>
  <c r="AS1354" i="16"/>
  <c r="AQ1354" i="16"/>
  <c r="AE1354" i="16"/>
  <c r="AF1354" i="16" s="1"/>
  <c r="S1354" i="16"/>
  <c r="AM1349" i="16"/>
  <c r="AM1348" i="16"/>
  <c r="AS1346" i="16"/>
  <c r="AM1344" i="16"/>
  <c r="AM1342" i="16"/>
  <c r="AS1339" i="16"/>
  <c r="AQ1339" i="16"/>
  <c r="AE1339" i="16"/>
  <c r="AF1339" i="16" s="1"/>
  <c r="AD1339" i="16"/>
  <c r="U1339" i="16"/>
  <c r="AS1336" i="16"/>
  <c r="AQ1336" i="16"/>
  <c r="AM1336" i="16"/>
  <c r="AE1336" i="16"/>
  <c r="AD1336" i="16"/>
  <c r="AS1333" i="16"/>
  <c r="AQ1333" i="16"/>
  <c r="AM1333" i="16"/>
  <c r="AE1333" i="16"/>
  <c r="AF1333" i="16" s="1"/>
  <c r="AD1333" i="16"/>
  <c r="AC1333" i="16" s="1"/>
  <c r="AS1331" i="16"/>
  <c r="AQ1331" i="16"/>
  <c r="AM1331" i="16"/>
  <c r="AE1331" i="16"/>
  <c r="AF1331" i="16" s="1"/>
  <c r="AD1331" i="16"/>
  <c r="AS1330" i="16"/>
  <c r="AQ1330" i="16"/>
  <c r="AM1330" i="16"/>
  <c r="AE1330" i="16"/>
  <c r="AF1330" i="16" s="1"/>
  <c r="AD1330" i="16"/>
  <c r="AS1329" i="16"/>
  <c r="AQ1329" i="16"/>
  <c r="AM1329" i="16"/>
  <c r="AE1329" i="16"/>
  <c r="AF1329" i="16" s="1"/>
  <c r="AD1329" i="16"/>
  <c r="AS1328" i="16"/>
  <c r="AQ1328" i="16"/>
  <c r="AM1328" i="16"/>
  <c r="AE1328" i="16"/>
  <c r="AF1328" i="16" s="1"/>
  <c r="AD1328" i="16"/>
  <c r="AM1326" i="16"/>
  <c r="O1326" i="16"/>
  <c r="E1326" i="76" s="1"/>
  <c r="AS1321" i="16"/>
  <c r="AQ1321" i="16"/>
  <c r="AM1321" i="16"/>
  <c r="AS1319" i="16"/>
  <c r="AQ1319" i="16"/>
  <c r="AM1319" i="16"/>
  <c r="AS1317" i="16"/>
  <c r="AQ1317" i="16"/>
  <c r="AM1317" i="16"/>
  <c r="AS1314" i="16"/>
  <c r="AS1313" i="16"/>
  <c r="AS1312" i="16"/>
  <c r="AS1311" i="16"/>
  <c r="AS1310" i="16"/>
  <c r="AS1309" i="16"/>
  <c r="AS1308" i="16"/>
  <c r="AQ1305" i="16"/>
  <c r="AM1305" i="16"/>
  <c r="AE1305" i="16"/>
  <c r="AF1305" i="16" s="1"/>
  <c r="AD1305" i="16"/>
  <c r="AO1305" i="16"/>
  <c r="AM1303" i="16"/>
  <c r="AM1302" i="16"/>
  <c r="AS1299" i="16"/>
  <c r="AQ1299" i="16"/>
  <c r="AE1299" i="16"/>
  <c r="AF1299" i="16" s="1"/>
  <c r="U1299" i="16"/>
  <c r="AS1291" i="16"/>
  <c r="AQ1291" i="16"/>
  <c r="AM1291" i="16"/>
  <c r="AE1291" i="16"/>
  <c r="AF1291" i="16" s="1"/>
  <c r="O1291" i="16"/>
  <c r="AS1288" i="16"/>
  <c r="AQ1288" i="16"/>
  <c r="AM1288" i="16"/>
  <c r="AE1288" i="16"/>
  <c r="AF1288" i="16" s="1"/>
  <c r="AS1287" i="16"/>
  <c r="AQ1287" i="16"/>
  <c r="AM1287" i="16"/>
  <c r="O1287" i="16"/>
  <c r="E1287" i="76" s="1"/>
  <c r="AS1274" i="16"/>
  <c r="AM1274" i="16"/>
  <c r="S1274" i="16"/>
  <c r="O1274" i="16" s="1"/>
  <c r="AS1272" i="16"/>
  <c r="AS1271" i="16"/>
  <c r="AS1270" i="16"/>
  <c r="AS1269" i="16"/>
  <c r="AS1268" i="16"/>
  <c r="AS1267" i="16"/>
  <c r="AS1265" i="16"/>
  <c r="AQ1265" i="16"/>
  <c r="AM1265" i="16"/>
  <c r="AE1265" i="16"/>
  <c r="AF1265" i="16" s="1"/>
  <c r="AD1265" i="16"/>
  <c r="O1265" i="16"/>
  <c r="AS1260" i="16"/>
  <c r="AQ1260" i="16"/>
  <c r="AM1260" i="16"/>
  <c r="AE1260" i="16"/>
  <c r="AD1260" i="16"/>
  <c r="O1260" i="16"/>
  <c r="AS1256" i="16"/>
  <c r="AQ1256" i="16"/>
  <c r="AM1256" i="16"/>
  <c r="AE1256" i="16"/>
  <c r="AF1256" i="16" s="1"/>
  <c r="AD1256" i="16"/>
  <c r="O1256" i="16"/>
  <c r="E1256" i="76" s="1"/>
  <c r="AS1255" i="16"/>
  <c r="AQ1255" i="16"/>
  <c r="AM1255" i="16"/>
  <c r="AE1255" i="16"/>
  <c r="AF1255" i="16" s="1"/>
  <c r="AD1255" i="16"/>
  <c r="O1255" i="16"/>
  <c r="AQ1253" i="16"/>
  <c r="AE1253" i="16"/>
  <c r="AF1253" i="16" s="1"/>
  <c r="AS1252" i="16"/>
  <c r="AM1252" i="16"/>
  <c r="AS1250" i="16"/>
  <c r="AQ1250" i="16"/>
  <c r="AM1250" i="16"/>
  <c r="AE1250" i="16"/>
  <c r="AF1250" i="16" s="1"/>
  <c r="AD1250" i="16"/>
  <c r="AC1250" i="16" s="1"/>
  <c r="O1250" i="16"/>
  <c r="AS1247" i="16"/>
  <c r="AQ1247" i="16"/>
  <c r="AM1247" i="16"/>
  <c r="AE1247" i="16"/>
  <c r="AF1247" i="16" s="1"/>
  <c r="AD1247" i="16"/>
  <c r="O1247" i="16"/>
  <c r="AM1246" i="16"/>
  <c r="AM1245" i="16"/>
  <c r="AS1242" i="16"/>
  <c r="AQ1242" i="16"/>
  <c r="AE1242" i="16"/>
  <c r="AF1242" i="16" s="1"/>
  <c r="U1242" i="16"/>
  <c r="AM1241" i="16"/>
  <c r="AM1240" i="16"/>
  <c r="AS1237" i="16"/>
  <c r="AQ1237" i="16"/>
  <c r="AE1237" i="16"/>
  <c r="AF1237" i="16" s="1"/>
  <c r="U1237" i="16"/>
  <c r="AM1236" i="16"/>
  <c r="AM1235" i="16"/>
  <c r="AS1233" i="16"/>
  <c r="AQ1233" i="16"/>
  <c r="AE1233" i="16"/>
  <c r="AF1233" i="16" s="1"/>
  <c r="U1233" i="16"/>
  <c r="AS1230" i="16"/>
  <c r="AQ1230" i="16"/>
  <c r="AM1230" i="16"/>
  <c r="AE1230" i="16"/>
  <c r="AF1230" i="16" s="1"/>
  <c r="AD1230" i="16"/>
  <c r="O1230" i="16"/>
  <c r="AM1229" i="16"/>
  <c r="AM1228" i="16"/>
  <c r="AS1226" i="16"/>
  <c r="AQ1226" i="16"/>
  <c r="AE1226" i="16"/>
  <c r="AF1226" i="16" s="1"/>
  <c r="AD1226" i="16"/>
  <c r="AC1226" i="16" s="1"/>
  <c r="U1226" i="16"/>
  <c r="AQ1217" i="16"/>
  <c r="AS1213" i="16"/>
  <c r="O1213" i="16"/>
  <c r="E1213" i="76" s="1"/>
  <c r="AS1210" i="16"/>
  <c r="AS1207" i="16"/>
  <c r="AS1199" i="16"/>
  <c r="AS1196" i="16"/>
  <c r="AS1192" i="16"/>
  <c r="AQ1189" i="16"/>
  <c r="AM1189" i="16"/>
  <c r="AE1189" i="16"/>
  <c r="AF1189" i="16" s="1"/>
  <c r="AS1187" i="16"/>
  <c r="AQ1187" i="16"/>
  <c r="AE1187" i="16"/>
  <c r="AF1187" i="16" s="1"/>
  <c r="AS1185" i="16"/>
  <c r="AQ1185" i="16"/>
  <c r="AE1185" i="16"/>
  <c r="AF1185" i="16" s="1"/>
  <c r="AS1183" i="16"/>
  <c r="AQ1183" i="16"/>
  <c r="AE1183" i="16"/>
  <c r="AF1183" i="16" s="1"/>
  <c r="AS1178" i="16"/>
  <c r="AQ1178" i="16"/>
  <c r="AE1178" i="16"/>
  <c r="AF1178" i="16" s="1"/>
  <c r="AS1177" i="16"/>
  <c r="AQ1177" i="16"/>
  <c r="AE1177" i="16"/>
  <c r="AF1177" i="16" s="1"/>
  <c r="AS1174" i="16"/>
  <c r="AQ1174" i="16"/>
  <c r="AE1174" i="16"/>
  <c r="AF1174" i="16" s="1"/>
  <c r="AS1172" i="16"/>
  <c r="AQ1172" i="16"/>
  <c r="AE1172" i="16"/>
  <c r="AF1172" i="16" s="1"/>
  <c r="AS1171" i="16"/>
  <c r="AQ1171" i="16"/>
  <c r="AE1171" i="16"/>
  <c r="AF1171" i="16" s="1"/>
  <c r="AS1170" i="16"/>
  <c r="AQ1170" i="16"/>
  <c r="AE1170" i="16"/>
  <c r="AF1170" i="16" s="1"/>
  <c r="AS1168" i="16"/>
  <c r="AQ1168" i="16"/>
  <c r="AE1168" i="16"/>
  <c r="AF1168" i="16" s="1"/>
  <c r="AM1165" i="16"/>
  <c r="AM1164" i="16"/>
  <c r="AS1160" i="16"/>
  <c r="AQ1160" i="16"/>
  <c r="AM1160" i="16"/>
  <c r="AE1160" i="16"/>
  <c r="AF1160" i="16" s="1"/>
  <c r="AS1155" i="16"/>
  <c r="AS1154" i="16"/>
  <c r="AS1153" i="16"/>
  <c r="AS1150" i="16"/>
  <c r="AS1148" i="16"/>
  <c r="AS1147" i="16"/>
  <c r="AS1145" i="16"/>
  <c r="AS1142" i="16"/>
  <c r="AS1140" i="16"/>
  <c r="AS1138" i="16"/>
  <c r="AS1136" i="16"/>
  <c r="AS1134" i="16"/>
  <c r="AQ1132" i="16"/>
  <c r="AM1132" i="16"/>
  <c r="AE1132" i="16"/>
  <c r="AF1132" i="16" s="1"/>
  <c r="AS1129" i="16"/>
  <c r="AQ1129" i="16"/>
  <c r="AM1129" i="16"/>
  <c r="AE1129" i="16"/>
  <c r="AF1129" i="16" s="1"/>
  <c r="AS1128" i="16"/>
  <c r="AQ1128" i="16"/>
  <c r="AM1128" i="16"/>
  <c r="AE1128" i="16"/>
  <c r="AF1128" i="16" s="1"/>
  <c r="AS1127" i="16"/>
  <c r="AQ1127" i="16"/>
  <c r="AM1127" i="16"/>
  <c r="AE1127" i="16"/>
  <c r="AF1127" i="16" s="1"/>
  <c r="AS1124" i="16"/>
  <c r="AQ1124" i="16"/>
  <c r="AM1124" i="16"/>
  <c r="AE1124" i="16"/>
  <c r="AF1124" i="16" s="1"/>
  <c r="AS1122" i="16"/>
  <c r="AQ1122" i="16"/>
  <c r="AM1122" i="16"/>
  <c r="AE1122" i="16"/>
  <c r="AF1122" i="16" s="1"/>
  <c r="AS1120" i="16"/>
  <c r="AQ1120" i="16"/>
  <c r="AE1120" i="16"/>
  <c r="AF1120" i="16" s="1"/>
  <c r="AQ1110" i="16"/>
  <c r="AE1110" i="16"/>
  <c r="AF1110" i="16" s="1"/>
  <c r="AS1109" i="16"/>
  <c r="AS1108" i="16"/>
  <c r="AQ1108" i="16"/>
  <c r="AM1108" i="16"/>
  <c r="AE1108" i="16"/>
  <c r="AF1108" i="16" s="1"/>
  <c r="AS1106" i="16"/>
  <c r="AQ1106" i="16"/>
  <c r="AM1106" i="16"/>
  <c r="AE1106" i="16"/>
  <c r="AF1106" i="16" s="1"/>
  <c r="AS1104" i="16"/>
  <c r="AQ1104" i="16"/>
  <c r="AE1104" i="16"/>
  <c r="AF1104" i="16" s="1"/>
  <c r="AM1099" i="16"/>
  <c r="AM1098" i="16"/>
  <c r="AM1097" i="16"/>
  <c r="AQ1089" i="16"/>
  <c r="AE1089" i="16"/>
  <c r="AF1089" i="16" s="1"/>
  <c r="AQ1087" i="16"/>
  <c r="AE1087" i="16"/>
  <c r="AF1087" i="16" s="1"/>
  <c r="U1087" i="16"/>
  <c r="AS1086" i="16"/>
  <c r="AS1076" i="16"/>
  <c r="AQ1076" i="16"/>
  <c r="AE1076" i="16"/>
  <c r="AF1076" i="16" s="1"/>
  <c r="U1076" i="16"/>
  <c r="AS1074" i="16"/>
  <c r="AQ1074" i="16"/>
  <c r="AE1074" i="16"/>
  <c r="AF1074" i="16" s="1"/>
  <c r="AS1072" i="16"/>
  <c r="AQ1072" i="16"/>
  <c r="AE1072" i="16"/>
  <c r="AF1072" i="16" s="1"/>
  <c r="AS1071" i="16"/>
  <c r="AQ1071" i="16"/>
  <c r="AE1071" i="16"/>
  <c r="AF1071" i="16" s="1"/>
  <c r="AS1068" i="16"/>
  <c r="AQ1068" i="16"/>
  <c r="AE1068" i="16"/>
  <c r="AF1068" i="16" s="1"/>
  <c r="AS1066" i="16"/>
  <c r="AQ1066" i="16"/>
  <c r="AE1066" i="16"/>
  <c r="AF1066" i="16" s="1"/>
  <c r="AS1060" i="16"/>
  <c r="AQ1060" i="16"/>
  <c r="AE1060" i="16"/>
  <c r="AF1060" i="16" s="1"/>
  <c r="AQ1055" i="16"/>
  <c r="AE1055" i="16"/>
  <c r="AF1055" i="16" s="1"/>
  <c r="AS1053" i="16"/>
  <c r="AQ1053" i="16"/>
  <c r="AM1053" i="16"/>
  <c r="AE1053" i="16"/>
  <c r="AF1053" i="16" s="1"/>
  <c r="AQ1048" i="16"/>
  <c r="AE1048" i="16"/>
  <c r="AF1048" i="16" s="1"/>
  <c r="AS1047" i="16"/>
  <c r="AS1043" i="16"/>
  <c r="AQ1043" i="16"/>
  <c r="AE1043" i="16"/>
  <c r="AF1043" i="16" s="1"/>
  <c r="AS1042" i="16"/>
  <c r="AQ1042" i="16"/>
  <c r="AE1042" i="16"/>
  <c r="AF1042" i="16" s="1"/>
  <c r="AM1041" i="16"/>
  <c r="AS1040" i="16"/>
  <c r="AQ1040" i="16"/>
  <c r="AM1040" i="16"/>
  <c r="AE1040" i="16"/>
  <c r="AF1040" i="16" s="1"/>
  <c r="AQ1036" i="16"/>
  <c r="AE1036" i="16"/>
  <c r="AF1036" i="16" s="1"/>
  <c r="AS1035" i="16"/>
  <c r="AS1031" i="16"/>
  <c r="AQ1031" i="16"/>
  <c r="AE1031" i="16"/>
  <c r="AF1031" i="16" s="1"/>
  <c r="AQ1027" i="16"/>
  <c r="AE1027" i="16"/>
  <c r="AF1027" i="16" s="1"/>
  <c r="AS1026" i="16"/>
  <c r="AQ1021" i="16"/>
  <c r="AE1021" i="16"/>
  <c r="AF1021" i="16" s="1"/>
  <c r="AS1020" i="16"/>
  <c r="AQ1016" i="16"/>
  <c r="AE1016" i="16"/>
  <c r="AF1016" i="16" s="1"/>
  <c r="AS1015" i="16"/>
  <c r="AQ1013" i="16"/>
  <c r="AE1013" i="16"/>
  <c r="AF1013" i="16" s="1"/>
  <c r="AS1012" i="16"/>
  <c r="AQ1007" i="16"/>
  <c r="AE1007" i="16"/>
  <c r="AF1007" i="16" s="1"/>
  <c r="AS1006" i="16"/>
  <c r="AS1000" i="16"/>
  <c r="AQ1000" i="16"/>
  <c r="AM1000" i="16"/>
  <c r="AE1000" i="16"/>
  <c r="AF1000" i="16" s="1"/>
  <c r="AQ994" i="16"/>
  <c r="U994" i="16"/>
  <c r="AS993" i="16"/>
  <c r="AQ988" i="16"/>
  <c r="U988" i="16"/>
  <c r="AS987" i="16"/>
  <c r="AS978" i="16"/>
  <c r="AQ978" i="16"/>
  <c r="AE978" i="16"/>
  <c r="AF978" i="16" s="1"/>
  <c r="U978" i="16"/>
  <c r="AS970" i="16"/>
  <c r="AQ970" i="16"/>
  <c r="AM970" i="16"/>
  <c r="AE970" i="16"/>
  <c r="AF970" i="16" s="1"/>
  <c r="U970" i="16"/>
  <c r="AS962" i="16"/>
  <c r="AQ962" i="16"/>
  <c r="U962" i="16"/>
  <c r="AS955" i="16"/>
  <c r="AQ955" i="16"/>
  <c r="AS951" i="16"/>
  <c r="AM951" i="16"/>
  <c r="AS948" i="16"/>
  <c r="AQ948" i="16"/>
  <c r="AE948" i="16"/>
  <c r="AF948" i="16" s="1"/>
  <c r="AQ947" i="16"/>
  <c r="AE947" i="16"/>
  <c r="AF947" i="16" s="1"/>
  <c r="AS946" i="16"/>
  <c r="AM946" i="16"/>
  <c r="O946" i="16"/>
  <c r="AQ941" i="16"/>
  <c r="AE941" i="16"/>
  <c r="AF941" i="16" s="1"/>
  <c r="AS939" i="16"/>
  <c r="AQ939" i="16"/>
  <c r="AM939" i="16"/>
  <c r="AE939" i="16"/>
  <c r="AF939" i="16" s="1"/>
  <c r="AS936" i="16"/>
  <c r="AQ936" i="16"/>
  <c r="AS933" i="16"/>
  <c r="AQ933" i="16"/>
  <c r="AS920" i="16"/>
  <c r="AQ920" i="16"/>
  <c r="AM919" i="16"/>
  <c r="AS916" i="16"/>
  <c r="AS913" i="16"/>
  <c r="AQ909" i="16"/>
  <c r="AS907" i="16"/>
  <c r="AM907" i="16"/>
  <c r="AS903" i="16"/>
  <c r="AQ903" i="16"/>
  <c r="AS898" i="16"/>
  <c r="AQ898" i="16"/>
  <c r="AS897" i="16"/>
  <c r="AQ897" i="16"/>
  <c r="AS895" i="16"/>
  <c r="AQ895" i="16"/>
  <c r="AS887" i="16"/>
  <c r="AQ887" i="16"/>
  <c r="U887" i="16"/>
  <c r="AS881" i="16"/>
  <c r="AQ881" i="16"/>
  <c r="AS878" i="16"/>
  <c r="AS875" i="16"/>
  <c r="AS872" i="16"/>
  <c r="AS871" i="16"/>
  <c r="AS870" i="16"/>
  <c r="AS868" i="16"/>
  <c r="AS865" i="16"/>
  <c r="AS863" i="16"/>
  <c r="AS859" i="16"/>
  <c r="AS858" i="16"/>
  <c r="AS856" i="16"/>
  <c r="AS855" i="16"/>
  <c r="AQ854" i="16"/>
  <c r="AS851" i="16"/>
  <c r="AQ851" i="16"/>
  <c r="AS849" i="16"/>
  <c r="AS848" i="16"/>
  <c r="AS847" i="16"/>
  <c r="AS846" i="16"/>
  <c r="AS844" i="16"/>
  <c r="AS843" i="16"/>
  <c r="AS841" i="16"/>
  <c r="AS840" i="16"/>
  <c r="AS835" i="16"/>
  <c r="AQ835" i="16"/>
  <c r="AS831" i="16"/>
  <c r="AS830" i="16"/>
  <c r="AS829" i="16"/>
  <c r="AS828" i="16"/>
  <c r="AS827" i="16"/>
  <c r="AS826" i="16"/>
  <c r="AS825" i="16"/>
  <c r="AS824" i="16"/>
  <c r="AS823" i="16"/>
  <c r="AS822" i="16"/>
  <c r="AS821" i="16"/>
  <c r="AS820" i="16"/>
  <c r="AQ819" i="16"/>
  <c r="AQ817" i="16"/>
  <c r="AS816" i="16"/>
  <c r="AS813" i="16"/>
  <c r="AQ813" i="16"/>
  <c r="AS812" i="16"/>
  <c r="AQ812" i="16"/>
  <c r="AS809" i="16"/>
  <c r="AQ809" i="16"/>
  <c r="AS803" i="16"/>
  <c r="AQ803" i="16"/>
  <c r="U803" i="16"/>
  <c r="AS800" i="16"/>
  <c r="AQ800" i="16"/>
  <c r="AS795" i="16"/>
  <c r="AQ795" i="16"/>
  <c r="AQ786" i="16"/>
  <c r="U786" i="16"/>
  <c r="AS785" i="16"/>
  <c r="AS782" i="16"/>
  <c r="AS779" i="16"/>
  <c r="AC779" i="16"/>
  <c r="AS777" i="16"/>
  <c r="AQ775" i="16"/>
  <c r="AE775" i="16"/>
  <c r="AF775" i="16" s="1"/>
  <c r="U775" i="16"/>
  <c r="T775" i="16"/>
  <c r="AD775" i="16" s="1"/>
  <c r="AM186" i="29"/>
  <c r="AM184" i="29"/>
  <c r="AM171" i="29"/>
  <c r="AM168" i="29"/>
  <c r="AM166" i="29"/>
  <c r="AM165" i="29"/>
  <c r="AM123" i="29"/>
  <c r="AM96" i="29"/>
  <c r="AM78" i="29"/>
  <c r="AM12" i="29"/>
  <c r="AQ186" i="29"/>
  <c r="AQ184" i="29"/>
  <c r="AQ171" i="29"/>
  <c r="AQ168" i="29"/>
  <c r="AQ166" i="29"/>
  <c r="AQ149" i="29"/>
  <c r="AQ148" i="29"/>
  <c r="AQ147" i="29"/>
  <c r="AQ146" i="29"/>
  <c r="AQ145" i="29"/>
  <c r="AQ143" i="29"/>
  <c r="AQ142" i="29"/>
  <c r="AQ140" i="29"/>
  <c r="AQ133" i="29"/>
  <c r="AQ129" i="29"/>
  <c r="AQ127" i="29"/>
  <c r="AQ121" i="29"/>
  <c r="AQ118" i="29"/>
  <c r="AQ117" i="29"/>
  <c r="AQ115" i="29"/>
  <c r="AQ113" i="29"/>
  <c r="AQ112" i="29"/>
  <c r="AQ110" i="29"/>
  <c r="AQ107" i="29"/>
  <c r="AQ105" i="29"/>
  <c r="AQ102" i="29"/>
  <c r="AQ100" i="29"/>
  <c r="AQ94" i="29"/>
  <c r="AQ93" i="29"/>
  <c r="AQ92" i="29"/>
  <c r="AQ90" i="29"/>
  <c r="AQ89" i="29"/>
  <c r="AQ87" i="29"/>
  <c r="AQ84" i="29"/>
  <c r="AQ81" i="29"/>
  <c r="AQ60" i="29"/>
  <c r="AQ59" i="29"/>
  <c r="AQ58" i="29"/>
  <c r="AQ56" i="29"/>
  <c r="AQ54" i="29"/>
  <c r="AQ52" i="29"/>
  <c r="AQ51" i="29"/>
  <c r="AQ49" i="29"/>
  <c r="AQ47" i="29"/>
  <c r="AQ46" i="29"/>
  <c r="AQ44" i="29"/>
  <c r="AQ42" i="29"/>
  <c r="AQ38" i="29"/>
  <c r="AQ32" i="29"/>
  <c r="AQ31" i="29"/>
  <c r="AQ30" i="29"/>
  <c r="AQ28" i="29"/>
  <c r="AQ27" i="29"/>
  <c r="AQ25" i="29"/>
  <c r="AQ22" i="29"/>
  <c r="AQ23" i="29"/>
  <c r="AQ21" i="29"/>
  <c r="AQ17" i="29"/>
  <c r="AQ16" i="29"/>
  <c r="AQ15" i="29"/>
  <c r="AS186" i="29"/>
  <c r="AS184" i="29"/>
  <c r="AS171" i="29"/>
  <c r="AS168" i="29"/>
  <c r="AS166" i="29"/>
  <c r="AS149" i="29"/>
  <c r="AS148" i="29"/>
  <c r="AS147" i="29"/>
  <c r="AS146" i="29"/>
  <c r="AS145" i="29"/>
  <c r="AS143" i="29"/>
  <c r="AS142" i="29"/>
  <c r="AS140" i="29"/>
  <c r="AS133" i="29"/>
  <c r="AS129" i="29"/>
  <c r="AS127" i="29"/>
  <c r="AS121" i="29"/>
  <c r="AS118" i="29"/>
  <c r="AS117" i="29"/>
  <c r="AS115" i="29"/>
  <c r="AS113" i="29"/>
  <c r="AS112" i="29"/>
  <c r="AS110" i="29"/>
  <c r="AS107" i="29"/>
  <c r="AS105" i="29"/>
  <c r="AS102" i="29"/>
  <c r="AS100" i="29"/>
  <c r="AS94" i="29"/>
  <c r="AS93" i="29"/>
  <c r="AS92" i="29"/>
  <c r="AS90" i="29"/>
  <c r="AS89" i="29"/>
  <c r="AS87" i="29"/>
  <c r="AS84" i="29"/>
  <c r="AS81" i="29"/>
  <c r="AS60" i="29"/>
  <c r="AS58" i="29"/>
  <c r="AS59" i="29"/>
  <c r="AS56" i="29"/>
  <c r="AS54" i="29"/>
  <c r="AS52" i="29"/>
  <c r="AS51" i="29"/>
  <c r="AS49" i="29"/>
  <c r="AS47" i="29"/>
  <c r="AS46" i="29"/>
  <c r="AS44" i="29"/>
  <c r="AS42" i="29"/>
  <c r="AS38" i="29"/>
  <c r="AS32" i="29"/>
  <c r="AS31" i="29"/>
  <c r="AS30" i="29"/>
  <c r="AS28" i="29"/>
  <c r="AS27" i="29"/>
  <c r="AS25" i="29"/>
  <c r="AS23" i="29"/>
  <c r="AS22" i="29"/>
  <c r="AS21" i="29"/>
  <c r="AS17" i="29"/>
  <c r="AS16" i="29"/>
  <c r="AS15" i="29"/>
  <c r="AQ278" i="28"/>
  <c r="AQ273" i="28"/>
  <c r="AQ269" i="28"/>
  <c r="AQ264" i="28"/>
  <c r="AQ259" i="28"/>
  <c r="AQ258" i="28"/>
  <c r="AQ252" i="28"/>
  <c r="AQ248" i="28"/>
  <c r="AQ244" i="28"/>
  <c r="AQ242" i="28"/>
  <c r="AQ239" i="28"/>
  <c r="AQ237" i="28"/>
  <c r="AQ234" i="28"/>
  <c r="AQ230" i="28"/>
  <c r="AQ225" i="28"/>
  <c r="AQ222" i="28"/>
  <c r="AQ220" i="28"/>
  <c r="AQ211" i="28"/>
  <c r="AQ207" i="28"/>
  <c r="AQ205" i="28"/>
  <c r="AQ203" i="28"/>
  <c r="AQ200" i="28"/>
  <c r="AQ198" i="28"/>
  <c r="AQ192" i="28"/>
  <c r="AQ191" i="28"/>
  <c r="AQ189" i="28"/>
  <c r="AQ185" i="28"/>
  <c r="AQ183" i="28"/>
  <c r="AQ181" i="28"/>
  <c r="AQ179" i="28"/>
  <c r="AQ173" i="28"/>
  <c r="AQ171" i="28"/>
  <c r="AQ168" i="28"/>
  <c r="AQ167" i="28"/>
  <c r="AQ163" i="28"/>
  <c r="AQ158" i="28"/>
  <c r="AQ154" i="28"/>
  <c r="AQ153" i="28"/>
  <c r="AQ148" i="28"/>
  <c r="AQ139" i="28"/>
  <c r="AQ134" i="28"/>
  <c r="AQ132" i="28"/>
  <c r="AQ131" i="28"/>
  <c r="AQ129" i="28"/>
  <c r="AQ118" i="28"/>
  <c r="AQ115" i="28"/>
  <c r="AQ114" i="28"/>
  <c r="AQ104" i="28"/>
  <c r="AQ95" i="28"/>
  <c r="AQ92" i="28"/>
  <c r="AQ90" i="28"/>
  <c r="AQ79" i="28"/>
  <c r="AQ78" i="28"/>
  <c r="AQ77" i="28"/>
  <c r="AQ76" i="28"/>
  <c r="AQ71" i="28"/>
  <c r="AQ67" i="28"/>
  <c r="AQ61" i="28"/>
  <c r="AQ59" i="28"/>
  <c r="AQ57" i="28"/>
  <c r="AQ54" i="28"/>
  <c r="AQ52" i="28"/>
  <c r="AQ50" i="28"/>
  <c r="AQ47" i="28"/>
  <c r="AQ45" i="28"/>
  <c r="AQ42" i="28"/>
  <c r="AQ36" i="28"/>
  <c r="AQ33" i="28"/>
  <c r="AQ29" i="28"/>
  <c r="AQ26" i="28"/>
  <c r="AQ23" i="28"/>
  <c r="AQ18" i="28"/>
  <c r="AS278" i="28"/>
  <c r="AS273" i="28"/>
  <c r="AS269" i="28"/>
  <c r="AS264" i="28"/>
  <c r="AS256" i="28"/>
  <c r="AS252" i="28"/>
  <c r="AS248" i="28"/>
  <c r="AS244" i="28"/>
  <c r="AS242" i="28"/>
  <c r="AS239" i="28"/>
  <c r="AS237" i="28"/>
  <c r="AS228" i="28"/>
  <c r="AS225" i="28"/>
  <c r="AS222" i="28"/>
  <c r="AS220" i="28"/>
  <c r="AS211" i="28"/>
  <c r="AS207" i="28"/>
  <c r="AS205" i="28"/>
  <c r="AS203" i="28"/>
  <c r="AS196" i="28"/>
  <c r="AS192" i="28"/>
  <c r="AS188" i="28"/>
  <c r="AS185" i="28"/>
  <c r="AS183" i="28"/>
  <c r="AS181" i="28"/>
  <c r="AS179" i="28"/>
  <c r="AS173" i="28"/>
  <c r="AS171" i="28"/>
  <c r="AS165" i="28"/>
  <c r="AS163" i="28"/>
  <c r="AS158" i="28"/>
  <c r="AS154" i="28"/>
  <c r="AS153" i="28"/>
  <c r="AS148" i="28"/>
  <c r="AS139" i="28"/>
  <c r="AS134" i="28"/>
  <c r="AS132" i="28"/>
  <c r="AS131" i="28"/>
  <c r="AS129" i="28"/>
  <c r="AS124" i="28"/>
  <c r="AS118" i="28"/>
  <c r="AS114" i="28"/>
  <c r="AS104" i="28"/>
  <c r="AS95" i="28"/>
  <c r="AS92" i="28"/>
  <c r="AS90" i="28"/>
  <c r="AS76" i="28"/>
  <c r="AS71" i="28"/>
  <c r="AS67" i="28"/>
  <c r="AS61" i="28"/>
  <c r="AS59" i="28"/>
  <c r="AS57" i="28"/>
  <c r="AS54" i="28"/>
  <c r="AS52" i="28"/>
  <c r="AS50" i="28"/>
  <c r="AS47" i="28"/>
  <c r="AS45" i="28"/>
  <c r="AS42" i="28"/>
  <c r="AS36" i="28"/>
  <c r="AS33" i="28"/>
  <c r="AS29" i="28"/>
  <c r="AS26" i="28"/>
  <c r="AS23" i="28"/>
  <c r="AS18" i="28"/>
  <c r="AM278" i="28"/>
  <c r="AM273" i="28"/>
  <c r="AM269" i="28"/>
  <c r="AM264" i="28"/>
  <c r="AM256" i="28"/>
  <c r="AM254" i="28"/>
  <c r="AM253" i="28"/>
  <c r="AM251" i="28"/>
  <c r="AM249" i="28"/>
  <c r="AM242" i="28"/>
  <c r="AM235" i="28"/>
  <c r="AM234" i="28"/>
  <c r="AM232" i="28"/>
  <c r="AM231" i="28"/>
  <c r="AM225" i="28"/>
  <c r="AM222" i="28"/>
  <c r="AM220" i="28"/>
  <c r="AM219" i="28"/>
  <c r="AM218" i="28"/>
  <c r="AM216" i="28"/>
  <c r="AM214" i="28"/>
  <c r="AM201" i="28"/>
  <c r="AM199" i="28"/>
  <c r="AM197" i="28"/>
  <c r="AM196" i="28"/>
  <c r="AM192" i="28"/>
  <c r="AM191" i="28"/>
  <c r="AM190" i="28"/>
  <c r="AM188" i="28"/>
  <c r="AM185" i="28"/>
  <c r="AM181" i="28"/>
  <c r="AM173" i="28"/>
  <c r="AM171" i="28"/>
  <c r="AM168" i="28"/>
  <c r="AM167" i="28"/>
  <c r="AM158" i="28"/>
  <c r="AM154" i="28"/>
  <c r="AM153" i="28"/>
  <c r="AM148" i="28"/>
  <c r="AM139" i="28"/>
  <c r="AM134" i="28"/>
  <c r="AM127" i="28"/>
  <c r="AM118" i="28"/>
  <c r="AM97" i="28"/>
  <c r="AM92" i="28"/>
  <c r="AM90" i="28"/>
  <c r="AM86" i="28"/>
  <c r="AM84" i="28"/>
  <c r="AM83" i="28"/>
  <c r="AM82" i="28"/>
  <c r="AM80" i="28"/>
  <c r="AM68" i="28"/>
  <c r="AM67" i="28"/>
  <c r="AM61" i="28"/>
  <c r="AM60" i="28"/>
  <c r="AM58" i="28"/>
  <c r="AM54" i="28"/>
  <c r="AM53" i="28"/>
  <c r="AM51" i="28"/>
  <c r="AM48" i="28"/>
  <c r="AM46" i="28"/>
  <c r="AM43" i="28"/>
  <c r="AM38" i="28"/>
  <c r="AM37" i="28"/>
  <c r="AM33" i="28"/>
  <c r="AM27" i="28"/>
  <c r="AM28" i="28"/>
  <c r="AM25" i="28"/>
  <c r="AM24" i="28"/>
  <c r="AM18" i="28"/>
  <c r="AS12" i="28"/>
  <c r="AQ12" i="28"/>
  <c r="AM12" i="28"/>
  <c r="U231" i="25"/>
  <c r="AS627" i="25"/>
  <c r="AS624" i="25"/>
  <c r="AS621" i="25"/>
  <c r="AS620" i="25"/>
  <c r="AS616" i="25"/>
  <c r="AS607" i="25"/>
  <c r="AS605" i="25"/>
  <c r="AS603" i="25"/>
  <c r="AS601" i="25"/>
  <c r="AS598" i="25"/>
  <c r="AS597" i="25"/>
  <c r="AS596" i="25"/>
  <c r="AS595" i="25"/>
  <c r="AS594" i="25"/>
  <c r="AS593" i="25"/>
  <c r="AS592" i="25"/>
  <c r="AS591" i="25"/>
  <c r="AS583" i="25"/>
  <c r="AS576" i="25"/>
  <c r="AS573" i="25"/>
  <c r="AS570" i="25"/>
  <c r="AS568" i="25"/>
  <c r="AS567" i="25"/>
  <c r="AS566" i="25"/>
  <c r="AS565" i="25"/>
  <c r="AS558" i="25"/>
  <c r="AS556" i="25"/>
  <c r="AS554" i="25"/>
  <c r="AS551" i="25"/>
  <c r="AS550" i="25"/>
  <c r="AS549" i="25"/>
  <c r="AS548" i="25"/>
  <c r="AS547" i="25"/>
  <c r="AS546" i="25"/>
  <c r="AS545" i="25"/>
  <c r="AS536" i="25"/>
  <c r="AS528" i="25"/>
  <c r="AS525" i="25"/>
  <c r="AS524" i="25"/>
  <c r="AS511" i="25"/>
  <c r="AS509" i="25"/>
  <c r="AS508" i="25"/>
  <c r="AS507" i="25"/>
  <c r="AS506" i="25"/>
  <c r="AS505" i="25"/>
  <c r="AS504" i="25"/>
  <c r="AS502" i="25"/>
  <c r="AS497" i="25"/>
  <c r="AS493" i="25"/>
  <c r="AS492" i="25"/>
  <c r="AS489" i="25"/>
  <c r="AS487" i="25"/>
  <c r="AS484" i="25"/>
  <c r="AS479" i="25"/>
  <c r="AS474" i="25"/>
  <c r="AS470" i="25"/>
  <c r="AS467" i="25"/>
  <c r="AS463" i="25"/>
  <c r="AS450" i="25"/>
  <c r="AS447" i="25"/>
  <c r="AS444" i="25"/>
  <c r="AS436" i="25"/>
  <c r="AS433" i="25"/>
  <c r="AS429" i="25"/>
  <c r="AS424" i="25"/>
  <c r="AS422" i="25"/>
  <c r="AS420" i="25"/>
  <c r="AS415" i="25"/>
  <c r="AS414" i="25"/>
  <c r="AS411" i="25"/>
  <c r="AS409" i="25"/>
  <c r="AS408" i="25"/>
  <c r="AS407" i="25"/>
  <c r="AS405" i="25"/>
  <c r="AS397" i="25"/>
  <c r="AS392" i="25"/>
  <c r="AS391" i="25"/>
  <c r="AS390" i="25"/>
  <c r="AS387" i="25"/>
  <c r="AS385" i="25"/>
  <c r="AS384" i="25"/>
  <c r="AS382" i="25"/>
  <c r="AS379" i="25"/>
  <c r="AS377" i="25"/>
  <c r="AS375" i="25"/>
  <c r="AS373" i="25"/>
  <c r="AS371" i="25"/>
  <c r="AS366" i="25"/>
  <c r="AS365" i="25"/>
  <c r="AS364" i="25"/>
  <c r="AS361" i="25"/>
  <c r="AS359" i="25"/>
  <c r="AS357" i="25"/>
  <c r="AS346" i="25"/>
  <c r="AS345" i="25"/>
  <c r="AS343" i="25"/>
  <c r="AS341" i="25"/>
  <c r="AS323" i="25"/>
  <c r="AS313" i="25"/>
  <c r="AS311" i="25"/>
  <c r="AS309" i="25"/>
  <c r="AS308" i="25"/>
  <c r="AS305" i="25"/>
  <c r="AS303" i="25"/>
  <c r="AS297" i="25"/>
  <c r="AS290" i="25"/>
  <c r="AS284" i="25"/>
  <c r="AS280" i="25"/>
  <c r="AS279" i="25"/>
  <c r="AS277" i="25"/>
  <c r="AS272" i="25"/>
  <c r="AS268" i="25"/>
  <c r="AS263" i="25"/>
  <c r="AS257" i="25"/>
  <c r="AS252" i="25"/>
  <c r="AS249" i="25"/>
  <c r="AS243" i="25"/>
  <c r="AS237" i="25"/>
  <c r="AS230" i="25"/>
  <c r="AS224" i="25"/>
  <c r="AS215" i="25"/>
  <c r="AS207" i="25"/>
  <c r="AS199" i="25"/>
  <c r="AS192" i="25"/>
  <c r="AS188" i="25"/>
  <c r="AS185" i="25"/>
  <c r="AS183" i="25"/>
  <c r="AS176" i="25"/>
  <c r="AS173" i="25"/>
  <c r="AS170" i="25"/>
  <c r="AS157" i="25"/>
  <c r="AS153" i="25"/>
  <c r="AS150" i="25"/>
  <c r="AS144" i="25"/>
  <c r="AS140" i="25"/>
  <c r="AS135" i="25"/>
  <c r="AS134" i="25"/>
  <c r="AS132" i="25"/>
  <c r="AS124" i="25"/>
  <c r="AS118" i="25"/>
  <c r="AS115" i="25"/>
  <c r="AS112" i="25"/>
  <c r="AS109" i="25"/>
  <c r="AS108" i="25"/>
  <c r="AS107" i="25"/>
  <c r="AS105" i="25"/>
  <c r="AS102" i="25"/>
  <c r="AS100" i="25"/>
  <c r="AS96" i="25"/>
  <c r="AS95" i="25"/>
  <c r="AS93" i="25"/>
  <c r="AS92" i="25"/>
  <c r="AS88" i="25"/>
  <c r="AS86" i="25"/>
  <c r="AS85" i="25"/>
  <c r="AS84" i="25"/>
  <c r="AS83" i="25"/>
  <c r="AS81" i="25"/>
  <c r="AS80" i="25"/>
  <c r="AS78" i="25"/>
  <c r="AS77" i="25"/>
  <c r="AS72" i="25"/>
  <c r="AS68" i="25"/>
  <c r="AS67" i="25"/>
  <c r="AS66" i="25"/>
  <c r="AS65" i="25"/>
  <c r="AS64" i="25"/>
  <c r="AS63" i="25"/>
  <c r="AS62" i="25"/>
  <c r="AS61" i="25"/>
  <c r="AS60" i="25"/>
  <c r="AS59" i="25"/>
  <c r="AS58" i="25"/>
  <c r="AS57" i="25"/>
  <c r="AS53" i="25"/>
  <c r="AS50" i="25"/>
  <c r="AS49" i="25"/>
  <c r="AS46" i="25"/>
  <c r="AS40" i="25"/>
  <c r="AS37" i="25"/>
  <c r="AS32" i="25"/>
  <c r="AS22" i="25"/>
  <c r="AS19" i="25"/>
  <c r="AS16" i="25"/>
  <c r="AS14" i="25"/>
  <c r="AM627" i="25"/>
  <c r="AM624" i="25"/>
  <c r="AM621" i="25"/>
  <c r="AM620" i="25"/>
  <c r="AM616" i="25"/>
  <c r="AM607" i="25"/>
  <c r="AM605" i="25"/>
  <c r="AM603" i="25"/>
  <c r="AM601" i="25"/>
  <c r="AM586" i="25"/>
  <c r="AM585" i="25"/>
  <c r="AM581" i="25"/>
  <c r="AM579" i="25"/>
  <c r="AM573" i="25"/>
  <c r="AM570" i="25"/>
  <c r="AM568" i="25"/>
  <c r="AM567" i="25"/>
  <c r="AM566" i="25"/>
  <c r="AM565" i="25"/>
  <c r="AM563" i="25"/>
  <c r="AM558" i="25"/>
  <c r="AM556" i="25"/>
  <c r="AM554" i="25"/>
  <c r="AM542" i="25"/>
  <c r="AM540" i="25"/>
  <c r="AM539" i="25"/>
  <c r="AM528" i="25"/>
  <c r="AM525" i="25"/>
  <c r="AM524" i="25"/>
  <c r="AM511" i="25"/>
  <c r="AM502" i="25"/>
  <c r="AM497" i="25"/>
  <c r="AM493" i="25"/>
  <c r="AM492" i="25"/>
  <c r="AM489" i="25"/>
  <c r="AM487" i="25"/>
  <c r="AM484" i="25"/>
  <c r="AM483" i="25"/>
  <c r="AM482" i="25"/>
  <c r="AM478" i="25"/>
  <c r="AM477" i="25"/>
  <c r="AM473" i="25"/>
  <c r="AM472" i="25"/>
  <c r="AM467" i="25"/>
  <c r="AM466" i="25"/>
  <c r="AM465" i="25"/>
  <c r="AM426" i="25"/>
  <c r="AM402" i="25"/>
  <c r="AM401" i="25"/>
  <c r="AM397" i="25"/>
  <c r="AM369" i="25"/>
  <c r="AM366" i="25"/>
  <c r="AM365" i="25"/>
  <c r="AM364" i="25"/>
  <c r="AM361" i="25"/>
  <c r="AM359" i="25"/>
  <c r="AM345" i="25"/>
  <c r="AM343" i="25"/>
  <c r="AM336" i="25"/>
  <c r="AM335" i="25"/>
  <c r="AM334" i="25"/>
  <c r="AM290" i="25"/>
  <c r="AM278" i="25"/>
  <c r="AM277" i="25"/>
  <c r="AM237" i="25"/>
  <c r="AM207" i="25"/>
  <c r="AM188" i="25"/>
  <c r="AM183" i="25"/>
  <c r="AM176" i="25"/>
  <c r="AM156" i="25"/>
  <c r="AM144" i="25"/>
  <c r="AQ627" i="25"/>
  <c r="AQ624" i="25"/>
  <c r="AQ621" i="25"/>
  <c r="AQ620" i="25"/>
  <c r="AQ616" i="25"/>
  <c r="AQ608" i="25"/>
  <c r="AQ605" i="25"/>
  <c r="AQ603" i="25"/>
  <c r="AQ601" i="25"/>
  <c r="AQ598" i="25"/>
  <c r="AQ597" i="25"/>
  <c r="AQ596" i="25"/>
  <c r="AQ595" i="25"/>
  <c r="AQ594" i="25"/>
  <c r="AQ593" i="25"/>
  <c r="AQ592" i="25"/>
  <c r="AQ591" i="25"/>
  <c r="AQ576" i="25"/>
  <c r="AQ573" i="25"/>
  <c r="AQ570" i="25"/>
  <c r="AQ568" i="25"/>
  <c r="AQ567" i="25"/>
  <c r="AQ566" i="25"/>
  <c r="AQ565" i="25"/>
  <c r="AQ558" i="25"/>
  <c r="AQ556" i="25"/>
  <c r="AQ554" i="25"/>
  <c r="AQ542" i="25"/>
  <c r="AQ536" i="25"/>
  <c r="AQ528" i="25"/>
  <c r="AQ525" i="25"/>
  <c r="AQ524" i="25"/>
  <c r="AQ502" i="25"/>
  <c r="AQ497" i="25"/>
  <c r="AQ493" i="25"/>
  <c r="AQ492" i="25"/>
  <c r="AQ490" i="25"/>
  <c r="AQ487" i="25"/>
  <c r="AQ484" i="25"/>
  <c r="AQ479" i="25"/>
  <c r="AQ474" i="25"/>
  <c r="AQ470" i="25"/>
  <c r="AQ467" i="25"/>
  <c r="AQ463" i="25"/>
  <c r="AQ454" i="25"/>
  <c r="AQ426" i="25"/>
  <c r="AQ424" i="25"/>
  <c r="AQ422" i="25"/>
  <c r="AQ420" i="25"/>
  <c r="AQ415" i="25"/>
  <c r="AQ414" i="25"/>
  <c r="AQ411" i="25"/>
  <c r="AQ409" i="25"/>
  <c r="AQ408" i="25"/>
  <c r="AQ407" i="25"/>
  <c r="AQ405" i="25"/>
  <c r="AQ397" i="25"/>
  <c r="AQ369" i="25"/>
  <c r="AQ366" i="25"/>
  <c r="AQ365" i="25"/>
  <c r="AQ364" i="25"/>
  <c r="AQ361" i="25"/>
  <c r="AQ359" i="25"/>
  <c r="AQ357" i="25"/>
  <c r="AQ347" i="25"/>
  <c r="AQ345" i="25"/>
  <c r="AQ343" i="25"/>
  <c r="AQ341" i="25"/>
  <c r="AQ326" i="25"/>
  <c r="AQ324" i="25"/>
  <c r="AQ313" i="25"/>
  <c r="AQ311" i="25"/>
  <c r="AQ309" i="25"/>
  <c r="AQ308" i="25"/>
  <c r="AQ305" i="25"/>
  <c r="AQ303" i="25"/>
  <c r="AQ297" i="25"/>
  <c r="AQ292" i="25"/>
  <c r="AQ290" i="25"/>
  <c r="AQ285" i="25"/>
  <c r="AQ280" i="25"/>
  <c r="AQ279" i="25"/>
  <c r="AQ277" i="25"/>
  <c r="AQ273" i="25"/>
  <c r="AQ268" i="25"/>
  <c r="AQ264" i="25"/>
  <c r="AQ258" i="25"/>
  <c r="AQ253" i="25"/>
  <c r="AQ250" i="25"/>
  <c r="AQ244" i="25"/>
  <c r="AQ237" i="25"/>
  <c r="AQ231" i="25"/>
  <c r="AQ225" i="25"/>
  <c r="AQ215" i="25"/>
  <c r="AQ207" i="25"/>
  <c r="AQ199" i="25"/>
  <c r="AQ192" i="25"/>
  <c r="AQ185" i="25"/>
  <c r="AQ184" i="25"/>
  <c r="AQ178" i="25"/>
  <c r="AQ176" i="25"/>
  <c r="AQ173" i="25"/>
  <c r="AQ170" i="25"/>
  <c r="AQ157" i="25"/>
  <c r="AQ146" i="25"/>
  <c r="AQ140" i="25"/>
  <c r="AQ135" i="25"/>
  <c r="AQ134" i="25"/>
  <c r="AQ132" i="25"/>
  <c r="AQ124" i="25"/>
  <c r="AQ118" i="25"/>
  <c r="AQ91" i="25"/>
  <c r="AQ88" i="25"/>
  <c r="AQ72" i="25"/>
  <c r="AQ56" i="25"/>
  <c r="AQ54" i="25"/>
  <c r="AQ49" i="25"/>
  <c r="AQ50" i="25"/>
  <c r="AQ46" i="25"/>
  <c r="AQ40" i="25"/>
  <c r="AQ37" i="25"/>
  <c r="AQ32" i="25"/>
  <c r="AQ23" i="25"/>
  <c r="AQ12" i="25"/>
  <c r="AO1287" i="16"/>
  <c r="AC1329" i="16"/>
  <c r="O1390" i="16"/>
  <c r="E1390" i="76" s="1"/>
  <c r="U163" i="28"/>
  <c r="DT4" i="2" s="1"/>
  <c r="AE525" i="25"/>
  <c r="P60" i="23"/>
  <c r="G455" i="66"/>
  <c r="AX11" i="29"/>
  <c r="AY11" i="29"/>
  <c r="AX12" i="29"/>
  <c r="AY12" i="29"/>
  <c r="AX13" i="29"/>
  <c r="AY13" i="29"/>
  <c r="AX14" i="29"/>
  <c r="AY14" i="29"/>
  <c r="AX15" i="29"/>
  <c r="AY15" i="29"/>
  <c r="BC15" i="29"/>
  <c r="BD15" i="29"/>
  <c r="AX16" i="29"/>
  <c r="AY16" i="29"/>
  <c r="AX17" i="29"/>
  <c r="AY17" i="29"/>
  <c r="AX19" i="29"/>
  <c r="S112" i="29"/>
  <c r="T112" i="29" s="1"/>
  <c r="AD112" i="29" s="1"/>
  <c r="AC112" i="29" s="1"/>
  <c r="AX20" i="29"/>
  <c r="AY20" i="29"/>
  <c r="AX21" i="29"/>
  <c r="AY21" i="29"/>
  <c r="AX23" i="29"/>
  <c r="AY23" i="29"/>
  <c r="AX24" i="29"/>
  <c r="AY24" i="29"/>
  <c r="AX25" i="29"/>
  <c r="AY25" i="29"/>
  <c r="AX27" i="29"/>
  <c r="AY27" i="29"/>
  <c r="AX30" i="29"/>
  <c r="AY30" i="29"/>
  <c r="AX31" i="29"/>
  <c r="AY31" i="29"/>
  <c r="AX33" i="29"/>
  <c r="AY33" i="29"/>
  <c r="AX34" i="29"/>
  <c r="AY34" i="29"/>
  <c r="AX35" i="29"/>
  <c r="AY35" i="29"/>
  <c r="AX36" i="29"/>
  <c r="AY36" i="29"/>
  <c r="AX37" i="29"/>
  <c r="AY37" i="29"/>
  <c r="AX38" i="29"/>
  <c r="AY38" i="29"/>
  <c r="AX39" i="29"/>
  <c r="AY39" i="29"/>
  <c r="AX40" i="29"/>
  <c r="AY40" i="29"/>
  <c r="AX41" i="29"/>
  <c r="AY41" i="29"/>
  <c r="AX43" i="29"/>
  <c r="AY43" i="29"/>
  <c r="AX44" i="29"/>
  <c r="AY44" i="29"/>
  <c r="AX45" i="29"/>
  <c r="AY45" i="29"/>
  <c r="AX46" i="29"/>
  <c r="AY46" i="29"/>
  <c r="AX47" i="29"/>
  <c r="AY47" i="29"/>
  <c r="AX48" i="29"/>
  <c r="AY48" i="29"/>
  <c r="AX49" i="29"/>
  <c r="AY49" i="29"/>
  <c r="AX50" i="29"/>
  <c r="AY50" i="29"/>
  <c r="AX51" i="29"/>
  <c r="AY51" i="29"/>
  <c r="AX53" i="29"/>
  <c r="AY53" i="29"/>
  <c r="AX54" i="29"/>
  <c r="AY54" i="29"/>
  <c r="AX55" i="29"/>
  <c r="AY55" i="29"/>
  <c r="AX56" i="29"/>
  <c r="AY56" i="29"/>
  <c r="AX57" i="29"/>
  <c r="AY57" i="29"/>
  <c r="AX58" i="29"/>
  <c r="AY58" i="29"/>
  <c r="AX59" i="29"/>
  <c r="AY59" i="29"/>
  <c r="AX61" i="29"/>
  <c r="AY61" i="29"/>
  <c r="AX62" i="29"/>
  <c r="AY62" i="29"/>
  <c r="G20" i="72"/>
  <c r="G21" i="72" s="1"/>
  <c r="F20" i="72"/>
  <c r="F21" i="72" s="1"/>
  <c r="E20" i="72"/>
  <c r="E21" i="72" s="1"/>
  <c r="D20" i="72"/>
  <c r="D21" i="72" s="1"/>
  <c r="A21" i="3"/>
  <c r="D21" i="3" s="1"/>
  <c r="AX60" i="16"/>
  <c r="AX54" i="16"/>
  <c r="AX55" i="16"/>
  <c r="AX56" i="16"/>
  <c r="AX57" i="16"/>
  <c r="AX59" i="16"/>
  <c r="AX31" i="16"/>
  <c r="AX32" i="16"/>
  <c r="AX33" i="16"/>
  <c r="AX34" i="16"/>
  <c r="AX35" i="16"/>
  <c r="AX36" i="16"/>
  <c r="AX37" i="16"/>
  <c r="AX38" i="16"/>
  <c r="AX39" i="16"/>
  <c r="AX41" i="16"/>
  <c r="AX42" i="16"/>
  <c r="AX43" i="16"/>
  <c r="AX44" i="16"/>
  <c r="AX45" i="16"/>
  <c r="AX46" i="16"/>
  <c r="AX47" i="16"/>
  <c r="AX48" i="16"/>
  <c r="AX49" i="16"/>
  <c r="AX51" i="16"/>
  <c r="AX52" i="16"/>
  <c r="AX53" i="16"/>
  <c r="AX24" i="16"/>
  <c r="Q33" i="23"/>
  <c r="Q34" i="23"/>
  <c r="P35" i="23"/>
  <c r="AY37" i="16" s="1"/>
  <c r="Q35" i="23"/>
  <c r="P36" i="23"/>
  <c r="Q36" i="23"/>
  <c r="Q37" i="23"/>
  <c r="P40" i="23"/>
  <c r="P42" i="23"/>
  <c r="AY44" i="16" s="1"/>
  <c r="E41" i="23"/>
  <c r="E42" i="23"/>
  <c r="E33" i="23"/>
  <c r="E34" i="23"/>
  <c r="E35" i="23"/>
  <c r="E36" i="23"/>
  <c r="E37" i="23"/>
  <c r="E39" i="23"/>
  <c r="E40" i="23"/>
  <c r="E22" i="23"/>
  <c r="AX36" i="27"/>
  <c r="AY36" i="27"/>
  <c r="AX37" i="27"/>
  <c r="AY37" i="27"/>
  <c r="AX38" i="27"/>
  <c r="AY38" i="27"/>
  <c r="AX39" i="27"/>
  <c r="AY39" i="27"/>
  <c r="AX40" i="27"/>
  <c r="AY40" i="27"/>
  <c r="AX41" i="27"/>
  <c r="AY41" i="27"/>
  <c r="AX42" i="27"/>
  <c r="AY42" i="27"/>
  <c r="AX43" i="27"/>
  <c r="AY43" i="27"/>
  <c r="AX44" i="27"/>
  <c r="AY44" i="27"/>
  <c r="AX45" i="27"/>
  <c r="AY45" i="27"/>
  <c r="AX25" i="27"/>
  <c r="AY25" i="27"/>
  <c r="AX36" i="24"/>
  <c r="AY36" i="24"/>
  <c r="AX37" i="24"/>
  <c r="AY37" i="24"/>
  <c r="AX38" i="24"/>
  <c r="AY38" i="24"/>
  <c r="AX39" i="24"/>
  <c r="AY39" i="24"/>
  <c r="AX40" i="24"/>
  <c r="AY40" i="24"/>
  <c r="AX42" i="24"/>
  <c r="AY42" i="24"/>
  <c r="AX43" i="24"/>
  <c r="AY43" i="24"/>
  <c r="AX44" i="24"/>
  <c r="AY44" i="24"/>
  <c r="AX45" i="24"/>
  <c r="AY45" i="24"/>
  <c r="AX25" i="24"/>
  <c r="AY25" i="24"/>
  <c r="AX36" i="8"/>
  <c r="AY36" i="8"/>
  <c r="AX37" i="8"/>
  <c r="AY37" i="8"/>
  <c r="AX38" i="8"/>
  <c r="AY38" i="8"/>
  <c r="AX39" i="8"/>
  <c r="AY39" i="8"/>
  <c r="AX40" i="8"/>
  <c r="AY40" i="8"/>
  <c r="AX42" i="8"/>
  <c r="AY42" i="8"/>
  <c r="AX43" i="8"/>
  <c r="AY43" i="8"/>
  <c r="AX44" i="8"/>
  <c r="AY44" i="8"/>
  <c r="AX45" i="8"/>
  <c r="AY45" i="8"/>
  <c r="AX25" i="8"/>
  <c r="AY25" i="8"/>
  <c r="AE608" i="25"/>
  <c r="AD608" i="25"/>
  <c r="AE576" i="25"/>
  <c r="AD576" i="25"/>
  <c r="AE536" i="25"/>
  <c r="AE490" i="25"/>
  <c r="AE479" i="25"/>
  <c r="AE502" i="25"/>
  <c r="AD502" i="25"/>
  <c r="AE542" i="25"/>
  <c r="AD542" i="25"/>
  <c r="AC542" i="25" s="1"/>
  <c r="AE497" i="25"/>
  <c r="AC497" i="25" s="1"/>
  <c r="AD497" i="25"/>
  <c r="AE493" i="25"/>
  <c r="AD493" i="25"/>
  <c r="AE492" i="25"/>
  <c r="AD492" i="25"/>
  <c r="AE487" i="25"/>
  <c r="AD487" i="25"/>
  <c r="AC487" i="25" s="1"/>
  <c r="AE484" i="25"/>
  <c r="AD484" i="25"/>
  <c r="AE467" i="25"/>
  <c r="AD467" i="25"/>
  <c r="AE474" i="25"/>
  <c r="AE470" i="25"/>
  <c r="AE463" i="25"/>
  <c r="AD463" i="25"/>
  <c r="AE277" i="25"/>
  <c r="AE280" i="25"/>
  <c r="AE290" i="25"/>
  <c r="AE297" i="25"/>
  <c r="AE303" i="25"/>
  <c r="AE305" i="25"/>
  <c r="AE308" i="25"/>
  <c r="AE309" i="25"/>
  <c r="AE311" i="25"/>
  <c r="AE341" i="25"/>
  <c r="AE343" i="25"/>
  <c r="AE345" i="25"/>
  <c r="AE347" i="25"/>
  <c r="AE326" i="25"/>
  <c r="AE324" i="25"/>
  <c r="AE313" i="25"/>
  <c r="AE292" i="25"/>
  <c r="AE285" i="25"/>
  <c r="AE279" i="25"/>
  <c r="AE273" i="25"/>
  <c r="AE268" i="25"/>
  <c r="AE264" i="25"/>
  <c r="AE258" i="25"/>
  <c r="AE253" i="25"/>
  <c r="AE250" i="25"/>
  <c r="AE244" i="25"/>
  <c r="O145" i="28"/>
  <c r="AE237" i="25"/>
  <c r="AE215" i="25"/>
  <c r="AE207" i="25"/>
  <c r="U215" i="25"/>
  <c r="CF4" i="2" s="1"/>
  <c r="U207" i="25"/>
  <c r="CE4" i="2"/>
  <c r="U199" i="25"/>
  <c r="CD4" i="2" s="1"/>
  <c r="U225" i="25"/>
  <c r="AD29" i="28"/>
  <c r="AE36" i="28"/>
  <c r="AD71" i="28"/>
  <c r="AE79" i="28"/>
  <c r="AD79" i="28"/>
  <c r="AE78" i="28"/>
  <c r="AC78" i="28" s="1"/>
  <c r="AD78" i="28"/>
  <c r="AE77" i="28"/>
  <c r="AC77" i="28" s="1"/>
  <c r="AD77" i="28"/>
  <c r="AE76" i="28"/>
  <c r="AD76" i="28"/>
  <c r="AC76" i="28" s="1"/>
  <c r="AE104" i="28"/>
  <c r="AE115" i="28"/>
  <c r="AE114" i="28"/>
  <c r="AD183" i="28"/>
  <c r="AE191" i="28"/>
  <c r="AD191" i="28"/>
  <c r="AE189" i="28"/>
  <c r="AD189" i="28"/>
  <c r="AC189" i="28" s="1"/>
  <c r="AE200" i="28"/>
  <c r="AD200" i="28"/>
  <c r="AE198" i="28"/>
  <c r="AC198" i="28" s="1"/>
  <c r="AD198" i="28"/>
  <c r="AE248" i="28"/>
  <c r="AD248" i="28"/>
  <c r="AE252" i="28"/>
  <c r="AD252" i="28"/>
  <c r="AE278" i="28"/>
  <c r="AD278" i="28"/>
  <c r="AC278" i="28" s="1"/>
  <c r="AE273" i="28"/>
  <c r="AD273" i="28"/>
  <c r="AE269" i="28"/>
  <c r="AE264" i="28"/>
  <c r="AE259" i="28"/>
  <c r="AE258" i="28"/>
  <c r="AD244" i="28"/>
  <c r="AE242" i="28"/>
  <c r="AD242" i="28"/>
  <c r="AC242" i="28" s="1"/>
  <c r="AE239" i="28"/>
  <c r="AD239" i="28"/>
  <c r="AE237" i="28"/>
  <c r="AD237" i="28"/>
  <c r="AC237" i="28" s="1"/>
  <c r="AE234" i="28"/>
  <c r="AE225" i="28"/>
  <c r="AE222" i="28"/>
  <c r="AE220" i="28"/>
  <c r="AE207" i="28"/>
  <c r="AD207" i="28"/>
  <c r="AE205" i="28"/>
  <c r="AD205" i="28"/>
  <c r="AE203" i="28"/>
  <c r="AD203" i="28"/>
  <c r="AE192" i="28"/>
  <c r="AD192" i="28"/>
  <c r="AE185" i="28"/>
  <c r="AD185" i="28"/>
  <c r="AE181" i="28"/>
  <c r="AD179" i="28"/>
  <c r="AE173" i="28"/>
  <c r="AE171" i="28"/>
  <c r="AE168" i="28"/>
  <c r="AE167" i="28"/>
  <c r="AD163" i="28"/>
  <c r="AE158" i="28"/>
  <c r="AD158" i="28"/>
  <c r="AE154" i="28"/>
  <c r="AD154" i="28"/>
  <c r="AE153" i="28"/>
  <c r="AD153" i="28"/>
  <c r="AC153" i="28" s="1"/>
  <c r="AE148" i="28"/>
  <c r="AD148" i="28"/>
  <c r="AE139" i="28"/>
  <c r="AE134" i="28"/>
  <c r="AE132" i="28"/>
  <c r="AE131" i="28"/>
  <c r="AE129" i="28"/>
  <c r="AE118" i="28"/>
  <c r="AD118" i="28"/>
  <c r="AD95" i="28"/>
  <c r="AE92" i="28"/>
  <c r="AD92" i="28"/>
  <c r="AE90" i="28"/>
  <c r="AD90" i="28"/>
  <c r="AE67" i="28"/>
  <c r="AE61" i="28"/>
  <c r="AE54" i="28"/>
  <c r="AE33" i="28"/>
  <c r="AE18" i="28"/>
  <c r="AD18" i="28"/>
  <c r="AE12" i="28"/>
  <c r="AD12" i="28"/>
  <c r="T265" i="28"/>
  <c r="S269" i="28" s="1"/>
  <c r="O278" i="28"/>
  <c r="I1824" i="66" s="1"/>
  <c r="O273" i="28"/>
  <c r="O242" i="28"/>
  <c r="I1788" i="66" s="1"/>
  <c r="O235" i="28"/>
  <c r="S212" i="28"/>
  <c r="R211" i="28" s="1"/>
  <c r="M211" i="28" s="1"/>
  <c r="AM211" i="28" s="1"/>
  <c r="N6" i="10"/>
  <c r="N7" i="10" s="1"/>
  <c r="O524" i="25"/>
  <c r="N26" i="10"/>
  <c r="O201" i="28"/>
  <c r="O196" i="28"/>
  <c r="A1742" i="66" s="1"/>
  <c r="O192" i="28"/>
  <c r="O188" i="28"/>
  <c r="O185" i="28"/>
  <c r="I1731" i="66" s="1"/>
  <c r="S181" i="28"/>
  <c r="O158" i="28"/>
  <c r="S132" i="28"/>
  <c r="T132" i="28" s="1"/>
  <c r="AD132" i="28" s="1"/>
  <c r="AC132" i="28" s="1"/>
  <c r="S131" i="28"/>
  <c r="T131" i="28" s="1"/>
  <c r="AD131" i="28" s="1"/>
  <c r="AC131" i="28" s="1"/>
  <c r="S129" i="28"/>
  <c r="S134" i="28"/>
  <c r="O134" i="28" s="1"/>
  <c r="S139" i="28"/>
  <c r="T139" i="28" s="1"/>
  <c r="AD139" i="28" s="1"/>
  <c r="AC139" i="28" s="1"/>
  <c r="O118" i="28"/>
  <c r="N1665" i="16" s="1"/>
  <c r="O97" i="28"/>
  <c r="T115" i="28"/>
  <c r="AD115" i="28" s="1"/>
  <c r="T114" i="28"/>
  <c r="AD114" i="28" s="1"/>
  <c r="T104" i="28"/>
  <c r="AD104" i="28" s="1"/>
  <c r="R163" i="28"/>
  <c r="M163" i="28" s="1"/>
  <c r="R179" i="28"/>
  <c r="M179" i="28" s="1"/>
  <c r="R183" i="28"/>
  <c r="R244" i="28"/>
  <c r="R95" i="28"/>
  <c r="AE95" i="28" s="1"/>
  <c r="O92" i="28"/>
  <c r="I1638" i="66" s="1"/>
  <c r="O90" i="28"/>
  <c r="I1636" i="66" s="1"/>
  <c r="R71" i="28"/>
  <c r="AE71" i="28"/>
  <c r="S67" i="28"/>
  <c r="S59" i="28"/>
  <c r="S57" i="28"/>
  <c r="R57" i="28" s="1"/>
  <c r="O54" i="28"/>
  <c r="I1600" i="66" s="1"/>
  <c r="S52" i="28"/>
  <c r="T52" i="28"/>
  <c r="AD52" i="28" s="1"/>
  <c r="S50" i="28"/>
  <c r="T50" i="28" s="1"/>
  <c r="S47" i="28"/>
  <c r="O47" i="28" s="1"/>
  <c r="N1594" i="16" s="1"/>
  <c r="S45" i="28"/>
  <c r="S42" i="28"/>
  <c r="T42" i="28" s="1"/>
  <c r="O18" i="28"/>
  <c r="I1564" i="66" s="1"/>
  <c r="O12" i="28"/>
  <c r="R29" i="28"/>
  <c r="M29" i="28" s="1"/>
  <c r="AM29" i="28" s="1"/>
  <c r="S33" i="28"/>
  <c r="T33" i="28" s="1"/>
  <c r="AD33" i="28" s="1"/>
  <c r="AX43" i="28"/>
  <c r="AY43" i="28"/>
  <c r="AX44" i="28"/>
  <c r="AY44" i="28"/>
  <c r="AX45" i="28"/>
  <c r="AY45" i="28"/>
  <c r="AX36" i="28"/>
  <c r="AY36" i="28"/>
  <c r="AX37" i="28"/>
  <c r="AY37" i="28"/>
  <c r="AX38" i="28"/>
  <c r="AY38" i="28"/>
  <c r="AX39" i="28"/>
  <c r="AY39" i="28"/>
  <c r="AX40" i="28"/>
  <c r="AY40" i="28"/>
  <c r="AX42" i="28"/>
  <c r="AY42" i="28"/>
  <c r="AX31" i="28"/>
  <c r="AY31" i="28"/>
  <c r="AX25" i="28"/>
  <c r="AY25" i="28"/>
  <c r="U79" i="28"/>
  <c r="DS4" i="2" s="1"/>
  <c r="U78" i="28"/>
  <c r="DR4" i="2" s="1"/>
  <c r="U77" i="28"/>
  <c r="DQ4" i="2"/>
  <c r="U76" i="28"/>
  <c r="DP4" i="2" s="1"/>
  <c r="U252" i="28"/>
  <c r="DY4" i="2" s="1"/>
  <c r="U248" i="28"/>
  <c r="DX4" i="2"/>
  <c r="U230" i="28"/>
  <c r="DW4" i="2"/>
  <c r="U211" i="28"/>
  <c r="U183" i="28"/>
  <c r="DU4" i="2"/>
  <c r="U71" i="28"/>
  <c r="DO4" i="2" s="1"/>
  <c r="U59" i="28"/>
  <c r="DN4" i="2" s="1"/>
  <c r="U57" i="28"/>
  <c r="DM4" i="2" s="1"/>
  <c r="U52" i="28"/>
  <c r="DL4" i="2" s="1"/>
  <c r="U50" i="28"/>
  <c r="DK4" i="2"/>
  <c r="U47" i="28"/>
  <c r="DJ4" i="2" s="1"/>
  <c r="U45" i="28"/>
  <c r="DI4" i="2" s="1"/>
  <c r="U42" i="28"/>
  <c r="DH4" i="2" s="1"/>
  <c r="U36" i="28"/>
  <c r="DG4" i="2"/>
  <c r="U29" i="28"/>
  <c r="DF4" i="2"/>
  <c r="U26" i="28"/>
  <c r="U23" i="28"/>
  <c r="DD4" i="2" s="1"/>
  <c r="T12" i="25"/>
  <c r="AD12" i="25" s="1"/>
  <c r="U313" i="25"/>
  <c r="CI4" i="2" s="1"/>
  <c r="U324" i="25"/>
  <c r="CJ4" i="2" s="1"/>
  <c r="AD490" i="25"/>
  <c r="AE357" i="25"/>
  <c r="AE359" i="25"/>
  <c r="AE361" i="25"/>
  <c r="AE426" i="25"/>
  <c r="AE424" i="25"/>
  <c r="AE422" i="25"/>
  <c r="AE420" i="25"/>
  <c r="AE415" i="25"/>
  <c r="AE414" i="25"/>
  <c r="AE411" i="25"/>
  <c r="AE409" i="25"/>
  <c r="AE408" i="25"/>
  <c r="AE407" i="25"/>
  <c r="AE405" i="25"/>
  <c r="AE397" i="25"/>
  <c r="AE369" i="25"/>
  <c r="AE366" i="25"/>
  <c r="AE365" i="25"/>
  <c r="AE364" i="25"/>
  <c r="AE185" i="25"/>
  <c r="I1304" i="66"/>
  <c r="M153" i="29"/>
  <c r="M152" i="29"/>
  <c r="M151" i="29"/>
  <c r="M150" i="29"/>
  <c r="M128" i="29"/>
  <c r="M104" i="29"/>
  <c r="M103" i="29"/>
  <c r="M101" i="29"/>
  <c r="M88" i="29"/>
  <c r="M86" i="29"/>
  <c r="M85" i="29"/>
  <c r="M83" i="29"/>
  <c r="M82" i="29"/>
  <c r="M63" i="29"/>
  <c r="M62" i="29"/>
  <c r="M61" i="29"/>
  <c r="M20" i="29"/>
  <c r="M19" i="29"/>
  <c r="M18" i="29"/>
  <c r="U40" i="25"/>
  <c r="CB4" i="2" s="1"/>
  <c r="U124" i="25"/>
  <c r="U474" i="25"/>
  <c r="CM4" i="2" s="1"/>
  <c r="U576" i="25"/>
  <c r="CP4" i="2" s="1"/>
  <c r="U536" i="25"/>
  <c r="CO4" i="2" s="1"/>
  <c r="AE528" i="25"/>
  <c r="AC528" i="25"/>
  <c r="O528" i="25"/>
  <c r="I1290" i="66" s="1"/>
  <c r="S511" i="25"/>
  <c r="O511" i="25" s="1"/>
  <c r="O502" i="25"/>
  <c r="O497" i="25"/>
  <c r="N1260" i="16" s="1"/>
  <c r="G1261" i="16" s="1"/>
  <c r="O493" i="25"/>
  <c r="O492" i="25"/>
  <c r="O487" i="25"/>
  <c r="I1249" i="66" s="1"/>
  <c r="O484" i="25"/>
  <c r="AO484" i="25" s="1"/>
  <c r="I1246" i="66"/>
  <c r="O467" i="25"/>
  <c r="N1230" i="16" s="1"/>
  <c r="G1231" i="16" s="1"/>
  <c r="U479" i="25"/>
  <c r="CN4" i="2" s="1"/>
  <c r="U470" i="25"/>
  <c r="CL4" i="2" s="1"/>
  <c r="U463" i="25"/>
  <c r="CK4" i="2" s="1"/>
  <c r="O450" i="25"/>
  <c r="I1212" i="66" s="1"/>
  <c r="AE627" i="25"/>
  <c r="AE624" i="25"/>
  <c r="AC624" i="25" s="1"/>
  <c r="AE621" i="25"/>
  <c r="AE620" i="25"/>
  <c r="AE616" i="25"/>
  <c r="AE605" i="25"/>
  <c r="AE603" i="25"/>
  <c r="AE601" i="25"/>
  <c r="AE598" i="25"/>
  <c r="AE597" i="25"/>
  <c r="AE596" i="25"/>
  <c r="AE595" i="25"/>
  <c r="AE594" i="25"/>
  <c r="AE593" i="25"/>
  <c r="AE592" i="25"/>
  <c r="AE591" i="25"/>
  <c r="AE573" i="25"/>
  <c r="AE570" i="25"/>
  <c r="AE568" i="25"/>
  <c r="AE567" i="25"/>
  <c r="AE566" i="25"/>
  <c r="AE565" i="25"/>
  <c r="AD566" i="25"/>
  <c r="AD565" i="25"/>
  <c r="AD567" i="25"/>
  <c r="AC567" i="25" s="1"/>
  <c r="AD568" i="25"/>
  <c r="AD570" i="25"/>
  <c r="AD573" i="25"/>
  <c r="AD624" i="25"/>
  <c r="AD605" i="25"/>
  <c r="AC605" i="25" s="1"/>
  <c r="AD603" i="25"/>
  <c r="AD601" i="25"/>
  <c r="S597" i="25"/>
  <c r="T597" i="25" s="1"/>
  <c r="AD597" i="25" s="1"/>
  <c r="AC597" i="25" s="1"/>
  <c r="S596" i="25"/>
  <c r="T596" i="25" s="1"/>
  <c r="AD596" i="25" s="1"/>
  <c r="S595" i="25"/>
  <c r="T595" i="25" s="1"/>
  <c r="AD595" i="25" s="1"/>
  <c r="S594" i="25"/>
  <c r="T594" i="25" s="1"/>
  <c r="AD594" i="25" s="1"/>
  <c r="AC594" i="25" s="1"/>
  <c r="S593" i="25"/>
  <c r="T593" i="25" s="1"/>
  <c r="AD593" i="25" s="1"/>
  <c r="AC593" i="25" s="1"/>
  <c r="S592" i="25"/>
  <c r="T592" i="25" s="1"/>
  <c r="AD592" i="25" s="1"/>
  <c r="S591" i="25"/>
  <c r="T591" i="25" s="1"/>
  <c r="AD591" i="25" s="1"/>
  <c r="AC591" i="25" s="1"/>
  <c r="S598" i="25"/>
  <c r="T598" i="25" s="1"/>
  <c r="AD598" i="25" s="1"/>
  <c r="S621" i="25"/>
  <c r="S627" i="25"/>
  <c r="T627" i="25" s="1"/>
  <c r="AD627" i="25" s="1"/>
  <c r="S620" i="25"/>
  <c r="T620" i="25" s="1"/>
  <c r="AD620" i="25" s="1"/>
  <c r="AC620" i="25" s="1"/>
  <c r="O624" i="25"/>
  <c r="O601" i="25"/>
  <c r="I1363" i="66" s="1"/>
  <c r="O603" i="25"/>
  <c r="I1365" i="66" s="1"/>
  <c r="O605" i="25"/>
  <c r="O563" i="25"/>
  <c r="AS167" i="27"/>
  <c r="AS165" i="27"/>
  <c r="AS162" i="27"/>
  <c r="AS161" i="27"/>
  <c r="AS160" i="27"/>
  <c r="AS154" i="27"/>
  <c r="AS153" i="27"/>
  <c r="AS151" i="27"/>
  <c r="AS144" i="27"/>
  <c r="AS143" i="27"/>
  <c r="AS141" i="27"/>
  <c r="AS127" i="27"/>
  <c r="AS123" i="27"/>
  <c r="AS119" i="27"/>
  <c r="AS118" i="27"/>
  <c r="AS116" i="27"/>
  <c r="AS110" i="27"/>
  <c r="AS108" i="27"/>
  <c r="AS107" i="27"/>
  <c r="AS106" i="27"/>
  <c r="AS102" i="27"/>
  <c r="AS100" i="27"/>
  <c r="AS98" i="27"/>
  <c r="AS94" i="27"/>
  <c r="AS91" i="27"/>
  <c r="AS85" i="27"/>
  <c r="AS83" i="27"/>
  <c r="AS78" i="27"/>
  <c r="AS77" i="27"/>
  <c r="AS73" i="27"/>
  <c r="AS68" i="27"/>
  <c r="AS63" i="27"/>
  <c r="AS54" i="27"/>
  <c r="AS47" i="27"/>
  <c r="AS46" i="27"/>
  <c r="AS41" i="27"/>
  <c r="AS36" i="27"/>
  <c r="AS25" i="27"/>
  <c r="AQ167" i="27"/>
  <c r="AQ165" i="27"/>
  <c r="AQ162" i="27"/>
  <c r="AQ161" i="27"/>
  <c r="AQ160" i="27"/>
  <c r="AQ155" i="27"/>
  <c r="AQ153" i="27"/>
  <c r="AQ151" i="27"/>
  <c r="AQ144" i="27"/>
  <c r="AQ143" i="27"/>
  <c r="AQ141" i="27"/>
  <c r="AQ127" i="27"/>
  <c r="AQ123" i="27"/>
  <c r="AQ119" i="27"/>
  <c r="AQ118" i="27"/>
  <c r="AQ116" i="27"/>
  <c r="AQ110" i="27"/>
  <c r="AQ108" i="27"/>
  <c r="AQ107" i="27"/>
  <c r="AQ106" i="27"/>
  <c r="AQ102" i="27"/>
  <c r="AQ100" i="27"/>
  <c r="AQ98" i="27"/>
  <c r="AQ94" i="27"/>
  <c r="AQ91" i="27"/>
  <c r="AQ85" i="27"/>
  <c r="AQ78" i="27"/>
  <c r="AQ77" i="27"/>
  <c r="AQ73" i="27"/>
  <c r="AQ68" i="27"/>
  <c r="AQ63" i="27"/>
  <c r="AQ54" i="27"/>
  <c r="AQ47" i="27"/>
  <c r="AQ46" i="27"/>
  <c r="AQ41" i="27"/>
  <c r="AM167" i="27"/>
  <c r="AM165" i="27"/>
  <c r="AM162" i="27"/>
  <c r="AM157" i="27"/>
  <c r="AM154" i="27"/>
  <c r="AM153" i="27"/>
  <c r="AM151" i="27"/>
  <c r="AM144" i="27"/>
  <c r="AM143" i="27"/>
  <c r="AM141" i="27"/>
  <c r="AM135" i="27"/>
  <c r="AM133" i="27"/>
  <c r="AM132" i="27"/>
  <c r="AM131" i="27"/>
  <c r="AM128" i="27"/>
  <c r="AM123" i="27"/>
  <c r="AM119" i="27"/>
  <c r="AM118" i="27"/>
  <c r="AM116" i="27"/>
  <c r="AM108" i="27"/>
  <c r="AM107" i="27"/>
  <c r="AM106" i="27"/>
  <c r="AM102" i="27"/>
  <c r="AM100" i="27"/>
  <c r="AM98" i="27"/>
  <c r="AM94" i="27"/>
  <c r="AM85" i="27"/>
  <c r="AM78" i="27"/>
  <c r="AM77" i="27"/>
  <c r="AM73" i="27"/>
  <c r="AM68" i="27"/>
  <c r="AM67" i="27"/>
  <c r="AM66" i="27"/>
  <c r="AM65" i="27"/>
  <c r="AM54" i="27"/>
  <c r="AM48" i="27"/>
  <c r="AM47" i="27"/>
  <c r="AM46" i="27"/>
  <c r="AM41" i="27"/>
  <c r="AM36" i="27"/>
  <c r="AM34" i="27"/>
  <c r="AM31" i="27"/>
  <c r="AM29" i="27"/>
  <c r="AM27" i="27"/>
  <c r="AM25" i="27"/>
  <c r="AQ12" i="27"/>
  <c r="T155" i="27"/>
  <c r="AD155" i="27" s="1"/>
  <c r="AC155" i="27" s="1"/>
  <c r="T141" i="27"/>
  <c r="AD141" i="27" s="1"/>
  <c r="AC141" i="27" s="1"/>
  <c r="T127" i="27"/>
  <c r="AD127" i="27" s="1"/>
  <c r="AC127" i="27" s="1"/>
  <c r="AD144" i="27"/>
  <c r="AC144" i="27" s="1"/>
  <c r="AD143" i="27"/>
  <c r="AC143" i="27" s="1"/>
  <c r="S153" i="27"/>
  <c r="T153" i="27" s="1"/>
  <c r="AD153" i="27" s="1"/>
  <c r="AC153" i="27" s="1"/>
  <c r="S151" i="27"/>
  <c r="T151" i="27" s="1"/>
  <c r="AD151" i="27" s="1"/>
  <c r="AC151" i="27" s="1"/>
  <c r="T160" i="27"/>
  <c r="AD160" i="27" s="1"/>
  <c r="AC160" i="27" s="1"/>
  <c r="T161" i="27"/>
  <c r="AD161" i="27" s="1"/>
  <c r="AC161" i="27" s="1"/>
  <c r="T162" i="27"/>
  <c r="AD162" i="27" s="1"/>
  <c r="AC162" i="27" s="1"/>
  <c r="T165" i="27"/>
  <c r="AD165" i="27" s="1"/>
  <c r="AC165" i="27" s="1"/>
  <c r="S167" i="27"/>
  <c r="T167" i="27"/>
  <c r="AD167" i="27"/>
  <c r="AC167" i="27" s="1"/>
  <c r="O157" i="27"/>
  <c r="O154" i="27"/>
  <c r="U151" i="27"/>
  <c r="DC4" i="2" s="1"/>
  <c r="O165" i="27"/>
  <c r="I1550" i="66"/>
  <c r="O162" i="27"/>
  <c r="I1547" i="66" s="1"/>
  <c r="U141" i="27"/>
  <c r="DB4" i="2"/>
  <c r="S123" i="27"/>
  <c r="S107" i="27"/>
  <c r="T107" i="27" s="1"/>
  <c r="AD107" i="27" s="1"/>
  <c r="AC107" i="27" s="1"/>
  <c r="AE94" i="27"/>
  <c r="AE85" i="27"/>
  <c r="AE78" i="27"/>
  <c r="AD78" i="27"/>
  <c r="AE73" i="27"/>
  <c r="AE68" i="27"/>
  <c r="AE63" i="27"/>
  <c r="AE54" i="27"/>
  <c r="AE47" i="27"/>
  <c r="AE12" i="27"/>
  <c r="S110" i="27"/>
  <c r="T110" i="27" s="1"/>
  <c r="AD110" i="27" s="1"/>
  <c r="R110" i="27"/>
  <c r="AE110" i="27" s="1"/>
  <c r="S102" i="27"/>
  <c r="T102" i="27" s="1"/>
  <c r="AD102" i="27" s="1"/>
  <c r="AC102" i="27" s="1"/>
  <c r="O102" i="27"/>
  <c r="S106" i="27"/>
  <c r="S108" i="27"/>
  <c r="T108" i="27" s="1"/>
  <c r="AD108" i="27" s="1"/>
  <c r="AC108" i="27" s="1"/>
  <c r="S116" i="27"/>
  <c r="O116" i="27" s="1"/>
  <c r="S118" i="27"/>
  <c r="T118" i="27" s="1"/>
  <c r="AD118" i="27" s="1"/>
  <c r="AC118" i="27"/>
  <c r="T85" i="27"/>
  <c r="AD85" i="27" s="1"/>
  <c r="AC85" i="27" s="1"/>
  <c r="U94" i="27"/>
  <c r="CY4" i="2" s="1"/>
  <c r="U85" i="27"/>
  <c r="CX4" i="2" s="1"/>
  <c r="S91" i="27"/>
  <c r="T91" i="27" s="1"/>
  <c r="AD91" i="27" s="1"/>
  <c r="AC91" i="27" s="1"/>
  <c r="U78" i="27"/>
  <c r="CW4" i="2"/>
  <c r="T73" i="27"/>
  <c r="AD73" i="27" s="1"/>
  <c r="T68" i="27"/>
  <c r="AD68" i="27" s="1"/>
  <c r="T54" i="27"/>
  <c r="AD54" i="27" s="1"/>
  <c r="T47" i="27"/>
  <c r="AD47" i="27" s="1"/>
  <c r="T46" i="27"/>
  <c r="AD46" i="27" s="1"/>
  <c r="AC46" i="27" s="1"/>
  <c r="S77" i="27"/>
  <c r="U73" i="27"/>
  <c r="CV4" i="2" s="1"/>
  <c r="U68" i="27"/>
  <c r="CU4" i="2" s="1"/>
  <c r="S63" i="27"/>
  <c r="T63" i="27" s="1"/>
  <c r="AD63" i="27" s="1"/>
  <c r="AC63" i="27" s="1"/>
  <c r="U63" i="27"/>
  <c r="CT4" i="2" s="1"/>
  <c r="S41" i="27"/>
  <c r="U54" i="27"/>
  <c r="CS4" i="2"/>
  <c r="O46" i="27"/>
  <c r="AE184" i="25"/>
  <c r="O183" i="25"/>
  <c r="A945" i="66" s="1"/>
  <c r="AE176" i="25"/>
  <c r="AE178" i="25"/>
  <c r="C7" i="10"/>
  <c r="AX36" i="25"/>
  <c r="AY36" i="25"/>
  <c r="AX37" i="25"/>
  <c r="AY37" i="25"/>
  <c r="AX38" i="25"/>
  <c r="AY38" i="25"/>
  <c r="AX39" i="25"/>
  <c r="AY39" i="25"/>
  <c r="AX40" i="25"/>
  <c r="AY40" i="25"/>
  <c r="AX42" i="25"/>
  <c r="AY42" i="25"/>
  <c r="AX43" i="25"/>
  <c r="AY43" i="25"/>
  <c r="AX44" i="25"/>
  <c r="AY44" i="25"/>
  <c r="AX45" i="25"/>
  <c r="AY45" i="25"/>
  <c r="AX25" i="25"/>
  <c r="AY25" i="25"/>
  <c r="I4" i="8"/>
  <c r="I4" i="24"/>
  <c r="I4" i="28"/>
  <c r="I4" i="29"/>
  <c r="Z12" i="23"/>
  <c r="BI778" i="16"/>
  <c r="Q12" i="7"/>
  <c r="BI15" i="25"/>
  <c r="CC4" i="2"/>
  <c r="N4" i="2"/>
  <c r="J4" i="2"/>
  <c r="K4" i="2"/>
  <c r="L4" i="2"/>
  <c r="M4" i="2"/>
  <c r="S68" i="16"/>
  <c r="S71" i="16" s="1"/>
  <c r="T71" i="16" s="1"/>
  <c r="AD71" i="16" s="1"/>
  <c r="AC71" i="16" s="1"/>
  <c r="S69" i="8"/>
  <c r="S79" i="8" s="1"/>
  <c r="O79" i="8" s="1"/>
  <c r="AO79" i="8" s="1"/>
  <c r="O69" i="8"/>
  <c r="AD16" i="8"/>
  <c r="AC16" i="8" s="1"/>
  <c r="O27" i="8"/>
  <c r="I25" i="66" s="1"/>
  <c r="O26" i="16"/>
  <c r="E26" i="76" s="1"/>
  <c r="S17" i="16"/>
  <c r="S16" i="16"/>
  <c r="S18" i="8"/>
  <c r="T18" i="8"/>
  <c r="S17" i="8"/>
  <c r="T17" i="8" s="1"/>
  <c r="AD17" i="8" s="1"/>
  <c r="AC17" i="8" s="1"/>
  <c r="AS245" i="16"/>
  <c r="AS235" i="16"/>
  <c r="AS229" i="16"/>
  <c r="AS225" i="16"/>
  <c r="AS224" i="16"/>
  <c r="AS222" i="16"/>
  <c r="Y245" i="16"/>
  <c r="Y235" i="16"/>
  <c r="Y229" i="16"/>
  <c r="Y225" i="16"/>
  <c r="Y224" i="16"/>
  <c r="Y222" i="16"/>
  <c r="AS246" i="8"/>
  <c r="AS236" i="8"/>
  <c r="AS230" i="8"/>
  <c r="AS226" i="8"/>
  <c r="AS225" i="8"/>
  <c r="AS223" i="8"/>
  <c r="AE757" i="16"/>
  <c r="AE503" i="24"/>
  <c r="AC503" i="24" s="1"/>
  <c r="AX283" i="16"/>
  <c r="AX284" i="16"/>
  <c r="AX285" i="16"/>
  <c r="AX286" i="16"/>
  <c r="AX287" i="16"/>
  <c r="AX288" i="16"/>
  <c r="AX289" i="16"/>
  <c r="AX290" i="16"/>
  <c r="AX291" i="16"/>
  <c r="AX292" i="16"/>
  <c r="AX294" i="16"/>
  <c r="AX295" i="16"/>
  <c r="AX296" i="16"/>
  <c r="AX297" i="16"/>
  <c r="AX298" i="16"/>
  <c r="AX299" i="16"/>
  <c r="AX300" i="16"/>
  <c r="AX302" i="16"/>
  <c r="AX303" i="16"/>
  <c r="AX282" i="16"/>
  <c r="Y765" i="16"/>
  <c r="Y756" i="16"/>
  <c r="Y749" i="16"/>
  <c r="Y747" i="16"/>
  <c r="Y743" i="16"/>
  <c r="Y742" i="16"/>
  <c r="Y741" i="16"/>
  <c r="Y739" i="16"/>
  <c r="Y737" i="16"/>
  <c r="Y733" i="16"/>
  <c r="Y728" i="16"/>
  <c r="Y724" i="16"/>
  <c r="Y723" i="16"/>
  <c r="Y722" i="16"/>
  <c r="Y721" i="16"/>
  <c r="Y720" i="16"/>
  <c r="Y719" i="16"/>
  <c r="Y718" i="16"/>
  <c r="Y707" i="16"/>
  <c r="Y700" i="16"/>
  <c r="Y694" i="16"/>
  <c r="Y688" i="16"/>
  <c r="Y682" i="16"/>
  <c r="Y675" i="16"/>
  <c r="Y668" i="16"/>
  <c r="Y662" i="16"/>
  <c r="Y655" i="16"/>
  <c r="Y646" i="16"/>
  <c r="Y633" i="16"/>
  <c r="Y630" i="16"/>
  <c r="Y621" i="16"/>
  <c r="Y618" i="16"/>
  <c r="Y617" i="16"/>
  <c r="Y615" i="16"/>
  <c r="Y606" i="16"/>
  <c r="Y604" i="16"/>
  <c r="Y603" i="16"/>
  <c r="Y601" i="16"/>
  <c r="Y600" i="16"/>
  <c r="Y573" i="16"/>
  <c r="Y568" i="16"/>
  <c r="Y567" i="16"/>
  <c r="Y560" i="16"/>
  <c r="Y547" i="16"/>
  <c r="Y532" i="16"/>
  <c r="Y526" i="16"/>
  <c r="Y524" i="16"/>
  <c r="Y522" i="16"/>
  <c r="Y520" i="16"/>
  <c r="Y516" i="16"/>
  <c r="Y509" i="16"/>
  <c r="Y503" i="16"/>
  <c r="Y499" i="16"/>
  <c r="Y497" i="16"/>
  <c r="Y492" i="16"/>
  <c r="Y488" i="16"/>
  <c r="Y485" i="16"/>
  <c r="Y484" i="16"/>
  <c r="Y482" i="16"/>
  <c r="Y477" i="16"/>
  <c r="Y476" i="16"/>
  <c r="Y474" i="16"/>
  <c r="Y468" i="16"/>
  <c r="Y465" i="16"/>
  <c r="Y463" i="16"/>
  <c r="Y451" i="16"/>
  <c r="Y449" i="16"/>
  <c r="Y447" i="16"/>
  <c r="Y441" i="16"/>
  <c r="Y437" i="16"/>
  <c r="Y436" i="16"/>
  <c r="Y433" i="16"/>
  <c r="Y423" i="16"/>
  <c r="Y415" i="16"/>
  <c r="Y411" i="16"/>
  <c r="Y409" i="16"/>
  <c r="Y407" i="16"/>
  <c r="Y404" i="16"/>
  <c r="Y402" i="16"/>
  <c r="Y389" i="16"/>
  <c r="Y380" i="16"/>
  <c r="Y377" i="16"/>
  <c r="Y375" i="16"/>
  <c r="Y371" i="16"/>
  <c r="Y369" i="16"/>
  <c r="Y363" i="16"/>
  <c r="Y361" i="16"/>
  <c r="Y356" i="16"/>
  <c r="Y354" i="16"/>
  <c r="Y351" i="16"/>
  <c r="Y340" i="16"/>
  <c r="Y332" i="16"/>
  <c r="Y314" i="16"/>
  <c r="Y309" i="16"/>
  <c r="Y308" i="16"/>
  <c r="Y307" i="16"/>
  <c r="Y306" i="16"/>
  <c r="Y305" i="16"/>
  <c r="Y304" i="16"/>
  <c r="Y298" i="16"/>
  <c r="Y297" i="16"/>
  <c r="Y296" i="16"/>
  <c r="Y295" i="16"/>
  <c r="Y294" i="16"/>
  <c r="Y293" i="16"/>
  <c r="Y289" i="16"/>
  <c r="Y286" i="16"/>
  <c r="Y283" i="16"/>
  <c r="Y257" i="16"/>
  <c r="Y255" i="16"/>
  <c r="Y254" i="16"/>
  <c r="Y248" i="16"/>
  <c r="Y215" i="16"/>
  <c r="Y207" i="16"/>
  <c r="Y206" i="16"/>
  <c r="Y203" i="16"/>
  <c r="Y199" i="16"/>
  <c r="Y197" i="16"/>
  <c r="Y195" i="16"/>
  <c r="Y194" i="16"/>
  <c r="Y192" i="16"/>
  <c r="Y189" i="16"/>
  <c r="Y182" i="16"/>
  <c r="Y177" i="16"/>
  <c r="Y169" i="16"/>
  <c r="Y163" i="16"/>
  <c r="Y156" i="16"/>
  <c r="Y154" i="16"/>
  <c r="Y152" i="16"/>
  <c r="Y150" i="16"/>
  <c r="Y147" i="16"/>
  <c r="Y145" i="16"/>
  <c r="Y140" i="16"/>
  <c r="Y139" i="16"/>
  <c r="Y134" i="16"/>
  <c r="Y132" i="16"/>
  <c r="Y130" i="16"/>
  <c r="Y128" i="16"/>
  <c r="Y122" i="16"/>
  <c r="Y118" i="16"/>
  <c r="Y113" i="16"/>
  <c r="Y106" i="16"/>
  <c r="Y102" i="16"/>
  <c r="Y99" i="16"/>
  <c r="Y92" i="16"/>
  <c r="Y79" i="16"/>
  <c r="Y66" i="16"/>
  <c r="Y54" i="16"/>
  <c r="Y49" i="16"/>
  <c r="Y44" i="16"/>
  <c r="Y267" i="16"/>
  <c r="S733" i="16"/>
  <c r="T733" i="16" s="1"/>
  <c r="AD733" i="16" s="1"/>
  <c r="AC733" i="16" s="1"/>
  <c r="S737" i="16"/>
  <c r="T737" i="16" s="1"/>
  <c r="AD737" i="16" s="1"/>
  <c r="AC737" i="16" s="1"/>
  <c r="BD269" i="16"/>
  <c r="BC269" i="16"/>
  <c r="AX280" i="16"/>
  <c r="AX278" i="16"/>
  <c r="AX277" i="16"/>
  <c r="AX275" i="16"/>
  <c r="AX274" i="16"/>
  <c r="AX273" i="16"/>
  <c r="AX271" i="16"/>
  <c r="AX270" i="16"/>
  <c r="AX269" i="16"/>
  <c r="AX268" i="16"/>
  <c r="AX267" i="16"/>
  <c r="AX266" i="16"/>
  <c r="AX265" i="16"/>
  <c r="AQ767" i="16"/>
  <c r="AE767" i="16"/>
  <c r="AS765" i="16"/>
  <c r="AQ757" i="16"/>
  <c r="AS756" i="16"/>
  <c r="AM751" i="16"/>
  <c r="AS749" i="16"/>
  <c r="AQ749" i="16"/>
  <c r="AM749" i="16"/>
  <c r="AS747" i="16"/>
  <c r="AQ747" i="16"/>
  <c r="AM747" i="16"/>
  <c r="AS743" i="16"/>
  <c r="AQ743" i="16"/>
  <c r="AM743" i="16"/>
  <c r="AS742" i="16"/>
  <c r="AQ742" i="16"/>
  <c r="AM742" i="16"/>
  <c r="AS741" i="16"/>
  <c r="AQ741" i="16"/>
  <c r="AM741" i="16"/>
  <c r="AS739" i="16"/>
  <c r="AQ739" i="16"/>
  <c r="AM739" i="16"/>
  <c r="AS737" i="16"/>
  <c r="AQ737" i="16"/>
  <c r="AM737" i="16"/>
  <c r="AS733" i="16"/>
  <c r="AQ733" i="16"/>
  <c r="AM733" i="16"/>
  <c r="AS728" i="16"/>
  <c r="AQ728" i="16"/>
  <c r="AM728" i="16"/>
  <c r="AM726" i="16"/>
  <c r="AS724" i="16"/>
  <c r="AQ724" i="16"/>
  <c r="AM724" i="16"/>
  <c r="AD724" i="16"/>
  <c r="AC724" i="16"/>
  <c r="AS723" i="16"/>
  <c r="AQ723" i="16"/>
  <c r="AM723" i="16"/>
  <c r="AD723" i="16"/>
  <c r="AC723" i="16" s="1"/>
  <c r="AS722" i="16"/>
  <c r="AQ722" i="16"/>
  <c r="AM722" i="16"/>
  <c r="AD722" i="16"/>
  <c r="AC722" i="16" s="1"/>
  <c r="AS721" i="16"/>
  <c r="AQ721" i="16"/>
  <c r="AM721" i="16"/>
  <c r="AD721" i="16"/>
  <c r="AC721" i="16" s="1"/>
  <c r="AS720" i="16"/>
  <c r="AQ720" i="16"/>
  <c r="AM720" i="16"/>
  <c r="AD720" i="16"/>
  <c r="AC720" i="16" s="1"/>
  <c r="AS719" i="16"/>
  <c r="AQ719" i="16"/>
  <c r="AM719" i="16"/>
  <c r="AD719" i="16"/>
  <c r="AC719" i="16" s="1"/>
  <c r="AS718" i="16"/>
  <c r="AQ718" i="16"/>
  <c r="AM718" i="16"/>
  <c r="AD718" i="16"/>
  <c r="AC718" i="16" s="1"/>
  <c r="AM715" i="16"/>
  <c r="AS707" i="16"/>
  <c r="AQ707" i="16"/>
  <c r="AM707" i="16"/>
  <c r="AE707" i="16"/>
  <c r="AF707" i="16" s="1"/>
  <c r="AQ701" i="16"/>
  <c r="AE701" i="16"/>
  <c r="AF701" i="16" s="1"/>
  <c r="AS700" i="16"/>
  <c r="AQ695" i="16"/>
  <c r="AE695" i="16"/>
  <c r="AF695" i="16" s="1"/>
  <c r="AS694" i="16"/>
  <c r="AQ689" i="16"/>
  <c r="AE689" i="16"/>
  <c r="AF689" i="16" s="1"/>
  <c r="AS688" i="16"/>
  <c r="AQ683" i="16"/>
  <c r="AE683" i="16"/>
  <c r="AS682" i="16"/>
  <c r="AM682" i="16"/>
  <c r="AQ677" i="16"/>
  <c r="AE677" i="16"/>
  <c r="AF677" i="16" s="1"/>
  <c r="AS675" i="16"/>
  <c r="AQ670" i="16"/>
  <c r="AE670" i="16"/>
  <c r="AF670" i="16" s="1"/>
  <c r="AS668" i="16"/>
  <c r="AM668" i="16"/>
  <c r="AM664" i="16"/>
  <c r="AS662" i="16"/>
  <c r="AQ662" i="16"/>
  <c r="AM662" i="16"/>
  <c r="AS655" i="16"/>
  <c r="AQ655" i="16"/>
  <c r="AM655" i="16"/>
  <c r="AS646" i="16"/>
  <c r="AQ646" i="16"/>
  <c r="AM646" i="16"/>
  <c r="AQ634" i="16"/>
  <c r="AE634" i="16"/>
  <c r="AF634" i="16" s="1"/>
  <c r="AS633" i="16"/>
  <c r="AQ631" i="16"/>
  <c r="AE631" i="16"/>
  <c r="AF631" i="16" s="1"/>
  <c r="AS630" i="16"/>
  <c r="AM630" i="16"/>
  <c r="AS621" i="16"/>
  <c r="AQ621" i="16"/>
  <c r="AM621" i="16"/>
  <c r="AE621" i="16"/>
  <c r="AF621" i="16" s="1"/>
  <c r="AS618" i="16"/>
  <c r="AQ618" i="16"/>
  <c r="AM618" i="16"/>
  <c r="AS617" i="16"/>
  <c r="AQ617" i="16"/>
  <c r="AM617" i="16"/>
  <c r="AS615" i="16"/>
  <c r="AQ615" i="16"/>
  <c r="AM615" i="16"/>
  <c r="AS606" i="16"/>
  <c r="AQ606" i="16"/>
  <c r="AM606" i="16"/>
  <c r="AE606" i="16"/>
  <c r="AS604" i="16"/>
  <c r="AQ604" i="16"/>
  <c r="AE604" i="16"/>
  <c r="AF604" i="16" s="1"/>
  <c r="AS603" i="16"/>
  <c r="AQ603" i="16"/>
  <c r="AM603" i="16"/>
  <c r="AE603" i="16"/>
  <c r="AF603" i="16" s="1"/>
  <c r="AS601" i="16"/>
  <c r="AQ601" i="16"/>
  <c r="AE601" i="16"/>
  <c r="AF601" i="16" s="1"/>
  <c r="AS600" i="16"/>
  <c r="AQ600" i="16"/>
  <c r="AM600" i="16"/>
  <c r="AE600" i="16"/>
  <c r="AF600" i="16" s="1"/>
  <c r="AM587" i="16"/>
  <c r="AM585" i="16"/>
  <c r="AM583" i="16"/>
  <c r="AQ580" i="16"/>
  <c r="AE580" i="16"/>
  <c r="AF580" i="16" s="1"/>
  <c r="AQ579" i="16"/>
  <c r="AQ578" i="16"/>
  <c r="AQ577" i="16"/>
  <c r="AQ576" i="16"/>
  <c r="AQ575" i="16"/>
  <c r="AQ574" i="16"/>
  <c r="AS573" i="16"/>
  <c r="AQ573" i="16"/>
  <c r="AS568" i="16"/>
  <c r="AQ568" i="16"/>
  <c r="AE568" i="16"/>
  <c r="AS567" i="16"/>
  <c r="AQ567" i="16"/>
  <c r="AE567" i="16"/>
  <c r="AF567" i="16" s="1"/>
  <c r="AQ566" i="16"/>
  <c r="AQ565" i="16"/>
  <c r="AQ564" i="16"/>
  <c r="AQ563" i="16"/>
  <c r="AQ562" i="16"/>
  <c r="AQ561" i="16"/>
  <c r="AS560" i="16"/>
  <c r="AQ560" i="16"/>
  <c r="AM559" i="16"/>
  <c r="AM558" i="16"/>
  <c r="AM556" i="16"/>
  <c r="AS547" i="16"/>
  <c r="AQ547" i="16"/>
  <c r="AM547" i="16"/>
  <c r="AQ545" i="16"/>
  <c r="AS532" i="16"/>
  <c r="AQ532" i="16"/>
  <c r="AM532" i="16"/>
  <c r="AQ527" i="16"/>
  <c r="AE527" i="16"/>
  <c r="AS526" i="16"/>
  <c r="AQ525" i="16"/>
  <c r="AE525" i="16"/>
  <c r="AS524" i="16"/>
  <c r="AQ523" i="16"/>
  <c r="AE523" i="16"/>
  <c r="AF523" i="16" s="1"/>
  <c r="AS522" i="16"/>
  <c r="AQ521" i="16"/>
  <c r="AE521" i="16"/>
  <c r="AF521" i="16" s="1"/>
  <c r="AS520" i="16"/>
  <c r="AM520" i="16"/>
  <c r="AS516" i="16"/>
  <c r="AQ516" i="16"/>
  <c r="AM516" i="16"/>
  <c r="AE516" i="16"/>
  <c r="AF516" i="16" s="1"/>
  <c r="AS509" i="16"/>
  <c r="AQ509" i="16"/>
  <c r="AM509" i="16"/>
  <c r="AE509" i="16"/>
  <c r="AF509" i="16" s="1"/>
  <c r="AS503" i="16"/>
  <c r="AQ503" i="16"/>
  <c r="AM503" i="16"/>
  <c r="AE503" i="16"/>
  <c r="AF503" i="16" s="1"/>
  <c r="AS499" i="16"/>
  <c r="AQ499" i="16"/>
  <c r="AM499" i="16"/>
  <c r="AS497" i="16"/>
  <c r="AQ497" i="16"/>
  <c r="AM497" i="16"/>
  <c r="AS492" i="16"/>
  <c r="AQ492" i="16"/>
  <c r="AE492" i="16"/>
  <c r="AF492" i="16" s="1"/>
  <c r="AD492" i="16"/>
  <c r="AS488" i="16"/>
  <c r="AQ488" i="16"/>
  <c r="AM488" i="16"/>
  <c r="AS485" i="16"/>
  <c r="AQ485" i="16"/>
  <c r="AS484" i="16"/>
  <c r="AQ484" i="16"/>
  <c r="AS482" i="16"/>
  <c r="AQ482" i="16"/>
  <c r="AM478" i="16"/>
  <c r="AS477" i="16"/>
  <c r="AQ477" i="16"/>
  <c r="AM477" i="16"/>
  <c r="AS476" i="16"/>
  <c r="AQ476" i="16"/>
  <c r="AM476" i="16"/>
  <c r="AS474" i="16"/>
  <c r="AQ474" i="16"/>
  <c r="AD474" i="16"/>
  <c r="AS468" i="16"/>
  <c r="AQ468" i="16"/>
  <c r="AD468" i="16"/>
  <c r="AS465" i="16"/>
  <c r="AQ465" i="16"/>
  <c r="AM465" i="16"/>
  <c r="AS463" i="16"/>
  <c r="AQ463" i="16"/>
  <c r="AD463" i="16"/>
  <c r="AS451" i="16"/>
  <c r="AQ451" i="16"/>
  <c r="AM450" i="16"/>
  <c r="AS449" i="16"/>
  <c r="AQ449" i="16"/>
  <c r="AM449" i="16"/>
  <c r="AS447" i="16"/>
  <c r="AQ447" i="16"/>
  <c r="AM447" i="16"/>
  <c r="AM445" i="16"/>
  <c r="AM442" i="16"/>
  <c r="AS441" i="16"/>
  <c r="AQ441" i="16"/>
  <c r="AS437" i="16"/>
  <c r="AQ437" i="16"/>
  <c r="AM437" i="16"/>
  <c r="AS436" i="16"/>
  <c r="AQ436" i="16"/>
  <c r="AM436" i="16"/>
  <c r="AS433" i="16"/>
  <c r="AQ433" i="16"/>
  <c r="AM433" i="16"/>
  <c r="AS423" i="16"/>
  <c r="AQ423" i="16"/>
  <c r="AE423" i="16"/>
  <c r="AF423" i="16" s="1"/>
  <c r="AD423" i="16"/>
  <c r="AS415" i="16"/>
  <c r="AQ415" i="16"/>
  <c r="AD415" i="16"/>
  <c r="AS411" i="16"/>
  <c r="AQ411" i="16"/>
  <c r="AM411" i="16"/>
  <c r="AS409" i="16"/>
  <c r="AQ409" i="16"/>
  <c r="AM409" i="16"/>
  <c r="AS407" i="16"/>
  <c r="AQ407" i="16"/>
  <c r="AM407" i="16"/>
  <c r="AS404" i="16"/>
  <c r="AQ404" i="16"/>
  <c r="AD404" i="16"/>
  <c r="AS402" i="16"/>
  <c r="AQ402" i="16"/>
  <c r="AM402" i="16"/>
  <c r="AQ397" i="16"/>
  <c r="AM397" i="16"/>
  <c r="AQ393" i="16"/>
  <c r="AM393" i="16"/>
  <c r="AS389" i="16"/>
  <c r="AQ389" i="16"/>
  <c r="AM389" i="16"/>
  <c r="AQ383" i="16"/>
  <c r="AM383" i="16"/>
  <c r="AQ381" i="16"/>
  <c r="AM381" i="16"/>
  <c r="AS380" i="16"/>
  <c r="AQ380" i="16"/>
  <c r="AS377" i="16"/>
  <c r="AQ377" i="16"/>
  <c r="AS375" i="16"/>
  <c r="AQ375" i="16"/>
  <c r="AM375" i="16"/>
  <c r="AS371" i="16"/>
  <c r="AQ371" i="16"/>
  <c r="AS369" i="16"/>
  <c r="AQ369" i="16"/>
  <c r="AM369" i="16"/>
  <c r="AS363" i="16"/>
  <c r="AQ363" i="16"/>
  <c r="AM363" i="16"/>
  <c r="AS361" i="16"/>
  <c r="AQ361" i="16"/>
  <c r="AQ359" i="16"/>
  <c r="AQ358" i="16"/>
  <c r="AS356" i="16"/>
  <c r="AM356" i="16"/>
  <c r="AS354" i="16"/>
  <c r="AQ354" i="16"/>
  <c r="AM354" i="16"/>
  <c r="AS351" i="16"/>
  <c r="AQ351" i="16"/>
  <c r="AS340" i="16"/>
  <c r="AQ340" i="16"/>
  <c r="AM340" i="16"/>
  <c r="AE340" i="16"/>
  <c r="AF340" i="16" s="1"/>
  <c r="AS332" i="16"/>
  <c r="AQ332" i="16"/>
  <c r="AM332" i="16"/>
  <c r="AE332" i="16"/>
  <c r="AF332" i="16" s="1"/>
  <c r="AM330" i="16"/>
  <c r="AM328" i="16"/>
  <c r="AM327" i="16"/>
  <c r="AQ325" i="16"/>
  <c r="AQ323" i="16"/>
  <c r="AQ319" i="16"/>
  <c r="AQ318" i="16"/>
  <c r="AQ317" i="16"/>
  <c r="AS314" i="16"/>
  <c r="AM314" i="16"/>
  <c r="AM313" i="16"/>
  <c r="AM312" i="16"/>
  <c r="AQ310" i="16"/>
  <c r="AS309" i="16"/>
  <c r="AM309" i="16"/>
  <c r="AS308" i="16"/>
  <c r="AQ308" i="16"/>
  <c r="AM308" i="16"/>
  <c r="AS307" i="16"/>
  <c r="AQ307" i="16"/>
  <c r="AM307" i="16"/>
  <c r="AS306" i="16"/>
  <c r="AQ306" i="16"/>
  <c r="AM306" i="16"/>
  <c r="AS305" i="16"/>
  <c r="AQ305" i="16"/>
  <c r="AM305" i="16"/>
  <c r="AS304" i="16"/>
  <c r="AQ304" i="16"/>
  <c r="AM304" i="16"/>
  <c r="AM301" i="16"/>
  <c r="AS298" i="16"/>
  <c r="AQ298" i="16"/>
  <c r="AM298" i="16"/>
  <c r="AS297" i="16"/>
  <c r="AQ297" i="16"/>
  <c r="AM297" i="16"/>
  <c r="AS296" i="16"/>
  <c r="AQ296" i="16"/>
  <c r="AM296" i="16"/>
  <c r="AS295" i="16"/>
  <c r="AQ295" i="16"/>
  <c r="AM295" i="16"/>
  <c r="AS294" i="16"/>
  <c r="AQ294" i="16"/>
  <c r="AM294" i="16"/>
  <c r="AS293" i="16"/>
  <c r="AQ293" i="16"/>
  <c r="AM293" i="16"/>
  <c r="AS289" i="16"/>
  <c r="AQ289" i="16"/>
  <c r="AM289" i="16"/>
  <c r="AS286" i="16"/>
  <c r="AQ286" i="16"/>
  <c r="AM286" i="16"/>
  <c r="AS283" i="16"/>
  <c r="AQ283" i="16"/>
  <c r="AM283" i="16"/>
  <c r="AM275" i="16"/>
  <c r="AM274" i="16"/>
  <c r="AM273" i="16"/>
  <c r="AM272" i="16"/>
  <c r="AM271" i="16"/>
  <c r="AC270" i="16"/>
  <c r="AS267" i="16"/>
  <c r="O35" i="16"/>
  <c r="E35" i="76" s="1"/>
  <c r="O751" i="16"/>
  <c r="E751" i="76" s="1"/>
  <c r="O715" i="16"/>
  <c r="E715" i="76" s="1"/>
  <c r="U707" i="16"/>
  <c r="U701" i="16"/>
  <c r="S701" i="16"/>
  <c r="T701" i="16" s="1"/>
  <c r="AD701" i="16" s="1"/>
  <c r="U695" i="16"/>
  <c r="S695" i="16"/>
  <c r="T695" i="16"/>
  <c r="AD695" i="16" s="1"/>
  <c r="AC695" i="16" s="1"/>
  <c r="U689" i="16"/>
  <c r="S689" i="16"/>
  <c r="T689" i="16" s="1"/>
  <c r="AD689" i="16" s="1"/>
  <c r="U683" i="16"/>
  <c r="S683" i="16"/>
  <c r="T683" i="16" s="1"/>
  <c r="AD683" i="16" s="1"/>
  <c r="U677" i="16"/>
  <c r="S677" i="16"/>
  <c r="T677" i="16" s="1"/>
  <c r="AD677" i="16" s="1"/>
  <c r="U670" i="16"/>
  <c r="S670" i="16"/>
  <c r="T670" i="16" s="1"/>
  <c r="AD670" i="16" s="1"/>
  <c r="S662" i="16"/>
  <c r="S655" i="16"/>
  <c r="T655" i="16" s="1"/>
  <c r="AD655" i="16" s="1"/>
  <c r="AC655" i="16" s="1"/>
  <c r="S646" i="16"/>
  <c r="U634" i="16"/>
  <c r="U631" i="16"/>
  <c r="U621" i="16"/>
  <c r="O618" i="16"/>
  <c r="E618" i="76" s="1"/>
  <c r="O617" i="16"/>
  <c r="O615" i="16"/>
  <c r="E615" i="76" s="1"/>
  <c r="U606" i="16"/>
  <c r="U604" i="16"/>
  <c r="U603" i="16"/>
  <c r="O603" i="16"/>
  <c r="E603" i="76" s="1"/>
  <c r="U601" i="16"/>
  <c r="U600" i="16"/>
  <c r="O600" i="16"/>
  <c r="E600" i="76" s="1"/>
  <c r="U580" i="16"/>
  <c r="U579" i="16"/>
  <c r="U578" i="16"/>
  <c r="U577" i="16"/>
  <c r="U576" i="16"/>
  <c r="U575" i="16"/>
  <c r="U574" i="16"/>
  <c r="U573" i="16"/>
  <c r="S573" i="16"/>
  <c r="T573" i="16" s="1"/>
  <c r="AD573" i="16" s="1"/>
  <c r="AC573" i="16" s="1"/>
  <c r="O556" i="16"/>
  <c r="E556" i="76" s="1"/>
  <c r="O547" i="16"/>
  <c r="E547" i="76" s="1"/>
  <c r="O532" i="16"/>
  <c r="E532" i="76" s="1"/>
  <c r="O520" i="16"/>
  <c r="AO520" i="16" s="1"/>
  <c r="O516" i="16"/>
  <c r="E516" i="76" s="1"/>
  <c r="AO516" i="16"/>
  <c r="O509" i="16"/>
  <c r="E509" i="76" s="1"/>
  <c r="O503" i="16"/>
  <c r="E503" i="76" s="1"/>
  <c r="O499" i="16"/>
  <c r="O497" i="16"/>
  <c r="E497" i="76" s="1"/>
  <c r="R492" i="16"/>
  <c r="M492" i="16" s="1"/>
  <c r="AM492" i="16" s="1"/>
  <c r="O488" i="16"/>
  <c r="E488" i="76" s="1"/>
  <c r="O478" i="16"/>
  <c r="O477" i="16"/>
  <c r="E477" i="76" s="1"/>
  <c r="O476" i="16"/>
  <c r="U474" i="16"/>
  <c r="R474" i="16"/>
  <c r="AE474" i="16"/>
  <c r="AF474" i="16" s="1"/>
  <c r="O474" i="16"/>
  <c r="E474" i="76" s="1"/>
  <c r="U468" i="16"/>
  <c r="R468" i="16"/>
  <c r="U463" i="16"/>
  <c r="R463" i="16"/>
  <c r="AE463" i="16" s="1"/>
  <c r="U451" i="16"/>
  <c r="O449" i="16"/>
  <c r="E449" i="76" s="1"/>
  <c r="O447" i="16"/>
  <c r="U441" i="16"/>
  <c r="O437" i="16"/>
  <c r="O436" i="16"/>
  <c r="E436" i="76" s="1"/>
  <c r="O433" i="16"/>
  <c r="E433" i="76" s="1"/>
  <c r="R423" i="16"/>
  <c r="M423" i="16" s="1"/>
  <c r="AM423" i="16" s="1"/>
  <c r="U415" i="16"/>
  <c r="R415" i="16"/>
  <c r="O411" i="16"/>
  <c r="E411" i="76" s="1"/>
  <c r="O409" i="16"/>
  <c r="E409" i="76" s="1"/>
  <c r="O407" i="16"/>
  <c r="E407" i="76" s="1"/>
  <c r="U404" i="16"/>
  <c r="R404" i="16"/>
  <c r="O404" i="16"/>
  <c r="O402" i="16"/>
  <c r="E402" i="76" s="1"/>
  <c r="U380" i="16"/>
  <c r="U377" i="16"/>
  <c r="U371" i="16"/>
  <c r="O363" i="16"/>
  <c r="E363" i="76" s="1"/>
  <c r="O354" i="16"/>
  <c r="E354" i="76" s="1"/>
  <c r="O340" i="16"/>
  <c r="U325" i="16"/>
  <c r="U323" i="16"/>
  <c r="U319" i="16"/>
  <c r="U318" i="16"/>
  <c r="U317" i="16"/>
  <c r="U310" i="16"/>
  <c r="S308" i="16"/>
  <c r="S307" i="16"/>
  <c r="T307" i="16" s="1"/>
  <c r="AD307" i="16" s="1"/>
  <c r="AC307" i="16" s="1"/>
  <c r="S306" i="16"/>
  <c r="T306" i="16" s="1"/>
  <c r="AD306" i="16" s="1"/>
  <c r="AC306" i="16" s="1"/>
  <c r="S305" i="16"/>
  <c r="T305" i="16" s="1"/>
  <c r="AD305" i="16" s="1"/>
  <c r="AC305" i="16" s="1"/>
  <c r="S304" i="16"/>
  <c r="O298" i="16"/>
  <c r="E298" i="76" s="1"/>
  <c r="AO298" i="16"/>
  <c r="O297" i="16"/>
  <c r="O296" i="16"/>
  <c r="E296" i="76" s="1"/>
  <c r="O295" i="16"/>
  <c r="E295" i="76" s="1"/>
  <c r="O294" i="16"/>
  <c r="E294" i="76" s="1"/>
  <c r="O293" i="16"/>
  <c r="E293" i="76" s="1"/>
  <c r="AO293" i="16"/>
  <c r="O289" i="16"/>
  <c r="E289" i="76" s="1"/>
  <c r="O286" i="16"/>
  <c r="E286" i="76" s="1"/>
  <c r="O283" i="16"/>
  <c r="E283" i="76" s="1"/>
  <c r="AX10" i="16"/>
  <c r="AS257" i="16"/>
  <c r="AQ257" i="16"/>
  <c r="AM257" i="16"/>
  <c r="AS255" i="16"/>
  <c r="AQ255" i="16"/>
  <c r="AM255" i="16"/>
  <c r="AS254" i="16"/>
  <c r="AQ254" i="16"/>
  <c r="AM254" i="16"/>
  <c r="AM253" i="16"/>
  <c r="AM252" i="16"/>
  <c r="AM251" i="16"/>
  <c r="AM250" i="16"/>
  <c r="AM249" i="16"/>
  <c r="AS248" i="16"/>
  <c r="AQ248" i="16"/>
  <c r="AQ245" i="16"/>
  <c r="AM245" i="16"/>
  <c r="AQ244" i="16"/>
  <c r="AQ240" i="16"/>
  <c r="AQ237" i="16"/>
  <c r="AM235" i="16"/>
  <c r="AM233" i="16"/>
  <c r="AM232" i="16"/>
  <c r="AM231" i="16"/>
  <c r="AQ229" i="16"/>
  <c r="AM228" i="16"/>
  <c r="AM227" i="16"/>
  <c r="AM226" i="16"/>
  <c r="AQ225" i="16"/>
  <c r="AQ224" i="16"/>
  <c r="AM224" i="16"/>
  <c r="AQ222" i="16"/>
  <c r="AM222" i="16"/>
  <c r="AS215" i="16"/>
  <c r="AQ215" i="16"/>
  <c r="AM215" i="16"/>
  <c r="AQ213" i="16"/>
  <c r="AE213" i="16"/>
  <c r="AQ212" i="16"/>
  <c r="AQ211" i="16"/>
  <c r="AQ210" i="16"/>
  <c r="AQ209" i="16"/>
  <c r="AQ208" i="16"/>
  <c r="AS207" i="16"/>
  <c r="AM207" i="16"/>
  <c r="AE207" i="16"/>
  <c r="AF207" i="16" s="1"/>
  <c r="AS206" i="16"/>
  <c r="AQ206" i="16"/>
  <c r="AM206" i="16"/>
  <c r="AS203" i="16"/>
  <c r="AQ203" i="16"/>
  <c r="AM203" i="16"/>
  <c r="AS199" i="16"/>
  <c r="AQ199" i="16"/>
  <c r="AM199" i="16"/>
  <c r="AS197" i="16"/>
  <c r="AQ197" i="16"/>
  <c r="AM197" i="16"/>
  <c r="AS195" i="16"/>
  <c r="AQ195" i="16"/>
  <c r="AM195" i="16"/>
  <c r="AS194" i="16"/>
  <c r="AQ194" i="16"/>
  <c r="AM194" i="16"/>
  <c r="AS192" i="16"/>
  <c r="AQ192" i="16"/>
  <c r="AM192" i="16"/>
  <c r="AS189" i="16"/>
  <c r="AQ187" i="16"/>
  <c r="AM187" i="16"/>
  <c r="AQ185" i="16"/>
  <c r="AM185" i="16"/>
  <c r="AQ184" i="16"/>
  <c r="AM184" i="16"/>
  <c r="AS182" i="16"/>
  <c r="AS177" i="16"/>
  <c r="AQ177" i="16"/>
  <c r="AM177" i="16"/>
  <c r="AS169" i="16"/>
  <c r="AQ169" i="16"/>
  <c r="AM169" i="16"/>
  <c r="AQ167" i="16"/>
  <c r="AM167" i="16"/>
  <c r="AQ165" i="16"/>
  <c r="AM165" i="16"/>
  <c r="AS163" i="16"/>
  <c r="AQ162" i="16"/>
  <c r="AO162" i="16"/>
  <c r="AM162" i="16"/>
  <c r="AQ160" i="16"/>
  <c r="AO160" i="16"/>
  <c r="AM160" i="16"/>
  <c r="AQ159" i="16"/>
  <c r="AO159" i="16"/>
  <c r="AM159" i="16"/>
  <c r="AQ158" i="16"/>
  <c r="AO158" i="16"/>
  <c r="AM158" i="16"/>
  <c r="AS156" i="16"/>
  <c r="AS154" i="16"/>
  <c r="AQ154" i="16"/>
  <c r="AM154" i="16"/>
  <c r="AS152" i="16"/>
  <c r="AQ152" i="16"/>
  <c r="AM152" i="16"/>
  <c r="AS150" i="16"/>
  <c r="AQ150" i="16"/>
  <c r="AM150" i="16"/>
  <c r="AS147" i="16"/>
  <c r="AQ147" i="16"/>
  <c r="AM147" i="16"/>
  <c r="AS145" i="16"/>
  <c r="AQ145" i="16"/>
  <c r="AS140" i="16"/>
  <c r="AQ140" i="16"/>
  <c r="AS139" i="16"/>
  <c r="AQ139" i="16"/>
  <c r="AS134" i="16"/>
  <c r="AQ134" i="16"/>
  <c r="AS132" i="16"/>
  <c r="AQ132" i="16"/>
  <c r="AS130" i="16"/>
  <c r="AQ130" i="16"/>
  <c r="AS128" i="16"/>
  <c r="AQ128" i="16"/>
  <c r="AS122" i="16"/>
  <c r="AQ122" i="16"/>
  <c r="AQ120" i="16"/>
  <c r="AS118" i="16"/>
  <c r="AM117" i="16"/>
  <c r="AM116" i="16"/>
  <c r="AM115" i="16"/>
  <c r="AS113" i="16"/>
  <c r="AQ113" i="16"/>
  <c r="AM112" i="16"/>
  <c r="AM111" i="16"/>
  <c r="AM110" i="16"/>
  <c r="AS106" i="16"/>
  <c r="AQ106" i="16"/>
  <c r="AS102" i="16"/>
  <c r="AQ102" i="16"/>
  <c r="AM102" i="16"/>
  <c r="AS99" i="16"/>
  <c r="AQ99" i="16"/>
  <c r="AM99" i="16"/>
  <c r="AS92" i="16"/>
  <c r="AQ91" i="16"/>
  <c r="AM91" i="16"/>
  <c r="AQ90" i="16"/>
  <c r="AQ89" i="16"/>
  <c r="AQ87" i="16"/>
  <c r="AQ86" i="16"/>
  <c r="AM84" i="16"/>
  <c r="AQ82" i="16"/>
  <c r="AM82" i="16"/>
  <c r="AS79" i="16"/>
  <c r="AQ78" i="16"/>
  <c r="AM78" i="16"/>
  <c r="AQ76" i="16"/>
  <c r="AM76" i="16"/>
  <c r="AM75" i="16"/>
  <c r="AM74" i="16"/>
  <c r="AM73" i="16"/>
  <c r="AQ71" i="16"/>
  <c r="AQ69" i="16"/>
  <c r="AM69" i="16"/>
  <c r="AQ68" i="16"/>
  <c r="AM68" i="16"/>
  <c r="AQ67" i="16"/>
  <c r="AS66" i="16"/>
  <c r="AQ64" i="16"/>
  <c r="AM64" i="16"/>
  <c r="AQ62" i="16"/>
  <c r="AM62" i="16"/>
  <c r="AQ61" i="16"/>
  <c r="AM61" i="16"/>
  <c r="AQ60" i="16"/>
  <c r="AM60" i="16"/>
  <c r="AQ58" i="16"/>
  <c r="AM58" i="16"/>
  <c r="AQ56" i="16"/>
  <c r="AM56" i="16"/>
  <c r="AQ55" i="16"/>
  <c r="AM55" i="16"/>
  <c r="AS54" i="16"/>
  <c r="AS49" i="16"/>
  <c r="AS44" i="16"/>
  <c r="AQ44" i="16"/>
  <c r="AM44" i="16"/>
  <c r="AM42" i="16"/>
  <c r="AM41" i="16"/>
  <c r="AM40" i="16"/>
  <c r="AS38" i="16"/>
  <c r="AQ38" i="16"/>
  <c r="AS35" i="16"/>
  <c r="AQ35" i="16"/>
  <c r="AM35" i="16"/>
  <c r="AS26" i="16"/>
  <c r="AQ26" i="16"/>
  <c r="AM26" i="16"/>
  <c r="AE26" i="16"/>
  <c r="AF26" i="16" s="1"/>
  <c r="AS24" i="16"/>
  <c r="AQ24" i="16"/>
  <c r="AM24" i="16"/>
  <c r="AS22" i="16"/>
  <c r="AQ22" i="16"/>
  <c r="AM22" i="16"/>
  <c r="AS20" i="16"/>
  <c r="AQ20" i="16"/>
  <c r="AM20" i="16"/>
  <c r="AS18" i="16"/>
  <c r="AQ17" i="16"/>
  <c r="AM17" i="16"/>
  <c r="AQ16" i="16"/>
  <c r="AM16" i="16"/>
  <c r="AQ15" i="16"/>
  <c r="AM15" i="16"/>
  <c r="AS14" i="16"/>
  <c r="AQ14" i="16"/>
  <c r="AM14" i="16"/>
  <c r="O255" i="16"/>
  <c r="E255" i="76" s="1"/>
  <c r="AO255" i="16"/>
  <c r="U248" i="16"/>
  <c r="O245" i="16"/>
  <c r="E245" i="76" s="1"/>
  <c r="O235" i="16"/>
  <c r="E235" i="76" s="1"/>
  <c r="U229" i="16"/>
  <c r="U225" i="16"/>
  <c r="O222" i="16"/>
  <c r="O215" i="16"/>
  <c r="E215" i="76" s="1"/>
  <c r="O207" i="16"/>
  <c r="O206" i="16"/>
  <c r="E206" i="76" s="1"/>
  <c r="O203" i="16"/>
  <c r="O199" i="16"/>
  <c r="E199" i="76" s="1"/>
  <c r="O197" i="16"/>
  <c r="E197" i="76" s="1"/>
  <c r="O195" i="16"/>
  <c r="E195" i="76" s="1"/>
  <c r="O194" i="16"/>
  <c r="O192" i="16"/>
  <c r="E192" i="76" s="1"/>
  <c r="O187" i="16"/>
  <c r="E187" i="76" s="1"/>
  <c r="AO187" i="16"/>
  <c r="O185" i="16"/>
  <c r="E185" i="76" s="1"/>
  <c r="O184" i="16"/>
  <c r="U170" i="16"/>
  <c r="O167" i="16"/>
  <c r="E167" i="76" s="1"/>
  <c r="O165" i="16"/>
  <c r="E165" i="76" s="1"/>
  <c r="O156" i="16"/>
  <c r="E156" i="76" s="1"/>
  <c r="S154" i="16"/>
  <c r="S152" i="16"/>
  <c r="S150" i="16"/>
  <c r="T150" i="16" s="1"/>
  <c r="AD150" i="16" s="1"/>
  <c r="AC150" i="16" s="1"/>
  <c r="S147" i="16"/>
  <c r="S145" i="16"/>
  <c r="T145" i="16" s="1"/>
  <c r="AD145" i="16" s="1"/>
  <c r="AC145" i="16" s="1"/>
  <c r="S140" i="16"/>
  <c r="T140" i="16" s="1"/>
  <c r="AD140" i="16" s="1"/>
  <c r="AC140" i="16" s="1"/>
  <c r="S139" i="16"/>
  <c r="T139" i="16"/>
  <c r="AD139" i="16" s="1"/>
  <c r="AC139" i="16" s="1"/>
  <c r="U134" i="16"/>
  <c r="S134" i="16"/>
  <c r="T134" i="16" s="1"/>
  <c r="AD134" i="16" s="1"/>
  <c r="AC134" i="16" s="1"/>
  <c r="S132" i="16"/>
  <c r="T132" i="16" s="1"/>
  <c r="AD132" i="16" s="1"/>
  <c r="AC132" i="16" s="1"/>
  <c r="S130" i="16"/>
  <c r="T130" i="16" s="1"/>
  <c r="AD130" i="16" s="1"/>
  <c r="AC130" i="16" s="1"/>
  <c r="S128" i="16"/>
  <c r="T128" i="16" s="1"/>
  <c r="AD128" i="16" s="1"/>
  <c r="AC128" i="16" s="1"/>
  <c r="U122" i="16"/>
  <c r="S122" i="16"/>
  <c r="T122" i="16"/>
  <c r="AD122" i="16" s="1"/>
  <c r="AC122" i="16" s="1"/>
  <c r="U120" i="16"/>
  <c r="U113" i="16"/>
  <c r="U106" i="16"/>
  <c r="O102" i="16"/>
  <c r="E102" i="76" s="1"/>
  <c r="O99" i="16"/>
  <c r="O91" i="16"/>
  <c r="E91" i="76" s="1"/>
  <c r="O84" i="16"/>
  <c r="E84" i="76" s="1"/>
  <c r="AO84" i="16"/>
  <c r="O82" i="16"/>
  <c r="E82" i="76" s="1"/>
  <c r="U71" i="16"/>
  <c r="O64" i="16"/>
  <c r="O62" i="16"/>
  <c r="O61" i="16"/>
  <c r="E61" i="76" s="1"/>
  <c r="O60" i="16"/>
  <c r="S58" i="16"/>
  <c r="O58" i="16" s="1"/>
  <c r="E58" i="76" s="1"/>
  <c r="S56" i="16"/>
  <c r="O55" i="16"/>
  <c r="O44" i="16"/>
  <c r="E44" i="76" s="1"/>
  <c r="O24" i="16"/>
  <c r="O22" i="16"/>
  <c r="E22" i="76" s="1"/>
  <c r="O20" i="16"/>
  <c r="AS511" i="24"/>
  <c r="AS502" i="24"/>
  <c r="AS495" i="24"/>
  <c r="AS493" i="24"/>
  <c r="AS489" i="24"/>
  <c r="AS488" i="24"/>
  <c r="AS487" i="24"/>
  <c r="AS485" i="24"/>
  <c r="AS483" i="24"/>
  <c r="AS479" i="24"/>
  <c r="AS474" i="24"/>
  <c r="AS470" i="24"/>
  <c r="AS469" i="24"/>
  <c r="AS468" i="24"/>
  <c r="AS467" i="24"/>
  <c r="AS466" i="24"/>
  <c r="AS465" i="24"/>
  <c r="AS464" i="24"/>
  <c r="AS453" i="24"/>
  <c r="AS446" i="24"/>
  <c r="AS440" i="24"/>
  <c r="AS434" i="24"/>
  <c r="AS428" i="24"/>
  <c r="AS421" i="24"/>
  <c r="AS414" i="24"/>
  <c r="AS408" i="24"/>
  <c r="AS401" i="24"/>
  <c r="AS392" i="24"/>
  <c r="AS379" i="24"/>
  <c r="AS376" i="24"/>
  <c r="AS367" i="24"/>
  <c r="AS364" i="24"/>
  <c r="AS363" i="24"/>
  <c r="AS361" i="24"/>
  <c r="AS352" i="24"/>
  <c r="AS350" i="24"/>
  <c r="AS349" i="24"/>
  <c r="AS347" i="24"/>
  <c r="AS346" i="24"/>
  <c r="AS319" i="24"/>
  <c r="AS314" i="24"/>
  <c r="AS313" i="24"/>
  <c r="AS306" i="24"/>
  <c r="AS293" i="24"/>
  <c r="AS278" i="24"/>
  <c r="AS272" i="24"/>
  <c r="AS270" i="24"/>
  <c r="AS268" i="24"/>
  <c r="AS266" i="24"/>
  <c r="AS262" i="24"/>
  <c r="AS255" i="24"/>
  <c r="AS249" i="24"/>
  <c r="AS245" i="24"/>
  <c r="AS243" i="24"/>
  <c r="AS238" i="24"/>
  <c r="AS234" i="24"/>
  <c r="AS231" i="24"/>
  <c r="AS230" i="24"/>
  <c r="AS228" i="24"/>
  <c r="AS223" i="24"/>
  <c r="AS222" i="24"/>
  <c r="AS220" i="24"/>
  <c r="AS214" i="24"/>
  <c r="AS211" i="24"/>
  <c r="AS209" i="24"/>
  <c r="AS197" i="24"/>
  <c r="AS195" i="24"/>
  <c r="AS193" i="24"/>
  <c r="AS187" i="24"/>
  <c r="AS183" i="24"/>
  <c r="AS182" i="24"/>
  <c r="AS179" i="24"/>
  <c r="AS169" i="24"/>
  <c r="AS161" i="24"/>
  <c r="AS157" i="24"/>
  <c r="AS155" i="24"/>
  <c r="AS153" i="24"/>
  <c r="AS150" i="24"/>
  <c r="AS148" i="24"/>
  <c r="AS135" i="24"/>
  <c r="AS126" i="24"/>
  <c r="AS123" i="24"/>
  <c r="AS121" i="24"/>
  <c r="AS117" i="24"/>
  <c r="AS115" i="24"/>
  <c r="AS109" i="24"/>
  <c r="AS107" i="24"/>
  <c r="AS102" i="24"/>
  <c r="AS100" i="24"/>
  <c r="AS97" i="24"/>
  <c r="AS86" i="24"/>
  <c r="AS78" i="24"/>
  <c r="AS60" i="24"/>
  <c r="AS55" i="24"/>
  <c r="AS54" i="24"/>
  <c r="AS53" i="24"/>
  <c r="AS52" i="24"/>
  <c r="AS51" i="24"/>
  <c r="AS50" i="24"/>
  <c r="AS44" i="24"/>
  <c r="AS43" i="24"/>
  <c r="AS42" i="24"/>
  <c r="AS41" i="24"/>
  <c r="AS40" i="24"/>
  <c r="AS39" i="24"/>
  <c r="AS35" i="24"/>
  <c r="AS32" i="24"/>
  <c r="AS13" i="24"/>
  <c r="AQ513" i="24"/>
  <c r="AQ503" i="24"/>
  <c r="AQ495" i="24"/>
  <c r="AQ493" i="24"/>
  <c r="AQ489" i="24"/>
  <c r="AQ488" i="24"/>
  <c r="AQ487" i="24"/>
  <c r="AQ485" i="24"/>
  <c r="AQ483" i="24"/>
  <c r="AQ479" i="24"/>
  <c r="AQ474" i="24"/>
  <c r="AQ470" i="24"/>
  <c r="AQ469" i="24"/>
  <c r="AQ468" i="24"/>
  <c r="AQ467" i="24"/>
  <c r="AQ466" i="24"/>
  <c r="AQ465" i="24"/>
  <c r="AQ464" i="24"/>
  <c r="AQ453" i="24"/>
  <c r="AQ447" i="24"/>
  <c r="AQ441" i="24"/>
  <c r="AQ435" i="24"/>
  <c r="AQ429" i="24"/>
  <c r="AQ423" i="24"/>
  <c r="AQ416" i="24"/>
  <c r="AQ408" i="24"/>
  <c r="AQ401" i="24"/>
  <c r="AQ392" i="24"/>
  <c r="AQ380" i="24"/>
  <c r="AQ377" i="24"/>
  <c r="AQ367" i="24"/>
  <c r="AQ364" i="24"/>
  <c r="AQ363" i="24"/>
  <c r="AQ361" i="24"/>
  <c r="AQ352" i="24"/>
  <c r="AQ350" i="24"/>
  <c r="AQ349" i="24"/>
  <c r="AQ347" i="24"/>
  <c r="AQ346" i="24"/>
  <c r="AQ326" i="24"/>
  <c r="AQ325" i="24"/>
  <c r="AQ324" i="24"/>
  <c r="AQ323" i="24"/>
  <c r="AQ322" i="24"/>
  <c r="AQ321" i="24"/>
  <c r="AQ320" i="24"/>
  <c r="AQ319" i="24"/>
  <c r="AQ314" i="24"/>
  <c r="AQ313" i="24"/>
  <c r="AQ312" i="24"/>
  <c r="AQ311" i="24"/>
  <c r="AQ310" i="24"/>
  <c r="AQ309" i="24"/>
  <c r="AQ308" i="24"/>
  <c r="AQ307" i="24"/>
  <c r="AQ306" i="24"/>
  <c r="AQ293" i="24"/>
  <c r="AQ291" i="24"/>
  <c r="AQ278" i="24"/>
  <c r="AQ273" i="24"/>
  <c r="AQ271" i="24"/>
  <c r="AQ269" i="24"/>
  <c r="AQ267" i="24"/>
  <c r="AQ262" i="24"/>
  <c r="AQ255" i="24"/>
  <c r="AQ249" i="24"/>
  <c r="AQ245" i="24"/>
  <c r="AQ243" i="24"/>
  <c r="AQ238" i="24"/>
  <c r="AQ234" i="24"/>
  <c r="AQ231" i="24"/>
  <c r="AQ230" i="24"/>
  <c r="AQ228" i="24"/>
  <c r="AQ223" i="24"/>
  <c r="AQ222" i="24"/>
  <c r="AQ220" i="24"/>
  <c r="AQ214" i="24"/>
  <c r="AQ211" i="24"/>
  <c r="AQ209" i="24"/>
  <c r="AQ197" i="24"/>
  <c r="AQ195" i="24"/>
  <c r="AQ193" i="24"/>
  <c r="AQ187" i="24"/>
  <c r="AQ183" i="24"/>
  <c r="AQ182" i="24"/>
  <c r="AQ179" i="24"/>
  <c r="AQ169" i="24"/>
  <c r="AQ161" i="24"/>
  <c r="AQ157" i="24"/>
  <c r="AQ155" i="24"/>
  <c r="AQ153" i="24"/>
  <c r="AQ150" i="24"/>
  <c r="AQ148" i="24"/>
  <c r="AQ143" i="24"/>
  <c r="AQ139" i="24"/>
  <c r="AQ135" i="24"/>
  <c r="AQ129" i="24"/>
  <c r="AQ127" i="24"/>
  <c r="AQ126" i="24"/>
  <c r="AQ123" i="24"/>
  <c r="AQ121" i="24"/>
  <c r="AQ117" i="24"/>
  <c r="AQ115" i="24"/>
  <c r="AQ109" i="24"/>
  <c r="AQ107" i="24"/>
  <c r="AQ105" i="24"/>
  <c r="AQ104" i="24"/>
  <c r="AQ100" i="24"/>
  <c r="AQ97" i="24"/>
  <c r="AQ86" i="24"/>
  <c r="AQ78" i="24"/>
  <c r="AQ71" i="24"/>
  <c r="AQ69" i="24"/>
  <c r="AQ65" i="24"/>
  <c r="AQ64" i="24"/>
  <c r="AQ63" i="24"/>
  <c r="AQ56" i="24"/>
  <c r="AQ54" i="24"/>
  <c r="AQ53" i="24"/>
  <c r="AQ52" i="24"/>
  <c r="AQ51" i="24"/>
  <c r="AQ50" i="24"/>
  <c r="AQ44" i="24"/>
  <c r="AQ43" i="24"/>
  <c r="AQ42" i="24"/>
  <c r="AQ41" i="24"/>
  <c r="AQ40" i="24"/>
  <c r="AQ39" i="24"/>
  <c r="AQ35" i="24"/>
  <c r="AQ32" i="24"/>
  <c r="O293" i="24"/>
  <c r="I546" i="66" s="1"/>
  <c r="AM43" i="24"/>
  <c r="AM497" i="24"/>
  <c r="AM495" i="24"/>
  <c r="AM493" i="24"/>
  <c r="AM489" i="24"/>
  <c r="AM488" i="24"/>
  <c r="AM487" i="24"/>
  <c r="AM485" i="24"/>
  <c r="AM483" i="24"/>
  <c r="AM479" i="24"/>
  <c r="AM474" i="24"/>
  <c r="AM472" i="24"/>
  <c r="AM470" i="24"/>
  <c r="AM469" i="24"/>
  <c r="AM468" i="24"/>
  <c r="AM467" i="24"/>
  <c r="AM466" i="24"/>
  <c r="AM465" i="24"/>
  <c r="AM464" i="24"/>
  <c r="AM461" i="24"/>
  <c r="AM453" i="24"/>
  <c r="AM428" i="24"/>
  <c r="AM414" i="24"/>
  <c r="AM410" i="24"/>
  <c r="AM408" i="24"/>
  <c r="AM401" i="24"/>
  <c r="AM392" i="24"/>
  <c r="AM376" i="24"/>
  <c r="AM367" i="24"/>
  <c r="AM364" i="24"/>
  <c r="AM363" i="24"/>
  <c r="AM361" i="24"/>
  <c r="AM352" i="24"/>
  <c r="AM349" i="24"/>
  <c r="AM346" i="24"/>
  <c r="AM333" i="24"/>
  <c r="AM331" i="24"/>
  <c r="AM329" i="24"/>
  <c r="AM305" i="24"/>
  <c r="AM304" i="24"/>
  <c r="AM302" i="24"/>
  <c r="AM293" i="24"/>
  <c r="AM278" i="24"/>
  <c r="AM266" i="24"/>
  <c r="AM262" i="24"/>
  <c r="AM255" i="24"/>
  <c r="AM249" i="24"/>
  <c r="AM245" i="24"/>
  <c r="AM243" i="24"/>
  <c r="AM234" i="24"/>
  <c r="AM224" i="24"/>
  <c r="AM223" i="24"/>
  <c r="AM222" i="24"/>
  <c r="AM211" i="24"/>
  <c r="AM196" i="24"/>
  <c r="AM195" i="24"/>
  <c r="AM193" i="24"/>
  <c r="AM191" i="24"/>
  <c r="AM188" i="24"/>
  <c r="AM183" i="24"/>
  <c r="AM182" i="24"/>
  <c r="AM179" i="24"/>
  <c r="AM157" i="24"/>
  <c r="AM155" i="24"/>
  <c r="AM153" i="24"/>
  <c r="AM148" i="24"/>
  <c r="AM143" i="24"/>
  <c r="AM139" i="24"/>
  <c r="AM135" i="24"/>
  <c r="AM129" i="24"/>
  <c r="AM127" i="24"/>
  <c r="AM121" i="24"/>
  <c r="AM115" i="24"/>
  <c r="AM109" i="24"/>
  <c r="AM102" i="24"/>
  <c r="AM100" i="24"/>
  <c r="AM86" i="24"/>
  <c r="AM78" i="24"/>
  <c r="AM76" i="24"/>
  <c r="AM74" i="24"/>
  <c r="AM73" i="24"/>
  <c r="AM60" i="24"/>
  <c r="AM59" i="24"/>
  <c r="AM58" i="24"/>
  <c r="AM55" i="24"/>
  <c r="AM54" i="24"/>
  <c r="AM53" i="24"/>
  <c r="AM52" i="24"/>
  <c r="AM51" i="24"/>
  <c r="AM50" i="24"/>
  <c r="AM47" i="24"/>
  <c r="AM44" i="24"/>
  <c r="AM42" i="24"/>
  <c r="AM41" i="24"/>
  <c r="AM40" i="24"/>
  <c r="AM39" i="24"/>
  <c r="AM35" i="24"/>
  <c r="AM32" i="24"/>
  <c r="AM21" i="24"/>
  <c r="AM20" i="24"/>
  <c r="AM19" i="24"/>
  <c r="AM18" i="24"/>
  <c r="AM17" i="24"/>
  <c r="AS29" i="24"/>
  <c r="AQ29" i="24"/>
  <c r="AM29" i="24"/>
  <c r="O186" i="29"/>
  <c r="O184" i="29"/>
  <c r="I2001" i="66" s="1"/>
  <c r="O165" i="29"/>
  <c r="A1982" i="66" s="1"/>
  <c r="AE513" i="24"/>
  <c r="AC513" i="24" s="1"/>
  <c r="O497" i="24"/>
  <c r="S483" i="24"/>
  <c r="T483" i="24"/>
  <c r="AD483" i="24"/>
  <c r="AC483" i="24" s="1"/>
  <c r="S479" i="24"/>
  <c r="AE453" i="24"/>
  <c r="AC453" i="24" s="1"/>
  <c r="U453" i="24"/>
  <c r="BY4" i="2" s="1"/>
  <c r="S408" i="24"/>
  <c r="T408" i="24" s="1"/>
  <c r="AD408" i="24" s="1"/>
  <c r="AC408" i="24" s="1"/>
  <c r="S401" i="24"/>
  <c r="T401" i="24"/>
  <c r="AD401" i="24" s="1"/>
  <c r="AC401" i="24" s="1"/>
  <c r="S392" i="24"/>
  <c r="O392" i="24" s="1"/>
  <c r="AO392" i="24" s="1"/>
  <c r="S447" i="24"/>
  <c r="T447" i="24" s="1"/>
  <c r="AD447" i="24" s="1"/>
  <c r="AC447" i="24" s="1"/>
  <c r="S441" i="24"/>
  <c r="T441" i="24"/>
  <c r="AD441" i="24" s="1"/>
  <c r="S435" i="24"/>
  <c r="T435" i="24" s="1"/>
  <c r="AD435" i="24" s="1"/>
  <c r="S429" i="24"/>
  <c r="S423" i="24"/>
  <c r="T423" i="24" s="1"/>
  <c r="AD423" i="24"/>
  <c r="S416" i="24"/>
  <c r="T416" i="24" s="1"/>
  <c r="AD416" i="24" s="1"/>
  <c r="AE447" i="24"/>
  <c r="AE441" i="24"/>
  <c r="AE435" i="24"/>
  <c r="AE429" i="24"/>
  <c r="U447" i="24"/>
  <c r="BX4" i="2" s="1"/>
  <c r="U441" i="24"/>
  <c r="BW4" i="2" s="1"/>
  <c r="U435" i="24"/>
  <c r="BV4" i="2" s="1"/>
  <c r="U429" i="24"/>
  <c r="BU4" i="2" s="1"/>
  <c r="AE423" i="24"/>
  <c r="AE416" i="24"/>
  <c r="U423" i="24"/>
  <c r="BT4" i="2" s="1"/>
  <c r="U416" i="24"/>
  <c r="BS4" i="2"/>
  <c r="AE380" i="24"/>
  <c r="AC380" i="24" s="1"/>
  <c r="AE377" i="24"/>
  <c r="AC377" i="24" s="1"/>
  <c r="U380" i="24"/>
  <c r="BR4" i="2" s="1"/>
  <c r="U377" i="24"/>
  <c r="BQ4" i="2" s="1"/>
  <c r="AE367" i="24"/>
  <c r="AC367" i="24" s="1"/>
  <c r="U367" i="24"/>
  <c r="BP4" i="2"/>
  <c r="AE352" i="24"/>
  <c r="AC352" i="24" s="1"/>
  <c r="U352" i="24"/>
  <c r="BO4" i="2" s="1"/>
  <c r="AE350" i="24"/>
  <c r="AC350" i="24" s="1"/>
  <c r="AE349" i="24"/>
  <c r="AC349" i="24" s="1"/>
  <c r="AE347" i="24"/>
  <c r="AC347" i="24" s="1"/>
  <c r="AE346" i="24"/>
  <c r="AC346" i="24" s="1"/>
  <c r="S319" i="24"/>
  <c r="T319" i="24" s="1"/>
  <c r="AD319" i="24" s="1"/>
  <c r="AC319" i="24" s="1"/>
  <c r="O349" i="24"/>
  <c r="O346" i="24"/>
  <c r="I599" i="66" s="1"/>
  <c r="U350" i="24"/>
  <c r="BN4" i="2" s="1"/>
  <c r="U349" i="24"/>
  <c r="BM4" i="2" s="1"/>
  <c r="U347" i="24"/>
  <c r="BL4" i="2" s="1"/>
  <c r="U346" i="24"/>
  <c r="BK4" i="2" s="1"/>
  <c r="AE314" i="24"/>
  <c r="AC314" i="24" s="1"/>
  <c r="AE313" i="24"/>
  <c r="AC313" i="24" s="1"/>
  <c r="O302" i="24"/>
  <c r="O278" i="24"/>
  <c r="N532" i="16" s="1"/>
  <c r="G533" i="16" s="1"/>
  <c r="G534" i="16" s="1"/>
  <c r="G535" i="16" s="1"/>
  <c r="G536" i="16" s="1"/>
  <c r="G537" i="16" s="1"/>
  <c r="G538" i="16" s="1"/>
  <c r="G539" i="16" s="1"/>
  <c r="G540" i="16" s="1"/>
  <c r="G541" i="16" s="1"/>
  <c r="G542" i="16" s="1"/>
  <c r="G543" i="16" s="1"/>
  <c r="G544" i="16" s="1"/>
  <c r="G545" i="16" s="1"/>
  <c r="G546" i="16" s="1"/>
  <c r="O266" i="24"/>
  <c r="AE273" i="24"/>
  <c r="AC273" i="24" s="1"/>
  <c r="AE271" i="24"/>
  <c r="AC271" i="24"/>
  <c r="AE269" i="24"/>
  <c r="AC269" i="24" s="1"/>
  <c r="AE267" i="24"/>
  <c r="AC267" i="24" s="1"/>
  <c r="AE255" i="24"/>
  <c r="AC255" i="24" s="1"/>
  <c r="O255" i="24"/>
  <c r="AO255" i="24" s="1"/>
  <c r="O249" i="24"/>
  <c r="AE249" i="24"/>
  <c r="AC249" i="24" s="1"/>
  <c r="AE262" i="24"/>
  <c r="AC262" i="24" s="1"/>
  <c r="O223" i="24"/>
  <c r="AO223" i="24" s="1"/>
  <c r="O222" i="24"/>
  <c r="N476" i="16" s="1"/>
  <c r="G476" i="16" s="1"/>
  <c r="AD220" i="24"/>
  <c r="O220" i="24"/>
  <c r="I473" i="66" s="1"/>
  <c r="AD214" i="24"/>
  <c r="R214" i="24"/>
  <c r="M214" i="24" s="1"/>
  <c r="AM214" i="24" s="1"/>
  <c r="U214" i="24"/>
  <c r="BA4" i="2" s="1"/>
  <c r="AD209" i="24"/>
  <c r="U197" i="24"/>
  <c r="AY4" i="2" s="1"/>
  <c r="R161" i="24"/>
  <c r="O157" i="24"/>
  <c r="O155" i="24"/>
  <c r="O153" i="24"/>
  <c r="O148" i="24"/>
  <c r="O150" i="24"/>
  <c r="AO150" i="24" s="1"/>
  <c r="O109" i="24"/>
  <c r="U123" i="24"/>
  <c r="AT4" i="2" s="1"/>
  <c r="U117" i="24"/>
  <c r="AS4" i="2" s="1"/>
  <c r="O100" i="24"/>
  <c r="AO100" i="24" s="1"/>
  <c r="R238" i="24"/>
  <c r="M238" i="24" s="1"/>
  <c r="AM238" i="24" s="1"/>
  <c r="R220" i="24"/>
  <c r="R209" i="24"/>
  <c r="R169" i="24"/>
  <c r="M169" i="24" s="1"/>
  <c r="AM169" i="24" s="1"/>
  <c r="R150" i="24"/>
  <c r="AE86" i="24"/>
  <c r="AC86" i="24" s="1"/>
  <c r="O86" i="24"/>
  <c r="N340" i="16" s="1"/>
  <c r="G341" i="16" s="1"/>
  <c r="G342" i="16" s="1"/>
  <c r="G343" i="16" s="1"/>
  <c r="G344" i="16" s="1"/>
  <c r="G345" i="16" s="1"/>
  <c r="AE78" i="24"/>
  <c r="AE12" i="25"/>
  <c r="U23" i="25"/>
  <c r="CA4" i="2" s="1"/>
  <c r="AQ214" i="8"/>
  <c r="AQ213" i="8"/>
  <c r="AQ212" i="8"/>
  <c r="AQ211" i="8"/>
  <c r="AQ210" i="8"/>
  <c r="AQ209" i="8"/>
  <c r="AM208" i="8"/>
  <c r="AE214" i="8"/>
  <c r="AC214" i="8" s="1"/>
  <c r="O208" i="8"/>
  <c r="U127" i="27"/>
  <c r="DA4" i="2" s="1"/>
  <c r="O108" i="27"/>
  <c r="O107" i="27"/>
  <c r="U47" i="27"/>
  <c r="CR4" i="2" s="1"/>
  <c r="U12" i="27"/>
  <c r="CQ4" i="2"/>
  <c r="U12" i="25"/>
  <c r="BZ4" i="2" s="1"/>
  <c r="AD470" i="24"/>
  <c r="AC470" i="24" s="1"/>
  <c r="AD469" i="24"/>
  <c r="AC469" i="24" s="1"/>
  <c r="AD468" i="24"/>
  <c r="AC468" i="24" s="1"/>
  <c r="AD467" i="24"/>
  <c r="AC467" i="24" s="1"/>
  <c r="AD466" i="24"/>
  <c r="AC466" i="24" s="1"/>
  <c r="AD465" i="24"/>
  <c r="AC465" i="24"/>
  <c r="AD464" i="24"/>
  <c r="AC464" i="24" s="1"/>
  <c r="O364" i="24"/>
  <c r="O363" i="24"/>
  <c r="I616" i="66" s="1"/>
  <c r="O361" i="24"/>
  <c r="I614" i="66" s="1"/>
  <c r="A612" i="66" s="1"/>
  <c r="AE326" i="24"/>
  <c r="AC326" i="24" s="1"/>
  <c r="O461" i="24"/>
  <c r="N715" i="16" s="1"/>
  <c r="G716" i="16" s="1"/>
  <c r="G717" i="16" s="1"/>
  <c r="G718" i="16" s="1"/>
  <c r="G719" i="16" s="1"/>
  <c r="G720" i="16" s="1"/>
  <c r="G721" i="16" s="1"/>
  <c r="G722" i="16" s="1"/>
  <c r="G723" i="16" s="1"/>
  <c r="G724" i="16" s="1"/>
  <c r="G725" i="16" s="1"/>
  <c r="U326" i="24"/>
  <c r="BJ4" i="2" s="1"/>
  <c r="U325" i="24"/>
  <c r="BI4" i="2" s="1"/>
  <c r="U324" i="24"/>
  <c r="BH4" i="2" s="1"/>
  <c r="U323" i="24"/>
  <c r="BG4" i="2" s="1"/>
  <c r="U322" i="24"/>
  <c r="BF4" i="2" s="1"/>
  <c r="U321" i="24"/>
  <c r="BE4" i="2" s="1"/>
  <c r="U320" i="24"/>
  <c r="BD4" i="2"/>
  <c r="U319" i="24"/>
  <c r="BC4" i="2" s="1"/>
  <c r="O262" i="24"/>
  <c r="O245" i="24"/>
  <c r="I498" i="66" s="1"/>
  <c r="O243" i="24"/>
  <c r="O234" i="24"/>
  <c r="AO234" i="24" s="1"/>
  <c r="AE238" i="24"/>
  <c r="AC238" i="24" s="1"/>
  <c r="AD238" i="24"/>
  <c r="O224" i="24"/>
  <c r="A478" i="66" s="1"/>
  <c r="U220" i="24"/>
  <c r="BB4" i="2" s="1"/>
  <c r="U209" i="24"/>
  <c r="AZ4" i="2" s="1"/>
  <c r="AE169" i="24"/>
  <c r="AC169" i="24" s="1"/>
  <c r="AD169" i="24"/>
  <c r="O195" i="24"/>
  <c r="I448" i="66" s="1"/>
  <c r="O193" i="24"/>
  <c r="O183" i="24"/>
  <c r="AO183" i="24" s="1"/>
  <c r="O182" i="24"/>
  <c r="O179" i="24"/>
  <c r="I432" i="66" s="1"/>
  <c r="U187" i="24"/>
  <c r="AX4" i="2" s="1"/>
  <c r="AD161" i="24"/>
  <c r="U161" i="24"/>
  <c r="AW4" i="2"/>
  <c r="U126" i="24"/>
  <c r="AU4" i="2" s="1"/>
  <c r="AD150" i="24"/>
  <c r="U150" i="24"/>
  <c r="AV4" i="2"/>
  <c r="U71" i="24"/>
  <c r="AR4" i="2" s="1"/>
  <c r="U69" i="24"/>
  <c r="AQ4" i="2" s="1"/>
  <c r="U65" i="24"/>
  <c r="AP4" i="2" s="1"/>
  <c r="U64" i="24"/>
  <c r="AO4" i="2" s="1"/>
  <c r="U63" i="24"/>
  <c r="AN4" i="2" s="1"/>
  <c r="U56" i="24"/>
  <c r="AM4" i="2" s="1"/>
  <c r="S54" i="24"/>
  <c r="T54" i="24" s="1"/>
  <c r="AD54" i="24" s="1"/>
  <c r="AC54" i="24" s="1"/>
  <c r="S53" i="24"/>
  <c r="S52" i="24"/>
  <c r="T52" i="24" s="1"/>
  <c r="AD52" i="24" s="1"/>
  <c r="AC52" i="24" s="1"/>
  <c r="S51" i="24"/>
  <c r="S50" i="24"/>
  <c r="O44" i="24"/>
  <c r="O43" i="24"/>
  <c r="O42" i="24"/>
  <c r="I295" i="66" s="1"/>
  <c r="O41" i="24"/>
  <c r="O40" i="24"/>
  <c r="I293" i="66" s="1"/>
  <c r="O39" i="24"/>
  <c r="I292" i="66" s="1"/>
  <c r="O35" i="24"/>
  <c r="O32" i="24"/>
  <c r="I285" i="66" s="1"/>
  <c r="O29" i="24"/>
  <c r="I282" i="66" s="1"/>
  <c r="AQ258" i="8"/>
  <c r="AQ256" i="8"/>
  <c r="AQ255" i="8"/>
  <c r="AQ249" i="8"/>
  <c r="AQ246" i="8"/>
  <c r="AQ245" i="8"/>
  <c r="AQ241" i="8"/>
  <c r="AQ238" i="8"/>
  <c r="AQ230" i="8"/>
  <c r="AQ226" i="8"/>
  <c r="AQ225" i="8"/>
  <c r="AQ223" i="8"/>
  <c r="AQ216" i="8"/>
  <c r="AQ207" i="8"/>
  <c r="AQ204" i="8"/>
  <c r="AQ200" i="8"/>
  <c r="AQ198" i="8"/>
  <c r="AQ196" i="8"/>
  <c r="AQ195" i="8"/>
  <c r="AQ193" i="8"/>
  <c r="AQ188" i="8"/>
  <c r="AQ186" i="8"/>
  <c r="AQ185" i="8"/>
  <c r="AQ178" i="8"/>
  <c r="AQ170" i="8"/>
  <c r="AQ168" i="8"/>
  <c r="AQ166" i="8"/>
  <c r="AQ163" i="8"/>
  <c r="AQ161" i="8"/>
  <c r="AQ160" i="8"/>
  <c r="AQ159" i="8"/>
  <c r="AQ155" i="8"/>
  <c r="AQ153" i="8"/>
  <c r="AQ151" i="8"/>
  <c r="AQ148" i="8"/>
  <c r="AQ146" i="8"/>
  <c r="AQ141" i="8"/>
  <c r="AQ140" i="8"/>
  <c r="AQ135" i="8"/>
  <c r="AQ133" i="8"/>
  <c r="AQ131" i="8"/>
  <c r="AQ129" i="8"/>
  <c r="AQ123" i="8"/>
  <c r="AQ121" i="8"/>
  <c r="AQ114" i="8"/>
  <c r="AQ107" i="8"/>
  <c r="AQ103" i="8"/>
  <c r="AQ100" i="8"/>
  <c r="AO163" i="8"/>
  <c r="AO161" i="8"/>
  <c r="AO160" i="8"/>
  <c r="AO159" i="8"/>
  <c r="AM258" i="8"/>
  <c r="AM256" i="8"/>
  <c r="AM255" i="8"/>
  <c r="AM254" i="8"/>
  <c r="AM253" i="8"/>
  <c r="AM252" i="8"/>
  <c r="AM251" i="8"/>
  <c r="AM250" i="8"/>
  <c r="AM246" i="8"/>
  <c r="AM236" i="8"/>
  <c r="AM234" i="8"/>
  <c r="AM233" i="8"/>
  <c r="AM232" i="8"/>
  <c r="AM229" i="8"/>
  <c r="AM228" i="8"/>
  <c r="AM227" i="8"/>
  <c r="AM225" i="8"/>
  <c r="AM223" i="8"/>
  <c r="AM216" i="8"/>
  <c r="AM207" i="8"/>
  <c r="AM204" i="8"/>
  <c r="AM200" i="8"/>
  <c r="AM198" i="8"/>
  <c r="AM196" i="8"/>
  <c r="AM195" i="8"/>
  <c r="AM193" i="8"/>
  <c r="AM188" i="8"/>
  <c r="AM186" i="8"/>
  <c r="AM185" i="8"/>
  <c r="AM178" i="8"/>
  <c r="AM170" i="8"/>
  <c r="AM168" i="8"/>
  <c r="AM166" i="8"/>
  <c r="AM163" i="8"/>
  <c r="AM161" i="8"/>
  <c r="AM160" i="8"/>
  <c r="AM159" i="8"/>
  <c r="AM155" i="8"/>
  <c r="AM153" i="8"/>
  <c r="AM151" i="8"/>
  <c r="AM148" i="8"/>
  <c r="AM118" i="8"/>
  <c r="AM117" i="8"/>
  <c r="AM116" i="8"/>
  <c r="AM113" i="8"/>
  <c r="AM112" i="8"/>
  <c r="AM111" i="8"/>
  <c r="AM103" i="8"/>
  <c r="AM100" i="8"/>
  <c r="AS258" i="8"/>
  <c r="AS256" i="8"/>
  <c r="AS255" i="8"/>
  <c r="AS249" i="8"/>
  <c r="AS216" i="8"/>
  <c r="AS208" i="8"/>
  <c r="AS207" i="8"/>
  <c r="AS204" i="8"/>
  <c r="AS200" i="8"/>
  <c r="AS198" i="8"/>
  <c r="AS196" i="8"/>
  <c r="AS195" i="8"/>
  <c r="AS193" i="8"/>
  <c r="AS190" i="8"/>
  <c r="AS183" i="8"/>
  <c r="AS178" i="8"/>
  <c r="AS170" i="8"/>
  <c r="AS164" i="8"/>
  <c r="AS157" i="8"/>
  <c r="AS155" i="8"/>
  <c r="AS153" i="8"/>
  <c r="AS151" i="8"/>
  <c r="AS148" i="8"/>
  <c r="AS146" i="8"/>
  <c r="AS141" i="8"/>
  <c r="AS140" i="8"/>
  <c r="AS135" i="8"/>
  <c r="AS133" i="8"/>
  <c r="AS131" i="8"/>
  <c r="AS129" i="8"/>
  <c r="AS123" i="8"/>
  <c r="AS119" i="8"/>
  <c r="AS114" i="8"/>
  <c r="AS107" i="8"/>
  <c r="AS103" i="8"/>
  <c r="AS100" i="8"/>
  <c r="AS93" i="8"/>
  <c r="O256" i="8"/>
  <c r="O223" i="8"/>
  <c r="AO223" i="8" s="1"/>
  <c r="AE208" i="8"/>
  <c r="S155" i="8"/>
  <c r="O155" i="8" s="1"/>
  <c r="I153" i="66" s="1"/>
  <c r="S153" i="8"/>
  <c r="T153" i="8" s="1"/>
  <c r="AD153" i="8" s="1"/>
  <c r="AC153" i="8" s="1"/>
  <c r="S151" i="8"/>
  <c r="T151" i="8" s="1"/>
  <c r="AD151" i="8" s="1"/>
  <c r="AC151" i="8" s="1"/>
  <c r="S148" i="8"/>
  <c r="O148" i="8" s="1"/>
  <c r="S146" i="8"/>
  <c r="T146" i="8" s="1"/>
  <c r="AD146" i="8" s="1"/>
  <c r="AC146" i="8" s="1"/>
  <c r="S141" i="8"/>
  <c r="T141" i="8" s="1"/>
  <c r="AD141" i="8" s="1"/>
  <c r="AC141" i="8" s="1"/>
  <c r="S140" i="8"/>
  <c r="T140" i="8" s="1"/>
  <c r="AD140" i="8" s="1"/>
  <c r="AC140" i="8" s="1"/>
  <c r="S135" i="8"/>
  <c r="T135" i="8" s="1"/>
  <c r="AD135" i="8" s="1"/>
  <c r="AC135" i="8" s="1"/>
  <c r="S133" i="8"/>
  <c r="T133" i="8" s="1"/>
  <c r="AD133" i="8" s="1"/>
  <c r="AC133" i="8" s="1"/>
  <c r="S131" i="8"/>
  <c r="T131" i="8" s="1"/>
  <c r="AD131" i="8" s="1"/>
  <c r="AC131" i="8" s="1"/>
  <c r="S129" i="8"/>
  <c r="T129" i="8" s="1"/>
  <c r="AD129" i="8" s="1"/>
  <c r="AC129" i="8" s="1"/>
  <c r="S123" i="8"/>
  <c r="T123" i="8" s="1"/>
  <c r="AD123" i="8" s="1"/>
  <c r="AC123" i="8" s="1"/>
  <c r="O188" i="8"/>
  <c r="I186" i="66" s="1"/>
  <c r="O186" i="8"/>
  <c r="I184" i="66" s="1"/>
  <c r="O185" i="8"/>
  <c r="I183" i="66" s="1"/>
  <c r="N185" i="16"/>
  <c r="G186" i="16" s="1"/>
  <c r="G182" i="16" s="1"/>
  <c r="O168" i="8"/>
  <c r="I166" i="66" s="1"/>
  <c r="O166" i="8"/>
  <c r="O157" i="8"/>
  <c r="O103" i="8"/>
  <c r="O100" i="8"/>
  <c r="I98" i="66" s="1"/>
  <c r="O246" i="8"/>
  <c r="O236" i="8"/>
  <c r="A234" i="66" s="1"/>
  <c r="A235" i="66" s="1"/>
  <c r="A233" i="66" s="1"/>
  <c r="O195" i="8"/>
  <c r="O200" i="8"/>
  <c r="O204" i="8"/>
  <c r="O216" i="8"/>
  <c r="O207" i="8"/>
  <c r="N206" i="16" s="1"/>
  <c r="O198" i="8"/>
  <c r="O196" i="8"/>
  <c r="AO196" i="8" s="1"/>
  <c r="O193" i="8"/>
  <c r="I191" i="66" s="1"/>
  <c r="U171" i="8"/>
  <c r="U121" i="8"/>
  <c r="AF4" i="2" s="1"/>
  <c r="AY61" i="28"/>
  <c r="AX61" i="28"/>
  <c r="AY60" i="28"/>
  <c r="AX60" i="28"/>
  <c r="AY58" i="28"/>
  <c r="AX58" i="28"/>
  <c r="AY57" i="28"/>
  <c r="AX57" i="28"/>
  <c r="AY56" i="28"/>
  <c r="AX56" i="28"/>
  <c r="AY55" i="28"/>
  <c r="AX55" i="28"/>
  <c r="AY54" i="28"/>
  <c r="AX54" i="28"/>
  <c r="AY53" i="28"/>
  <c r="AX53" i="28"/>
  <c r="AY52" i="28"/>
  <c r="AX52" i="28"/>
  <c r="AY50" i="28"/>
  <c r="AX50" i="28"/>
  <c r="AY49" i="28"/>
  <c r="AX49" i="28"/>
  <c r="AY48" i="28"/>
  <c r="AX48" i="28"/>
  <c r="AY47" i="28"/>
  <c r="AX47" i="28"/>
  <c r="AY46" i="28"/>
  <c r="AX46" i="28"/>
  <c r="AY35" i="28"/>
  <c r="AX35" i="28"/>
  <c r="AY34" i="28"/>
  <c r="AX34" i="28"/>
  <c r="AY33" i="28"/>
  <c r="AX33" i="28"/>
  <c r="AY32" i="28"/>
  <c r="AX32" i="28"/>
  <c r="AY30" i="28"/>
  <c r="AX30" i="28"/>
  <c r="AY29" i="28"/>
  <c r="AX29" i="28"/>
  <c r="AY27" i="28"/>
  <c r="AX27" i="28"/>
  <c r="AY24" i="28"/>
  <c r="AX24" i="28"/>
  <c r="AY23" i="28"/>
  <c r="AX23" i="28"/>
  <c r="AY21" i="28"/>
  <c r="AX21" i="28"/>
  <c r="AY20" i="28"/>
  <c r="AX20" i="28"/>
  <c r="AY19" i="28"/>
  <c r="AX19" i="28"/>
  <c r="AY17" i="28"/>
  <c r="AX17" i="28"/>
  <c r="AY16" i="28"/>
  <c r="AX16" i="28"/>
  <c r="BD15" i="28"/>
  <c r="BC15" i="28"/>
  <c r="AY15" i="28"/>
  <c r="AX15" i="28"/>
  <c r="AY14" i="28"/>
  <c r="AX14" i="28"/>
  <c r="AY13" i="28"/>
  <c r="AX13" i="28"/>
  <c r="AY12" i="28"/>
  <c r="AX12" i="28"/>
  <c r="AY11" i="28"/>
  <c r="AX11" i="28"/>
  <c r="AY61" i="27"/>
  <c r="AX61" i="27"/>
  <c r="AY60" i="27"/>
  <c r="AX60" i="27"/>
  <c r="AY58" i="27"/>
  <c r="AX58" i="27"/>
  <c r="AY57" i="27"/>
  <c r="AX57" i="27"/>
  <c r="AY56" i="27"/>
  <c r="AX56" i="27"/>
  <c r="AY55" i="27"/>
  <c r="AX55" i="27"/>
  <c r="AY54" i="27"/>
  <c r="AX54" i="27"/>
  <c r="AY53" i="27"/>
  <c r="AX53" i="27"/>
  <c r="AY52" i="27"/>
  <c r="AX52" i="27"/>
  <c r="AY50" i="27"/>
  <c r="AX50" i="27"/>
  <c r="AY49" i="27"/>
  <c r="AX49" i="27"/>
  <c r="AY48" i="27"/>
  <c r="AX48" i="27"/>
  <c r="AY47" i="27"/>
  <c r="AX47" i="27"/>
  <c r="AY46" i="27"/>
  <c r="AX46" i="27"/>
  <c r="AY35" i="27"/>
  <c r="AX35" i="27"/>
  <c r="AY34" i="27"/>
  <c r="AX34" i="27"/>
  <c r="AY33" i="27"/>
  <c r="AX33" i="27"/>
  <c r="AY32" i="27"/>
  <c r="AX32" i="27"/>
  <c r="AY30" i="27"/>
  <c r="AX30" i="27"/>
  <c r="AY29" i="27"/>
  <c r="AX29" i="27"/>
  <c r="AY27" i="27"/>
  <c r="AX27" i="27"/>
  <c r="AY24" i="27"/>
  <c r="AX24" i="27"/>
  <c r="AY23" i="27"/>
  <c r="AX23" i="27"/>
  <c r="AY21" i="27"/>
  <c r="AX21" i="27"/>
  <c r="AY20" i="27"/>
  <c r="AX20" i="27"/>
  <c r="AY19" i="27"/>
  <c r="AX19" i="27"/>
  <c r="AY17" i="27"/>
  <c r="AX17" i="27"/>
  <c r="AY16" i="27"/>
  <c r="AX16" i="27"/>
  <c r="BD15" i="27"/>
  <c r="BC15" i="27"/>
  <c r="AY15" i="27"/>
  <c r="AX15" i="27"/>
  <c r="AY14" i="27"/>
  <c r="AX14" i="27"/>
  <c r="AY13" i="27"/>
  <c r="AX13" i="27"/>
  <c r="AY12" i="27"/>
  <c r="AX12" i="27"/>
  <c r="AY11" i="27"/>
  <c r="AX11" i="27"/>
  <c r="AY61" i="25"/>
  <c r="AX61" i="25"/>
  <c r="AY60" i="25"/>
  <c r="AX60" i="25"/>
  <c r="AY58" i="25"/>
  <c r="AX58" i="25"/>
  <c r="AY57" i="25"/>
  <c r="AX57" i="25"/>
  <c r="AY56" i="25"/>
  <c r="AX56" i="25"/>
  <c r="AY55" i="25"/>
  <c r="AX55" i="25"/>
  <c r="AY54" i="25"/>
  <c r="AX54" i="25"/>
  <c r="AY53" i="25"/>
  <c r="AX53" i="25"/>
  <c r="AY52" i="25"/>
  <c r="AX52" i="25"/>
  <c r="AY50" i="25"/>
  <c r="AX50" i="25"/>
  <c r="AY49" i="25"/>
  <c r="AX49" i="25"/>
  <c r="AY48" i="25"/>
  <c r="AX48" i="25"/>
  <c r="AY47" i="25"/>
  <c r="AX47" i="25"/>
  <c r="AY46" i="25"/>
  <c r="AX46" i="25"/>
  <c r="AY35" i="25"/>
  <c r="AX35" i="25"/>
  <c r="AY34" i="25"/>
  <c r="AX34" i="25"/>
  <c r="AY33" i="25"/>
  <c r="AX33" i="25"/>
  <c r="AY32" i="25"/>
  <c r="AX32" i="25"/>
  <c r="AY30" i="25"/>
  <c r="AX30" i="25"/>
  <c r="AY29" i="25"/>
  <c r="AX29" i="25"/>
  <c r="AY27" i="25"/>
  <c r="AX27" i="25"/>
  <c r="AX24" i="25"/>
  <c r="AY23" i="25"/>
  <c r="AX23" i="25"/>
  <c r="AY21" i="25"/>
  <c r="AX21" i="25"/>
  <c r="AY20" i="25"/>
  <c r="AX20" i="25"/>
  <c r="AY19" i="25"/>
  <c r="AX19" i="25"/>
  <c r="AY17" i="25"/>
  <c r="AX17" i="25"/>
  <c r="AY16" i="25"/>
  <c r="AX16" i="25"/>
  <c r="AC16" i="25"/>
  <c r="BD15" i="25"/>
  <c r="BC15" i="25"/>
  <c r="AY15" i="25"/>
  <c r="AX15" i="25"/>
  <c r="AY14" i="25"/>
  <c r="AX14" i="25"/>
  <c r="AY13" i="25"/>
  <c r="AX13" i="25"/>
  <c r="AY12" i="25"/>
  <c r="AX12" i="25"/>
  <c r="AY11" i="25"/>
  <c r="AX11" i="25"/>
  <c r="AC16" i="24"/>
  <c r="AS80" i="8"/>
  <c r="AS67" i="8"/>
  <c r="AS55" i="8"/>
  <c r="AS50" i="8"/>
  <c r="AQ92" i="8"/>
  <c r="AQ91" i="8"/>
  <c r="AQ90" i="8"/>
  <c r="AQ88" i="8"/>
  <c r="AQ87" i="8"/>
  <c r="AQ83" i="8"/>
  <c r="AQ79" i="8"/>
  <c r="AQ77" i="8"/>
  <c r="AQ72" i="8"/>
  <c r="AQ68" i="8"/>
  <c r="AQ70" i="8"/>
  <c r="AQ69" i="8"/>
  <c r="AQ65" i="8"/>
  <c r="AQ63" i="8"/>
  <c r="AQ62" i="8"/>
  <c r="AQ61" i="8"/>
  <c r="AQ59" i="8"/>
  <c r="AQ57" i="8"/>
  <c r="AQ56" i="8"/>
  <c r="O45" i="8"/>
  <c r="N44" i="16" s="1"/>
  <c r="AS45" i="8"/>
  <c r="AQ45" i="8"/>
  <c r="AM92" i="8"/>
  <c r="AM85" i="8"/>
  <c r="AM83" i="8"/>
  <c r="AM79" i="8"/>
  <c r="AM77" i="8"/>
  <c r="AM76" i="8"/>
  <c r="AM75" i="8"/>
  <c r="AM74" i="8"/>
  <c r="AM70" i="8"/>
  <c r="AM69" i="8"/>
  <c r="AM65" i="8"/>
  <c r="AM63" i="8"/>
  <c r="AM62" i="8"/>
  <c r="AM61" i="8"/>
  <c r="AM59" i="8"/>
  <c r="AM57" i="8"/>
  <c r="AM56" i="8"/>
  <c r="AM45" i="8"/>
  <c r="S59" i="8"/>
  <c r="O59" i="8" s="1"/>
  <c r="N58" i="16" s="1"/>
  <c r="G59" i="16" s="1"/>
  <c r="S57" i="8"/>
  <c r="T57" i="8" s="1"/>
  <c r="AD57" i="8" s="1"/>
  <c r="AC57" i="8" s="1"/>
  <c r="O92" i="8"/>
  <c r="O85" i="8"/>
  <c r="I83" i="66" s="1"/>
  <c r="O83" i="8"/>
  <c r="AO83" i="8" s="1"/>
  <c r="O65" i="8"/>
  <c r="O63" i="8"/>
  <c r="AO63" i="8" s="1"/>
  <c r="O62" i="8"/>
  <c r="I60" i="66" s="1"/>
  <c r="O61" i="8"/>
  <c r="O56" i="8"/>
  <c r="AO56" i="8" s="1"/>
  <c r="AY61" i="24"/>
  <c r="AX61" i="24"/>
  <c r="AY60" i="24"/>
  <c r="AX60" i="24"/>
  <c r="AY58" i="24"/>
  <c r="AX58" i="24"/>
  <c r="AY57" i="24"/>
  <c r="AX57" i="24"/>
  <c r="AY56" i="24"/>
  <c r="AX56" i="24"/>
  <c r="AY55" i="24"/>
  <c r="AX55" i="24"/>
  <c r="AY54" i="24"/>
  <c r="AX54" i="24"/>
  <c r="AY53" i="24"/>
  <c r="AX53" i="24"/>
  <c r="AY52" i="24"/>
  <c r="AX52" i="24"/>
  <c r="AY50" i="24"/>
  <c r="AX50" i="24"/>
  <c r="AY49" i="24"/>
  <c r="AX49" i="24"/>
  <c r="AY48" i="24"/>
  <c r="AX48" i="24"/>
  <c r="AY47" i="24"/>
  <c r="AX47" i="24"/>
  <c r="AY46" i="24"/>
  <c r="AX46" i="24"/>
  <c r="AY35" i="24"/>
  <c r="AX35" i="24"/>
  <c r="AY34" i="24"/>
  <c r="AX34" i="24"/>
  <c r="AY33" i="24"/>
  <c r="AX33" i="24"/>
  <c r="AY32" i="24"/>
  <c r="AX32" i="24"/>
  <c r="AX30" i="24"/>
  <c r="AY29" i="24"/>
  <c r="AX29" i="24"/>
  <c r="AY27" i="24"/>
  <c r="AX27" i="24"/>
  <c r="AY24" i="24"/>
  <c r="AX24" i="24"/>
  <c r="AX23" i="24"/>
  <c r="AY21" i="24"/>
  <c r="AX21" i="24"/>
  <c r="AY20" i="24"/>
  <c r="AX20" i="24"/>
  <c r="AY19" i="24"/>
  <c r="AX19" i="24"/>
  <c r="AY17" i="24"/>
  <c r="AX17" i="24"/>
  <c r="AY16" i="24"/>
  <c r="AX16" i="24"/>
  <c r="BD15" i="24"/>
  <c r="BC15" i="24"/>
  <c r="AY15" i="24"/>
  <c r="AX15" i="24"/>
  <c r="AY14" i="24"/>
  <c r="AX14" i="24"/>
  <c r="AY13" i="24"/>
  <c r="AX13" i="24"/>
  <c r="AY12" i="24"/>
  <c r="AX12" i="24"/>
  <c r="AY11" i="24"/>
  <c r="AX11" i="24"/>
  <c r="U249" i="8"/>
  <c r="AL4" i="2" s="1"/>
  <c r="U230" i="8"/>
  <c r="U226" i="8"/>
  <c r="AJ4" i="2" s="1"/>
  <c r="U135" i="8"/>
  <c r="AH4" i="2" s="1"/>
  <c r="U123" i="8"/>
  <c r="AG4" i="2" s="1"/>
  <c r="U114" i="8"/>
  <c r="AE4" i="2" s="1"/>
  <c r="U107" i="8"/>
  <c r="AD4" i="2" s="1"/>
  <c r="U72" i="8"/>
  <c r="AC4" i="2" s="1"/>
  <c r="F21" i="3"/>
  <c r="E21" i="3"/>
  <c r="T10" i="3"/>
  <c r="E12" i="23"/>
  <c r="P12" i="23"/>
  <c r="AY1401" i="16" s="1"/>
  <c r="Q58" i="23"/>
  <c r="Q57" i="23"/>
  <c r="Q45" i="23"/>
  <c r="R44" i="23"/>
  <c r="Q44" i="23"/>
  <c r="Q43" i="23"/>
  <c r="Q32" i="23"/>
  <c r="R31" i="23"/>
  <c r="Q31" i="23"/>
  <c r="R30" i="23"/>
  <c r="Q30" i="23"/>
  <c r="R29" i="23"/>
  <c r="Q29" i="23"/>
  <c r="S27" i="23"/>
  <c r="R27" i="23"/>
  <c r="Q27" i="23"/>
  <c r="S25" i="23"/>
  <c r="R25" i="23"/>
  <c r="Q25" i="23"/>
  <c r="P25" i="23"/>
  <c r="S24" i="23"/>
  <c r="R24" i="23"/>
  <c r="Q24" i="23"/>
  <c r="S18" i="23"/>
  <c r="R18" i="23"/>
  <c r="Q18" i="23"/>
  <c r="Q16" i="23"/>
  <c r="S13" i="23"/>
  <c r="R13" i="23"/>
  <c r="Q13" i="23"/>
  <c r="E13" i="23"/>
  <c r="P13" i="23"/>
  <c r="AY779" i="16" s="1"/>
  <c r="S12" i="23"/>
  <c r="R12" i="23"/>
  <c r="Q12" i="23"/>
  <c r="S11" i="23"/>
  <c r="R11" i="23"/>
  <c r="Q11" i="23"/>
  <c r="S10" i="23"/>
  <c r="R10" i="23"/>
  <c r="Q10" i="23"/>
  <c r="S9" i="23"/>
  <c r="R9" i="23"/>
  <c r="Q9" i="23"/>
  <c r="E58" i="23"/>
  <c r="P58" i="23"/>
  <c r="E57" i="23"/>
  <c r="P57" i="23"/>
  <c r="AY302" i="16" s="1"/>
  <c r="E55" i="23"/>
  <c r="P55" i="23"/>
  <c r="E54" i="23"/>
  <c r="P54" i="23"/>
  <c r="E53" i="23"/>
  <c r="P53" i="23"/>
  <c r="AY298" i="16" s="1"/>
  <c r="E52" i="23"/>
  <c r="P52" i="23"/>
  <c r="AY297" i="16" s="1"/>
  <c r="E51" i="23"/>
  <c r="P51" i="23"/>
  <c r="E50" i="23"/>
  <c r="P50" i="23"/>
  <c r="E47" i="23"/>
  <c r="P47" i="23"/>
  <c r="AY292" i="16" s="1"/>
  <c r="E46" i="23"/>
  <c r="P46" i="23"/>
  <c r="AY291" i="16" s="1"/>
  <c r="E45" i="23"/>
  <c r="AY47" i="16"/>
  <c r="E44" i="23"/>
  <c r="P44" i="23"/>
  <c r="E43" i="23"/>
  <c r="P43" i="23"/>
  <c r="E32" i="23"/>
  <c r="P32" i="23"/>
  <c r="AY287" i="16" s="1"/>
  <c r="E31" i="23"/>
  <c r="P31" i="23"/>
  <c r="E30" i="23"/>
  <c r="P30" i="23"/>
  <c r="E29" i="23"/>
  <c r="E27" i="23"/>
  <c r="E26" i="23"/>
  <c r="P26" i="23"/>
  <c r="E24" i="23"/>
  <c r="P24" i="23"/>
  <c r="E21" i="23"/>
  <c r="E20" i="23"/>
  <c r="AY22" i="16"/>
  <c r="E18" i="23"/>
  <c r="E17" i="23"/>
  <c r="E16" i="23"/>
  <c r="P16" i="23"/>
  <c r="AY1405" i="16" s="1"/>
  <c r="E14" i="23"/>
  <c r="E11" i="23"/>
  <c r="E10" i="23"/>
  <c r="P10" i="23"/>
  <c r="AY267" i="16" s="1"/>
  <c r="E9" i="23"/>
  <c r="AY266" i="16"/>
  <c r="E8" i="23"/>
  <c r="P8" i="23"/>
  <c r="C10" i="18" s="1"/>
  <c r="W16" i="3"/>
  <c r="W17" i="3"/>
  <c r="W18" i="3"/>
  <c r="W19" i="3"/>
  <c r="W20" i="3"/>
  <c r="W15" i="3"/>
  <c r="U15" i="3"/>
  <c r="Z16" i="3"/>
  <c r="Z17" i="3"/>
  <c r="Z18" i="3"/>
  <c r="Z19" i="3"/>
  <c r="Z20" i="3"/>
  <c r="Z15" i="3"/>
  <c r="BC14" i="16"/>
  <c r="BD14" i="16"/>
  <c r="AY16" i="8"/>
  <c r="BC15" i="8"/>
  <c r="BD15" i="8"/>
  <c r="AX14" i="16"/>
  <c r="AX15" i="16"/>
  <c r="AX16" i="16"/>
  <c r="AX18" i="16"/>
  <c r="AX19" i="16"/>
  <c r="AX20" i="16"/>
  <c r="AX22" i="16"/>
  <c r="AX23" i="16"/>
  <c r="AX26" i="16"/>
  <c r="AX28" i="16"/>
  <c r="AX29" i="16"/>
  <c r="AX11" i="16"/>
  <c r="AX12" i="16"/>
  <c r="AX13" i="16"/>
  <c r="AX12" i="8"/>
  <c r="AY12" i="8"/>
  <c r="AX13" i="8"/>
  <c r="AY13" i="8"/>
  <c r="AX14" i="8"/>
  <c r="AY14" i="8"/>
  <c r="AX15" i="8"/>
  <c r="AY15" i="8"/>
  <c r="AX16" i="8"/>
  <c r="AX17" i="8"/>
  <c r="AY17" i="8"/>
  <c r="AX19" i="8"/>
  <c r="AY19" i="8"/>
  <c r="AX20" i="8"/>
  <c r="AY20" i="8"/>
  <c r="AX21" i="8"/>
  <c r="AY21" i="8"/>
  <c r="AX23" i="8"/>
  <c r="AY23" i="8"/>
  <c r="AX24" i="8"/>
  <c r="AY24" i="8"/>
  <c r="AX27" i="8"/>
  <c r="AY27" i="8"/>
  <c r="AX29" i="8"/>
  <c r="AY29" i="8"/>
  <c r="AX30" i="8"/>
  <c r="AY30" i="8"/>
  <c r="AX32" i="8"/>
  <c r="AY32" i="8"/>
  <c r="AX33" i="8"/>
  <c r="AY33" i="8"/>
  <c r="AX34" i="8"/>
  <c r="AY34" i="8"/>
  <c r="AX35" i="8"/>
  <c r="AY35" i="8"/>
  <c r="AX46" i="8"/>
  <c r="AY46" i="8"/>
  <c r="AX47" i="8"/>
  <c r="AY47" i="8"/>
  <c r="AX48" i="8"/>
  <c r="AY48" i="8"/>
  <c r="AX49" i="8"/>
  <c r="AY49" i="8"/>
  <c r="AX50" i="8"/>
  <c r="AY50" i="8"/>
  <c r="AX52" i="8"/>
  <c r="AY52" i="8"/>
  <c r="AX53" i="8"/>
  <c r="AY53" i="8"/>
  <c r="AX54" i="8"/>
  <c r="AY54" i="8"/>
  <c r="AX55" i="8"/>
  <c r="AY55" i="8"/>
  <c r="AX56" i="8"/>
  <c r="AY56" i="8"/>
  <c r="AX57" i="8"/>
  <c r="AY57" i="8"/>
  <c r="AX58" i="8"/>
  <c r="AY58" i="8"/>
  <c r="AX60" i="8"/>
  <c r="AY60" i="8"/>
  <c r="AX61" i="8"/>
  <c r="AY61" i="8"/>
  <c r="AY11" i="8"/>
  <c r="AX11" i="8"/>
  <c r="Y12" i="23"/>
  <c r="X12" i="23"/>
  <c r="W12" i="23"/>
  <c r="BF778" i="16" s="1"/>
  <c r="V12" i="23"/>
  <c r="BE778" i="16" s="1"/>
  <c r="AS15" i="8"/>
  <c r="AM15" i="8"/>
  <c r="AS19" i="8"/>
  <c r="Y42" i="16"/>
  <c r="Y41" i="16"/>
  <c r="Y40" i="16"/>
  <c r="Y39" i="16"/>
  <c r="Y37" i="16"/>
  <c r="Y36" i="16"/>
  <c r="Y34" i="16"/>
  <c r="Y33" i="16"/>
  <c r="Y32" i="16"/>
  <c r="Y31" i="16"/>
  <c r="Y30" i="16"/>
  <c r="Y29" i="16"/>
  <c r="Y28" i="16"/>
  <c r="Y27" i="16"/>
  <c r="AB16" i="3"/>
  <c r="AB17" i="3"/>
  <c r="AB18" i="3"/>
  <c r="AB19" i="3"/>
  <c r="AB20" i="3"/>
  <c r="AB15" i="3"/>
  <c r="U16" i="3"/>
  <c r="U17" i="3"/>
  <c r="U18" i="3"/>
  <c r="U19" i="3"/>
  <c r="U20" i="3"/>
  <c r="S16" i="3"/>
  <c r="S17" i="3"/>
  <c r="S18" i="3"/>
  <c r="S19" i="3"/>
  <c r="S20" i="3"/>
  <c r="S15" i="3"/>
  <c r="AE27" i="8"/>
  <c r="AC27" i="8"/>
  <c r="Q17" i="3"/>
  <c r="Q18" i="3"/>
  <c r="Q19" i="3"/>
  <c r="Q20" i="3"/>
  <c r="Q15" i="3"/>
  <c r="Q16" i="3"/>
  <c r="O17" i="3"/>
  <c r="O18" i="3"/>
  <c r="O19" i="3"/>
  <c r="O20" i="3"/>
  <c r="O15" i="3"/>
  <c r="O16" i="3"/>
  <c r="I17" i="3"/>
  <c r="I18" i="3"/>
  <c r="I19" i="3"/>
  <c r="I20" i="3"/>
  <c r="I15" i="3"/>
  <c r="I16" i="3"/>
  <c r="G16" i="3"/>
  <c r="G17" i="3"/>
  <c r="G18" i="3"/>
  <c r="G19" i="3"/>
  <c r="G20" i="3"/>
  <c r="G15" i="3"/>
  <c r="O36" i="8"/>
  <c r="I34" i="66" s="1"/>
  <c r="O25" i="8"/>
  <c r="O23" i="8"/>
  <c r="O21" i="8"/>
  <c r="AM41" i="8"/>
  <c r="AM42" i="8"/>
  <c r="AM43" i="8"/>
  <c r="AS39" i="8"/>
  <c r="AQ39" i="8"/>
  <c r="AS36" i="8"/>
  <c r="AQ36" i="8"/>
  <c r="AM36" i="8"/>
  <c r="AS27" i="8"/>
  <c r="AQ27" i="8"/>
  <c r="AM27" i="8"/>
  <c r="AS25" i="8"/>
  <c r="AQ25" i="8"/>
  <c r="AM25" i="8"/>
  <c r="AS23" i="8"/>
  <c r="AQ23" i="8"/>
  <c r="AM23" i="8"/>
  <c r="AS21" i="8"/>
  <c r="AQ21" i="8"/>
  <c r="AM21" i="8"/>
  <c r="AQ18" i="8"/>
  <c r="AM18" i="8"/>
  <c r="AQ17" i="8"/>
  <c r="AM17" i="8"/>
  <c r="AQ16" i="8"/>
  <c r="AM16" i="8"/>
  <c r="AQ15" i="8"/>
  <c r="N12" i="7"/>
  <c r="BF15" i="24" s="1"/>
  <c r="O12" i="7"/>
  <c r="BG15" i="25" s="1"/>
  <c r="P12" i="7"/>
  <c r="BH15" i="28" s="1"/>
  <c r="M12" i="7"/>
  <c r="BE15" i="25" s="1"/>
  <c r="W4" i="2"/>
  <c r="X4" i="2"/>
  <c r="Q4" i="2"/>
  <c r="E4" i="2"/>
  <c r="F4" i="2"/>
  <c r="G4" i="2"/>
  <c r="H4" i="2"/>
  <c r="I4" i="2"/>
  <c r="O4" i="2"/>
  <c r="P4" i="2"/>
  <c r="R4" i="2"/>
  <c r="S4" i="2"/>
  <c r="T4" i="2"/>
  <c r="U4" i="2"/>
  <c r="V4" i="2"/>
  <c r="Y4" i="2"/>
  <c r="Z4" i="2"/>
  <c r="AA4" i="2"/>
  <c r="D4" i="2"/>
  <c r="AO27" i="8"/>
  <c r="BH15" i="25"/>
  <c r="BH15" i="27"/>
  <c r="AC689" i="16"/>
  <c r="AY1566" i="16"/>
  <c r="I475" i="66"/>
  <c r="AC423" i="24"/>
  <c r="N1432" i="16"/>
  <c r="G1432" i="16" s="1"/>
  <c r="I1431" i="66"/>
  <c r="A1692" i="66"/>
  <c r="A1693" i="66" s="1"/>
  <c r="C1693" i="66" s="1"/>
  <c r="I1691" i="66"/>
  <c r="I21" i="66"/>
  <c r="AO193" i="8"/>
  <c r="I234" i="66"/>
  <c r="N615" i="16"/>
  <c r="A1540" i="66"/>
  <c r="I1539" i="66"/>
  <c r="A84" i="66"/>
  <c r="N60" i="16"/>
  <c r="G60" i="16" s="1"/>
  <c r="I59" i="66"/>
  <c r="I194" i="66"/>
  <c r="N245" i="16"/>
  <c r="G246" i="16" s="1"/>
  <c r="G247" i="16" s="1"/>
  <c r="I244" i="66"/>
  <c r="AO186" i="8"/>
  <c r="N255" i="16"/>
  <c r="G256" i="16" s="1"/>
  <c r="I254" i="66"/>
  <c r="I515" i="66"/>
  <c r="AO266" i="24"/>
  <c r="A520" i="66"/>
  <c r="C520" i="66" s="1"/>
  <c r="I519" i="66"/>
  <c r="N1543" i="16"/>
  <c r="G1544" i="16" s="1"/>
  <c r="G1545" i="16" s="1"/>
  <c r="G1546" i="16" s="1"/>
  <c r="G1547" i="16" s="1"/>
  <c r="I1542" i="66"/>
  <c r="N497" i="16"/>
  <c r="I496" i="66"/>
  <c r="N267" i="16"/>
  <c r="I266" i="66"/>
  <c r="N295" i="16"/>
  <c r="I294" i="66"/>
  <c r="AO148" i="24"/>
  <c r="I401" i="66"/>
  <c r="AO249" i="24"/>
  <c r="I502" i="66"/>
  <c r="I531" i="66"/>
  <c r="N600" i="16"/>
  <c r="G601" i="16" s="1"/>
  <c r="AO497" i="24"/>
  <c r="A751" i="66"/>
  <c r="C751" i="66" s="1"/>
  <c r="I750" i="66"/>
  <c r="C1325" i="66"/>
  <c r="I1325" i="66"/>
  <c r="AC566" i="25"/>
  <c r="A1735" i="66"/>
  <c r="C1735" i="66" s="1"/>
  <c r="I1734" i="66"/>
  <c r="I205" i="66"/>
  <c r="AO103" i="8"/>
  <c r="I101" i="66"/>
  <c r="I436" i="66"/>
  <c r="N407" i="16"/>
  <c r="I406" i="66"/>
  <c r="AO216" i="8"/>
  <c r="I214" i="66"/>
  <c r="N156" i="16"/>
  <c r="AO43" i="24"/>
  <c r="I296" i="66"/>
  <c r="N409" i="16"/>
  <c r="G410" i="16" s="1"/>
  <c r="I408" i="66"/>
  <c r="I1982" i="66"/>
  <c r="N26" i="16"/>
  <c r="G27" i="16" s="1"/>
  <c r="G28" i="16" s="1"/>
  <c r="G29" i="16" s="1"/>
  <c r="G30" i="16" s="1"/>
  <c r="G31" i="16" s="1"/>
  <c r="G32" i="16" s="1"/>
  <c r="G33" i="16" s="1"/>
  <c r="G34" i="16" s="1"/>
  <c r="AO195" i="24"/>
  <c r="N1493" i="16"/>
  <c r="G1493" i="16" s="1"/>
  <c r="N354" i="16"/>
  <c r="I353" i="66"/>
  <c r="A1748" i="66"/>
  <c r="C1748" i="66" s="1"/>
  <c r="I1747" i="66"/>
  <c r="I1781" i="66"/>
  <c r="R47" i="28"/>
  <c r="R42" i="28"/>
  <c r="M42" i="28" s="1"/>
  <c r="I1251" i="66"/>
  <c r="G14" i="18"/>
  <c r="G14" i="17"/>
  <c r="AC603" i="16"/>
  <c r="AC509" i="16"/>
  <c r="AC503" i="16"/>
  <c r="AC340" i="16"/>
  <c r="AC523" i="16"/>
  <c r="AC580" i="16"/>
  <c r="AC604" i="16"/>
  <c r="AC621" i="16"/>
  <c r="AC26" i="16"/>
  <c r="AC634" i="16"/>
  <c r="AC567" i="16"/>
  <c r="C14" i="17"/>
  <c r="O408" i="24"/>
  <c r="AO408" i="24" s="1"/>
  <c r="N662" i="16"/>
  <c r="G663" i="16" s="1"/>
  <c r="AO153" i="24"/>
  <c r="S264" i="28"/>
  <c r="T264" i="28" s="1"/>
  <c r="AD264" i="28" s="1"/>
  <c r="AC264" i="28" s="1"/>
  <c r="AC90" i="28"/>
  <c r="AC154" i="28"/>
  <c r="AC502" i="25"/>
  <c r="N503" i="16"/>
  <c r="G504" i="16" s="1"/>
  <c r="G505" i="16" s="1"/>
  <c r="G506" i="16" s="1"/>
  <c r="G507" i="16" s="1"/>
  <c r="G508" i="16" s="1"/>
  <c r="AC441" i="24"/>
  <c r="AC248" i="28"/>
  <c r="AC191" i="28"/>
  <c r="AO41" i="24"/>
  <c r="S225" i="28"/>
  <c r="T225" i="28" s="1"/>
  <c r="AD225" i="28" s="1"/>
  <c r="AC225" i="28" s="1"/>
  <c r="S222" i="28"/>
  <c r="O222" i="28" s="1"/>
  <c r="T429" i="24"/>
  <c r="AD429" i="24" s="1"/>
  <c r="AC429" i="24" s="1"/>
  <c r="BF15" i="27"/>
  <c r="AC148" i="28"/>
  <c r="BF15" i="25"/>
  <c r="N215" i="16"/>
  <c r="G215" i="16" s="1"/>
  <c r="N509" i="16"/>
  <c r="G510" i="16" s="1"/>
  <c r="G511" i="16" s="1"/>
  <c r="G512" i="16" s="1"/>
  <c r="G513" i="16" s="1"/>
  <c r="G514" i="16" s="1"/>
  <c r="G515" i="16" s="1"/>
  <c r="A22" i="3"/>
  <c r="AO157" i="27"/>
  <c r="T68" i="16"/>
  <c r="AD68" i="16" s="1"/>
  <c r="AC68" i="16" s="1"/>
  <c r="S78" i="16"/>
  <c r="O78" i="16" s="1"/>
  <c r="O68" i="16"/>
  <c r="S76" i="16"/>
  <c r="T76" i="16" s="1"/>
  <c r="AD76" i="16" s="1"/>
  <c r="AC76" i="16" s="1"/>
  <c r="S69" i="16"/>
  <c r="O69" i="16" s="1"/>
  <c r="E69" i="76" s="1"/>
  <c r="AY16" i="16"/>
  <c r="BF15" i="29"/>
  <c r="AY48" i="16"/>
  <c r="T148" i="8"/>
  <c r="AD148" i="8" s="1"/>
  <c r="AC148" i="8" s="1"/>
  <c r="AO162" i="27"/>
  <c r="N1548" i="16"/>
  <c r="G1549" i="16" s="1"/>
  <c r="G1550" i="16" s="1"/>
  <c r="AC565" i="25"/>
  <c r="AO493" i="25"/>
  <c r="AY24" i="16"/>
  <c r="AY11" i="16"/>
  <c r="AY278" i="16"/>
  <c r="O57" i="8"/>
  <c r="N56" i="16" s="1"/>
  <c r="G57" i="16" s="1"/>
  <c r="AC110" i="27"/>
  <c r="AO165" i="27"/>
  <c r="N1551" i="16"/>
  <c r="G1552" i="16" s="1"/>
  <c r="N1326" i="16"/>
  <c r="G1327" i="16" s="1"/>
  <c r="G1328" i="16" s="1"/>
  <c r="G1329" i="16" s="1"/>
  <c r="G1330" i="16" s="1"/>
  <c r="G1331" i="16" s="1"/>
  <c r="G1332" i="16" s="1"/>
  <c r="G1333" i="16" s="1"/>
  <c r="AO563" i="25"/>
  <c r="N1366" i="16"/>
  <c r="G1367" i="16" s="1"/>
  <c r="AO497" i="25"/>
  <c r="AO97" i="28"/>
  <c r="N1748" i="16"/>
  <c r="G1749" i="16" s="1"/>
  <c r="G1750" i="16" s="1"/>
  <c r="G1751" i="16" s="1"/>
  <c r="G1752" i="16" s="1"/>
  <c r="G1753" i="16" s="1"/>
  <c r="G1754" i="16" s="1"/>
  <c r="G1755" i="16" s="1"/>
  <c r="G1756" i="16" s="1"/>
  <c r="AO201" i="28"/>
  <c r="N1782" i="16"/>
  <c r="AC493" i="25"/>
  <c r="AY39" i="16"/>
  <c r="AY35" i="16"/>
  <c r="AY284" i="16"/>
  <c r="BH15" i="24"/>
  <c r="AO222" i="24"/>
  <c r="N751" i="16"/>
  <c r="G752" i="16" s="1"/>
  <c r="G753" i="16" s="1"/>
  <c r="G754" i="16" s="1"/>
  <c r="G755" i="16" s="1"/>
  <c r="G756" i="16" s="1"/>
  <c r="G757" i="16" s="1"/>
  <c r="G758" i="16" s="1"/>
  <c r="G759" i="16" s="1"/>
  <c r="G760" i="16" s="1"/>
  <c r="G761" i="16" s="1"/>
  <c r="G762" i="16" s="1"/>
  <c r="G763" i="16" s="1"/>
  <c r="G764" i="16" s="1"/>
  <c r="G765" i="16" s="1"/>
  <c r="G766" i="16" s="1"/>
  <c r="G767" i="16" s="1"/>
  <c r="G768" i="16" s="1"/>
  <c r="G769" i="16" s="1"/>
  <c r="G770" i="16" s="1"/>
  <c r="G771" i="16" s="1"/>
  <c r="N2002" i="16"/>
  <c r="AO184" i="29"/>
  <c r="N1364" i="16"/>
  <c r="G1365" i="16" s="1"/>
  <c r="AO601" i="25"/>
  <c r="N1305" i="16"/>
  <c r="G1306" i="16" s="1"/>
  <c r="G1307" i="16" s="1"/>
  <c r="G1308" i="16" s="1"/>
  <c r="G1309" i="16" s="1"/>
  <c r="G1310" i="16" s="1"/>
  <c r="G1311" i="16" s="1"/>
  <c r="G1312" i="16" s="1"/>
  <c r="G1313" i="16" s="1"/>
  <c r="G1314" i="16" s="1"/>
  <c r="G1315" i="16" s="1"/>
  <c r="AO542" i="25"/>
  <c r="N1565" i="16"/>
  <c r="AO18" i="28"/>
  <c r="N1637" i="16"/>
  <c r="G1638" i="16" s="1"/>
  <c r="AM163" i="28"/>
  <c r="N1789" i="16"/>
  <c r="G1790" i="16" s="1"/>
  <c r="AO242" i="28"/>
  <c r="N1692" i="16"/>
  <c r="G1693" i="16" s="1"/>
  <c r="G1694" i="16" s="1"/>
  <c r="G1695" i="16" s="1"/>
  <c r="G1696" i="16" s="1"/>
  <c r="G1697" i="16" s="1"/>
  <c r="G1698" i="16" s="1"/>
  <c r="G1699" i="16" s="1"/>
  <c r="G1700" i="16" s="1"/>
  <c r="G1701" i="16" s="1"/>
  <c r="G1702" i="16" s="1"/>
  <c r="G1703" i="16" s="1"/>
  <c r="G1704" i="16" s="1"/>
  <c r="AO145" i="28"/>
  <c r="AY300" i="16"/>
  <c r="N2004" i="16"/>
  <c r="G2005" i="16" s="1"/>
  <c r="AO624" i="25"/>
  <c r="N1639" i="16"/>
  <c r="G1640" i="16" s="1"/>
  <c r="G1641" i="16" s="1"/>
  <c r="AO92" i="28"/>
  <c r="AY38" i="16"/>
  <c r="AO61" i="8"/>
  <c r="O151" i="8"/>
  <c r="N150" i="16" s="1"/>
  <c r="N1291" i="16"/>
  <c r="G1292" i="16" s="1"/>
  <c r="G1293" i="16" s="1"/>
  <c r="G1294" i="16" s="1"/>
  <c r="G1295" i="16" s="1"/>
  <c r="G1296" i="16" s="1"/>
  <c r="G1297" i="16" s="1"/>
  <c r="G1298" i="16" s="1"/>
  <c r="AO528" i="25"/>
  <c r="O57" i="28"/>
  <c r="AY275" i="16"/>
  <c r="N1247" i="16"/>
  <c r="G1248" i="16" s="1"/>
  <c r="G1249" i="16" s="1"/>
  <c r="N1601" i="16"/>
  <c r="G1601" i="16" s="1"/>
  <c r="N1732" i="16"/>
  <c r="AO185" i="28"/>
  <c r="AC205" i="28"/>
  <c r="AY42" i="16"/>
  <c r="AY49" i="16"/>
  <c r="AY290" i="16"/>
  <c r="AO256" i="8"/>
  <c r="N1250" i="16"/>
  <c r="G1251" i="16" s="1"/>
  <c r="AO487" i="25"/>
  <c r="N1735" i="16"/>
  <c r="G1736" i="16" s="1"/>
  <c r="G1737" i="16" s="1"/>
  <c r="G1738" i="16" s="1"/>
  <c r="AO188" i="28"/>
  <c r="AY277" i="16"/>
  <c r="M276" i="16" s="1"/>
  <c r="N1252" i="16"/>
  <c r="AO489" i="25"/>
  <c r="AO46" i="27"/>
  <c r="O167" i="27"/>
  <c r="AO167" i="27" s="1"/>
  <c r="I1552" i="66"/>
  <c r="AO492" i="25"/>
  <c r="AO192" i="28"/>
  <c r="AC207" i="28"/>
  <c r="AY41" i="16"/>
  <c r="AY36" i="16"/>
  <c r="AO154" i="27"/>
  <c r="N1540" i="16"/>
  <c r="G1541" i="16" s="1"/>
  <c r="G1542" i="16" s="1"/>
  <c r="AC474" i="16"/>
  <c r="O306" i="16"/>
  <c r="E306" i="76" s="1"/>
  <c r="M463" i="16"/>
  <c r="AM463" i="16" s="1"/>
  <c r="O150" i="16"/>
  <c r="E150" i="76" s="1"/>
  <c r="O305" i="16"/>
  <c r="E305" i="76" s="1"/>
  <c r="AC423" i="16"/>
  <c r="AC670" i="16"/>
  <c r="AC701" i="16"/>
  <c r="AY14" i="16"/>
  <c r="AC595" i="25"/>
  <c r="AC490" i="25"/>
  <c r="AC492" i="25"/>
  <c r="CG4" i="2"/>
  <c r="CH4" i="2"/>
  <c r="AC596" i="25"/>
  <c r="S145" i="29"/>
  <c r="T145" i="29" s="1"/>
  <c r="AD145" i="29" s="1"/>
  <c r="AC145" i="29" s="1"/>
  <c r="S59" i="29"/>
  <c r="T59" i="29" s="1"/>
  <c r="AD59" i="29" s="1"/>
  <c r="AC59" i="29" s="1"/>
  <c r="S146" i="29"/>
  <c r="T146" i="29" s="1"/>
  <c r="AD146" i="29" s="1"/>
  <c r="AC146" i="29" s="1"/>
  <c r="S42" i="29"/>
  <c r="T42" i="29" s="1"/>
  <c r="AD42" i="29" s="1"/>
  <c r="AC42" i="29" s="1"/>
  <c r="S110" i="29"/>
  <c r="T110" i="29" s="1"/>
  <c r="AD110" i="29" s="1"/>
  <c r="AC110" i="29" s="1"/>
  <c r="S23" i="29"/>
  <c r="T23" i="29" s="1"/>
  <c r="AD23" i="29" s="1"/>
  <c r="AC23" i="29" s="1"/>
  <c r="S93" i="29"/>
  <c r="T93" i="29" s="1"/>
  <c r="AD93" i="29" s="1"/>
  <c r="AC93" i="29" s="1"/>
  <c r="S16" i="29"/>
  <c r="T16" i="29" s="1"/>
  <c r="AD16" i="29" s="1"/>
  <c r="S140" i="29"/>
  <c r="T140" i="29" s="1"/>
  <c r="AD140" i="29" s="1"/>
  <c r="AC140" i="29" s="1"/>
  <c r="S44" i="29"/>
  <c r="T44" i="29" s="1"/>
  <c r="AD44" i="29" s="1"/>
  <c r="AC44" i="29" s="1"/>
  <c r="S49" i="29"/>
  <c r="T49" i="29" s="1"/>
  <c r="AD49" i="29" s="1"/>
  <c r="AC49" i="29" s="1"/>
  <c r="S54" i="29"/>
  <c r="T54" i="29" s="1"/>
  <c r="AD54" i="29" s="1"/>
  <c r="AC54" i="29" s="1"/>
  <c r="S133" i="29"/>
  <c r="T133" i="29" s="1"/>
  <c r="AD133" i="29" s="1"/>
  <c r="AC133" i="29" s="1"/>
  <c r="S118" i="29"/>
  <c r="T118" i="29" s="1"/>
  <c r="AD118" i="29" s="1"/>
  <c r="AC118" i="29" s="1"/>
  <c r="S147" i="29"/>
  <c r="T147" i="29" s="1"/>
  <c r="AD147" i="29" s="1"/>
  <c r="AC147" i="29" s="1"/>
  <c r="AC416" i="24"/>
  <c r="AO346" i="24"/>
  <c r="N520" i="16"/>
  <c r="G521" i="16" s="1"/>
  <c r="G522" i="16" s="1"/>
  <c r="G523" i="16" s="1"/>
  <c r="G524" i="16" s="1"/>
  <c r="G525" i="16" s="1"/>
  <c r="G526" i="16" s="1"/>
  <c r="G527" i="16" s="1"/>
  <c r="AO243" i="24"/>
  <c r="O54" i="24"/>
  <c r="N308" i="16" s="1"/>
  <c r="G308" i="16" s="1"/>
  <c r="S117" i="29"/>
  <c r="T117" i="29" s="1"/>
  <c r="AD117" i="29" s="1"/>
  <c r="AC117" i="29" s="1"/>
  <c r="S107" i="29"/>
  <c r="T107" i="29" s="1"/>
  <c r="AD107" i="29" s="1"/>
  <c r="AC107" i="29" s="1"/>
  <c r="S129" i="29"/>
  <c r="T129" i="29"/>
  <c r="AD129" i="29" s="1"/>
  <c r="AC129" i="29" s="1"/>
  <c r="S149" i="29"/>
  <c r="R149" i="29" s="1"/>
  <c r="S32" i="29"/>
  <c r="T32" i="29" s="1"/>
  <c r="AD32" i="29" s="1"/>
  <c r="AC32" i="29" s="1"/>
  <c r="S17" i="29"/>
  <c r="S52" i="29"/>
  <c r="T52" i="29" s="1"/>
  <c r="AD52" i="29" s="1"/>
  <c r="AC52" i="29" s="1"/>
  <c r="S27" i="29"/>
  <c r="T27" i="29" s="1"/>
  <c r="AD27" i="29" s="1"/>
  <c r="AC27" i="29" s="1"/>
  <c r="S148" i="29"/>
  <c r="T148" i="29" s="1"/>
  <c r="AD148" i="29" s="1"/>
  <c r="AC148" i="29" s="1"/>
  <c r="S31" i="29"/>
  <c r="T31" i="29" s="1"/>
  <c r="AD31" i="29" s="1"/>
  <c r="AC31" i="29" s="1"/>
  <c r="S87" i="29"/>
  <c r="R87" i="29" s="1"/>
  <c r="AE87" i="29" s="1"/>
  <c r="S89" i="29"/>
  <c r="T89" i="29" s="1"/>
  <c r="AD89" i="29" s="1"/>
  <c r="AC89" i="29" s="1"/>
  <c r="S25" i="29"/>
  <c r="T25" i="29" s="1"/>
  <c r="AD25" i="29" s="1"/>
  <c r="AC25" i="29" s="1"/>
  <c r="S143" i="29"/>
  <c r="T143" i="29" s="1"/>
  <c r="AD143" i="29" s="1"/>
  <c r="AC143" i="29" s="1"/>
  <c r="S51" i="29"/>
  <c r="T51" i="29" s="1"/>
  <c r="AD51" i="29" s="1"/>
  <c r="AC51" i="29" s="1"/>
  <c r="S60" i="29"/>
  <c r="R60" i="29" s="1"/>
  <c r="S115" i="29"/>
  <c r="T115" i="29" s="1"/>
  <c r="AD115" i="29" s="1"/>
  <c r="AC115" i="29" s="1"/>
  <c r="S46" i="29"/>
  <c r="T46" i="29" s="1"/>
  <c r="AD46" i="29" s="1"/>
  <c r="AC46" i="29" s="1"/>
  <c r="S28" i="29"/>
  <c r="T28" i="29" s="1"/>
  <c r="AD28" i="29" s="1"/>
  <c r="S94" i="29"/>
  <c r="T94" i="29" s="1"/>
  <c r="AD94" i="29" s="1"/>
  <c r="AC94" i="29" s="1"/>
  <c r="S84" i="29"/>
  <c r="R84" i="29" s="1"/>
  <c r="S47" i="29"/>
  <c r="T47" i="29" s="1"/>
  <c r="AD47" i="29" s="1"/>
  <c r="AC47" i="29" s="1"/>
  <c r="S56" i="29"/>
  <c r="T56" i="29" s="1"/>
  <c r="AD56" i="29" s="1"/>
  <c r="AC56" i="29" s="1"/>
  <c r="S58" i="29"/>
  <c r="T58" i="29" s="1"/>
  <c r="AD58" i="29" s="1"/>
  <c r="AC58" i="29" s="1"/>
  <c r="AY18" i="16"/>
  <c r="S30" i="29"/>
  <c r="T30" i="29" s="1"/>
  <c r="AD30" i="29" s="1"/>
  <c r="AC30" i="29" s="1"/>
  <c r="S102" i="29"/>
  <c r="T102" i="29" s="1"/>
  <c r="AD102" i="29" s="1"/>
  <c r="S21" i="29"/>
  <c r="T21" i="29" s="1"/>
  <c r="AD21" i="29" s="1"/>
  <c r="AC21" i="29" s="1"/>
  <c r="S105" i="29"/>
  <c r="T105" i="29" s="1"/>
  <c r="AD105" i="29" s="1"/>
  <c r="AC105" i="29" s="1"/>
  <c r="S22" i="29"/>
  <c r="T22" i="29" s="1"/>
  <c r="AD22" i="29" s="1"/>
  <c r="AC22" i="29" s="1"/>
  <c r="S113" i="29"/>
  <c r="T113" i="29" s="1"/>
  <c r="AD113" i="29" s="1"/>
  <c r="AC113" i="29" s="1"/>
  <c r="S92" i="29"/>
  <c r="T92" i="29" s="1"/>
  <c r="AD92" i="29" s="1"/>
  <c r="AC92" i="29" s="1"/>
  <c r="S142" i="29"/>
  <c r="T142" i="29" s="1"/>
  <c r="AD142" i="29" s="1"/>
  <c r="AC142" i="29" s="1"/>
  <c r="S121" i="29"/>
  <c r="T121" i="29" s="1"/>
  <c r="AD121" i="29" s="1"/>
  <c r="S38" i="29"/>
  <c r="T38" i="29" s="1"/>
  <c r="AD38" i="29" s="1"/>
  <c r="AC38" i="29" s="1"/>
  <c r="S90" i="29"/>
  <c r="T90" i="29" s="1"/>
  <c r="AD90" i="29" s="1"/>
  <c r="AC90" i="29" s="1"/>
  <c r="BE15" i="29"/>
  <c r="BE15" i="27"/>
  <c r="AY282" i="16"/>
  <c r="AY28" i="16"/>
  <c r="N84" i="16"/>
  <c r="G85" i="16" s="1"/>
  <c r="G86" i="16" s="1"/>
  <c r="G87" i="16" s="1"/>
  <c r="G88" i="16" s="1"/>
  <c r="G89" i="16" s="1"/>
  <c r="G90" i="16" s="1"/>
  <c r="AO85" i="8"/>
  <c r="M24" i="24"/>
  <c r="M22" i="24"/>
  <c r="AE150" i="24"/>
  <c r="AC150" i="24" s="1"/>
  <c r="M150" i="24"/>
  <c r="AM150" i="24" s="1"/>
  <c r="S121" i="24"/>
  <c r="S97" i="24"/>
  <c r="R97" i="24" s="1"/>
  <c r="AE97" i="24" s="1"/>
  <c r="AY20" i="16"/>
  <c r="AO179" i="24"/>
  <c r="N433" i="16"/>
  <c r="G434" i="16" s="1"/>
  <c r="G435" i="16" s="1"/>
  <c r="AO39" i="24"/>
  <c r="N20" i="16"/>
  <c r="G21" i="16" s="1"/>
  <c r="N102" i="16"/>
  <c r="AO224" i="24"/>
  <c r="N556" i="16"/>
  <c r="AO302" i="24"/>
  <c r="AE415" i="16"/>
  <c r="M415" i="16"/>
  <c r="AM415" i="16" s="1"/>
  <c r="AE29" i="28"/>
  <c r="AC29" i="28" s="1"/>
  <c r="O52" i="28"/>
  <c r="N1599" i="16" s="1"/>
  <c r="R52" i="28"/>
  <c r="M52" i="28"/>
  <c r="T152" i="16"/>
  <c r="AD152" i="16" s="1"/>
  <c r="AC152" i="16" s="1"/>
  <c r="O152" i="16"/>
  <c r="E152" i="76" s="1"/>
  <c r="T304" i="16"/>
  <c r="AD304" i="16" s="1"/>
  <c r="AC304" i="16" s="1"/>
  <c r="O304" i="16"/>
  <c r="M95" i="28"/>
  <c r="AM95" i="28" s="1"/>
  <c r="T106" i="27"/>
  <c r="AD106" i="27" s="1"/>
  <c r="AC106" i="27" s="1"/>
  <c r="O106" i="27"/>
  <c r="N296" i="16"/>
  <c r="AE220" i="24"/>
  <c r="AC220" i="24" s="1"/>
  <c r="M220" i="24"/>
  <c r="AM220" i="24"/>
  <c r="N184" i="16"/>
  <c r="AO185" i="8"/>
  <c r="N297" i="16"/>
  <c r="AO363" i="24"/>
  <c r="N617" i="16"/>
  <c r="O655" i="16"/>
  <c r="E655" i="76" s="1"/>
  <c r="AC677" i="16"/>
  <c r="M474" i="16"/>
  <c r="AM474" i="16" s="1"/>
  <c r="T78" i="16"/>
  <c r="AD78" i="16" s="1"/>
  <c r="AC78" i="16" s="1"/>
  <c r="O646" i="16"/>
  <c r="T646" i="16"/>
  <c r="AD646" i="16" s="1"/>
  <c r="AC646" i="16" s="1"/>
  <c r="S70" i="8"/>
  <c r="O70" i="8" s="1"/>
  <c r="O627" i="25"/>
  <c r="N1390" i="16" s="1"/>
  <c r="G1391" i="16" s="1"/>
  <c r="G1392" i="16" s="1"/>
  <c r="G1393" i="16" s="1"/>
  <c r="G1394" i="16" s="1"/>
  <c r="AC570" i="25"/>
  <c r="AE179" i="28"/>
  <c r="N402" i="16"/>
  <c r="AC78" i="27"/>
  <c r="AY270" i="16"/>
  <c r="T13" i="23"/>
  <c r="AY269" i="16"/>
  <c r="AY286" i="16"/>
  <c r="BE269" i="16"/>
  <c r="BE14" i="16"/>
  <c r="AY271" i="16"/>
  <c r="AY12" i="16"/>
  <c r="AY23" i="16"/>
  <c r="N235" i="16"/>
  <c r="AO236" i="8"/>
  <c r="N474" i="16"/>
  <c r="AO220" i="24"/>
  <c r="N165" i="16"/>
  <c r="G166" i="16" s="1"/>
  <c r="G163" i="16" s="1"/>
  <c r="S115" i="24"/>
  <c r="T115" i="24" s="1"/>
  <c r="AD115" i="24" s="1"/>
  <c r="AC115" i="24" s="1"/>
  <c r="S78" i="24"/>
  <c r="T78" i="24" s="1"/>
  <c r="S107" i="24"/>
  <c r="AO246" i="8"/>
  <c r="N286" i="16"/>
  <c r="G287" i="16" s="1"/>
  <c r="G288" i="16" s="1"/>
  <c r="AO32" i="24"/>
  <c r="O50" i="24"/>
  <c r="T50" i="24"/>
  <c r="AD50" i="24" s="1"/>
  <c r="AC50" i="24" s="1"/>
  <c r="AY31" i="16"/>
  <c r="AY34" i="16"/>
  <c r="N195" i="16"/>
  <c r="G196" i="16" s="1"/>
  <c r="O401" i="24"/>
  <c r="I654" i="66" s="1"/>
  <c r="AY57" i="16"/>
  <c r="N192" i="16"/>
  <c r="AO278" i="24"/>
  <c r="AO13" i="24"/>
  <c r="N294" i="16"/>
  <c r="AO40" i="24"/>
  <c r="T53" i="24"/>
  <c r="AD53" i="24" s="1"/>
  <c r="AC53" i="24" s="1"/>
  <c r="O53" i="24"/>
  <c r="I306" i="66" s="1"/>
  <c r="AE214" i="24"/>
  <c r="AC214" i="24" s="1"/>
  <c r="BE15" i="28"/>
  <c r="BE15" i="8"/>
  <c r="AO361" i="24"/>
  <c r="O472" i="24"/>
  <c r="I725" i="66" s="1"/>
  <c r="T479" i="24"/>
  <c r="AD479" i="24" s="1"/>
  <c r="AC479" i="24" s="1"/>
  <c r="BE15" i="24"/>
  <c r="N499" i="16"/>
  <c r="G499" i="16" s="1"/>
  <c r="AO245" i="24"/>
  <c r="AC78" i="24"/>
  <c r="AO155" i="24"/>
  <c r="O123" i="27"/>
  <c r="I1508" i="66" s="1"/>
  <c r="T123" i="27"/>
  <c r="AD123" i="27"/>
  <c r="AC123" i="27" s="1"/>
  <c r="AY45" i="16"/>
  <c r="AY288" i="16"/>
  <c r="AO188" i="8"/>
  <c r="N187" i="16"/>
  <c r="G188" i="16" s="1"/>
  <c r="AC435" i="24"/>
  <c r="N547" i="16"/>
  <c r="G548" i="16" s="1"/>
  <c r="G549" i="16" s="1"/>
  <c r="G550" i="16" s="1"/>
  <c r="G551" i="16" s="1"/>
  <c r="G552" i="16" s="1"/>
  <c r="G553" i="16" s="1"/>
  <c r="G554" i="16" s="1"/>
  <c r="G555" i="16" s="1"/>
  <c r="AO293" i="24"/>
  <c r="N477" i="16"/>
  <c r="G477" i="16" s="1"/>
  <c r="AE468" i="16"/>
  <c r="M468" i="16"/>
  <c r="AM468" i="16" s="1"/>
  <c r="M71" i="28"/>
  <c r="AM71" i="28" s="1"/>
  <c r="AC71" i="28"/>
  <c r="T17" i="16"/>
  <c r="AD17" i="16" s="1"/>
  <c r="AC17" i="16" s="1"/>
  <c r="AC568" i="25"/>
  <c r="R50" i="28"/>
  <c r="O50" i="28"/>
  <c r="AD50" i="28"/>
  <c r="O77" i="27"/>
  <c r="AO77" i="27" s="1"/>
  <c r="T77" i="27"/>
  <c r="AD77" i="27" s="1"/>
  <c r="AC77" i="27" s="1"/>
  <c r="O127" i="28"/>
  <c r="T129" i="28"/>
  <c r="AD129" i="28" s="1"/>
  <c r="AC129" i="28" s="1"/>
  <c r="O620" i="25"/>
  <c r="I1382" i="66" s="1"/>
  <c r="S98" i="27"/>
  <c r="T98" i="27" s="1"/>
  <c r="AD98" i="27" s="1"/>
  <c r="AC98" i="27" s="1"/>
  <c r="S100" i="27"/>
  <c r="AD42" i="28"/>
  <c r="O42" i="28"/>
  <c r="I1588" i="66" s="1"/>
  <c r="T54" i="28"/>
  <c r="AD54" i="28" s="1"/>
  <c r="AC54" i="28" s="1"/>
  <c r="T134" i="28"/>
  <c r="AD134" i="28" s="1"/>
  <c r="O139" i="28"/>
  <c r="I1685" i="66" s="1"/>
  <c r="A1543" i="66"/>
  <c r="C1543" i="66" s="1"/>
  <c r="AO151" i="8"/>
  <c r="I149" i="66"/>
  <c r="AO54" i="24"/>
  <c r="I307" i="66"/>
  <c r="I661" i="66"/>
  <c r="AE42" i="28"/>
  <c r="A1252" i="66"/>
  <c r="A1253" i="66" s="1"/>
  <c r="C1253" i="66" s="1"/>
  <c r="T69" i="16"/>
  <c r="AD69" i="16" s="1"/>
  <c r="AC69" i="16" s="1"/>
  <c r="T211" i="28"/>
  <c r="AD211" i="28" s="1"/>
  <c r="AE52" i="28"/>
  <c r="AC52" i="28" s="1"/>
  <c r="F22" i="3"/>
  <c r="I32" i="18" s="1"/>
  <c r="N1509" i="16"/>
  <c r="N1383" i="16"/>
  <c r="R16" i="29"/>
  <c r="T149" i="29"/>
  <c r="AD149" i="29" s="1"/>
  <c r="R102" i="29"/>
  <c r="M102" i="29" s="1"/>
  <c r="AM102" i="29" s="1"/>
  <c r="T79" i="8"/>
  <c r="AD79" i="8" s="1"/>
  <c r="AC79" i="8" s="1"/>
  <c r="AO155" i="8"/>
  <c r="O463" i="25"/>
  <c r="M126" i="16"/>
  <c r="O1615" i="16"/>
  <c r="O1573" i="16"/>
  <c r="O1799" i="16"/>
  <c r="O187" i="24"/>
  <c r="O169" i="16"/>
  <c r="S211" i="24"/>
  <c r="O249" i="8"/>
  <c r="M136" i="16"/>
  <c r="O122" i="16"/>
  <c r="O63" i="27"/>
  <c r="S616" i="25"/>
  <c r="R331" i="24"/>
  <c r="R329" i="24"/>
  <c r="S61" i="28"/>
  <c r="S1099" i="16"/>
  <c r="S479" i="25"/>
  <c r="S173" i="28"/>
  <c r="S554" i="25"/>
  <c r="S474" i="25"/>
  <c r="M124" i="16"/>
  <c r="O73" i="27"/>
  <c r="O314" i="16"/>
  <c r="AE994" i="16"/>
  <c r="S393" i="16"/>
  <c r="S397" i="16"/>
  <c r="S381" i="16"/>
  <c r="R583" i="16"/>
  <c r="S470" i="25"/>
  <c r="M133" i="8"/>
  <c r="S1097" i="16"/>
  <c r="S1233" i="16"/>
  <c r="M132" i="16"/>
  <c r="O55" i="24"/>
  <c r="O134" i="16"/>
  <c r="O630" i="16"/>
  <c r="O135" i="8"/>
  <c r="S143" i="24"/>
  <c r="O576" i="25"/>
  <c r="O229" i="16"/>
  <c r="AE988" i="16"/>
  <c r="O707" i="16"/>
  <c r="R678" i="16"/>
  <c r="O450" i="16"/>
  <c r="O1513" i="16"/>
  <c r="R585" i="16"/>
  <c r="S389" i="16"/>
  <c r="O252" i="28"/>
  <c r="M145" i="16"/>
  <c r="O352" i="24"/>
  <c r="S135" i="24"/>
  <c r="S776" i="16"/>
  <c r="S334" i="25"/>
  <c r="O68" i="28"/>
  <c r="T12" i="27"/>
  <c r="S167" i="28"/>
  <c r="R682" i="16"/>
  <c r="M127" i="16"/>
  <c r="M140" i="16"/>
  <c r="W607" i="25"/>
  <c r="O78" i="27"/>
  <c r="O226" i="8"/>
  <c r="O441" i="16"/>
  <c r="O1758" i="16"/>
  <c r="O1226" i="16"/>
  <c r="O606" i="16"/>
  <c r="O113" i="16"/>
  <c r="M128" i="16"/>
  <c r="S383" i="16"/>
  <c r="O196" i="24"/>
  <c r="S258" i="8"/>
  <c r="S1090" i="16"/>
  <c r="M125" i="16"/>
  <c r="O309" i="16"/>
  <c r="O248" i="28"/>
  <c r="O1480" i="16"/>
  <c r="R428" i="24"/>
  <c r="O71" i="16"/>
  <c r="S609" i="25"/>
  <c r="O1339" i="16"/>
  <c r="AE225" i="25"/>
  <c r="O114" i="8"/>
  <c r="O1449" i="16"/>
  <c r="O1524" i="16"/>
  <c r="S39" i="8"/>
  <c r="O367" i="24"/>
  <c r="O453" i="24"/>
  <c r="M146" i="8"/>
  <c r="O107" i="8"/>
  <c r="S682" i="16"/>
  <c r="O1440" i="16"/>
  <c r="M138" i="16"/>
  <c r="O1533" i="16"/>
  <c r="AE231" i="25"/>
  <c r="O621" i="16"/>
  <c r="S1092" i="16"/>
  <c r="O85" i="27"/>
  <c r="M130" i="16"/>
  <c r="O248" i="16"/>
  <c r="S465" i="16"/>
  <c r="O1433" i="16"/>
  <c r="T1398" i="16"/>
  <c r="S255" i="8"/>
  <c r="O225" i="16"/>
  <c r="O1464" i="16"/>
  <c r="S556" i="25"/>
  <c r="O106" i="16"/>
  <c r="S127" i="24"/>
  <c r="O1454" i="16"/>
  <c r="M137" i="16"/>
  <c r="S327" i="25"/>
  <c r="S558" i="25"/>
  <c r="S225" i="8"/>
  <c r="S335" i="25"/>
  <c r="S129" i="24"/>
  <c r="O127" i="27"/>
  <c r="M140" i="8"/>
  <c r="S1237" i="16"/>
  <c r="S171" i="28"/>
  <c r="O1459" i="16"/>
  <c r="O1795" i="16"/>
  <c r="R671" i="16"/>
  <c r="S139" i="24"/>
  <c r="S329" i="25"/>
  <c r="O1471" i="16"/>
  <c r="M139" i="16"/>
  <c r="S1098" i="16"/>
  <c r="S336" i="25"/>
  <c r="O376" i="24"/>
  <c r="S168" i="28"/>
  <c r="O54" i="27"/>
  <c r="M135" i="16"/>
  <c r="S428" i="24"/>
  <c r="R417" i="24"/>
  <c r="S1379" i="16"/>
  <c r="S337" i="25"/>
  <c r="S1100" i="16"/>
  <c r="O138" i="27"/>
  <c r="O47" i="27"/>
  <c r="G1732" i="16" l="1"/>
  <c r="G1733" i="16" s="1"/>
  <c r="G1734" i="16" s="1"/>
  <c r="AC239" i="28"/>
  <c r="AO235" i="28"/>
  <c r="A1781" i="66"/>
  <c r="A1782" i="66" s="1"/>
  <c r="C1782" i="66" s="1"/>
  <c r="G1782" i="16"/>
  <c r="G1783" i="16" s="1"/>
  <c r="G1784" i="16" s="1"/>
  <c r="G1785" i="16" s="1"/>
  <c r="G1786" i="16" s="1"/>
  <c r="G1787" i="16" s="1"/>
  <c r="G1788" i="16" s="1"/>
  <c r="AC200" i="28"/>
  <c r="N1674" i="16"/>
  <c r="A1673" i="66"/>
  <c r="G1665" i="16"/>
  <c r="G1666" i="16" s="1"/>
  <c r="G1667" i="16" s="1"/>
  <c r="G1668" i="16" s="1"/>
  <c r="G1669" i="16" s="1"/>
  <c r="G1670" i="16" s="1"/>
  <c r="AC118" i="28"/>
  <c r="AE57" i="28"/>
  <c r="M57" i="28"/>
  <c r="T57" i="28"/>
  <c r="AD57" i="28" s="1"/>
  <c r="AO54" i="28"/>
  <c r="O33" i="28"/>
  <c r="I1579" i="66" s="1"/>
  <c r="G1565" i="16"/>
  <c r="G1566" i="16" s="1"/>
  <c r="G1567" i="16" s="1"/>
  <c r="T116" i="27"/>
  <c r="AD116" i="27" s="1"/>
  <c r="AC116" i="27" s="1"/>
  <c r="G1509" i="16"/>
  <c r="G1510" i="16" s="1"/>
  <c r="AC47" i="27"/>
  <c r="C1273" i="66"/>
  <c r="A1273" i="66"/>
  <c r="A776" i="66"/>
  <c r="A781" i="66"/>
  <c r="A778" i="66"/>
  <c r="A797" i="66"/>
  <c r="C797" i="66" s="1"/>
  <c r="A784" i="66"/>
  <c r="C784" i="66" s="1"/>
  <c r="AO472" i="24"/>
  <c r="A725" i="66"/>
  <c r="A726" i="66" s="1"/>
  <c r="C726" i="66" s="1"/>
  <c r="G615" i="16"/>
  <c r="G616" i="16" s="1"/>
  <c r="G613" i="16" s="1"/>
  <c r="G614" i="16" s="1"/>
  <c r="A555" i="66"/>
  <c r="A556" i="66" s="1"/>
  <c r="C556" i="66" s="1"/>
  <c r="G556" i="16"/>
  <c r="G557" i="16" s="1"/>
  <c r="G558" i="16" s="1"/>
  <c r="G559" i="16" s="1"/>
  <c r="G560" i="16" s="1"/>
  <c r="G561" i="16" s="1"/>
  <c r="G562" i="16" s="1"/>
  <c r="G563" i="16" s="1"/>
  <c r="G564" i="16" s="1"/>
  <c r="G565" i="16" s="1"/>
  <c r="G566" i="16" s="1"/>
  <c r="G567" i="16" s="1"/>
  <c r="G568" i="16" s="1"/>
  <c r="G569" i="16" s="1"/>
  <c r="G497" i="16"/>
  <c r="G498" i="16" s="1"/>
  <c r="A469" i="66"/>
  <c r="C469" i="66" s="1"/>
  <c r="G408" i="16"/>
  <c r="G407" i="16"/>
  <c r="G402" i="16"/>
  <c r="G403" i="16" s="1"/>
  <c r="G354" i="16"/>
  <c r="G355" i="16" s="1"/>
  <c r="G235" i="16"/>
  <c r="G236" i="16" s="1"/>
  <c r="G237" i="16" s="1"/>
  <c r="G238" i="16" s="1"/>
  <c r="G239" i="16" s="1"/>
  <c r="G240" i="16" s="1"/>
  <c r="G241" i="16" s="1"/>
  <c r="G242" i="16" s="1"/>
  <c r="G243" i="16" s="1"/>
  <c r="G244" i="16" s="1"/>
  <c r="G192" i="16"/>
  <c r="G193" i="16" s="1"/>
  <c r="A155" i="66"/>
  <c r="A156" i="66" s="1"/>
  <c r="C156" i="66" s="1"/>
  <c r="I146" i="66"/>
  <c r="N147" i="16"/>
  <c r="AO148" i="8"/>
  <c r="O153" i="8"/>
  <c r="G150" i="16"/>
  <c r="G151" i="16" s="1"/>
  <c r="G102" i="16"/>
  <c r="G103" i="16" s="1"/>
  <c r="G104" i="16" s="1"/>
  <c r="G105" i="16" s="1"/>
  <c r="G44" i="16"/>
  <c r="G45" i="16" s="1"/>
  <c r="G46" i="16" s="1"/>
  <c r="G47" i="16" s="1"/>
  <c r="AO45" i="8"/>
  <c r="I43" i="66"/>
  <c r="AY59" i="16"/>
  <c r="AY54" i="16"/>
  <c r="T222" i="28"/>
  <c r="AD222" i="28" s="1"/>
  <c r="AC222" i="28" s="1"/>
  <c r="AY1850" i="16"/>
  <c r="O78" i="24"/>
  <c r="I331" i="66" s="1"/>
  <c r="G1253" i="16"/>
  <c r="G1254" i="16" s="1"/>
  <c r="G1252" i="16"/>
  <c r="G268" i="16"/>
  <c r="G269" i="16" s="1"/>
  <c r="G270" i="16" s="1"/>
  <c r="G271" i="16" s="1"/>
  <c r="G272" i="16" s="1"/>
  <c r="G273" i="16" s="1"/>
  <c r="G274" i="16" s="1"/>
  <c r="G275" i="16" s="1"/>
  <c r="G276" i="16" s="1"/>
  <c r="G277" i="16" s="1"/>
  <c r="G278" i="16" s="1"/>
  <c r="G267" i="16"/>
  <c r="G10" i="18"/>
  <c r="AY782" i="16"/>
  <c r="T1065" i="16" s="1"/>
  <c r="G10" i="17"/>
  <c r="AY1837" i="16"/>
  <c r="T87" i="29"/>
  <c r="AD87" i="29" s="1"/>
  <c r="AY273" i="16"/>
  <c r="AY15" i="16"/>
  <c r="U13" i="23"/>
  <c r="BD1563" i="16" s="1"/>
  <c r="C14" i="18"/>
  <c r="C10" i="17"/>
  <c r="AY265" i="16"/>
  <c r="AY10" i="16"/>
  <c r="G1634" i="16"/>
  <c r="G1635" i="16" s="1"/>
  <c r="G1636" i="16" s="1"/>
  <c r="G1262" i="16"/>
  <c r="G1263" i="16" s="1"/>
  <c r="G1264" i="16" s="1"/>
  <c r="G1259" i="16"/>
  <c r="G602" i="16"/>
  <c r="G589" i="16"/>
  <c r="G590" i="16" s="1"/>
  <c r="G591" i="16" s="1"/>
  <c r="G592" i="16" s="1"/>
  <c r="G593" i="16" s="1"/>
  <c r="G594" i="16" s="1"/>
  <c r="G595" i="16" s="1"/>
  <c r="G596" i="16" s="1"/>
  <c r="G597" i="16" s="1"/>
  <c r="G598" i="16" s="1"/>
  <c r="G599" i="16" s="1"/>
  <c r="G1338" i="16"/>
  <c r="G1363" i="16"/>
  <c r="G1362" i="16"/>
  <c r="A1523" i="66"/>
  <c r="A1510" i="66" s="1"/>
  <c r="A1614" i="66"/>
  <c r="A629" i="66"/>
  <c r="A449" i="66"/>
  <c r="A308" i="66"/>
  <c r="A1560" i="66"/>
  <c r="C1604" i="66"/>
  <c r="A1602" i="66"/>
  <c r="C1637" i="66"/>
  <c r="A1633" i="66"/>
  <c r="A78" i="66"/>
  <c r="C69" i="66"/>
  <c r="A65" i="66"/>
  <c r="C192" i="66"/>
  <c r="C1132" i="66"/>
  <c r="A1489" i="66"/>
  <c r="C1726" i="66"/>
  <c r="A284" i="66"/>
  <c r="C284" i="66" s="1"/>
  <c r="A280" i="66"/>
  <c r="C20" i="66"/>
  <c r="A17" i="66"/>
  <c r="C165" i="66"/>
  <c r="A162" i="66"/>
  <c r="C1502" i="66"/>
  <c r="A1498" i="66"/>
  <c r="A1778" i="66"/>
  <c r="C222" i="66"/>
  <c r="A219" i="66"/>
  <c r="A1001" i="66"/>
  <c r="A1002" i="66" s="1"/>
  <c r="C1589" i="66"/>
  <c r="C402" i="66"/>
  <c r="A400" i="66"/>
  <c r="C400" i="66" s="1"/>
  <c r="A399" i="66"/>
  <c r="C399" i="66" s="1"/>
  <c r="S835" i="16"/>
  <c r="C1540" i="66"/>
  <c r="A1541" i="66"/>
  <c r="C1541" i="66" s="1"/>
  <c r="I63" i="66"/>
  <c r="N64" i="16"/>
  <c r="G65" i="16" s="1"/>
  <c r="AC600" i="16"/>
  <c r="D22" i="3"/>
  <c r="C22" i="3"/>
  <c r="F32" i="17" s="1"/>
  <c r="E22" i="3"/>
  <c r="H32" i="17" s="1"/>
  <c r="I202" i="66"/>
  <c r="N203" i="16"/>
  <c r="G204" i="16" s="1"/>
  <c r="G205" i="16" s="1"/>
  <c r="AO204" i="8"/>
  <c r="AO166" i="8"/>
  <c r="I164" i="66"/>
  <c r="I2003" i="66"/>
  <c r="AO186" i="29"/>
  <c r="T17" i="29"/>
  <c r="AD17" i="29" s="1"/>
  <c r="R17" i="29"/>
  <c r="AE17" i="29" s="1"/>
  <c r="I1603" i="66"/>
  <c r="AO57" i="28"/>
  <c r="N1604" i="16"/>
  <c r="I446" i="66"/>
  <c r="AO193" i="24"/>
  <c r="N447" i="16"/>
  <c r="G448" i="16" s="1"/>
  <c r="N363" i="16"/>
  <c r="I362" i="66"/>
  <c r="AO109" i="24"/>
  <c r="I1704" i="66"/>
  <c r="N1705" i="16"/>
  <c r="G1706" i="16" s="1"/>
  <c r="G1707" i="16" s="1"/>
  <c r="G1708" i="16" s="1"/>
  <c r="G1709" i="16" s="1"/>
  <c r="AO158" i="28"/>
  <c r="S525" i="25"/>
  <c r="N1287" i="16"/>
  <c r="AO524" i="25"/>
  <c r="O1484" i="16"/>
  <c r="T1484" i="16"/>
  <c r="AD1484" i="16" s="1"/>
  <c r="AC1484" i="16" s="1"/>
  <c r="AY1561" i="16"/>
  <c r="E104" i="17"/>
  <c r="F104" i="18" s="1"/>
  <c r="AY268" i="16"/>
  <c r="AY13" i="16"/>
  <c r="AY1400" i="16"/>
  <c r="X4" i="16"/>
  <c r="BG778" i="16"/>
  <c r="BG14" i="16"/>
  <c r="BG269" i="16"/>
  <c r="AY32" i="16"/>
  <c r="AY285" i="16"/>
  <c r="AY46" i="16"/>
  <c r="AY289" i="16"/>
  <c r="AO364" i="24"/>
  <c r="I617" i="66"/>
  <c r="N618" i="16"/>
  <c r="G619" i="16" s="1"/>
  <c r="A207" i="66"/>
  <c r="C207" i="66" s="1"/>
  <c r="AO208" i="8"/>
  <c r="I206" i="66"/>
  <c r="N207" i="16"/>
  <c r="G208" i="16" s="1"/>
  <c r="G209" i="16" s="1"/>
  <c r="G210" i="16" s="1"/>
  <c r="G211" i="16" s="1"/>
  <c r="G212" i="16" s="1"/>
  <c r="G213" i="16" s="1"/>
  <c r="G214" i="16" s="1"/>
  <c r="AC598" i="25"/>
  <c r="M244" i="28"/>
  <c r="AM244" i="28" s="1"/>
  <c r="AE244" i="28"/>
  <c r="AC244" i="28" s="1"/>
  <c r="AY1416" i="16"/>
  <c r="AY29" i="16"/>
  <c r="AZ29" i="16" s="1"/>
  <c r="B4" i="3"/>
  <c r="AY283" i="16"/>
  <c r="AZ283" i="16" s="1"/>
  <c r="S369" i="16" s="1"/>
  <c r="A1730" i="66"/>
  <c r="C1730" i="66" s="1"/>
  <c r="AY1591" i="16"/>
  <c r="AY1862" i="16"/>
  <c r="AY43" i="16"/>
  <c r="AY807" i="16"/>
  <c r="AF568" i="16"/>
  <c r="AC568" i="16"/>
  <c r="I288" i="66"/>
  <c r="N289" i="16"/>
  <c r="AO35" i="24"/>
  <c r="T45" i="28"/>
  <c r="AD45" i="28" s="1"/>
  <c r="R45" i="28"/>
  <c r="O45" i="28"/>
  <c r="AF1739" i="16"/>
  <c r="AC1739" i="16"/>
  <c r="AO65" i="8"/>
  <c r="M47" i="28"/>
  <c r="AE47" i="28"/>
  <c r="AC208" i="8"/>
  <c r="AG3" i="8"/>
  <c r="K13" i="72" s="1"/>
  <c r="N603" i="16"/>
  <c r="G603" i="16" s="1"/>
  <c r="G604" i="16" s="1"/>
  <c r="G605" i="16" s="1"/>
  <c r="I602" i="66"/>
  <c r="A588" i="66" s="1"/>
  <c r="AO349" i="24"/>
  <c r="DE4" i="2"/>
  <c r="DV4" i="2"/>
  <c r="I1680" i="66"/>
  <c r="AO134" i="28"/>
  <c r="N1681" i="16"/>
  <c r="C1639" i="66"/>
  <c r="A1640" i="66"/>
  <c r="C1640" i="66" s="1"/>
  <c r="AK4" i="2"/>
  <c r="N1368" i="16"/>
  <c r="G1369" i="16" s="1"/>
  <c r="I1367" i="66"/>
  <c r="AO605" i="25"/>
  <c r="T154" i="16"/>
  <c r="AD154" i="16" s="1"/>
  <c r="AC154" i="16" s="1"/>
  <c r="O154" i="16"/>
  <c r="E154" i="76" s="1"/>
  <c r="N1265" i="16"/>
  <c r="G1266" i="16" s="1"/>
  <c r="G1267" i="16" s="1"/>
  <c r="G1268" i="16" s="1"/>
  <c r="G1269" i="16" s="1"/>
  <c r="G1270" i="16" s="1"/>
  <c r="G1271" i="16" s="1"/>
  <c r="G1272" i="16" s="1"/>
  <c r="AO502" i="25"/>
  <c r="I1264" i="66"/>
  <c r="N1820" i="16"/>
  <c r="G1821" i="16" s="1"/>
  <c r="G1822" i="16" s="1"/>
  <c r="G1823" i="16" s="1"/>
  <c r="G1824" i="16" s="1"/>
  <c r="AO273" i="28"/>
  <c r="I1819" i="66"/>
  <c r="T51" i="24"/>
  <c r="AD51" i="24" s="1"/>
  <c r="AC51" i="24" s="1"/>
  <c r="O51" i="24"/>
  <c r="AE1730" i="16"/>
  <c r="AF1730" i="16" s="1"/>
  <c r="M1730" i="16"/>
  <c r="AM1730" i="16" s="1"/>
  <c r="AO116" i="27"/>
  <c r="N1502" i="16"/>
  <c r="I1501" i="66"/>
  <c r="C478" i="66"/>
  <c r="O56" i="16"/>
  <c r="E56" i="76" s="1"/>
  <c r="T56" i="16"/>
  <c r="AD56" i="16" s="1"/>
  <c r="AC56" i="16" s="1"/>
  <c r="T1488" i="16"/>
  <c r="AD1488" i="16" s="1"/>
  <c r="AC1488" i="16" s="1"/>
  <c r="O1488" i="16"/>
  <c r="E1488" i="76" s="1"/>
  <c r="M1592" i="16"/>
  <c r="AE1592" i="16"/>
  <c r="AF1592" i="16" s="1"/>
  <c r="S72" i="8"/>
  <c r="AO603" i="25"/>
  <c r="N1213" i="16"/>
  <c r="G1214" i="16" s="1"/>
  <c r="G1215" i="16" s="1"/>
  <c r="G1216" i="16" s="1"/>
  <c r="G1217" i="16" s="1"/>
  <c r="G1218" i="16" s="1"/>
  <c r="G1219" i="16" s="1"/>
  <c r="G1220" i="16" s="1"/>
  <c r="T47" i="28"/>
  <c r="AD47" i="28" s="1"/>
  <c r="C21" i="3"/>
  <c r="AC95" i="28"/>
  <c r="AC185" i="28"/>
  <c r="AC273" i="28"/>
  <c r="AC484" i="25"/>
  <c r="AC1339" i="16"/>
  <c r="C1250" i="66"/>
  <c r="AY1855" i="16"/>
  <c r="AC521" i="16"/>
  <c r="C1226" i="66"/>
  <c r="AC192" i="28"/>
  <c r="T69" i="8"/>
  <c r="AD69" i="8" s="1"/>
  <c r="AC69" i="8" s="1"/>
  <c r="N293" i="16"/>
  <c r="BF15" i="28"/>
  <c r="AO207" i="8"/>
  <c r="S23" i="28"/>
  <c r="T23" i="28" s="1"/>
  <c r="AO603" i="16"/>
  <c r="AC73" i="27"/>
  <c r="AC104" i="28"/>
  <c r="AC79" i="28"/>
  <c r="AC463" i="25"/>
  <c r="AC608" i="25"/>
  <c r="AO1256" i="16"/>
  <c r="AC1305" i="16"/>
  <c r="AC1330" i="16"/>
  <c r="AC1678" i="16"/>
  <c r="C1530" i="66"/>
  <c r="AY1842" i="16"/>
  <c r="AY787" i="16"/>
  <c r="W1254" i="16" s="1"/>
  <c r="O1252" i="16" s="1"/>
  <c r="S77" i="8"/>
  <c r="AO36" i="8"/>
  <c r="O52" i="24"/>
  <c r="AY55" i="16"/>
  <c r="I61" i="66"/>
  <c r="I476" i="66"/>
  <c r="A471" i="66" s="1"/>
  <c r="I487" i="66"/>
  <c r="AO167" i="16"/>
  <c r="AC1752" i="16"/>
  <c r="C1770" i="66"/>
  <c r="AC1291" i="16"/>
  <c r="C1106" i="66"/>
  <c r="AY1411" i="16"/>
  <c r="AC576" i="25"/>
  <c r="AO401" i="24"/>
  <c r="BF14" i="16"/>
  <c r="X5" i="16"/>
  <c r="N35" i="16"/>
  <c r="G36" i="16" s="1"/>
  <c r="G37" i="16" s="1"/>
  <c r="T58" i="16"/>
  <c r="AD58" i="16" s="1"/>
  <c r="AC58" i="16" s="1"/>
  <c r="AO278" i="28"/>
  <c r="I155" i="66"/>
  <c r="N62" i="16"/>
  <c r="G63" i="16" s="1"/>
  <c r="G54" i="16" s="1"/>
  <c r="N488" i="16"/>
  <c r="BH15" i="29"/>
  <c r="A290" i="66"/>
  <c r="C290" i="66" s="1"/>
  <c r="T1592" i="16"/>
  <c r="AD1592" i="16" s="1"/>
  <c r="AO573" i="25"/>
  <c r="AY1410" i="16"/>
  <c r="N655" i="16"/>
  <c r="G656" i="16" s="1"/>
  <c r="G657" i="16" s="1"/>
  <c r="G658" i="16" s="1"/>
  <c r="G659" i="16" s="1"/>
  <c r="G660" i="16" s="1"/>
  <c r="G661" i="16" s="1"/>
  <c r="N167" i="16"/>
  <c r="G168" i="16" s="1"/>
  <c r="BF269" i="16"/>
  <c r="AO59" i="8"/>
  <c r="N1825" i="16"/>
  <c r="G1826" i="16" s="1"/>
  <c r="N404" i="16"/>
  <c r="N82" i="16"/>
  <c r="I81" i="66"/>
  <c r="C612" i="66"/>
  <c r="S94" i="27"/>
  <c r="T94" i="27" s="1"/>
  <c r="AD94" i="27" s="1"/>
  <c r="AC94" i="27" s="1"/>
  <c r="AC573" i="25"/>
  <c r="AC114" i="28"/>
  <c r="AC18" i="28"/>
  <c r="AC92" i="28"/>
  <c r="AC158" i="28"/>
  <c r="AC467" i="25"/>
  <c r="AC1230" i="16"/>
  <c r="AC1247" i="16"/>
  <c r="AC1255" i="16"/>
  <c r="AC1565" i="16"/>
  <c r="AC1601" i="16"/>
  <c r="O1674" i="16"/>
  <c r="E1674" i="76" s="1"/>
  <c r="AC1795" i="16"/>
  <c r="I1335" i="66"/>
  <c r="C1242" i="66"/>
  <c r="C1594" i="66"/>
  <c r="C1618" i="66"/>
  <c r="AO168" i="8"/>
  <c r="N449" i="16"/>
  <c r="AO450" i="25"/>
  <c r="T59" i="8"/>
  <c r="AD59" i="8" s="1"/>
  <c r="AC59" i="8" s="1"/>
  <c r="AO294" i="16"/>
  <c r="AC54" i="27"/>
  <c r="AC627" i="25"/>
  <c r="AC115" i="28"/>
  <c r="C1633" i="66"/>
  <c r="Z13" i="23"/>
  <c r="C25" i="10" s="1"/>
  <c r="AY1834" i="16"/>
  <c r="BD16" i="8"/>
  <c r="BD16" i="28"/>
  <c r="BD16" i="24"/>
  <c r="BD16" i="27"/>
  <c r="BD16" i="29"/>
  <c r="AY1402" i="16"/>
  <c r="Y13" i="23"/>
  <c r="BH1563" i="16" s="1"/>
  <c r="AY778" i="16"/>
  <c r="AY1562" i="16"/>
  <c r="A832" i="66"/>
  <c r="A833" i="66" s="1"/>
  <c r="C833" i="66" s="1"/>
  <c r="AO511" i="25"/>
  <c r="N1274" i="16"/>
  <c r="I1273" i="66"/>
  <c r="A1274" i="66"/>
  <c r="AY1563" i="16"/>
  <c r="AY1833" i="16"/>
  <c r="BC16" i="8"/>
  <c r="M13" i="7"/>
  <c r="BE16" i="29" s="1"/>
  <c r="X13" i="23"/>
  <c r="BG270" i="16" s="1"/>
  <c r="BC16" i="29"/>
  <c r="Q13" i="7"/>
  <c r="BI16" i="25" s="1"/>
  <c r="BC16" i="24"/>
  <c r="P13" i="7"/>
  <c r="BH16" i="27" s="1"/>
  <c r="BC16" i="28"/>
  <c r="BC16" i="27"/>
  <c r="N13" i="7"/>
  <c r="BF16" i="27" s="1"/>
  <c r="C1816" i="66"/>
  <c r="A1817" i="66"/>
  <c r="C1817" i="66" s="1"/>
  <c r="A148" i="66"/>
  <c r="C148" i="66" s="1"/>
  <c r="C147" i="66"/>
  <c r="N68" i="16"/>
  <c r="I67" i="66"/>
  <c r="AG3" i="27"/>
  <c r="K16" i="72" s="1"/>
  <c r="AC68" i="27"/>
  <c r="C1742" i="66"/>
  <c r="N1743" i="16"/>
  <c r="T70" i="8"/>
  <c r="AD70" i="8" s="1"/>
  <c r="AC70" i="8" s="1"/>
  <c r="AO123" i="27"/>
  <c r="O14" i="8"/>
  <c r="N99" i="16"/>
  <c r="G100" i="16" s="1"/>
  <c r="AO42" i="24"/>
  <c r="I339" i="66"/>
  <c r="E207" i="76"/>
  <c r="AO207" i="16"/>
  <c r="AF683" i="16"/>
  <c r="AC683" i="16"/>
  <c r="O621" i="25"/>
  <c r="I1383" i="66" s="1"/>
  <c r="T621" i="25"/>
  <c r="AD621" i="25" s="1"/>
  <c r="AC621" i="25" s="1"/>
  <c r="AE1618" i="16"/>
  <c r="AO1692" i="16"/>
  <c r="C203" i="66"/>
  <c r="A204" i="66"/>
  <c r="C204" i="66" s="1"/>
  <c r="C962" i="66"/>
  <c r="A963" i="66"/>
  <c r="N197" i="16"/>
  <c r="G198" i="16" s="1"/>
  <c r="AO198" i="8"/>
  <c r="C1322" i="66"/>
  <c r="A1323" i="66"/>
  <c r="C1323" i="66" s="1"/>
  <c r="A1733" i="66"/>
  <c r="C1733" i="66" s="1"/>
  <c r="C1732" i="66"/>
  <c r="AO100" i="8"/>
  <c r="N304" i="16"/>
  <c r="G304" i="16" s="1"/>
  <c r="G301" i="16" s="1"/>
  <c r="I303" i="66"/>
  <c r="A715" i="66"/>
  <c r="A716" i="66" s="1"/>
  <c r="C716" i="66" s="1"/>
  <c r="I1643" i="66"/>
  <c r="N1644" i="16"/>
  <c r="G1645" i="16" s="1"/>
  <c r="G1646" i="16" s="1"/>
  <c r="G1647" i="16" s="1"/>
  <c r="G1648" i="16" s="1"/>
  <c r="G1649" i="16" s="1"/>
  <c r="G1650" i="16" s="1"/>
  <c r="G1651" i="16" s="1"/>
  <c r="G1652" i="16" s="1"/>
  <c r="G1653" i="16" s="1"/>
  <c r="G1654" i="16" s="1"/>
  <c r="G1655" i="16" s="1"/>
  <c r="G1656" i="16" s="1"/>
  <c r="G1657" i="16" s="1"/>
  <c r="G1658" i="16" s="1"/>
  <c r="G1659" i="16" s="1"/>
  <c r="G1660" i="16" s="1"/>
  <c r="G1661" i="16" s="1"/>
  <c r="G1662" i="16" s="1"/>
  <c r="G1663" i="16" s="1"/>
  <c r="G1664" i="16" s="1"/>
  <c r="C1076" i="66"/>
  <c r="A1077" i="66"/>
  <c r="C1077" i="66" s="1"/>
  <c r="AO50" i="24"/>
  <c r="N154" i="16"/>
  <c r="N152" i="16"/>
  <c r="A1644" i="66"/>
  <c r="A1645" i="66" s="1"/>
  <c r="A1646" i="66" s="1"/>
  <c r="C588" i="66"/>
  <c r="I196" i="66"/>
  <c r="AO262" i="24"/>
  <c r="N516" i="16"/>
  <c r="G517" i="16" s="1"/>
  <c r="G518" i="16" s="1"/>
  <c r="AO107" i="27"/>
  <c r="I1492" i="66"/>
  <c r="I1664" i="66"/>
  <c r="AO118" i="28"/>
  <c r="T1384" i="16"/>
  <c r="AD1384" i="16" s="1"/>
  <c r="AC1384" i="16" s="1"/>
  <c r="O1384" i="16"/>
  <c r="AO461" i="24"/>
  <c r="I714" i="66"/>
  <c r="AE209" i="24"/>
  <c r="AC209" i="24" s="1"/>
  <c r="M209" i="24"/>
  <c r="AM209" i="24" s="1"/>
  <c r="M404" i="16"/>
  <c r="AM404" i="16" s="1"/>
  <c r="AE404" i="16"/>
  <c r="A946" i="66"/>
  <c r="C946" i="66" s="1"/>
  <c r="AO183" i="25"/>
  <c r="O726" i="16"/>
  <c r="E726" i="76" s="1"/>
  <c r="C1252" i="66"/>
  <c r="S177" i="16"/>
  <c r="AO69" i="8"/>
  <c r="O307" i="16"/>
  <c r="E307" i="76" s="1"/>
  <c r="I1742" i="66"/>
  <c r="AO62" i="8"/>
  <c r="AY296" i="16"/>
  <c r="AY53" i="16"/>
  <c r="N222" i="16"/>
  <c r="G223" i="16" s="1"/>
  <c r="I221" i="66"/>
  <c r="N437" i="16"/>
  <c r="G438" i="16" s="1"/>
  <c r="G439" i="16" s="1"/>
  <c r="G440" i="16" s="1"/>
  <c r="I477" i="66"/>
  <c r="N478" i="16"/>
  <c r="G479" i="16" s="1"/>
  <c r="G480" i="16" s="1"/>
  <c r="G481" i="16" s="1"/>
  <c r="G482" i="16" s="1"/>
  <c r="G483" i="16" s="1"/>
  <c r="G484" i="16" s="1"/>
  <c r="G485" i="16" s="1"/>
  <c r="G486" i="16" s="1"/>
  <c r="G487" i="16" s="1"/>
  <c r="N411" i="16"/>
  <c r="G412" i="16" s="1"/>
  <c r="G413" i="16" s="1"/>
  <c r="G414" i="16" s="1"/>
  <c r="AO157" i="24"/>
  <c r="I410" i="66"/>
  <c r="O67" i="28"/>
  <c r="T67" i="28"/>
  <c r="AD67" i="28" s="1"/>
  <c r="AC67" i="28" s="1"/>
  <c r="AE183" i="28"/>
  <c r="AC183" i="28" s="1"/>
  <c r="M183" i="28"/>
  <c r="AM183" i="28" s="1"/>
  <c r="E1260" i="76"/>
  <c r="AO1260" i="16"/>
  <c r="A669" i="66"/>
  <c r="C669" i="66" s="1"/>
  <c r="I508" i="66"/>
  <c r="M161" i="24"/>
  <c r="AM161" i="24" s="1"/>
  <c r="AE161" i="24"/>
  <c r="AC161" i="24" s="1"/>
  <c r="N1983" i="16"/>
  <c r="AO165" i="29"/>
  <c r="C1982" i="66"/>
  <c r="E64" i="76"/>
  <c r="AO64" i="16"/>
  <c r="O147" i="16"/>
  <c r="E147" i="76" s="1"/>
  <c r="T147" i="16"/>
  <c r="AD147" i="16" s="1"/>
  <c r="AC147" i="16" s="1"/>
  <c r="M1597" i="16"/>
  <c r="AE1597" i="16"/>
  <c r="AF1597" i="16" s="1"/>
  <c r="C1812" i="66"/>
  <c r="AO53" i="24"/>
  <c r="N726" i="16"/>
  <c r="N1553" i="16"/>
  <c r="G1554" i="16" s="1"/>
  <c r="G1555" i="16" s="1"/>
  <c r="AO57" i="8"/>
  <c r="I645" i="66"/>
  <c r="C643" i="66" s="1"/>
  <c r="AO29" i="24"/>
  <c r="E646" i="76"/>
  <c r="AO646" i="16"/>
  <c r="AF525" i="16"/>
  <c r="AC525" i="16"/>
  <c r="AF606" i="16"/>
  <c r="AC606" i="16"/>
  <c r="AF767" i="16"/>
  <c r="AC767" i="16"/>
  <c r="I1386" i="66"/>
  <c r="N1387" i="16"/>
  <c r="G1388" i="16" s="1"/>
  <c r="G1389" i="16" s="1"/>
  <c r="I1254" i="66"/>
  <c r="N1255" i="16"/>
  <c r="AC1825" i="16"/>
  <c r="S1816" i="16"/>
  <c r="S1811" i="16"/>
  <c r="O1811" i="16" s="1"/>
  <c r="E1811" i="76" s="1"/>
  <c r="C99" i="66"/>
  <c r="A100" i="66"/>
  <c r="C100" i="66" s="1"/>
  <c r="I1487" i="66"/>
  <c r="N1488" i="16"/>
  <c r="E1597" i="76"/>
  <c r="AO1597" i="16"/>
  <c r="AF1754" i="16"/>
  <c r="AC1754" i="16"/>
  <c r="AO102" i="27"/>
  <c r="N946" i="16"/>
  <c r="AO44" i="24"/>
  <c r="N298" i="16"/>
  <c r="I297" i="66"/>
  <c r="O98" i="27"/>
  <c r="AO98" i="27" s="1"/>
  <c r="BC15" i="16"/>
  <c r="AO52" i="28"/>
  <c r="I55" i="66"/>
  <c r="AC134" i="28"/>
  <c r="A479" i="66"/>
  <c r="C479" i="66" s="1"/>
  <c r="N307" i="16"/>
  <c r="G307" i="16" s="1"/>
  <c r="N646" i="16"/>
  <c r="G647" i="16" s="1"/>
  <c r="N283" i="16"/>
  <c r="N61" i="16"/>
  <c r="I1598" i="66"/>
  <c r="AO86" i="24"/>
  <c r="AO196" i="28"/>
  <c r="AO25" i="8"/>
  <c r="I23" i="66"/>
  <c r="N24" i="16"/>
  <c r="G25" i="16" s="1"/>
  <c r="T392" i="24"/>
  <c r="AD392" i="24" s="1"/>
  <c r="AC392" i="24" s="1"/>
  <c r="T662" i="16"/>
  <c r="AD662" i="16" s="1"/>
  <c r="AC662" i="16" s="1"/>
  <c r="O662" i="16"/>
  <c r="I1255" i="66"/>
  <c r="N1256" i="16"/>
  <c r="G1257" i="16" s="1"/>
  <c r="G1258" i="16" s="1"/>
  <c r="I1738" i="66"/>
  <c r="N1739" i="16"/>
  <c r="AC179" i="28"/>
  <c r="AC252" i="28"/>
  <c r="K107" i="18"/>
  <c r="J107" i="18" s="1"/>
  <c r="C1772" i="66"/>
  <c r="A1773" i="66"/>
  <c r="C1773" i="66" s="1"/>
  <c r="AY1577" i="16"/>
  <c r="AY1430" i="16"/>
  <c r="AY799" i="16"/>
  <c r="S1076" i="16" s="1"/>
  <c r="C255" i="66"/>
  <c r="I1259" i="66"/>
  <c r="AC1256" i="16"/>
  <c r="O1493" i="16"/>
  <c r="E1493" i="76" s="1"/>
  <c r="AC1480" i="16"/>
  <c r="AO1732" i="16"/>
  <c r="C1967" i="66"/>
  <c r="K113" i="18"/>
  <c r="J113" i="18" s="1"/>
  <c r="K105" i="18"/>
  <c r="J105" i="18" s="1"/>
  <c r="AY1832" i="16"/>
  <c r="AY1860" i="16"/>
  <c r="AY1422" i="16"/>
  <c r="AY805" i="16"/>
  <c r="C1596" i="66"/>
  <c r="AE163" i="28"/>
  <c r="AC163" i="28" s="1"/>
  <c r="BH15" i="8"/>
  <c r="BF15" i="8"/>
  <c r="AC1496" i="16"/>
  <c r="AY1858" i="16"/>
  <c r="C407" i="66"/>
  <c r="C1291" i="66"/>
  <c r="C851" i="66"/>
  <c r="AO235" i="16"/>
  <c r="AO556" i="16"/>
  <c r="AC603" i="25"/>
  <c r="AC601" i="25"/>
  <c r="AO1509" i="16"/>
  <c r="AO1728" i="16"/>
  <c r="AC1459" i="16"/>
  <c r="AC1651" i="16"/>
  <c r="N1530" i="16"/>
  <c r="G1531" i="16" s="1"/>
  <c r="C122" i="66"/>
  <c r="AC1440" i="16"/>
  <c r="AY1583" i="16"/>
  <c r="AO90" i="28"/>
  <c r="AC12" i="28"/>
  <c r="AC203" i="28"/>
  <c r="AC775" i="16"/>
  <c r="AC1265" i="16"/>
  <c r="AC1328" i="16"/>
  <c r="AC1433" i="16"/>
  <c r="AC1454" i="16"/>
  <c r="AC1625" i="16"/>
  <c r="AC1730" i="16"/>
  <c r="AC1750" i="16"/>
  <c r="AC12" i="25"/>
  <c r="C1551" i="66"/>
  <c r="C71" i="66"/>
  <c r="C199" i="66"/>
  <c r="C167" i="66"/>
  <c r="C87" i="66"/>
  <c r="C878" i="66"/>
  <c r="S838" i="16"/>
  <c r="T838" i="16" s="1"/>
  <c r="AD838" i="16" s="1"/>
  <c r="AC838" i="16" s="1"/>
  <c r="M278" i="16"/>
  <c r="G32" i="17"/>
  <c r="G32" i="18"/>
  <c r="F32" i="18"/>
  <c r="AY1570" i="16"/>
  <c r="I32" i="17"/>
  <c r="AY1595" i="16"/>
  <c r="AY811" i="16"/>
  <c r="AY1839" i="16"/>
  <c r="AY1407" i="16"/>
  <c r="AY1568" i="16"/>
  <c r="G12" i="17"/>
  <c r="AY274" i="16"/>
  <c r="AY19" i="16"/>
  <c r="G12" i="18"/>
  <c r="AY1403" i="16"/>
  <c r="AY1835" i="16"/>
  <c r="AY780" i="16"/>
  <c r="AY1559" i="16"/>
  <c r="AY1398" i="16"/>
  <c r="AY1830" i="16"/>
  <c r="N78" i="16"/>
  <c r="M16" i="29"/>
  <c r="AM16" i="29" s="1"/>
  <c r="AE16" i="29"/>
  <c r="T100" i="27"/>
  <c r="AD100" i="27" s="1"/>
  <c r="AC100" i="27" s="1"/>
  <c r="O100" i="27"/>
  <c r="AO139" i="28"/>
  <c r="N1686" i="16"/>
  <c r="I1491" i="66"/>
  <c r="AO106" i="27"/>
  <c r="N1492" i="16"/>
  <c r="G1492" i="16" s="1"/>
  <c r="AI4" i="2"/>
  <c r="I193" i="66"/>
  <c r="AO195" i="8"/>
  <c r="N194" i="16"/>
  <c r="G194" i="16" s="1"/>
  <c r="I77" i="66"/>
  <c r="C233" i="66"/>
  <c r="C235" i="66"/>
  <c r="AO50" i="28"/>
  <c r="I1596" i="66"/>
  <c r="N1597" i="16"/>
  <c r="AE45" i="28"/>
  <c r="AC45" i="28" s="1"/>
  <c r="M45" i="28"/>
  <c r="I1389" i="66"/>
  <c r="N69" i="16"/>
  <c r="G70" i="16" s="1"/>
  <c r="AO70" i="8"/>
  <c r="I68" i="66"/>
  <c r="A589" i="66"/>
  <c r="C589" i="66" s="1"/>
  <c r="I54" i="66"/>
  <c r="N55" i="16"/>
  <c r="N91" i="16"/>
  <c r="S178" i="8"/>
  <c r="I90" i="66"/>
  <c r="AO92" i="8"/>
  <c r="AE50" i="28"/>
  <c r="AC50" i="28" s="1"/>
  <c r="M50" i="28"/>
  <c r="C8" i="18"/>
  <c r="C8" i="17"/>
  <c r="A835" i="66"/>
  <c r="C834" i="66"/>
  <c r="A920" i="66"/>
  <c r="A1233" i="66"/>
  <c r="A1231" i="66" s="1"/>
  <c r="A1222" i="66" s="1"/>
  <c r="A1221" i="66" s="1"/>
  <c r="H32" i="18"/>
  <c r="I1593" i="66"/>
  <c r="AO47" i="28"/>
  <c r="I1673" i="66"/>
  <c r="AO127" i="28"/>
  <c r="A1674" i="66"/>
  <c r="C1674" i="66" s="1"/>
  <c r="N1484" i="16"/>
  <c r="N1589" i="16"/>
  <c r="AO42" i="28"/>
  <c r="E304" i="76"/>
  <c r="AO304" i="16"/>
  <c r="AC17" i="29"/>
  <c r="I403" i="66"/>
  <c r="BH1401" i="16"/>
  <c r="BH1833" i="16"/>
  <c r="BH1562" i="16"/>
  <c r="BH269" i="16"/>
  <c r="BH14" i="16"/>
  <c r="AY1443" i="16"/>
  <c r="AY820" i="16"/>
  <c r="AY1604" i="16"/>
  <c r="AY1875" i="16"/>
  <c r="AY299" i="16"/>
  <c r="AY56" i="16"/>
  <c r="AY1447" i="16"/>
  <c r="AY824" i="16"/>
  <c r="AY1608" i="16"/>
  <c r="AY1879" i="16"/>
  <c r="AY60" i="16"/>
  <c r="O308" i="16"/>
  <c r="E308" i="76" s="1"/>
  <c r="T308" i="16"/>
  <c r="AD308" i="16" s="1"/>
  <c r="AC308" i="16" s="1"/>
  <c r="O59" i="28"/>
  <c r="T59" i="28"/>
  <c r="AD59" i="28" s="1"/>
  <c r="AF468" i="16"/>
  <c r="AC468" i="16"/>
  <c r="BC779" i="16"/>
  <c r="V13" i="23"/>
  <c r="I19" i="66"/>
  <c r="AO21" i="8"/>
  <c r="AY790" i="16"/>
  <c r="AY1574" i="16"/>
  <c r="AY1413" i="16"/>
  <c r="AY1845" i="16"/>
  <c r="AY280" i="16"/>
  <c r="G16" i="18"/>
  <c r="G16" i="17"/>
  <c r="AY26" i="16"/>
  <c r="AY797" i="16"/>
  <c r="AY1852" i="16"/>
  <c r="AY1420" i="16"/>
  <c r="AY1581" i="16"/>
  <c r="AY33" i="16"/>
  <c r="E297" i="76"/>
  <c r="AO297" i="16"/>
  <c r="C1608" i="66"/>
  <c r="A1609" i="66"/>
  <c r="C1609" i="66" s="1"/>
  <c r="C1758" i="66"/>
  <c r="A1759" i="66"/>
  <c r="C1759" i="66" s="1"/>
  <c r="S375" i="16"/>
  <c r="T375" i="16" s="1"/>
  <c r="AD375" i="16" s="1"/>
  <c r="AC375" i="16" s="1"/>
  <c r="BC270" i="16"/>
  <c r="AO23" i="8"/>
  <c r="N22" i="16"/>
  <c r="G23" i="16" s="1"/>
  <c r="I1558" i="66"/>
  <c r="N1559" i="16"/>
  <c r="G1560" i="16" s="1"/>
  <c r="AO12" i="28"/>
  <c r="AO1548" i="16"/>
  <c r="AC1705" i="16"/>
  <c r="A258" i="66"/>
  <c r="A259" i="66" s="1"/>
  <c r="BG15" i="27"/>
  <c r="BG15" i="29"/>
  <c r="N199" i="16"/>
  <c r="G200" i="16" s="1"/>
  <c r="G201" i="16" s="1"/>
  <c r="G202" i="16" s="1"/>
  <c r="AO200" i="8"/>
  <c r="I198" i="66"/>
  <c r="I1493" i="66"/>
  <c r="AO108" i="27"/>
  <c r="I1229" i="66"/>
  <c r="AO467" i="25"/>
  <c r="AF1559" i="16"/>
  <c r="AC1559" i="16"/>
  <c r="AF1639" i="16"/>
  <c r="AC1639" i="16"/>
  <c r="T1686" i="16"/>
  <c r="AD1686" i="16" s="1"/>
  <c r="AC1686" i="16" s="1"/>
  <c r="O1686" i="16"/>
  <c r="E1686" i="76" s="1"/>
  <c r="AF1695" i="16"/>
  <c r="AC1695" i="16"/>
  <c r="C755" i="66"/>
  <c r="A757" i="66"/>
  <c r="C903" i="66"/>
  <c r="A904" i="66"/>
  <c r="A905" i="66" s="1"/>
  <c r="C905" i="66" s="1"/>
  <c r="C978" i="66"/>
  <c r="A979" i="66"/>
  <c r="A980" i="66" s="1"/>
  <c r="A981" i="66" s="1"/>
  <c r="C1260" i="66"/>
  <c r="A1261" i="66"/>
  <c r="A1262" i="66" s="1"/>
  <c r="A1336" i="66"/>
  <c r="C1786" i="66"/>
  <c r="A1787" i="66"/>
  <c r="C1787" i="66" s="1"/>
  <c r="W13" i="23"/>
  <c r="AO51" i="24"/>
  <c r="S351" i="16"/>
  <c r="R351" i="16" s="1"/>
  <c r="M351" i="16" s="1"/>
  <c r="AM351" i="16" s="1"/>
  <c r="N1463" i="16"/>
  <c r="G1463" i="16" s="1"/>
  <c r="BC1402" i="16"/>
  <c r="AC42" i="28"/>
  <c r="O13" i="7"/>
  <c r="N1494" i="16"/>
  <c r="I57" i="66"/>
  <c r="T155" i="8"/>
  <c r="AD155" i="8" s="1"/>
  <c r="AC155" i="8" s="1"/>
  <c r="AO182" i="24"/>
  <c r="N436" i="16"/>
  <c r="I435" i="66"/>
  <c r="E1606" i="76"/>
  <c r="AO1606" i="16"/>
  <c r="AO45" i="28"/>
  <c r="BC1834" i="16"/>
  <c r="BG15" i="24"/>
  <c r="BG15" i="28"/>
  <c r="BH778" i="16"/>
  <c r="I555" i="66"/>
  <c r="E404" i="76"/>
  <c r="AO404" i="16"/>
  <c r="AF463" i="16"/>
  <c r="AC463" i="16"/>
  <c r="E476" i="76"/>
  <c r="AO476" i="16"/>
  <c r="AF1618" i="16"/>
  <c r="AC1618" i="16"/>
  <c r="C1548" i="66"/>
  <c r="A1549" i="66"/>
  <c r="C1549" i="66" s="1"/>
  <c r="A1687" i="66"/>
  <c r="C1687" i="66" s="1"/>
  <c r="C1686" i="66"/>
  <c r="C78" i="66"/>
  <c r="BC1563" i="16"/>
  <c r="I1462" i="66"/>
  <c r="AO655" i="16"/>
  <c r="BG15" i="8"/>
  <c r="AY1871" i="16"/>
  <c r="AY1439" i="16"/>
  <c r="AY816" i="16"/>
  <c r="AY1600" i="16"/>
  <c r="AY295" i="16"/>
  <c r="AY52" i="16"/>
  <c r="AY303" i="16"/>
  <c r="E340" i="76"/>
  <c r="AO340" i="16"/>
  <c r="AF757" i="16"/>
  <c r="AC757" i="16"/>
  <c r="R59" i="28"/>
  <c r="E1247" i="76"/>
  <c r="AO1247" i="16"/>
  <c r="E1255" i="76"/>
  <c r="AO1255" i="16"/>
  <c r="AF1260" i="16"/>
  <c r="AC1260" i="16"/>
  <c r="AY809" i="16"/>
  <c r="AY1593" i="16"/>
  <c r="AY1864" i="16"/>
  <c r="AY1432" i="16"/>
  <c r="AY1436" i="16"/>
  <c r="AY813" i="16"/>
  <c r="AY1597" i="16"/>
  <c r="AY1868" i="16"/>
  <c r="E60" i="76"/>
  <c r="AO60" i="16"/>
  <c r="E447" i="76"/>
  <c r="AO447" i="16"/>
  <c r="T302" i="25"/>
  <c r="E1592" i="76"/>
  <c r="AO1592" i="16"/>
  <c r="E1589" i="76"/>
  <c r="AO1589" i="16"/>
  <c r="BG1833" i="16"/>
  <c r="BG1562" i="16"/>
  <c r="BG1401" i="16"/>
  <c r="AY1560" i="16"/>
  <c r="AY776" i="16"/>
  <c r="AY1399" i="16"/>
  <c r="AY1831" i="16"/>
  <c r="AY1446" i="16"/>
  <c r="AY823" i="16"/>
  <c r="AY1607" i="16"/>
  <c r="AY1878" i="16"/>
  <c r="E499" i="76"/>
  <c r="AO499" i="16"/>
  <c r="E1250" i="76"/>
  <c r="AO1250" i="16"/>
  <c r="AC1642" i="16"/>
  <c r="AE1791" i="16"/>
  <c r="M1791" i="16"/>
  <c r="AM1791" i="16" s="1"/>
  <c r="C1387" i="66"/>
  <c r="A1388" i="66"/>
  <c r="C1388" i="66" s="1"/>
  <c r="C1820" i="66"/>
  <c r="A1821" i="66"/>
  <c r="AC415" i="16"/>
  <c r="AF415" i="16"/>
  <c r="AY1419" i="16"/>
  <c r="AY1580" i="16"/>
  <c r="AY796" i="16"/>
  <c r="AY1851" i="16"/>
  <c r="AY1433" i="16"/>
  <c r="AY810" i="16"/>
  <c r="AY1594" i="16"/>
  <c r="AY1865" i="16"/>
  <c r="AY819" i="16"/>
  <c r="AY1603" i="16"/>
  <c r="AY1874" i="16"/>
  <c r="AY1442" i="16"/>
  <c r="E24" i="76"/>
  <c r="AO24" i="16"/>
  <c r="E62" i="76"/>
  <c r="AO62" i="16"/>
  <c r="AY1425" i="16"/>
  <c r="AY1586" i="16"/>
  <c r="AY1857" i="16"/>
  <c r="AY802" i="16"/>
  <c r="E1230" i="76"/>
  <c r="AO1230" i="16"/>
  <c r="AF1336" i="16"/>
  <c r="AC1336" i="16"/>
  <c r="E1484" i="76"/>
  <c r="AO1484" i="16"/>
  <c r="AE1758" i="16"/>
  <c r="T1594" i="16"/>
  <c r="AD1594" i="16" s="1"/>
  <c r="O1594" i="16"/>
  <c r="R1594" i="16"/>
  <c r="AC1710" i="16"/>
  <c r="E1735" i="76"/>
  <c r="AO1735" i="16"/>
  <c r="AF1738" i="16"/>
  <c r="AC1738" i="16"/>
  <c r="C1339" i="66"/>
  <c r="C1259" i="66"/>
  <c r="BE1562" i="16"/>
  <c r="BE1401" i="16"/>
  <c r="BE1833" i="16"/>
  <c r="AY1829" i="16"/>
  <c r="AY1558" i="16"/>
  <c r="AY1397" i="16"/>
  <c r="AY774" i="16"/>
  <c r="AY1872" i="16"/>
  <c r="AY1440" i="16"/>
  <c r="AY817" i="16"/>
  <c r="AY1601" i="16"/>
  <c r="AC1471" i="16"/>
  <c r="O1492" i="16"/>
  <c r="T1492" i="16"/>
  <c r="AD1492" i="16" s="1"/>
  <c r="AC1492" i="16" s="1"/>
  <c r="AY1415" i="16"/>
  <c r="AY792" i="16"/>
  <c r="AY1576" i="16"/>
  <c r="AY1847" i="16"/>
  <c r="AY798" i="16"/>
  <c r="AY1853" i="16"/>
  <c r="AY1421" i="16"/>
  <c r="AY1582" i="16"/>
  <c r="AY1435" i="16"/>
  <c r="AY812" i="16"/>
  <c r="AY1596" i="16"/>
  <c r="AY1867" i="16"/>
  <c r="AY1444" i="16"/>
  <c r="AY821" i="16"/>
  <c r="AY1605" i="16"/>
  <c r="AY1876" i="16"/>
  <c r="E437" i="76"/>
  <c r="AO437" i="16"/>
  <c r="O181" i="28"/>
  <c r="T181" i="28"/>
  <c r="AD181" i="28" s="1"/>
  <c r="AC181" i="28" s="1"/>
  <c r="E1387" i="76"/>
  <c r="AO1387" i="16"/>
  <c r="O1502" i="16"/>
  <c r="T1502" i="16"/>
  <c r="AD1502" i="16" s="1"/>
  <c r="AC1502" i="16" s="1"/>
  <c r="A178" i="66"/>
  <c r="A179" i="66" s="1"/>
  <c r="C179" i="66" s="1"/>
  <c r="C177" i="66"/>
  <c r="C415" i="66"/>
  <c r="A1666" i="66"/>
  <c r="C1666" i="66" s="1"/>
  <c r="C1665" i="66"/>
  <c r="BF1833" i="16"/>
  <c r="BF1562" i="16"/>
  <c r="BF1401" i="16"/>
  <c r="AY818" i="16"/>
  <c r="AY1602" i="16"/>
  <c r="AY1873" i="16"/>
  <c r="AY1441" i="16"/>
  <c r="AC527" i="16"/>
  <c r="AF527" i="16"/>
  <c r="AY1861" i="16"/>
  <c r="AY806" i="16"/>
  <c r="AY1429" i="16"/>
  <c r="AY1590" i="16"/>
  <c r="E1265" i="76"/>
  <c r="AO1265" i="16"/>
  <c r="T1681" i="16"/>
  <c r="AD1681" i="16" s="1"/>
  <c r="AC1681" i="16" s="1"/>
  <c r="O1681" i="16"/>
  <c r="AC1745" i="16"/>
  <c r="AC1786" i="16"/>
  <c r="C185" i="66"/>
  <c r="BI15" i="28"/>
  <c r="BI15" i="27"/>
  <c r="BI15" i="8"/>
  <c r="S1288" i="16"/>
  <c r="O1288" i="16" s="1"/>
  <c r="E1288" i="76" s="1"/>
  <c r="AC1358" i="16"/>
  <c r="AC1360" i="16"/>
  <c r="AC1820" i="16"/>
  <c r="AC1614" i="16"/>
  <c r="C963" i="66"/>
  <c r="I1286" i="66"/>
  <c r="AO1644" i="16"/>
  <c r="AC1661" i="16"/>
  <c r="AO1674" i="16"/>
  <c r="AC1700" i="16"/>
  <c r="AO1820" i="16"/>
  <c r="C1602" i="66"/>
  <c r="K112" i="18"/>
  <c r="J112" i="18" s="1"/>
  <c r="J18" i="18" s="1"/>
  <c r="BI15" i="24"/>
  <c r="AC213" i="16"/>
  <c r="AF213" i="16"/>
  <c r="AO283" i="16"/>
  <c r="AO436" i="16"/>
  <c r="AO497" i="16"/>
  <c r="M110" i="27"/>
  <c r="AC592" i="25"/>
  <c r="AC33" i="28"/>
  <c r="AY1424" i="16"/>
  <c r="AY1585" i="16"/>
  <c r="AY1856" i="16"/>
  <c r="AC1355" i="16"/>
  <c r="AC1736" i="16"/>
  <c r="C351" i="66"/>
  <c r="C492" i="66"/>
  <c r="A493" i="66"/>
  <c r="A494" i="66" s="1"/>
  <c r="C494" i="66" s="1"/>
  <c r="C1043" i="66"/>
  <c r="L105" i="18"/>
  <c r="AY1431" i="16"/>
  <c r="BI15" i="29"/>
  <c r="AO197" i="16"/>
  <c r="AO409" i="16"/>
  <c r="AO715" i="16"/>
  <c r="AC1357" i="16"/>
  <c r="AC1359" i="16"/>
  <c r="AC1361" i="16"/>
  <c r="AC1390" i="16"/>
  <c r="AO1488" i="16"/>
  <c r="AO1614" i="16"/>
  <c r="M1576" i="16"/>
  <c r="AM1576" i="16" s="1"/>
  <c r="AO1551" i="16"/>
  <c r="C35" i="66"/>
  <c r="A36" i="66"/>
  <c r="C36" i="66" s="1"/>
  <c r="AY1592" i="16"/>
  <c r="AY1863" i="16"/>
  <c r="AY808" i="16"/>
  <c r="AC1679" i="16"/>
  <c r="G157" i="16"/>
  <c r="A1997" i="66"/>
  <c r="A1998" i="66" s="1"/>
  <c r="A1999" i="66" s="1"/>
  <c r="A2000" i="66" s="1"/>
  <c r="C2000" i="66" s="1"/>
  <c r="C2002" i="66"/>
  <c r="C300" i="66"/>
  <c r="C502" i="66"/>
  <c r="A503" i="66"/>
  <c r="C503" i="66" s="1"/>
  <c r="C970" i="66"/>
  <c r="A971" i="66"/>
  <c r="A1581" i="66"/>
  <c r="C1581" i="66" s="1"/>
  <c r="C1580" i="66"/>
  <c r="AC1253" i="16"/>
  <c r="S127" i="29"/>
  <c r="T127" i="29" s="1"/>
  <c r="AD127" i="29" s="1"/>
  <c r="S81" i="29"/>
  <c r="O78" i="29" s="1"/>
  <c r="S15" i="29"/>
  <c r="AY801" i="16"/>
  <c r="C43" i="66"/>
  <c r="C408" i="66"/>
  <c r="C1236" i="66"/>
  <c r="AY1866" i="16"/>
  <c r="AY1848" i="16"/>
  <c r="C81" i="66"/>
  <c r="C414" i="66"/>
  <c r="C406" i="66"/>
  <c r="C350" i="66"/>
  <c r="C1338" i="66"/>
  <c r="C1810" i="66"/>
  <c r="C12" i="17"/>
  <c r="C803" i="66"/>
  <c r="C1379" i="66"/>
  <c r="AY1841" i="16"/>
  <c r="AY1587" i="16"/>
  <c r="S1769" i="16" s="1"/>
  <c r="O1769" i="16" s="1"/>
  <c r="AY1567" i="16"/>
  <c r="AY1409" i="16"/>
  <c r="AY793" i="16"/>
  <c r="AY777" i="16"/>
  <c r="C256" i="66"/>
  <c r="C224" i="66"/>
  <c r="C200" i="66"/>
  <c r="C184" i="66"/>
  <c r="C176" i="66"/>
  <c r="C152" i="66"/>
  <c r="C144" i="66"/>
  <c r="C128" i="66"/>
  <c r="C112" i="66"/>
  <c r="C88" i="66"/>
  <c r="C64" i="66"/>
  <c r="C16" i="66"/>
  <c r="C493" i="66"/>
  <c r="C285" i="66"/>
  <c r="C1265" i="66"/>
  <c r="C1233" i="66"/>
  <c r="C1225" i="66"/>
  <c r="C1105" i="66"/>
  <c r="C977" i="66"/>
  <c r="C969" i="66"/>
  <c r="C961" i="66"/>
  <c r="C897" i="66"/>
  <c r="C801" i="66"/>
  <c r="C1529" i="66"/>
  <c r="C1825" i="66"/>
  <c r="C1785" i="66"/>
  <c r="C1777" i="66"/>
  <c r="C1729" i="66"/>
  <c r="C1681" i="66"/>
  <c r="C1641" i="66"/>
  <c r="C2003" i="66"/>
  <c r="C12" i="18"/>
  <c r="C1243" i="66"/>
  <c r="C58" i="66"/>
  <c r="C287" i="66"/>
  <c r="C607" i="66"/>
  <c r="S1299" i="16"/>
  <c r="C151" i="66"/>
  <c r="C55" i="66"/>
  <c r="AC1604" i="16"/>
  <c r="C298" i="66"/>
  <c r="AY1838" i="16"/>
  <c r="AY1426" i="16"/>
  <c r="AY1406" i="16"/>
  <c r="C198" i="66"/>
  <c r="C1367" i="66"/>
  <c r="C799" i="66"/>
  <c r="C2001" i="66"/>
  <c r="C706" i="66"/>
  <c r="AY1572" i="16"/>
  <c r="C164" i="66"/>
  <c r="C68" i="66"/>
  <c r="C1725" i="66"/>
  <c r="AF994" i="16"/>
  <c r="AF988" i="16"/>
  <c r="O76" i="16"/>
  <c r="T269" i="28"/>
  <c r="AD269" i="28" s="1"/>
  <c r="AC269" i="28" s="1"/>
  <c r="O269" i="28"/>
  <c r="N1816" i="16" s="1"/>
  <c r="N1384" i="16"/>
  <c r="G1385" i="16" s="1"/>
  <c r="G1386" i="16" s="1"/>
  <c r="C259" i="66"/>
  <c r="A260" i="66"/>
  <c r="M97" i="24"/>
  <c r="AM97" i="24" s="1"/>
  <c r="AC87" i="29"/>
  <c r="T240" i="25"/>
  <c r="A1814" i="66"/>
  <c r="C1814" i="66" s="1"/>
  <c r="C258" i="66"/>
  <c r="A1590" i="66"/>
  <c r="C1590" i="66" s="1"/>
  <c r="A333" i="66"/>
  <c r="A341" i="66"/>
  <c r="C341" i="66" s="1"/>
  <c r="A45" i="66"/>
  <c r="A613" i="66"/>
  <c r="C613" i="66" s="1"/>
  <c r="O583" i="25"/>
  <c r="AO583" i="25" s="1"/>
  <c r="AC16" i="29"/>
  <c r="S36" i="28"/>
  <c r="S536" i="25"/>
  <c r="A805" i="66"/>
  <c r="A1499" i="66"/>
  <c r="C1499" i="66" s="1"/>
  <c r="A1554" i="66"/>
  <c r="C1554" i="66" s="1"/>
  <c r="C1257" i="66"/>
  <c r="A888" i="66"/>
  <c r="A889" i="66" s="1"/>
  <c r="A1544" i="66"/>
  <c r="C1544" i="66" s="1"/>
  <c r="T97" i="24"/>
  <c r="AD97" i="24" s="1"/>
  <c r="AC97" i="24" s="1"/>
  <c r="I945" i="66"/>
  <c r="A141" i="66"/>
  <c r="C286" i="66"/>
  <c r="C1983" i="66"/>
  <c r="AO627" i="25"/>
  <c r="A964" i="66"/>
  <c r="C964" i="66" s="1"/>
  <c r="A352" i="66"/>
  <c r="C352" i="66" s="1"/>
  <c r="A1595" i="66"/>
  <c r="C1595" i="66" s="1"/>
  <c r="C1489" i="66"/>
  <c r="AE102" i="29"/>
  <c r="AC102" i="29" s="1"/>
  <c r="C1001" i="66"/>
  <c r="C487" i="66"/>
  <c r="C1539" i="66"/>
  <c r="T84" i="29"/>
  <c r="AD84" i="29" s="1"/>
  <c r="A495" i="66"/>
  <c r="C757" i="66"/>
  <c r="C56" i="66"/>
  <c r="C1378" i="66"/>
  <c r="A708" i="66"/>
  <c r="C708" i="66" s="1"/>
  <c r="C707" i="66"/>
  <c r="C53" i="66"/>
  <c r="C65" i="66"/>
  <c r="C1241" i="66"/>
  <c r="C1769" i="66"/>
  <c r="C1673" i="66"/>
  <c r="C1617" i="66"/>
  <c r="C1593" i="66"/>
  <c r="C1217" i="66"/>
  <c r="C1305" i="66"/>
  <c r="C892" i="66"/>
  <c r="C193" i="66"/>
  <c r="C153" i="66"/>
  <c r="C129" i="66"/>
  <c r="C121" i="66"/>
  <c r="C105" i="66"/>
  <c r="C89" i="66"/>
  <c r="C57" i="66"/>
  <c r="C25" i="66"/>
  <c r="C1386" i="66"/>
  <c r="C1298" i="66"/>
  <c r="C1290" i="66"/>
  <c r="C1042" i="66"/>
  <c r="C850" i="66"/>
  <c r="C802" i="66"/>
  <c r="C1794" i="66"/>
  <c r="C1738" i="66"/>
  <c r="C1988" i="66"/>
  <c r="C1321" i="66"/>
  <c r="C605" i="66"/>
  <c r="C247" i="66"/>
  <c r="C223" i="66"/>
  <c r="C191" i="66"/>
  <c r="C183" i="66"/>
  <c r="C127" i="66"/>
  <c r="C63" i="66"/>
  <c r="C23" i="66"/>
  <c r="C15" i="66"/>
  <c r="C1368" i="66"/>
  <c r="C1336" i="66"/>
  <c r="C1320" i="66"/>
  <c r="C1264" i="66"/>
  <c r="C1256" i="66"/>
  <c r="C1232" i="66"/>
  <c r="C1216" i="66"/>
  <c r="C1160" i="66"/>
  <c r="C1104" i="66"/>
  <c r="C1000" i="66"/>
  <c r="C936" i="66"/>
  <c r="C920" i="66"/>
  <c r="C880" i="66"/>
  <c r="C816" i="66"/>
  <c r="C808" i="66"/>
  <c r="C800" i="66"/>
  <c r="C1552" i="66"/>
  <c r="C1528" i="66"/>
  <c r="C1512" i="66"/>
  <c r="C1504" i="66"/>
  <c r="C1496" i="66"/>
  <c r="C1488" i="66"/>
  <c r="C1464" i="66"/>
  <c r="C1824" i="66"/>
  <c r="C1776" i="66"/>
  <c r="C1768" i="66"/>
  <c r="C1704" i="66"/>
  <c r="C1680" i="66"/>
  <c r="C1664" i="66"/>
  <c r="C1600" i="66"/>
  <c r="A682" i="66"/>
  <c r="A683" i="66" s="1"/>
  <c r="A684" i="66" s="1"/>
  <c r="C254" i="66"/>
  <c r="C214" i="66"/>
  <c r="C206" i="66"/>
  <c r="C166" i="66"/>
  <c r="C86" i="66"/>
  <c r="C70" i="66"/>
  <c r="C54" i="66"/>
  <c r="C14" i="66"/>
  <c r="C715" i="66"/>
  <c r="C667" i="66"/>
  <c r="C555" i="66"/>
  <c r="C531" i="66"/>
  <c r="C491" i="66"/>
  <c r="C467" i="66"/>
  <c r="C403" i="66"/>
  <c r="C363" i="66"/>
  <c r="C339" i="66"/>
  <c r="C331" i="66"/>
  <c r="C1335" i="66"/>
  <c r="C1255" i="66"/>
  <c r="C1159" i="66"/>
  <c r="C1103" i="66"/>
  <c r="C999" i="66"/>
  <c r="C935" i="66"/>
  <c r="C919" i="66"/>
  <c r="C1503" i="66"/>
  <c r="C1495" i="66"/>
  <c r="C1487" i="66"/>
  <c r="C1463" i="66"/>
  <c r="C1815" i="66"/>
  <c r="C1783" i="66"/>
  <c r="C1727" i="66"/>
  <c r="C1607" i="66"/>
  <c r="C1591" i="66"/>
  <c r="C1985" i="66"/>
  <c r="C253" i="66"/>
  <c r="C221" i="66"/>
  <c r="C205" i="66"/>
  <c r="C149" i="66"/>
  <c r="C133" i="66"/>
  <c r="C101" i="66"/>
  <c r="C85" i="66"/>
  <c r="C77" i="66"/>
  <c r="C61" i="66"/>
  <c r="C37" i="66"/>
  <c r="C21" i="66"/>
  <c r="C714" i="66"/>
  <c r="C546" i="66"/>
  <c r="C362" i="66"/>
  <c r="C1318" i="66"/>
  <c r="C1254" i="66"/>
  <c r="C1246" i="66"/>
  <c r="C902" i="66"/>
  <c r="C886" i="66"/>
  <c r="C814" i="66"/>
  <c r="C1550" i="66"/>
  <c r="C1542" i="66"/>
  <c r="C1526" i="66"/>
  <c r="C1798" i="66"/>
  <c r="C1790" i="66"/>
  <c r="C1766" i="66"/>
  <c r="C1734" i="66"/>
  <c r="C1638" i="66"/>
  <c r="C1598" i="66"/>
  <c r="C1582" i="66"/>
  <c r="C1558" i="66"/>
  <c r="C1968" i="66"/>
  <c r="C809" i="66"/>
  <c r="C244" i="66"/>
  <c r="C196" i="66"/>
  <c r="C60" i="66"/>
  <c r="C617" i="66"/>
  <c r="C401" i="66"/>
  <c r="C353" i="66"/>
  <c r="C305" i="66"/>
  <c r="C297" i="66"/>
  <c r="C1229" i="66"/>
  <c r="C877" i="66"/>
  <c r="C853" i="66"/>
  <c r="C1501" i="66"/>
  <c r="C1781" i="66"/>
  <c r="C1757" i="66"/>
  <c r="C1709" i="66"/>
  <c r="C1685" i="66"/>
  <c r="C1613" i="66"/>
  <c r="C1605" i="66"/>
  <c r="C155" i="66"/>
  <c r="C139" i="66"/>
  <c r="C131" i="66"/>
  <c r="C83" i="66"/>
  <c r="C75" i="66"/>
  <c r="C67" i="66"/>
  <c r="C59" i="66"/>
  <c r="C19" i="66"/>
  <c r="C496" i="66"/>
  <c r="C488" i="66"/>
  <c r="C288" i="66"/>
  <c r="C932" i="66"/>
  <c r="C812" i="66"/>
  <c r="C1508" i="66"/>
  <c r="C1788" i="66"/>
  <c r="C1780" i="66"/>
  <c r="C1636" i="66"/>
  <c r="C1588" i="66"/>
  <c r="C1564" i="66"/>
  <c r="C1966" i="66"/>
  <c r="C1878" i="66"/>
  <c r="C532" i="66"/>
  <c r="C234" i="66"/>
  <c r="C202" i="66"/>
  <c r="C194" i="66"/>
  <c r="C186" i="66"/>
  <c r="C154" i="66"/>
  <c r="C146" i="66"/>
  <c r="C138" i="66"/>
  <c r="C130" i="66"/>
  <c r="C106" i="66"/>
  <c r="C98" i="66"/>
  <c r="C90" i="66"/>
  <c r="C82" i="66"/>
  <c r="C34" i="66"/>
  <c r="C26" i="66"/>
  <c r="C519" i="66"/>
  <c r="C303" i="66"/>
  <c r="C1251" i="66"/>
  <c r="C1131" i="66"/>
  <c r="C1107" i="66"/>
  <c r="C1075" i="66"/>
  <c r="C1067" i="66"/>
  <c r="C1059" i="66"/>
  <c r="C947" i="66"/>
  <c r="C1547" i="66"/>
  <c r="C1819" i="66"/>
  <c r="C1811" i="66"/>
  <c r="C1771" i="66"/>
  <c r="C1747" i="66"/>
  <c r="C1739" i="66"/>
  <c r="C1731" i="66"/>
  <c r="C1691" i="66"/>
  <c r="C1619" i="66"/>
  <c r="C1603" i="66"/>
  <c r="C1579" i="66"/>
  <c r="C1877" i="66"/>
  <c r="O26" i="10"/>
  <c r="S1772" i="16"/>
  <c r="S361" i="16"/>
  <c r="T361" i="16" s="1"/>
  <c r="AD361" i="16" s="1"/>
  <c r="AO154" i="16"/>
  <c r="AO150" i="16"/>
  <c r="AO307" i="16"/>
  <c r="AO69" i="16"/>
  <c r="E222" i="76"/>
  <c r="AO222" i="16"/>
  <c r="E617" i="76"/>
  <c r="AO617" i="16"/>
  <c r="AC1331" i="16"/>
  <c r="T1383" i="16"/>
  <c r="AD1383" i="16" s="1"/>
  <c r="AC1383" i="16" s="1"/>
  <c r="O1383" i="16"/>
  <c r="E1463" i="76"/>
  <c r="AO1463" i="16"/>
  <c r="M1599" i="16"/>
  <c r="AE1599" i="16"/>
  <c r="AF1599" i="16" s="1"/>
  <c r="AO152" i="16"/>
  <c r="AO305" i="16"/>
  <c r="E55" i="76"/>
  <c r="AO55" i="16"/>
  <c r="E184" i="76"/>
  <c r="AO184" i="16"/>
  <c r="E1274" i="76"/>
  <c r="AO1274" i="16"/>
  <c r="O1486" i="16"/>
  <c r="T1486" i="16"/>
  <c r="AD1486" i="16" s="1"/>
  <c r="AC1486" i="16" s="1"/>
  <c r="E99" i="76"/>
  <c r="AO99" i="16"/>
  <c r="AC1371" i="16"/>
  <c r="AO56" i="16"/>
  <c r="E203" i="76"/>
  <c r="AO203" i="16"/>
  <c r="AC1368" i="16"/>
  <c r="E1492" i="76"/>
  <c r="AO1492" i="16"/>
  <c r="AC207" i="16"/>
  <c r="AC1592" i="16"/>
  <c r="E20" i="76"/>
  <c r="AO20" i="16"/>
  <c r="E478" i="76"/>
  <c r="AO478" i="16"/>
  <c r="E1291" i="76"/>
  <c r="AO1291" i="16"/>
  <c r="E1494" i="76"/>
  <c r="AO1494" i="16"/>
  <c r="O267" i="16"/>
  <c r="E267" i="76" s="1"/>
  <c r="E68" i="76"/>
  <c r="AO68" i="16"/>
  <c r="AC492" i="16"/>
  <c r="AC631" i="16"/>
  <c r="AC1366" i="16"/>
  <c r="AC1726" i="16"/>
  <c r="AC1606" i="16"/>
  <c r="AC1364" i="16"/>
  <c r="AO306" i="16"/>
  <c r="E78" i="76"/>
  <c r="AO78" i="16"/>
  <c r="E194" i="76"/>
  <c r="AO194" i="16"/>
  <c r="AO22" i="16"/>
  <c r="AO82" i="16"/>
  <c r="AO102" i="16"/>
  <c r="AO185" i="16"/>
  <c r="AO195" i="16"/>
  <c r="AO206" i="16"/>
  <c r="AO402" i="16"/>
  <c r="AO407" i="16"/>
  <c r="AO488" i="16"/>
  <c r="AO618" i="16"/>
  <c r="AO1326" i="16"/>
  <c r="AC1626" i="16"/>
  <c r="O1599" i="16"/>
  <c r="AO1665" i="16"/>
  <c r="AO1739" i="16"/>
  <c r="AO1743" i="16"/>
  <c r="AO61" i="16"/>
  <c r="AO165" i="16"/>
  <c r="AO286" i="16"/>
  <c r="AO295" i="16"/>
  <c r="AO354" i="16"/>
  <c r="AO503" i="16"/>
  <c r="AO532" i="16"/>
  <c r="AO751" i="16"/>
  <c r="O13" i="16"/>
  <c r="E13" i="76" s="1"/>
  <c r="T1463" i="16"/>
  <c r="AD1463" i="16" s="1"/>
  <c r="AC1463" i="16" s="1"/>
  <c r="AO1553" i="16"/>
  <c r="AO1811" i="16"/>
  <c r="AC1728" i="16"/>
  <c r="AC1589" i="16"/>
  <c r="AO1432" i="16"/>
  <c r="T1494" i="16"/>
  <c r="AD1494" i="16" s="1"/>
  <c r="AC1494" i="16" s="1"/>
  <c r="AO1559" i="16"/>
  <c r="AO1565" i="16"/>
  <c r="AC1580" i="16"/>
  <c r="AO1782" i="16"/>
  <c r="AO1336" i="16"/>
  <c r="O1346" i="16"/>
  <c r="E1346" i="76" s="1"/>
  <c r="AO289" i="16"/>
  <c r="AO296" i="16"/>
  <c r="AO363" i="16"/>
  <c r="AO433" i="16"/>
  <c r="AO509" i="16"/>
  <c r="AO547" i="16"/>
  <c r="AO600" i="16"/>
  <c r="AO35" i="16"/>
  <c r="AO26" i="16"/>
  <c r="AO1213" i="16"/>
  <c r="AO1364" i="16"/>
  <c r="AO1366" i="16"/>
  <c r="AO1368" i="16"/>
  <c r="AC1701" i="16"/>
  <c r="AO1705" i="16"/>
  <c r="AO44" i="16"/>
  <c r="AO58" i="16"/>
  <c r="AO91" i="16"/>
  <c r="AO192" i="16"/>
  <c r="AO199" i="16"/>
  <c r="AO215" i="16"/>
  <c r="AO245" i="16"/>
  <c r="AO411" i="16"/>
  <c r="AO449" i="16"/>
  <c r="AO474" i="16"/>
  <c r="AO477" i="16"/>
  <c r="AO615" i="16"/>
  <c r="AC1356" i="16"/>
  <c r="AO1427" i="16"/>
  <c r="E1427" i="76"/>
  <c r="AO1493" i="16"/>
  <c r="T1599" i="16"/>
  <c r="AD1599" i="16" s="1"/>
  <c r="AO1530" i="16"/>
  <c r="M1726" i="16"/>
  <c r="AO1604" i="16"/>
  <c r="AO1540" i="16"/>
  <c r="AO1543" i="16"/>
  <c r="AO1686" i="16"/>
  <c r="AC1623" i="16"/>
  <c r="AO1637" i="16"/>
  <c r="AO1639" i="16"/>
  <c r="AO1748" i="16"/>
  <c r="AO1789" i="16"/>
  <c r="W951" i="16"/>
  <c r="W952" i="16"/>
  <c r="E1252" i="76"/>
  <c r="AO1252" i="16"/>
  <c r="AE351" i="16"/>
  <c r="AF351" i="16" s="1"/>
  <c r="T351" i="16"/>
  <c r="AD351" i="16" s="1"/>
  <c r="T1003" i="16"/>
  <c r="G183" i="16"/>
  <c r="AO946" i="16"/>
  <c r="E946" i="76"/>
  <c r="G164" i="16"/>
  <c r="AO1383" i="16"/>
  <c r="E1383" i="76"/>
  <c r="AO1384" i="16"/>
  <c r="E1384" i="76"/>
  <c r="AO1390" i="16"/>
  <c r="AO726" i="16"/>
  <c r="T16" i="16"/>
  <c r="AD16" i="16" s="1"/>
  <c r="AC16" i="16" s="1"/>
  <c r="E1799" i="76"/>
  <c r="E1795" i="76"/>
  <c r="E1758" i="76"/>
  <c r="E1615" i="76"/>
  <c r="E1573" i="76"/>
  <c r="E1533" i="76"/>
  <c r="E1524" i="76"/>
  <c r="E1513" i="76"/>
  <c r="E1480" i="76"/>
  <c r="E1471" i="76"/>
  <c r="E1464" i="76"/>
  <c r="E1459" i="76"/>
  <c r="E1454" i="76"/>
  <c r="E1449" i="76"/>
  <c r="E1440" i="76"/>
  <c r="E1433" i="76"/>
  <c r="E1339" i="76"/>
  <c r="E1226" i="76"/>
  <c r="E707" i="76"/>
  <c r="E630" i="76"/>
  <c r="E621" i="76"/>
  <c r="E606" i="76"/>
  <c r="E450" i="76"/>
  <c r="E441" i="76"/>
  <c r="E314" i="76"/>
  <c r="E309" i="76"/>
  <c r="E248" i="76"/>
  <c r="E229" i="76"/>
  <c r="E225" i="76"/>
  <c r="E169" i="76"/>
  <c r="E134" i="76"/>
  <c r="E122" i="76"/>
  <c r="E113" i="76"/>
  <c r="E106" i="76"/>
  <c r="E71" i="76"/>
  <c r="C1998" i="66"/>
  <c r="C1990" i="66"/>
  <c r="AE84" i="29"/>
  <c r="M84" i="29"/>
  <c r="AM84" i="29" s="1"/>
  <c r="M60" i="29"/>
  <c r="AM60" i="29" s="1"/>
  <c r="AE60" i="29"/>
  <c r="C2004" i="66"/>
  <c r="G2003" i="16"/>
  <c r="AO78" i="29"/>
  <c r="C1999" i="66"/>
  <c r="C1879" i="66"/>
  <c r="A1880" i="66"/>
  <c r="C1880" i="66" s="1"/>
  <c r="C1984" i="66"/>
  <c r="O123" i="29"/>
  <c r="A1940" i="66" s="1"/>
  <c r="R127" i="29"/>
  <c r="M127" i="29" s="1"/>
  <c r="AM127" i="29" s="1"/>
  <c r="M149" i="29"/>
  <c r="AM149" i="29" s="1"/>
  <c r="AE149" i="29"/>
  <c r="AC149" i="29" s="1"/>
  <c r="M87" i="29"/>
  <c r="AM87" i="29" s="1"/>
  <c r="C1969" i="66"/>
  <c r="C1989" i="66"/>
  <c r="A1987" i="66"/>
  <c r="C1987" i="66" s="1"/>
  <c r="S100" i="29"/>
  <c r="T60" i="29"/>
  <c r="AD60" i="29" s="1"/>
  <c r="A1622" i="66"/>
  <c r="C1620" i="66"/>
  <c r="N1769" i="16"/>
  <c r="AO222" i="28"/>
  <c r="I1768" i="66"/>
  <c r="C1592" i="66"/>
  <c r="C1705" i="66"/>
  <c r="A1706" i="66"/>
  <c r="C1645" i="66"/>
  <c r="A1561" i="66"/>
  <c r="C1561" i="66" s="1"/>
  <c r="C1560" i="66"/>
  <c r="C1692" i="66"/>
  <c r="AE211" i="28"/>
  <c r="O264" i="28"/>
  <c r="C1559" i="66"/>
  <c r="O225" i="28"/>
  <c r="A1634" i="66"/>
  <c r="C1634" i="66" s="1"/>
  <c r="A1610" i="66"/>
  <c r="C1362" i="66"/>
  <c r="C1361" i="66"/>
  <c r="A955" i="66"/>
  <c r="C1002" i="66"/>
  <c r="A1003" i="66"/>
  <c r="C1003" i="66" s="1"/>
  <c r="C980" i="66"/>
  <c r="A882" i="66"/>
  <c r="C881" i="66"/>
  <c r="C1389" i="66"/>
  <c r="A777" i="66"/>
  <c r="C777" i="66" s="1"/>
  <c r="C1316" i="66"/>
  <c r="C1188" i="66"/>
  <c r="A1317" i="66"/>
  <c r="C817" i="66"/>
  <c r="A818" i="66"/>
  <c r="C818" i="66" s="1"/>
  <c r="C811" i="66"/>
  <c r="C1249" i="66"/>
  <c r="O7" i="10"/>
  <c r="O19" i="10"/>
  <c r="T190" i="25" s="1"/>
  <c r="AO620" i="25"/>
  <c r="A1326" i="66"/>
  <c r="C1326" i="66" s="1"/>
  <c r="C954" i="66"/>
  <c r="C1390" i="66"/>
  <c r="A1391" i="66"/>
  <c r="C1391" i="66" s="1"/>
  <c r="C1065" i="66"/>
  <c r="C979" i="66"/>
  <c r="A810" i="66"/>
  <c r="A807" i="66" s="1"/>
  <c r="C815" i="66"/>
  <c r="C1304" i="66"/>
  <c r="A413" i="66"/>
  <c r="C413" i="66" s="1"/>
  <c r="C412" i="66"/>
  <c r="C533" i="66"/>
  <c r="A534" i="66"/>
  <c r="C767" i="66"/>
  <c r="A768" i="66"/>
  <c r="A769" i="66" s="1"/>
  <c r="C769" i="66" s="1"/>
  <c r="A752" i="66"/>
  <c r="A608" i="66"/>
  <c r="C750" i="66"/>
  <c r="C462" i="66"/>
  <c r="A709" i="66"/>
  <c r="T121" i="24"/>
  <c r="AD121" i="24" s="1"/>
  <c r="AC121" i="24" s="1"/>
  <c r="O121" i="24"/>
  <c r="C725" i="66"/>
  <c r="C477" i="66"/>
  <c r="N332" i="16"/>
  <c r="A301" i="66"/>
  <c r="A758" i="66"/>
  <c r="C756" i="66"/>
  <c r="C508" i="66"/>
  <c r="A361" i="66"/>
  <c r="A621" i="66"/>
  <c r="C620" i="66"/>
  <c r="C515" i="66"/>
  <c r="C411" i="66"/>
  <c r="C307" i="66"/>
  <c r="C299" i="66"/>
  <c r="C283" i="66"/>
  <c r="S104" i="24"/>
  <c r="S105" i="24"/>
  <c r="T105" i="24" s="1"/>
  <c r="AD105" i="24" s="1"/>
  <c r="AC105" i="24" s="1"/>
  <c r="S123" i="24"/>
  <c r="S117" i="24"/>
  <c r="A281" i="66"/>
  <c r="C281" i="66" s="1"/>
  <c r="C498" i="66"/>
  <c r="C410" i="66"/>
  <c r="C306" i="66"/>
  <c r="C282" i="66"/>
  <c r="O115" i="24"/>
  <c r="A375" i="66"/>
  <c r="C509" i="66"/>
  <c r="A510" i="66"/>
  <c r="C510" i="66" s="1"/>
  <c r="C289" i="66"/>
  <c r="A267" i="66"/>
  <c r="C266" i="66"/>
  <c r="R107" i="24"/>
  <c r="T107" i="24"/>
  <c r="AD107" i="24" s="1"/>
  <c r="C766" i="66"/>
  <c r="C608" i="66"/>
  <c r="C464" i="66"/>
  <c r="C376" i="66"/>
  <c r="C360" i="66"/>
  <c r="C304" i="66"/>
  <c r="C280" i="66"/>
  <c r="C374" i="66"/>
  <c r="C606" i="66"/>
  <c r="G291" i="16"/>
  <c r="G292" i="16" s="1"/>
  <c r="A103" i="66"/>
  <c r="C102" i="66"/>
  <c r="C197" i="66"/>
  <c r="A79" i="66"/>
  <c r="C79" i="66" s="1"/>
  <c r="C228" i="66"/>
  <c r="A108" i="66"/>
  <c r="C108" i="66" s="1"/>
  <c r="C27" i="66"/>
  <c r="C84" i="66"/>
  <c r="A246" i="66"/>
  <c r="C246" i="66" s="1"/>
  <c r="A163" i="66"/>
  <c r="C163" i="66" s="1"/>
  <c r="G83" i="16"/>
  <c r="T1354" i="16"/>
  <c r="AD1354" i="16" s="1"/>
  <c r="AC1354" i="16" s="1"/>
  <c r="O465" i="16"/>
  <c r="AC1576" i="16"/>
  <c r="O1580" i="16"/>
  <c r="N1580" i="16"/>
  <c r="I5" i="24"/>
  <c r="I5" i="28"/>
  <c r="I5" i="25"/>
  <c r="I5" i="8"/>
  <c r="I5" i="27"/>
  <c r="A1577" i="66"/>
  <c r="C1576" i="66"/>
  <c r="C1575" i="66"/>
  <c r="T41" i="27"/>
  <c r="AD41" i="27" s="1"/>
  <c r="AC41" i="27" s="1"/>
  <c r="O41" i="27"/>
  <c r="T470" i="25"/>
  <c r="AD470" i="25" s="1"/>
  <c r="AC470" i="25" s="1"/>
  <c r="T39" i="8"/>
  <c r="AD39" i="8" s="1"/>
  <c r="AO707" i="16"/>
  <c r="AM132" i="16"/>
  <c r="O132" i="16"/>
  <c r="O381" i="16"/>
  <c r="T381" i="16"/>
  <c r="AD381" i="16" s="1"/>
  <c r="AC381" i="16" s="1"/>
  <c r="T1379" i="16"/>
  <c r="AD1379" i="16" s="1"/>
  <c r="AC1379" i="16" s="1"/>
  <c r="O1379" i="16"/>
  <c r="O129" i="24"/>
  <c r="T129" i="24"/>
  <c r="AD129" i="24" s="1"/>
  <c r="AC129" i="24" s="1"/>
  <c r="AM135" i="16"/>
  <c r="AO63" i="27"/>
  <c r="I1448" i="66"/>
  <c r="N1449" i="16"/>
  <c r="T143" i="24"/>
  <c r="AD143" i="24" s="1"/>
  <c r="AC143" i="24" s="1"/>
  <c r="O143" i="24"/>
  <c r="I308" i="66"/>
  <c r="AO55" i="24"/>
  <c r="N309" i="16"/>
  <c r="AO187" i="24"/>
  <c r="N441" i="16"/>
  <c r="I440" i="66"/>
  <c r="O145" i="16"/>
  <c r="AM145" i="16"/>
  <c r="T616" i="25"/>
  <c r="AD616" i="25" s="1"/>
  <c r="AC616" i="25" s="1"/>
  <c r="O616" i="25"/>
  <c r="AM128" i="16"/>
  <c r="O128" i="16"/>
  <c r="S1110" i="16"/>
  <c r="S1087" i="16"/>
  <c r="S1021" i="16"/>
  <c r="R795" i="16"/>
  <c r="AE795" i="16" s="1"/>
  <c r="AF795" i="16" s="1"/>
  <c r="S1183" i="16"/>
  <c r="T1183" i="16" s="1"/>
  <c r="AD1183" i="16" s="1"/>
  <c r="AC1183" i="16" s="1"/>
  <c r="S1177" i="16"/>
  <c r="T1177" i="16" s="1"/>
  <c r="AD1177" i="16" s="1"/>
  <c r="AC1177" i="16" s="1"/>
  <c r="S1016" i="16"/>
  <c r="S952" i="16"/>
  <c r="O951" i="16" s="1"/>
  <c r="S1042" i="16"/>
  <c r="S1106" i="16"/>
  <c r="S1171" i="16"/>
  <c r="T1171" i="16" s="1"/>
  <c r="AD1171" i="16" s="1"/>
  <c r="AC1171" i="16" s="1"/>
  <c r="S1007" i="16"/>
  <c r="S1013" i="16"/>
  <c r="S881" i="16"/>
  <c r="S1104" i="16"/>
  <c r="S978" i="16"/>
  <c r="T978" i="16" s="1"/>
  <c r="AD978" i="16" s="1"/>
  <c r="AC978" i="16" s="1"/>
  <c r="S897" i="16"/>
  <c r="S994" i="16"/>
  <c r="T994" i="16" s="1"/>
  <c r="AD994" i="16" s="1"/>
  <c r="AC994" i="16" s="1"/>
  <c r="S1160" i="16"/>
  <c r="S1043" i="16"/>
  <c r="S988" i="16"/>
  <c r="T988" i="16" s="1"/>
  <c r="AD988" i="16" s="1"/>
  <c r="AC988" i="16" s="1"/>
  <c r="S1170" i="16"/>
  <c r="T1170" i="16" s="1"/>
  <c r="AD1170" i="16" s="1"/>
  <c r="AC1170" i="16" s="1"/>
  <c r="S909" i="16"/>
  <c r="S1168" i="16"/>
  <c r="T1168" i="16" s="1"/>
  <c r="AD1168" i="16" s="1"/>
  <c r="AC1168" i="16" s="1"/>
  <c r="S800" i="16"/>
  <c r="S920" i="16"/>
  <c r="S1128" i="16"/>
  <c r="S1027" i="16"/>
  <c r="S895" i="16"/>
  <c r="S947" i="16"/>
  <c r="T947" i="16" s="1"/>
  <c r="AD947" i="16" s="1"/>
  <c r="AC947" i="16" s="1"/>
  <c r="S851" i="16"/>
  <c r="S1127" i="16"/>
  <c r="S1174" i="16"/>
  <c r="S1120" i="16"/>
  <c r="S1217" i="16"/>
  <c r="S887" i="16"/>
  <c r="S1185" i="16"/>
  <c r="T1185" i="16" s="1"/>
  <c r="AD1185" i="16" s="1"/>
  <c r="AC1185" i="16" s="1"/>
  <c r="S1048" i="16"/>
  <c r="S803" i="16"/>
  <c r="S970" i="16"/>
  <c r="S1060" i="16"/>
  <c r="S1089" i="16"/>
  <c r="T1089" i="16" s="1"/>
  <c r="AD1089" i="16" s="1"/>
  <c r="AC1089" i="16" s="1"/>
  <c r="S1053" i="16"/>
  <c r="T1053" i="16" s="1"/>
  <c r="AD1053" i="16" s="1"/>
  <c r="AC1053" i="16" s="1"/>
  <c r="S854" i="16"/>
  <c r="S1000" i="16"/>
  <c r="S1031" i="16"/>
  <c r="S795" i="16"/>
  <c r="T795" i="16" s="1"/>
  <c r="AD795" i="16" s="1"/>
  <c r="S941" i="16"/>
  <c r="T941" i="16" s="1"/>
  <c r="AD941" i="16" s="1"/>
  <c r="AC941" i="16" s="1"/>
  <c r="S1172" i="16"/>
  <c r="T1172" i="16" s="1"/>
  <c r="AD1172" i="16" s="1"/>
  <c r="AC1172" i="16" s="1"/>
  <c r="S933" i="16"/>
  <c r="T934" i="16" s="1"/>
  <c r="AD934" i="16" s="1"/>
  <c r="S1187" i="16"/>
  <c r="T1187" i="16" s="1"/>
  <c r="AD1187" i="16" s="1"/>
  <c r="AC1187" i="16" s="1"/>
  <c r="S1129" i="16"/>
  <c r="S786" i="16"/>
  <c r="S1132" i="16"/>
  <c r="S962" i="16"/>
  <c r="S955" i="16"/>
  <c r="S903" i="16"/>
  <c r="S819" i="16"/>
  <c r="S939" i="16"/>
  <c r="T939" i="16" s="1"/>
  <c r="AD939" i="16" s="1"/>
  <c r="AC939" i="16" s="1"/>
  <c r="S1122" i="16"/>
  <c r="S1036" i="16"/>
  <c r="S948" i="16"/>
  <c r="S1108" i="16"/>
  <c r="S1124" i="16"/>
  <c r="O389" i="16"/>
  <c r="T389" i="16"/>
  <c r="AD389" i="16" s="1"/>
  <c r="AC389" i="16" s="1"/>
  <c r="O140" i="16"/>
  <c r="AM140" i="16"/>
  <c r="I449" i="66"/>
  <c r="N450" i="16"/>
  <c r="AO196" i="24"/>
  <c r="O383" i="16"/>
  <c r="T383" i="16"/>
  <c r="AD383" i="16" s="1"/>
  <c r="AC383" i="16" s="1"/>
  <c r="AO113" i="16"/>
  <c r="T465" i="16"/>
  <c r="AD465" i="16" s="1"/>
  <c r="AC465" i="16" s="1"/>
  <c r="AO1464" i="16"/>
  <c r="I224" i="66"/>
  <c r="N225" i="16"/>
  <c r="AO226" i="8"/>
  <c r="O556" i="25"/>
  <c r="T556" i="25"/>
  <c r="AD556" i="25" s="1"/>
  <c r="AC556" i="25" s="1"/>
  <c r="N606" i="16"/>
  <c r="I605" i="66"/>
  <c r="AO352" i="24"/>
  <c r="AD1398" i="16"/>
  <c r="AC1398" i="16" s="1"/>
  <c r="AM125" i="16"/>
  <c r="T1233" i="16"/>
  <c r="AD1233" i="16" s="1"/>
  <c r="AC1233" i="16" s="1"/>
  <c r="T474" i="25"/>
  <c r="AD474" i="25" s="1"/>
  <c r="AC474" i="25" s="1"/>
  <c r="AO225" i="16"/>
  <c r="AO1533" i="16"/>
  <c r="I133" i="66"/>
  <c r="AO135" i="8"/>
  <c r="N134" i="16"/>
  <c r="AO71" i="16"/>
  <c r="O258" i="8"/>
  <c r="T258" i="8"/>
  <c r="AD258" i="8" s="1"/>
  <c r="AC258" i="8" s="1"/>
  <c r="AM137" i="16"/>
  <c r="T135" i="24"/>
  <c r="AD135" i="24" s="1"/>
  <c r="AC135" i="24" s="1"/>
  <c r="O135" i="24"/>
  <c r="AM127" i="16"/>
  <c r="I1463" i="66"/>
  <c r="AO78" i="27"/>
  <c r="N1464" i="16"/>
  <c r="I1614" i="66"/>
  <c r="N1615" i="16"/>
  <c r="AO68" i="28"/>
  <c r="O554" i="25"/>
  <c r="T554" i="25"/>
  <c r="AD554" i="25" s="1"/>
  <c r="AC554" i="25" s="1"/>
  <c r="O211" i="24"/>
  <c r="T211" i="24"/>
  <c r="AD211" i="24" s="1"/>
  <c r="AC211" i="24" s="1"/>
  <c r="I1458" i="66"/>
  <c r="A1455" i="66" s="1"/>
  <c r="N1459" i="16"/>
  <c r="G1459" i="16" s="1"/>
  <c r="AO73" i="27"/>
  <c r="O558" i="25"/>
  <c r="T558" i="25"/>
  <c r="AD558" i="25" s="1"/>
  <c r="AC558" i="25" s="1"/>
  <c r="I706" i="66"/>
  <c r="N707" i="16"/>
  <c r="AO453" i="24"/>
  <c r="AM126" i="16"/>
  <c r="AM140" i="8"/>
  <c r="O140" i="8"/>
  <c r="T1237" i="16"/>
  <c r="AD1237" i="16" s="1"/>
  <c r="AC1237" i="16" s="1"/>
  <c r="T225" i="8"/>
  <c r="AD225" i="8" s="1"/>
  <c r="AC225" i="8" s="1"/>
  <c r="O225" i="8"/>
  <c r="N1226" i="16"/>
  <c r="G1226" i="16" s="1"/>
  <c r="I1225" i="66"/>
  <c r="AO463" i="25"/>
  <c r="O572" i="16"/>
  <c r="AO229" i="16"/>
  <c r="O607" i="25"/>
  <c r="A1369" i="66" s="1"/>
  <c r="AO314" i="16"/>
  <c r="AM124" i="16"/>
  <c r="O255" i="8"/>
  <c r="T255" i="8"/>
  <c r="AD255" i="8" s="1"/>
  <c r="AC255" i="8" s="1"/>
  <c r="AO1513" i="16"/>
  <c r="AO1615" i="16"/>
  <c r="AO621" i="16"/>
  <c r="AO441" i="16"/>
  <c r="N1513" i="16"/>
  <c r="G1513" i="16" s="1"/>
  <c r="I1512" i="66"/>
  <c r="AO127" i="27"/>
  <c r="O664" i="16"/>
  <c r="I620" i="66"/>
  <c r="AO367" i="24"/>
  <c r="N621" i="16"/>
  <c r="T167" i="28"/>
  <c r="AD167" i="28" s="1"/>
  <c r="AC167" i="28" s="1"/>
  <c r="O165" i="28"/>
  <c r="A1711" i="66" s="1"/>
  <c r="AO134" i="16"/>
  <c r="AO1480" i="16"/>
  <c r="AO1471" i="16"/>
  <c r="M1477" i="16"/>
  <c r="AO1454" i="16"/>
  <c r="I105" i="66"/>
  <c r="AO107" i="8"/>
  <c r="N106" i="16"/>
  <c r="G106" i="16" s="1"/>
  <c r="O393" i="16"/>
  <c r="T393" i="16"/>
  <c r="AD393" i="16" s="1"/>
  <c r="AC393" i="16" s="1"/>
  <c r="I112" i="66"/>
  <c r="N113" i="16"/>
  <c r="AO114" i="8"/>
  <c r="AM146" i="8"/>
  <c r="O146" i="8"/>
  <c r="I1338" i="66"/>
  <c r="AO576" i="25"/>
  <c r="N1339" i="16"/>
  <c r="G1339" i="16" s="1"/>
  <c r="G1334" i="16" s="1"/>
  <c r="AM136" i="16"/>
  <c r="T61" i="28"/>
  <c r="AD61" i="28" s="1"/>
  <c r="O61" i="28"/>
  <c r="AO1339" i="16"/>
  <c r="AO1799" i="16"/>
  <c r="AO1573" i="16"/>
  <c r="AD12" i="27"/>
  <c r="I247" i="66"/>
  <c r="N248" i="16"/>
  <c r="AO249" i="8"/>
  <c r="T479" i="25"/>
  <c r="AD479" i="25" s="1"/>
  <c r="AC479" i="25" s="1"/>
  <c r="I1432" i="66"/>
  <c r="A1429" i="66" s="1"/>
  <c r="N1433" i="16"/>
  <c r="G1433" i="16" s="1"/>
  <c r="G1430" i="16" s="1"/>
  <c r="AO47" i="27"/>
  <c r="O173" i="28"/>
  <c r="T173" i="28"/>
  <c r="AD173" i="28" s="1"/>
  <c r="AC173" i="28" s="1"/>
  <c r="AO606" i="16"/>
  <c r="I1439" i="66"/>
  <c r="N1440" i="16"/>
  <c r="G1440" i="16" s="1"/>
  <c r="AO54" i="27"/>
  <c r="AO248" i="16"/>
  <c r="AO1459" i="16"/>
  <c r="AO1524" i="16"/>
  <c r="AM138" i="16"/>
  <c r="T168" i="28"/>
  <c r="AD168" i="28" s="1"/>
  <c r="AC168" i="28" s="1"/>
  <c r="T171" i="28"/>
  <c r="AD171" i="28" s="1"/>
  <c r="AC171" i="28" s="1"/>
  <c r="O171" i="28"/>
  <c r="T127" i="24"/>
  <c r="AD127" i="24" s="1"/>
  <c r="O127" i="24"/>
  <c r="AO122" i="16"/>
  <c r="O139" i="24"/>
  <c r="T139" i="24"/>
  <c r="AD139" i="24" s="1"/>
  <c r="AC139" i="24" s="1"/>
  <c r="O133" i="8"/>
  <c r="AM133" i="8"/>
  <c r="I1798" i="66"/>
  <c r="N1799" i="16"/>
  <c r="AO252" i="28"/>
  <c r="N1471" i="16"/>
  <c r="I1470" i="66"/>
  <c r="AO85" i="27"/>
  <c r="M91" i="27"/>
  <c r="AO1433" i="16"/>
  <c r="I629" i="66"/>
  <c r="N630" i="16"/>
  <c r="AO376" i="24"/>
  <c r="AO450" i="16"/>
  <c r="AO169" i="16"/>
  <c r="N1524" i="16"/>
  <c r="I1523" i="66"/>
  <c r="AO138" i="27"/>
  <c r="AM139" i="16"/>
  <c r="O139" i="16"/>
  <c r="AM130" i="16"/>
  <c r="O130" i="16"/>
  <c r="AO630" i="16"/>
  <c r="S1767" i="16"/>
  <c r="AO1758" i="16"/>
  <c r="AO1440" i="16"/>
  <c r="AO309" i="16"/>
  <c r="O397" i="16"/>
  <c r="T397" i="16"/>
  <c r="AD397" i="16" s="1"/>
  <c r="AC397" i="16" s="1"/>
  <c r="I1794" i="66"/>
  <c r="N1795" i="16"/>
  <c r="AO248" i="28"/>
  <c r="O318" i="24"/>
  <c r="A571" i="66" s="1"/>
  <c r="AO106" i="16"/>
  <c r="AO1226" i="16"/>
  <c r="AO1449" i="16"/>
  <c r="AO1795" i="16"/>
  <c r="Y10" i="3"/>
  <c r="S898" i="16"/>
  <c r="O11" i="27"/>
  <c r="M125" i="8"/>
  <c r="O68" i="27"/>
  <c r="O170" i="8"/>
  <c r="S257" i="16"/>
  <c r="O1233" i="16"/>
  <c r="S936" i="16"/>
  <c r="M126" i="8"/>
  <c r="S1317" i="16"/>
  <c r="O23" i="28"/>
  <c r="O536" i="25"/>
  <c r="O1397" i="16"/>
  <c r="S817" i="16"/>
  <c r="S1321" i="16"/>
  <c r="S1715" i="16"/>
  <c r="M141" i="8"/>
  <c r="N10" i="3"/>
  <c r="M128" i="8"/>
  <c r="R424" i="24"/>
  <c r="S809" i="16"/>
  <c r="M129" i="8"/>
  <c r="O474" i="25"/>
  <c r="S224" i="16"/>
  <c r="M139" i="8"/>
  <c r="W1370" i="16"/>
  <c r="O230" i="8"/>
  <c r="O479" i="25"/>
  <c r="O1237" i="16"/>
  <c r="S38" i="16"/>
  <c r="O94" i="27"/>
  <c r="S1720" i="16"/>
  <c r="O147" i="27"/>
  <c r="O470" i="25"/>
  <c r="S1319" i="16"/>
  <c r="O26" i="28"/>
  <c r="M127" i="8"/>
  <c r="S1242" i="16"/>
  <c r="O39" i="8"/>
  <c r="S813" i="16"/>
  <c r="O60" i="24"/>
  <c r="S13" i="25"/>
  <c r="S1714" i="16"/>
  <c r="M137" i="8"/>
  <c r="S1507" i="16"/>
  <c r="S254" i="16"/>
  <c r="M131" i="8"/>
  <c r="O211" i="28"/>
  <c r="M138" i="8"/>
  <c r="S1718" i="16"/>
  <c r="S1608" i="16"/>
  <c r="O123" i="8"/>
  <c r="M136" i="8"/>
  <c r="O36" i="28"/>
  <c r="G1983" i="16" l="1"/>
  <c r="G1984" i="16" s="1"/>
  <c r="G1985" i="16" s="1"/>
  <c r="G1986" i="16" s="1"/>
  <c r="G1987" i="16" s="1"/>
  <c r="G1988" i="16" s="1"/>
  <c r="G1989" i="16" s="1"/>
  <c r="G1990" i="16" s="1"/>
  <c r="G1991" i="16" s="1"/>
  <c r="G1743" i="16"/>
  <c r="G1744" i="16" s="1"/>
  <c r="G1745" i="16" s="1"/>
  <c r="G1746" i="16" s="1"/>
  <c r="G1747" i="16" s="1"/>
  <c r="G1739" i="16"/>
  <c r="G1740" i="16" s="1"/>
  <c r="G1741" i="16" s="1"/>
  <c r="G1742" i="16" s="1"/>
  <c r="G1686" i="16"/>
  <c r="G1687" i="16" s="1"/>
  <c r="G1688" i="16" s="1"/>
  <c r="G1689" i="16" s="1"/>
  <c r="G1690" i="16" s="1"/>
  <c r="G1691" i="16" s="1"/>
  <c r="G1681" i="16"/>
  <c r="G1682" i="16" s="1"/>
  <c r="G1675" i="16"/>
  <c r="G1676" i="16" s="1"/>
  <c r="G1677" i="16" s="1"/>
  <c r="G1678" i="16" s="1"/>
  <c r="G1679" i="16" s="1"/>
  <c r="G1680" i="16" s="1"/>
  <c r="G1674" i="16"/>
  <c r="AC57" i="28"/>
  <c r="A1586" i="66"/>
  <c r="AO33" i="28"/>
  <c r="G1580" i="16"/>
  <c r="G1581" i="16" s="1"/>
  <c r="G1582" i="16" s="1"/>
  <c r="G1502" i="16"/>
  <c r="G1503" i="16" s="1"/>
  <c r="G1504" i="16" s="1"/>
  <c r="A1486" i="66"/>
  <c r="G1494" i="16"/>
  <c r="G1491" i="16" s="1"/>
  <c r="A1490" i="66"/>
  <c r="G1488" i="16"/>
  <c r="G1489" i="16" s="1"/>
  <c r="G1490" i="16" s="1"/>
  <c r="I1483" i="66"/>
  <c r="G1484" i="16"/>
  <c r="G1485" i="16" s="1"/>
  <c r="G1275" i="16"/>
  <c r="G1276" i="16" s="1"/>
  <c r="G1277" i="16" s="1"/>
  <c r="G1278" i="16" s="1"/>
  <c r="G1279" i="16" s="1"/>
  <c r="G1274" i="16"/>
  <c r="A785" i="66"/>
  <c r="G726" i="16"/>
  <c r="G727" i="16" s="1"/>
  <c r="G728" i="16" s="1"/>
  <c r="G729" i="16" s="1"/>
  <c r="G730" i="16" s="1"/>
  <c r="G731" i="16" s="1"/>
  <c r="G732" i="16" s="1"/>
  <c r="G733" i="16" s="1"/>
  <c r="G734" i="16" s="1"/>
  <c r="G735" i="16" s="1"/>
  <c r="G736" i="16" s="1"/>
  <c r="G737" i="16" s="1"/>
  <c r="G738" i="16" s="1"/>
  <c r="G739" i="16" s="1"/>
  <c r="G740" i="16" s="1"/>
  <c r="G741" i="16" s="1"/>
  <c r="G742" i="16" s="1"/>
  <c r="G743" i="16" s="1"/>
  <c r="G744" i="16" s="1"/>
  <c r="G745" i="16" s="1"/>
  <c r="G746" i="16" s="1"/>
  <c r="G747" i="16" s="1"/>
  <c r="G748" i="16" s="1"/>
  <c r="G749" i="16" s="1"/>
  <c r="G750" i="16" s="1"/>
  <c r="G363" i="16"/>
  <c r="G364" i="16" s="1"/>
  <c r="G298" i="16"/>
  <c r="G299" i="16" s="1"/>
  <c r="G300" i="16" s="1"/>
  <c r="G488" i="16"/>
  <c r="G489" i="16" s="1"/>
  <c r="G490" i="16" s="1"/>
  <c r="A470" i="66"/>
  <c r="C470" i="66" s="1"/>
  <c r="G1816" i="16"/>
  <c r="G1817" i="16" s="1"/>
  <c r="G1818" i="16" s="1"/>
  <c r="G283" i="16"/>
  <c r="G284" i="16" s="1"/>
  <c r="G285" i="16" s="1"/>
  <c r="G189" i="16"/>
  <c r="G152" i="16"/>
  <c r="G153" i="16" s="1"/>
  <c r="AO153" i="8"/>
  <c r="I151" i="66"/>
  <c r="G154" i="16"/>
  <c r="G155" i="16" s="1"/>
  <c r="G148" i="16"/>
  <c r="G149" i="16" s="1"/>
  <c r="G147" i="16"/>
  <c r="G1769" i="16"/>
  <c r="G1770" i="16" s="1"/>
  <c r="G1771" i="16" s="1"/>
  <c r="S371" i="16"/>
  <c r="AO78" i="24"/>
  <c r="G333" i="16"/>
  <c r="G334" i="16" s="1"/>
  <c r="G335" i="16" s="1"/>
  <c r="G336" i="16" s="1"/>
  <c r="G337" i="16" s="1"/>
  <c r="G338" i="16" s="1"/>
  <c r="G339" i="16" s="1"/>
  <c r="G332" i="16"/>
  <c r="O375" i="16"/>
  <c r="AO375" i="16" s="1"/>
  <c r="M17" i="29"/>
  <c r="AM17" i="29" s="1"/>
  <c r="N1896" i="16"/>
  <c r="A1895" i="66"/>
  <c r="S1856" i="16"/>
  <c r="T1856" i="16" s="1"/>
  <c r="AD1856" i="16" s="1"/>
  <c r="AC1856" i="16" s="1"/>
  <c r="S1841" i="16"/>
  <c r="T1841" i="16" s="1"/>
  <c r="AD1841" i="16" s="1"/>
  <c r="AC1841" i="16" s="1"/>
  <c r="S1911" i="16"/>
  <c r="T1911" i="16" s="1"/>
  <c r="AD1911" i="16" s="1"/>
  <c r="AC1911" i="16" s="1"/>
  <c r="S1843" i="16"/>
  <c r="T1843" i="16" s="1"/>
  <c r="AD1843" i="16" s="1"/>
  <c r="AC1843" i="16" s="1"/>
  <c r="S1966" i="16"/>
  <c r="T1966" i="16" s="1"/>
  <c r="AD1966" i="16" s="1"/>
  <c r="AC1966" i="16" s="1"/>
  <c r="S1947" i="16"/>
  <c r="T1947" i="16" s="1"/>
  <c r="AD1947" i="16" s="1"/>
  <c r="AC1947" i="16" s="1"/>
  <c r="S1967" i="16"/>
  <c r="S1933" i="16"/>
  <c r="T1933" i="16" s="1"/>
  <c r="AD1933" i="16" s="1"/>
  <c r="AC1933" i="16" s="1"/>
  <c r="S1833" i="16"/>
  <c r="S1864" i="16"/>
  <c r="T1864" i="16" s="1"/>
  <c r="AD1864" i="16" s="1"/>
  <c r="AC1864" i="16" s="1"/>
  <c r="S1907" i="16"/>
  <c r="T1907" i="16" s="1"/>
  <c r="AD1907" i="16" s="1"/>
  <c r="AC1907" i="16" s="1"/>
  <c r="S1870" i="16"/>
  <c r="T1870" i="16" s="1"/>
  <c r="AD1870" i="16" s="1"/>
  <c r="AC1870" i="16" s="1"/>
  <c r="S1862" i="16"/>
  <c r="T1862" i="16" s="1"/>
  <c r="AD1862" i="16" s="1"/>
  <c r="AC1862" i="16" s="1"/>
  <c r="S1835" i="16"/>
  <c r="S1965" i="16"/>
  <c r="T1965" i="16" s="1"/>
  <c r="AD1965" i="16" s="1"/>
  <c r="AC1965" i="16" s="1"/>
  <c r="S1939" i="16"/>
  <c r="S1860" i="16"/>
  <c r="T1860" i="16" s="1"/>
  <c r="AD1860" i="16" s="1"/>
  <c r="AC1860" i="16" s="1"/>
  <c r="S1905" i="16"/>
  <c r="S1925" i="16"/>
  <c r="T1925" i="16" s="1"/>
  <c r="AD1925" i="16" s="1"/>
  <c r="AC1925" i="16" s="1"/>
  <c r="S1963" i="16"/>
  <c r="T1963" i="16" s="1"/>
  <c r="AD1963" i="16" s="1"/>
  <c r="AC1963" i="16" s="1"/>
  <c r="S1931" i="16"/>
  <c r="T1931" i="16" s="1"/>
  <c r="AD1931" i="16" s="1"/>
  <c r="AC1931" i="16" s="1"/>
  <c r="S1845" i="16"/>
  <c r="T1845" i="16" s="1"/>
  <c r="AD1845" i="16" s="1"/>
  <c r="AC1845" i="16" s="1"/>
  <c r="S1945" i="16"/>
  <c r="S1958" i="16"/>
  <c r="T1958" i="16" s="1"/>
  <c r="AD1958" i="16" s="1"/>
  <c r="AC1958" i="16" s="1"/>
  <c r="S1869" i="16"/>
  <c r="T1869" i="16" s="1"/>
  <c r="AD1869" i="16" s="1"/>
  <c r="AC1869" i="16" s="1"/>
  <c r="S1877" i="16"/>
  <c r="T1877" i="16" s="1"/>
  <c r="AD1877" i="16" s="1"/>
  <c r="AC1877" i="16" s="1"/>
  <c r="S1902" i="16"/>
  <c r="S1928" i="16"/>
  <c r="T1928" i="16" s="1"/>
  <c r="AD1928" i="16" s="1"/>
  <c r="AC1928" i="16" s="1"/>
  <c r="S1930" i="16"/>
  <c r="T1930" i="16" s="1"/>
  <c r="AD1930" i="16" s="1"/>
  <c r="AC1930" i="16" s="1"/>
  <c r="S1867" i="16"/>
  <c r="T1867" i="16" s="1"/>
  <c r="AD1867" i="16" s="1"/>
  <c r="AC1867" i="16" s="1"/>
  <c r="S1878" i="16"/>
  <c r="S1951" i="16"/>
  <c r="T1951" i="16" s="1"/>
  <c r="AD1951" i="16" s="1"/>
  <c r="AC1951" i="16" s="1"/>
  <c r="S1850" i="16"/>
  <c r="T1850" i="16" s="1"/>
  <c r="AD1850" i="16" s="1"/>
  <c r="AC1850" i="16" s="1"/>
  <c r="S1910" i="16"/>
  <c r="T1910" i="16" s="1"/>
  <c r="AD1910" i="16" s="1"/>
  <c r="AC1910" i="16" s="1"/>
  <c r="S1839" i="16"/>
  <c r="T1839" i="16" s="1"/>
  <c r="AD1839" i="16" s="1"/>
  <c r="AC1839" i="16" s="1"/>
  <c r="S1918" i="16"/>
  <c r="S1876" i="16"/>
  <c r="T1876" i="16" s="1"/>
  <c r="AD1876" i="16" s="1"/>
  <c r="AC1876" i="16" s="1"/>
  <c r="S1961" i="16"/>
  <c r="T1961" i="16" s="1"/>
  <c r="AD1961" i="16" s="1"/>
  <c r="AC1961" i="16" s="1"/>
  <c r="S1865" i="16"/>
  <c r="T1865" i="16" s="1"/>
  <c r="AD1865" i="16" s="1"/>
  <c r="AC1865" i="16" s="1"/>
  <c r="S1920" i="16"/>
  <c r="S1923" i="16"/>
  <c r="T1923" i="16" s="1"/>
  <c r="AD1923" i="16" s="1"/>
  <c r="AC1923" i="16" s="1"/>
  <c r="S1899" i="16"/>
  <c r="S1834" i="16"/>
  <c r="S1874" i="16"/>
  <c r="T1874" i="16" s="1"/>
  <c r="AD1874" i="16" s="1"/>
  <c r="AC1874" i="16" s="1"/>
  <c r="S1935" i="16"/>
  <c r="T1935" i="16" s="1"/>
  <c r="AD1935" i="16" s="1"/>
  <c r="AC1935" i="16" s="1"/>
  <c r="S1908" i="16"/>
  <c r="T1908" i="16" s="1"/>
  <c r="AD1908" i="16" s="1"/>
  <c r="AC1908" i="16" s="1"/>
  <c r="S1960" i="16"/>
  <c r="T1960" i="16" s="1"/>
  <c r="AD1960" i="16" s="1"/>
  <c r="AC1960" i="16" s="1"/>
  <c r="S1840" i="16"/>
  <c r="T1840" i="16" s="1"/>
  <c r="AD1840" i="16" s="1"/>
  <c r="AC1840" i="16" s="1"/>
  <c r="S1964" i="16"/>
  <c r="T1964" i="16" s="1"/>
  <c r="AD1964" i="16" s="1"/>
  <c r="AC1964" i="16" s="1"/>
  <c r="S1846" i="16"/>
  <c r="S1872" i="16"/>
  <c r="T1872" i="16" s="1"/>
  <c r="AD1872" i="16" s="1"/>
  <c r="AC1872" i="16" s="1"/>
  <c r="S1936" i="16"/>
  <c r="T1936" i="16" s="1"/>
  <c r="AD1936" i="16" s="1"/>
  <c r="AC1936" i="16" s="1"/>
  <c r="S1912" i="16"/>
  <c r="T1912" i="16" s="1"/>
  <c r="AD1912" i="16" s="1"/>
  <c r="AC1912" i="16" s="1"/>
  <c r="S1849" i="16"/>
  <c r="T1849" i="16" s="1"/>
  <c r="AD1849" i="16" s="1"/>
  <c r="AC1849" i="16" s="1"/>
  <c r="S1848" i="16"/>
  <c r="T1848" i="16" s="1"/>
  <c r="AD1848" i="16" s="1"/>
  <c r="AC1848" i="16" s="1"/>
  <c r="BD15" i="16"/>
  <c r="BD270" i="16"/>
  <c r="BD779" i="16"/>
  <c r="BD1402" i="16"/>
  <c r="BD1834" i="16"/>
  <c r="G946" i="16"/>
  <c r="G947" i="16" s="1"/>
  <c r="G1795" i="16"/>
  <c r="G1796" i="16" s="1"/>
  <c r="G1797" i="16" s="1"/>
  <c r="G1798" i="16" s="1"/>
  <c r="G248" i="16"/>
  <c r="G249" i="16" s="1"/>
  <c r="G250" i="16" s="1"/>
  <c r="G251" i="16" s="1"/>
  <c r="G252" i="16" s="1"/>
  <c r="G253" i="16" s="1"/>
  <c r="G225" i="16"/>
  <c r="G226" i="16" s="1"/>
  <c r="G227" i="16" s="1"/>
  <c r="G228" i="16" s="1"/>
  <c r="G450" i="16"/>
  <c r="G451" i="16" s="1"/>
  <c r="G452" i="16" s="1"/>
  <c r="G453" i="16" s="1"/>
  <c r="G454" i="16" s="1"/>
  <c r="G455" i="16" s="1"/>
  <c r="G456" i="16" s="1"/>
  <c r="G457" i="16" s="1"/>
  <c r="G458" i="16" s="1"/>
  <c r="G459" i="16" s="1"/>
  <c r="G460" i="16" s="1"/>
  <c r="G461" i="16" s="1"/>
  <c r="G462" i="16" s="1"/>
  <c r="G234" i="16"/>
  <c r="G1524" i="16"/>
  <c r="G1525" i="16" s="1"/>
  <c r="G1526" i="16" s="1"/>
  <c r="G1527" i="16" s="1"/>
  <c r="G1528" i="16" s="1"/>
  <c r="G1529" i="16" s="1"/>
  <c r="G1998" i="16"/>
  <c r="G1999" i="16" s="1"/>
  <c r="G2000" i="16" s="1"/>
  <c r="G2001" i="16" s="1"/>
  <c r="G1997" i="16"/>
  <c r="G648" i="16"/>
  <c r="G649" i="16" s="1"/>
  <c r="G650" i="16" s="1"/>
  <c r="G651" i="16" s="1"/>
  <c r="G652" i="16" s="1"/>
  <c r="G653" i="16" s="1"/>
  <c r="G654" i="16" s="1"/>
  <c r="G644" i="16"/>
  <c r="G645" i="16" s="1"/>
  <c r="G1561" i="16"/>
  <c r="G1562" i="16" s="1"/>
  <c r="G1563" i="16" s="1"/>
  <c r="G1564" i="16" s="1"/>
  <c r="G1471" i="16"/>
  <c r="G1472" i="16" s="1"/>
  <c r="G1473" i="16" s="1"/>
  <c r="G1474" i="16" s="1"/>
  <c r="G1475" i="16" s="1"/>
  <c r="G1476" i="16" s="1"/>
  <c r="G606" i="16"/>
  <c r="G607" i="16" s="1"/>
  <c r="G608" i="16" s="1"/>
  <c r="G609" i="16" s="1"/>
  <c r="G610" i="16" s="1"/>
  <c r="G611" i="16" s="1"/>
  <c r="G1449" i="16"/>
  <c r="G1450" i="16" s="1"/>
  <c r="G1451" i="16" s="1"/>
  <c r="G1452" i="16" s="1"/>
  <c r="G1453" i="16" s="1"/>
  <c r="G79" i="16"/>
  <c r="G80" i="16" s="1"/>
  <c r="G81" i="16" s="1"/>
  <c r="G630" i="16"/>
  <c r="G631" i="16" s="1"/>
  <c r="G632" i="16" s="1"/>
  <c r="G633" i="16" s="1"/>
  <c r="G634" i="16" s="1"/>
  <c r="G635" i="16" s="1"/>
  <c r="G636" i="16" s="1"/>
  <c r="G1799" i="16"/>
  <c r="G1800" i="16" s="1"/>
  <c r="G1801" i="16" s="1"/>
  <c r="G1802" i="16" s="1"/>
  <c r="G621" i="16"/>
  <c r="G622" i="16" s="1"/>
  <c r="G623" i="16" s="1"/>
  <c r="G624" i="16" s="1"/>
  <c r="G625" i="16" s="1"/>
  <c r="G626" i="16" s="1"/>
  <c r="G627" i="16" s="1"/>
  <c r="G628" i="16" s="1"/>
  <c r="G1623" i="16"/>
  <c r="G1624" i="16" s="1"/>
  <c r="G1625" i="16" s="1"/>
  <c r="G1626" i="16" s="1"/>
  <c r="G1627" i="16" s="1"/>
  <c r="G1628" i="16" s="1"/>
  <c r="G1629" i="16" s="1"/>
  <c r="G1630" i="16" s="1"/>
  <c r="G1631" i="16" s="1"/>
  <c r="G1632" i="16" s="1"/>
  <c r="G1633" i="16" s="1"/>
  <c r="G441" i="16"/>
  <c r="G442" i="16" s="1"/>
  <c r="G443" i="16" s="1"/>
  <c r="G444" i="16" s="1"/>
  <c r="G445" i="16" s="1"/>
  <c r="G446" i="16" s="1"/>
  <c r="G707" i="16"/>
  <c r="G708" i="16" s="1"/>
  <c r="G709" i="16" s="1"/>
  <c r="G710" i="16" s="1"/>
  <c r="G711" i="16" s="1"/>
  <c r="G712" i="16" s="1"/>
  <c r="G713" i="16" s="1"/>
  <c r="G714" i="16" s="1"/>
  <c r="G134" i="16"/>
  <c r="G135" i="16" s="1"/>
  <c r="G136" i="16" s="1"/>
  <c r="G137" i="16" s="1"/>
  <c r="G138" i="16" s="1"/>
  <c r="G113" i="16"/>
  <c r="G114" i="16" s="1"/>
  <c r="G115" i="16" s="1"/>
  <c r="G116" i="16" s="1"/>
  <c r="G117" i="16" s="1"/>
  <c r="G1464" i="16"/>
  <c r="G1465" i="16" s="1"/>
  <c r="G1466" i="16" s="1"/>
  <c r="G309" i="16"/>
  <c r="G310" i="16" s="1"/>
  <c r="G311" i="16" s="1"/>
  <c r="G312" i="16" s="1"/>
  <c r="G313" i="16" s="1"/>
  <c r="G101" i="16"/>
  <c r="A313" i="66"/>
  <c r="A314" i="66" s="1"/>
  <c r="C314" i="66" s="1"/>
  <c r="A168" i="66"/>
  <c r="A169" i="66" s="1"/>
  <c r="A1532" i="66"/>
  <c r="A1533" i="66" s="1"/>
  <c r="C1533" i="66" s="1"/>
  <c r="A1396" i="66"/>
  <c r="C375" i="66"/>
  <c r="A371" i="66"/>
  <c r="A372" i="66" s="1"/>
  <c r="A1337" i="66"/>
  <c r="C1337" i="66" s="1"/>
  <c r="C1778" i="66"/>
  <c r="A1756" i="66"/>
  <c r="C1756" i="66" s="1"/>
  <c r="A1724" i="66"/>
  <c r="A359" i="66"/>
  <c r="C359" i="66" s="1"/>
  <c r="C1261" i="66"/>
  <c r="C1231" i="66"/>
  <c r="A490" i="66"/>
  <c r="C490" i="66" s="1"/>
  <c r="A921" i="66"/>
  <c r="C921" i="66" s="1"/>
  <c r="A918" i="66"/>
  <c r="A291" i="66"/>
  <c r="C291" i="66" s="1"/>
  <c r="C1317" i="66"/>
  <c r="A1315" i="66"/>
  <c r="A1078" i="66"/>
  <c r="A208" i="66"/>
  <c r="A349" i="66"/>
  <c r="C349" i="66" s="1"/>
  <c r="C1274" i="66"/>
  <c r="S72" i="25"/>
  <c r="T72" i="25" s="1"/>
  <c r="AD72" i="25" s="1"/>
  <c r="AM125" i="8"/>
  <c r="I228" i="66"/>
  <c r="N229" i="16"/>
  <c r="AO230" i="8"/>
  <c r="AM137" i="8"/>
  <c r="AO26" i="28"/>
  <c r="I1572" i="66"/>
  <c r="N1573" i="16"/>
  <c r="O131" i="8"/>
  <c r="AO131" i="8" s="1"/>
  <c r="AM131" i="8"/>
  <c r="S75" i="25"/>
  <c r="T75" i="25" s="1"/>
  <c r="AD75" i="25" s="1"/>
  <c r="AC75" i="25" s="1"/>
  <c r="S279" i="25"/>
  <c r="T279" i="25" s="1"/>
  <c r="AD279" i="25" s="1"/>
  <c r="AC279" i="25" s="1"/>
  <c r="S345" i="25"/>
  <c r="O345" i="25" s="1"/>
  <c r="S185" i="25"/>
  <c r="S359" i="25"/>
  <c r="O359" i="25" s="1"/>
  <c r="S192" i="25"/>
  <c r="T192" i="25" s="1"/>
  <c r="AD192" i="25" s="1"/>
  <c r="S215" i="25"/>
  <c r="T215" i="25" s="1"/>
  <c r="AD215" i="25" s="1"/>
  <c r="AC215" i="25" s="1"/>
  <c r="S178" i="25"/>
  <c r="T178" i="25" s="1"/>
  <c r="AD178" i="25" s="1"/>
  <c r="AC178" i="25" s="1"/>
  <c r="R32" i="25"/>
  <c r="AE32" i="25" s="1"/>
  <c r="S244" i="25"/>
  <c r="T244" i="25" s="1"/>
  <c r="AD244" i="25" s="1"/>
  <c r="AC244" i="25" s="1"/>
  <c r="S364" i="25"/>
  <c r="T364" i="25" s="1"/>
  <c r="AD364" i="25" s="1"/>
  <c r="AC364" i="25" s="1"/>
  <c r="S411" i="25"/>
  <c r="T411" i="25" s="1"/>
  <c r="AD411" i="25" s="1"/>
  <c r="AC411" i="25" s="1"/>
  <c r="S23" i="25"/>
  <c r="T23" i="25" s="1"/>
  <c r="AD23" i="25" s="1"/>
  <c r="S424" i="25"/>
  <c r="T424" i="25" s="1"/>
  <c r="AD424" i="25" s="1"/>
  <c r="AC424" i="25" s="1"/>
  <c r="S32" i="25"/>
  <c r="T32" i="25" s="1"/>
  <c r="AD32" i="25" s="1"/>
  <c r="S140" i="25"/>
  <c r="R140" i="25" s="1"/>
  <c r="S40" i="25"/>
  <c r="R40" i="25" s="1"/>
  <c r="S357" i="25"/>
  <c r="T357" i="25" s="1"/>
  <c r="AD357" i="25" s="1"/>
  <c r="AC357" i="25" s="1"/>
  <c r="S157" i="25"/>
  <c r="T157" i="25" s="1"/>
  <c r="AD157" i="25" s="1"/>
  <c r="S225" i="25"/>
  <c r="T225" i="25" s="1"/>
  <c r="AD225" i="25" s="1"/>
  <c r="AC225" i="25" s="1"/>
  <c r="S253" i="25"/>
  <c r="T253" i="25" s="1"/>
  <c r="AD253" i="25" s="1"/>
  <c r="AC253" i="25" s="1"/>
  <c r="S146" i="25"/>
  <c r="O144" i="25" s="1"/>
  <c r="A906" i="66" s="1"/>
  <c r="A901" i="66" s="1"/>
  <c r="S237" i="25"/>
  <c r="O237" i="25" s="1"/>
  <c r="S231" i="25"/>
  <c r="T231" i="25" s="1"/>
  <c r="AD231" i="25" s="1"/>
  <c r="AC231" i="25" s="1"/>
  <c r="S347" i="25"/>
  <c r="O346" i="25" s="1"/>
  <c r="A1108" i="66" s="1"/>
  <c r="S409" i="25"/>
  <c r="T409" i="25" s="1"/>
  <c r="AD409" i="25" s="1"/>
  <c r="AC409" i="25" s="1"/>
  <c r="S324" i="25"/>
  <c r="O329" i="25" s="1"/>
  <c r="AO329" i="25" s="1"/>
  <c r="S414" i="25"/>
  <c r="T414" i="25" s="1"/>
  <c r="AD414" i="25" s="1"/>
  <c r="AC414" i="25" s="1"/>
  <c r="S88" i="25"/>
  <c r="T88" i="25" s="1"/>
  <c r="AD88" i="25" s="1"/>
  <c r="S37" i="25"/>
  <c r="R37" i="25" s="1"/>
  <c r="S369" i="25"/>
  <c r="O369" i="25" s="1"/>
  <c r="S343" i="25"/>
  <c r="O343" i="25" s="1"/>
  <c r="S313" i="25"/>
  <c r="T313" i="25" s="1"/>
  <c r="AD313" i="25" s="1"/>
  <c r="AC313" i="25" s="1"/>
  <c r="S405" i="25"/>
  <c r="T405" i="25" s="1"/>
  <c r="AD405" i="25" s="1"/>
  <c r="AC405" i="25" s="1"/>
  <c r="S341" i="25"/>
  <c r="S408" i="25"/>
  <c r="T408" i="25" s="1"/>
  <c r="AD408" i="25" s="1"/>
  <c r="AC408" i="25" s="1"/>
  <c r="S124" i="25"/>
  <c r="R124" i="25" s="1"/>
  <c r="S184" i="25"/>
  <c r="T184" i="25" s="1"/>
  <c r="AD184" i="25" s="1"/>
  <c r="AC184" i="25" s="1"/>
  <c r="S361" i="25"/>
  <c r="T361" i="25" s="1"/>
  <c r="AD361" i="25" s="1"/>
  <c r="AC361" i="25" s="1"/>
  <c r="S199" i="25"/>
  <c r="R199" i="25" s="1"/>
  <c r="AE199" i="25" s="1"/>
  <c r="S305" i="25"/>
  <c r="T305" i="25" s="1"/>
  <c r="AD305" i="25" s="1"/>
  <c r="AC305" i="25" s="1"/>
  <c r="S285" i="25"/>
  <c r="O284" i="25" s="1"/>
  <c r="A1046" i="66" s="1"/>
  <c r="S326" i="25"/>
  <c r="T326" i="25" s="1"/>
  <c r="AD326" i="25" s="1"/>
  <c r="AC326" i="25" s="1"/>
  <c r="S268" i="25"/>
  <c r="T268" i="25" s="1"/>
  <c r="AD268" i="25" s="1"/>
  <c r="AC268" i="25" s="1"/>
  <c r="S297" i="25"/>
  <c r="T297" i="25" s="1"/>
  <c r="AD297" i="25" s="1"/>
  <c r="AC297" i="25" s="1"/>
  <c r="S118" i="25"/>
  <c r="R118" i="25" s="1"/>
  <c r="S170" i="25"/>
  <c r="T170" i="25" s="1"/>
  <c r="AD170" i="25" s="1"/>
  <c r="S397" i="25"/>
  <c r="T397" i="25" s="1"/>
  <c r="AD397" i="25" s="1"/>
  <c r="AC397" i="25" s="1"/>
  <c r="S189" i="25"/>
  <c r="S422" i="25"/>
  <c r="T422" i="25" s="1"/>
  <c r="AD422" i="25" s="1"/>
  <c r="AC422" i="25" s="1"/>
  <c r="S91" i="25"/>
  <c r="R91" i="25" s="1"/>
  <c r="S258" i="25"/>
  <c r="T258" i="25" s="1"/>
  <c r="AD258" i="25" s="1"/>
  <c r="AC258" i="25" s="1"/>
  <c r="S56" i="25"/>
  <c r="T56" i="25" s="1"/>
  <c r="AD56" i="25" s="1"/>
  <c r="S366" i="25"/>
  <c r="O366" i="25" s="1"/>
  <c r="S134" i="25"/>
  <c r="T134" i="25" s="1"/>
  <c r="AD134" i="25" s="1"/>
  <c r="S132" i="25"/>
  <c r="R132" i="25" s="1"/>
  <c r="AE132" i="25" s="1"/>
  <c r="S250" i="25"/>
  <c r="O249" i="25" s="1"/>
  <c r="S280" i="25"/>
  <c r="T280" i="25" s="1"/>
  <c r="AD280" i="25" s="1"/>
  <c r="AC280" i="25" s="1"/>
  <c r="S290" i="25"/>
  <c r="T290" i="25" s="1"/>
  <c r="AD290" i="25" s="1"/>
  <c r="AC290" i="25" s="1"/>
  <c r="S365" i="25"/>
  <c r="O365" i="25" s="1"/>
  <c r="S176" i="25"/>
  <c r="T176" i="25" s="1"/>
  <c r="AD176" i="25" s="1"/>
  <c r="AC176" i="25" s="1"/>
  <c r="S420" i="25"/>
  <c r="T420" i="25" s="1"/>
  <c r="AD420" i="25" s="1"/>
  <c r="AC420" i="25" s="1"/>
  <c r="S407" i="25"/>
  <c r="T407" i="25" s="1"/>
  <c r="AD407" i="25" s="1"/>
  <c r="AC407" i="25" s="1"/>
  <c r="S454" i="25"/>
  <c r="R454" i="25" s="1"/>
  <c r="AE454" i="25" s="1"/>
  <c r="S207" i="25"/>
  <c r="T207" i="25" s="1"/>
  <c r="AD207" i="25" s="1"/>
  <c r="AC207" i="25" s="1"/>
  <c r="S273" i="25"/>
  <c r="T273" i="25" s="1"/>
  <c r="AD273" i="25" s="1"/>
  <c r="AC273" i="25" s="1"/>
  <c r="S264" i="25"/>
  <c r="O263" i="25" s="1"/>
  <c r="AM139" i="8"/>
  <c r="AM138" i="8"/>
  <c r="AM126" i="8"/>
  <c r="AM129" i="8"/>
  <c r="O129" i="8"/>
  <c r="I127" i="66" s="1"/>
  <c r="N1454" i="16"/>
  <c r="I1453" i="66"/>
  <c r="AO68" i="27"/>
  <c r="AM127" i="8"/>
  <c r="I4" i="25"/>
  <c r="R121" i="29"/>
  <c r="AE121" i="29" s="1"/>
  <c r="AC121" i="29" s="1"/>
  <c r="S220" i="28"/>
  <c r="T220" i="28" s="1"/>
  <c r="AD220" i="28" s="1"/>
  <c r="AC220" i="28" s="1"/>
  <c r="N1758" i="16"/>
  <c r="I1757" i="66"/>
  <c r="AO211" i="28"/>
  <c r="R28" i="29"/>
  <c r="M28" i="29" s="1"/>
  <c r="C1222" i="66"/>
  <c r="AO621" i="25"/>
  <c r="AC47" i="28"/>
  <c r="A798" i="66"/>
  <c r="C798" i="66" s="1"/>
  <c r="C1498" i="66"/>
  <c r="C178" i="66"/>
  <c r="T1811" i="16"/>
  <c r="AD1811" i="16" s="1"/>
  <c r="AC1811" i="16" s="1"/>
  <c r="AO52" i="24"/>
  <c r="N306" i="16"/>
  <c r="I305" i="66"/>
  <c r="T525" i="25"/>
  <c r="AD525" i="25" s="1"/>
  <c r="AC525" i="25" s="1"/>
  <c r="O525" i="25"/>
  <c r="C918" i="66"/>
  <c r="I304" i="66"/>
  <c r="N305" i="16"/>
  <c r="G302" i="16" s="1"/>
  <c r="G303" i="16" s="1"/>
  <c r="S377" i="16"/>
  <c r="S358" i="16"/>
  <c r="S332" i="16"/>
  <c r="S359" i="16"/>
  <c r="T359" i="16" s="1"/>
  <c r="AD359" i="16" s="1"/>
  <c r="AC359" i="16" s="1"/>
  <c r="T77" i="8"/>
  <c r="AD77" i="8" s="1"/>
  <c r="AC77" i="8" s="1"/>
  <c r="O77" i="8"/>
  <c r="T72" i="8"/>
  <c r="AD72" i="8" s="1"/>
  <c r="AC72" i="8" s="1"/>
  <c r="C1644" i="66"/>
  <c r="R81" i="29"/>
  <c r="M81" i="29" s="1"/>
  <c r="AM81" i="29" s="1"/>
  <c r="A1896" i="66"/>
  <c r="A1897" i="66" s="1"/>
  <c r="AO308" i="16"/>
  <c r="N1592" i="16"/>
  <c r="I1591" i="66"/>
  <c r="G190" i="16"/>
  <c r="G191" i="16" s="1"/>
  <c r="T81" i="29"/>
  <c r="AD81" i="29" s="1"/>
  <c r="I1895" i="66"/>
  <c r="C1643" i="66"/>
  <c r="A480" i="66"/>
  <c r="C480" i="66" s="1"/>
  <c r="S277" i="25"/>
  <c r="O277" i="25" s="1"/>
  <c r="S1074" i="16"/>
  <c r="T1074" i="16" s="1"/>
  <c r="AD1074" i="16" s="1"/>
  <c r="AC1074" i="16" s="1"/>
  <c r="AO147" i="16"/>
  <c r="AC1597" i="16"/>
  <c r="BI779" i="16"/>
  <c r="S1040" i="16" s="1"/>
  <c r="O1040" i="16" s="1"/>
  <c r="Y9" i="23"/>
  <c r="C945" i="66"/>
  <c r="BH270" i="16"/>
  <c r="BH1834" i="16"/>
  <c r="W9" i="23"/>
  <c r="BH1402" i="16"/>
  <c r="BH779" i="16"/>
  <c r="BH15" i="16"/>
  <c r="C832" i="66"/>
  <c r="A1275" i="66"/>
  <c r="C1275" i="66" s="1"/>
  <c r="S426" i="25"/>
  <c r="T426" i="25" s="1"/>
  <c r="AD426" i="25" s="1"/>
  <c r="AC426" i="25" s="1"/>
  <c r="BI16" i="27"/>
  <c r="BG15" i="16"/>
  <c r="C6" i="10"/>
  <c r="BI16" i="28"/>
  <c r="BF16" i="25"/>
  <c r="M341" i="25" s="1"/>
  <c r="AM341" i="25" s="1"/>
  <c r="BE16" i="24"/>
  <c r="BI16" i="24"/>
  <c r="BG779" i="16"/>
  <c r="BI16" i="29"/>
  <c r="BE16" i="8"/>
  <c r="BG1834" i="16"/>
  <c r="BE16" i="28"/>
  <c r="S230" i="28" s="1"/>
  <c r="V9" i="23"/>
  <c r="P9" i="7"/>
  <c r="BG1563" i="16"/>
  <c r="BI16" i="8"/>
  <c r="BE16" i="25"/>
  <c r="BE16" i="27"/>
  <c r="BG1402" i="16"/>
  <c r="BH16" i="28"/>
  <c r="M185" i="25"/>
  <c r="AM185" i="25" s="1"/>
  <c r="L9" i="7"/>
  <c r="B3" i="3" s="1"/>
  <c r="B9" i="72" s="1"/>
  <c r="BF16" i="8"/>
  <c r="BF16" i="28"/>
  <c r="BF16" i="24"/>
  <c r="L202" i="24" s="1"/>
  <c r="BF16" i="29"/>
  <c r="N5" i="10"/>
  <c r="N19" i="10" s="1"/>
  <c r="S190" i="25" s="1"/>
  <c r="C5" i="10"/>
  <c r="BH16" i="8"/>
  <c r="N9" i="7"/>
  <c r="BH16" i="25"/>
  <c r="BH16" i="29"/>
  <c r="BH16" i="24"/>
  <c r="AC84" i="29"/>
  <c r="O254" i="16"/>
  <c r="E254" i="76" s="1"/>
  <c r="T254" i="16"/>
  <c r="AD254" i="16" s="1"/>
  <c r="AC254" i="16" s="1"/>
  <c r="T1714" i="16"/>
  <c r="AD1714" i="16" s="1"/>
  <c r="AC1714" i="16" s="1"/>
  <c r="O1712" i="16"/>
  <c r="E1712" i="76" s="1"/>
  <c r="T1718" i="16"/>
  <c r="AD1718" i="16" s="1"/>
  <c r="AC1718" i="16" s="1"/>
  <c r="O1718" i="16"/>
  <c r="E1718" i="76" s="1"/>
  <c r="AO147" i="27"/>
  <c r="N1533" i="16"/>
  <c r="I1532" i="66"/>
  <c r="T1317" i="16"/>
  <c r="AD1317" i="16" s="1"/>
  <c r="AC1317" i="16" s="1"/>
  <c r="O1317" i="16"/>
  <c r="AO1317" i="16" s="1"/>
  <c r="O224" i="16"/>
  <c r="AO224" i="16" s="1"/>
  <c r="T224" i="16"/>
  <c r="AD224" i="16" s="1"/>
  <c r="AC224" i="16" s="1"/>
  <c r="T38" i="16"/>
  <c r="AD38" i="16" s="1"/>
  <c r="AC38" i="16" s="1"/>
  <c r="T1715" i="16"/>
  <c r="AD1715" i="16" s="1"/>
  <c r="AC1715" i="16" s="1"/>
  <c r="O1608" i="16"/>
  <c r="AO1608" i="16" s="1"/>
  <c r="T1608" i="16"/>
  <c r="AD1608" i="16" s="1"/>
  <c r="AC1608" i="16" s="1"/>
  <c r="AO60" i="24"/>
  <c r="N314" i="16"/>
  <c r="I313" i="66"/>
  <c r="N122" i="16"/>
  <c r="I121" i="66"/>
  <c r="AO123" i="8"/>
  <c r="T1242" i="16"/>
  <c r="AD1242" i="16" s="1"/>
  <c r="AC1242" i="16" s="1"/>
  <c r="I1479" i="66"/>
  <c r="N1480" i="16"/>
  <c r="AO94" i="27"/>
  <c r="O257" i="16"/>
  <c r="AO257" i="16" s="1"/>
  <c r="T257" i="16"/>
  <c r="AD257" i="16" s="1"/>
  <c r="AC257" i="16" s="1"/>
  <c r="T1720" i="16"/>
  <c r="AD1720" i="16" s="1"/>
  <c r="AC1720" i="16" s="1"/>
  <c r="O1720" i="16"/>
  <c r="E1720" i="76" s="1"/>
  <c r="T1319" i="16"/>
  <c r="AD1319" i="16" s="1"/>
  <c r="AC1319" i="16" s="1"/>
  <c r="O1319" i="16"/>
  <c r="AO1319" i="16" s="1"/>
  <c r="T1321" i="16"/>
  <c r="AD1321" i="16" s="1"/>
  <c r="AC1321" i="16" s="1"/>
  <c r="O1321" i="16"/>
  <c r="AO1321" i="16" s="1"/>
  <c r="O410" i="24"/>
  <c r="N664" i="16" s="1"/>
  <c r="AO1769" i="16"/>
  <c r="E1769" i="76"/>
  <c r="S1071" i="16"/>
  <c r="T1071" i="16" s="1"/>
  <c r="AD1071" i="16" s="1"/>
  <c r="AC1071" i="16" s="1"/>
  <c r="S303" i="25"/>
  <c r="T303" i="25" s="1"/>
  <c r="AD303" i="25" s="1"/>
  <c r="AC303" i="25" s="1"/>
  <c r="A644" i="66"/>
  <c r="C644" i="66" s="1"/>
  <c r="A893" i="66"/>
  <c r="C893" i="66" s="1"/>
  <c r="I1613" i="66"/>
  <c r="N1614" i="16"/>
  <c r="G1614" i="16" s="1"/>
  <c r="AO67" i="28"/>
  <c r="T177" i="16"/>
  <c r="AD177" i="16" s="1"/>
  <c r="AC177" i="16" s="1"/>
  <c r="O177" i="16"/>
  <c r="I1815" i="66"/>
  <c r="A1688" i="66"/>
  <c r="C1221" i="66"/>
  <c r="S311" i="25"/>
  <c r="T311" i="25" s="1"/>
  <c r="AD311" i="25" s="1"/>
  <c r="AC311" i="25" s="1"/>
  <c r="S308" i="25"/>
  <c r="C681" i="66"/>
  <c r="AC1599" i="16"/>
  <c r="N1346" i="16"/>
  <c r="G1347" i="16" s="1"/>
  <c r="G1348" i="16" s="1"/>
  <c r="G1349" i="16" s="1"/>
  <c r="G1350" i="16" s="1"/>
  <c r="G1351" i="16" s="1"/>
  <c r="G1352" i="16" s="1"/>
  <c r="G1353" i="16" s="1"/>
  <c r="G1354" i="16" s="1"/>
  <c r="G1355" i="16" s="1"/>
  <c r="G1356" i="16" s="1"/>
  <c r="G1357" i="16" s="1"/>
  <c r="G1358" i="16" s="1"/>
  <c r="G1359" i="16" s="1"/>
  <c r="G1360" i="16" s="1"/>
  <c r="G1361" i="16" s="1"/>
  <c r="C888" i="66"/>
  <c r="T1816" i="16"/>
  <c r="AD1816" i="16" s="1"/>
  <c r="AC1816" i="16" s="1"/>
  <c r="O1816" i="16"/>
  <c r="E662" i="76"/>
  <c r="AO662" i="16"/>
  <c r="AF404" i="16"/>
  <c r="AC404" i="16"/>
  <c r="AO15" i="8"/>
  <c r="N13" i="16"/>
  <c r="G14" i="16" s="1"/>
  <c r="G15" i="16" s="1"/>
  <c r="G16" i="16" s="1"/>
  <c r="G17" i="16" s="1"/>
  <c r="I12" i="66"/>
  <c r="S1372" i="16"/>
  <c r="O1370" i="16" s="1"/>
  <c r="O141" i="8"/>
  <c r="N140" i="16" s="1"/>
  <c r="AM141" i="8"/>
  <c r="AM136" i="8"/>
  <c r="I168" i="66"/>
  <c r="N169" i="16"/>
  <c r="AO170" i="8"/>
  <c r="AM128" i="8"/>
  <c r="I1569" i="66"/>
  <c r="AO23" i="28"/>
  <c r="N1570" i="16"/>
  <c r="BG16" i="28"/>
  <c r="BG16" i="25"/>
  <c r="M9" i="7"/>
  <c r="BG16" i="8"/>
  <c r="BG16" i="24"/>
  <c r="BG16" i="27"/>
  <c r="BG16" i="29"/>
  <c r="I1605" i="66"/>
  <c r="N1606" i="16"/>
  <c r="AO59" i="28"/>
  <c r="AO14" i="16"/>
  <c r="A1667" i="66"/>
  <c r="C1667" i="66" s="1"/>
  <c r="R361" i="16"/>
  <c r="E375" i="76"/>
  <c r="T1299" i="16"/>
  <c r="AD1299" i="16" s="1"/>
  <c r="AC1299" i="16" s="1"/>
  <c r="C971" i="66"/>
  <c r="A972" i="66"/>
  <c r="I1727" i="66"/>
  <c r="N1728" i="16"/>
  <c r="AO181" i="28"/>
  <c r="AE1594" i="16"/>
  <c r="M1594" i="16"/>
  <c r="AF1791" i="16"/>
  <c r="AC1791" i="16"/>
  <c r="AO269" i="28"/>
  <c r="C1315" i="66"/>
  <c r="C1997" i="66"/>
  <c r="AO267" i="16"/>
  <c r="C904" i="66"/>
  <c r="C181" i="66"/>
  <c r="A182" i="66"/>
  <c r="C182" i="66" s="1"/>
  <c r="E1594" i="76"/>
  <c r="AO1594" i="16"/>
  <c r="M59" i="28"/>
  <c r="AE59" i="28"/>
  <c r="BE1563" i="16"/>
  <c r="BE15" i="16"/>
  <c r="BE779" i="16"/>
  <c r="BE1402" i="16"/>
  <c r="BE1834" i="16"/>
  <c r="BE270" i="16"/>
  <c r="AO100" i="27"/>
  <c r="I1485" i="66"/>
  <c r="N1486" i="16"/>
  <c r="G1486" i="16" s="1"/>
  <c r="O12" i="29"/>
  <c r="A1829" i="66" s="1"/>
  <c r="R15" i="29"/>
  <c r="T15" i="29"/>
  <c r="AD15" i="29" s="1"/>
  <c r="C1821" i="66"/>
  <c r="A1822" i="66"/>
  <c r="C682" i="66"/>
  <c r="T1769" i="16"/>
  <c r="AD1769" i="16" s="1"/>
  <c r="AC1769" i="16" s="1"/>
  <c r="AO1288" i="16"/>
  <c r="AF1758" i="16"/>
  <c r="AC1758" i="16"/>
  <c r="S1066" i="16"/>
  <c r="T1066" i="16" s="1"/>
  <c r="AD1066" i="16" s="1"/>
  <c r="AC1066" i="16" s="1"/>
  <c r="C683" i="66"/>
  <c r="A965" i="66"/>
  <c r="A966" i="66" s="1"/>
  <c r="T1288" i="16"/>
  <c r="AD1288" i="16" s="1"/>
  <c r="AC1288" i="16" s="1"/>
  <c r="E1502" i="76"/>
  <c r="AO1502" i="16"/>
  <c r="S1570" i="16"/>
  <c r="S1583" i="16"/>
  <c r="T178" i="8"/>
  <c r="AD178" i="8" s="1"/>
  <c r="AC178" i="8" s="1"/>
  <c r="O178" i="8"/>
  <c r="BF1834" i="16"/>
  <c r="BF270" i="16"/>
  <c r="L456" i="16" s="1"/>
  <c r="BF1402" i="16"/>
  <c r="BF779" i="16"/>
  <c r="BF15" i="16"/>
  <c r="BF1563" i="16"/>
  <c r="U9" i="23"/>
  <c r="C24" i="10"/>
  <c r="C38" i="10" s="1"/>
  <c r="N24" i="10"/>
  <c r="C835" i="66"/>
  <c r="A836" i="66"/>
  <c r="E1681" i="76"/>
  <c r="AO1681" i="16"/>
  <c r="S1068" i="16"/>
  <c r="T1068" i="16" s="1"/>
  <c r="AD1068" i="16" s="1"/>
  <c r="AC1068" i="16" s="1"/>
  <c r="C495" i="66"/>
  <c r="C1996" i="66"/>
  <c r="J18" i="17"/>
  <c r="AC59" i="28"/>
  <c r="E76" i="76"/>
  <c r="AO76" i="16"/>
  <c r="I1298" i="66"/>
  <c r="AO536" i="25"/>
  <c r="N1299" i="16"/>
  <c r="I1582" i="66"/>
  <c r="N1583" i="16"/>
  <c r="AO36" i="28"/>
  <c r="C1380" i="66"/>
  <c r="A1381" i="66"/>
  <c r="C1381" i="66" s="1"/>
  <c r="C768" i="66"/>
  <c r="G1382" i="16"/>
  <c r="T536" i="25"/>
  <c r="AD536" i="25" s="1"/>
  <c r="AC536" i="25" s="1"/>
  <c r="A46" i="66"/>
  <c r="C46" i="66" s="1"/>
  <c r="C45" i="66"/>
  <c r="C776" i="66"/>
  <c r="T36" i="28"/>
  <c r="AD36" i="28" s="1"/>
  <c r="AC36" i="28" s="1"/>
  <c r="C889" i="66"/>
  <c r="A890" i="66"/>
  <c r="A334" i="66"/>
  <c r="C333" i="66"/>
  <c r="C361" i="66"/>
  <c r="A685" i="66"/>
  <c r="C684" i="66"/>
  <c r="I1345" i="66"/>
  <c r="AC60" i="29"/>
  <c r="C141" i="66"/>
  <c r="A142" i="66"/>
  <c r="A209" i="66"/>
  <c r="C208" i="66"/>
  <c r="C260" i="66"/>
  <c r="A261" i="66"/>
  <c r="C261" i="66" s="1"/>
  <c r="A806" i="66"/>
  <c r="C806" i="66" s="1"/>
  <c r="C805" i="66"/>
  <c r="AO1346" i="16"/>
  <c r="O1772" i="16"/>
  <c r="T1772" i="16"/>
  <c r="AD1772" i="16" s="1"/>
  <c r="AC1772" i="16" s="1"/>
  <c r="T369" i="16"/>
  <c r="AD369" i="16" s="1"/>
  <c r="AC369" i="16" s="1"/>
  <c r="O369" i="16"/>
  <c r="AO1580" i="16"/>
  <c r="E1580" i="76"/>
  <c r="AC351" i="16"/>
  <c r="E1486" i="76"/>
  <c r="AO1486" i="16"/>
  <c r="E1599" i="76"/>
  <c r="AO1599" i="16"/>
  <c r="E465" i="76"/>
  <c r="E951" i="76"/>
  <c r="E128" i="76"/>
  <c r="E1397" i="76"/>
  <c r="AO1379" i="16"/>
  <c r="E1379" i="76"/>
  <c r="AO465" i="16"/>
  <c r="E1237" i="76"/>
  <c r="E1233" i="76"/>
  <c r="AO664" i="16"/>
  <c r="E664" i="76"/>
  <c r="AO572" i="16"/>
  <c r="E572" i="76"/>
  <c r="AO393" i="16"/>
  <c r="E393" i="76"/>
  <c r="AO397" i="16"/>
  <c r="E397" i="76"/>
  <c r="AO389" i="16"/>
  <c r="E389" i="76"/>
  <c r="AO381" i="16"/>
  <c r="E381" i="76"/>
  <c r="AO383" i="16"/>
  <c r="E383" i="76"/>
  <c r="AO145" i="16"/>
  <c r="E145" i="76"/>
  <c r="AO140" i="16"/>
  <c r="E140" i="76"/>
  <c r="AO139" i="16"/>
  <c r="E139" i="76"/>
  <c r="AO130" i="16"/>
  <c r="E130" i="76"/>
  <c r="AO132" i="16"/>
  <c r="E132" i="76"/>
  <c r="AO123" i="29"/>
  <c r="AE127" i="29"/>
  <c r="AC127" i="29" s="1"/>
  <c r="I1940" i="66"/>
  <c r="N1941" i="16"/>
  <c r="C1896" i="66"/>
  <c r="C1895" i="66"/>
  <c r="T100" i="29"/>
  <c r="AD100" i="29" s="1"/>
  <c r="O96" i="29"/>
  <c r="A1913" i="66" s="1"/>
  <c r="R100" i="29"/>
  <c r="A1898" i="66"/>
  <c r="C1897" i="66"/>
  <c r="I1810" i="66"/>
  <c r="AO264" i="28"/>
  <c r="C1586" i="66"/>
  <c r="A1587" i="66"/>
  <c r="C1587" i="66" s="1"/>
  <c r="AC211" i="28"/>
  <c r="N1772" i="16"/>
  <c r="AO225" i="28"/>
  <c r="I1771" i="66"/>
  <c r="C1610" i="66"/>
  <c r="A1611" i="66"/>
  <c r="N1811" i="16"/>
  <c r="C1688" i="66"/>
  <c r="A1689" i="66"/>
  <c r="A1647" i="66"/>
  <c r="C1646" i="66"/>
  <c r="A1707" i="66"/>
  <c r="C1706" i="66"/>
  <c r="C1622" i="66"/>
  <c r="A1623" i="66"/>
  <c r="A1079" i="66"/>
  <c r="C1079" i="66" s="1"/>
  <c r="C1078" i="66"/>
  <c r="C965" i="66"/>
  <c r="C882" i="66"/>
  <c r="A883" i="66"/>
  <c r="A982" i="66"/>
  <c r="C981" i="66"/>
  <c r="A956" i="66"/>
  <c r="C955" i="66"/>
  <c r="C807" i="66"/>
  <c r="C810" i="66"/>
  <c r="A779" i="66"/>
  <c r="C778" i="66"/>
  <c r="C1262" i="66"/>
  <c r="A1263" i="66"/>
  <c r="A1258" i="66" s="1"/>
  <c r="A782" i="66"/>
  <c r="C781" i="66"/>
  <c r="T123" i="24"/>
  <c r="AD123" i="24" s="1"/>
  <c r="R123" i="24"/>
  <c r="A759" i="66"/>
  <c r="C758" i="66"/>
  <c r="C534" i="66"/>
  <c r="A535" i="66"/>
  <c r="T104" i="24"/>
  <c r="AD104" i="24" s="1"/>
  <c r="AC104" i="24" s="1"/>
  <c r="O102" i="24"/>
  <c r="A355" i="66" s="1"/>
  <c r="C621" i="66"/>
  <c r="A622" i="66"/>
  <c r="C622" i="66" s="1"/>
  <c r="A302" i="66"/>
  <c r="C302" i="66" s="1"/>
  <c r="C301" i="66"/>
  <c r="N375" i="16"/>
  <c r="I374" i="66"/>
  <c r="AO121" i="24"/>
  <c r="A753" i="66"/>
  <c r="C752" i="66"/>
  <c r="M107" i="24"/>
  <c r="AM107" i="24" s="1"/>
  <c r="AE107" i="24"/>
  <c r="AC107" i="24" s="1"/>
  <c r="C709" i="66"/>
  <c r="A710" i="66"/>
  <c r="C710" i="66" s="1"/>
  <c r="C764" i="66"/>
  <c r="A765" i="66"/>
  <c r="C765" i="66" s="1"/>
  <c r="C267" i="66"/>
  <c r="A268" i="66"/>
  <c r="A472" i="66"/>
  <c r="C472" i="66" s="1"/>
  <c r="C471" i="66"/>
  <c r="I368" i="66"/>
  <c r="A365" i="66" s="1"/>
  <c r="AO115" i="24"/>
  <c r="N369" i="16"/>
  <c r="R117" i="24"/>
  <c r="T117" i="24"/>
  <c r="AD117" i="24" s="1"/>
  <c r="C17" i="66"/>
  <c r="A18" i="66"/>
  <c r="C18" i="66" s="1"/>
  <c r="A104" i="66"/>
  <c r="C104" i="66" s="1"/>
  <c r="C103" i="66"/>
  <c r="C219" i="66"/>
  <c r="A220" i="66"/>
  <c r="C220" i="66" s="1"/>
  <c r="C162" i="66"/>
  <c r="C1577" i="66"/>
  <c r="A1578" i="66"/>
  <c r="C1578" i="66" s="1"/>
  <c r="AC795" i="16"/>
  <c r="I1426" i="66"/>
  <c r="AO41" i="27"/>
  <c r="N1427" i="16"/>
  <c r="AO1233" i="16"/>
  <c r="R898" i="16"/>
  <c r="M898" i="16" s="1"/>
  <c r="AM898" i="16" s="1"/>
  <c r="T898" i="16"/>
  <c r="I1241" i="66"/>
  <c r="N1242" i="16"/>
  <c r="AO479" i="25"/>
  <c r="S1505" i="16"/>
  <c r="R936" i="16"/>
  <c r="T936" i="16"/>
  <c r="AD936" i="16" s="1"/>
  <c r="I1396" i="66"/>
  <c r="AO11" i="27"/>
  <c r="N1397" i="16"/>
  <c r="AO1397" i="16"/>
  <c r="T809" i="16"/>
  <c r="AD809" i="16" s="1"/>
  <c r="R809" i="16"/>
  <c r="I1236" i="66"/>
  <c r="AO474" i="25"/>
  <c r="N1237" i="16"/>
  <c r="AO1237" i="16"/>
  <c r="R813" i="16"/>
  <c r="T813" i="16"/>
  <c r="AD813" i="16" s="1"/>
  <c r="T817" i="16"/>
  <c r="AD817" i="16" s="1"/>
  <c r="AC817" i="16" s="1"/>
  <c r="I37" i="66"/>
  <c r="N38" i="16"/>
  <c r="G38" i="16" s="1"/>
  <c r="G18" i="16" s="1"/>
  <c r="AO39" i="8"/>
  <c r="AO470" i="25"/>
  <c r="I1232" i="66"/>
  <c r="N1233" i="16"/>
  <c r="G1233" i="16" s="1"/>
  <c r="S14" i="25"/>
  <c r="AE14" i="25" s="1"/>
  <c r="T1120" i="16"/>
  <c r="AD1120" i="16" s="1"/>
  <c r="AC1120" i="16" s="1"/>
  <c r="T920" i="16"/>
  <c r="AD920" i="16" s="1"/>
  <c r="R920" i="16"/>
  <c r="O1097" i="16"/>
  <c r="O1098" i="16"/>
  <c r="T1087" i="16"/>
  <c r="AD1087" i="16" s="1"/>
  <c r="AC1087" i="16" s="1"/>
  <c r="O1099" i="16"/>
  <c r="I396" i="66"/>
  <c r="N397" i="16"/>
  <c r="AO143" i="24"/>
  <c r="C1429" i="66"/>
  <c r="A1430" i="66"/>
  <c r="C1430" i="66" s="1"/>
  <c r="G1335" i="16"/>
  <c r="G1340" i="16"/>
  <c r="G1341" i="16" s="1"/>
  <c r="G1342" i="16" s="1"/>
  <c r="G1343" i="16" s="1"/>
  <c r="G1344" i="16" s="1"/>
  <c r="G1345" i="16" s="1"/>
  <c r="AO225" i="8"/>
  <c r="I223" i="66"/>
  <c r="N224" i="16"/>
  <c r="G1460" i="16"/>
  <c r="G1461" i="16" s="1"/>
  <c r="G1462" i="16" s="1"/>
  <c r="R955" i="16"/>
  <c r="T955" i="16"/>
  <c r="AD955" i="16" s="1"/>
  <c r="T835" i="16"/>
  <c r="AD835" i="16" s="1"/>
  <c r="T1060" i="16"/>
  <c r="AD1060" i="16" s="1"/>
  <c r="AC1060" i="16" s="1"/>
  <c r="T1174" i="16"/>
  <c r="AD1174" i="16" s="1"/>
  <c r="AC1174" i="16" s="1"/>
  <c r="R800" i="16"/>
  <c r="T800" i="16"/>
  <c r="AD800" i="16" s="1"/>
  <c r="T897" i="16"/>
  <c r="AD897" i="16" s="1"/>
  <c r="R897" i="16"/>
  <c r="AE897" i="16" s="1"/>
  <c r="AF897" i="16" s="1"/>
  <c r="T1042" i="16"/>
  <c r="AD1042" i="16" s="1"/>
  <c r="AC1042" i="16" s="1"/>
  <c r="O1042" i="16"/>
  <c r="T1110" i="16"/>
  <c r="AD1110" i="16" s="1"/>
  <c r="AC1110" i="16" s="1"/>
  <c r="O1109" i="16"/>
  <c r="O1100" i="16"/>
  <c r="G1431" i="16"/>
  <c r="G1434" i="16"/>
  <c r="G1435" i="16" s="1"/>
  <c r="G1436" i="16" s="1"/>
  <c r="G1437" i="16" s="1"/>
  <c r="G1438" i="16" s="1"/>
  <c r="O1124" i="16"/>
  <c r="T1124" i="16"/>
  <c r="AD1124" i="16" s="1"/>
  <c r="AC1124" i="16" s="1"/>
  <c r="I131" i="66"/>
  <c r="AO133" i="8"/>
  <c r="N132" i="16"/>
  <c r="G1441" i="16"/>
  <c r="G1442" i="16" s="1"/>
  <c r="G1443" i="16" s="1"/>
  <c r="G1444" i="16" s="1"/>
  <c r="G1445" i="16" s="1"/>
  <c r="G1446" i="16" s="1"/>
  <c r="G1447" i="16" s="1"/>
  <c r="G1448" i="16" s="1"/>
  <c r="I1369" i="66"/>
  <c r="AO607" i="25"/>
  <c r="N1370" i="16"/>
  <c r="C1455" i="66"/>
  <c r="A1456" i="66"/>
  <c r="I1318" i="66"/>
  <c r="AO556" i="25"/>
  <c r="N1319" i="16"/>
  <c r="T948" i="16"/>
  <c r="AD948" i="16" s="1"/>
  <c r="AC948" i="16" s="1"/>
  <c r="R962" i="16"/>
  <c r="AE962" i="16" s="1"/>
  <c r="AF962" i="16" s="1"/>
  <c r="T962" i="16"/>
  <c r="AD962" i="16" s="1"/>
  <c r="T970" i="16"/>
  <c r="AD970" i="16" s="1"/>
  <c r="AC970" i="16" s="1"/>
  <c r="O1127" i="16"/>
  <c r="T1127" i="16"/>
  <c r="AD1127" i="16" s="1"/>
  <c r="AC1127" i="16" s="1"/>
  <c r="AO951" i="16"/>
  <c r="AO128" i="16"/>
  <c r="O1092" i="16"/>
  <c r="AC12" i="27"/>
  <c r="AM1477" i="16"/>
  <c r="O1477" i="16"/>
  <c r="AO554" i="25"/>
  <c r="N1317" i="16"/>
  <c r="G1317" i="16" s="1"/>
  <c r="G1316" i="16" s="1"/>
  <c r="I1316" i="66"/>
  <c r="I256" i="66"/>
  <c r="N257" i="16"/>
  <c r="AO258" i="8"/>
  <c r="O1020" i="16"/>
  <c r="T1021" i="16"/>
  <c r="AD1021" i="16" s="1"/>
  <c r="AC1021" i="16" s="1"/>
  <c r="I1717" i="66"/>
  <c r="AO171" i="28"/>
  <c r="N1718" i="16"/>
  <c r="G1718" i="16" s="1"/>
  <c r="T1106" i="16"/>
  <c r="AD1106" i="16" s="1"/>
  <c r="AC1106" i="16" s="1"/>
  <c r="O1106" i="16"/>
  <c r="AM91" i="27"/>
  <c r="O91" i="27"/>
  <c r="G107" i="16"/>
  <c r="G108" i="16" s="1"/>
  <c r="G109" i="16" s="1"/>
  <c r="G110" i="16" s="1"/>
  <c r="G111" i="16" s="1"/>
  <c r="G112" i="16" s="1"/>
  <c r="AO165" i="28"/>
  <c r="I1711" i="66"/>
  <c r="N1712" i="16"/>
  <c r="C1614" i="66"/>
  <c r="A1615" i="66"/>
  <c r="T1036" i="16"/>
  <c r="AD1036" i="16" s="1"/>
  <c r="AC1036" i="16" s="1"/>
  <c r="O1035" i="16"/>
  <c r="O1132" i="16"/>
  <c r="T1132" i="16"/>
  <c r="AD1132" i="16" s="1"/>
  <c r="AC1132" i="16" s="1"/>
  <c r="R803" i="16"/>
  <c r="T803" i="16"/>
  <c r="AD803" i="16" s="1"/>
  <c r="R851" i="16"/>
  <c r="AE851" i="16" s="1"/>
  <c r="AF851" i="16" s="1"/>
  <c r="T851" i="16"/>
  <c r="AD851" i="16" s="1"/>
  <c r="R909" i="16"/>
  <c r="AE909" i="16" s="1"/>
  <c r="AF909" i="16" s="1"/>
  <c r="T909" i="16"/>
  <c r="AD909" i="16" s="1"/>
  <c r="O907" i="16"/>
  <c r="T1104" i="16"/>
  <c r="AD1104" i="16" s="1"/>
  <c r="AC1104" i="16" s="1"/>
  <c r="O1015" i="16"/>
  <c r="T1016" i="16"/>
  <c r="AD1016" i="16" s="1"/>
  <c r="AC1016" i="16" s="1"/>
  <c r="G1514" i="16"/>
  <c r="G1515" i="16" s="1"/>
  <c r="G1516" i="16" s="1"/>
  <c r="G1517" i="16" s="1"/>
  <c r="G1518" i="16" s="1"/>
  <c r="G1519" i="16" s="1"/>
  <c r="G1520" i="16" s="1"/>
  <c r="G1521" i="16" s="1"/>
  <c r="G1522" i="16" s="1"/>
  <c r="G1523" i="16" s="1"/>
  <c r="T819" i="16"/>
  <c r="AD819" i="16" s="1"/>
  <c r="R819" i="16"/>
  <c r="T1217" i="16"/>
  <c r="AD1217" i="16" s="1"/>
  <c r="R1217" i="16"/>
  <c r="AE1217" i="16" s="1"/>
  <c r="AF1217" i="16" s="1"/>
  <c r="T1128" i="16"/>
  <c r="AD1128" i="16" s="1"/>
  <c r="AC1128" i="16" s="1"/>
  <c r="O1128" i="16"/>
  <c r="T1108" i="16"/>
  <c r="AD1108" i="16" s="1"/>
  <c r="AC1108" i="16" s="1"/>
  <c r="O1108" i="16"/>
  <c r="I392" i="66"/>
  <c r="AO139" i="24"/>
  <c r="N393" i="16"/>
  <c r="I1607" i="66"/>
  <c r="N1608" i="16"/>
  <c r="AO61" i="28"/>
  <c r="I144" i="66"/>
  <c r="AO146" i="8"/>
  <c r="N145" i="16"/>
  <c r="C449" i="66"/>
  <c r="A450" i="66"/>
  <c r="O1122" i="16"/>
  <c r="T1122" i="16"/>
  <c r="AD1122" i="16" s="1"/>
  <c r="AC1122" i="16" s="1"/>
  <c r="R786" i="16"/>
  <c r="AE786" i="16" s="1"/>
  <c r="AF786" i="16" s="1"/>
  <c r="T786" i="16"/>
  <c r="AD786" i="16" s="1"/>
  <c r="O1031" i="16"/>
  <c r="T1031" i="16"/>
  <c r="AD1031" i="16" s="1"/>
  <c r="AC1031" i="16" s="1"/>
  <c r="T1048" i="16"/>
  <c r="AD1048" i="16" s="1"/>
  <c r="AC1048" i="16" s="1"/>
  <c r="O1047" i="16"/>
  <c r="T881" i="16"/>
  <c r="AD881" i="16" s="1"/>
  <c r="R881" i="16"/>
  <c r="C571" i="66"/>
  <c r="N572" i="16"/>
  <c r="I571" i="66"/>
  <c r="AO318" i="24"/>
  <c r="AC61" i="28"/>
  <c r="I464" i="66"/>
  <c r="N465" i="16"/>
  <c r="AO211" i="24"/>
  <c r="T1076" i="16"/>
  <c r="AD1076" i="16" s="1"/>
  <c r="AC1076" i="16" s="1"/>
  <c r="T1129" i="16"/>
  <c r="AD1129" i="16" s="1"/>
  <c r="AC1129" i="16" s="1"/>
  <c r="O1129" i="16"/>
  <c r="O1000" i="16"/>
  <c r="T1000" i="16"/>
  <c r="AD1000" i="16" s="1"/>
  <c r="AC1000" i="16" s="1"/>
  <c r="R895" i="16"/>
  <c r="AE895" i="16" s="1"/>
  <c r="AF895" i="16" s="1"/>
  <c r="M893" i="16"/>
  <c r="AM893" i="16" s="1"/>
  <c r="T895" i="16"/>
  <c r="AD895" i="16" s="1"/>
  <c r="T1013" i="16"/>
  <c r="AD1013" i="16" s="1"/>
  <c r="AC1013" i="16" s="1"/>
  <c r="O1012" i="16"/>
  <c r="AI3" i="8"/>
  <c r="AC39" i="8"/>
  <c r="AC127" i="24"/>
  <c r="N139" i="16"/>
  <c r="G139" i="16" s="1"/>
  <c r="I138" i="66"/>
  <c r="AO140" i="8"/>
  <c r="T933" i="16"/>
  <c r="AD933" i="16" s="1"/>
  <c r="O1160" i="16"/>
  <c r="T1160" i="16"/>
  <c r="AD1160" i="16" s="1"/>
  <c r="AC1160" i="16" s="1"/>
  <c r="C1523" i="66"/>
  <c r="A1524" i="66"/>
  <c r="G1227" i="16"/>
  <c r="G1228" i="16" s="1"/>
  <c r="G1229" i="16" s="1"/>
  <c r="AO135" i="24"/>
  <c r="I388" i="66"/>
  <c r="N389" i="16"/>
  <c r="G389" i="16" s="1"/>
  <c r="R903" i="16"/>
  <c r="T903" i="16"/>
  <c r="AD903" i="16" s="1"/>
  <c r="O1767" i="16"/>
  <c r="T1767" i="16"/>
  <c r="AD1767" i="16" s="1"/>
  <c r="AC1767" i="16" s="1"/>
  <c r="C629" i="66"/>
  <c r="A630" i="66"/>
  <c r="C630" i="66" s="1"/>
  <c r="I380" i="66"/>
  <c r="AO127" i="24"/>
  <c r="N381" i="16"/>
  <c r="G381" i="16" s="1"/>
  <c r="O1089" i="16"/>
  <c r="I1719" i="66"/>
  <c r="N1720" i="16"/>
  <c r="AO173" i="28"/>
  <c r="I253" i="66"/>
  <c r="AO255" i="8"/>
  <c r="N254" i="16"/>
  <c r="G254" i="16" s="1"/>
  <c r="I1320" i="66"/>
  <c r="N1321" i="16"/>
  <c r="AO558" i="25"/>
  <c r="R854" i="16"/>
  <c r="T854" i="16"/>
  <c r="AD854" i="16" s="1"/>
  <c r="T887" i="16"/>
  <c r="AD887" i="16" s="1"/>
  <c r="R887" i="16"/>
  <c r="O1026" i="16"/>
  <c r="T1027" i="16"/>
  <c r="AD1027" i="16" s="1"/>
  <c r="AC1027" i="16" s="1"/>
  <c r="T1043" i="16"/>
  <c r="AD1043" i="16" s="1"/>
  <c r="AC1043" i="16" s="1"/>
  <c r="O1006" i="16"/>
  <c r="T1007" i="16"/>
  <c r="AD1007" i="16" s="1"/>
  <c r="AC1007" i="16" s="1"/>
  <c r="I1378" i="66"/>
  <c r="N1379" i="16"/>
  <c r="AO616" i="25"/>
  <c r="C308" i="66"/>
  <c r="A309" i="66"/>
  <c r="N383" i="16"/>
  <c r="AO129" i="24"/>
  <c r="I382" i="66"/>
  <c r="O1299" i="16"/>
  <c r="O313" i="25"/>
  <c r="O785" i="16"/>
  <c r="O72" i="8"/>
  <c r="S1072" i="16"/>
  <c r="S49" i="25"/>
  <c r="S46" i="25"/>
  <c r="S173" i="25"/>
  <c r="S135" i="25"/>
  <c r="S309" i="25"/>
  <c r="S50" i="25"/>
  <c r="O970" i="16"/>
  <c r="O38" i="16"/>
  <c r="O230" i="28"/>
  <c r="S121" i="27"/>
  <c r="S812" i="16"/>
  <c r="S54" i="25"/>
  <c r="O1242" i="16"/>
  <c r="O1076" i="16"/>
  <c r="G1728" i="16" l="1"/>
  <c r="G1729" i="16" s="1"/>
  <c r="G1683" i="16"/>
  <c r="G1684" i="16" s="1"/>
  <c r="G1685" i="16" s="1"/>
  <c r="G1671" i="16"/>
  <c r="G1672" i="16" s="1"/>
  <c r="G1673" i="16" s="1"/>
  <c r="A1668" i="66"/>
  <c r="G1495" i="16"/>
  <c r="G1427" i="16"/>
  <c r="G1428" i="16" s="1"/>
  <c r="G1429" i="16" s="1"/>
  <c r="A786" i="66"/>
  <c r="C785" i="66"/>
  <c r="C371" i="66"/>
  <c r="G1812" i="16"/>
  <c r="G1813" i="16" s="1"/>
  <c r="G1814" i="16" s="1"/>
  <c r="G1815" i="16" s="1"/>
  <c r="G1811" i="16"/>
  <c r="G281" i="16"/>
  <c r="G282" i="16" s="1"/>
  <c r="T250" i="25"/>
  <c r="AD250" i="25" s="1"/>
  <c r="AC250" i="25" s="1"/>
  <c r="T37" i="25"/>
  <c r="AD37" i="25" s="1"/>
  <c r="R170" i="25"/>
  <c r="M170" i="25" s="1"/>
  <c r="AM170" i="25" s="1"/>
  <c r="R134" i="25"/>
  <c r="AE134" i="25" s="1"/>
  <c r="AC134" i="25" s="1"/>
  <c r="T146" i="25"/>
  <c r="AD146" i="25" s="1"/>
  <c r="T366" i="25"/>
  <c r="AD366" i="25" s="1"/>
  <c r="AC366" i="25" s="1"/>
  <c r="R146" i="25"/>
  <c r="AE146" i="25" s="1"/>
  <c r="T118" i="25"/>
  <c r="AD118" i="25" s="1"/>
  <c r="M121" i="29"/>
  <c r="G1772" i="16"/>
  <c r="G1773" i="16" s="1"/>
  <c r="G1774" i="16" s="1"/>
  <c r="O361" i="25"/>
  <c r="N1124" i="16" s="1"/>
  <c r="T369" i="25"/>
  <c r="AD369" i="25" s="1"/>
  <c r="AC369" i="25" s="1"/>
  <c r="N130" i="16"/>
  <c r="T237" i="25"/>
  <c r="AD237" i="25" s="1"/>
  <c r="AC237" i="25" s="1"/>
  <c r="I129" i="66"/>
  <c r="R192" i="25"/>
  <c r="M192" i="25" s="1"/>
  <c r="AM192" i="25" s="1"/>
  <c r="G375" i="16"/>
  <c r="G376" i="16" s="1"/>
  <c r="G369" i="16"/>
  <c r="G370" i="16" s="1"/>
  <c r="T371" i="16"/>
  <c r="AD371" i="16" s="1"/>
  <c r="R371" i="16"/>
  <c r="O426" i="25"/>
  <c r="N1189" i="16" s="1"/>
  <c r="T1834" i="16"/>
  <c r="AD1834" i="16" s="1"/>
  <c r="R1834" i="16"/>
  <c r="T1902" i="16"/>
  <c r="AD1902" i="16" s="1"/>
  <c r="R1902" i="16"/>
  <c r="T1846" i="16"/>
  <c r="AD1846" i="16" s="1"/>
  <c r="R1846" i="16"/>
  <c r="T1899" i="16"/>
  <c r="AD1899" i="16" s="1"/>
  <c r="O1896" i="16"/>
  <c r="R1899" i="16"/>
  <c r="M1899" i="16" s="1"/>
  <c r="AM1899" i="16" s="1"/>
  <c r="R1905" i="16"/>
  <c r="T1905" i="16"/>
  <c r="AD1905" i="16" s="1"/>
  <c r="R1918" i="16"/>
  <c r="O1914" i="16"/>
  <c r="AO1914" i="16" s="1"/>
  <c r="T1918" i="16"/>
  <c r="AD1918" i="16" s="1"/>
  <c r="AE81" i="29"/>
  <c r="AC81" i="29" s="1"/>
  <c r="O1830" i="16"/>
  <c r="R1833" i="16"/>
  <c r="T1833" i="16"/>
  <c r="AD1833" i="16" s="1"/>
  <c r="G1942" i="16"/>
  <c r="G1943" i="16" s="1"/>
  <c r="G1944" i="16" s="1"/>
  <c r="G1945" i="16" s="1"/>
  <c r="G1946" i="16" s="1"/>
  <c r="G1947" i="16" s="1"/>
  <c r="G1948" i="16" s="1"/>
  <c r="G1949" i="16" s="1"/>
  <c r="G1950" i="16" s="1"/>
  <c r="G1951" i="16" s="1"/>
  <c r="G1952" i="16" s="1"/>
  <c r="G1953" i="16" s="1"/>
  <c r="G1954" i="16" s="1"/>
  <c r="G1955" i="16" s="1"/>
  <c r="G1956" i="16" s="1"/>
  <c r="G1957" i="16" s="1"/>
  <c r="G1958" i="16" s="1"/>
  <c r="G1959" i="16" s="1"/>
  <c r="G1960" i="16" s="1"/>
  <c r="G1961" i="16" s="1"/>
  <c r="G1962" i="16" s="1"/>
  <c r="G1963" i="16" s="1"/>
  <c r="G1964" i="16" s="1"/>
  <c r="G1965" i="16" s="1"/>
  <c r="G1966" i="16" s="1"/>
  <c r="G1941" i="16"/>
  <c r="T1920" i="16"/>
  <c r="AD1920" i="16" s="1"/>
  <c r="R1920" i="16"/>
  <c r="T1939" i="16"/>
  <c r="AD1939" i="16" s="1"/>
  <c r="R1939" i="16"/>
  <c r="R1878" i="16"/>
  <c r="T1878" i="16"/>
  <c r="AD1878" i="16" s="1"/>
  <c r="R1945" i="16"/>
  <c r="M1945" i="16" s="1"/>
  <c r="AM1945" i="16" s="1"/>
  <c r="O1941" i="16"/>
  <c r="T1945" i="16"/>
  <c r="AD1945" i="16" s="1"/>
  <c r="R1967" i="16"/>
  <c r="T1967" i="16"/>
  <c r="AD1967" i="16" s="1"/>
  <c r="G1896" i="16"/>
  <c r="G1897" i="16" s="1"/>
  <c r="G1898" i="16" s="1"/>
  <c r="G1899" i="16" s="1"/>
  <c r="G1900" i="16" s="1"/>
  <c r="G1901" i="16" s="1"/>
  <c r="G1902" i="16" s="1"/>
  <c r="G1903" i="16" s="1"/>
  <c r="G1904" i="16" s="1"/>
  <c r="G1905" i="16" s="1"/>
  <c r="G1906" i="16" s="1"/>
  <c r="G1907" i="16" s="1"/>
  <c r="G1908" i="16" s="1"/>
  <c r="G1909" i="16" s="1"/>
  <c r="G1910" i="16" s="1"/>
  <c r="G1911" i="16" s="1"/>
  <c r="G1912" i="16" s="1"/>
  <c r="G1913" i="16" s="1"/>
  <c r="T1835" i="16"/>
  <c r="AD1835" i="16" s="1"/>
  <c r="R1835" i="16"/>
  <c r="R933" i="16"/>
  <c r="AE933" i="16" s="1"/>
  <c r="AF933" i="16" s="1"/>
  <c r="O185" i="25"/>
  <c r="AO185" i="25" s="1"/>
  <c r="O341" i="25"/>
  <c r="I1103" i="66" s="1"/>
  <c r="T140" i="25"/>
  <c r="AD140" i="25" s="1"/>
  <c r="O220" i="28"/>
  <c r="I1766" i="66" s="1"/>
  <c r="I1091" i="66"/>
  <c r="AO129" i="8"/>
  <c r="T40" i="25"/>
  <c r="AD40" i="25" s="1"/>
  <c r="T199" i="25"/>
  <c r="AD199" i="25" s="1"/>
  <c r="AC199" i="25" s="1"/>
  <c r="N128" i="16"/>
  <c r="G128" i="16" s="1"/>
  <c r="G129" i="16" s="1"/>
  <c r="T132" i="25"/>
  <c r="AD132" i="25" s="1"/>
  <c r="AC132" i="25" s="1"/>
  <c r="M130" i="25"/>
  <c r="AM130" i="25" s="1"/>
  <c r="T454" i="25"/>
  <c r="AD454" i="25" s="1"/>
  <c r="AC454" i="25" s="1"/>
  <c r="O397" i="25"/>
  <c r="I1159" i="66" s="1"/>
  <c r="G92" i="16"/>
  <c r="G93" i="16" s="1"/>
  <c r="G94" i="16" s="1"/>
  <c r="G95" i="16" s="1"/>
  <c r="T343" i="25"/>
  <c r="AD343" i="25" s="1"/>
  <c r="AC343" i="25" s="1"/>
  <c r="G393" i="16"/>
  <c r="G394" i="16" s="1"/>
  <c r="G395" i="16" s="1"/>
  <c r="G396" i="16" s="1"/>
  <c r="G1319" i="16"/>
  <c r="G1320" i="16" s="1"/>
  <c r="G224" i="16"/>
  <c r="G465" i="16"/>
  <c r="G466" i="16" s="1"/>
  <c r="G467" i="16" s="1"/>
  <c r="G145" i="16"/>
  <c r="G146" i="16" s="1"/>
  <c r="G1712" i="16"/>
  <c r="G1713" i="16" s="1"/>
  <c r="G1714" i="16" s="1"/>
  <c r="G1715" i="16" s="1"/>
  <c r="G257" i="16"/>
  <c r="G258" i="16" s="1"/>
  <c r="G259" i="16" s="1"/>
  <c r="G260" i="16" s="1"/>
  <c r="G261" i="16" s="1"/>
  <c r="G262" i="16" s="1"/>
  <c r="G1242" i="16"/>
  <c r="G1243" i="16" s="1"/>
  <c r="G1244" i="16" s="1"/>
  <c r="G1245" i="16" s="1"/>
  <c r="G1246" i="16" s="1"/>
  <c r="G1533" i="16"/>
  <c r="G1534" i="16" s="1"/>
  <c r="G1535" i="16" s="1"/>
  <c r="G1536" i="16" s="1"/>
  <c r="G1537" i="16" s="1"/>
  <c r="G1538" i="16" s="1"/>
  <c r="G1539" i="16" s="1"/>
  <c r="G1511" i="16"/>
  <c r="G1512" i="16" s="1"/>
  <c r="G132" i="16"/>
  <c r="G133" i="16" s="1"/>
  <c r="G383" i="16"/>
  <c r="G384" i="16" s="1"/>
  <c r="G385" i="16" s="1"/>
  <c r="G1321" i="16"/>
  <c r="G1322" i="16" s="1"/>
  <c r="G1323" i="16" s="1"/>
  <c r="G1324" i="16" s="1"/>
  <c r="G1397" i="16"/>
  <c r="G1398" i="16" s="1"/>
  <c r="G1399" i="16" s="1"/>
  <c r="G1400" i="16" s="1"/>
  <c r="G1401" i="16" s="1"/>
  <c r="G1402" i="16" s="1"/>
  <c r="G1403" i="16" s="1"/>
  <c r="G1404" i="16" s="1"/>
  <c r="G1405" i="16" s="1"/>
  <c r="G1406" i="16" s="1"/>
  <c r="G1407" i="16" s="1"/>
  <c r="G1408" i="16" s="1"/>
  <c r="G1409" i="16" s="1"/>
  <c r="G1410" i="16" s="1"/>
  <c r="G1411" i="16" s="1"/>
  <c r="G1412" i="16" s="1"/>
  <c r="G1413" i="16" s="1"/>
  <c r="G1414" i="16" s="1"/>
  <c r="G1415" i="16" s="1"/>
  <c r="G1416" i="16" s="1"/>
  <c r="G1417" i="16" s="1"/>
  <c r="G1418" i="16" s="1"/>
  <c r="G1419" i="16" s="1"/>
  <c r="G1420" i="16" s="1"/>
  <c r="G1421" i="16" s="1"/>
  <c r="G1422" i="16" s="1"/>
  <c r="G1423" i="16" s="1"/>
  <c r="G1424" i="16" s="1"/>
  <c r="G1425" i="16" s="1"/>
  <c r="G1426" i="16" s="1"/>
  <c r="G1583" i="16"/>
  <c r="G1584" i="16" s="1"/>
  <c r="G1585" i="16" s="1"/>
  <c r="G140" i="16"/>
  <c r="G141" i="16" s="1"/>
  <c r="G142" i="16" s="1"/>
  <c r="G143" i="16" s="1"/>
  <c r="G144" i="16" s="1"/>
  <c r="G1454" i="16"/>
  <c r="G1455" i="16" s="1"/>
  <c r="G229" i="16"/>
  <c r="G230" i="16" s="1"/>
  <c r="G231" i="16" s="1"/>
  <c r="G232" i="16" s="1"/>
  <c r="G233" i="16" s="1"/>
  <c r="G1720" i="16"/>
  <c r="G1721" i="16" s="1"/>
  <c r="G397" i="16"/>
  <c r="G398" i="16" s="1"/>
  <c r="G399" i="16" s="1"/>
  <c r="G1570" i="16"/>
  <c r="G1571" i="16" s="1"/>
  <c r="G1572" i="16" s="1"/>
  <c r="G130" i="16"/>
  <c r="G131" i="16" s="1"/>
  <c r="G122" i="16"/>
  <c r="G1370" i="16"/>
  <c r="G1371" i="16" s="1"/>
  <c r="G1372" i="16" s="1"/>
  <c r="G1373" i="16" s="1"/>
  <c r="G1374" i="16" s="1"/>
  <c r="G1375" i="16" s="1"/>
  <c r="G1376" i="16" s="1"/>
  <c r="G1377" i="16" s="1"/>
  <c r="G1378" i="16" s="1"/>
  <c r="G1237" i="16"/>
  <c r="G1238" i="16" s="1"/>
  <c r="G1239" i="16" s="1"/>
  <c r="G1240" i="16" s="1"/>
  <c r="G1241" i="16" s="1"/>
  <c r="G1299" i="16"/>
  <c r="G1300" i="16" s="1"/>
  <c r="G1301" i="16" s="1"/>
  <c r="G1302" i="16" s="1"/>
  <c r="G1303" i="16" s="1"/>
  <c r="G1304" i="16" s="1"/>
  <c r="G664" i="16"/>
  <c r="G665" i="16" s="1"/>
  <c r="G666" i="16" s="1"/>
  <c r="G667" i="16" s="1"/>
  <c r="G668" i="16" s="1"/>
  <c r="G669" i="16" s="1"/>
  <c r="G670" i="16" s="1"/>
  <c r="G671" i="16" s="1"/>
  <c r="G672" i="16" s="1"/>
  <c r="G673" i="16" s="1"/>
  <c r="G674" i="16" s="1"/>
  <c r="G675" i="16" s="1"/>
  <c r="G676" i="16" s="1"/>
  <c r="G677" i="16" s="1"/>
  <c r="G678" i="16" s="1"/>
  <c r="G679" i="16" s="1"/>
  <c r="G680" i="16" s="1"/>
  <c r="G681" i="16" s="1"/>
  <c r="G682" i="16" s="1"/>
  <c r="G683" i="16" s="1"/>
  <c r="G684" i="16" s="1"/>
  <c r="G685" i="16" s="1"/>
  <c r="G686" i="16" s="1"/>
  <c r="G687" i="16" s="1"/>
  <c r="G688" i="16" s="1"/>
  <c r="G689" i="16" s="1"/>
  <c r="G690" i="16" s="1"/>
  <c r="G691" i="16" s="1"/>
  <c r="G692" i="16" s="1"/>
  <c r="G693" i="16" s="1"/>
  <c r="G694" i="16" s="1"/>
  <c r="G695" i="16" s="1"/>
  <c r="G696" i="16" s="1"/>
  <c r="G697" i="16" s="1"/>
  <c r="G698" i="16" s="1"/>
  <c r="G699" i="16" s="1"/>
  <c r="G700" i="16" s="1"/>
  <c r="G701" i="16" s="1"/>
  <c r="G702" i="16" s="1"/>
  <c r="G703" i="16" s="1"/>
  <c r="G704" i="16" s="1"/>
  <c r="G705" i="16" s="1"/>
  <c r="G1608" i="16"/>
  <c r="G1609" i="16" s="1"/>
  <c r="G1610" i="16" s="1"/>
  <c r="G1611" i="16" s="1"/>
  <c r="G1612" i="16" s="1"/>
  <c r="G1613" i="16" s="1"/>
  <c r="G1573" i="16"/>
  <c r="G1574" i="16" s="1"/>
  <c r="G1575" i="16" s="1"/>
  <c r="G1456" i="16"/>
  <c r="G1379" i="16"/>
  <c r="G1380" i="16" s="1"/>
  <c r="G572" i="16"/>
  <c r="G573" i="16" s="1"/>
  <c r="G574" i="16" s="1"/>
  <c r="G575" i="16" s="1"/>
  <c r="G576" i="16" s="1"/>
  <c r="G577" i="16" s="1"/>
  <c r="G578" i="16" s="1"/>
  <c r="G579" i="16" s="1"/>
  <c r="G580" i="16" s="1"/>
  <c r="G581" i="16" s="1"/>
  <c r="G582" i="16" s="1"/>
  <c r="G583" i="16" s="1"/>
  <c r="G584" i="16" s="1"/>
  <c r="G585" i="16" s="1"/>
  <c r="G586" i="16" s="1"/>
  <c r="G587" i="16" s="1"/>
  <c r="G588" i="16" s="1"/>
  <c r="G169" i="16"/>
  <c r="G170" i="16" s="1"/>
  <c r="G171" i="16" s="1"/>
  <c r="G172" i="16" s="1"/>
  <c r="G173" i="16" s="1"/>
  <c r="G1480" i="16"/>
  <c r="G314" i="16"/>
  <c r="G315" i="16" s="1"/>
  <c r="G316" i="16" s="1"/>
  <c r="G317" i="16" s="1"/>
  <c r="G318" i="16" s="1"/>
  <c r="G319" i="16" s="1"/>
  <c r="G320" i="16" s="1"/>
  <c r="G321" i="16" s="1"/>
  <c r="G322" i="16" s="1"/>
  <c r="G323" i="16" s="1"/>
  <c r="G324" i="16" s="1"/>
  <c r="G325" i="16" s="1"/>
  <c r="G326" i="16" s="1"/>
  <c r="G327" i="16" s="1"/>
  <c r="G328" i="16" s="1"/>
  <c r="G329" i="16" s="1"/>
  <c r="G330" i="16" s="1"/>
  <c r="G331" i="16" s="1"/>
  <c r="G1457" i="16"/>
  <c r="G1458" i="16" s="1"/>
  <c r="A1567" i="66"/>
  <c r="A1568" i="66" s="1"/>
  <c r="C1568" i="66" s="1"/>
  <c r="A91" i="66"/>
  <c r="A1723" i="66"/>
  <c r="C1723" i="66" s="1"/>
  <c r="C1724" i="66"/>
  <c r="A378" i="66"/>
  <c r="C378" i="66" s="1"/>
  <c r="A1715" i="66"/>
  <c r="A385" i="66"/>
  <c r="C385" i="66" s="1"/>
  <c r="A1438" i="66"/>
  <c r="C1438" i="66" s="1"/>
  <c r="A1585" i="66"/>
  <c r="A1333" i="66"/>
  <c r="T277" i="25"/>
  <c r="AD277" i="25" s="1"/>
  <c r="AC277" i="25" s="1"/>
  <c r="T285" i="25"/>
  <c r="AD285" i="25" s="1"/>
  <c r="AC285" i="25" s="1"/>
  <c r="O272" i="25"/>
  <c r="AO272" i="25" s="1"/>
  <c r="T347" i="25"/>
  <c r="AD347" i="25" s="1"/>
  <c r="AC347" i="25" s="1"/>
  <c r="O279" i="25"/>
  <c r="N1042" i="16" s="1"/>
  <c r="G1042" i="16" s="1"/>
  <c r="T341" i="25"/>
  <c r="AD341" i="25" s="1"/>
  <c r="AC341" i="25" s="1"/>
  <c r="O364" i="25"/>
  <c r="AO364" i="25" s="1"/>
  <c r="O336" i="25"/>
  <c r="AO336" i="25" s="1"/>
  <c r="O243" i="25"/>
  <c r="AO243" i="25" s="1"/>
  <c r="O252" i="25"/>
  <c r="N1015" i="16" s="1"/>
  <c r="AC32" i="25"/>
  <c r="O335" i="25"/>
  <c r="N1098" i="16" s="1"/>
  <c r="G1098" i="16" s="1"/>
  <c r="T264" i="25"/>
  <c r="AD264" i="25" s="1"/>
  <c r="AC264" i="25" s="1"/>
  <c r="O337" i="25"/>
  <c r="N1100" i="16" s="1"/>
  <c r="R88" i="25"/>
  <c r="AE88" i="25" s="1"/>
  <c r="AC88" i="25" s="1"/>
  <c r="R56" i="25"/>
  <c r="AE56" i="25" s="1"/>
  <c r="AC56" i="25" s="1"/>
  <c r="T324" i="25"/>
  <c r="AD324" i="25" s="1"/>
  <c r="AC324" i="25" s="1"/>
  <c r="R157" i="25"/>
  <c r="AE157" i="25" s="1"/>
  <c r="AC157" i="25" s="1"/>
  <c r="O326" i="25"/>
  <c r="AO326" i="25" s="1"/>
  <c r="O334" i="25"/>
  <c r="I1096" i="66" s="1"/>
  <c r="T345" i="25"/>
  <c r="AD345" i="25" s="1"/>
  <c r="AC345" i="25" s="1"/>
  <c r="N1092" i="16"/>
  <c r="R23" i="25"/>
  <c r="AE23" i="25" s="1"/>
  <c r="AC23" i="25" s="1"/>
  <c r="AE28" i="29"/>
  <c r="AC28" i="29" s="1"/>
  <c r="T91" i="25"/>
  <c r="AD91" i="25" s="1"/>
  <c r="O257" i="25"/>
  <c r="AO257" i="25" s="1"/>
  <c r="T185" i="25"/>
  <c r="AD185" i="25" s="1"/>
  <c r="AC185" i="25" s="1"/>
  <c r="O188" i="25"/>
  <c r="A950" i="66" s="1"/>
  <c r="T1040" i="16"/>
  <c r="AD1040" i="16" s="1"/>
  <c r="AC1040" i="16" s="1"/>
  <c r="T359" i="25"/>
  <c r="AD359" i="25" s="1"/>
  <c r="AC359" i="25" s="1"/>
  <c r="O268" i="25"/>
  <c r="N1031" i="16" s="1"/>
  <c r="G1031" i="16" s="1"/>
  <c r="T365" i="25"/>
  <c r="AD365" i="25" s="1"/>
  <c r="AC365" i="25" s="1"/>
  <c r="T124" i="25"/>
  <c r="AD124" i="25" s="1"/>
  <c r="T173" i="25"/>
  <c r="AD173" i="25" s="1"/>
  <c r="R173" i="25"/>
  <c r="AE173" i="25" s="1"/>
  <c r="T309" i="25"/>
  <c r="AD309" i="25" s="1"/>
  <c r="AC309" i="25" s="1"/>
  <c r="I70" i="66"/>
  <c r="AO72" i="8"/>
  <c r="N71" i="16"/>
  <c r="T46" i="25"/>
  <c r="AD46" i="25" s="1"/>
  <c r="R46" i="25"/>
  <c r="M46" i="25" s="1"/>
  <c r="AM46" i="25" s="1"/>
  <c r="T49" i="25"/>
  <c r="AD49" i="25" s="1"/>
  <c r="R49" i="25"/>
  <c r="AE49" i="25" s="1"/>
  <c r="T135" i="25"/>
  <c r="R135" i="25"/>
  <c r="M135" i="25" s="1"/>
  <c r="AM135" i="25" s="1"/>
  <c r="R812" i="16"/>
  <c r="AE812" i="16" s="1"/>
  <c r="AF812" i="16" s="1"/>
  <c r="T812" i="16"/>
  <c r="AD812" i="16" s="1"/>
  <c r="T54" i="25"/>
  <c r="AD54" i="25" s="1"/>
  <c r="AC54" i="25" s="1"/>
  <c r="R50" i="25"/>
  <c r="AE50" i="25" s="1"/>
  <c r="T50" i="25"/>
  <c r="AD50" i="25" s="1"/>
  <c r="T358" i="16"/>
  <c r="AD358" i="16" s="1"/>
  <c r="AC358" i="16" s="1"/>
  <c r="O356" i="16"/>
  <c r="R377" i="16"/>
  <c r="T377" i="16"/>
  <c r="AD377" i="16" s="1"/>
  <c r="N76" i="16"/>
  <c r="G77" i="16" s="1"/>
  <c r="AO77" i="8"/>
  <c r="I75" i="66"/>
  <c r="I1287" i="66"/>
  <c r="AO525" i="25"/>
  <c r="N1288" i="16"/>
  <c r="T332" i="16"/>
  <c r="AD332" i="16" s="1"/>
  <c r="AC332" i="16" s="1"/>
  <c r="O332" i="16"/>
  <c r="S119" i="27"/>
  <c r="T119" i="27" s="1"/>
  <c r="AD119" i="27" s="1"/>
  <c r="S1189" i="16"/>
  <c r="O1189" i="16" s="1"/>
  <c r="AO1189" i="16" s="1"/>
  <c r="C1532" i="66"/>
  <c r="A1276" i="66"/>
  <c r="A1277" i="66" s="1"/>
  <c r="W188" i="25"/>
  <c r="S1805" i="16"/>
  <c r="O1803" i="16" s="1"/>
  <c r="W189" i="25"/>
  <c r="H951" i="66" s="1"/>
  <c r="S292" i="25"/>
  <c r="O290" i="25" s="1"/>
  <c r="N1053" i="16" s="1"/>
  <c r="M351" i="25"/>
  <c r="AM351" i="25" s="1"/>
  <c r="S234" i="28"/>
  <c r="O234" i="28" s="1"/>
  <c r="N1781" i="16" s="1"/>
  <c r="G1781" i="16" s="1"/>
  <c r="G1780" i="16" s="1"/>
  <c r="T171" i="25"/>
  <c r="AD171" i="25" s="1"/>
  <c r="M353" i="25"/>
  <c r="AM353" i="25" s="1"/>
  <c r="M303" i="25"/>
  <c r="AM303" i="25" s="1"/>
  <c r="C19" i="10"/>
  <c r="O939" i="16" s="1"/>
  <c r="R835" i="16"/>
  <c r="AE835" i="16" s="1"/>
  <c r="AF835" i="16" s="1"/>
  <c r="M349" i="25"/>
  <c r="AM349" i="25" s="1"/>
  <c r="R72" i="25"/>
  <c r="M69" i="25" s="1"/>
  <c r="AM69" i="25" s="1"/>
  <c r="M357" i="25"/>
  <c r="AM357" i="25" s="1"/>
  <c r="N1777" i="16"/>
  <c r="AO230" i="28"/>
  <c r="I1776" i="66"/>
  <c r="M327" i="25"/>
  <c r="AM327" i="25" s="1"/>
  <c r="M321" i="25"/>
  <c r="AM321" i="25" s="1"/>
  <c r="M340" i="25"/>
  <c r="AM340" i="25" s="1"/>
  <c r="S415" i="25"/>
  <c r="M305" i="25"/>
  <c r="M307" i="25"/>
  <c r="AM307" i="25" s="1"/>
  <c r="R230" i="28"/>
  <c r="T230" i="28"/>
  <c r="AD230" i="28" s="1"/>
  <c r="M320" i="25"/>
  <c r="AM320" i="25" s="1"/>
  <c r="M331" i="25"/>
  <c r="AM331" i="25" s="1"/>
  <c r="M352" i="25"/>
  <c r="AM352" i="25" s="1"/>
  <c r="M350" i="25"/>
  <c r="AM350" i="25" s="1"/>
  <c r="M319" i="25"/>
  <c r="AM319" i="25" s="1"/>
  <c r="M339" i="25"/>
  <c r="AM339" i="25" s="1"/>
  <c r="M328" i="25"/>
  <c r="AM328" i="25" s="1"/>
  <c r="T239" i="25"/>
  <c r="M247" i="25" s="1"/>
  <c r="AM247" i="25" s="1"/>
  <c r="M338" i="25"/>
  <c r="AM338" i="25" s="1"/>
  <c r="M297" i="25"/>
  <c r="M332" i="25"/>
  <c r="AM332" i="25" s="1"/>
  <c r="S1287" i="16"/>
  <c r="T1287" i="16" s="1"/>
  <c r="AD1287" i="16" s="1"/>
  <c r="AC1287" i="16" s="1"/>
  <c r="C313" i="66"/>
  <c r="M1091" i="16"/>
  <c r="AM1091" i="16" s="1"/>
  <c r="AO410" i="24"/>
  <c r="I663" i="66"/>
  <c r="E257" i="76"/>
  <c r="E1317" i="76"/>
  <c r="AO1720" i="16"/>
  <c r="T308" i="25"/>
  <c r="AD308" i="25" s="1"/>
  <c r="AC308" i="25" s="1"/>
  <c r="AO254" i="16"/>
  <c r="AO1718" i="16"/>
  <c r="H16" i="3"/>
  <c r="L16" i="3" s="1"/>
  <c r="AO1712" i="16"/>
  <c r="E1321" i="76"/>
  <c r="E1319" i="76"/>
  <c r="E224" i="76"/>
  <c r="E1608" i="76"/>
  <c r="AO1242" i="16"/>
  <c r="E1242" i="76"/>
  <c r="AO38" i="16"/>
  <c r="T15" i="3"/>
  <c r="Y15" i="3" s="1"/>
  <c r="E38" i="76"/>
  <c r="AO1816" i="16"/>
  <c r="E1816" i="76"/>
  <c r="E177" i="76"/>
  <c r="AO177" i="16"/>
  <c r="A13" i="66"/>
  <c r="C13" i="66" s="1"/>
  <c r="C12" i="66"/>
  <c r="A1334" i="66"/>
  <c r="C1334" i="66" s="1"/>
  <c r="C1333" i="66"/>
  <c r="I139" i="66"/>
  <c r="H15" i="3"/>
  <c r="N15" i="3" s="1"/>
  <c r="AO141" i="8"/>
  <c r="C168" i="66"/>
  <c r="AO1370" i="16"/>
  <c r="E1370" i="76"/>
  <c r="T1072" i="16"/>
  <c r="AD1072" i="16" s="1"/>
  <c r="AC1072" i="16" s="1"/>
  <c r="E1299" i="76"/>
  <c r="AO1299" i="16"/>
  <c r="S777" i="16"/>
  <c r="AE777" i="16" s="1"/>
  <c r="AF777" i="16" s="1"/>
  <c r="T1583" i="16"/>
  <c r="AD1583" i="16" s="1"/>
  <c r="AC1583" i="16" s="1"/>
  <c r="T1570" i="16"/>
  <c r="M15" i="29"/>
  <c r="AM15" i="29" s="1"/>
  <c r="AE15" i="29"/>
  <c r="AC15" i="29" s="1"/>
  <c r="AC1594" i="16"/>
  <c r="AF1594" i="16"/>
  <c r="S259" i="28"/>
  <c r="T259" i="28" s="1"/>
  <c r="AD259" i="28" s="1"/>
  <c r="AC259" i="28" s="1"/>
  <c r="S258" i="28"/>
  <c r="M1082" i="16"/>
  <c r="AM1082" i="16" s="1"/>
  <c r="T1002" i="16"/>
  <c r="M1113" i="16"/>
  <c r="AM1113" i="16" s="1"/>
  <c r="M1068" i="16"/>
  <c r="M1102" i="16"/>
  <c r="AM1102" i="16" s="1"/>
  <c r="M1116" i="16"/>
  <c r="AM1116" i="16" s="1"/>
  <c r="M1104" i="16"/>
  <c r="M1095" i="16"/>
  <c r="AM1095" i="16" s="1"/>
  <c r="M1103" i="16"/>
  <c r="AM1103" i="16" s="1"/>
  <c r="M1083" i="16"/>
  <c r="AM1083" i="16" s="1"/>
  <c r="M1094" i="16"/>
  <c r="AM1094" i="16" s="1"/>
  <c r="S1055" i="16"/>
  <c r="M1060" i="16"/>
  <c r="S1178" i="16"/>
  <c r="M1120" i="16"/>
  <c r="M1115" i="16"/>
  <c r="AM1115" i="16" s="1"/>
  <c r="M1084" i="16"/>
  <c r="AM1084" i="16" s="1"/>
  <c r="M1070" i="16"/>
  <c r="M948" i="16"/>
  <c r="M1112" i="16"/>
  <c r="AM1112" i="16" s="1"/>
  <c r="M1114" i="16"/>
  <c r="AM1114" i="16" s="1"/>
  <c r="M1101" i="16"/>
  <c r="AM1101" i="16" s="1"/>
  <c r="M1066" i="16"/>
  <c r="AO12" i="29"/>
  <c r="N1830" i="16"/>
  <c r="I1829" i="66"/>
  <c r="M361" i="16"/>
  <c r="AM361" i="16" s="1"/>
  <c r="AE361" i="16"/>
  <c r="C836" i="66"/>
  <c r="A837" i="66"/>
  <c r="AI3" i="24"/>
  <c r="L14" i="72" s="1"/>
  <c r="S1777" i="16"/>
  <c r="S1781" i="16"/>
  <c r="M1090" i="16"/>
  <c r="AM1090" i="16" s="1"/>
  <c r="A973" i="66"/>
  <c r="C973" i="66" s="1"/>
  <c r="C972" i="66"/>
  <c r="AO178" i="8"/>
  <c r="I176" i="66"/>
  <c r="N177" i="16"/>
  <c r="G178" i="16" s="1"/>
  <c r="G179" i="16" s="1"/>
  <c r="G180" i="16" s="1"/>
  <c r="G181" i="16" s="1"/>
  <c r="A1823" i="66"/>
  <c r="C1823" i="66" s="1"/>
  <c r="C1822" i="66"/>
  <c r="S1806" i="16"/>
  <c r="T1806" i="16" s="1"/>
  <c r="AD1806" i="16" s="1"/>
  <c r="AC1806" i="16" s="1"/>
  <c r="C16" i="17"/>
  <c r="C16" i="18"/>
  <c r="C1490" i="66"/>
  <c r="C1486" i="66"/>
  <c r="C209" i="66"/>
  <c r="A210" i="66"/>
  <c r="C142" i="66"/>
  <c r="A143" i="66"/>
  <c r="C334" i="66"/>
  <c r="A335" i="66"/>
  <c r="C335" i="66" s="1"/>
  <c r="C890" i="66"/>
  <c r="A891" i="66"/>
  <c r="C891" i="66" s="1"/>
  <c r="A1346" i="66"/>
  <c r="C1346" i="66" s="1"/>
  <c r="C1345" i="66"/>
  <c r="C1585" i="66"/>
  <c r="C685" i="66"/>
  <c r="A686" i="66"/>
  <c r="AO369" i="16"/>
  <c r="E369" i="76"/>
  <c r="AO1772" i="16"/>
  <c r="E1772" i="76"/>
  <c r="E1477" i="76"/>
  <c r="E1124" i="76"/>
  <c r="E1129" i="76"/>
  <c r="E1122" i="76"/>
  <c r="E1128" i="76"/>
  <c r="E1767" i="76"/>
  <c r="E1127" i="76"/>
  <c r="AO1160" i="16"/>
  <c r="E1160" i="76"/>
  <c r="AO1132" i="16"/>
  <c r="E1132" i="76"/>
  <c r="AO1129" i="16"/>
  <c r="AO1124" i="16"/>
  <c r="AO1122" i="16"/>
  <c r="AO1128" i="16"/>
  <c r="AO1127" i="16"/>
  <c r="AO1109" i="16"/>
  <c r="E1109" i="76"/>
  <c r="AO1108" i="16"/>
  <c r="E1108" i="76"/>
  <c r="AO1106" i="16"/>
  <c r="E1106" i="76"/>
  <c r="AO1100" i="16"/>
  <c r="E1100" i="76"/>
  <c r="AO1097" i="16"/>
  <c r="E1097" i="76"/>
  <c r="AO1099" i="16"/>
  <c r="E1099" i="76"/>
  <c r="AO1098" i="16"/>
  <c r="E1098" i="76"/>
  <c r="AO1092" i="16"/>
  <c r="E1092" i="76"/>
  <c r="AO1089" i="16"/>
  <c r="E1089" i="76"/>
  <c r="E1076" i="76"/>
  <c r="AO1047" i="16"/>
  <c r="E1047" i="76"/>
  <c r="AO1042" i="16"/>
  <c r="E1042" i="76"/>
  <c r="AO1040" i="16"/>
  <c r="E1040" i="76"/>
  <c r="AO1035" i="16"/>
  <c r="E1035" i="76"/>
  <c r="AO1031" i="16"/>
  <c r="E1031" i="76"/>
  <c r="AO1026" i="16"/>
  <c r="E1026" i="76"/>
  <c r="AO1020" i="16"/>
  <c r="E1020" i="76"/>
  <c r="AO1015" i="16"/>
  <c r="E1015" i="76"/>
  <c r="AO1012" i="16"/>
  <c r="E1012" i="76"/>
  <c r="AO1006" i="16"/>
  <c r="E1006" i="76"/>
  <c r="AO1000" i="16"/>
  <c r="E1000" i="76"/>
  <c r="E970" i="76"/>
  <c r="AO907" i="16"/>
  <c r="E907" i="76"/>
  <c r="E785" i="76"/>
  <c r="AO96" i="29"/>
  <c r="N1914" i="16"/>
  <c r="I1913" i="66"/>
  <c r="H20" i="3"/>
  <c r="A1941" i="66"/>
  <c r="C1940" i="66"/>
  <c r="C1898" i="66"/>
  <c r="A1899" i="66"/>
  <c r="AI3" i="29"/>
  <c r="L18" i="72" s="1"/>
  <c r="M100" i="29"/>
  <c r="AM100" i="29" s="1"/>
  <c r="AE100" i="29"/>
  <c r="AC100" i="29" s="1"/>
  <c r="A1624" i="66"/>
  <c r="C1623" i="66"/>
  <c r="A1690" i="66"/>
  <c r="C1690" i="66" s="1"/>
  <c r="C1689" i="66"/>
  <c r="A1708" i="66"/>
  <c r="C1708" i="66" s="1"/>
  <c r="C1707" i="66"/>
  <c r="A1612" i="66"/>
  <c r="A1601" i="66" s="1"/>
  <c r="C1611" i="66"/>
  <c r="A1650" i="66"/>
  <c r="C1647" i="66"/>
  <c r="C1668" i="66"/>
  <c r="A1669" i="66"/>
  <c r="C1669" i="66" s="1"/>
  <c r="A783" i="66"/>
  <c r="C783" i="66" s="1"/>
  <c r="C782" i="66"/>
  <c r="C1263" i="66"/>
  <c r="C1258" i="66"/>
  <c r="C966" i="66"/>
  <c r="A967" i="66"/>
  <c r="C956" i="66"/>
  <c r="A957" i="66"/>
  <c r="A780" i="66"/>
  <c r="C780" i="66" s="1"/>
  <c r="C779" i="66"/>
  <c r="C982" i="66"/>
  <c r="A983" i="66"/>
  <c r="C883" i="66"/>
  <c r="A884" i="66"/>
  <c r="C365" i="66"/>
  <c r="A366" i="66"/>
  <c r="C535" i="66"/>
  <c r="A536" i="66"/>
  <c r="C536" i="66" s="1"/>
  <c r="AE117" i="24"/>
  <c r="AC117" i="24" s="1"/>
  <c r="M117" i="24"/>
  <c r="AM117" i="24" s="1"/>
  <c r="C372" i="66"/>
  <c r="A373" i="66"/>
  <c r="C373" i="66" s="1"/>
  <c r="A760" i="66"/>
  <c r="C759" i="66"/>
  <c r="C268" i="66"/>
  <c r="A269" i="66"/>
  <c r="C269" i="66" s="1"/>
  <c r="AE123" i="24"/>
  <c r="AG3" i="24" s="1"/>
  <c r="M123" i="24"/>
  <c r="AM123" i="24" s="1"/>
  <c r="C753" i="66"/>
  <c r="A754" i="66"/>
  <c r="C754" i="66" s="1"/>
  <c r="N356" i="16"/>
  <c r="I355" i="66"/>
  <c r="AO102" i="24"/>
  <c r="A92" i="66"/>
  <c r="C91" i="66"/>
  <c r="AC909" i="16"/>
  <c r="AC895" i="16"/>
  <c r="AC851" i="16"/>
  <c r="AC1217" i="16"/>
  <c r="AC962" i="16"/>
  <c r="AO785" i="16"/>
  <c r="AO970" i="16"/>
  <c r="AO1076" i="16"/>
  <c r="I1075" i="66"/>
  <c r="AO313" i="25"/>
  <c r="N1076" i="16"/>
  <c r="N1000" i="16"/>
  <c r="AO237" i="25"/>
  <c r="I999" i="66"/>
  <c r="AO1477" i="16"/>
  <c r="M1469" i="16"/>
  <c r="Y11" i="3"/>
  <c r="I1025" i="66"/>
  <c r="AO263" i="25"/>
  <c r="N1026" i="16"/>
  <c r="G1026" i="16" s="1"/>
  <c r="M91" i="25"/>
  <c r="AM91" i="25" s="1"/>
  <c r="AE91" i="25"/>
  <c r="AE140" i="25"/>
  <c r="M140" i="25"/>
  <c r="AM140" i="25" s="1"/>
  <c r="I906" i="66"/>
  <c r="N907" i="16"/>
  <c r="AO144" i="25"/>
  <c r="AE854" i="16"/>
  <c r="AF854" i="16" s="1"/>
  <c r="M854" i="16"/>
  <c r="AM854" i="16" s="1"/>
  <c r="I1107" i="66"/>
  <c r="N1108" i="16"/>
  <c r="G1108" i="16" s="1"/>
  <c r="AO345" i="25"/>
  <c r="M816" i="16"/>
  <c r="AM816" i="16" s="1"/>
  <c r="AE819" i="16"/>
  <c r="AF819" i="16" s="1"/>
  <c r="G1719" i="16"/>
  <c r="I1105" i="66"/>
  <c r="AO343" i="25"/>
  <c r="N1106" i="16"/>
  <c r="G19" i="16"/>
  <c r="G39" i="16"/>
  <c r="G40" i="16" s="1"/>
  <c r="G41" i="16" s="1"/>
  <c r="G42" i="16" s="1"/>
  <c r="AE936" i="16"/>
  <c r="AF936" i="16" s="1"/>
  <c r="M936" i="16"/>
  <c r="AM936" i="16" s="1"/>
  <c r="AE800" i="16"/>
  <c r="AF800" i="16" s="1"/>
  <c r="M800" i="16"/>
  <c r="AM800" i="16" s="1"/>
  <c r="AE955" i="16"/>
  <c r="AF955" i="16" s="1"/>
  <c r="M955" i="16"/>
  <c r="G955" i="16" s="1"/>
  <c r="M813" i="16"/>
  <c r="AM813" i="16" s="1"/>
  <c r="AE813" i="16"/>
  <c r="AF813" i="16" s="1"/>
  <c r="I1011" i="66"/>
  <c r="N1012" i="16"/>
  <c r="AO249" i="25"/>
  <c r="C309" i="66"/>
  <c r="A310" i="66"/>
  <c r="C310" i="66" s="1"/>
  <c r="N1132" i="16"/>
  <c r="G1132" i="16" s="1"/>
  <c r="AO369" i="25"/>
  <c r="I1131" i="66"/>
  <c r="M803" i="16"/>
  <c r="AM803" i="16" s="1"/>
  <c r="AE803" i="16"/>
  <c r="AF803" i="16" s="1"/>
  <c r="C1711" i="66"/>
  <c r="A1712" i="66"/>
  <c r="C1712" i="66" s="1"/>
  <c r="N1477" i="16"/>
  <c r="G1477" i="16" s="1"/>
  <c r="M83" i="27"/>
  <c r="I1476" i="66"/>
  <c r="A1466" i="66" s="1"/>
  <c r="N11" i="3"/>
  <c r="I4" i="27" s="1"/>
  <c r="AO91" i="27"/>
  <c r="I1127" i="66"/>
  <c r="N1128" i="16"/>
  <c r="G1128" i="16" s="1"/>
  <c r="AO365" i="25"/>
  <c r="C1456" i="66"/>
  <c r="A1457" i="66"/>
  <c r="C1457" i="66" s="1"/>
  <c r="AO1767" i="16"/>
  <c r="AE881" i="16"/>
  <c r="AF881" i="16" s="1"/>
  <c r="M881" i="16"/>
  <c r="AM881" i="16" s="1"/>
  <c r="M37" i="25"/>
  <c r="AM37" i="25" s="1"/>
  <c r="AE37" i="25"/>
  <c r="M920" i="16"/>
  <c r="AM920" i="16" s="1"/>
  <c r="AE920" i="16"/>
  <c r="AF920" i="16" s="1"/>
  <c r="G1318" i="16"/>
  <c r="M124" i="25"/>
  <c r="AM124" i="25" s="1"/>
  <c r="AE124" i="25"/>
  <c r="AC14" i="25"/>
  <c r="AO284" i="25"/>
  <c r="I1046" i="66"/>
  <c r="N1047" i="16"/>
  <c r="G382" i="16"/>
  <c r="C1524" i="66"/>
  <c r="A1525" i="66"/>
  <c r="C1525" i="66" s="1"/>
  <c r="L13" i="72"/>
  <c r="G1234" i="16"/>
  <c r="G1235" i="16" s="1"/>
  <c r="G1236" i="16" s="1"/>
  <c r="C1396" i="66"/>
  <c r="A1397" i="66"/>
  <c r="O1505" i="16"/>
  <c r="T1505" i="16"/>
  <c r="AD1505" i="16" s="1"/>
  <c r="AC1505" i="16" s="1"/>
  <c r="AE887" i="16"/>
  <c r="AF887" i="16" s="1"/>
  <c r="M887" i="16"/>
  <c r="AM887" i="16" s="1"/>
  <c r="M903" i="16"/>
  <c r="AM903" i="16" s="1"/>
  <c r="AE903" i="16"/>
  <c r="AF903" i="16" s="1"/>
  <c r="C1510" i="66"/>
  <c r="A1511" i="66"/>
  <c r="C1511" i="66" s="1"/>
  <c r="G390" i="16"/>
  <c r="G391" i="16" s="1"/>
  <c r="G392" i="16" s="1"/>
  <c r="I1128" i="66"/>
  <c r="N1129" i="16"/>
  <c r="AO366" i="25"/>
  <c r="M40" i="25"/>
  <c r="AM40" i="25" s="1"/>
  <c r="AE40" i="25"/>
  <c r="C450" i="66"/>
  <c r="A451" i="66"/>
  <c r="I1108" i="66"/>
  <c r="N1109" i="16"/>
  <c r="AO346" i="25"/>
  <c r="M118" i="25"/>
  <c r="AM118" i="25" s="1"/>
  <c r="AE118" i="25"/>
  <c r="AC786" i="16"/>
  <c r="I1121" i="66"/>
  <c r="AO359" i="25"/>
  <c r="N1122" i="16"/>
  <c r="C1615" i="66"/>
  <c r="A1616" i="66"/>
  <c r="C1616" i="66" s="1"/>
  <c r="A1370" i="66"/>
  <c r="C1370" i="66" s="1"/>
  <c r="C1369" i="66"/>
  <c r="AC897" i="16"/>
  <c r="C169" i="66"/>
  <c r="A170" i="66"/>
  <c r="C170" i="66" s="1"/>
  <c r="N1040" i="16"/>
  <c r="I1039" i="66"/>
  <c r="AO277" i="25"/>
  <c r="AE809" i="16"/>
  <c r="AF809" i="16" s="1"/>
  <c r="M809" i="16"/>
  <c r="AM809" i="16" s="1"/>
  <c r="O1570" i="16"/>
  <c r="O22" i="25"/>
  <c r="O1583" i="16"/>
  <c r="O207" i="25"/>
  <c r="AG2" i="29"/>
  <c r="M933" i="16" l="1"/>
  <c r="AM933" i="16" s="1"/>
  <c r="C786" i="66"/>
  <c r="A787" i="66"/>
  <c r="N948" i="16"/>
  <c r="G948" i="16" s="1"/>
  <c r="G949" i="16" s="1"/>
  <c r="G950" i="16" s="1"/>
  <c r="AC37" i="25"/>
  <c r="AO361" i="25"/>
  <c r="AO426" i="25"/>
  <c r="N1767" i="16"/>
  <c r="G1767" i="16" s="1"/>
  <c r="G1768" i="16" s="1"/>
  <c r="AE170" i="25"/>
  <c r="AC170" i="25" s="1"/>
  <c r="I1123" i="66"/>
  <c r="I1188" i="66"/>
  <c r="AO220" i="28"/>
  <c r="AC40" i="25"/>
  <c r="O919" i="16"/>
  <c r="E919" i="76" s="1"/>
  <c r="AC146" i="25"/>
  <c r="AC118" i="25"/>
  <c r="N1104" i="16"/>
  <c r="G1104" i="16" s="1"/>
  <c r="G1105" i="16" s="1"/>
  <c r="AO341" i="25"/>
  <c r="N1099" i="16"/>
  <c r="G1099" i="16" s="1"/>
  <c r="I947" i="66"/>
  <c r="I1098" i="66"/>
  <c r="AE192" i="25"/>
  <c r="AC192" i="25" s="1"/>
  <c r="I1126" i="66"/>
  <c r="A1125" i="66" s="1"/>
  <c r="C1125" i="66" s="1"/>
  <c r="N1035" i="16"/>
  <c r="G1035" i="16" s="1"/>
  <c r="G1036" i="16" s="1"/>
  <c r="G1037" i="16" s="1"/>
  <c r="G1038" i="16" s="1"/>
  <c r="G1039" i="16" s="1"/>
  <c r="M371" i="16"/>
  <c r="AM371" i="16" s="1"/>
  <c r="AE371" i="16"/>
  <c r="AC123" i="24"/>
  <c r="G356" i="16"/>
  <c r="G357" i="16" s="1"/>
  <c r="G358" i="16" s="1"/>
  <c r="G359" i="16" s="1"/>
  <c r="AC140" i="25"/>
  <c r="G379" i="16"/>
  <c r="G380" i="16" s="1"/>
  <c r="M1939" i="16"/>
  <c r="AE1939" i="16"/>
  <c r="AO1830" i="16"/>
  <c r="T20" i="3"/>
  <c r="AO1896" i="16"/>
  <c r="AE1899" i="16"/>
  <c r="AF1899" i="16" s="1"/>
  <c r="AC1967" i="16"/>
  <c r="M1967" i="16"/>
  <c r="AE1967" i="16"/>
  <c r="AF1967" i="16" s="1"/>
  <c r="AE1920" i="16"/>
  <c r="M1920" i="16"/>
  <c r="AM1920" i="16" s="1"/>
  <c r="AE1846" i="16"/>
  <c r="M1846" i="16"/>
  <c r="AO1941" i="16"/>
  <c r="AE1945" i="16"/>
  <c r="AE1918" i="16"/>
  <c r="AF1918" i="16" s="1"/>
  <c r="M1918" i="16"/>
  <c r="AM1918" i="16" s="1"/>
  <c r="AE1902" i="16"/>
  <c r="AF1902" i="16" s="1"/>
  <c r="M1902" i="16"/>
  <c r="AM1902" i="16" s="1"/>
  <c r="G1914" i="16"/>
  <c r="G1915" i="16" s="1"/>
  <c r="G1916" i="16" s="1"/>
  <c r="G1917" i="16" s="1"/>
  <c r="G1918" i="16" s="1"/>
  <c r="G1919" i="16" s="1"/>
  <c r="G1920" i="16" s="1"/>
  <c r="G1921" i="16" s="1"/>
  <c r="G1922" i="16" s="1"/>
  <c r="G1923" i="16" s="1"/>
  <c r="G1924" i="16" s="1"/>
  <c r="G1925" i="16" s="1"/>
  <c r="G1926" i="16" s="1"/>
  <c r="G1927" i="16" s="1"/>
  <c r="G1928" i="16" s="1"/>
  <c r="G1929" i="16" s="1"/>
  <c r="G1930" i="16" s="1"/>
  <c r="G1931" i="16" s="1"/>
  <c r="G1932" i="16" s="1"/>
  <c r="G1933" i="16" s="1"/>
  <c r="G1934" i="16" s="1"/>
  <c r="G1935" i="16" s="1"/>
  <c r="G1936" i="16" s="1"/>
  <c r="G1937" i="16" s="1"/>
  <c r="G1938" i="16" s="1"/>
  <c r="G1939" i="16" s="1"/>
  <c r="G1940" i="16" s="1"/>
  <c r="AE1835" i="16"/>
  <c r="AF1835" i="16" s="1"/>
  <c r="M1835" i="16"/>
  <c r="AM1835" i="16" s="1"/>
  <c r="AC1905" i="16"/>
  <c r="AC1835" i="16"/>
  <c r="AC1833" i="16"/>
  <c r="M1905" i="16"/>
  <c r="AM1905" i="16" s="1"/>
  <c r="AE1905" i="16"/>
  <c r="AF1905" i="16" s="1"/>
  <c r="AE1834" i="16"/>
  <c r="AF1834" i="16" s="1"/>
  <c r="M1834" i="16"/>
  <c r="AM1834" i="16" s="1"/>
  <c r="G1830" i="16"/>
  <c r="G1831" i="16" s="1"/>
  <c r="G1832" i="16" s="1"/>
  <c r="G1833" i="16" s="1"/>
  <c r="G1834" i="16" s="1"/>
  <c r="G1835" i="16" s="1"/>
  <c r="G1836" i="16" s="1"/>
  <c r="G1837" i="16" s="1"/>
  <c r="G1838" i="16" s="1"/>
  <c r="G1839" i="16" s="1"/>
  <c r="G1840" i="16" s="1"/>
  <c r="G1841" i="16" s="1"/>
  <c r="G1842" i="16" s="1"/>
  <c r="G1843" i="16" s="1"/>
  <c r="G1844" i="16" s="1"/>
  <c r="G1845" i="16" s="1"/>
  <c r="G1846" i="16" s="1"/>
  <c r="M1878" i="16"/>
  <c r="AE1878" i="16"/>
  <c r="AF1878" i="16" s="1"/>
  <c r="M1833" i="16"/>
  <c r="AM1833" i="16" s="1"/>
  <c r="AE1833" i="16"/>
  <c r="AF1833" i="16" s="1"/>
  <c r="AC1834" i="16"/>
  <c r="T234" i="28"/>
  <c r="AD234" i="28" s="1"/>
  <c r="AC234" i="28" s="1"/>
  <c r="M157" i="25"/>
  <c r="AM157" i="25" s="1"/>
  <c r="AO252" i="25"/>
  <c r="I1034" i="66"/>
  <c r="N1089" i="16"/>
  <c r="G1090" i="16" s="1"/>
  <c r="N1006" i="16"/>
  <c r="G1006" i="16" s="1"/>
  <c r="G1007" i="16" s="1"/>
  <c r="G1008" i="16" s="1"/>
  <c r="G1009" i="16" s="1"/>
  <c r="G1010" i="16" s="1"/>
  <c r="G1011" i="16" s="1"/>
  <c r="N970" i="16"/>
  <c r="G970" i="16" s="1"/>
  <c r="G971" i="16" s="1"/>
  <c r="G972" i="16" s="1"/>
  <c r="G973" i="16" s="1"/>
  <c r="G974" i="16" s="1"/>
  <c r="G975" i="16" s="1"/>
  <c r="G976" i="16" s="1"/>
  <c r="G977" i="16" s="1"/>
  <c r="G978" i="16" s="1"/>
  <c r="G979" i="16" s="1"/>
  <c r="G980" i="16" s="1"/>
  <c r="G981" i="16" s="1"/>
  <c r="G982" i="16" s="1"/>
  <c r="G983" i="16" s="1"/>
  <c r="G984" i="16" s="1"/>
  <c r="G985" i="16" s="1"/>
  <c r="AO207" i="25"/>
  <c r="I969" i="66"/>
  <c r="AO397" i="25"/>
  <c r="N1160" i="16"/>
  <c r="G1160" i="16" s="1"/>
  <c r="G1161" i="16" s="1"/>
  <c r="I1005" i="66"/>
  <c r="AC91" i="25"/>
  <c r="I1088" i="66"/>
  <c r="G220" i="16"/>
  <c r="G221" i="16" s="1"/>
  <c r="G386" i="16"/>
  <c r="G387" i="16" s="1"/>
  <c r="G388" i="16" s="1"/>
  <c r="G1439" i="16"/>
  <c r="G1040" i="16"/>
  <c r="G1041" i="16" s="1"/>
  <c r="G1122" i="16"/>
  <c r="G1123" i="16" s="1"/>
  <c r="G1109" i="16"/>
  <c r="G1110" i="16" s="1"/>
  <c r="G1111" i="16" s="1"/>
  <c r="G1112" i="16" s="1"/>
  <c r="G1113" i="16" s="1"/>
  <c r="G1114" i="16" s="1"/>
  <c r="G1115" i="16" s="1"/>
  <c r="G1116" i="16" s="1"/>
  <c r="G1568" i="16"/>
  <c r="G1569" i="16" s="1"/>
  <c r="G1124" i="16"/>
  <c r="G1125" i="16" s="1"/>
  <c r="G907" i="16"/>
  <c r="G908" i="16" s="1"/>
  <c r="G909" i="16" s="1"/>
  <c r="G910" i="16" s="1"/>
  <c r="G911" i="16" s="1"/>
  <c r="G912" i="16" s="1"/>
  <c r="G913" i="16" s="1"/>
  <c r="G914" i="16" s="1"/>
  <c r="G915" i="16" s="1"/>
  <c r="G916" i="16" s="1"/>
  <c r="G917" i="16" s="1"/>
  <c r="G1015" i="16"/>
  <c r="G1016" i="16" s="1"/>
  <c r="G1017" i="16" s="1"/>
  <c r="G1018" i="16" s="1"/>
  <c r="G1019" i="16" s="1"/>
  <c r="G1481" i="16"/>
  <c r="G1482" i="16" s="1"/>
  <c r="G1483" i="16" s="1"/>
  <c r="G1232" i="16"/>
  <c r="G1189" i="16"/>
  <c r="G1190" i="16" s="1"/>
  <c r="G1191" i="16" s="1"/>
  <c r="G1192" i="16" s="1"/>
  <c r="G1193" i="16" s="1"/>
  <c r="G1194" i="16" s="1"/>
  <c r="G1195" i="16" s="1"/>
  <c r="G1196" i="16" s="1"/>
  <c r="G1197" i="16" s="1"/>
  <c r="G1198" i="16" s="1"/>
  <c r="G1199" i="16" s="1"/>
  <c r="G1200" i="16" s="1"/>
  <c r="G1201" i="16" s="1"/>
  <c r="G1202" i="16" s="1"/>
  <c r="G1203" i="16" s="1"/>
  <c r="G1204" i="16" s="1"/>
  <c r="G1205" i="16" s="1"/>
  <c r="G1206" i="16" s="1"/>
  <c r="G1207" i="16" s="1"/>
  <c r="G1208" i="16" s="1"/>
  <c r="G1209" i="16" s="1"/>
  <c r="G1210" i="16" s="1"/>
  <c r="G1211" i="16" s="1"/>
  <c r="G123" i="16"/>
  <c r="G124" i="16" s="1"/>
  <c r="G125" i="16" s="1"/>
  <c r="G126" i="16" s="1"/>
  <c r="G127" i="16" s="1"/>
  <c r="G1129" i="16"/>
  <c r="G1130" i="16" s="1"/>
  <c r="G1047" i="16"/>
  <c r="G1048" i="16" s="1"/>
  <c r="G1049" i="16" s="1"/>
  <c r="G1050" i="16" s="1"/>
  <c r="G1051" i="16" s="1"/>
  <c r="G1052" i="16" s="1"/>
  <c r="G1106" i="16"/>
  <c r="G1107" i="16" s="1"/>
  <c r="G71" i="16"/>
  <c r="G1716" i="16"/>
  <c r="G1717" i="16" s="1"/>
  <c r="G1000" i="16"/>
  <c r="G1001" i="16" s="1"/>
  <c r="G1002" i="16" s="1"/>
  <c r="G1003" i="16" s="1"/>
  <c r="G1004" i="16" s="1"/>
  <c r="G1053" i="16"/>
  <c r="G1054" i="16" s="1"/>
  <c r="G1055" i="16" s="1"/>
  <c r="G1056" i="16" s="1"/>
  <c r="G1057" i="16" s="1"/>
  <c r="G1058" i="16" s="1"/>
  <c r="G1012" i="16"/>
  <c r="G1013" i="16" s="1"/>
  <c r="G1014" i="16" s="1"/>
  <c r="G1076" i="16"/>
  <c r="G1077" i="16" s="1"/>
  <c r="G1078" i="16" s="1"/>
  <c r="G1079" i="16" s="1"/>
  <c r="G1080" i="16" s="1"/>
  <c r="G1081" i="16" s="1"/>
  <c r="G1082" i="16" s="1"/>
  <c r="G1083" i="16" s="1"/>
  <c r="G1084" i="16" s="1"/>
  <c r="G1092" i="16"/>
  <c r="G1093" i="16" s="1"/>
  <c r="G1094" i="16" s="1"/>
  <c r="G1095" i="16" s="1"/>
  <c r="G1100" i="16"/>
  <c r="G1101" i="16" s="1"/>
  <c r="G1102" i="16" s="1"/>
  <c r="G1103" i="16" s="1"/>
  <c r="A1557" i="66"/>
  <c r="C1557" i="66" s="1"/>
  <c r="AO279" i="25"/>
  <c r="I1014" i="66"/>
  <c r="C143" i="66"/>
  <c r="A117" i="66"/>
  <c r="I1041" i="66"/>
  <c r="N785" i="16"/>
  <c r="AO22" i="25"/>
  <c r="I784" i="66"/>
  <c r="M173" i="25"/>
  <c r="AM173" i="25" s="1"/>
  <c r="N1127" i="16"/>
  <c r="G1127" i="16" s="1"/>
  <c r="AC50" i="25"/>
  <c r="C1567" i="66"/>
  <c r="M812" i="16"/>
  <c r="AM812" i="16" s="1"/>
  <c r="AO335" i="25"/>
  <c r="AO334" i="25"/>
  <c r="I1097" i="66"/>
  <c r="N1097" i="16"/>
  <c r="G1097" i="16" s="1"/>
  <c r="G1096" i="16" s="1"/>
  <c r="I1030" i="66"/>
  <c r="A1022" i="66" s="1"/>
  <c r="AO268" i="25"/>
  <c r="M53" i="25"/>
  <c r="AM53" i="25" s="1"/>
  <c r="AC49" i="25"/>
  <c r="AC173" i="25"/>
  <c r="AE46" i="25"/>
  <c r="AC46" i="25" s="1"/>
  <c r="I950" i="66"/>
  <c r="S524" i="25"/>
  <c r="T524" i="25" s="1"/>
  <c r="AD524" i="25" s="1"/>
  <c r="AC524" i="25" s="1"/>
  <c r="AC124" i="25"/>
  <c r="O156" i="25"/>
  <c r="I918" i="66" s="1"/>
  <c r="M49" i="25"/>
  <c r="AM49" i="25" s="1"/>
  <c r="M50" i="25"/>
  <c r="AM50" i="25" s="1"/>
  <c r="I1019" i="66"/>
  <c r="I1099" i="66"/>
  <c r="AO337" i="25"/>
  <c r="N1020" i="16"/>
  <c r="C950" i="66"/>
  <c r="A951" i="66"/>
  <c r="A952" i="66" s="1"/>
  <c r="AO188" i="25"/>
  <c r="N951" i="16"/>
  <c r="AG3" i="29"/>
  <c r="K18" i="72" s="1"/>
  <c r="E332" i="76"/>
  <c r="AO332" i="16"/>
  <c r="T16" i="3"/>
  <c r="AE377" i="16"/>
  <c r="AF377" i="16" s="1"/>
  <c r="M377" i="16"/>
  <c r="AM377" i="16" s="1"/>
  <c r="G1289" i="16"/>
  <c r="G1282" i="16"/>
  <c r="G1283" i="16" s="1"/>
  <c r="G1284" i="16" s="1"/>
  <c r="G1285" i="16" s="1"/>
  <c r="G1286" i="16" s="1"/>
  <c r="E356" i="76"/>
  <c r="AO356" i="16"/>
  <c r="A1281" i="66"/>
  <c r="C1280" i="66"/>
  <c r="E1189" i="76"/>
  <c r="O119" i="27"/>
  <c r="H18" i="3" s="1"/>
  <c r="M18" i="3" s="1"/>
  <c r="T1189" i="16"/>
  <c r="AD1189" i="16" s="1"/>
  <c r="AC1189" i="16" s="1"/>
  <c r="T1805" i="16"/>
  <c r="AD1805" i="16" s="1"/>
  <c r="AC1805" i="16" s="1"/>
  <c r="C1276" i="66"/>
  <c r="AE72" i="25"/>
  <c r="AC72" i="25" s="1"/>
  <c r="AO290" i="25"/>
  <c r="I1052" i="66"/>
  <c r="O307" i="25"/>
  <c r="T292" i="25"/>
  <c r="AD292" i="25" s="1"/>
  <c r="AC292" i="25" s="1"/>
  <c r="AO234" i="28"/>
  <c r="I1780" i="66"/>
  <c r="A1779" i="66" s="1"/>
  <c r="A1774" i="66" s="1"/>
  <c r="M832" i="16"/>
  <c r="AM832" i="16" s="1"/>
  <c r="E939" i="76"/>
  <c r="AO939" i="16"/>
  <c r="O303" i="25"/>
  <c r="O176" i="25"/>
  <c r="A938" i="66" s="1"/>
  <c r="I14" i="72"/>
  <c r="D25" i="17" s="1"/>
  <c r="O357" i="25"/>
  <c r="T415" i="25"/>
  <c r="AD415" i="25" s="1"/>
  <c r="AC415" i="25" s="1"/>
  <c r="S401" i="25"/>
  <c r="O399" i="25" s="1"/>
  <c r="A1161" i="66" s="1"/>
  <c r="AM297" i="25"/>
  <c r="O297" i="25"/>
  <c r="M276" i="25"/>
  <c r="AM276" i="25" s="1"/>
  <c r="M251" i="25"/>
  <c r="AM251" i="25" s="1"/>
  <c r="M258" i="25"/>
  <c r="AM258" i="25" s="1"/>
  <c r="M245" i="25"/>
  <c r="AM245" i="25" s="1"/>
  <c r="M265" i="25"/>
  <c r="AM265" i="25" s="1"/>
  <c r="M246" i="25"/>
  <c r="AM246" i="25" s="1"/>
  <c r="M268" i="25"/>
  <c r="AM268" i="25" s="1"/>
  <c r="M253" i="25"/>
  <c r="AM253" i="25" s="1"/>
  <c r="M289" i="25"/>
  <c r="AM289" i="25" s="1"/>
  <c r="M266" i="25"/>
  <c r="AM266" i="25" s="1"/>
  <c r="M267" i="25"/>
  <c r="AM267" i="25" s="1"/>
  <c r="M255" i="25"/>
  <c r="AM255" i="25" s="1"/>
  <c r="M288" i="25"/>
  <c r="AM288" i="25" s="1"/>
  <c r="M274" i="25"/>
  <c r="AM274" i="25" s="1"/>
  <c r="M287" i="25"/>
  <c r="AM287" i="25" s="1"/>
  <c r="M264" i="25"/>
  <c r="AM264" i="25" s="1"/>
  <c r="M214" i="25"/>
  <c r="AM214" i="25" s="1"/>
  <c r="M280" i="25"/>
  <c r="M275" i="25"/>
  <c r="AM275" i="25" s="1"/>
  <c r="M256" i="25"/>
  <c r="AM256" i="25" s="1"/>
  <c r="M250" i="25"/>
  <c r="AM250" i="25" s="1"/>
  <c r="M273" i="25"/>
  <c r="AM273" i="25" s="1"/>
  <c r="M279" i="25"/>
  <c r="AM279" i="25" s="1"/>
  <c r="M244" i="25"/>
  <c r="AM244" i="25" s="1"/>
  <c r="M213" i="25"/>
  <c r="AM213" i="25" s="1"/>
  <c r="M254" i="25"/>
  <c r="AM254" i="25" s="1"/>
  <c r="M212" i="25"/>
  <c r="AM212" i="25" s="1"/>
  <c r="M259" i="25"/>
  <c r="AM259" i="25" s="1"/>
  <c r="M248" i="25"/>
  <c r="AM248" i="25" s="1"/>
  <c r="AE230" i="28"/>
  <c r="M230" i="28"/>
  <c r="AM230" i="28" s="1"/>
  <c r="AM305" i="25"/>
  <c r="O305" i="25"/>
  <c r="I3" i="24"/>
  <c r="N16" i="3"/>
  <c r="P16" i="3" s="1"/>
  <c r="AI2" i="24" s="1"/>
  <c r="I2" i="24"/>
  <c r="AG2" i="24"/>
  <c r="K16" i="3"/>
  <c r="J16" i="3"/>
  <c r="M16" i="3"/>
  <c r="E24" i="18"/>
  <c r="AA15" i="3"/>
  <c r="AG1" i="16" s="1"/>
  <c r="E24" i="17"/>
  <c r="X15" i="3"/>
  <c r="AG2" i="16" s="1"/>
  <c r="A1278" i="66"/>
  <c r="C1277" i="66"/>
  <c r="I13" i="72"/>
  <c r="D24" i="17" s="1"/>
  <c r="J15" i="3"/>
  <c r="I3" i="8"/>
  <c r="L15" i="3"/>
  <c r="M15" i="3"/>
  <c r="K15" i="3"/>
  <c r="I2" i="8"/>
  <c r="AG2" i="8"/>
  <c r="AC777" i="16"/>
  <c r="AO1583" i="16"/>
  <c r="E1583" i="76"/>
  <c r="AO1570" i="16"/>
  <c r="E1570" i="76"/>
  <c r="O256" i="28"/>
  <c r="A1802" i="66" s="1"/>
  <c r="T258" i="28"/>
  <c r="AD258" i="28" s="1"/>
  <c r="A1830" i="66"/>
  <c r="C1829" i="66"/>
  <c r="AM1066" i="16"/>
  <c r="O1066" i="16"/>
  <c r="AM1120" i="16"/>
  <c r="O1120" i="16"/>
  <c r="AM1104" i="16"/>
  <c r="O1104" i="16"/>
  <c r="T1178" i="16"/>
  <c r="AD1178" i="16" s="1"/>
  <c r="AC1178" i="16" s="1"/>
  <c r="S1164" i="16"/>
  <c r="O1162" i="16" s="1"/>
  <c r="AM1060" i="16"/>
  <c r="O1060" i="16"/>
  <c r="AO1803" i="16"/>
  <c r="E1803" i="76"/>
  <c r="T1055" i="16"/>
  <c r="AD1055" i="16" s="1"/>
  <c r="AC1055" i="16" s="1"/>
  <c r="O1053" i="16"/>
  <c r="AM1068" i="16"/>
  <c r="O1068" i="16"/>
  <c r="C837" i="66"/>
  <c r="A838" i="66"/>
  <c r="C838" i="66" s="1"/>
  <c r="AM948" i="16"/>
  <c r="O948" i="16"/>
  <c r="T1781" i="16"/>
  <c r="AD1781" i="16" s="1"/>
  <c r="AC1781" i="16" s="1"/>
  <c r="O1781" i="16"/>
  <c r="AM1070" i="16"/>
  <c r="O1070" i="16"/>
  <c r="M1029" i="16"/>
  <c r="AM1029" i="16" s="1"/>
  <c r="M1027" i="16"/>
  <c r="AM1027" i="16" s="1"/>
  <c r="M1038" i="16"/>
  <c r="AM1038" i="16" s="1"/>
  <c r="M1008" i="16"/>
  <c r="AM1008" i="16" s="1"/>
  <c r="M1009" i="16"/>
  <c r="AM1009" i="16" s="1"/>
  <c r="M1019" i="16"/>
  <c r="AM1019" i="16" s="1"/>
  <c r="M1028" i="16"/>
  <c r="AM1028" i="16" s="1"/>
  <c r="M1030" i="16"/>
  <c r="AM1030" i="16" s="1"/>
  <c r="M1018" i="16"/>
  <c r="AM1018" i="16" s="1"/>
  <c r="M1031" i="16"/>
  <c r="AM1031" i="16" s="1"/>
  <c r="M1007" i="16"/>
  <c r="AM1007" i="16" s="1"/>
  <c r="M1014" i="16"/>
  <c r="AM1014" i="16" s="1"/>
  <c r="M1037" i="16"/>
  <c r="AM1037" i="16" s="1"/>
  <c r="M1010" i="16"/>
  <c r="AM1010" i="16" s="1"/>
  <c r="M1043" i="16"/>
  <c r="M1021" i="16"/>
  <c r="AM1021" i="16" s="1"/>
  <c r="M1016" i="16"/>
  <c r="AM1016" i="16" s="1"/>
  <c r="M1022" i="16"/>
  <c r="AM1022" i="16" s="1"/>
  <c r="M1039" i="16"/>
  <c r="AM1039" i="16" s="1"/>
  <c r="M975" i="16"/>
  <c r="AM975" i="16" s="1"/>
  <c r="M976" i="16"/>
  <c r="AM976" i="16" s="1"/>
  <c r="M1050" i="16"/>
  <c r="AM1050" i="16" s="1"/>
  <c r="M1042" i="16"/>
  <c r="AM1042" i="16" s="1"/>
  <c r="M1036" i="16"/>
  <c r="AM1036" i="16" s="1"/>
  <c r="M1052" i="16"/>
  <c r="AM1052" i="16" s="1"/>
  <c r="M1011" i="16"/>
  <c r="AM1011" i="16" s="1"/>
  <c r="M1017" i="16"/>
  <c r="AM1017" i="16" s="1"/>
  <c r="M977" i="16"/>
  <c r="AM977" i="16" s="1"/>
  <c r="M1051" i="16"/>
  <c r="AM1051" i="16" s="1"/>
  <c r="M1013" i="16"/>
  <c r="AM1013" i="16" s="1"/>
  <c r="R1777" i="16"/>
  <c r="T1777" i="16"/>
  <c r="AD1777" i="16" s="1"/>
  <c r="AF361" i="16"/>
  <c r="AC361" i="16"/>
  <c r="C686" i="66"/>
  <c r="A687" i="66"/>
  <c r="A211" i="66"/>
  <c r="C210" i="66"/>
  <c r="E1505" i="76"/>
  <c r="C1941" i="66"/>
  <c r="A1942" i="66"/>
  <c r="J20" i="3"/>
  <c r="M20" i="3"/>
  <c r="I18" i="72"/>
  <c r="K20" i="3"/>
  <c r="I3" i="29"/>
  <c r="L20" i="3"/>
  <c r="I2" i="29"/>
  <c r="N20" i="3"/>
  <c r="C1899" i="66"/>
  <c r="A1900" i="66"/>
  <c r="A1914" i="66"/>
  <c r="C1913" i="66"/>
  <c r="A1651" i="66"/>
  <c r="C1650" i="66"/>
  <c r="C1612" i="66"/>
  <c r="C1601" i="66"/>
  <c r="C1624" i="66"/>
  <c r="A1625" i="66"/>
  <c r="A968" i="66"/>
  <c r="C968" i="66" s="1"/>
  <c r="C967" i="66"/>
  <c r="C884" i="66"/>
  <c r="A885" i="66"/>
  <c r="C885" i="66" s="1"/>
  <c r="A958" i="66"/>
  <c r="C957" i="66"/>
  <c r="A984" i="66"/>
  <c r="C984" i="66" s="1"/>
  <c r="C983" i="66"/>
  <c r="K14" i="72"/>
  <c r="A356" i="66"/>
  <c r="C355" i="66"/>
  <c r="A761" i="66"/>
  <c r="C760" i="66"/>
  <c r="C366" i="66"/>
  <c r="A367" i="66"/>
  <c r="C367" i="66" s="1"/>
  <c r="A93" i="66"/>
  <c r="C92" i="66"/>
  <c r="AC936" i="16"/>
  <c r="A386" i="66"/>
  <c r="C386" i="66" s="1"/>
  <c r="AC887" i="16"/>
  <c r="AC812" i="16"/>
  <c r="AC819" i="16"/>
  <c r="AC800" i="16"/>
  <c r="AC803" i="16"/>
  <c r="AC835" i="16"/>
  <c r="AC933" i="16"/>
  <c r="C1466" i="66"/>
  <c r="A1467" i="66"/>
  <c r="C1467" i="66" s="1"/>
  <c r="C1046" i="66"/>
  <c r="A1047" i="66"/>
  <c r="AC809" i="16"/>
  <c r="C451" i="66"/>
  <c r="A452" i="66"/>
  <c r="AO1505" i="16"/>
  <c r="T18" i="3"/>
  <c r="C1397" i="66"/>
  <c r="A1398" i="66"/>
  <c r="AC920" i="16"/>
  <c r="G1133" i="16"/>
  <c r="G1134" i="16" s="1"/>
  <c r="G1135" i="16" s="1"/>
  <c r="G1136" i="16" s="1"/>
  <c r="G1137" i="16" s="1"/>
  <c r="G1138" i="16" s="1"/>
  <c r="G1139" i="16" s="1"/>
  <c r="G1140" i="16" s="1"/>
  <c r="G1141" i="16" s="1"/>
  <c r="G1142" i="16" s="1"/>
  <c r="G1143" i="16" s="1"/>
  <c r="G1144" i="16" s="1"/>
  <c r="G1145" i="16" s="1"/>
  <c r="G1146" i="16" s="1"/>
  <c r="G1147" i="16" s="1"/>
  <c r="G1148" i="16" s="1"/>
  <c r="G1149" i="16" s="1"/>
  <c r="G1150" i="16" s="1"/>
  <c r="G1151" i="16" s="1"/>
  <c r="G1152" i="16" s="1"/>
  <c r="G1153" i="16" s="1"/>
  <c r="G1154" i="16" s="1"/>
  <c r="G1155" i="16" s="1"/>
  <c r="G1156" i="16" s="1"/>
  <c r="G1157" i="16" s="1"/>
  <c r="G1158" i="16" s="1"/>
  <c r="G1159" i="16" s="1"/>
  <c r="R15" i="3"/>
  <c r="AG1" i="8" s="1"/>
  <c r="P15" i="3"/>
  <c r="AI2" i="8" s="1"/>
  <c r="AC813" i="16"/>
  <c r="AC854" i="16"/>
  <c r="AC881" i="16"/>
  <c r="C1108" i="66"/>
  <c r="A1109" i="66"/>
  <c r="AC119" i="27"/>
  <c r="AI3" i="27"/>
  <c r="AC15" i="3"/>
  <c r="AC903" i="16"/>
  <c r="C1715" i="66"/>
  <c r="A1716" i="66"/>
  <c r="C1716" i="66" s="1"/>
  <c r="AC955" i="16"/>
  <c r="AM955" i="16"/>
  <c r="C906" i="66"/>
  <c r="C901" i="66"/>
  <c r="A907" i="66"/>
  <c r="G1027" i="16"/>
  <c r="G1028" i="16" s="1"/>
  <c r="G1029" i="16" s="1"/>
  <c r="G1030" i="16" s="1"/>
  <c r="O1777" i="16"/>
  <c r="AG2" i="27"/>
  <c r="C787" i="66" l="1"/>
  <c r="A788" i="66"/>
  <c r="AO919" i="16"/>
  <c r="AF371" i="16"/>
  <c r="AC371" i="16"/>
  <c r="G1847" i="16"/>
  <c r="G1848" i="16"/>
  <c r="G1849" i="16" s="1"/>
  <c r="G1850" i="16" s="1"/>
  <c r="G1851" i="16" s="1"/>
  <c r="G1852" i="16" s="1"/>
  <c r="G1853" i="16" s="1"/>
  <c r="G1854" i="16" s="1"/>
  <c r="G1855" i="16" s="1"/>
  <c r="G1856" i="16" s="1"/>
  <c r="G1857" i="16" s="1"/>
  <c r="G1858" i="16" s="1"/>
  <c r="G1859" i="16" s="1"/>
  <c r="G1860" i="16" s="1"/>
  <c r="G1861" i="16" s="1"/>
  <c r="G1862" i="16" s="1"/>
  <c r="G1863" i="16" s="1"/>
  <c r="G1864" i="16" s="1"/>
  <c r="G1865" i="16" s="1"/>
  <c r="G1866" i="16" s="1"/>
  <c r="G1867" i="16" s="1"/>
  <c r="G1868" i="16" s="1"/>
  <c r="G1869" i="16" s="1"/>
  <c r="G1870" i="16" s="1"/>
  <c r="G1871" i="16" s="1"/>
  <c r="G1872" i="16" s="1"/>
  <c r="G1873" i="16" s="1"/>
  <c r="G1874" i="16" s="1"/>
  <c r="G1875" i="16" s="1"/>
  <c r="G1876" i="16" s="1"/>
  <c r="G1877" i="16" s="1"/>
  <c r="AC1899" i="16"/>
  <c r="AF1846" i="16"/>
  <c r="AC1846" i="16"/>
  <c r="AM1878" i="16"/>
  <c r="G1878" i="16"/>
  <c r="G1879" i="16" s="1"/>
  <c r="G1880" i="16" s="1"/>
  <c r="G1881" i="16" s="1"/>
  <c r="G1882" i="16" s="1"/>
  <c r="G1883" i="16" s="1"/>
  <c r="G1884" i="16" s="1"/>
  <c r="G1885" i="16" s="1"/>
  <c r="G1886" i="16" s="1"/>
  <c r="G1887" i="16" s="1"/>
  <c r="G1888" i="16" s="1"/>
  <c r="AC1878" i="16"/>
  <c r="AC1918" i="16"/>
  <c r="Y20" i="3"/>
  <c r="AC20" i="3" s="1"/>
  <c r="E29" i="17"/>
  <c r="X20" i="3"/>
  <c r="AL2" i="16" s="1"/>
  <c r="E29" i="18"/>
  <c r="AA20" i="3"/>
  <c r="AL1" i="16" s="1"/>
  <c r="AC1902" i="16"/>
  <c r="AF1920" i="16"/>
  <c r="AC1920" i="16"/>
  <c r="AF1939" i="16"/>
  <c r="AC1939" i="16"/>
  <c r="AF1945" i="16"/>
  <c r="AC1945" i="16"/>
  <c r="G1967" i="16"/>
  <c r="G1968" i="16" s="1"/>
  <c r="G1969" i="16" s="1"/>
  <c r="G1970" i="16" s="1"/>
  <c r="G1971" i="16" s="1"/>
  <c r="G1972" i="16" s="1"/>
  <c r="G1973" i="16" s="1"/>
  <c r="G1974" i="16" s="1"/>
  <c r="G1975" i="16" s="1"/>
  <c r="G1976" i="16" s="1"/>
  <c r="G1977" i="16" s="1"/>
  <c r="G1978" i="16" s="1"/>
  <c r="AM1967" i="16"/>
  <c r="G1126" i="16"/>
  <c r="A1031" i="66"/>
  <c r="A1032" i="66" s="1"/>
  <c r="A1033" i="66" s="1"/>
  <c r="C1033" i="66" s="1"/>
  <c r="G1478" i="16"/>
  <c r="G1479" i="16" s="1"/>
  <c r="G118" i="16"/>
  <c r="G119" i="16" s="1"/>
  <c r="G1023" i="16"/>
  <c r="G1024" i="16" s="1"/>
  <c r="G1025" i="16" s="1"/>
  <c r="A1085" i="66"/>
  <c r="A1084" i="66" s="1"/>
  <c r="C1084" i="66" s="1"/>
  <c r="G72" i="16"/>
  <c r="G73" i="16" s="1"/>
  <c r="G74" i="16" s="1"/>
  <c r="G75" i="16" s="1"/>
  <c r="G1032" i="16"/>
  <c r="G1033" i="16" s="1"/>
  <c r="G1034" i="16" s="1"/>
  <c r="G1223" i="16"/>
  <c r="G1224" i="16" s="1"/>
  <c r="G1225" i="16" s="1"/>
  <c r="G1222" i="16"/>
  <c r="G951" i="16"/>
  <c r="G952" i="16" s="1"/>
  <c r="G953" i="16" s="1"/>
  <c r="G1089" i="16"/>
  <c r="G1558" i="16"/>
  <c r="G1020" i="16"/>
  <c r="G1021" i="16" s="1"/>
  <c r="G1022" i="16" s="1"/>
  <c r="A1004" i="66"/>
  <c r="C1004" i="66" s="1"/>
  <c r="C356" i="66"/>
  <c r="A364" i="66"/>
  <c r="I1069" i="66"/>
  <c r="A1069" i="66"/>
  <c r="A1064" i="66" s="1"/>
  <c r="C1022" i="66"/>
  <c r="A1279" i="66"/>
  <c r="C1279" i="66" s="1"/>
  <c r="AO156" i="25"/>
  <c r="G1091" i="16"/>
  <c r="N919" i="16"/>
  <c r="C951" i="66"/>
  <c r="G1290" i="16"/>
  <c r="G1280" i="16" s="1"/>
  <c r="G1273" i="16" s="1"/>
  <c r="AC377" i="16"/>
  <c r="AA16" i="3"/>
  <c r="AH1" i="16" s="1"/>
  <c r="E25" i="17"/>
  <c r="E25" i="18"/>
  <c r="X16" i="3"/>
  <c r="AH2" i="16" s="1"/>
  <c r="Y16" i="3"/>
  <c r="AC16" i="3" s="1"/>
  <c r="A1282" i="66"/>
  <c r="C1281" i="66"/>
  <c r="AO119" i="27"/>
  <c r="I16" i="72"/>
  <c r="D27" i="17" s="1"/>
  <c r="J18" i="3"/>
  <c r="I1504" i="66"/>
  <c r="K18" i="3"/>
  <c r="N18" i="3"/>
  <c r="P18" i="3" s="1"/>
  <c r="I3" i="27"/>
  <c r="N1505" i="16"/>
  <c r="L18" i="3"/>
  <c r="I2" i="27"/>
  <c r="AG3" i="25"/>
  <c r="K15" i="72" s="1"/>
  <c r="C1779" i="66"/>
  <c r="N1070" i="16"/>
  <c r="AO307" i="25"/>
  <c r="AI3" i="25"/>
  <c r="L15" i="72" s="1"/>
  <c r="D25" i="18"/>
  <c r="I938" i="66"/>
  <c r="AO176" i="25"/>
  <c r="N939" i="16"/>
  <c r="AO303" i="25"/>
  <c r="I1065" i="66"/>
  <c r="N1066" i="16"/>
  <c r="G1066" i="16" s="1"/>
  <c r="N1120" i="16"/>
  <c r="I1119" i="66"/>
  <c r="AO357" i="25"/>
  <c r="I1067" i="66"/>
  <c r="AO305" i="25"/>
  <c r="N1068" i="16"/>
  <c r="G1068" i="16" s="1"/>
  <c r="AM280" i="25"/>
  <c r="O280" i="25"/>
  <c r="I1059" i="66"/>
  <c r="AO297" i="25"/>
  <c r="N1060" i="16"/>
  <c r="AC230" i="28"/>
  <c r="AG3" i="28"/>
  <c r="K17" i="72" s="1"/>
  <c r="I1161" i="66"/>
  <c r="AO399" i="25"/>
  <c r="N1162" i="16"/>
  <c r="C1774" i="66"/>
  <c r="A1775" i="66"/>
  <c r="C1775" i="66" s="1"/>
  <c r="R16" i="3"/>
  <c r="AG1" i="24" s="1"/>
  <c r="I1" i="24" s="1"/>
  <c r="C1278" i="66"/>
  <c r="D24" i="18"/>
  <c r="I1" i="8"/>
  <c r="AI3" i="16"/>
  <c r="E1777" i="76"/>
  <c r="AO1777" i="16"/>
  <c r="T19" i="3"/>
  <c r="N1803" i="16"/>
  <c r="H19" i="3"/>
  <c r="AO256" i="28"/>
  <c r="I1802" i="66"/>
  <c r="AO1066" i="16"/>
  <c r="E1066" i="76"/>
  <c r="AO1060" i="16"/>
  <c r="E1060" i="76"/>
  <c r="AO1120" i="16"/>
  <c r="E1120" i="76"/>
  <c r="AE1777" i="16"/>
  <c r="M1777" i="16"/>
  <c r="AM1777" i="16" s="1"/>
  <c r="AM1043" i="16"/>
  <c r="O1043" i="16"/>
  <c r="E1781" i="76"/>
  <c r="AO1781" i="16"/>
  <c r="AO1053" i="16"/>
  <c r="E1053" i="76"/>
  <c r="AO1162" i="16"/>
  <c r="E1162" i="76"/>
  <c r="AO1070" i="16"/>
  <c r="E1070" i="76"/>
  <c r="AO1068" i="16"/>
  <c r="E1068" i="76"/>
  <c r="C1830" i="66"/>
  <c r="A1831" i="66"/>
  <c r="E948" i="76"/>
  <c r="AO948" i="16"/>
  <c r="AO1104" i="16"/>
  <c r="E1104" i="76"/>
  <c r="AC258" i="28"/>
  <c r="AI3" i="28"/>
  <c r="A212" i="66"/>
  <c r="C211" i="66"/>
  <c r="C117" i="66"/>
  <c r="A118" i="66"/>
  <c r="C118" i="66" s="1"/>
  <c r="A688" i="66"/>
  <c r="C688" i="66" s="1"/>
  <c r="C687" i="66"/>
  <c r="C1914" i="66"/>
  <c r="A1915" i="66"/>
  <c r="D29" i="18"/>
  <c r="D29" i="17"/>
  <c r="A1901" i="66"/>
  <c r="C1900" i="66"/>
  <c r="R20" i="3"/>
  <c r="AG1" i="29" s="1"/>
  <c r="I1" i="29" s="1"/>
  <c r="P20" i="3"/>
  <c r="A1944" i="66"/>
  <c r="C1942" i="66"/>
  <c r="A1652" i="66"/>
  <c r="C1651" i="66"/>
  <c r="A1626" i="66"/>
  <c r="C1625" i="66"/>
  <c r="A959" i="66"/>
  <c r="A953" i="66" s="1"/>
  <c r="C958" i="66"/>
  <c r="A762" i="66"/>
  <c r="C762" i="66" s="1"/>
  <c r="C761" i="66"/>
  <c r="C93" i="66"/>
  <c r="A94" i="66"/>
  <c r="C94" i="66" s="1"/>
  <c r="A1023" i="66"/>
  <c r="A1024" i="66" s="1"/>
  <c r="C1024" i="66" s="1"/>
  <c r="C952" i="66"/>
  <c r="C452" i="66"/>
  <c r="A453" i="66"/>
  <c r="C1398" i="66"/>
  <c r="A1399" i="66"/>
  <c r="A1048" i="66"/>
  <c r="C1048" i="66" s="1"/>
  <c r="C1047" i="66"/>
  <c r="C907" i="66"/>
  <c r="A908" i="66"/>
  <c r="Y18" i="3"/>
  <c r="AC18" i="3" s="1"/>
  <c r="E27" i="17"/>
  <c r="E27" i="18"/>
  <c r="AA18" i="3"/>
  <c r="AJ1" i="16" s="1"/>
  <c r="X18" i="3"/>
  <c r="AJ2" i="16" s="1"/>
  <c r="L16" i="72"/>
  <c r="C1109" i="66"/>
  <c r="A1110" i="66"/>
  <c r="C1110" i="66" s="1"/>
  <c r="G956" i="16"/>
  <c r="AI2" i="27"/>
  <c r="AG2" i="28"/>
  <c r="AI2" i="29"/>
  <c r="C788" i="66" l="1"/>
  <c r="A789" i="66"/>
  <c r="C1031" i="66"/>
  <c r="C1032" i="66"/>
  <c r="G1803" i="16"/>
  <c r="G1804" i="16" s="1"/>
  <c r="G1805" i="16" s="1"/>
  <c r="G1806" i="16" s="1"/>
  <c r="G1807" i="16" s="1"/>
  <c r="G939" i="16"/>
  <c r="G940" i="16" s="1"/>
  <c r="G941" i="16" s="1"/>
  <c r="G942" i="16" s="1"/>
  <c r="G943" i="16" s="1"/>
  <c r="G944" i="16" s="1"/>
  <c r="G945" i="16" s="1"/>
  <c r="C1085" i="66"/>
  <c r="C1069" i="66"/>
  <c r="G1005" i="16"/>
  <c r="G957" i="16"/>
  <c r="G958" i="16" s="1"/>
  <c r="G959" i="16" s="1"/>
  <c r="G960" i="16" s="1"/>
  <c r="G961" i="16" s="1"/>
  <c r="G962" i="16" s="1"/>
  <c r="G963" i="16" s="1"/>
  <c r="G964" i="16" s="1"/>
  <c r="G965" i="16" s="1"/>
  <c r="G966" i="16" s="1"/>
  <c r="G967" i="16" s="1"/>
  <c r="G968" i="16" s="1"/>
  <c r="G969" i="16" s="1"/>
  <c r="G1060" i="16"/>
  <c r="G1061" i="16" s="1"/>
  <c r="G1062" i="16" s="1"/>
  <c r="G1505" i="16"/>
  <c r="G1499" i="16" s="1"/>
  <c r="G1500" i="16" s="1"/>
  <c r="G1501" i="16" s="1"/>
  <c r="G1120" i="16"/>
  <c r="G1121" i="16" s="1"/>
  <c r="G1162" i="16"/>
  <c r="G1088" i="16"/>
  <c r="G1086" i="16"/>
  <c r="G1087" i="16" s="1"/>
  <c r="G1085" i="16"/>
  <c r="G1070" i="16"/>
  <c r="G1071" i="16" s="1"/>
  <c r="G1072" i="16" s="1"/>
  <c r="G1073" i="16" s="1"/>
  <c r="G1074" i="16" s="1"/>
  <c r="G66" i="16"/>
  <c r="G67" i="16" s="1"/>
  <c r="C364" i="66"/>
  <c r="C212" i="66"/>
  <c r="A188" i="66"/>
  <c r="A1117" i="66"/>
  <c r="C1117" i="66" s="1"/>
  <c r="A985" i="66"/>
  <c r="C985" i="66" s="1"/>
  <c r="C1282" i="66"/>
  <c r="A1272" i="66"/>
  <c r="C1272" i="66" s="1"/>
  <c r="R18" i="3"/>
  <c r="AG1" i="27" s="1"/>
  <c r="I1" i="27" s="1"/>
  <c r="D27" i="18"/>
  <c r="C1064" i="66"/>
  <c r="C938" i="66"/>
  <c r="A939" i="66"/>
  <c r="N1043" i="16"/>
  <c r="I1042" i="66"/>
  <c r="AO280" i="25"/>
  <c r="H17" i="3"/>
  <c r="C1161" i="66"/>
  <c r="A1162" i="66"/>
  <c r="A1130" i="66" s="1"/>
  <c r="L17" i="72"/>
  <c r="N19" i="3"/>
  <c r="I2" i="28"/>
  <c r="K19" i="3"/>
  <c r="L19" i="3"/>
  <c r="J19" i="3"/>
  <c r="I3" i="28"/>
  <c r="M19" i="3"/>
  <c r="I17" i="72"/>
  <c r="AO1043" i="16"/>
  <c r="E1043" i="76"/>
  <c r="T17" i="3"/>
  <c r="A1803" i="66"/>
  <c r="C1803" i="66" s="1"/>
  <c r="C1802" i="66"/>
  <c r="AA19" i="3"/>
  <c r="AK1" i="16" s="1"/>
  <c r="E28" i="17"/>
  <c r="X19" i="3"/>
  <c r="AK2" i="16" s="1"/>
  <c r="Y19" i="3"/>
  <c r="AC19" i="3" s="1"/>
  <c r="E28" i="18"/>
  <c r="AF1777" i="16"/>
  <c r="AG3" i="16"/>
  <c r="C1831" i="66"/>
  <c r="A1832" i="66"/>
  <c r="AC1777" i="16"/>
  <c r="C188" i="66"/>
  <c r="A189" i="66"/>
  <c r="A1902" i="66"/>
  <c r="C1901" i="66"/>
  <c r="A1917" i="66"/>
  <c r="C1915" i="66"/>
  <c r="A1945" i="66"/>
  <c r="C1945" i="66" s="1"/>
  <c r="C1944" i="66"/>
  <c r="C1626" i="66"/>
  <c r="A1627" i="66"/>
  <c r="A1653" i="66"/>
  <c r="C1652" i="66"/>
  <c r="C959" i="66"/>
  <c r="C1023" i="66"/>
  <c r="C908" i="66"/>
  <c r="A909" i="66"/>
  <c r="C1399" i="66"/>
  <c r="A1400" i="66"/>
  <c r="C1400" i="66" s="1"/>
  <c r="C453" i="66"/>
  <c r="A454" i="66"/>
  <c r="A348" i="66" s="1"/>
  <c r="AG2" i="25"/>
  <c r="A790" i="66" l="1"/>
  <c r="C789" i="66"/>
  <c r="G954" i="16"/>
  <c r="G938" i="16" s="1"/>
  <c r="G1043" i="16"/>
  <c r="G1044" i="16" s="1"/>
  <c r="G1045" i="16" s="1"/>
  <c r="G1046" i="16" s="1"/>
  <c r="G1506" i="16"/>
  <c r="G1507" i="16" s="1"/>
  <c r="G1508" i="16" s="1"/>
  <c r="G1065" i="16"/>
  <c r="G1163" i="16"/>
  <c r="G1164" i="16" s="1"/>
  <c r="G1165" i="16" s="1"/>
  <c r="G1166" i="16" s="1"/>
  <c r="G1167" i="16" s="1"/>
  <c r="G1168" i="16" s="1"/>
  <c r="G1169" i="16" s="1"/>
  <c r="G1170" i="16" s="1"/>
  <c r="G1171" i="16" s="1"/>
  <c r="G1172" i="16" s="1"/>
  <c r="G1173" i="16" s="1"/>
  <c r="G1174" i="16" s="1"/>
  <c r="G1175" i="16" s="1"/>
  <c r="G1176" i="16" s="1"/>
  <c r="G1177" i="16" s="1"/>
  <c r="G1178" i="16" s="1"/>
  <c r="G1179" i="16" s="1"/>
  <c r="G1180" i="16" s="1"/>
  <c r="G1181" i="16" s="1"/>
  <c r="G1182" i="16" s="1"/>
  <c r="G1183" i="16" s="1"/>
  <c r="G1184" i="16" s="1"/>
  <c r="G1185" i="16" s="1"/>
  <c r="G1186" i="16" s="1"/>
  <c r="G1187" i="16" s="1"/>
  <c r="G1188" i="16" s="1"/>
  <c r="G1118" i="16"/>
  <c r="G1119" i="16" s="1"/>
  <c r="G1117" i="16"/>
  <c r="A1118" i="66"/>
  <c r="C1118" i="66" s="1"/>
  <c r="A940" i="66"/>
  <c r="C939" i="66"/>
  <c r="I3" i="25"/>
  <c r="J17" i="3"/>
  <c r="J21" i="3" s="1"/>
  <c r="D23" i="72" s="1"/>
  <c r="I2" i="25"/>
  <c r="L17" i="3"/>
  <c r="L21" i="3" s="1"/>
  <c r="K17" i="3"/>
  <c r="K21" i="3" s="1"/>
  <c r="E23" i="72" s="1"/>
  <c r="N17" i="3"/>
  <c r="I15" i="72"/>
  <c r="I21" i="72" s="1"/>
  <c r="D32" i="17" s="1"/>
  <c r="M17" i="3"/>
  <c r="M21" i="3" s="1"/>
  <c r="G23" i="72" s="1"/>
  <c r="C1162" i="66"/>
  <c r="C1130" i="66"/>
  <c r="A1833" i="66"/>
  <c r="C1832" i="66"/>
  <c r="D28" i="17"/>
  <c r="D28" i="18"/>
  <c r="E26" i="18"/>
  <c r="E32" i="18" s="1"/>
  <c r="X17" i="3"/>
  <c r="AI2" i="16" s="1"/>
  <c r="I4" i="16" s="1"/>
  <c r="E26" i="17"/>
  <c r="E32" i="17" s="1"/>
  <c r="Y17" i="3"/>
  <c r="V17" i="3" s="1"/>
  <c r="AA17" i="3"/>
  <c r="AI1" i="16" s="1"/>
  <c r="I3" i="16" s="1"/>
  <c r="P19" i="3"/>
  <c r="R19" i="3"/>
  <c r="AG1" i="28" s="1"/>
  <c r="I1" i="28" s="1"/>
  <c r="A190" i="66"/>
  <c r="C190" i="66" s="1"/>
  <c r="C189" i="66"/>
  <c r="A1918" i="66"/>
  <c r="C1917" i="66"/>
  <c r="A1903" i="66"/>
  <c r="C1902" i="66"/>
  <c r="C1653" i="66"/>
  <c r="A1654" i="66"/>
  <c r="A1628" i="66"/>
  <c r="C1627" i="66"/>
  <c r="C953" i="66"/>
  <c r="C909" i="66"/>
  <c r="A910" i="66"/>
  <c r="C454" i="66"/>
  <c r="C348" i="66"/>
  <c r="AI2" i="28"/>
  <c r="C790" i="66" l="1"/>
  <c r="A791" i="66"/>
  <c r="C791" i="66" s="1"/>
  <c r="G1487" i="16"/>
  <c r="G1131" i="16"/>
  <c r="A1116" i="66"/>
  <c r="C1116" i="66" s="1"/>
  <c r="A941" i="66"/>
  <c r="C940" i="66"/>
  <c r="F23" i="72"/>
  <c r="N21" i="3"/>
  <c r="R21" i="3" s="1"/>
  <c r="R17" i="3"/>
  <c r="AG1" i="25" s="1"/>
  <c r="I1" i="25" s="1"/>
  <c r="P17" i="3"/>
  <c r="D26" i="17"/>
  <c r="D26" i="18"/>
  <c r="D32" i="18"/>
  <c r="A1834" i="66"/>
  <c r="C1833" i="66"/>
  <c r="AC17" i="3"/>
  <c r="V15" i="3"/>
  <c r="V16" i="3"/>
  <c r="V19" i="3"/>
  <c r="V20" i="3"/>
  <c r="V18" i="3"/>
  <c r="C1903" i="66"/>
  <c r="A1904" i="66"/>
  <c r="A1919" i="66"/>
  <c r="C1918" i="66"/>
  <c r="C1628" i="66"/>
  <c r="A1629" i="66"/>
  <c r="C1654" i="66"/>
  <c r="A1655" i="66"/>
  <c r="C910" i="66"/>
  <c r="A911" i="66"/>
  <c r="AI2" i="25"/>
  <c r="A942" i="66" l="1"/>
  <c r="C941" i="66"/>
  <c r="N22" i="3"/>
  <c r="R22" i="3" s="1"/>
  <c r="D25" i="72" s="1"/>
  <c r="V21" i="3"/>
  <c r="Y21" i="3" s="1"/>
  <c r="C1834" i="66"/>
  <c r="A1835" i="66"/>
  <c r="A1920" i="66"/>
  <c r="C1919" i="66"/>
  <c r="A1905" i="66"/>
  <c r="C1905" i="66" s="1"/>
  <c r="C1904" i="66"/>
  <c r="A1630" i="66"/>
  <c r="C1629" i="66"/>
  <c r="C1655" i="66"/>
  <c r="A1656" i="66"/>
  <c r="A915" i="66"/>
  <c r="C911" i="66"/>
  <c r="A943" i="66" l="1"/>
  <c r="A937" i="66" s="1"/>
  <c r="C942" i="66"/>
  <c r="G8" i="17"/>
  <c r="C1835" i="66"/>
  <c r="A1836" i="66"/>
  <c r="AC21" i="3"/>
  <c r="Y22" i="3"/>
  <c r="AC22" i="3" s="1"/>
  <c r="A1921" i="66"/>
  <c r="C1921" i="66" s="1"/>
  <c r="C1920" i="66"/>
  <c r="C1656" i="66"/>
  <c r="A1657" i="66"/>
  <c r="A1631" i="66"/>
  <c r="C1630" i="66"/>
  <c r="C915" i="66"/>
  <c r="A916" i="66"/>
  <c r="C916" i="66" s="1"/>
  <c r="C943" i="66" l="1"/>
  <c r="C937" i="66"/>
  <c r="C1836" i="66"/>
  <c r="A1837" i="66"/>
  <c r="C1837" i="66" s="1"/>
  <c r="AM2" i="16"/>
  <c r="I2" i="16" s="1"/>
  <c r="G8" i="18"/>
  <c r="C1631" i="66"/>
  <c r="A1632" i="66"/>
  <c r="C1632" i="66" s="1"/>
  <c r="C1657" i="66"/>
  <c r="A1658" i="66"/>
  <c r="C1658" i="66" l="1"/>
  <c r="A1659" i="66"/>
  <c r="C1659" i="66" s="1"/>
</calcChain>
</file>

<file path=xl/sharedStrings.xml><?xml version="1.0" encoding="utf-8"?>
<sst xmlns="http://schemas.openxmlformats.org/spreadsheetml/2006/main" count="38753" uniqueCount="4820">
  <si>
    <t>error</t>
  </si>
  <si>
    <t>Notes</t>
  </si>
  <si>
    <t>State</t>
  </si>
  <si>
    <t>StateA</t>
  </si>
  <si>
    <t>County</t>
  </si>
  <si>
    <t>Radon</t>
  </si>
  <si>
    <t>Climate</t>
  </si>
  <si>
    <t>Moist</t>
  </si>
  <si>
    <t>WarmHumid</t>
  </si>
  <si>
    <t>Alaska</t>
  </si>
  <si>
    <t>AK</t>
  </si>
  <si>
    <t xml:space="preserve"> </t>
  </si>
  <si>
    <t>Alabama</t>
  </si>
  <si>
    <t>Arkansas</t>
  </si>
  <si>
    <t>Arizona</t>
  </si>
  <si>
    <t>California</t>
  </si>
  <si>
    <t>Colorado</t>
  </si>
  <si>
    <t>Connecticut</t>
  </si>
  <si>
    <t>District of Columbia</t>
  </si>
  <si>
    <t>Delaware</t>
  </si>
  <si>
    <t>Florida</t>
  </si>
  <si>
    <t>Georgia</t>
  </si>
  <si>
    <t>Hawaii</t>
  </si>
  <si>
    <t>Iowa</t>
  </si>
  <si>
    <t>Idaho</t>
  </si>
  <si>
    <t>Illinois</t>
  </si>
  <si>
    <t>Indiana</t>
  </si>
  <si>
    <t>Kansas</t>
  </si>
  <si>
    <t>Kentucky</t>
  </si>
  <si>
    <t>Louisiana</t>
  </si>
  <si>
    <t>Massachusetts</t>
  </si>
  <si>
    <t>Maryland</t>
  </si>
  <si>
    <t>Maine</t>
  </si>
  <si>
    <t>Michigan</t>
  </si>
  <si>
    <t>Minnesota</t>
  </si>
  <si>
    <t>Missouri</t>
  </si>
  <si>
    <t>Mississippi</t>
  </si>
  <si>
    <t>Montana</t>
  </si>
  <si>
    <t>North Carolina</t>
  </si>
  <si>
    <t>North Dakota</t>
  </si>
  <si>
    <t>CO</t>
  </si>
  <si>
    <t>Nebraska</t>
  </si>
  <si>
    <t>New Hampshire</t>
  </si>
  <si>
    <t>New Jersey</t>
  </si>
  <si>
    <t>New Mexico</t>
  </si>
  <si>
    <t>Nevada</t>
  </si>
  <si>
    <t>New York</t>
  </si>
  <si>
    <t>Ohio</t>
  </si>
  <si>
    <t>Oklahoma</t>
  </si>
  <si>
    <t>Oregon</t>
  </si>
  <si>
    <t>Pennsylvania</t>
  </si>
  <si>
    <t>Rhode Island</t>
  </si>
  <si>
    <t>South Carolina</t>
  </si>
  <si>
    <t>South Dakota</t>
  </si>
  <si>
    <t>ME</t>
  </si>
  <si>
    <t>Tennessee</t>
  </si>
  <si>
    <t>MI</t>
  </si>
  <si>
    <t>Texas</t>
  </si>
  <si>
    <t>Utah</t>
  </si>
  <si>
    <t>Virginia</t>
  </si>
  <si>
    <t>Vermont</t>
  </si>
  <si>
    <t>Washington</t>
  </si>
  <si>
    <t>Wisconsin</t>
  </si>
  <si>
    <t>West Virginia</t>
  </si>
  <si>
    <t>Wyoming</t>
  </si>
  <si>
    <t>American Samoa</t>
  </si>
  <si>
    <t>Guam</t>
  </si>
  <si>
    <t>MN</t>
  </si>
  <si>
    <t>Northern Mariana Islands</t>
  </si>
  <si>
    <t>Puerto Rico</t>
  </si>
  <si>
    <t>Virgin Islands</t>
  </si>
  <si>
    <t>ND</t>
  </si>
  <si>
    <t>WI</t>
  </si>
  <si>
    <t>WY</t>
  </si>
  <si>
    <t>CA</t>
  </si>
  <si>
    <t>Dry</t>
  </si>
  <si>
    <t>ID</t>
  </si>
  <si>
    <t>IA</t>
  </si>
  <si>
    <t>MT</t>
  </si>
  <si>
    <t>NH</t>
  </si>
  <si>
    <t>NY</t>
  </si>
  <si>
    <t>PA</t>
  </si>
  <si>
    <t>SD</t>
  </si>
  <si>
    <t>UT</t>
  </si>
  <si>
    <t>VT</t>
  </si>
  <si>
    <t>WA</t>
  </si>
  <si>
    <t>AZ</t>
  </si>
  <si>
    <t>CT</t>
  </si>
  <si>
    <t>IL</t>
  </si>
  <si>
    <t>IN</t>
  </si>
  <si>
    <t>Page</t>
  </si>
  <si>
    <t>KS</t>
  </si>
  <si>
    <t>MD</t>
  </si>
  <si>
    <t>MA</t>
  </si>
  <si>
    <t>MO</t>
  </si>
  <si>
    <t>NE</t>
  </si>
  <si>
    <t>NV</t>
  </si>
  <si>
    <t>NJ</t>
  </si>
  <si>
    <t>NM</t>
  </si>
  <si>
    <t>NC</t>
  </si>
  <si>
    <t>OH</t>
  </si>
  <si>
    <t>OR</t>
  </si>
  <si>
    <t>RI</t>
  </si>
  <si>
    <t>WV</t>
  </si>
  <si>
    <t>AR</t>
  </si>
  <si>
    <t>Marine</t>
  </si>
  <si>
    <t>DE</t>
  </si>
  <si>
    <t>DC</t>
  </si>
  <si>
    <t>GA</t>
  </si>
  <si>
    <t>KY</t>
  </si>
  <si>
    <t>OK</t>
  </si>
  <si>
    <t>TN</t>
  </si>
  <si>
    <t>TX</t>
  </si>
  <si>
    <t>VA</t>
  </si>
  <si>
    <t>AL</t>
  </si>
  <si>
    <t>Warm-Humid</t>
  </si>
  <si>
    <t>LA</t>
  </si>
  <si>
    <t>MS</t>
  </si>
  <si>
    <t>SC</t>
  </si>
  <si>
    <t>FL</t>
  </si>
  <si>
    <t>HI</t>
  </si>
  <si>
    <t>(a)</t>
  </si>
  <si>
    <t>(b)</t>
  </si>
  <si>
    <t>(c)</t>
  </si>
  <si>
    <t>Builder Name:</t>
  </si>
  <si>
    <t>Physical Address of Home:</t>
  </si>
  <si>
    <t>City:</t>
  </si>
  <si>
    <t>County:</t>
  </si>
  <si>
    <t>State:</t>
  </si>
  <si>
    <t>Zip:</t>
  </si>
  <si>
    <t>Community/Lot #:</t>
  </si>
  <si>
    <t>Above grade plane finished floor area:</t>
  </si>
  <si>
    <t>Total conditioned floor area:</t>
  </si>
  <si>
    <t xml:space="preserve">Project Description (optional): </t>
  </si>
  <si>
    <t>HERS Index (if available):</t>
  </si>
  <si>
    <t>Foundation Type:</t>
  </si>
  <si>
    <t>Heating Fuel:</t>
  </si>
  <si>
    <t>Renewable Energy:</t>
  </si>
  <si>
    <t>Thermal Envelope Insulation:</t>
  </si>
  <si>
    <t>Attic Type:</t>
  </si>
  <si>
    <t>Attached Garage:</t>
  </si>
  <si>
    <t>Recessed Lighting:</t>
  </si>
  <si>
    <t>Special Design Features:</t>
  </si>
  <si>
    <t>Passive Solar:</t>
  </si>
  <si>
    <t>Mass Walls:</t>
  </si>
  <si>
    <t>Ductless:</t>
  </si>
  <si>
    <t>Radiant/Hydronic:</t>
  </si>
  <si>
    <t>Local Energy Code:</t>
  </si>
  <si>
    <t>Local Building Code:</t>
  </si>
  <si>
    <t>s.f./unit</t>
  </si>
  <si>
    <t>s.f.</t>
  </si>
  <si>
    <t>dstBuilderName</t>
  </si>
  <si>
    <t>dstHomeAddress</t>
  </si>
  <si>
    <t>dstLot</t>
  </si>
  <si>
    <t>dstCity</t>
  </si>
  <si>
    <t>dstState</t>
  </si>
  <si>
    <t>dstCounty</t>
  </si>
  <si>
    <t>dstZIP</t>
  </si>
  <si>
    <t>dstSingleOrMulti</t>
  </si>
  <si>
    <t>Number of Units:</t>
  </si>
  <si>
    <t>Project Name:</t>
  </si>
  <si>
    <t>dstUnits</t>
  </si>
  <si>
    <t>dstProjectName</t>
  </si>
  <si>
    <t>dstAGFloorArea</t>
  </si>
  <si>
    <t>dstTCFloorArea</t>
  </si>
  <si>
    <t>dstProjectDesc</t>
  </si>
  <si>
    <t>dstHERS</t>
  </si>
  <si>
    <t>dstFoundation</t>
  </si>
  <si>
    <t>dstFuel</t>
  </si>
  <si>
    <t>dstRenewable</t>
  </si>
  <si>
    <t>dstTEInsulation</t>
  </si>
  <si>
    <t>dstAttic</t>
  </si>
  <si>
    <t>dstAttachedGarage</t>
  </si>
  <si>
    <t>dstRecessedLighting</t>
  </si>
  <si>
    <t>dstPassiveSolar</t>
  </si>
  <si>
    <t>dstMassWalls</t>
  </si>
  <si>
    <t>dstRadiantHydronic</t>
  </si>
  <si>
    <t>dstDuctless</t>
  </si>
  <si>
    <t>dstEnergyCode</t>
  </si>
  <si>
    <t>dstBuildingCode</t>
  </si>
  <si>
    <t>ddState</t>
  </si>
  <si>
    <t>ddCounty</t>
  </si>
  <si>
    <t>ddSingleOrMulti</t>
  </si>
  <si>
    <t>ddFoundation</t>
  </si>
  <si>
    <t>ddFuel</t>
  </si>
  <si>
    <t>ddRenewable</t>
  </si>
  <si>
    <t>ddTEInsulation</t>
  </si>
  <si>
    <t>ddAttic</t>
  </si>
  <si>
    <t>ddAttachedGarage</t>
  </si>
  <si>
    <t>ddRecessedLighting</t>
  </si>
  <si>
    <t>ddPassiveSolar</t>
  </si>
  <si>
    <t>ddMassWalls</t>
  </si>
  <si>
    <t>ddDuctless</t>
  </si>
  <si>
    <t>ddRadiantHydronic</t>
  </si>
  <si>
    <t>ddEnergyCode</t>
  </si>
  <si>
    <t>ddBuildingCode</t>
  </si>
  <si>
    <t>Start Here!</t>
  </si>
  <si>
    <t>Single-Family</t>
  </si>
  <si>
    <t>Basement</t>
  </si>
  <si>
    <t>Vented crawlspace</t>
  </si>
  <si>
    <t>Conditioned crawlspace</t>
  </si>
  <si>
    <t>Slab on grade</t>
  </si>
  <si>
    <t>Basement &amp; vented crawlspace</t>
  </si>
  <si>
    <t>Basement &amp; slab on grade</t>
  </si>
  <si>
    <t>Slab + crawlspace</t>
  </si>
  <si>
    <t>Other</t>
  </si>
  <si>
    <t>Furnace</t>
  </si>
  <si>
    <t>Boiler</t>
  </si>
  <si>
    <t>Heat Pump</t>
  </si>
  <si>
    <t>Electric Resistance</t>
  </si>
  <si>
    <t>Ground Source Heat Pump</t>
  </si>
  <si>
    <t>Gas</t>
  </si>
  <si>
    <t>Propane</t>
  </si>
  <si>
    <t>Oil</t>
  </si>
  <si>
    <t>Electricity</t>
  </si>
  <si>
    <t>Wood/Biomass</t>
  </si>
  <si>
    <t>None</t>
  </si>
  <si>
    <t>Photovoltaic</t>
  </si>
  <si>
    <t>Solar Hot Water</t>
  </si>
  <si>
    <t>Solar Heating</t>
  </si>
  <si>
    <t>Wind</t>
  </si>
  <si>
    <t>Fiberglass</t>
  </si>
  <si>
    <t>Cellulose</t>
  </si>
  <si>
    <t>Rigid Foam</t>
  </si>
  <si>
    <t>Spray Foam</t>
  </si>
  <si>
    <t>Fiberglass &amp; Rigid Foam</t>
  </si>
  <si>
    <t>Cellulose &amp; Rigid Foam</t>
  </si>
  <si>
    <t>SIP</t>
  </si>
  <si>
    <t>Spray &amp; Rigid Foam</t>
  </si>
  <si>
    <t>Vented</t>
  </si>
  <si>
    <t>Sealed</t>
  </si>
  <si>
    <t>Yes</t>
  </si>
  <si>
    <t>No</t>
  </si>
  <si>
    <t>2003 IECC</t>
  </si>
  <si>
    <t>2006 IECC</t>
  </si>
  <si>
    <t>2009 IECC</t>
  </si>
  <si>
    <t>2012 IECC</t>
  </si>
  <si>
    <t>2003 IRC</t>
  </si>
  <si>
    <t>2006 IRC</t>
  </si>
  <si>
    <t>2009 IRC</t>
  </si>
  <si>
    <t>2012 IRC</t>
  </si>
  <si>
    <t>2003 IBC</t>
  </si>
  <si>
    <t>2006 IBC</t>
  </si>
  <si>
    <t>2009 IBC</t>
  </si>
  <si>
    <t>2012 IBC</t>
  </si>
  <si>
    <t>Name</t>
  </si>
  <si>
    <t>dropdown names</t>
  </si>
  <si>
    <t>range names</t>
  </si>
  <si>
    <t>Tankless Water Heater:</t>
  </si>
  <si>
    <t>Composting Toilet:</t>
  </si>
  <si>
    <t>dstTLWH</t>
  </si>
  <si>
    <t>dstCToilet</t>
  </si>
  <si>
    <t>ddTLWH</t>
  </si>
  <si>
    <t>ddCToilet</t>
  </si>
  <si>
    <t>Version</t>
  </si>
  <si>
    <t>Instructions</t>
  </si>
  <si>
    <t>Key</t>
  </si>
  <si>
    <t>Introduction</t>
  </si>
  <si>
    <t>Go to http://www.homeinnovation.com/greenscoring to download the latest version of the NGBS Scoring for New Construction spreadsheet.</t>
  </si>
  <si>
    <t>Revision Date:</t>
  </si>
  <si>
    <t>X</t>
  </si>
  <si>
    <t>Practice #</t>
  </si>
  <si>
    <t>Points Available</t>
  </si>
  <si>
    <t>mand</t>
  </si>
  <si>
    <t>avail</t>
  </si>
  <si>
    <t>Status</t>
  </si>
  <si>
    <t>Points Claimed</t>
  </si>
  <si>
    <t>500.0</t>
  </si>
  <si>
    <r>
      <t>500.0 Intent</t>
    </r>
    <r>
      <rPr>
        <sz val="10"/>
        <color theme="1"/>
        <rFont val="Calibri"/>
        <family val="2"/>
        <scheme val="minor"/>
      </rPr>
      <t xml:space="preserve">. This section applies to lot development for the eventual construction of residential buildings, multifamily buildings, or additions thereto that contain dwelling units. </t>
    </r>
  </si>
  <si>
    <t>501.1</t>
  </si>
  <si>
    <r>
      <t xml:space="preserve">501.1 Lot. </t>
    </r>
    <r>
      <rPr>
        <sz val="10"/>
        <color theme="1"/>
        <rFont val="Calibri"/>
        <family val="2"/>
      </rPr>
      <t xml:space="preserve"> A lot is selected within a site certified to this Standard or equivalent,
Or the lot is selected to minimize environmental impact by one or more of the following:</t>
    </r>
  </si>
  <si>
    <t>(1)</t>
  </si>
  <si>
    <t>An infill lot is selected.</t>
  </si>
  <si>
    <t>(2)</t>
  </si>
  <si>
    <t>A lot is selected that is a greyfield.</t>
  </si>
  <si>
    <t>(3)</t>
  </si>
  <si>
    <t>An EPA-recognized brownfield lot is selected.</t>
  </si>
  <si>
    <t>15</t>
  </si>
  <si>
    <t>TorF</t>
  </si>
  <si>
    <t>Certified Site:</t>
  </si>
  <si>
    <t>501.2</t>
  </si>
  <si>
    <r>
      <t>501.2 Multi-modal transportation.</t>
    </r>
    <r>
      <rPr>
        <sz val="10"/>
        <color theme="1"/>
        <rFont val="Calibri"/>
        <family val="2"/>
        <scheme val="minor"/>
      </rPr>
      <t xml:space="preserve"> A range of multi-modal transportation choices are promoted by one or more of the following:</t>
    </r>
  </si>
  <si>
    <t>A lot is selected within one-half mile (805 m) of pedestrian access to a mass transit system</t>
  </si>
  <si>
    <t>A lot is selected within five miles (8,046 m) of a mass transit station with provisions for parking.</t>
  </si>
  <si>
    <t>Walkways, street crossings, and entrances designed to promote pedestrian activity are provided. New buildings are connected to existing sidewalks and areas of development.</t>
  </si>
  <si>
    <t>(4)</t>
  </si>
  <si>
    <t>A lot is selected within one-half mile (805 m) of six or more community resources  No more than two each of the following use category can be counted toward the total: Recreation, Retail, Civic, and Services. Examples of resources in each category include, but are not limited to the following:</t>
  </si>
  <si>
    <t>Recreation: recreational facilities (such as pools, tennis courts, basketball courts), parks.</t>
  </si>
  <si>
    <t>Retail: grocery store, restaurant, retail store.</t>
  </si>
  <si>
    <t>Civic:  post office, place of worship, community center.</t>
  </si>
  <si>
    <t>Services: bank, daycare center, school, medical/dental office, laundromat/dry cleaners.</t>
  </si>
  <si>
    <t>(5)</t>
  </si>
  <si>
    <t>Bicycle use is promoted by building on a lot located within a community that has rights-of-way specifically dedicated to bicycle use in the form of paved paths or bicycle lanes, or on an infill lot located within 1/2 mile of a bicycle lane designated by the jurisdiction.</t>
  </si>
  <si>
    <t>(6)</t>
  </si>
  <si>
    <t>Dedicated bicycle parking and racks are indicated on the site plan and constructed for mixed-use and multifamily buildings:</t>
  </si>
  <si>
    <t>Minimum of 1 bicycle parking space per 3 residential units</t>
  </si>
  <si>
    <t>Minimum of 1 bicycle parking space per 2 residential units</t>
  </si>
  <si>
    <t>Minimum of 1 bicycle parking space per 1 residential unit.</t>
  </si>
  <si>
    <t>6</t>
  </si>
  <si>
    <t>3</t>
  </si>
  <si>
    <t>5</t>
  </si>
  <si>
    <t>4</t>
  </si>
  <si>
    <t>2</t>
  </si>
  <si>
    <t>Ch.5</t>
  </si>
  <si>
    <t>NOTE: List the 6 community resources in the Notes field.</t>
  </si>
  <si>
    <t>startError</t>
  </si>
  <si>
    <t>Ch5MandError</t>
  </si>
  <si>
    <t>Ch5Error</t>
  </si>
  <si>
    <t>Ch5Points</t>
  </si>
  <si>
    <t>Ch5Level</t>
  </si>
  <si>
    <t>Emerald</t>
  </si>
  <si>
    <t>Ch5NLev</t>
  </si>
  <si>
    <t>Bronze</t>
  </si>
  <si>
    <t>Silver</t>
  </si>
  <si>
    <t>Gold</t>
  </si>
  <si>
    <t>threshholds</t>
  </si>
  <si>
    <t>earned</t>
  </si>
  <si>
    <t>extra</t>
  </si>
  <si>
    <t>level</t>
  </si>
  <si>
    <t>ptstonext</t>
  </si>
  <si>
    <t>Ch 5</t>
  </si>
  <si>
    <t>Ch 6</t>
  </si>
  <si>
    <t>Ch 7</t>
  </si>
  <si>
    <t>Ch 8</t>
  </si>
  <si>
    <t>Ch 9</t>
  </si>
  <si>
    <t>Ch 10</t>
  </si>
  <si>
    <t>manderror</t>
  </si>
  <si>
    <t>anyerror</t>
  </si>
  <si>
    <t>design</t>
  </si>
  <si>
    <t>final</t>
  </si>
  <si>
    <t>Practice</t>
  </si>
  <si>
    <t>verStartError</t>
  </si>
  <si>
    <t>verMandError</t>
  </si>
  <si>
    <t>verError</t>
  </si>
  <si>
    <t>Rough</t>
  </si>
  <si>
    <t>Final</t>
  </si>
  <si>
    <t>additional text</t>
  </si>
  <si>
    <t>final level</t>
  </si>
  <si>
    <t>Points</t>
  </si>
  <si>
    <t>Claimed</t>
  </si>
  <si>
    <t>Points Awarded</t>
  </si>
  <si>
    <t>verGoalLevel</t>
  </si>
  <si>
    <t>desGoalLevel</t>
  </si>
  <si>
    <t>ptstogoal</t>
  </si>
  <si>
    <t>points to goal</t>
  </si>
  <si>
    <t>verBuilderName</t>
  </si>
  <si>
    <t>verHomeAddress</t>
  </si>
  <si>
    <t>verLot</t>
  </si>
  <si>
    <t>verCity</t>
  </si>
  <si>
    <t>verState</t>
  </si>
  <si>
    <t>verCounty</t>
  </si>
  <si>
    <t>verZIP</t>
  </si>
  <si>
    <t>verSingleOrMulti</t>
  </si>
  <si>
    <t>verUnits</t>
  </si>
  <si>
    <t>verProjectName</t>
  </si>
  <si>
    <t>verAGFloorArea</t>
  </si>
  <si>
    <t>verTCFloorArea</t>
  </si>
  <si>
    <t>verProjectDesc</t>
  </si>
  <si>
    <t>verHERS</t>
  </si>
  <si>
    <t>verFoundation</t>
  </si>
  <si>
    <t>verHVAC1</t>
  </si>
  <si>
    <t>verHVAC2</t>
  </si>
  <si>
    <t>verHVAC3</t>
  </si>
  <si>
    <t>verFuel</t>
  </si>
  <si>
    <t>verRenewable</t>
  </si>
  <si>
    <t>verTEInsulation</t>
  </si>
  <si>
    <t>verAttic</t>
  </si>
  <si>
    <t>verAttachedGarage</t>
  </si>
  <si>
    <t>verRecessedLighting</t>
  </si>
  <si>
    <t>verPassiveSolar</t>
  </si>
  <si>
    <t>verMassWalls</t>
  </si>
  <si>
    <t>verDuctless</t>
  </si>
  <si>
    <t>verRadiantHydronic</t>
  </si>
  <si>
    <t>verTLWH</t>
  </si>
  <si>
    <t>verCToilet</t>
  </si>
  <si>
    <t>verEnergyCode</t>
  </si>
  <si>
    <t>verBuildingCode</t>
  </si>
  <si>
    <t>Designer</t>
  </si>
  <si>
    <t>Correction</t>
  </si>
  <si>
    <t>Correct?</t>
  </si>
  <si>
    <t>Instructions: Verify all Designer inputs are correct using checkboxes. If incorrect, provide correct information.</t>
  </si>
  <si>
    <t>Goal Level:</t>
  </si>
  <si>
    <t>Single-Family or Multifamily:</t>
  </si>
  <si>
    <t>Calculate per ANSI Z765.  For a multifamily building, use a weighted average of the individual unit sizes.</t>
  </si>
  <si>
    <t>Multifamily</t>
  </si>
  <si>
    <t>dd</t>
  </si>
  <si>
    <t>des  add</t>
  </si>
  <si>
    <t>ver add</t>
  </si>
  <si>
    <t>If "Other", please explain:</t>
  </si>
  <si>
    <t>502 PROJECT TEAM, MISSION STATEMENT, AND GOALS</t>
  </si>
  <si>
    <t>502.1</t>
  </si>
  <si>
    <r>
      <t>502.1</t>
    </r>
    <r>
      <rPr>
        <sz val="10"/>
        <color theme="1"/>
        <rFont val="Calibri"/>
        <family val="2"/>
        <scheme val="minor"/>
      </rPr>
      <t xml:space="preserve"> </t>
    </r>
    <r>
      <rPr>
        <b/>
        <sz val="10"/>
        <color theme="1"/>
        <rFont val="Calibri"/>
        <family val="2"/>
        <scheme val="minor"/>
      </rPr>
      <t xml:space="preserve">Project team, mission statement, and goals. </t>
    </r>
    <r>
      <rPr>
        <sz val="10"/>
        <color theme="1"/>
        <rFont val="Calibri"/>
        <family val="2"/>
        <scheme val="minor"/>
      </rPr>
      <t xml:space="preserve">A knowledgeable team is established and team member roles are identified with respect to green lot design, preparation, and development. The project’s green goals and objectives are written into a mission statement. </t>
    </r>
  </si>
  <si>
    <t>503</t>
  </si>
  <si>
    <t>503 LOT DESIGN</t>
  </si>
  <si>
    <t>503.0</t>
  </si>
  <si>
    <r>
      <t>503.0 Intent.</t>
    </r>
    <r>
      <rPr>
        <sz val="10"/>
        <color theme="1"/>
        <rFont val="Calibri"/>
        <family val="2"/>
        <scheme val="minor"/>
      </rPr>
      <t xml:space="preserve"> The lot is designed to avoid detrimental environmental impacts first, to minimize any unavoidable impacts, and to mitigate for those impacts that do occur. The project is designed to minimize environmental impacts and to protect, restore, and enhance the natural features and environmental quality of the lot. </t>
    </r>
  </si>
  <si>
    <t>(Points awarded only if  the intent of the design is implemented.)</t>
  </si>
  <si>
    <t>503.1</t>
  </si>
  <si>
    <r>
      <t>503.1 Natural resources.</t>
    </r>
    <r>
      <rPr>
        <sz val="10"/>
        <color theme="1"/>
        <rFont val="Calibri"/>
        <family val="2"/>
      </rPr>
      <t xml:space="preserve"> Natural resources are conserved by one or more of the following:</t>
    </r>
  </si>
  <si>
    <t>A natural resources inventory is completed under the direction of a qualified professional.</t>
  </si>
  <si>
    <t>A plan is implemented to conserve the elements identified by the natural resource inventory as high-priority resources.</t>
  </si>
  <si>
    <t>Items listed for protection in the natural resource inventory plan are protected under the direction of a qualified professional.</t>
  </si>
  <si>
    <t>Basic training in tree or other natural resource protection is provided for the on-site supervisor.</t>
  </si>
  <si>
    <t>All tree pruning on-site is conducted by a certified arborist or other qualified professional.</t>
  </si>
  <si>
    <t>Ongoing maintenance of vegetation on the lot during construction is in accordance with TCIA A300 or locally accepted best practices.</t>
  </si>
  <si>
    <t>(7)</t>
  </si>
  <si>
    <t>Where a lot adjoins a landscaped common area, a protection plan from construction activities next to the common area is implemented.</t>
  </si>
  <si>
    <t>503.2</t>
  </si>
  <si>
    <r>
      <t>503.2 Slope disturbance.</t>
    </r>
    <r>
      <rPr>
        <sz val="10"/>
        <color theme="1"/>
        <rFont val="Calibri"/>
        <family val="2"/>
        <scheme val="minor"/>
      </rPr>
      <t xml:space="preserve"> Slope disturbance is minimized by one or more of the following: </t>
    </r>
  </si>
  <si>
    <t xml:space="preserve">The use of terrain adaptive architecture. </t>
  </si>
  <si>
    <t>Hydrological/soil stability study is completed and used to guide the design of all buildings on the lot.</t>
  </si>
  <si>
    <r>
      <t>All or a percentage of</t>
    </r>
    <r>
      <rPr>
        <b/>
        <sz val="10"/>
        <color theme="1"/>
        <rFont val="Calibri"/>
        <family val="2"/>
        <scheme val="minor"/>
      </rPr>
      <t xml:space="preserve"> </t>
    </r>
    <r>
      <rPr>
        <sz val="10"/>
        <color theme="1"/>
        <rFont val="Calibri"/>
        <family val="2"/>
        <scheme val="minor"/>
      </rPr>
      <t>driveways and parking are aligned with natural topography to reduce cut and fill.</t>
    </r>
  </si>
  <si>
    <t>25 percent to 75 percent</t>
  </si>
  <si>
    <t>greater than 75 percent</t>
  </si>
  <si>
    <t>Long-term erosion effects are reduced through the design and implementation of clustering, terracing, retaining walls, landscaping, or restabilization techniques.</t>
  </si>
  <si>
    <t>Underground parking uses the natural slope for parking entrances.</t>
  </si>
  <si>
    <t>503.3</t>
  </si>
  <si>
    <r>
      <t>503.3</t>
    </r>
    <r>
      <rPr>
        <sz val="10"/>
        <color theme="1"/>
        <rFont val="Calibri"/>
        <family val="2"/>
        <scheme val="minor"/>
      </rPr>
      <t xml:space="preserve"> </t>
    </r>
    <r>
      <rPr>
        <b/>
        <sz val="10"/>
        <color theme="1"/>
        <rFont val="Calibri"/>
        <family val="2"/>
        <scheme val="minor"/>
      </rPr>
      <t>Soil disturbance and erosion.</t>
    </r>
    <r>
      <rPr>
        <sz val="10"/>
        <color theme="1"/>
        <rFont val="Calibri"/>
        <family val="2"/>
        <scheme val="minor"/>
      </rPr>
      <t xml:space="preserve"> Soil disturbance and erosion are minimized by one or more of the following: (also see Section 504.3)</t>
    </r>
  </si>
  <si>
    <t>Construction activities are scheduled such that disturbed soil that is to be left unworked for more than 21 days is stabilized within 14 days..</t>
  </si>
  <si>
    <t>At least 75% of total length of the utilities on the lot are designed to use one or more alternative means:</t>
  </si>
  <si>
    <t>tunneling instead of trenching</t>
  </si>
  <si>
    <t>use of smaller (low ground pressure) equipment or geomats to spread the weight of construction equipment</t>
  </si>
  <si>
    <t>shared utility trenches or easements</t>
  </si>
  <si>
    <t>(d)</t>
  </si>
  <si>
    <t>placement of utilities under paved surfaces instead of yards</t>
  </si>
  <si>
    <t>Limits of clearing and grading are demarcated on the lot plan.</t>
  </si>
  <si>
    <t>503.4</t>
  </si>
  <si>
    <r>
      <t xml:space="preserve">503.4 Stormwater Management.  </t>
    </r>
    <r>
      <rPr>
        <sz val="10"/>
        <color theme="1"/>
        <rFont val="Calibri"/>
        <family val="2"/>
        <scheme val="minor"/>
      </rPr>
      <t>The stormwater management system is designed to use low impact development/green infrastructure practices to preserve, restore or mitigate changes in site hydrology due to land disturbance and the construction of impermeable surfaces through the use of one or more of the following techniques:</t>
    </r>
  </si>
  <si>
    <t xml:space="preserve">A site assessment is conducted and a plan prepared and implemented that identifies important existing permeable soils, natural drainage ways and other water features, e.g., depressional storage,  onsite to be preserved in order to maintain site hydrology.                                  </t>
  </si>
  <si>
    <t xml:space="preserve">A hydrologic analysis is conducted that results in the design of a stormwater management system that maintains the pre-development (stable, natural) runoff hydrology of the site through the development or redevelopment process. Ensure that post construction runoff rate, volume and duration do not exceed predevelopment rates, volume and duration.     </t>
  </si>
  <si>
    <t>Low Impact Development/Green infrastructure stormwater management practices to promote infiltration and evapotranspiration are used to manage rainfall on the lot and prevent the off-lot discharge of runoff from all storms up to and including the volume of following storm events:</t>
  </si>
  <si>
    <t>80th percentile storm event</t>
  </si>
  <si>
    <t>90th percentile storm event</t>
  </si>
  <si>
    <t>95th percentile storm event</t>
  </si>
  <si>
    <t>Permeable materials are used for driveways, parking areas, walkways, patios, and recreational surfaces and the like according to the following percentages:</t>
  </si>
  <si>
    <t>less than 25 percent</t>
  </si>
  <si>
    <t xml:space="preserve">25-50 percent                               </t>
  </si>
  <si>
    <t>Greater than 50 percent</t>
  </si>
  <si>
    <t>503.5</t>
  </si>
  <si>
    <r>
      <t>503.5 Landscape plan.</t>
    </r>
    <r>
      <rPr>
        <sz val="10"/>
        <color theme="1"/>
        <rFont val="Calibri"/>
        <family val="2"/>
        <scheme val="minor"/>
      </rPr>
      <t xml:space="preserve"> A plan for the lot is developed to limit water and energy use while preserving or enhancing the natural environment. </t>
    </r>
  </si>
  <si>
    <t>(Where "front" only or "rear" only plan is implemented, only half of the points (rounding down to a whole number) are awarded for Items (1)-(8)</t>
  </si>
  <si>
    <t xml:space="preserve">A plan is formulated and implemented that protects, restores, or enhances natural vegetation on the lot.  </t>
  </si>
  <si>
    <t>100 percent of the natural area</t>
  </si>
  <si>
    <t>50 percent of the natural area</t>
  </si>
  <si>
    <t>25 percent of the natural area</t>
  </si>
  <si>
    <t>12 percent of the natural area</t>
  </si>
  <si>
    <t>Non-invasive vegetation that is native or regionally appropriate for local growing conditions is selected to promote biodiversity.</t>
  </si>
  <si>
    <t xml:space="preserve">To improve pollinator habitat, at least 10 percent of planted areas are composed of flowering and nectar producing plant species. Invasive plant species shall not be utilized. </t>
  </si>
  <si>
    <t>EPA WaterSense Water Budget Tool or equivalent is used when implementing the maximum percentage of turf areas.</t>
  </si>
  <si>
    <t>For landscaped vegetated areas, the maximum percentage of turf area is:</t>
  </si>
  <si>
    <t>0 percent</t>
  </si>
  <si>
    <t>Greater than 0 percent to less than 20 percent</t>
  </si>
  <si>
    <t>20 percent to less than 40 percent</t>
  </si>
  <si>
    <t>40 percent to 60 percent</t>
  </si>
  <si>
    <t>Plants with similar watering needs are grouped (hydrozoning) and shown on the lot plan.</t>
  </si>
  <si>
    <t>Summer shading by planting installed to shade a minimum of 30 percent of building walls. To conform to summer shading, the effective shade coverage (five years after planting) is the arithmetic mean of the shade coverage calculated at 10 am for eastward facing walls, noon for southward facing walls, and 3 pm for westward facing walls on the summer solstice.</t>
  </si>
  <si>
    <t>(8)</t>
  </si>
  <si>
    <t>Vegetative wind breaks or channels are designed to protect the lot and immediate surrounding lots as appropriate for local conditions.</t>
  </si>
  <si>
    <t>(9)</t>
  </si>
  <si>
    <t>Site or community generated tree trimmings or stump grinding of regionally appropriate trees are used on the lot to provide protective mulch during construction or for landscaping.</t>
  </si>
  <si>
    <t>(10)</t>
  </si>
  <si>
    <t>An integrated pest management plan is developed to minimize chemical use in pesticides and fertilizers.</t>
  </si>
  <si>
    <t>(11)</t>
  </si>
  <si>
    <t xml:space="preserve">Developer has a plan for removal or containment of invasive plants from the disturbed areas of the site.  </t>
  </si>
  <si>
    <t>(12)</t>
  </si>
  <si>
    <t xml:space="preserve">Developer implements a plan for removal or containment of invasive plants on the undisturbed areas of the site.  </t>
  </si>
  <si>
    <t>503.6</t>
  </si>
  <si>
    <r>
      <t xml:space="preserve">503.6 Wildlife habitat. </t>
    </r>
    <r>
      <rPr>
        <sz val="10"/>
        <color theme="1"/>
        <rFont val="Calibri"/>
        <family val="2"/>
        <scheme val="minor"/>
      </rPr>
      <t>Measures are planned to support wildlife habitat and include at least two of the following:</t>
    </r>
  </si>
  <si>
    <t>Plants and gardens that encourage wildlife, such as bird and butterfly gardens.</t>
  </si>
  <si>
    <t>Inclusion of a certified “backyard wildlife” program.</t>
  </si>
  <si>
    <t>The lot is adjacent to a wildlife corridor, fish and game park, or preserved areas and is designed with regard for this relationship.</t>
  </si>
  <si>
    <t>Outdoor lighting techniques are utilized with regard for wildlife.</t>
  </si>
  <si>
    <t>503.7</t>
  </si>
  <si>
    <r>
      <t xml:space="preserve">503.7 Environmentally sensitive areas. </t>
    </r>
    <r>
      <rPr>
        <sz val="10"/>
        <color theme="1"/>
        <rFont val="Calibri"/>
        <family val="2"/>
        <scheme val="minor"/>
      </rPr>
      <t>The lot is in accordance with one or both of the following:</t>
    </r>
  </si>
  <si>
    <t>The lot does not contain any environmentally sensitive areas that are disturbed by the construction.</t>
  </si>
  <si>
    <t>On lots with environmentally sensitive areas, mitigation and/or restoration is conducted to preserve ecosystem functions lost through development and construction activities.</t>
  </si>
  <si>
    <t>503.8</t>
  </si>
  <si>
    <r>
      <t xml:space="preserve">503.8 Demolition of existing building. </t>
    </r>
    <r>
      <rPr>
        <sz val="10"/>
        <color theme="1"/>
        <rFont val="Calibri"/>
        <family val="2"/>
        <scheme val="minor"/>
      </rPr>
      <t>A demolition waste management plan is developed, posted at the jobsite, and implemented to recycle and/or salvage with a goal of recycling or salvaging a minimum of 50 percent of the nonhazardous demolition waste.</t>
    </r>
  </si>
  <si>
    <t>(One additional point awarded for every 10 percent of nonhazardous demolition waste recycled and/or salvaged beyond 50 percent).</t>
  </si>
  <si>
    <t>504.0</t>
  </si>
  <si>
    <t>504 LOT CONSTRUCTION</t>
  </si>
  <si>
    <r>
      <t>504.0 Intent.</t>
    </r>
    <r>
      <rPr>
        <sz val="10"/>
        <color theme="1"/>
        <rFont val="Calibri"/>
        <family val="2"/>
        <scheme val="minor"/>
      </rPr>
      <t xml:space="preserve"> Environmental impact during construction is avoided to the extent possible; impacts that do occur are minimized and any significant impacts are mitigated.</t>
    </r>
  </si>
  <si>
    <t>504.1</t>
  </si>
  <si>
    <r>
      <t>504.1 On-site supervision and coordination.</t>
    </r>
    <r>
      <rPr>
        <sz val="10"/>
        <color theme="1"/>
        <rFont val="Calibri"/>
        <family val="2"/>
        <scheme val="minor"/>
      </rPr>
      <t xml:space="preserve"> On-site supervision and coordination is provided during on-the-lot clearing, grading, trenching, paving, and installation of utilities to ensure that specified green development practices are implemented. (also see Section 503.3)</t>
    </r>
  </si>
  <si>
    <t>504.2</t>
  </si>
  <si>
    <r>
      <t>504.2 Trees and vegetation.</t>
    </r>
    <r>
      <rPr>
        <sz val="10"/>
        <color theme="1"/>
        <rFont val="Calibri"/>
        <family val="2"/>
        <scheme val="minor"/>
      </rPr>
      <t xml:space="preserve"> Designated trees and vegetation are preserved by one or more of the following:</t>
    </r>
  </si>
  <si>
    <t>Fencing or equivalent is installed to protect trees and other vegetation.</t>
  </si>
  <si>
    <t>Trenching, significant changes in grade, and compaction of soil and critical root zones in all “tree save” areas as shown on the lot plan are avoided.</t>
  </si>
  <si>
    <t>Damage to designated existing trees and vegetation is mitigated during construction through pruning, root pruning, fertilizing, and watering.</t>
  </si>
  <si>
    <t>504.3</t>
  </si>
  <si>
    <r>
      <t>504.3 Soil disturbance and erosion implementation.</t>
    </r>
    <r>
      <rPr>
        <sz val="10"/>
        <color theme="1"/>
        <rFont val="Calibri"/>
        <family val="2"/>
        <scheme val="minor"/>
      </rPr>
      <t xml:space="preserve"> On-site soil disturbance and erosion are minimized by one or more of the following in accordance with the SWPPP or applicable plan: (also see Section 503.3)</t>
    </r>
  </si>
  <si>
    <t>Sediment and erosion controls are installed on the lot and maintained in accordance with the stormwater pollution prevention plan, where required.</t>
  </si>
  <si>
    <t>Limits of clearing and grading are staked out on the lot.</t>
  </si>
  <si>
    <t>“No disturbance” zones are created using fencing or flagging to protect vegetation and sensitive areas on the lot from construction activity.</t>
  </si>
  <si>
    <t>Topsoil from either the lot or the site development is stockpiled and stabilized for later use and used to establish landscape plantings on the lot.</t>
  </si>
  <si>
    <t>Soil compaction from construction equipment is reduced by distributing the weight of the equipment over a larger area (laying lightweight geogrids, mulch, chipped wood, plywood, OSB, metal plates, or other materials capable of weight distribution in the pathway of the equipment).</t>
  </si>
  <si>
    <t>Disturbed areas on the lot that are complete or to be left unworked for 21 days or more are stabilized within 14 days using methods as recommended by the EPA or in the approved SWPPP, where required.</t>
  </si>
  <si>
    <t>Soil is improved with organic amendments or mulch.</t>
  </si>
  <si>
    <t>Inspection reports of stormwater best management practices are available.</t>
  </si>
  <si>
    <t>505</t>
  </si>
  <si>
    <t>505 INNOVATIVE PRACTICES</t>
  </si>
  <si>
    <r>
      <t xml:space="preserve">505.0 Intent. </t>
    </r>
    <r>
      <rPr>
        <sz val="10"/>
        <color theme="1"/>
        <rFont val="Calibri"/>
        <family val="2"/>
        <scheme val="minor"/>
      </rPr>
      <t>Innovative lot design, preparation, and development practices are used to enhance environmental performance. Waivers or variances from local development regulations are obtained and innovative zoning is used to implement such practices.</t>
    </r>
  </si>
  <si>
    <t>505.1</t>
  </si>
  <si>
    <r>
      <t>505.1 Driveways and parking areas.</t>
    </r>
    <r>
      <rPr>
        <sz val="10"/>
        <color theme="1"/>
        <rFont val="Calibri"/>
        <family val="2"/>
        <scheme val="minor"/>
      </rPr>
      <t xml:space="preserve"> Driveways and parking areas are minimized or mitigated by one or more of the following:</t>
    </r>
  </si>
  <si>
    <t>Off-street parking areas are shared or driveways are shared. Waivers or variances from local development regulations are obtained to implement such practices, if required.</t>
  </si>
  <si>
    <t>In a multifamily project, parking capacity does not exceed the local minimum requirements.</t>
  </si>
  <si>
    <t>Structured parking is utilized to reduce the footprint of surface parking areas.</t>
  </si>
  <si>
    <t>25 percent to less than 50 percent</t>
  </si>
  <si>
    <t>50 percent to 75 percent</t>
  </si>
  <si>
    <t>Water permeable surfaces, including vegetative paving systems, are utilized to reduce the footprint of impervious surface driveways, fire lanes, streets or parking areas.</t>
  </si>
  <si>
    <t>10 percent to less than 25 percent</t>
  </si>
  <si>
    <t>505.2</t>
  </si>
  <si>
    <t xml:space="preserve">505.2 </t>
  </si>
  <si>
    <r>
      <t>505.2 Heat island mitigation.</t>
    </r>
    <r>
      <rPr>
        <sz val="10"/>
        <color theme="1"/>
        <rFont val="Calibri"/>
        <family val="2"/>
        <scheme val="minor"/>
      </rPr>
      <t xml:space="preserve"> Heat island effect is mitigated by the following.</t>
    </r>
  </si>
  <si>
    <t>Hardscape: Not less than 50 percent of the surface area of the hardscape on the lot meets one or a combination of the following methods.</t>
  </si>
  <si>
    <t>Shading of hardscaping: Shade is provided from existing or new vegetation (within five years) or from trellises. Shade of hardscaping is to be measured on the summer solstice at noon.</t>
  </si>
  <si>
    <t>Light-colored hardscaping: Horizontal hardscaping materials are installed with a solar reflectance index (SRI) of 29 or greater. The SRI is calculated in accordance with ASTM E1980. A default SRI value of 35 for new concrete without added color pigment is permitted to be used instead of measurements.</t>
  </si>
  <si>
    <t>Permeable hardscaping: Permeable hardscaping materials are installed.</t>
  </si>
  <si>
    <t>Roofs: Not less than 75 percent of the exposed surface of the roof is vegetated using technology capable of withstanding the climate conditions of the jurisdiction and the microclimate conditions of the building lot. Invasive plant species are not permitted.</t>
  </si>
  <si>
    <t>505.3</t>
  </si>
  <si>
    <r>
      <t>505.3 Density.</t>
    </r>
    <r>
      <rPr>
        <sz val="10"/>
        <color theme="1"/>
        <rFont val="Calibri"/>
        <family val="2"/>
        <scheme val="minor"/>
      </rPr>
      <t xml:space="preserve"> The average density on the lot on a net developable area basis is: </t>
    </r>
  </si>
  <si>
    <r>
      <t>7 to less than 14 dwelling units per acre (per 4,047 m</t>
    </r>
    <r>
      <rPr>
        <vertAlign val="superscript"/>
        <sz val="10"/>
        <color theme="1"/>
        <rFont val="Calibri"/>
        <family val="2"/>
        <scheme val="minor"/>
      </rPr>
      <t>2</t>
    </r>
    <r>
      <rPr>
        <sz val="10"/>
        <color theme="1"/>
        <rFont val="Calibri"/>
        <family val="2"/>
        <scheme val="minor"/>
      </rPr>
      <t>)</t>
    </r>
  </si>
  <si>
    <r>
      <t>14 to less than 21 dwelling units per acre (per 4,047 m</t>
    </r>
    <r>
      <rPr>
        <vertAlign val="superscript"/>
        <sz val="10"/>
        <color theme="1"/>
        <rFont val="Calibri"/>
        <family val="2"/>
        <scheme val="minor"/>
      </rPr>
      <t>2</t>
    </r>
    <r>
      <rPr>
        <sz val="10"/>
        <color theme="1"/>
        <rFont val="Calibri"/>
        <family val="2"/>
        <scheme val="minor"/>
      </rPr>
      <t>)</t>
    </r>
  </si>
  <si>
    <r>
      <t>21 to less than 35 dwelling units per acre (per 4,047 m</t>
    </r>
    <r>
      <rPr>
        <vertAlign val="superscript"/>
        <sz val="10"/>
        <color theme="1"/>
        <rFont val="Calibri"/>
        <family val="2"/>
        <scheme val="minor"/>
      </rPr>
      <t>2</t>
    </r>
    <r>
      <rPr>
        <sz val="10"/>
        <color theme="1"/>
        <rFont val="Calibri"/>
        <family val="2"/>
        <scheme val="minor"/>
      </rPr>
      <t>)</t>
    </r>
  </si>
  <si>
    <r>
      <t>35 to less than 70 dwelling units per acre (per 4,047 m</t>
    </r>
    <r>
      <rPr>
        <vertAlign val="superscript"/>
        <sz val="10"/>
        <color theme="1"/>
        <rFont val="Calibri"/>
        <family val="2"/>
        <scheme val="minor"/>
      </rPr>
      <t>2</t>
    </r>
    <r>
      <rPr>
        <sz val="10"/>
        <color theme="1"/>
        <rFont val="Calibri"/>
        <family val="2"/>
        <scheme val="minor"/>
      </rPr>
      <t>)</t>
    </r>
  </si>
  <si>
    <r>
      <t>70 or greater dwelling units per acre (per 4,047 m</t>
    </r>
    <r>
      <rPr>
        <vertAlign val="superscript"/>
        <sz val="10"/>
        <color theme="1"/>
        <rFont val="Calibri"/>
        <family val="2"/>
        <scheme val="minor"/>
      </rPr>
      <t>2</t>
    </r>
    <r>
      <rPr>
        <sz val="10"/>
        <color theme="1"/>
        <rFont val="Calibri"/>
        <family val="2"/>
        <scheme val="minor"/>
      </rPr>
      <t>)</t>
    </r>
  </si>
  <si>
    <t>505.4</t>
  </si>
  <si>
    <r>
      <t xml:space="preserve">505.4 Mixed-use development. </t>
    </r>
    <r>
      <rPr>
        <sz val="10"/>
        <color theme="1"/>
        <rFont val="Calibri"/>
        <family val="2"/>
        <scheme val="minor"/>
      </rPr>
      <t>The lot contains a mixed-use building.</t>
    </r>
  </si>
  <si>
    <t>505.5</t>
  </si>
  <si>
    <r>
      <t xml:space="preserve">505.5 Community garden(s). </t>
    </r>
    <r>
      <rPr>
        <sz val="10"/>
        <color theme="1"/>
        <rFont val="Calibri"/>
        <family val="2"/>
        <scheme val="minor"/>
      </rPr>
      <t>A portion of the lot is established as a community garden(s), available to residents of the lot, to provide for local food production to residents or area consumers.</t>
    </r>
  </si>
  <si>
    <t>505.6</t>
  </si>
  <si>
    <r>
      <t xml:space="preserve">505.6 Multi-Unit Plug-In Electric Vehicle Charging.  </t>
    </r>
    <r>
      <rPr>
        <sz val="10"/>
        <color theme="1"/>
        <rFont val="Calibri"/>
        <family val="2"/>
        <scheme val="minor"/>
      </rPr>
      <t>Plug-in electric vehicle charging capability is provided for at least 1 percent of parking stalls.  Electrical capacity in main electric panels supports Level 2 charging (208/240V-40 amp).  Each stall is provided with conduit and wiring infrastructure from the electric panel to support Level 2 charging (208/240V-40 amp) service to the designated stalls, and stalls are equipped with either Level 2 charging AC grounded outlets (208/240V-40 amp) or Level 2 charging stations (240V/40A) by a third party charging station.</t>
    </r>
  </si>
  <si>
    <t>Ch6Level</t>
  </si>
  <si>
    <t>Ch6Points</t>
  </si>
  <si>
    <t>Ch6MandError</t>
  </si>
  <si>
    <t>502</t>
  </si>
  <si>
    <t>601 QUALITY OF CONSTRUCTION MATERIALS AND WASTE</t>
  </si>
  <si>
    <t>601.0</t>
  </si>
  <si>
    <r>
      <t>601.0 Intent.</t>
    </r>
    <r>
      <rPr>
        <sz val="10"/>
        <color theme="1"/>
        <rFont val="Calibri"/>
        <family val="2"/>
        <scheme val="minor"/>
      </rPr>
      <t xml:space="preserve"> Design and construction practices that minimize the environmental impact of the building materials are incorporated, environmentally efficient building systems and materials are incorporated, and waste generated during construction is reduced. </t>
    </r>
  </si>
  <si>
    <r>
      <t>601.1 Conditioned floor area.</t>
    </r>
    <r>
      <rPr>
        <sz val="10"/>
        <color theme="1"/>
        <rFont val="Calibri"/>
        <family val="2"/>
        <scheme val="minor"/>
      </rPr>
      <t xml:space="preserve"> Finished floor area of a dwelling unit is limited. Finished floor area is calculated in accordance with ANSI Z765 for single family and ANSI/BOMA Z65.4 for multifamily buildings. Only the finished floor area for stories above grade plane is included in the calculation. </t>
    </r>
  </si>
  <si>
    <r>
      <t>less than or equal to 700 square feet (65 m</t>
    </r>
    <r>
      <rPr>
        <vertAlign val="superscript"/>
        <sz val="10"/>
        <color theme="1"/>
        <rFont val="Calibri"/>
        <family val="2"/>
        <scheme val="minor"/>
      </rPr>
      <t>2</t>
    </r>
    <r>
      <rPr>
        <sz val="10"/>
        <color theme="1"/>
        <rFont val="Calibri"/>
        <family val="2"/>
        <scheme val="minor"/>
      </rPr>
      <t>)</t>
    </r>
  </si>
  <si>
    <r>
      <t>less than or equal to 1,000 square feet (93 m</t>
    </r>
    <r>
      <rPr>
        <vertAlign val="superscript"/>
        <sz val="10"/>
        <color theme="1"/>
        <rFont val="Calibri"/>
        <family val="2"/>
        <scheme val="minor"/>
      </rPr>
      <t>2</t>
    </r>
    <r>
      <rPr>
        <sz val="10"/>
        <color theme="1"/>
        <rFont val="Calibri"/>
        <family val="2"/>
        <scheme val="minor"/>
      </rPr>
      <t>)</t>
    </r>
  </si>
  <si>
    <r>
      <t>less than or equal to 1,500 square feet (139 m</t>
    </r>
    <r>
      <rPr>
        <vertAlign val="superscript"/>
        <sz val="10"/>
        <color theme="1"/>
        <rFont val="Calibri"/>
        <family val="2"/>
        <scheme val="minor"/>
      </rPr>
      <t>2</t>
    </r>
    <r>
      <rPr>
        <sz val="10"/>
        <color theme="1"/>
        <rFont val="Calibri"/>
        <family val="2"/>
        <scheme val="minor"/>
      </rPr>
      <t>)</t>
    </r>
  </si>
  <si>
    <r>
      <t>less than or equal to 2,000 square feet (186 m</t>
    </r>
    <r>
      <rPr>
        <vertAlign val="superscript"/>
        <sz val="10"/>
        <color theme="1"/>
        <rFont val="Calibri"/>
        <family val="2"/>
        <scheme val="minor"/>
      </rPr>
      <t>2</t>
    </r>
    <r>
      <rPr>
        <sz val="10"/>
        <color theme="1"/>
        <rFont val="Calibri"/>
        <family val="2"/>
        <scheme val="minor"/>
      </rPr>
      <t>)</t>
    </r>
  </si>
  <si>
    <r>
      <t>less than or equal to 2,500 square feet (232 m</t>
    </r>
    <r>
      <rPr>
        <vertAlign val="superscript"/>
        <sz val="10"/>
        <color theme="1"/>
        <rFont val="Calibri"/>
        <family val="2"/>
        <scheme val="minor"/>
      </rPr>
      <t>2</t>
    </r>
    <r>
      <rPr>
        <sz val="10"/>
        <color theme="1"/>
        <rFont val="Calibri"/>
        <family val="2"/>
        <scheme val="minor"/>
      </rPr>
      <t>)</t>
    </r>
  </si>
  <si>
    <r>
      <t>greater than 4,000 square feet (372 m</t>
    </r>
    <r>
      <rPr>
        <vertAlign val="superscript"/>
        <sz val="10"/>
        <color theme="1"/>
        <rFont val="Calibri"/>
        <family val="2"/>
        <scheme val="minor"/>
      </rPr>
      <t>2</t>
    </r>
    <r>
      <rPr>
        <sz val="10"/>
        <color theme="1"/>
        <rFont val="Calibri"/>
        <family val="2"/>
        <scheme val="minor"/>
      </rPr>
      <t>)</t>
    </r>
  </si>
  <si>
    <r>
      <t>(For every 100 square feet (9.29 m</t>
    </r>
    <r>
      <rPr>
        <b/>
        <vertAlign val="superscript"/>
        <sz val="10"/>
        <color theme="1"/>
        <rFont val="Calibri"/>
        <family val="2"/>
        <scheme val="minor"/>
      </rPr>
      <t>2</t>
    </r>
    <r>
      <rPr>
        <b/>
        <sz val="10"/>
        <color theme="1"/>
        <rFont val="Calibri"/>
        <family val="2"/>
        <scheme val="minor"/>
      </rPr>
      <t>) over 4,000 square feet (372 m</t>
    </r>
    <r>
      <rPr>
        <b/>
        <vertAlign val="superscript"/>
        <sz val="10"/>
        <color theme="1"/>
        <rFont val="Calibri"/>
        <family val="2"/>
        <scheme val="minor"/>
      </rPr>
      <t>2</t>
    </r>
    <r>
      <rPr>
        <b/>
        <sz val="10"/>
        <color theme="1"/>
        <rFont val="Calibri"/>
        <family val="2"/>
        <scheme val="minor"/>
      </rPr>
      <t>), one point is to be added to rating level points shown in Table 303, Category 7 for each rating level.)</t>
    </r>
  </si>
  <si>
    <r>
      <t>601.2 Material usage.</t>
    </r>
    <r>
      <rPr>
        <sz val="10"/>
        <color theme="1"/>
        <rFont val="Calibri"/>
        <family val="2"/>
        <scheme val="minor"/>
      </rPr>
      <t xml:space="preserve"> Structural systems are designed or construction techniques are implemented that reduce and optimize material usage. </t>
    </r>
  </si>
  <si>
    <t>9 Max</t>
  </si>
  <si>
    <t>Minimum structural member or element sizes necessary for strength and stiffness in accordance with advanced framing techniques or structural design standards are selected.</t>
  </si>
  <si>
    <t>Higher-grade or higher-strength of the same materials than commonly specified for structural elements and components in the building are used and element or component sizes are reduced accordingly.</t>
  </si>
  <si>
    <t>Performance-based structural design is used to optimize lateral force-resisting systems.</t>
  </si>
  <si>
    <r>
      <t>601.3 Building dimensions and layouts.</t>
    </r>
    <r>
      <rPr>
        <sz val="10"/>
        <color theme="1"/>
        <rFont val="Calibri"/>
        <family val="2"/>
        <scheme val="minor"/>
      </rPr>
      <t xml:space="preserve"> Building dimensions and layouts are designed to reduce material cuts and waste. This practice is used for a minimum of 80 percent of the following areas:</t>
    </r>
  </si>
  <si>
    <t>floor area</t>
  </si>
  <si>
    <t>wall area</t>
  </si>
  <si>
    <t>roof area</t>
  </si>
  <si>
    <t>cladding or siding area</t>
  </si>
  <si>
    <t>penetrations or trim area</t>
  </si>
  <si>
    <r>
      <t>601.4 Framing and structural plans.</t>
    </r>
    <r>
      <rPr>
        <sz val="10"/>
        <color theme="1"/>
        <rFont val="Calibri"/>
        <family val="2"/>
        <scheme val="minor"/>
      </rPr>
      <t xml:space="preserve"> Detailed framing or structural plans, material quantity lists and on-site cut lists for framing, structural materials, and sheathing materials are provided.</t>
    </r>
  </si>
  <si>
    <r>
      <t xml:space="preserve">601.5 Prefabricated components. </t>
    </r>
    <r>
      <rPr>
        <sz val="10"/>
        <color theme="1"/>
        <rFont val="Calibri"/>
        <family val="2"/>
        <scheme val="minor"/>
      </rPr>
      <t>Precut or preassembled components, or panelized or precast assemblies are utilized for a minimum of 90 percent for the following system or building:</t>
    </r>
  </si>
  <si>
    <t>13 Max</t>
  </si>
  <si>
    <t>floor system</t>
  </si>
  <si>
    <t>wall system</t>
  </si>
  <si>
    <t>roof system</t>
  </si>
  <si>
    <t>modular construction for the entire building located above grade</t>
  </si>
  <si>
    <t>manufactured home construction for the entire building located above grade</t>
  </si>
  <si>
    <r>
      <t>601.6 Stacked stories.</t>
    </r>
    <r>
      <rPr>
        <sz val="10"/>
        <color theme="1"/>
        <rFont val="Calibri"/>
        <family val="2"/>
        <scheme val="minor"/>
      </rPr>
      <t xml:space="preserve"> Stories above grade are stacked, such as in 1½-story, 2-story, or greater structures. The area of the upper story is a minimum of 50 percent of the area of the story below based on areas with a minimum ceiling height of 7 feet (2,134 mm). </t>
    </r>
  </si>
  <si>
    <t>8 Max</t>
  </si>
  <si>
    <t>first stacked story</t>
  </si>
  <si>
    <t>for each additional stacked story</t>
  </si>
  <si>
    <r>
      <t>601.7 Prefinished materials. Prefinished building</t>
    </r>
    <r>
      <rPr>
        <sz val="10"/>
        <color theme="1"/>
        <rFont val="Calibri"/>
        <family val="2"/>
        <scheme val="minor"/>
      </rPr>
      <t xml:space="preserve"> materials or assemblies listed below have no additional site-applied finishing material are installed. </t>
    </r>
  </si>
  <si>
    <t>12 Max</t>
  </si>
  <si>
    <t>interior trim not requiring paint or stain</t>
  </si>
  <si>
    <t>exterior trim not requiring paint or stain</t>
  </si>
  <si>
    <t>window, skylight, and door assemblies not requiring paint or stain on one of the following surfaces:</t>
  </si>
  <si>
    <r>
      <t> </t>
    </r>
    <r>
      <rPr>
        <sz val="10"/>
        <color theme="1"/>
        <rFont val="Calibri"/>
        <family val="2"/>
      </rPr>
      <t>i.</t>
    </r>
    <r>
      <rPr>
        <sz val="7"/>
        <color theme="1"/>
        <rFont val="Times New Roman"/>
        <family val="1"/>
      </rPr>
      <t xml:space="preserve">  </t>
    </r>
    <r>
      <rPr>
        <sz val="10"/>
        <color theme="1"/>
        <rFont val="Calibri"/>
        <family val="2"/>
      </rPr>
      <t xml:space="preserve">exterior surfaces </t>
    </r>
  </si>
  <si>
    <t>ii. interior surfaces</t>
  </si>
  <si>
    <t>interior wall coverings or systems, floor systems, and/or ceiling systems not requiring paint or stain or other type of finishing application</t>
  </si>
  <si>
    <t>(e)</t>
  </si>
  <si>
    <t>exterior wall coverings or systems, floor system, and/or ceiling systems not requiring paint or stain or other type of finishing application</t>
  </si>
  <si>
    <t xml:space="preserve">90 percent or more of the installed building materials or assemblies listed above: </t>
  </si>
  <si>
    <t>(Points awarded for each type of material or assembly.)</t>
  </si>
  <si>
    <t>50 percent to less than 90 percent of the installed building material or assembly listed above:</t>
  </si>
  <si>
    <t>35 percent to less than 50 percent of the installed building material or assembly listed above:</t>
  </si>
  <si>
    <r>
      <t>601.8 Foundations.</t>
    </r>
    <r>
      <rPr>
        <sz val="10"/>
        <color theme="1"/>
        <rFont val="Calibri"/>
        <family val="2"/>
        <scheme val="minor"/>
      </rPr>
      <t xml:space="preserve"> A foundation system that minimizes soil disturbance, excavation quantities, and material usage, such as frost-protected shallow foundations, isolated pier and pad foundations, deep foundations, post foundations, or helical piles is selected, designed, and constructed. The foundation is used on 50 percent or more of the building footprint. </t>
    </r>
  </si>
  <si>
    <r>
      <t xml:space="preserve">601.9 Above-grade wall systems. </t>
    </r>
    <r>
      <rPr>
        <sz val="10"/>
        <color theme="1"/>
        <rFont val="Calibri"/>
        <family val="2"/>
        <scheme val="minor"/>
      </rPr>
      <t>Above-grade wall systems that, at a minimum, provide</t>
    </r>
    <r>
      <rPr>
        <b/>
        <sz val="10"/>
        <color theme="1"/>
        <rFont val="Calibri"/>
        <family val="2"/>
        <scheme val="minor"/>
      </rPr>
      <t xml:space="preserve"> </t>
    </r>
    <r>
      <rPr>
        <sz val="10"/>
        <color theme="1"/>
        <rFont val="Calibri"/>
        <family val="2"/>
        <scheme val="minor"/>
      </rPr>
      <t xml:space="preserve">the structural and thermal characteristics of </t>
    </r>
    <r>
      <rPr>
        <i/>
        <sz val="10"/>
        <color theme="1"/>
        <rFont val="Calibri"/>
        <family val="2"/>
        <scheme val="minor"/>
      </rPr>
      <t xml:space="preserve">mass walls </t>
    </r>
    <r>
      <rPr>
        <sz val="10"/>
        <color theme="1"/>
        <rFont val="Calibri"/>
        <family val="2"/>
        <scheme val="minor"/>
      </rPr>
      <t xml:space="preserve">and are used for a minimum of 75 percent of the gross exterior wall area of the building. </t>
    </r>
  </si>
  <si>
    <t>602 ENHANCED DURABILITY AND REDUCED MAINTENANCE</t>
  </si>
  <si>
    <r>
      <t>602.0 Intent.</t>
    </r>
    <r>
      <rPr>
        <sz val="10"/>
        <color theme="1"/>
        <rFont val="Calibri"/>
        <family val="2"/>
        <scheme val="minor"/>
      </rPr>
      <t xml:space="preserve"> Design and construction practices are implemented that enhance the durability of materials and reduce in-service maintenance.</t>
    </r>
  </si>
  <si>
    <t>602.1 Moisture Management – Building Envelope</t>
  </si>
  <si>
    <t>602.1.1</t>
  </si>
  <si>
    <t>602.1.1 Capillary breaks</t>
  </si>
  <si>
    <t>602.1.1.1</t>
  </si>
  <si>
    <r>
      <t xml:space="preserve">602.1.1.1 </t>
    </r>
    <r>
      <rPr>
        <sz val="10"/>
        <color theme="1"/>
        <rFont val="Calibri"/>
        <family val="2"/>
        <scheme val="minor"/>
      </rPr>
      <t>Capillary breaks A capillary break and vapor retarder are installed at concrete slabs in accordance with ICC IRC Sections R506.2.2 and R506.2.3 or ICC IBC Sections 1907 and 1805.4.1.</t>
    </r>
  </si>
  <si>
    <t xml:space="preserve">602.1.1.2 </t>
  </si>
  <si>
    <r>
      <t>602.1.1.2</t>
    </r>
    <r>
      <rPr>
        <sz val="10"/>
        <color theme="1"/>
        <rFont val="Calibri"/>
        <family val="2"/>
        <scheme val="minor"/>
      </rPr>
      <t xml:space="preserve"> A capillary break between the footing and the foundation wall is provided to prevent moisture migration into foundation wall.</t>
    </r>
  </si>
  <si>
    <t xml:space="preserve">602.1.2 </t>
  </si>
  <si>
    <r>
      <t>602.1.2 Foundation waterproofing.</t>
    </r>
    <r>
      <rPr>
        <sz val="10"/>
        <color theme="1"/>
        <rFont val="Calibri"/>
        <family val="2"/>
        <scheme val="minor"/>
      </rPr>
      <t xml:space="preserve"> Enhanced foundation waterproofing is installed using one or both of the following:</t>
    </r>
  </si>
  <si>
    <t>rubberized coating, or</t>
  </si>
  <si>
    <t>drainage mat</t>
  </si>
  <si>
    <t>602.1.3</t>
  </si>
  <si>
    <t>602.1.3 Foundation drainage</t>
  </si>
  <si>
    <t>602.1.3.1</t>
  </si>
  <si>
    <r>
      <t>602.1.3.1</t>
    </r>
    <r>
      <rPr>
        <sz val="10"/>
        <color theme="1"/>
        <rFont val="Calibri"/>
        <family val="2"/>
        <scheme val="minor"/>
      </rPr>
      <t xml:space="preserve"> Where required by the ICC IRC or IBC for habitable and usable spaces below grade, exterior drain tile is installed.</t>
    </r>
  </si>
  <si>
    <t>602.1.3.2</t>
  </si>
  <si>
    <r>
      <t>602.1.3.2</t>
    </r>
    <r>
      <rPr>
        <sz val="10"/>
        <color theme="1"/>
        <rFont val="Calibri"/>
        <family val="2"/>
        <scheme val="minor"/>
      </rPr>
      <t xml:space="preserve"> Interior and exterior foundation perimeter drains are installed and sloped to discharge to daylight, dry well, or sump pit.</t>
    </r>
  </si>
  <si>
    <t>602.1.4</t>
  </si>
  <si>
    <r>
      <t>602.1.4</t>
    </r>
    <r>
      <rPr>
        <sz val="10"/>
        <color theme="1"/>
        <rFont val="Calibri"/>
        <family val="2"/>
        <scheme val="minor"/>
      </rPr>
      <t xml:space="preserve"> </t>
    </r>
    <r>
      <rPr>
        <b/>
        <sz val="10"/>
        <color theme="1"/>
        <rFont val="Calibri"/>
        <family val="2"/>
        <scheme val="minor"/>
      </rPr>
      <t>Crawlspaces</t>
    </r>
  </si>
  <si>
    <t>602.1.4.1</t>
  </si>
  <si>
    <r>
      <t>602.1.4.1</t>
    </r>
    <r>
      <rPr>
        <sz val="10"/>
        <color theme="1"/>
        <rFont val="Calibri"/>
        <family val="2"/>
        <scheme val="minor"/>
      </rPr>
      <t xml:space="preserve"> Vapor retarder in unconditioned vented crawlspace is in accordance with the following, as applicable. Joints of vapor retarder overlap a minimum of 6 inches (152 mm) and are taped.</t>
    </r>
  </si>
  <si>
    <t>Floors. Minimum 6 mil vapor retarder installed on the crawlspace floor and extended at least 6 inches up the wall and is attached and sealed to the wall.</t>
  </si>
  <si>
    <t>Walls. Dampproof walls are provided below finished grade.</t>
  </si>
  <si>
    <t>602.1.4.2</t>
  </si>
  <si>
    <r>
      <t>602.1.4.2</t>
    </r>
    <r>
      <rPr>
        <sz val="10"/>
        <color theme="1"/>
        <rFont val="Calibri"/>
        <family val="2"/>
        <scheme val="minor"/>
      </rPr>
      <t xml:space="preserve"> Crawlspace that is built as a conditioned area is sealed to prevent outside air infiltration and provided with conditioned air at a rate not less than 0.02 cfm (.009 L/s) per square foot of horizontal area and one of the following is implemented:</t>
    </r>
  </si>
  <si>
    <t>602.1.5</t>
  </si>
  <si>
    <r>
      <t>602.1.5 Termite barrier.</t>
    </r>
    <r>
      <rPr>
        <sz val="10"/>
        <color theme="1"/>
        <rFont val="Calibri"/>
        <family val="2"/>
        <scheme val="minor"/>
      </rPr>
      <t xml:space="preserve"> Continuous physical foundation termite barrier provided:</t>
    </r>
  </si>
  <si>
    <t>In geographic areas that have moderate to heavy infestation potential in accordance with figure 6(3), a no or low toxicity treatment is also installed.</t>
  </si>
  <si>
    <t>In geographic areas that have a very heavy infestation potential in accordance with figure 6(3), in addition a low toxicity bait and kill termite treatment plan is selected and implemented.</t>
  </si>
  <si>
    <t>602.1.6</t>
  </si>
  <si>
    <r>
      <t>602.1.6 Termite-resistant materials.</t>
    </r>
    <r>
      <rPr>
        <sz val="10"/>
        <color theme="1"/>
        <rFont val="Calibri"/>
        <family val="2"/>
        <scheme val="minor"/>
      </rPr>
      <t xml:space="preserve"> In areas of termite infestation probability as defined by Figure 6(3), termite-resistant materials are used as follows: </t>
    </r>
  </si>
  <si>
    <t>In areas of slight to moderate termite infestation probability: for the foundation, all structural walls, floors, concealed roof spaces not accessible for inspection, exterior decks, and exterior claddings within the first 2 feet (610 mm) above the top of the foundation.</t>
  </si>
  <si>
    <t>In areas of moderate to heavy termite infestation probability: for the foundation, all structural walls, floors, concealed roof spaces not accessible for inspection, exterior decks, and exterior claddings within the first 3 feet (914 mm) above the top of the foundation.</t>
  </si>
  <si>
    <t>In areas of very heavy termite infestation probability: for the foundation, all structural walls, floors, concealed roof spaces not accessible for inspection, exterior decks, and exterior claddings.</t>
  </si>
  <si>
    <t>602.1.7</t>
  </si>
  <si>
    <t>602.1.7 Moisture control measures</t>
  </si>
  <si>
    <t>602.1.7.1</t>
  </si>
  <si>
    <r>
      <t xml:space="preserve">602.1.7.1 </t>
    </r>
    <r>
      <rPr>
        <sz val="10"/>
        <color theme="1"/>
        <rFont val="Calibri"/>
        <family val="2"/>
        <scheme val="minor"/>
      </rPr>
      <t>Moisture control measures are in accordance with the following:</t>
    </r>
  </si>
  <si>
    <t>Building materials with visible mold are not installed or are cleaned or encapsulated prior to concealment and closing.</t>
  </si>
  <si>
    <t>Insulation in cavities is dry in accordance with manufacturer’s instructions when enclosed (e.g., with drywall).</t>
  </si>
  <si>
    <t xml:space="preserve">The moisture content of lumber is sampled to ensure it does not exceed 19 percent prior to the surface and/or cavity enclosure. </t>
  </si>
  <si>
    <t>602.1.7.2</t>
  </si>
  <si>
    <t xml:space="preserve">602.1.7.2 </t>
  </si>
  <si>
    <r>
      <t xml:space="preserve">602.1.7.2 </t>
    </r>
    <r>
      <rPr>
        <sz val="10"/>
        <color theme="1"/>
        <rFont val="Calibri"/>
        <family val="2"/>
        <scheme val="minor"/>
      </rPr>
      <t xml:space="preserve">Moisture content of subfloor, substrate, or concrete slabs is in accordance with the appropriate industry standard for the finish flooring to be applied. </t>
    </r>
  </si>
  <si>
    <t>602.1.7.3</t>
  </si>
  <si>
    <t xml:space="preserve">602.1.7.3 </t>
  </si>
  <si>
    <r>
      <t xml:space="preserve">602.1.7.3 </t>
    </r>
    <r>
      <rPr>
        <sz val="10"/>
        <color theme="1"/>
        <rFont val="Calibri"/>
        <family val="2"/>
        <scheme val="minor"/>
      </rPr>
      <t>Building envelope assemblies are designed for moisture control based on documented hygrothermal simulation or field study analysis. Hygrothermal analysis is required to incorporate representative climatic conditions, interior conditions and include heating and cooling seasonal variation.</t>
    </r>
  </si>
  <si>
    <t>602.1.8</t>
  </si>
  <si>
    <r>
      <t>602.1.8 Water-resistive barrier.</t>
    </r>
    <r>
      <rPr>
        <sz val="10"/>
        <color theme="1"/>
        <rFont val="Calibri"/>
        <family val="2"/>
        <scheme val="minor"/>
      </rPr>
      <t xml:space="preserve"> Where required by the ICC, IRC, or IBC, a water-resistive barrier and/or drainage plane system is installed behind exterior veneer and/or siding. </t>
    </r>
  </si>
  <si>
    <t>602.1.9</t>
  </si>
  <si>
    <r>
      <t>602.1.9 Flashing.</t>
    </r>
    <r>
      <rPr>
        <sz val="10"/>
        <color theme="1"/>
        <rFont val="Calibri"/>
        <family val="2"/>
        <scheme val="minor"/>
      </rPr>
      <t xml:space="preserve"> Flashing is provided as follows to minimize water entry into wall and roof assemblies and to direct water to exterior surfaces or exterior water-resistive barriers for drainage. Flashing details are provided in the construction documents and are in accordance with the fenestration manufacturer’s instructions, the flashing manufacturer’s instructions, or as detailed by a registered design professional. </t>
    </r>
  </si>
  <si>
    <t>Flashing is installed at all of the following locations, as applicable:</t>
  </si>
  <si>
    <t>around exterior fenestrations, skylights, and doors</t>
  </si>
  <si>
    <t>at roof valleys</t>
  </si>
  <si>
    <t xml:space="preserve">at all building-to-deck, -balcony, -porch, and -stair intersections </t>
  </si>
  <si>
    <t>at roof-to-wall intersections, at roof-to-chimney intersections, at wall-to-chimney intersections, and at parapets</t>
  </si>
  <si>
    <t>at ends of and under masonry, wood, or metal copings and sills</t>
  </si>
  <si>
    <t>(f)</t>
  </si>
  <si>
    <t>above projecting wood trim</t>
  </si>
  <si>
    <t>(g)</t>
  </si>
  <si>
    <t>at built-in roof gutters, and</t>
  </si>
  <si>
    <t>(h)</t>
  </si>
  <si>
    <t>drip edge is installed at eave and rake edges.</t>
  </si>
  <si>
    <t>All window and door head and jamb flashing is either self-adhered flashing complying with AAMA 711-13 or liquid applied flashing complying with AAMA 714-15 and installed in accordance with fenestration or flashing manufacturer’s installation instructions.</t>
  </si>
  <si>
    <t>Pan flashing is installed at sills of all exterior windows and doors.</t>
  </si>
  <si>
    <r>
      <t xml:space="preserve">Seamless, preformed kickout flashing, or prefabricated metal with soldered seams is provided at all roof-to-wall intersections. </t>
    </r>
    <r>
      <rPr>
        <sz val="10"/>
        <color rgb="FF000000"/>
        <rFont val="Calibri"/>
        <family val="2"/>
        <scheme val="minor"/>
      </rPr>
      <t>The type and thickness of the material used for roof flashing including but not limited kickout and step flashing is commensurate with the anticipated service life of the roofing material.</t>
    </r>
  </si>
  <si>
    <t>A rainscreen wall design as follows is used for exterior wall assemblies</t>
  </si>
  <si>
    <t>a system designed with minimum 1/4-inch air space exterior to the water-resistive barrier, vented to the exterior at top and bottom of the wall, and integrated with flashing details. OR</t>
  </si>
  <si>
    <t>a cladding material or a water-resistive barrier with enhanced drainage, meeting 75 percent drainage efficiency determined in accordance with ASTM E2273.</t>
  </si>
  <si>
    <t>Through-wall flashing is installed at transitions between wall cladding materials or wall construction types.</t>
  </si>
  <si>
    <t>Flashing is installed at expansion joints in stucco walls.</t>
  </si>
  <si>
    <t>602.1.10</t>
  </si>
  <si>
    <t xml:space="preserve">602.1.10 </t>
  </si>
  <si>
    <r>
      <t xml:space="preserve">602.1.10 Exterior doors. </t>
    </r>
    <r>
      <rPr>
        <sz val="10"/>
        <color theme="1"/>
        <rFont val="Calibri"/>
        <family val="2"/>
        <scheme val="minor"/>
      </rPr>
      <t>Entries at exterior door assemblies, inclusive of side lights (if any), are covered by one of the following methods to protect the building from the effects of precipitation and solar radiation. Either a storm door or a projection factor of 0.375 minimum is provided. Eastern- and western-facing entries in Climate Zones 1, 2, and 3, as determined in accordance with Figure 6(1) or Appendix C, have either a storm door or a projection factor of 1.0 minimum, unless protected from direct solar radiation by other means (e.g., screen wall, vegetation).</t>
    </r>
  </si>
  <si>
    <t>installing a porch roof or awning</t>
  </si>
  <si>
    <t>extending the roof overhang</t>
  </si>
  <si>
    <t>recessing the exterior door</t>
  </si>
  <si>
    <t>Installing a storm door</t>
  </si>
  <si>
    <t>602.1.11</t>
  </si>
  <si>
    <t xml:space="preserve">602.1.11 </t>
  </si>
  <si>
    <r>
      <t>602.1.11 Tile backing materials.</t>
    </r>
    <r>
      <rPr>
        <sz val="10"/>
        <color theme="1"/>
        <rFont val="Calibri"/>
        <family val="2"/>
        <scheme val="minor"/>
      </rPr>
      <t xml:space="preserve"> Tile backing materials installed under tiled surfaces in wet areas are in accordance with ASTM C1178, C1278, C1288, or C1325.</t>
    </r>
  </si>
  <si>
    <t>602.1.12</t>
  </si>
  <si>
    <r>
      <t xml:space="preserve">602.1.12 Roof overhangs. </t>
    </r>
    <r>
      <rPr>
        <sz val="10"/>
        <color theme="1"/>
        <rFont val="Calibri"/>
        <family val="2"/>
        <scheme val="minor"/>
      </rPr>
      <t>Roof overhangs, in accordance with Table 602.1.12, are provided over a minimum of 90 percent of exterior walls to protect the building envelope.</t>
    </r>
  </si>
  <si>
    <t>602.1.13</t>
  </si>
  <si>
    <t xml:space="preserve">602.1.13 </t>
  </si>
  <si>
    <r>
      <t xml:space="preserve">602.1.13 Ice barrier. </t>
    </r>
    <r>
      <rPr>
        <sz val="10"/>
        <color theme="1"/>
        <rFont val="Calibri"/>
        <family val="2"/>
        <scheme val="minor"/>
      </rPr>
      <t>In areas where there has been a history of ice forming along the eaves causing a backup of water, an ice barrier is installed in accordance with the ICC IRC or IBC at roof eaves of pitched roofs and extends a minimum of 24 inches (610 mm) inside the exterior wall line of the building.</t>
    </r>
  </si>
  <si>
    <t>602.1.14</t>
  </si>
  <si>
    <r>
      <t>602.1.14 Architectural features</t>
    </r>
    <r>
      <rPr>
        <sz val="10"/>
        <color theme="1"/>
        <rFont val="Calibri"/>
        <family val="2"/>
        <scheme val="minor"/>
      </rPr>
      <t>. Architectural features that increase the potential for water intrusion are avoided:</t>
    </r>
  </si>
  <si>
    <t>All horizontal ledgers are sloped away to provide gravity drainage as appropriate for the application.</t>
  </si>
  <si>
    <t>No roof configurations that create horizontal valleys in roof design.</t>
  </si>
  <si>
    <t>No recessed windows and architectural features that trap water on horizontal surfaces.</t>
  </si>
  <si>
    <r>
      <t>602.2 Roof surfaces.</t>
    </r>
    <r>
      <rPr>
        <sz val="10"/>
        <color theme="1"/>
        <rFont val="Calibri"/>
        <family val="2"/>
        <scheme val="minor"/>
      </rPr>
      <t xml:space="preserve"> A minimum of 90 percent of roof surfaces, not used for roof penetrations and associated equipment, on-site renewable energy systems such as photovoltaics or solar thermal energy collectors, or rooftop decks, amenities and walkways, are constructed of one or more of the following:</t>
    </r>
  </si>
  <si>
    <r>
      <t>products that are in accordance with the ENERGY STAR</t>
    </r>
    <r>
      <rPr>
        <b/>
        <sz val="10"/>
        <color theme="1"/>
        <rFont val="Calibri"/>
        <family val="2"/>
        <scheme val="minor"/>
      </rPr>
      <t>®</t>
    </r>
    <r>
      <rPr>
        <sz val="10"/>
        <color theme="1"/>
        <rFont val="Calibri"/>
        <family val="2"/>
        <scheme val="minor"/>
      </rPr>
      <t xml:space="preserve"> cool roof certification or equivalent</t>
    </r>
  </si>
  <si>
    <t>a vegetated roof system</t>
  </si>
  <si>
    <t>Minimum initial SRI of 78 for low-sloped roof (a slope less than 2:12) and a minimum initial SRI of 29 for a steep-sloped roof (a slope equal to or greater than 2:12).  The SRI is calculated in accordance with ASTM E1980.  Roof products are certified and labeled.</t>
  </si>
  <si>
    <r>
      <t>602.3 Roof water discharge.</t>
    </r>
    <r>
      <rPr>
        <sz val="10"/>
        <color theme="1"/>
        <rFont val="Calibri"/>
        <family val="2"/>
        <scheme val="minor"/>
      </rPr>
      <t xml:space="preserve"> A gutter and downspout system or splash blocks and effective grading are provided to carry water a minimum of 5 feet (1524 mm) away from perimeter foundation walls. </t>
    </r>
  </si>
  <si>
    <r>
      <t>602.4 Finished grade.</t>
    </r>
    <r>
      <rPr>
        <sz val="10"/>
        <color theme="1"/>
        <rFont val="Calibri"/>
        <family val="2"/>
        <scheme val="minor"/>
      </rPr>
      <t xml:space="preserve"> </t>
    </r>
  </si>
  <si>
    <t>602.4.1</t>
  </si>
  <si>
    <r>
      <t>602.4.1</t>
    </r>
    <r>
      <rPr>
        <sz val="10"/>
        <color theme="1"/>
        <rFont val="Calibri"/>
        <family val="2"/>
        <scheme val="minor"/>
      </rPr>
      <t xml:space="preserve"> Finished grade at all sides of a building is sloped to provide a minimum of 6 inches (150 mm) of fall within 10 feet (3048 mm) of the edge of the building. Where lot lines, walls, slopes, or other physical barriers prohibit 6 inches (152 mm) of fall within 10 feet (3048 mm), the final grade is sloped away from the edge of the building at a minimum slope of 2 percent.</t>
    </r>
  </si>
  <si>
    <t>602.4.2</t>
  </si>
  <si>
    <r>
      <t>602.4.2</t>
    </r>
    <r>
      <rPr>
        <sz val="10"/>
        <color theme="1"/>
        <rFont val="Calibri"/>
        <family val="2"/>
        <scheme val="minor"/>
      </rPr>
      <t xml:space="preserve"> The final grade is sloped away from the edge of the building at a minimum slope of 5 percent.</t>
    </r>
  </si>
  <si>
    <t>602.4.3</t>
  </si>
  <si>
    <r>
      <t>602.4.3</t>
    </r>
    <r>
      <rPr>
        <sz val="10"/>
        <color theme="1"/>
        <rFont val="Calibri"/>
        <family val="2"/>
        <scheme val="minor"/>
      </rPr>
      <t xml:space="preserve"> Water is directed to drains or swales to ensure drainage away from the structure.</t>
    </r>
  </si>
  <si>
    <t xml:space="preserve">603 REUSED OR SALVAGED MATERIALS </t>
  </si>
  <si>
    <r>
      <t>603.0 Intent.</t>
    </r>
    <r>
      <rPr>
        <sz val="10"/>
        <color theme="1"/>
        <rFont val="Calibri"/>
        <family val="2"/>
        <scheme val="minor"/>
      </rPr>
      <t xml:space="preserve"> Practices that reuse or modify existing structures, salvage materials for other uses, or use salvaged materials in the building’s construction are implemented.</t>
    </r>
    <r>
      <rPr>
        <b/>
        <sz val="10"/>
        <color theme="1"/>
        <rFont val="Calibri"/>
        <family val="2"/>
        <scheme val="minor"/>
      </rPr>
      <t xml:space="preserve"> </t>
    </r>
  </si>
  <si>
    <r>
      <t xml:space="preserve">603.1 Reuse of existing building. </t>
    </r>
    <r>
      <rPr>
        <sz val="10"/>
        <color theme="1"/>
        <rFont val="Calibri"/>
        <family val="2"/>
        <scheme val="minor"/>
      </rPr>
      <t>Major elements or components of existing buildings and structures are reused, modified, or deconstructed for later use.</t>
    </r>
  </si>
  <si>
    <r>
      <t>(Points awarded for every 200 square feet (18.5 m</t>
    </r>
    <r>
      <rPr>
        <b/>
        <vertAlign val="superscript"/>
        <sz val="10"/>
        <color theme="1"/>
        <rFont val="Calibri"/>
        <family val="2"/>
        <scheme val="minor"/>
      </rPr>
      <t>2</t>
    </r>
    <r>
      <rPr>
        <b/>
        <sz val="10"/>
        <color theme="1"/>
        <rFont val="Calibri"/>
        <family val="2"/>
        <scheme val="minor"/>
      </rPr>
      <t>) of floor area.)</t>
    </r>
  </si>
  <si>
    <r>
      <t>603.2 Salvaged materials.</t>
    </r>
    <r>
      <rPr>
        <sz val="10"/>
        <color theme="1"/>
        <rFont val="Calibri"/>
        <family val="2"/>
        <scheme val="minor"/>
      </rPr>
      <t xml:space="preserve"> Reclaimed and/or salvaged materials and components are used. The total material value and labor cost of salvaged materials is equal to or exceeds 1 percent of the total construction cost. </t>
    </r>
  </si>
  <si>
    <r>
      <t>603.3 Scrap materials.</t>
    </r>
    <r>
      <rPr>
        <sz val="10"/>
        <color theme="1"/>
        <rFont val="Calibri"/>
        <family val="2"/>
        <scheme val="minor"/>
      </rPr>
      <t xml:space="preserve"> Sorting and reuse of scrap building material is facilitated (e.g., a central storage area or dedicated bins are provided). </t>
    </r>
  </si>
  <si>
    <t>604 RECYCLED-CONTENT BUILDING MATERIALS</t>
  </si>
  <si>
    <r>
      <t>604.1 Recycled content.</t>
    </r>
    <r>
      <rPr>
        <sz val="10"/>
        <color theme="1"/>
        <rFont val="Calibri"/>
        <family val="2"/>
        <scheme val="minor"/>
      </rPr>
      <t xml:space="preserve"> Building materials with recycled content are used for two minor and/or two major components of the building.</t>
    </r>
  </si>
  <si>
    <t xml:space="preserve">605 RECYCLED CONSTRUCTION WASTE </t>
  </si>
  <si>
    <r>
      <t>605.0 Intent.</t>
    </r>
    <r>
      <rPr>
        <sz val="10"/>
        <color theme="1"/>
        <rFont val="Calibri"/>
        <family val="2"/>
        <scheme val="minor"/>
      </rPr>
      <t xml:space="preserve"> Waste generated during construction is recycled. All waste classified as hazardous is properly handled and disposed of. </t>
    </r>
  </si>
  <si>
    <t>(Points not awarded for hazardous waste removal.)</t>
  </si>
  <si>
    <r>
      <t>605.1 Construction waste management plan.</t>
    </r>
    <r>
      <rPr>
        <sz val="10"/>
        <color theme="1"/>
        <rFont val="Calibri"/>
        <family val="2"/>
        <scheme val="minor"/>
      </rPr>
      <t xml:space="preserve"> A construction waste management plan is developed, posted at the jobsite, and implemented diverting, through reuse, salvage, recycling, or manufacturer reclamation, a minimum of 50 percent (by weight) of nonhazardous construction and demolition waste from disposal. For this practice, land clearing debris is not considered construction waste. Materials used as alternative daily cover are considered construction waste and do not count toward recycling or salvaging.</t>
    </r>
  </si>
  <si>
    <t>For remodeling projects or demolition of an existing facility, the waste management plan includes the recycling of 95 percent of electronic waste components (such as printed circuit boards from computers, building automation systems, HVAC, fire and security control boards) by an EPA certified E-Waste recycling facility.</t>
  </si>
  <si>
    <t>Exceptions:</t>
  </si>
  <si>
    <t>Waste materials generated from land clearing, soil and sub-grade excavation and all manner of vegetative debris shall not be in the calculations.</t>
  </si>
  <si>
    <t xml:space="preserve">A recycling facility (traditional or E-Waste) offering material receipt documentation is not available within 50 miles of the jobsite.   </t>
  </si>
  <si>
    <r>
      <t>605.2 On-site recycling.</t>
    </r>
    <r>
      <rPr>
        <sz val="10"/>
        <color theme="1"/>
        <rFont val="Calibri"/>
        <family val="2"/>
        <scheme val="minor"/>
      </rPr>
      <t xml:space="preserve"> On-site recycling measures following applicable regulations and codes are implemented, such as the following:</t>
    </r>
  </si>
  <si>
    <t>Materials are ground or otherwise safely applied on-site as soil amendment or fill. A minimum of 50 percent (by weight) of construction and land-clearing waste is diverted from landfill.</t>
  </si>
  <si>
    <t>Alternative compliance methods approved by the Adopting Entity.</t>
  </si>
  <si>
    <t>Compatible untreated biomass material (lumber, posts, beams, etc.) are set aside for combustion if a solid fuel-burning appliance per Section 901.2.1(2) will be available for on-site renewable energy.</t>
  </si>
  <si>
    <r>
      <t>605.3 Recycled construction materials.</t>
    </r>
    <r>
      <rPr>
        <sz val="10"/>
        <color theme="1"/>
        <rFont val="Calibri"/>
        <family val="2"/>
        <scheme val="minor"/>
      </rPr>
      <t xml:space="preserve"> Construction materials (e.g., wood, cardboard, metals, drywall, plastic, asphalt roofing shingles, or concrete) are recycled offsite.</t>
    </r>
  </si>
  <si>
    <t>6 Max</t>
  </si>
  <si>
    <t>a minimum of two types of materials are recycled</t>
  </si>
  <si>
    <t>for each additional recycled material type</t>
  </si>
  <si>
    <t>606 RENEWABLE MATERIALS</t>
  </si>
  <si>
    <r>
      <t>606.0 Intent.</t>
    </r>
    <r>
      <rPr>
        <sz val="10"/>
        <color theme="1"/>
        <rFont val="Calibri"/>
        <family val="2"/>
        <scheme val="minor"/>
      </rPr>
      <t xml:space="preserve"> Building materials derived from renewable resources are used.</t>
    </r>
  </si>
  <si>
    <r>
      <t>606.1 Biobased products.</t>
    </r>
    <r>
      <rPr>
        <sz val="10"/>
        <color theme="1"/>
        <rFont val="Calibri"/>
        <family val="2"/>
        <scheme val="minor"/>
      </rPr>
      <t xml:space="preserve"> The following biobased products are used:</t>
    </r>
  </si>
  <si>
    <t>certified solid wood in accordance with Section 606.2</t>
  </si>
  <si>
    <t>engineered wood</t>
  </si>
  <si>
    <t>bamboo</t>
  </si>
  <si>
    <t>cotton</t>
  </si>
  <si>
    <t>cork</t>
  </si>
  <si>
    <t>straw</t>
  </si>
  <si>
    <t>natural fiber products made from crops (soy-based, corn-based)</t>
  </si>
  <si>
    <t>other biobased materials with a minimum of 50 percent biobased content (by weight or volume)</t>
  </si>
  <si>
    <t xml:space="preserve">Two types of biobased materials are used, each for more than 0.5 percent of the project’s projected building material cost. </t>
  </si>
  <si>
    <t xml:space="preserve">Two types of biobased materials are used, each for more than 1 percent of the project’s projected building material cost. </t>
  </si>
  <si>
    <t>For each additional biobased material used for more than 0.5 percent of the project’s projected building material cost.</t>
  </si>
  <si>
    <r>
      <t>606.2 Wood-based products.</t>
    </r>
    <r>
      <rPr>
        <sz val="10"/>
        <color theme="1"/>
        <rFont val="Calibri"/>
        <family val="2"/>
        <scheme val="minor"/>
      </rPr>
      <t xml:space="preserve"> Wood or wood-based products are certified to the requirements of one of the following recognized product programs:</t>
    </r>
    <r>
      <rPr>
        <u/>
        <sz val="10"/>
        <color theme="1"/>
        <rFont val="Calibri"/>
        <family val="2"/>
        <scheme val="minor"/>
      </rPr>
      <t xml:space="preserve"> </t>
    </r>
  </si>
  <si>
    <r>
      <t>American Forest Foundation’s</t>
    </r>
    <r>
      <rPr>
        <i/>
        <sz val="10"/>
        <color theme="1"/>
        <rFont val="Calibri"/>
        <family val="2"/>
        <scheme val="minor"/>
      </rPr>
      <t xml:space="preserve"> American Tree Farm System® </t>
    </r>
    <r>
      <rPr>
        <sz val="10"/>
        <color theme="1"/>
        <rFont val="Calibri"/>
        <family val="2"/>
        <scheme val="minor"/>
      </rPr>
      <t>(ATFS)</t>
    </r>
  </si>
  <si>
    <r>
      <t xml:space="preserve">Canadian Standards Association’s </t>
    </r>
    <r>
      <rPr>
        <i/>
        <sz val="10"/>
        <color theme="1"/>
        <rFont val="Calibri"/>
        <family val="2"/>
        <scheme val="minor"/>
      </rPr>
      <t>Sustainable Forest Management System Standards</t>
    </r>
    <r>
      <rPr>
        <sz val="10"/>
        <color theme="1"/>
        <rFont val="Calibri"/>
        <family val="2"/>
        <scheme val="minor"/>
      </rPr>
      <t xml:space="preserve"> (CSA Z809)</t>
    </r>
  </si>
  <si>
    <r>
      <t>Forest Stewardship Council</t>
    </r>
    <r>
      <rPr>
        <sz val="10"/>
        <color theme="1"/>
        <rFont val="Calibri"/>
        <family val="2"/>
        <scheme val="minor"/>
      </rPr>
      <t xml:space="preserve"> (FSC)</t>
    </r>
  </si>
  <si>
    <r>
      <t>Program for Endorsement of Forest Certification Systems</t>
    </r>
    <r>
      <rPr>
        <sz val="10"/>
        <color theme="1"/>
        <rFont val="Calibri"/>
        <family val="2"/>
        <scheme val="minor"/>
      </rPr>
      <t xml:space="preserve"> (PEFC)</t>
    </r>
  </si>
  <si>
    <r>
      <t>Sustainable Forestry Initiative</t>
    </r>
    <r>
      <rPr>
        <i/>
        <sz val="10"/>
        <color theme="1"/>
        <rFont val="Symbol"/>
        <family val="1"/>
        <charset val="2"/>
      </rPr>
      <t>â</t>
    </r>
    <r>
      <rPr>
        <i/>
        <sz val="10"/>
        <color theme="1"/>
        <rFont val="Calibri"/>
        <family val="2"/>
        <scheme val="minor"/>
      </rPr>
      <t xml:space="preserve"> Program (SFI)</t>
    </r>
  </si>
  <si>
    <t>National Wood Flooring Association’s Responsible Procurement Program (RPP)</t>
  </si>
  <si>
    <t>other product programs mutually recognized by PEFC</t>
  </si>
  <si>
    <t>A minimum of two certified wood-based products are used for minor components of the building.</t>
  </si>
  <si>
    <t>A minimum of two certified wood-based products are used in major components of the building.</t>
  </si>
  <si>
    <r>
      <t>606.3 Manufacturing energy.</t>
    </r>
    <r>
      <rPr>
        <sz val="10"/>
        <color theme="1"/>
        <rFont val="Calibri"/>
        <family val="2"/>
        <scheme val="minor"/>
      </rPr>
      <t xml:space="preserve"> Materials manufactured using a minimum of 33 percent of the primary manufacturing process energy derived from (1) renewable sources, (2) combustible waste sources, or (3) renewable energy credits (RECs) are used for major components of the building.</t>
    </r>
  </si>
  <si>
    <t>(2 points awarded per material.)</t>
  </si>
  <si>
    <t>607 RECYCLING AND WASTE REDUCTION</t>
  </si>
  <si>
    <r>
      <t xml:space="preserve">607.1 Recycling and composting. </t>
    </r>
    <r>
      <rPr>
        <sz val="10"/>
        <color theme="1"/>
        <rFont val="Calibri"/>
        <family val="2"/>
        <scheme val="minor"/>
      </rPr>
      <t>Recycling and composting by the occupant are facilitated by one or more of the following methods:</t>
    </r>
  </si>
  <si>
    <t>A built-in collection space in each kitchen and an aggregation/pick-up space in a garage, covered outdoor space, or other area for recycling containers is provided.</t>
  </si>
  <si>
    <t>Compost facility is provided on the site.</t>
  </si>
  <si>
    <r>
      <t>607.2</t>
    </r>
    <r>
      <rPr>
        <sz val="10"/>
        <color theme="1"/>
        <rFont val="Calibri"/>
        <family val="2"/>
        <scheme val="minor"/>
      </rPr>
      <t xml:space="preserve"> </t>
    </r>
    <r>
      <rPr>
        <b/>
        <sz val="10"/>
        <color theme="1"/>
        <rFont val="Calibri"/>
        <family val="2"/>
        <scheme val="minor"/>
      </rPr>
      <t>Food waste disposers.</t>
    </r>
    <r>
      <rPr>
        <sz val="10"/>
        <color theme="1"/>
        <rFont val="Calibri"/>
        <family val="2"/>
        <scheme val="minor"/>
      </rPr>
      <t xml:space="preserve"> A minimum of one food waste disposer is installed at the primary kitchen sink. </t>
    </r>
  </si>
  <si>
    <t>608 RESOURCE-EFFICIENT MATERIALS</t>
  </si>
  <si>
    <r>
      <t>608.1</t>
    </r>
    <r>
      <rPr>
        <sz val="10"/>
        <color theme="1"/>
        <rFont val="Calibri"/>
        <family val="2"/>
        <scheme val="minor"/>
      </rPr>
      <t xml:space="preserve"> </t>
    </r>
    <r>
      <rPr>
        <b/>
        <sz val="10"/>
        <color theme="1"/>
        <rFont val="Calibri"/>
        <family val="2"/>
        <scheme val="minor"/>
      </rPr>
      <t xml:space="preserve">Resource-efficient materials. </t>
    </r>
    <r>
      <rPr>
        <sz val="10"/>
        <color theme="1"/>
        <rFont val="Calibri"/>
        <family val="2"/>
        <scheme val="minor"/>
      </rPr>
      <t>Products containing fewer materials are used to achieve the same end-use requirements as conventional products, including but not limited to:</t>
    </r>
  </si>
  <si>
    <t>lighter, thinner brick with bed depth less than 3 inches and/or brick with coring of more that 25 percent</t>
  </si>
  <si>
    <t>engineered wood or engineered steel products</t>
  </si>
  <si>
    <t>roof or floor trusses</t>
  </si>
  <si>
    <t>609 REGIONAL MATERIALS</t>
  </si>
  <si>
    <r>
      <t>609.1</t>
    </r>
    <r>
      <rPr>
        <sz val="10"/>
        <color theme="1"/>
        <rFont val="Calibri"/>
        <family val="2"/>
        <scheme val="minor"/>
      </rPr>
      <t xml:space="preserve"> </t>
    </r>
    <r>
      <rPr>
        <b/>
        <sz val="10"/>
        <color theme="1"/>
        <rFont val="Calibri"/>
        <family val="2"/>
        <scheme val="minor"/>
      </rPr>
      <t xml:space="preserve">Regional materials. </t>
    </r>
    <r>
      <rPr>
        <sz val="10"/>
        <color theme="1"/>
        <rFont val="Calibri"/>
        <family val="2"/>
        <scheme val="minor"/>
      </rPr>
      <t>Regional materials are used for major and/or minor components of the building.</t>
    </r>
  </si>
  <si>
    <t>10 Max</t>
  </si>
  <si>
    <t>610 LIFE CYCLE ASSESSMENT</t>
  </si>
  <si>
    <r>
      <t xml:space="preserve">610.1 Life cycle assessment. </t>
    </r>
    <r>
      <rPr>
        <sz val="10"/>
        <color theme="1"/>
        <rFont val="Calibri"/>
        <family val="2"/>
        <scheme val="minor"/>
      </rPr>
      <t>A life cycle assessment (LCA) tool is used to select environmentally preferable products, assemblies, or, entire building designs. Points are awarded in accordance with Section 610.1.1 or 610.1.2. Only one method of analysis or tool may be utilized. The reference service life for the building is 60 years for any life cycle analysis tool. Results of the LCA are reported in the manual required in Section 1001.1 or 1002.1(1) of this Standard in terms of the environmental impacts listed in this practice and it is stated if operating energy was included in the LCA.</t>
    </r>
  </si>
  <si>
    <t>610.1.1</t>
  </si>
  <si>
    <r>
      <t xml:space="preserve">610.1.1 Whole-building life cycle assessment. </t>
    </r>
    <r>
      <rPr>
        <sz val="10"/>
        <color theme="1"/>
        <rFont val="Calibri"/>
        <family val="2"/>
        <scheme val="minor"/>
      </rPr>
      <t>A whole-building LCA is performed in conformance with ASTM E2921 using ISO14044 compliant life cycle assessment.</t>
    </r>
  </si>
  <si>
    <t xml:space="preserve">Execute LCA at the whole building level through a comparative analysis between the final and reference building designs as set forth under Standard Practice, ASTM E2921.  The assessment criteria includes the following environmental impact categories:                                                      </t>
  </si>
  <si>
    <t>Primary energy use</t>
  </si>
  <si>
    <t>Global warming potential</t>
  </si>
  <si>
    <t>Acidification potential</t>
  </si>
  <si>
    <t>Eutrophication potential</t>
  </si>
  <si>
    <t>Ozone depletion potential</t>
  </si>
  <si>
    <t>Smog potential</t>
  </si>
  <si>
    <t>Execute LCA on regulated loads throughout the building operations life cycle stage.  Conduct simulated energy performance analyses in accordance with Section 702.2.1 ICC IECC analysis (IECC Section 405) in establishing the comparative performance of final versus reference building designs.  Primary energy use savings and global warming potential avoidance from simulation analyses results are determined using energy supplier, utility, or EPA electricity generation and other fuels energy conversion factors and electricity generation and other fuels emission rates for the locality or Sub-Region in which the building is located</t>
  </si>
  <si>
    <t>Execute full LCA, including use-phase, through calculation of operating energy impacts (c) – (f) using local or regional emissions factors from energy supplier, utility, or EPA.</t>
  </si>
  <si>
    <t>610.1.2</t>
  </si>
  <si>
    <r>
      <t xml:space="preserve">610.1.2 Life cycle assessment for a product or assembly. </t>
    </r>
    <r>
      <rPr>
        <sz val="10"/>
        <color theme="1"/>
        <rFont val="Calibri"/>
        <family val="2"/>
        <scheme val="minor"/>
      </rPr>
      <t>An environmentally preferable product or assembly is selected for an application based upon the use of an LCA tool that incorporates data methods compliant with ISO 14044 or other recognized standards that compare the environmental impact of products or assemblies.</t>
    </r>
  </si>
  <si>
    <t xml:space="preserve">10 Max </t>
  </si>
  <si>
    <t>610.1.2.1</t>
  </si>
  <si>
    <r>
      <t xml:space="preserve">610.1.2.1 Product LCA. </t>
    </r>
    <r>
      <rPr>
        <sz val="10"/>
        <color theme="1"/>
        <rFont val="Calibri"/>
        <family val="2"/>
        <scheme val="minor"/>
      </rPr>
      <t>A product with improved environmental impact measures compared to another product(s) intended for the same use is selected. The environmental impact measures used in the assessment are selected from the following:</t>
    </r>
  </si>
  <si>
    <t>(Points are awarded for each product/system comparison where the selected product/system improved upon the environmental impact measures by an average of 15 percent.)</t>
  </si>
  <si>
    <t>610.1.2.2</t>
  </si>
  <si>
    <r>
      <t xml:space="preserve">610.1.2.2 Building assembly LCA. </t>
    </r>
    <r>
      <rPr>
        <sz val="10"/>
        <color theme="1"/>
        <rFont val="Calibri"/>
        <family val="2"/>
        <scheme val="minor"/>
      </rPr>
      <t>A building assembly with improved environmental impact measures compared to an alternative assembly of the same function is selected. The full life cycle, from resource extraction to demolition and disposal (including but not limited to on-site construction, maintenance and replacement, material and product embodied acquisition, and process and transportation energy), is assessed. The assessment includes all structural elements, insulation, and wall coverings of the assembly. The assessment does not include electrical and mechanical equipment and controls, plumbing products, fire detection and alarm systems, elevators, and conveying systems. The following types of building assemblies are eligible for points under this practice:</t>
    </r>
  </si>
  <si>
    <t>exterior walls</t>
  </si>
  <si>
    <t>roof/ceiling</t>
  </si>
  <si>
    <t>interior walls or ceilings</t>
  </si>
  <si>
    <t>intermediate floors</t>
  </si>
  <si>
    <t>The environmental impact measures used in the assessment are selected from the following:</t>
  </si>
  <si>
    <t>(Points are awarded based on the number of types of building assemblies that improve upon environmental impact measures by an average of 15 percent.)</t>
  </si>
  <si>
    <t>611 INNOVATIVE PRACTICES</t>
  </si>
  <si>
    <r>
      <t>611.1 Manufacturer’s environmental management system concepts.</t>
    </r>
    <r>
      <rPr>
        <sz val="10"/>
        <color theme="1"/>
        <rFont val="Calibri"/>
        <family val="2"/>
        <scheme val="minor"/>
      </rPr>
      <t xml:space="preserve"> Product manufacturer’s operations and business practices include environmental management system concepts, and the production facility is registered to ISO 14001 or equivalent. The aggregate value of building products from registered ISO 14001 or equivalent production facilities is 1 percent or more of the estimated total building materials cost. </t>
    </r>
  </si>
  <si>
    <r>
      <t xml:space="preserve"> </t>
    </r>
    <r>
      <rPr>
        <b/>
        <sz val="10"/>
        <color theme="1"/>
        <rFont val="Calibri"/>
        <family val="2"/>
        <scheme val="minor"/>
      </rPr>
      <t>(1 point awarded per percent.)</t>
    </r>
  </si>
  <si>
    <r>
      <t xml:space="preserve">611.2 Sustainable products. </t>
    </r>
    <r>
      <rPr>
        <sz val="10"/>
        <color theme="1"/>
        <rFont val="Calibri"/>
        <family val="2"/>
        <scheme val="minor"/>
      </rPr>
      <t>One or more of the following products are used for at least 30% of the floor or wall area of the entire dwelling unit, as applicable. Products are certified by a third-party agency accredited to ISO 17065.</t>
    </r>
  </si>
  <si>
    <t>50% or more of carpet installed (by square feet) is certified to NSF 140.</t>
  </si>
  <si>
    <t>50% or more of resilient flooring installed (by square feet) is certified to NSF 332.</t>
  </si>
  <si>
    <t>50% or more of the insulation installed (by square feet) is certified to EcoLogo CCD-016.</t>
  </si>
  <si>
    <t>50% or more of interior wall coverings installed (by square feet) is certified to NSF 342.</t>
  </si>
  <si>
    <t>50% or more of the gypsum board installed (by square feet) is certified to UL 100.</t>
  </si>
  <si>
    <t>50% or more of the door leafs installed (by number of door leafs) is certified to UL 102.</t>
  </si>
  <si>
    <t>50% or more of the tile installed (by square feet) is certified to TCNA A138.1 Specifications for Sustainable Ceramic Tiles, Glass Tiles and Tile Installation Materials.</t>
  </si>
  <si>
    <r>
      <t xml:space="preserve">611.3 Universal design elements. </t>
    </r>
    <r>
      <rPr>
        <sz val="10"/>
        <color theme="1"/>
        <rFont val="Calibri"/>
        <family val="2"/>
        <scheme val="minor"/>
      </rPr>
      <t>Dwelling incorporates one or more of the following universal design elements. Conventional industry construction tolerances are permitted.</t>
    </r>
  </si>
  <si>
    <t>Any no-step entrance into the dwelling which (1) is accessible from a substantially level parking or drop-off area (no more than 2%) via an accessible path which has no individual change in elevation or other obstruction of more than 1-1/2 inches in height with the pitch not exceeding 1 in 12 and (2) provides a minimum 32-inch wide clearance into the dwelling.</t>
  </si>
  <si>
    <t xml:space="preserve">Minimum 36-inch wide accessible route from the no-step entrance into at least one visiting room in the dwelling and into at least one full or half bathroom which has a minimum 32-inch clear door width and a 30-inch by 48-inch clear area inside the bathroom outside the door swing. </t>
  </si>
  <si>
    <t xml:space="preserve">Minimum 36-inch wide accessible route from the no-step entrance into at least one bedroom which has a minimum 32-inch clear door width. </t>
  </si>
  <si>
    <t>Blocking or equivalent installed in the accessible bathroom walls for future installation of grab bars at water closet and bathing fixture, if applicable.</t>
  </si>
  <si>
    <t>All interior and exterior door handles are levers rather than knobs.</t>
  </si>
  <si>
    <t xml:space="preserve">All sink faucet controls are single-handle controls of both volume and temperature. </t>
  </si>
  <si>
    <t>Interior convenience Power receptacles, communication connections (for cable, phone, Ethernet, etc.) and switches are placed between 15” and 48” above the finished floor. Additional switches to control devices and systems (such as alarms, home theaters and other equipment) not required by the local building code may be installed as desired.</t>
  </si>
  <si>
    <t>All light switches are rocker-type switches or other similar switches that can be operated by pressing them (with assistive devices). Toggle-type switches may not be used.</t>
  </si>
  <si>
    <t>Any of the following can be controlled with a (wireless) mobile device such as a smartphone, tablet or laptop computer: HVAC, lighting, alarm system or door locks</t>
  </si>
  <si>
    <r>
      <t>611.4</t>
    </r>
    <r>
      <rPr>
        <sz val="10"/>
        <color theme="1"/>
        <rFont val="Calibri"/>
        <family val="2"/>
        <scheme val="minor"/>
      </rPr>
      <t xml:space="preserve"> </t>
    </r>
    <r>
      <rPr>
        <b/>
        <sz val="10"/>
        <color theme="1"/>
        <rFont val="Calibri"/>
        <family val="2"/>
        <scheme val="minor"/>
      </rPr>
      <t xml:space="preserve">Product declarations. </t>
    </r>
    <r>
      <rPr>
        <sz val="10"/>
        <color theme="1"/>
        <rFont val="Calibri"/>
        <family val="2"/>
        <scheme val="minor"/>
      </rPr>
      <t>A minimum of 10 different products installed in the building project, at the time of certificate of occupancy, comply with one of the following sub-sections.  Declarations, reports, and assessments are submitted to the Adopting Entity and contain documentation of the critical peer review by an independent third party, results from the review, the reviewer’s name, company name, contact information, and date of the review.</t>
    </r>
    <r>
      <rPr>
        <b/>
        <sz val="10"/>
        <color theme="1"/>
        <rFont val="Calibri"/>
        <family val="2"/>
        <scheme val="minor"/>
      </rPr>
      <t xml:space="preserve">  </t>
    </r>
  </si>
  <si>
    <t>611.4.1</t>
  </si>
  <si>
    <r>
      <t xml:space="preserve">611.4.1 Industry-wide declaration. </t>
    </r>
    <r>
      <rPr>
        <sz val="10"/>
        <color theme="1"/>
        <rFont val="Calibri"/>
        <family val="2"/>
      </rPr>
      <t xml:space="preserve">A Type III industry-wide environmental product declaration (EPD) is submitted for each product. Where the program operator explicitly recognizes the EPD as representative of the product group on a National level, it is considered industry-wide. In the case where an industry-wide EPD represents only a subset of an industry group, as opposed to being industry-wide, the manufacturer is required be explicitly recognized as a participant by the EPD program operator. All EPDs are required to be consistent with ISO Standards 14025 and 21930 with at least a cradle-to-gate scope. </t>
    </r>
    <r>
      <rPr>
        <b/>
        <sz val="10"/>
        <color theme="1"/>
        <rFont val="Calibri"/>
        <family val="2"/>
      </rPr>
      <t>(Each product complying with Section 611.4.1 shall be counted as one product for compliance with Section 611.4.)</t>
    </r>
  </si>
  <si>
    <t>611.4.2</t>
  </si>
  <si>
    <r>
      <t xml:space="preserve">611.4.2 Product Specific Declaration. </t>
    </r>
    <r>
      <rPr>
        <sz val="10"/>
        <color theme="1"/>
        <rFont val="Calibri"/>
        <family val="2"/>
      </rPr>
      <t xml:space="preserve">A product specific Type III EPD are submitted for each product. The product specific declaration shall be manufacturer specific for an individual product or product family. All Type III EPDs are required to be certified as complying, at a minimum, with the goal and scope for the cradle-to-gate requirements in accordance with ISO Standards 14025 and 21930.  </t>
    </r>
    <r>
      <rPr>
        <b/>
        <sz val="10"/>
        <color theme="1"/>
        <rFont val="Calibri"/>
        <family val="2"/>
      </rPr>
      <t>(Each product complying with Section 611.4.2 shall be counted as two products for compliance with Section 611.4.)</t>
    </r>
  </si>
  <si>
    <t>501 LOT SELECTION</t>
  </si>
  <si>
    <t>500 LOT DESIGN, PREPERATION AND DEVELOPMENT</t>
  </si>
  <si>
    <t>2 per exterior door
6 Max</t>
  </si>
  <si>
    <t>Max Slope in Const. Zn:</t>
  </si>
  <si>
    <t>501</t>
  </si>
  <si>
    <t>Ch6NLev</t>
  </si>
  <si>
    <t>Ch6Error</t>
  </si>
  <si>
    <t>Ch7Level</t>
  </si>
  <si>
    <t>Ch7Points</t>
  </si>
  <si>
    <t>Ch7MandError</t>
  </si>
  <si>
    <t>Ch7NLev</t>
  </si>
  <si>
    <t>Ch8Level</t>
  </si>
  <si>
    <t>Ch8Points</t>
  </si>
  <si>
    <t>Ch8MandError</t>
  </si>
  <si>
    <t>Ch8Error</t>
  </si>
  <si>
    <t>Ch8NLev</t>
  </si>
  <si>
    <t>Ch7Error</t>
  </si>
  <si>
    <t>Ch9Level</t>
  </si>
  <si>
    <t>Ch9Points</t>
  </si>
  <si>
    <t>Ch9MandError</t>
  </si>
  <si>
    <t>Ch9NLev</t>
  </si>
  <si>
    <t>Ch9Error</t>
  </si>
  <si>
    <t>Ch10Level</t>
  </si>
  <si>
    <t>Ch10Points</t>
  </si>
  <si>
    <t>Ch10MandError</t>
  </si>
  <si>
    <t>Ch10NLev</t>
  </si>
  <si>
    <t>Ch10Error</t>
  </si>
  <si>
    <t>1 additional</t>
  </si>
  <si>
    <t>front only</t>
  </si>
  <si>
    <t>rear only</t>
  </si>
  <si>
    <t>full</t>
  </si>
  <si>
    <t>100%</t>
  </si>
  <si>
    <t>10 percent to &lt; 25 percent</t>
  </si>
  <si>
    <t>Note: Points must be earned in 503.3 in order for points in 504.1 to be available</t>
  </si>
  <si>
    <t>NOTE: Points must be taken in 503.3 to claim points in 504.1.</t>
  </si>
  <si>
    <t>CLICK TO PROCEED TO CHAPTER 6 &gt;&gt;</t>
  </si>
  <si>
    <t>END OF CHAPTER 5</t>
  </si>
  <si>
    <t>801 INDOOR AND OUTDOOR WATER USE</t>
  </si>
  <si>
    <t>801.0</t>
  </si>
  <si>
    <r>
      <t>801.0 Intent.</t>
    </r>
    <r>
      <rPr>
        <sz val="10"/>
        <color theme="1"/>
        <rFont val="Calibri"/>
        <family val="2"/>
        <scheme val="minor"/>
      </rPr>
      <t xml:space="preserve"> Measures that reduce indoor and outdoor water usage are implemented.</t>
    </r>
  </si>
  <si>
    <r>
      <t>801.1 Indoor hot water usage.</t>
    </r>
    <r>
      <rPr>
        <sz val="10"/>
        <color theme="1"/>
        <rFont val="Calibri"/>
        <family val="2"/>
        <scheme val="minor"/>
      </rPr>
      <t xml:space="preserve"> Indoor hot water supply system is in accordance with one of the practices listed in items (1) through (5). The maximum water volume from the source of hot water to the termination of the fixture supply is determined in accordance with Tables 801.1(1) or 801.1(2). The maximum pipe length from the source of hot water to the termination of the fixture supply is 50 feet.</t>
    </r>
  </si>
  <si>
    <t>(Where more than one water heater is used or where more than one type of hot water supply system, including multiple circulation loops, is used, points are awarded only for the system that qualifies for the minimum number of points.)</t>
  </si>
  <si>
    <t>(Systems with circulation loops are eligible for points only if pumps are demand controlled. Circulation systems with timers or aquastats and constant-on circulation systems are not eligible to receive points.)</t>
  </si>
  <si>
    <t>(Points awarded only if the pipes are insulated in accordance with Section 705.6.3.)</t>
  </si>
  <si>
    <t>The maximum volume from the water heater to the termination of the fixture supply at furthest fixture is 128 ounces (1 gallon or 3.78 liters).</t>
  </si>
  <si>
    <t>The maximum volume from the water heater to the termination of the fixture supply at furthest fixture is 64 ounces (0.5 gallon or 1.89 liters).</t>
  </si>
  <si>
    <t>The maximum volume from the water heater to the termination of the fixture supply at furthest fixture is 32 ounces (0.25 gallon or 0.945 liters).</t>
  </si>
  <si>
    <t>A demand controlled hot water priming pump is installed on the main supply pipe of the circulation loop and the maximum volume from this supply pipe to the furthest fixture is 24 ounces (0.19 gallons or 0.71 liters).</t>
  </si>
  <si>
    <t>The volume in the circulation loop (supply) from the water heater or boiler to the branch for the furthest fixture is no more than 128 ounces (1 gallon or 3.78 liters).</t>
  </si>
  <si>
    <t>4 Additional</t>
  </si>
  <si>
    <t>A central hot water recirculation system is implemented in multifamily buildings in which the hot water line distance from the recirculating loop to the engineered parallel piping system (i.e., manifold system) is less than 30 feet (9,144 mm) and the parallel piping to the fixture fittings contains a maximum of 64 ounces (1.89 liters) (115.50 cubic inches) (0.50 gallons).</t>
  </si>
  <si>
    <t>Tankless water heater(s) with at least 0.5 gallon (1.89 liters) of storage are installed, or a tankless water heater that ramps up to at least 110F within 5 seconds is installed. The storage may be internal or external to the tankless water heater.</t>
  </si>
  <si>
    <r>
      <t>801.2 Water-conserving appliances.</t>
    </r>
    <r>
      <rPr>
        <sz val="10"/>
        <color theme="1"/>
        <rFont val="Calibri"/>
        <family val="2"/>
        <scheme val="minor"/>
      </rPr>
      <t xml:space="preserve"> Energy Star or equivalent water-conserving appliances are installed. </t>
    </r>
  </si>
  <si>
    <t>dishwasher</t>
  </si>
  <si>
    <t>washing machine, or</t>
  </si>
  <si>
    <t>washing machine with a water factor of 4.0 or less</t>
  </si>
  <si>
    <r>
      <t>801.3 Showerheads.</t>
    </r>
    <r>
      <rPr>
        <sz val="10"/>
        <color theme="1"/>
        <rFont val="Calibri"/>
        <family val="2"/>
        <scheme val="minor"/>
      </rPr>
      <t xml:space="preserve"> Showerheads are in accordance with the following:</t>
    </r>
  </si>
  <si>
    <t xml:space="preserve">4 for first compartment </t>
  </si>
  <si>
    <t>The total maximum combined flow rate of all showerheads controlled by a single valve at any point in time in a shower compartment is 1.6 to less than 2.5 gpm. Maximum of two valves are installed per shower compartment. The flow rate is tested at 80 psi (552 kPa) in accordance with ASME A112.18.1. Showerheads are served by an automatic compensating valve that complies with ASSE 1016 or ASME A112.18.1 and specifically designed to provide thermal shock and scald protection at the flow rate of the showerhead.</t>
  </si>
  <si>
    <t>1 for each additional compartment in dwelling</t>
  </si>
  <si>
    <t>(Points awarded per shower compartment. In multifamily buildings, the average of the points assigned to individual dwelling units may be used as the number of points awarded for this practice, rounded to the nearest whole number.)</t>
  </si>
  <si>
    <t>7 Max</t>
  </si>
  <si>
    <t>All shower compartments in the dwelling unit(s) and common areas meet the requirements of 801.3(1) and all showerheads are in accordance with one of the following:</t>
  </si>
  <si>
    <t>2.0 to less than 2.5 gpm</t>
  </si>
  <si>
    <t xml:space="preserve">6 Additional </t>
  </si>
  <si>
    <t>1.6 to less than 2.0 gpm</t>
  </si>
  <si>
    <t xml:space="preserve">10 Additional </t>
  </si>
  <si>
    <t>Less than 1.6 gpm</t>
  </si>
  <si>
    <t>14 Additional</t>
  </si>
  <si>
    <t>Any shower control that can shut off water flow without affecting temperature is installed.</t>
  </si>
  <si>
    <t>(Points awarded per shower control.)</t>
  </si>
  <si>
    <t>3 Max</t>
  </si>
  <si>
    <t>801.4 Lavatory faucets</t>
  </si>
  <si>
    <t>801.4.1</t>
  </si>
  <si>
    <r>
      <t>801.4.1</t>
    </r>
    <r>
      <rPr>
        <sz val="10"/>
        <color theme="1"/>
        <rFont val="Calibri"/>
        <family val="2"/>
        <scheme val="minor"/>
      </rPr>
      <t xml:space="preserve"> Water-efficient lavatory faucets with a maximum flow rate of 1.5 gpm (5.68 L/m), tested at 60 psi (414 kPa) in accordance with ASME A112.18.1, are installed:</t>
    </r>
  </si>
  <si>
    <t>a bathroom (all faucets in a bathroom are in compliance)</t>
  </si>
  <si>
    <t>(Points awarded for each bathroom. In multifamily buildings, the average of the points assigned to individual dwelling units may be used as the number of points awarded for this practice, rounded to the nearest whole number.)</t>
  </si>
  <si>
    <t xml:space="preserve">all lavatory faucets in the dwelling unit(s) </t>
  </si>
  <si>
    <t>801.4.2</t>
  </si>
  <si>
    <r>
      <t xml:space="preserve">801.4.2 </t>
    </r>
    <r>
      <rPr>
        <sz val="10"/>
        <color theme="1"/>
        <rFont val="Calibri"/>
        <family val="2"/>
        <scheme val="minor"/>
      </rPr>
      <t>Self-closing valve, motion sensor, metering, or pedal-activated faucet is installed to enable intermittent on/off operation.</t>
    </r>
  </si>
  <si>
    <t>(Points awarded per fixture.)</t>
  </si>
  <si>
    <r>
      <t>801.5 Water closets and urinals.</t>
    </r>
    <r>
      <rPr>
        <sz val="10"/>
        <color theme="1"/>
        <rFont val="Calibri"/>
        <family val="2"/>
        <scheme val="minor"/>
      </rPr>
      <t xml:space="preserve"> Water closets and urinals are in accordance with the following:</t>
    </r>
  </si>
  <si>
    <t>Gold and emerald levels: All water closets and urinals are in accordance with Section 801.5.</t>
  </si>
  <si>
    <t>A water closet is installed with an effective flush volume of 1.28 gallons (4.85 L) or less and meets the flush performance criteria when tested in accordance with ASME A112.19.2/CSA B45.1 or ASME A112.19.14 as applicable.</t>
  </si>
  <si>
    <t>(Points awarded per fixture. In multifamily buildings, the average of the points assigned to individual dwelling units may be used as the number of points awarded for this practice, rounded to the nearest whole number.)</t>
  </si>
  <si>
    <t xml:space="preserve">All water closets are in accordance with Section 801.5(2). </t>
  </si>
  <si>
    <t xml:space="preserve">All water closets are in accordance with Section 801.5(2) and one or more of the following are installed: </t>
  </si>
  <si>
    <t>Water closets that have a flush volume of 1.2 gallons or less.</t>
  </si>
  <si>
    <t>1 Additional</t>
  </si>
  <si>
    <t>(Points awarded per toilet. In multifamily buildings, the average of the points assigned to individual dwelling units may be used as the number of points awarded for this practice, rounded to the nearest whole number.)</t>
  </si>
  <si>
    <t>One or more urinals with a flush volume of 0.5 gallons (1.9L) or less when tested in accordance with ASME A112.19.2.</t>
  </si>
  <si>
    <t>One or more composting or waterless toilets and/or urinals.</t>
  </si>
  <si>
    <t>6 Additional</t>
  </si>
  <si>
    <r>
      <t>801.6</t>
    </r>
    <r>
      <rPr>
        <sz val="10"/>
        <color theme="1"/>
        <rFont val="Calibri"/>
        <family val="2"/>
        <scheme val="minor"/>
      </rPr>
      <t xml:space="preserve"> </t>
    </r>
    <r>
      <rPr>
        <b/>
        <sz val="10"/>
        <color theme="1"/>
        <rFont val="Calibri"/>
        <family val="2"/>
        <scheme val="minor"/>
      </rPr>
      <t>Irrigation systems</t>
    </r>
  </si>
  <si>
    <t>801.6.1</t>
  </si>
  <si>
    <r>
      <t xml:space="preserve">801.6.1 </t>
    </r>
    <r>
      <rPr>
        <sz val="10"/>
        <color theme="1"/>
        <rFont val="Calibri"/>
        <family val="2"/>
        <scheme val="minor"/>
      </rPr>
      <t>Sprinkler nozzles have a maximum precipitation rate of 1.20 inches per hour for turf or landscaping. Nozzle performance is tested by an accredited third party laboratory and results are posted on Smart Water Application Technologies website or similar.</t>
    </r>
  </si>
  <si>
    <t>801.6.2</t>
  </si>
  <si>
    <r>
      <t xml:space="preserve">801.6.2 </t>
    </r>
    <r>
      <rPr>
        <sz val="10"/>
        <color theme="1"/>
        <rFont val="Calibri"/>
        <family val="2"/>
        <scheme val="minor"/>
      </rPr>
      <t>Drip irrigation is installed.</t>
    </r>
  </si>
  <si>
    <t>Drip irrigation is installed for all landscape beds.</t>
  </si>
  <si>
    <t>Subsurface drip is installed for all turf grass areas.</t>
  </si>
  <si>
    <t>Drip irrigation zones specifications show plant type by name and water use/need for each emitter (Points awarded only if specifications are implemented.)</t>
  </si>
  <si>
    <t>801.6.3</t>
  </si>
  <si>
    <r>
      <t xml:space="preserve">801.6.3 </t>
    </r>
    <r>
      <rPr>
        <sz val="10"/>
        <color theme="1"/>
        <rFont val="Calibri"/>
        <family val="2"/>
        <scheme val="minor"/>
      </rPr>
      <t>Where an irrigation system is installed, an</t>
    </r>
    <r>
      <rPr>
        <b/>
        <sz val="10"/>
        <color theme="1"/>
        <rFont val="Calibri"/>
        <family val="2"/>
        <scheme val="minor"/>
      </rPr>
      <t xml:space="preserve"> </t>
    </r>
    <r>
      <rPr>
        <sz val="10"/>
        <color theme="1"/>
        <rFont val="Calibri"/>
        <family val="2"/>
        <scheme val="minor"/>
      </rPr>
      <t>irrigation plan and implementation are executed by a qualified professional certified by a WaterSense labeled program or equivalent program as approved by Adopting Entity.</t>
    </r>
  </si>
  <si>
    <t>801.6.4</t>
  </si>
  <si>
    <r>
      <t>801.6.4</t>
    </r>
    <r>
      <rPr>
        <sz val="10"/>
        <color theme="1"/>
        <rFont val="Calibri"/>
        <family val="2"/>
        <scheme val="minor"/>
      </rPr>
      <t xml:space="preserve"> The irrigation system(s) is controlled by a smart controller or no irrigation is installed.</t>
    </r>
  </si>
  <si>
    <t xml:space="preserve">(Points are not additive.) </t>
  </si>
  <si>
    <t>Evapotranspiration (ET) based irrigation controller with a rain sensor or soil moisture sensor based irrigation controller.</t>
  </si>
  <si>
    <t xml:space="preserve">Irrigation controllers are labeled by EPA WaterSense program </t>
  </si>
  <si>
    <t>No irrigation is installed and a landscape plan is developed in accordance with Section 503.5, as applicable.</t>
  </si>
  <si>
    <t>801.6.5</t>
  </si>
  <si>
    <r>
      <t xml:space="preserve">801.6.5 </t>
    </r>
    <r>
      <rPr>
        <sz val="10"/>
        <color theme="1"/>
        <rFont val="Calibri"/>
        <family val="2"/>
        <scheme val="minor"/>
      </rPr>
      <t>All irrigation zones utilize pressure regulation so emission devices (sprinklers and drip emitters) operate at manufacturer’s recommended operating pressure.</t>
    </r>
  </si>
  <si>
    <r>
      <t>801.7 Rainwater collection and distribution.</t>
    </r>
    <r>
      <rPr>
        <sz val="10"/>
        <color theme="1"/>
        <rFont val="Calibri"/>
        <family val="2"/>
      </rPr>
      <t xml:space="preserve"> Rainwater collection and distribution is provided. </t>
    </r>
  </si>
  <si>
    <t>Rainwater is diverted for landscape irrigation without impermeable water storage</t>
  </si>
  <si>
    <t>Rainwater is diverted for landscape irrigation with impermeable water storage in accordance with one of the following:</t>
  </si>
  <si>
    <t>50 – 499 gallon storage capacity</t>
  </si>
  <si>
    <t>500 – 2499 gallon storage capacity</t>
  </si>
  <si>
    <t>2500 gallon or larger storage capacity (system is designed by a professional certified by The American Rainwater Catchment Systems Association or equivalent)</t>
  </si>
  <si>
    <t>All irrigation demands are met by rainwater capture (documentation demonstrating the water needs of the landscape is provided and the system is designed by a professional certified by The American Rainwater Catchment Systems Association or equivalent).</t>
  </si>
  <si>
    <t>801.7.2</t>
  </si>
  <si>
    <r>
      <t>801.7.2</t>
    </r>
    <r>
      <rPr>
        <sz val="10"/>
        <color theme="1"/>
        <rFont val="Calibri"/>
        <family val="2"/>
        <scheme val="minor"/>
      </rPr>
      <t xml:space="preserve"> Rainwater is used for indoor domestic demand as follows. The system is designed by a professional certified by The American Rainwater Catchment Systems Association or equivalent.</t>
    </r>
  </si>
  <si>
    <t>Rainwater is used to supply an indoor appliance or fixture for any locally approved use.</t>
  </si>
  <si>
    <t>(Points awarded per appliance or fixture.)</t>
  </si>
  <si>
    <t>Rainwater provides for total domestic demand.</t>
  </si>
  <si>
    <r>
      <t>801.8 Sediment filters.</t>
    </r>
    <r>
      <rPr>
        <sz val="10"/>
        <color theme="1"/>
        <rFont val="Calibri"/>
        <family val="2"/>
        <scheme val="minor"/>
      </rPr>
      <t xml:space="preserve"> Water filter is installed to reduce sediment and protect plumbing fixtures for the whole building or the entire dwelling unit. </t>
    </r>
  </si>
  <si>
    <t>802 INNOVATIVE PRACTICES</t>
  </si>
  <si>
    <r>
      <t>802.1 Reclaimed, gray, or recycled water</t>
    </r>
    <r>
      <rPr>
        <sz val="10"/>
        <color theme="1"/>
        <rFont val="Calibri"/>
        <family val="2"/>
        <scheme val="minor"/>
      </rPr>
      <t>. Reclaimed, gray, or recycled water is used as permitted by applicable code.</t>
    </r>
  </si>
  <si>
    <t>(Points awarded for either Section 802.1(1) or 802.1(2), not both.)</t>
  </si>
  <si>
    <t>(Points awarded for either Section 802.6 or 802.1, not both.)</t>
  </si>
  <si>
    <t>each water closet flushed by reclaimed, gray, or recycled water</t>
  </si>
  <si>
    <t>(Points awarded per fixture or appliance.)</t>
  </si>
  <si>
    <t>irrigation from reclaimed, gray, or recycled water on-site</t>
  </si>
  <si>
    <r>
      <t xml:space="preserve">802.2 Reclaimed water, graywater, or rainwater pre-piping. </t>
    </r>
    <r>
      <rPr>
        <sz val="10"/>
        <color theme="1"/>
        <rFont val="Calibri"/>
        <family val="2"/>
        <scheme val="minor"/>
      </rPr>
      <t>Reclaimed, graywater, or rainwater systems are rough plumbed (and permanently marked, tagged or labeled) into buildings for future use.</t>
    </r>
  </si>
  <si>
    <t>3 per roughed in system</t>
  </si>
  <si>
    <r>
      <t xml:space="preserve">802.3 Automatic shutoff water devices. </t>
    </r>
    <r>
      <rPr>
        <sz val="10"/>
        <color theme="1"/>
        <rFont val="Calibri"/>
        <family val="2"/>
        <scheme val="minor"/>
      </rPr>
      <t xml:space="preserve">One of the following automatic shutoff water supply devices is installed. Where a fire sprinkler system is present, installer is to ensure the device will not interfere with the operation of the fire sprinkler system. </t>
    </r>
  </si>
  <si>
    <t>excess water flow automatic shutoff</t>
  </si>
  <si>
    <t>leak detection system with automatic shutoff</t>
  </si>
  <si>
    <r>
      <t>802.4 Engineered biological system or intensive bioremediation system.</t>
    </r>
    <r>
      <rPr>
        <sz val="10"/>
        <color theme="1"/>
        <rFont val="Calibri"/>
        <family val="2"/>
        <scheme val="minor"/>
      </rPr>
      <t xml:space="preserve"> An engineered biological system or intensive bioremediation system is installed and the treated water is used on site. Design and implementation are approved by appropriate regional authority.</t>
    </r>
  </si>
  <si>
    <r>
      <t xml:space="preserve">802.5 Recirculating humidifier. </t>
    </r>
    <r>
      <rPr>
        <sz val="10"/>
        <color theme="1"/>
        <rFont val="Calibri"/>
        <family val="2"/>
        <scheme val="minor"/>
      </rPr>
      <t>Where a humidifier is required, a recirculating humidifier is used in lieu of a traditional “flow through” type.</t>
    </r>
  </si>
  <si>
    <r>
      <t xml:space="preserve">802.6 Advanced wastewater treatment system. </t>
    </r>
    <r>
      <rPr>
        <sz val="10"/>
        <color theme="1"/>
        <rFont val="Calibri"/>
        <family val="2"/>
        <scheme val="minor"/>
      </rPr>
      <t>Advanced wastewater (aerobic) treatment system is installed and treated water is used on site.</t>
    </r>
  </si>
  <si>
    <t>701</t>
  </si>
  <si>
    <t>701 MINIMUM ENERGY EFFICIENCY REQUIREMENTS</t>
  </si>
  <si>
    <r>
      <t>701.1 Mandatory requirements.</t>
    </r>
    <r>
      <rPr>
        <sz val="10"/>
        <color theme="1"/>
        <rFont val="Calibri"/>
        <family val="2"/>
        <scheme val="minor"/>
      </rPr>
      <t xml:space="preserve"> The building shall comply with Section 702 (Performance Path), Section 703 (Prescriptive Path), or Section 704 (HERS Index Target Path). Items listed as “mandatory” in Section 701.4 apply to all Paths. Unless otherwise noted, buildings in the Tropical Climate Zone shall comply with Climate Zone 1 requirements.</t>
    </r>
  </si>
  <si>
    <t>701.1.1</t>
  </si>
  <si>
    <r>
      <t>701.1.1 Minimum Performance Path requirements.</t>
    </r>
    <r>
      <rPr>
        <sz val="10"/>
        <color theme="1"/>
        <rFont val="Calibri"/>
        <family val="2"/>
        <scheme val="minor"/>
      </rPr>
      <t xml:space="preserve"> A building complying with Section 702 shall include a minimum of two practices from Section 705.</t>
    </r>
  </si>
  <si>
    <t>701.1.2</t>
  </si>
  <si>
    <r>
      <t>701.1.2 Minimum Prescriptive Path requirements.</t>
    </r>
    <r>
      <rPr>
        <sz val="10"/>
        <color theme="1"/>
        <rFont val="Calibri"/>
        <family val="2"/>
        <scheme val="minor"/>
      </rPr>
      <t xml:space="preserve"> A building complying with Section 703 shall obtain a minimum of 30 points from Section 703 and shall include a minimum of two practices from Section 705.</t>
    </r>
  </si>
  <si>
    <t>701.1.3</t>
  </si>
  <si>
    <r>
      <t xml:space="preserve">701.1.3 HERS Index Target Path requirements.  </t>
    </r>
    <r>
      <rPr>
        <sz val="10"/>
        <color theme="1"/>
        <rFont val="Calibri"/>
        <family val="2"/>
        <scheme val="minor"/>
      </rPr>
      <t>A building complying with Section 704 shall obtain a minimum of 30 points from Section 704 and shall include a minimum of two practices from Section 705.</t>
    </r>
    <r>
      <rPr>
        <b/>
        <sz val="10"/>
        <color theme="1"/>
        <rFont val="Calibri"/>
        <family val="2"/>
        <scheme val="minor"/>
      </rPr>
      <t xml:space="preserve">  </t>
    </r>
  </si>
  <si>
    <t>701.1.4</t>
  </si>
  <si>
    <r>
      <t>701.1.4 Alternative bronze and silver level compliance</t>
    </r>
    <r>
      <rPr>
        <sz val="10"/>
        <color theme="1"/>
        <rFont val="Calibri"/>
        <family val="2"/>
        <scheme val="minor"/>
      </rPr>
      <t>. As an alternative, any building that qualifies as an ENERGY STAR Version 3.0 Certified Home or ENERGY STAR Multifamily High Rise Version 1.0 Rev. 03 building achieves the bronze level for Chapter 7. As an alternative, any building that qualifies as an ENERGY STAR Version 3.1 Certified Home or ENERGY STAR Multifamily High Rise Version 1.0 Rev. 03 (with the baseline at ASHRAE 90.1-2010) building achieves the silver level for Chapter 7. As an alternative in the Tropical Climate Zone, any building that meets all of the requirements in IECC Section R401.2.1 (Tropical Zone) achieves the silver level for Chapter 7.The buildings achieving compliance under Section 701.1.4 are not eligible for achieving a rating level above silver.</t>
    </r>
  </si>
  <si>
    <r>
      <t xml:space="preserve">701.2 Emerald level points. </t>
    </r>
    <r>
      <rPr>
        <sz val="10"/>
        <color theme="1"/>
        <rFont val="Calibri"/>
        <family val="2"/>
        <scheme val="minor"/>
      </rPr>
      <t>The Performance Path shall be used to achieve the emerald level.</t>
    </r>
  </si>
  <si>
    <r>
      <t>701.3</t>
    </r>
    <r>
      <rPr>
        <sz val="10"/>
        <color theme="1"/>
        <rFont val="Calibri"/>
        <family val="2"/>
        <scheme val="minor"/>
      </rPr>
      <t xml:space="preserve"> </t>
    </r>
    <r>
      <rPr>
        <b/>
        <sz val="10"/>
        <color theme="1"/>
        <rFont val="Calibri"/>
        <family val="2"/>
        <scheme val="minor"/>
      </rPr>
      <t xml:space="preserve">Adopting Entity review. </t>
    </r>
    <r>
      <rPr>
        <sz val="10"/>
        <color theme="1"/>
        <rFont val="Calibri"/>
        <family val="2"/>
        <scheme val="minor"/>
      </rPr>
      <t xml:space="preserve">A review by the Adopting Entity or designated third party shall be conducted to verify design and compliance with Chapter 7. </t>
    </r>
  </si>
  <si>
    <t>701.4 Mandatory practices.</t>
  </si>
  <si>
    <t>701.4.1</t>
  </si>
  <si>
    <t>701.4.1 HVAC systems.</t>
  </si>
  <si>
    <t>701.4.1.1</t>
  </si>
  <si>
    <r>
      <t>701.4.1.1</t>
    </r>
    <r>
      <rPr>
        <sz val="10"/>
        <color theme="1"/>
        <rFont val="Calibri"/>
        <family val="2"/>
        <scheme val="minor"/>
      </rPr>
      <t xml:space="preserve"> </t>
    </r>
    <r>
      <rPr>
        <b/>
        <sz val="10"/>
        <color theme="1"/>
        <rFont val="Calibri"/>
        <family val="2"/>
        <scheme val="minor"/>
      </rPr>
      <t>HVAC system sizing.</t>
    </r>
    <r>
      <rPr>
        <sz val="10"/>
        <color theme="1"/>
        <rFont val="Calibri"/>
        <family val="2"/>
        <scheme val="minor"/>
      </rPr>
      <t xml:space="preserve"> Space heating and cooling system is sized according to heating and cooling loads calculated using ACCA Manual J, or equivalent. Equipment is selected using ACCA Manual S or equivalent.</t>
    </r>
  </si>
  <si>
    <t>701.4.1.2</t>
  </si>
  <si>
    <r>
      <t>701.4.1.2 Radiant and hydronic space heating.</t>
    </r>
    <r>
      <rPr>
        <sz val="10"/>
        <color theme="1"/>
        <rFont val="Calibri"/>
        <family val="2"/>
        <scheme val="minor"/>
      </rPr>
      <t xml:space="preserve"> Where installed as a primary heat source in the building, radiant or hydronic space heating system is designed, installed, and documented, using industry-approved guidelines and standards (e.g., ACCA Manual J, AHRI I=B=R, ACCA 5 QI-2010, or an accredited design professional’s and manufacturer’s recommendations). </t>
    </r>
  </si>
  <si>
    <t>701.4.2</t>
  </si>
  <si>
    <t>701.4.2 Duct systems.</t>
  </si>
  <si>
    <r>
      <t>701.4.2.1</t>
    </r>
    <r>
      <rPr>
        <sz val="10"/>
        <color theme="1"/>
        <rFont val="Calibri"/>
        <family val="2"/>
        <scheme val="minor"/>
      </rPr>
      <t xml:space="preserve"> </t>
    </r>
    <r>
      <rPr>
        <b/>
        <sz val="10"/>
        <color theme="1"/>
        <rFont val="Calibri"/>
        <family val="2"/>
        <scheme val="minor"/>
      </rPr>
      <t>Duct air sealing.</t>
    </r>
    <r>
      <rPr>
        <sz val="10"/>
        <color theme="1"/>
        <rFont val="Calibri"/>
        <family val="2"/>
        <scheme val="minor"/>
      </rPr>
      <t xml:space="preserve"> Ducts are air sealed. All duct sealing materials are in conformance with UL 181A or UL 181B specifications and are installed in accordance with manufacturer’s instructions.</t>
    </r>
  </si>
  <si>
    <t>701.4.2.2</t>
  </si>
  <si>
    <r>
      <t xml:space="preserve">701.4.2.2 Ducts and Plenums.  </t>
    </r>
    <r>
      <rPr>
        <sz val="10"/>
        <color theme="1"/>
        <rFont val="Calibri"/>
        <family val="2"/>
        <scheme val="minor"/>
      </rPr>
      <t>Building framing cavities are not used as ducts or plenums.</t>
    </r>
  </si>
  <si>
    <t>701.4.2.3</t>
  </si>
  <si>
    <r>
      <t>701.4.2.3</t>
    </r>
    <r>
      <rPr>
        <sz val="10"/>
        <color theme="1"/>
        <rFont val="Calibri"/>
        <family val="2"/>
        <scheme val="minor"/>
      </rPr>
      <t xml:space="preserve"> </t>
    </r>
    <r>
      <rPr>
        <b/>
        <sz val="10"/>
        <color theme="1"/>
        <rFont val="Calibri"/>
        <family val="2"/>
        <scheme val="minor"/>
      </rPr>
      <t>Duct system sizing.</t>
    </r>
    <r>
      <rPr>
        <sz val="10"/>
        <color theme="1"/>
        <rFont val="Calibri"/>
        <family val="2"/>
        <scheme val="minor"/>
      </rPr>
      <t xml:space="preserve"> Duct system is sized and designed in accordance with ACCA Manual D or equivalent.</t>
    </r>
  </si>
  <si>
    <t>701.4.3</t>
  </si>
  <si>
    <t>701.4.3 Insulation and air sealing.</t>
  </si>
  <si>
    <t>701.4.3.1</t>
  </si>
  <si>
    <r>
      <t>701.4.3.1 Building Thermal Envelope Air Sealing.</t>
    </r>
    <r>
      <rPr>
        <sz val="10"/>
        <color theme="1"/>
        <rFont val="Calibri"/>
        <family val="2"/>
        <scheme val="minor"/>
      </rPr>
      <t xml:space="preserve"> The building thermal envelope is durably sealed to limit infiltration. The sealing methods between dissimilar materials allow for differential expansion and contraction. The following are caulked, gasketed, weather-stripped or otherwise sealed with an air barrier material, suitable film, or solid material:</t>
    </r>
  </si>
  <si>
    <t>All joints, seams and penetrations.</t>
  </si>
  <si>
    <t>Site-built windows, doors, and skylights.</t>
  </si>
  <si>
    <t>Openings between window and door assemblies and their respective jambs and framing.</t>
  </si>
  <si>
    <t>Utility penetrations.</t>
  </si>
  <si>
    <t>Dropped ceilings or chases adjacent to the thermal envelope.</t>
  </si>
  <si>
    <t>Knee walls.</t>
  </si>
  <si>
    <t>Walls and ceilings separating a garage from conditioned spaces.</t>
  </si>
  <si>
    <t>Behind tubs and showers on exterior walls.</t>
  </si>
  <si>
    <t>(i)</t>
  </si>
  <si>
    <t>Common walls between dwelling units.</t>
  </si>
  <si>
    <t>(j)</t>
  </si>
  <si>
    <t>Attic access openings.</t>
  </si>
  <si>
    <t>(k)</t>
  </si>
  <si>
    <t>Rim joist junction.</t>
  </si>
  <si>
    <t>(l)</t>
  </si>
  <si>
    <t>Other sources of infiltration.</t>
  </si>
  <si>
    <t>701.4.3.2</t>
  </si>
  <si>
    <r>
      <t>701.4.3.2 Air sealing and insulation.</t>
    </r>
    <r>
      <rPr>
        <sz val="10"/>
        <color theme="1"/>
        <rFont val="Calibri"/>
        <family val="2"/>
        <scheme val="minor"/>
      </rPr>
      <t xml:space="preserve"> Grade II and III insulation installation is not permitted. Building envelope air tightness and insulation installation is verified to be in accordance with Section 701.4.3.2(1) and 701.4.3.2(2).</t>
    </r>
  </si>
  <si>
    <r>
      <t>Testing.</t>
    </r>
    <r>
      <rPr>
        <sz val="10"/>
        <color theme="1"/>
        <rFont val="Calibri"/>
        <family val="2"/>
        <scheme val="minor"/>
      </rPr>
      <t xml:space="preserve"> Building envelope tightness is tested. Testing is conducted in accordance with ASTM E-779 using a blower door at a test pressure of 1.04 psf (50 Pa). Testing is conducted after rough-in and after installation of penetrations of the building envelope, including penetrations for utilities, plumbing, electrical, ventilation, and combustion appliances. Testing is conducted under the following conditions:</t>
    </r>
  </si>
  <si>
    <t xml:space="preserve">Exterior windows and doors, fireplace and stove doors are closed, but not sealed; </t>
  </si>
  <si>
    <t>Dampers are closed, but not sealed, including exhaust, intake, makeup air, backdraft and flue dampers;</t>
  </si>
  <si>
    <t>Interior doors are open;</t>
  </si>
  <si>
    <t>Exterior openings for continuous ventilation systems and heat recovery ventilators are closed and sealed;</t>
  </si>
  <si>
    <t xml:space="preserve">Heating and cooling systems are turned off; </t>
  </si>
  <si>
    <t>HVAC duct terminations are not sealed; and</t>
  </si>
  <si>
    <t>Supply and return registers are not sealed.</t>
  </si>
  <si>
    <r>
      <t>Visual inspection.</t>
    </r>
    <r>
      <rPr>
        <sz val="10"/>
        <color theme="1"/>
        <rFont val="Calibri"/>
        <family val="2"/>
        <scheme val="minor"/>
      </rPr>
      <t xml:space="preserve"> The air barrier and insulation items listed in Table 701.4.3.2(2) are field verified by visual inspection.</t>
    </r>
  </si>
  <si>
    <t>701.4.3.2.1</t>
  </si>
  <si>
    <r>
      <t xml:space="preserve">701.4.3.2.1 </t>
    </r>
    <r>
      <rPr>
        <sz val="10"/>
        <color theme="1"/>
        <rFont val="Calibri"/>
        <family val="2"/>
        <scheme val="minor"/>
      </rPr>
      <t>Grade I insulation installations are in accordance with the following:</t>
    </r>
  </si>
  <si>
    <t xml:space="preserve">Grading applies to field-installed insulation products. </t>
  </si>
  <si>
    <t>Grading applies to ceilings, walls, floors, band joists, rim joists, conditioned attics basements and crawlspaces, except as specifically noted.</t>
  </si>
  <si>
    <t>Inspection is conducted before insulation is covered.</t>
  </si>
  <si>
    <t>Air-permeable insulation is enclosed on all six sides and is in substantial contact with the sheathing material on one or more sides (interior or exterior) of the cavity. Air permeable insulation in ceilings is not required to be enclosed when the insulation is installed in substantial contact with the surfaces it is intended to insulate.</t>
  </si>
  <si>
    <t>Cavity insulation uniformly fills each cavity side-to-side and top-to-bottom, without substantial gaps or voids around obstructions (such as blocking or bridging).</t>
  </si>
  <si>
    <t>Cavity insulation compression or incomplete fill amounts to 2 percent or less, presuming the compressed or incomplete areas are a minimum of 70 percent of the intended fill thickness; occasional small gaps are acceptable.</t>
  </si>
  <si>
    <t>Exterior rigid insulation has substantial contact with the structural framing members or sheathing materials and is tightly fitted at joints.</t>
  </si>
  <si>
    <t>Cavity insulation is split, installed, and/or fitted tightly around wiring and other services.</t>
  </si>
  <si>
    <t>Exterior sheathing is not visible from the interior through gaps in the cavity insulation.</t>
  </si>
  <si>
    <t>Faced batt insulation is permitted to have side-stapled tabs, provided the tabs are stapled neatly with no buckling, and provided the batt is compressed only at the edges of each cavity, to the depth of the tab itself.</t>
  </si>
  <si>
    <t>Where properly installed, ICFs, SIPs, and other wall systems that provide integral insulation are deemed in compliance with the Grade 1 insulation installation requirements.</t>
  </si>
  <si>
    <t>701.4.3.3.3</t>
  </si>
  <si>
    <t>701.4.3.3</t>
  </si>
  <si>
    <r>
      <t>701.4.3.3 Multifamily air leakage alternative. Multifamily</t>
    </r>
    <r>
      <rPr>
        <sz val="10"/>
        <color theme="1"/>
        <rFont val="Calibri"/>
        <family val="2"/>
        <scheme val="minor"/>
      </rPr>
      <t xml:space="preserve"> buildings four or more stories in height and in compliance with IECC section C402.5 (Air leakage-thermal envelope) are deemed to comply with Sections 701.4.3.1 and 701.4.3.2.</t>
    </r>
  </si>
  <si>
    <t>701.4.3.3.4</t>
  </si>
  <si>
    <t>701.4.3.4</t>
  </si>
  <si>
    <r>
      <t>701.4.3.4 Fenestration air leakage.</t>
    </r>
    <r>
      <rPr>
        <sz val="10"/>
        <color theme="1"/>
        <rFont val="Calibri"/>
        <family val="2"/>
        <scheme val="minor"/>
      </rPr>
      <t xml:space="preserve"> Windows, skylights and sliding glass doors have an air infiltration rate of no more than 0.3 cfm per square foot (1.5 L/s/m</t>
    </r>
    <r>
      <rPr>
        <vertAlign val="superscript"/>
        <sz val="10"/>
        <color theme="1"/>
        <rFont val="Calibri"/>
        <family val="2"/>
        <scheme val="minor"/>
      </rPr>
      <t>2</t>
    </r>
    <r>
      <rPr>
        <sz val="10"/>
        <color theme="1"/>
        <rFont val="Calibri"/>
        <family val="2"/>
        <scheme val="minor"/>
      </rPr>
      <t>), and swinging doors no more than 0.5 cfm per square foot (2.6 L/s/m</t>
    </r>
    <r>
      <rPr>
        <vertAlign val="superscript"/>
        <sz val="10"/>
        <color theme="1"/>
        <rFont val="Calibri"/>
        <family val="2"/>
        <scheme val="minor"/>
      </rPr>
      <t>2</t>
    </r>
    <r>
      <rPr>
        <sz val="10"/>
        <color theme="1"/>
        <rFont val="Calibri"/>
        <family val="2"/>
        <scheme val="minor"/>
      </rPr>
      <t>), when tested in accordance with NFRC 400 or AAMA/WDMA/CSA 101/I.S.2/A440 by an accredited, independent laboratory and listed and labeled. This practice does not apply to site-built windows, skylights, and doors.</t>
    </r>
  </si>
  <si>
    <t>701.4.3.3.5</t>
  </si>
  <si>
    <t>701.4.3.5</t>
  </si>
  <si>
    <r>
      <t>701.4.3.5 Recessed lighting.</t>
    </r>
    <r>
      <rPr>
        <sz val="10"/>
        <color theme="1"/>
        <rFont val="Calibri"/>
        <family val="2"/>
        <scheme val="minor"/>
      </rPr>
      <t xml:space="preserve"> Recessed luminaires installed in the building thermal envelope are sealed to limit air leakage between conditioned and unconditioned spaces. All recessed luminaires are IC-rated and labeled as meeting ASTM E283 when tested at 1.57 psf (75 Pa) pressure differential with no more than 2.0 cfm (0.944 L/s) of air movement from the conditioned space to the ceiling cavity. All recessed luminaires are sealed with a gasket or caulk between the housing and the interior of the wall or ceiling covering. </t>
    </r>
  </si>
  <si>
    <t>701.4.4</t>
  </si>
  <si>
    <r>
      <t xml:space="preserve">701.4.4 High-efficacy lighting. </t>
    </r>
    <r>
      <rPr>
        <sz val="10"/>
        <color theme="1"/>
        <rFont val="Calibri"/>
        <family val="2"/>
        <scheme val="minor"/>
      </rPr>
      <t>Lighting efficacy in dwelling units is in accordance with one of the following:</t>
    </r>
  </si>
  <si>
    <t>A minimum of 75 percent of the total hard-wired lighting fixtures or the bulbs in those fixtures qualify as high efficacy or equivalent</t>
  </si>
  <si>
    <t>Lighting power density, measured in watts/square foot, is 1.1 or less.</t>
  </si>
  <si>
    <t>701.4.5</t>
  </si>
  <si>
    <r>
      <t>701.4.5 Boiler supply piping.</t>
    </r>
    <r>
      <rPr>
        <sz val="10"/>
        <color theme="1"/>
        <rFont val="Calibri"/>
        <family val="2"/>
        <scheme val="minor"/>
      </rPr>
      <t xml:space="preserve"> Boiler supply piping in unconditioned space is insulated.</t>
    </r>
  </si>
  <si>
    <t>702 PERFORMANCE PATH</t>
  </si>
  <si>
    <r>
      <t>702.1</t>
    </r>
    <r>
      <rPr>
        <sz val="10"/>
        <color theme="1"/>
        <rFont val="Calibri"/>
        <family val="2"/>
        <scheme val="minor"/>
      </rPr>
      <t xml:space="preserve"> </t>
    </r>
    <r>
      <rPr>
        <b/>
        <sz val="10"/>
        <color theme="1"/>
        <rFont val="Calibri"/>
        <family val="2"/>
        <scheme val="minor"/>
      </rPr>
      <t xml:space="preserve">Point allocation. </t>
    </r>
    <r>
      <rPr>
        <sz val="10"/>
        <color theme="1"/>
        <rFont val="Calibri"/>
        <family val="2"/>
        <scheme val="minor"/>
      </rPr>
      <t>Points from Section 702 (Performance Path) shall not be combined with points from Section 703 (Prescriptive Path) or Section 704 (HERS Index Target Path).</t>
    </r>
  </si>
  <si>
    <r>
      <t>702.2</t>
    </r>
    <r>
      <rPr>
        <sz val="10"/>
        <color theme="1"/>
        <rFont val="Calibri"/>
        <family val="2"/>
        <scheme val="minor"/>
      </rPr>
      <t xml:space="preserve"> </t>
    </r>
    <r>
      <rPr>
        <b/>
        <sz val="10"/>
        <color theme="1"/>
        <rFont val="Calibri"/>
        <family val="2"/>
        <scheme val="minor"/>
      </rPr>
      <t xml:space="preserve">Energy performance levels. </t>
    </r>
  </si>
  <si>
    <t>702.2.1</t>
  </si>
  <si>
    <r>
      <t>702.2.1 ICC IECC analysis.</t>
    </r>
    <r>
      <rPr>
        <sz val="10"/>
        <color theme="1"/>
        <rFont val="Calibri"/>
        <family val="2"/>
        <scheme val="minor"/>
      </rPr>
      <t xml:space="preserve"> Energy efficiency features are implemented to achieve energy cost or source energy performance that meets the ICC IECC. A documented analysis using software in accordance with ICC IECC, Section R405, or ICC IECC Section C407.2 through C407.5, applied as defined in the ICC IECC, is required. </t>
    </r>
  </si>
  <si>
    <t>702.2.2</t>
  </si>
  <si>
    <r>
      <t>702.2.2 Energy performance analysis.</t>
    </r>
    <r>
      <rPr>
        <sz val="10"/>
        <color theme="1"/>
        <rFont val="Calibri"/>
        <family val="2"/>
        <scheme val="minor"/>
      </rPr>
      <t xml:space="preserve"> Energy savings levels above the ICC IECC are determined through an analysis that includes improvements in building envelope, air infiltration, heating system efficiencies, cooling system efficiencies, duct sealing, water heating system efficiencies, lighting, and appliances. Points are assigned using the following formula:</t>
    </r>
  </si>
  <si>
    <t>Points = 30 + (percent above ICC IECC 2015) * 2</t>
  </si>
  <si>
    <t>702.2.3</t>
  </si>
  <si>
    <r>
      <t>702.2.3 Tropical standard reference design.</t>
    </r>
    <r>
      <rPr>
        <sz val="10"/>
        <color theme="1"/>
        <rFont val="Calibri"/>
        <family val="2"/>
        <scheme val="minor"/>
      </rPr>
      <t xml:space="preserve"> For the Tropical Climate Zone, the standard reference design shall use the specifications in IECC Section R401.2.1 (Tropical Zone).</t>
    </r>
  </si>
  <si>
    <t>703 PRESCRIPTIVE PATH</t>
  </si>
  <si>
    <t>703.1 Mandatory practices.</t>
  </si>
  <si>
    <t>703.1.1</t>
  </si>
  <si>
    <r>
      <t xml:space="preserve">703.1.1 UA Compliance. </t>
    </r>
    <r>
      <rPr>
        <sz val="10"/>
        <color theme="1"/>
        <rFont val="Calibri"/>
        <family val="2"/>
        <scheme val="minor"/>
      </rPr>
      <t>The building thermal envelope is in compliance with Section 703.1.1.1 or 703.1.1.2.</t>
    </r>
  </si>
  <si>
    <t>701.1.1.1</t>
  </si>
  <si>
    <t>703.1.1.1</t>
  </si>
  <si>
    <r>
      <t xml:space="preserve">703.1.1.1 Maximum UA.  </t>
    </r>
    <r>
      <rPr>
        <sz val="10"/>
        <color theme="1"/>
        <rFont val="Calibri"/>
        <family val="2"/>
        <scheme val="minor"/>
      </rPr>
      <t>For IECC residential, the total building UA is less than or equal to the total maximum UA as computed by 2015 IECC Section R402.1.5.  For IECC commercial, the total UA is less than or equal to the sum of the UA for 2015 IECC Tables C402.1.4 and C402.4, including the U-factor times the area and C-factor or F-factor times the perimeter. The total UA proposed and baseline calculations are documented. REScheck or COMcheck is deemed to provide UA calculation documentation.</t>
    </r>
  </si>
  <si>
    <t>701.1.1.2</t>
  </si>
  <si>
    <t>703.1.1.2</t>
  </si>
  <si>
    <r>
      <t xml:space="preserve">703.1.1.2 Prescriptive R-values and Fenestration Requirements. </t>
    </r>
    <r>
      <rPr>
        <sz val="10"/>
        <color theme="1"/>
        <rFont val="Calibri"/>
        <family val="2"/>
        <scheme val="minor"/>
      </rPr>
      <t>The building thermal envelope is in accordance with the insulation and fenestration requirements of 2015 IECC Table R402.1.1 or Tables C402.1.3 and C402.4. The SHGC is in accordance with the 2015 IECC requirements.</t>
    </r>
  </si>
  <si>
    <t>703.1.2</t>
  </si>
  <si>
    <r>
      <t xml:space="preserve">703.1.2 Building Envelope Leakage. </t>
    </r>
    <r>
      <rPr>
        <sz val="10"/>
        <color theme="1"/>
        <rFont val="Calibri"/>
        <family val="2"/>
        <scheme val="minor"/>
      </rPr>
      <t>The building thermal envelope is in accordance with 2015 IECC R402.4.1.2 or C402.5 as applicable.</t>
    </r>
  </si>
  <si>
    <t>703.1.3</t>
  </si>
  <si>
    <r>
      <t>703.1.3 Duct Testing.</t>
    </r>
    <r>
      <rPr>
        <sz val="10"/>
        <color theme="1"/>
        <rFont val="Calibri"/>
        <family val="2"/>
        <scheme val="minor"/>
      </rPr>
      <t xml:space="preserve">  The duct system is in accordance with 2015 IECC R403.3.2 through R403.3.5 as applicable.</t>
    </r>
  </si>
  <si>
    <t>703.2 Building envelope</t>
  </si>
  <si>
    <t>703.2.1</t>
  </si>
  <si>
    <r>
      <t>703.2.1 UA improvement.</t>
    </r>
    <r>
      <rPr>
        <sz val="10"/>
        <color theme="1"/>
        <rFont val="Calibri"/>
        <family val="2"/>
        <scheme val="minor"/>
      </rPr>
      <t xml:space="preserve"> The total building thermal envelope UA is less than or equal to the total UA resulting from the U-factors provided in Table 703.2.1(a) or IECC Tables C402.1.4 and C402.4, as applicable. Where insulation is used to achieve the UA improvement, the insulation installation is in accordance with Grade 1 requirements as graded by a third-party. Total UA is documented using a RESCheck, COMCheck, or equivalent report to verify the baseline and the UA improvement.</t>
    </r>
  </si>
  <si>
    <t>Per Table 703.2.1(b)</t>
  </si>
  <si>
    <t>703.2.2</t>
  </si>
  <si>
    <r>
      <t xml:space="preserve">703.2.2 Mass walls. </t>
    </r>
    <r>
      <rPr>
        <sz val="10"/>
        <color theme="1"/>
        <rFont val="Calibri"/>
        <family val="2"/>
        <scheme val="minor"/>
      </rPr>
      <t xml:space="preserve">More than 75 percent of the above-grade exterior opaque wall area of the building is mass walls. </t>
    </r>
  </si>
  <si>
    <t>Per Table 703.2.2</t>
  </si>
  <si>
    <t>703.2.3</t>
  </si>
  <si>
    <r>
      <t xml:space="preserve">703.2.3 </t>
    </r>
    <r>
      <rPr>
        <sz val="10"/>
        <color theme="1"/>
        <rFont val="Calibri"/>
        <family val="2"/>
        <scheme val="minor"/>
      </rPr>
      <t>A radiant barrier with an emittance of 0.05 or less is used in the attic. The product is tested in accordance with ASTM C1371 and installed in accordance with the manufacturer's instructions.</t>
    </r>
  </si>
  <si>
    <t>703.2.4</t>
  </si>
  <si>
    <r>
      <t>703.2.4 Building envelope leakage</t>
    </r>
    <r>
      <rPr>
        <sz val="10"/>
        <color theme="1"/>
        <rFont val="Calibri"/>
        <family val="2"/>
        <scheme val="minor"/>
      </rPr>
      <t>. The maximum building envelope leakage rate is in accordance with Table 703.2.4 and whole building ventilation is provided in accordance with Section 902.2.1.</t>
    </r>
  </si>
  <si>
    <t>Per Table 703.2.4</t>
  </si>
  <si>
    <t>703.2.5</t>
  </si>
  <si>
    <t>703.2.5 Fenestration</t>
  </si>
  <si>
    <t>703.2.5.1</t>
  </si>
  <si>
    <r>
      <rPr>
        <b/>
        <sz val="10"/>
        <color theme="1"/>
        <rFont val="Calibri"/>
        <family val="2"/>
        <scheme val="minor"/>
      </rPr>
      <t>703.2.5.1</t>
    </r>
    <r>
      <rPr>
        <sz val="10"/>
        <color theme="1"/>
        <rFont val="Calibri"/>
        <family val="2"/>
        <scheme val="minor"/>
      </rPr>
      <t xml:space="preserve"> NFRC-certified (or equivalent) U-factor and SHGC of windows, exterior doors, skylights, and tubular daylighting devices (TDDs) on an area-weighted average basis do not exceed the values in Table 703.2.5.1. Area weighted averages are calculated separately for the categories of 1) windows and exterior doors and 2) skylights and tubular daylighting devices (TDDs). Decorative fenestration elements with a combined total maximum area of 15 square feet (1.39 m2) or 10 percent of the total glazing area, whichever is less, are not required to comply with this practice.</t>
    </r>
  </si>
  <si>
    <t>703.2.5.1.1</t>
  </si>
  <si>
    <r>
      <t>703.2.5.1.1 Dynamic glazing.</t>
    </r>
    <r>
      <rPr>
        <sz val="10"/>
        <color theme="1"/>
        <rFont val="Calibri"/>
        <family val="2"/>
        <scheme val="minor"/>
      </rPr>
      <t xml:space="preserve"> Dynamic glazing is permitted to satisfy the SHGC requirements of Table 703.2.5.1 provided the ratio of the higher to lower labeled SHGC is greater than or equal to 2.4 and the dynamic glazing is automatically controlled to modulate the amount of solar gain into the space in multiple steps. Fenestration with dynamic glazing is considered separately from other fenestration and area-weighted averaging with fenestration that does not use dynamic glazing is not permitted. Dynamic glazing is not required to be automatically controlled or comply with minimum SHGC ratio when both the lower and higher labeled SHGC already comply with the requirements of Table 703.2.5.1.</t>
    </r>
  </si>
  <si>
    <t>703.2.5.2</t>
  </si>
  <si>
    <r>
      <t xml:space="preserve">703.2.5.2 </t>
    </r>
    <r>
      <rPr>
        <sz val="10"/>
        <color theme="1"/>
        <rFont val="Calibri"/>
        <family val="2"/>
        <scheme val="minor"/>
      </rPr>
      <t>The NFRC-certified (or equivalent) U-factor and SHGC of windows, exterior doors, skylights, and tubular daylighting devices (TDDs) are in accordance with Table 703.2.5.2(a), (b), or (c). Decorative fenestration elements with a combined total maximum area of 15 square feet (1.39 m</t>
    </r>
    <r>
      <rPr>
        <vertAlign val="superscript"/>
        <sz val="10"/>
        <color theme="1"/>
        <rFont val="Calibri"/>
        <family val="2"/>
        <scheme val="minor"/>
      </rPr>
      <t>2</t>
    </r>
    <r>
      <rPr>
        <sz val="10"/>
        <color theme="1"/>
        <rFont val="Calibri"/>
        <family val="2"/>
        <scheme val="minor"/>
      </rPr>
      <t xml:space="preserve">) or 10 percent of the total glazing area, whichever is less, are not required to comply with this practice. </t>
    </r>
  </si>
  <si>
    <t>703.2.5.2.1</t>
  </si>
  <si>
    <r>
      <t xml:space="preserve">703.2.5.2.1 Dynamic glazing. </t>
    </r>
    <r>
      <rPr>
        <sz val="10"/>
        <color theme="1"/>
        <rFont val="Calibri"/>
        <family val="2"/>
        <scheme val="minor"/>
      </rPr>
      <t>Dynamic glazing is permitted to satisfy the SHGC requirements of Tables 703.2.5.2(a), 703.2.5.2(b), and 703.2.5.2(c) provided the ratio of the higher to lower labeled SHGC is greater than or equal to 2.4, and the dynamic glazing is automatically controlled to modulate the amount of solar gain into the space in multiple steps. Fenestration with dynamic glazing is considered separately from other fenestration, and area-weighted averaging with fenestration that does not use dynamic glazing is not permitted. Dynamic glazing is not required to be automatically controlled or comply with minimum SHGC ratio when both the lower and higher labeled SHGC already comply with the requirements of Tables 703.2.5.2(a), 703.2.5.2(b), and 703.2.5.2(c).</t>
    </r>
  </si>
  <si>
    <t>703.3.0</t>
  </si>
  <si>
    <t>HVAC equipment efficiency</t>
  </si>
  <si>
    <r>
      <t xml:space="preserve">703.3.0 Multiple heating and cooling systems. </t>
    </r>
    <r>
      <rPr>
        <sz val="10"/>
        <color theme="1"/>
        <rFont val="Calibri"/>
        <family val="2"/>
        <scheme val="minor"/>
      </rPr>
      <t>For multiple heating or cooling systems in one home, practices 703.3.1 through 703.3.6 apply to the system that supplies 80% or more of the total installed heating or cooling capacity. Where multiple systems each serve less than 80% of the total installed heating or cooling capacity, points under Sections 703.3.1 through 703.3.6 are awarded either for the system eligible for the fewest points or the weighted average of the systems. The weighted average shall be calculated in accordance with the following equation and be based upon the efficiency and capacity of the equipment as selected in accordance with ACCA Manual S with it loads calculated in accordance with ACCA Manual J.</t>
    </r>
  </si>
  <si>
    <t>E = Rated AHRI efficiency for unit</t>
  </si>
  <si>
    <t>C = Rated heating or cooling capacity for unit</t>
  </si>
  <si>
    <r>
      <t xml:space="preserve">n </t>
    </r>
    <r>
      <rPr>
        <sz val="10"/>
        <color theme="1"/>
        <rFont val="Calibri"/>
        <family val="2"/>
        <scheme val="minor"/>
      </rPr>
      <t>= Unit count</t>
    </r>
    <r>
      <rPr>
        <i/>
        <sz val="10"/>
        <color theme="1"/>
        <rFont val="Calibri"/>
        <family val="2"/>
        <scheme val="minor"/>
      </rPr>
      <t xml:space="preserve"> </t>
    </r>
  </si>
  <si>
    <t>703.3.1</t>
  </si>
  <si>
    <r>
      <t xml:space="preserve">703.3.1 </t>
    </r>
    <r>
      <rPr>
        <sz val="10"/>
        <color theme="1"/>
        <rFont val="Calibri"/>
        <family val="2"/>
        <scheme val="minor"/>
      </rPr>
      <t xml:space="preserve">Combination space heating and water heating system (combo system) is installed using either a coil from the water heater connected to an air handler to provide heat for the building or dwelling unit, or a space heating boiler using an indirect-fired water heater. Devices have a minimum combined annual efficiency of 0.80 and a minimum water heating recovery efficiency of 0.87. </t>
    </r>
  </si>
  <si>
    <t xml:space="preserve">703.3.2 </t>
  </si>
  <si>
    <r>
      <t xml:space="preserve">703.3.2 </t>
    </r>
    <r>
      <rPr>
        <sz val="10"/>
        <color theme="1"/>
        <rFont val="Calibri"/>
        <family val="2"/>
        <scheme val="minor"/>
      </rPr>
      <t xml:space="preserve">Furnace and/or boiler efficiency is in accordance with one of the following: </t>
    </r>
  </si>
  <si>
    <t>Gas and propane heaters:</t>
  </si>
  <si>
    <t>Oil furnace:</t>
  </si>
  <si>
    <t>Gas boiler:</t>
  </si>
  <si>
    <t>Oil boiler:</t>
  </si>
  <si>
    <t xml:space="preserve">703.3.3 </t>
  </si>
  <si>
    <r>
      <t xml:space="preserve">703.3.3 </t>
    </r>
    <r>
      <rPr>
        <sz val="10"/>
        <color theme="1"/>
        <rFont val="Calibri"/>
        <family val="2"/>
        <scheme val="minor"/>
      </rPr>
      <t>Heat pump heating efficiency is in accordance with Table 703.3.3(1) or Table 703.3.3(2) or Table 703.3.3(3). Refrigerant charge is verified for compliance with manufacturer’s instructions utilizing a method in Section 4.3 of ACCA 5 QI-2010.</t>
    </r>
  </si>
  <si>
    <t>703.3.4</t>
  </si>
  <si>
    <r>
      <t xml:space="preserve">703.3.4 </t>
    </r>
    <r>
      <rPr>
        <sz val="10"/>
        <color theme="1"/>
        <rFont val="Calibri"/>
        <family val="2"/>
        <scheme val="minor"/>
      </rPr>
      <t>Cooling efficiency is in accordance with Table 703.3.4(1) or Table 703.3.4(2). Refrigerant charge is verified for compliance with manufacturer’s instructions utilizing a method in Section 4.3 of ACCA 5 QI-2010.</t>
    </r>
  </si>
  <si>
    <t>703.3.5</t>
  </si>
  <si>
    <r>
      <t>703.3.5</t>
    </r>
    <r>
      <rPr>
        <sz val="10"/>
        <color theme="1"/>
        <rFont val="Calibri"/>
        <family val="2"/>
        <scheme val="minor"/>
      </rPr>
      <t xml:space="preserve"> Water source cooling and heating efficiency is in accordance with Table 703.3.5. Refrigerant charge is verified for compliance with manufacturer’s instructions utilizing a method in Section 4.3 of ACCA 5 QI-2010.</t>
    </r>
  </si>
  <si>
    <t>703.3.6</t>
  </si>
  <si>
    <t>703.3.7</t>
  </si>
  <si>
    <r>
      <t xml:space="preserve">703.3.7 </t>
    </r>
    <r>
      <rPr>
        <sz val="10"/>
        <color theme="1"/>
        <rFont val="Calibri"/>
        <family val="2"/>
        <scheme val="minor"/>
      </rPr>
      <t>ENERGY STAR, or equivalent, ceiling fans are installed.</t>
    </r>
  </si>
  <si>
    <t>(Points awarded per building.)</t>
  </si>
  <si>
    <t xml:space="preserve">Note for Tropical Climate Zone and Climate Zones 2B, 3B, and 4B: points awarded per fan where AC is not installed in the dwelling unit (Max 8 points), and where points awarded in Section 703.3.8 for these specific climate zones, points shall not be awarded in Section 703.3.7 </t>
  </si>
  <si>
    <t>703.3.8</t>
  </si>
  <si>
    <r>
      <t xml:space="preserve">703.3.8 </t>
    </r>
    <r>
      <rPr>
        <sz val="10"/>
        <color theme="1"/>
        <rFont val="Calibri"/>
        <family val="2"/>
        <scheme val="minor"/>
      </rPr>
      <t>Whole-building or whole-dwelling unit fan(s) with insulated louvers and a sealed enclosure is installed.</t>
    </r>
  </si>
  <si>
    <t>703.4 Duct Systems</t>
  </si>
  <si>
    <t>703.4.1</t>
  </si>
  <si>
    <r>
      <t>703.4.1</t>
    </r>
    <r>
      <rPr>
        <sz val="10"/>
        <color theme="1"/>
        <rFont val="Calibri"/>
        <family val="2"/>
        <scheme val="minor"/>
      </rPr>
      <t xml:space="preserve"> All space heating is provided by a system(s) that does not include air ducts.</t>
    </r>
  </si>
  <si>
    <t>(No points awarded for multifamily buildings four or more stories in height.)</t>
  </si>
  <si>
    <t>703.4.2</t>
  </si>
  <si>
    <r>
      <t>703.4.2</t>
    </r>
    <r>
      <rPr>
        <sz val="10"/>
        <color theme="1"/>
        <rFont val="Calibri"/>
        <family val="2"/>
        <scheme val="minor"/>
      </rPr>
      <t xml:space="preserve"> All space cooling is provided by a system(s) that does not include air ducts.</t>
    </r>
  </si>
  <si>
    <t>703.4.3</t>
  </si>
  <si>
    <r>
      <t>703.4.3</t>
    </r>
    <r>
      <rPr>
        <sz val="10"/>
        <color theme="1"/>
        <rFont val="Calibri"/>
        <family val="2"/>
        <scheme val="minor"/>
      </rPr>
      <t xml:space="preserve"> Ductwork is in accordance with all of the following: </t>
    </r>
  </si>
  <si>
    <t>Building cavities are not used as return ductwork.</t>
  </si>
  <si>
    <t>Heating and cooling ducts and mechanical equipment are installed within the conditioned building space.</t>
  </si>
  <si>
    <t>Ductwork is not installed in exterior walls.</t>
  </si>
  <si>
    <t>703.4.4</t>
  </si>
  <si>
    <r>
      <t xml:space="preserve">703.4.4 Duct Leakage. </t>
    </r>
    <r>
      <rPr>
        <sz val="10"/>
        <color theme="1"/>
        <rFont val="Calibri"/>
        <family val="2"/>
        <scheme val="minor"/>
      </rPr>
      <t xml:space="preserve">The entire central HVAC duct system, including air handlers and register boots, is tested by a third party for total leakage at a pressure differential of 0.1 inches w.g. (25 Pa) and maximum air leakage is equal to or less than 6 percent of the system design flow rate or 4 cubic feet per minute per 100 square feet of conditioned floor area. </t>
    </r>
  </si>
  <si>
    <t>(Points not awarded if points are taken under Section 705.6.2.3)</t>
  </si>
  <si>
    <t>703.5 Water heating system</t>
  </si>
  <si>
    <t>703.5.1</t>
  </si>
  <si>
    <r>
      <t>703.5.1</t>
    </r>
    <r>
      <rPr>
        <sz val="10"/>
        <color theme="1"/>
        <rFont val="Calibri"/>
        <family val="2"/>
        <scheme val="minor"/>
      </rPr>
      <t xml:space="preserve"> Water heater Energy Factor (EF) is in accordance with the following:</t>
    </r>
  </si>
  <si>
    <t>Gas water heating</t>
  </si>
  <si>
    <t>Electric water heating</t>
  </si>
  <si>
    <t>Heat pump water heating</t>
  </si>
  <si>
    <t>703.5.2</t>
  </si>
  <si>
    <r>
      <t>703.5.2</t>
    </r>
    <r>
      <rPr>
        <sz val="10"/>
        <color theme="1"/>
        <rFont val="Calibri"/>
        <family val="2"/>
        <scheme val="minor"/>
      </rPr>
      <t xml:space="preserve"> Desuperheater is installed by a qualified installer or is pre-installed in the factory.</t>
    </r>
  </si>
  <si>
    <t>703.5.3</t>
  </si>
  <si>
    <r>
      <t>703.5.3</t>
    </r>
    <r>
      <rPr>
        <sz val="10"/>
        <color theme="1"/>
        <rFont val="Calibri"/>
        <family val="2"/>
        <scheme val="minor"/>
      </rPr>
      <t xml:space="preserve"> Drain-water heat recovery system is installed. </t>
    </r>
  </si>
  <si>
    <r>
      <t xml:space="preserve">703.5.4 </t>
    </r>
    <r>
      <rPr>
        <sz val="10"/>
        <color theme="1"/>
        <rFont val="Calibri"/>
        <family val="2"/>
        <scheme val="minor"/>
      </rPr>
      <t>Indirect-fired water heater storage tanks heated from boiler systems are installed.</t>
    </r>
  </si>
  <si>
    <t>703.5.5</t>
  </si>
  <si>
    <t>703.6 Lighting and appliances</t>
  </si>
  <si>
    <t>703.6.1</t>
  </si>
  <si>
    <r>
      <t>703.6.1 Hard-wired lighting.</t>
    </r>
    <r>
      <rPr>
        <sz val="10"/>
        <color theme="1"/>
        <rFont val="Calibri"/>
        <family val="2"/>
        <scheme val="minor"/>
      </rPr>
      <t xml:space="preserve"> Hard-wired lighting is in accordance with one of the following: </t>
    </r>
  </si>
  <si>
    <r>
      <t>A minimum of</t>
    </r>
    <r>
      <rPr>
        <b/>
        <sz val="10"/>
        <color theme="1"/>
        <rFont val="Calibri"/>
        <family val="2"/>
        <scheme val="minor"/>
      </rPr>
      <t xml:space="preserve"> </t>
    </r>
    <r>
      <rPr>
        <sz val="10"/>
        <color theme="1"/>
        <rFont val="Calibri"/>
        <family val="2"/>
        <scheme val="minor"/>
      </rPr>
      <t>80 percent of the exterior lighting wattage has a minimum efficacy of 40 lumens per watt or is solar-powered.</t>
    </r>
    <r>
      <rPr>
        <b/>
        <sz val="10"/>
        <color theme="1"/>
        <rFont val="Calibri"/>
        <family val="2"/>
        <scheme val="minor"/>
      </rPr>
      <t xml:space="preserve"> </t>
    </r>
  </si>
  <si>
    <t>In multifamily buildings, common area lighting power density (LPD) is less than 0.51 Watts per square foot.</t>
  </si>
  <si>
    <t xml:space="preserve">703.6.2 </t>
  </si>
  <si>
    <r>
      <t>703.6.2 Appliances.</t>
    </r>
    <r>
      <rPr>
        <sz val="10"/>
        <color theme="1"/>
        <rFont val="Calibri"/>
        <family val="2"/>
        <scheme val="minor"/>
      </rPr>
      <t xml:space="preserve"> ENERGY STAR or equivalent appliance(s) are installed:</t>
    </r>
  </si>
  <si>
    <t>Refrigerator</t>
  </si>
  <si>
    <t>Dishwasher</t>
  </si>
  <si>
    <t>Washing machine</t>
  </si>
  <si>
    <t>703.7 Passive solar design</t>
  </si>
  <si>
    <t>703.7.1</t>
  </si>
  <si>
    <r>
      <t>703.7.1</t>
    </r>
    <r>
      <rPr>
        <sz val="10"/>
        <color theme="1"/>
        <rFont val="Calibri"/>
        <family val="2"/>
        <scheme val="minor"/>
      </rPr>
      <t xml:space="preserve"> </t>
    </r>
    <r>
      <rPr>
        <b/>
        <sz val="10"/>
        <color theme="1"/>
        <rFont val="Calibri"/>
        <family val="2"/>
        <scheme val="minor"/>
      </rPr>
      <t xml:space="preserve">Sun-tempered design. </t>
    </r>
    <r>
      <rPr>
        <sz val="10"/>
        <color theme="1"/>
        <rFont val="Calibri"/>
        <family val="2"/>
        <scheme val="minor"/>
      </rPr>
      <t>Building orientation, sizing of glazing, and design of overhangs are in accordance with all of the following:</t>
    </r>
  </si>
  <si>
    <t>The long side (or one side if of equal length) of the building faces within 20 degrees of true south.</t>
  </si>
  <si>
    <t>Vertical glazing area is between 5 and 7 percent of the gross conditioned floor area on the south face [also see Section 703.7.1(8)].</t>
  </si>
  <si>
    <t>Vertical glazing area is less than 2 percent of the gross conditioned floor area on the west face, and glazing is ENERGY STAR compliant or equivalent.</t>
  </si>
  <si>
    <t>Vertical glazing area is less than 4 percent of the gross conditioned floor area on the east face, and glazing is ENERGY STAR compliant or equivalent.</t>
  </si>
  <si>
    <t>Vertical glazing area is less than 8 percent of the gross conditioned floor area on the north face, and glazing is ENERGY STAR compliant or equivalent.</t>
  </si>
  <si>
    <t>Skylights, where installed, are in accordance with the following:</t>
  </si>
  <si>
    <t>shades and insulated wells are used, and all glazing is ENERGY STAR compliant or equivalent</t>
  </si>
  <si>
    <t>horizontal skylights are less than 0.5 percent of finished ceiling area</t>
  </si>
  <si>
    <t>sloped skylights on slopes facing within 45 degrees of true south, east, or west are less than 1.5 percent of the finished ceiling area</t>
  </si>
  <si>
    <t>The south face windows have a SHGC of 0.40 or higher.</t>
  </si>
  <si>
    <t>Return air or transfer grilles/ducts are in accordance with Section 705.4.</t>
  </si>
  <si>
    <t xml:space="preserve">703.7.2 </t>
  </si>
  <si>
    <r>
      <t>703.7.2 Window shading.</t>
    </r>
    <r>
      <rPr>
        <sz val="10"/>
        <color theme="1"/>
        <rFont val="Calibri"/>
        <family val="2"/>
        <scheme val="minor"/>
      </rPr>
      <t xml:space="preserve"> Automated solar protection or dynamic glazing is installed to provide shading for windows.</t>
    </r>
  </si>
  <si>
    <t>703.7.3</t>
  </si>
  <si>
    <r>
      <t>703.7.3 Passive cooling design.</t>
    </r>
    <r>
      <rPr>
        <sz val="10"/>
        <color theme="1"/>
        <rFont val="Calibri"/>
        <family val="2"/>
        <scheme val="minor"/>
      </rPr>
      <t xml:space="preserve"> Passive cooling design features are in accordance with three or more of the following:</t>
    </r>
  </si>
  <si>
    <t>Points for three items:</t>
  </si>
  <si>
    <t>Points for one additional item:</t>
  </si>
  <si>
    <t>Exterior shading is provided on east and west windows using one or a combination of the following:</t>
  </si>
  <si>
    <t>vine-covered trellises with the vegetation separated a minimum of 1 foot (305 mm) from face of building</t>
  </si>
  <si>
    <t>moveable awnings or louvers</t>
  </si>
  <si>
    <t>covered porches</t>
  </si>
  <si>
    <t>attached or detached conditioned/unconditioned enclosed space that provides full shade of east and west windows (e.g., detached garage, shed, or building)</t>
  </si>
  <si>
    <t xml:space="preserve">Overhangs are installed to provide shading on south-facing glazing in accordance with Section 703.7.1(7). </t>
  </si>
  <si>
    <t>(Points not awarded if points are taken under Section 703.7.1.)</t>
  </si>
  <si>
    <t>Windows and/or venting skylights are located to facilitate cross ventilation.</t>
  </si>
  <si>
    <t>Solar reflective roof or radiant barrier is installed in climate zones 1, 2, or 3 and roof material achieves a 3-year aged criteria of 0.50.</t>
  </si>
  <si>
    <t>Internal exposed thermal mass is a minimum of three inches (76 mm) in thickness. Thermal mass consists of concrete, brick, and/or tile fully adhered to a masonry base or other masonry material in accordance with one or a combination of the following:</t>
  </si>
  <si>
    <r>
      <t>A minimum of 1 square foot (0.09 m</t>
    </r>
    <r>
      <rPr>
        <vertAlign val="superscript"/>
        <sz val="10"/>
        <color theme="1"/>
        <rFont val="Calibri"/>
        <family val="2"/>
        <scheme val="minor"/>
      </rPr>
      <t>2</t>
    </r>
    <r>
      <rPr>
        <sz val="10"/>
        <color theme="1"/>
        <rFont val="Calibri"/>
        <family val="2"/>
        <scheme val="minor"/>
      </rPr>
      <t>) of exposed thermal mass of floor per 3 square feet (2.8 m</t>
    </r>
    <r>
      <rPr>
        <vertAlign val="superscript"/>
        <sz val="10"/>
        <color theme="1"/>
        <rFont val="Calibri"/>
        <family val="2"/>
        <scheme val="minor"/>
      </rPr>
      <t>2</t>
    </r>
    <r>
      <rPr>
        <sz val="10"/>
        <color theme="1"/>
        <rFont val="Calibri"/>
        <family val="2"/>
        <scheme val="minor"/>
      </rPr>
      <t>) of gross finished floor area.</t>
    </r>
  </si>
  <si>
    <r>
      <t>A minimum of 3 square feet (2.8 m</t>
    </r>
    <r>
      <rPr>
        <vertAlign val="superscript"/>
        <sz val="10"/>
        <color theme="1"/>
        <rFont val="Calibri"/>
        <family val="2"/>
        <scheme val="minor"/>
      </rPr>
      <t>2</t>
    </r>
    <r>
      <rPr>
        <sz val="10"/>
        <color theme="1"/>
        <rFont val="Calibri"/>
        <family val="2"/>
        <scheme val="minor"/>
      </rPr>
      <t>) of exposed thermal mass in interior walls or elements per square foot (0.09 m</t>
    </r>
    <r>
      <rPr>
        <vertAlign val="superscript"/>
        <sz val="10"/>
        <color theme="1"/>
        <rFont val="Calibri"/>
        <family val="2"/>
        <scheme val="minor"/>
      </rPr>
      <t>2</t>
    </r>
    <r>
      <rPr>
        <sz val="10"/>
        <color theme="1"/>
        <rFont val="Calibri"/>
        <family val="2"/>
        <scheme val="minor"/>
      </rPr>
      <t>) of gross finished floor area.</t>
    </r>
  </si>
  <si>
    <t>Roofing material is installed with a minimum 0.75 inch (19 mm) continuous air space offset from the roof deck from eave to ridge.</t>
  </si>
  <si>
    <t>703.7.4</t>
  </si>
  <si>
    <r>
      <t>703.7.4</t>
    </r>
    <r>
      <rPr>
        <sz val="10"/>
        <color theme="1"/>
        <rFont val="Calibri"/>
        <family val="2"/>
      </rPr>
      <t xml:space="preserve"> </t>
    </r>
    <r>
      <rPr>
        <b/>
        <sz val="10"/>
        <color theme="1"/>
        <rFont val="Calibri"/>
        <family val="2"/>
      </rPr>
      <t>Passive solar heating design</t>
    </r>
    <r>
      <rPr>
        <sz val="10"/>
        <color theme="1"/>
        <rFont val="Calibri"/>
        <family val="2"/>
      </rPr>
      <t xml:space="preserve">. In addition to the sun-tempered design features in Section 703.7.1, all of the following are implemented: </t>
    </r>
  </si>
  <si>
    <t xml:space="preserve">Note: Points shall not be awarded in the Tropical Climate Zone. </t>
  </si>
  <si>
    <t>Additional glazing, no greater than 12 percent, is permitted on the south wall. This additional glazing is in accordance with the requirements of Section 703.7.1.</t>
  </si>
  <si>
    <t>Additional thermal mass for any room with south-facing glazing of more than 7 percent of the finished floor area is provided in accordance with the following:</t>
  </si>
  <si>
    <t>Thermal mass is solid and a minimum of 3 inches (76 mm) in thickness. Where two thermal mass materials are layered together (e.g., ceramic tile on concrete base) to achieve the appropriate thickness, they are fully adhered to (touching) each other.</t>
  </si>
  <si>
    <t>Thermal mass directly exposed to sunlight is provided in accordance with the following minimum ratios:</t>
  </si>
  <si>
    <r>
      <t>Above latitude 35 degrees: 5 square feet (0.465 m</t>
    </r>
    <r>
      <rPr>
        <vertAlign val="superscript"/>
        <sz val="10"/>
        <color theme="1"/>
        <rFont val="Calibri"/>
        <family val="2"/>
        <scheme val="minor"/>
      </rPr>
      <t>2</t>
    </r>
    <r>
      <rPr>
        <sz val="10"/>
        <color theme="1"/>
        <rFont val="Calibri"/>
        <family val="2"/>
        <scheme val="minor"/>
      </rPr>
      <t>) of thermal mass for every 1 square foot (0.0929 m</t>
    </r>
    <r>
      <rPr>
        <vertAlign val="superscript"/>
        <sz val="10"/>
        <color theme="1"/>
        <rFont val="Calibri"/>
        <family val="2"/>
        <scheme val="minor"/>
      </rPr>
      <t>2</t>
    </r>
    <r>
      <rPr>
        <sz val="10"/>
        <color theme="1"/>
        <rFont val="Calibri"/>
        <family val="2"/>
        <scheme val="minor"/>
      </rPr>
      <t>) of south-facing glazing.</t>
    </r>
  </si>
  <si>
    <t>(ii)</t>
  </si>
  <si>
    <r>
      <t>Latitude 30 degrees to 35 degrees: 5.5 square feet (0.51 m</t>
    </r>
    <r>
      <rPr>
        <vertAlign val="superscript"/>
        <sz val="10"/>
        <color theme="1"/>
        <rFont val="Calibri"/>
        <family val="2"/>
        <scheme val="minor"/>
      </rPr>
      <t>2</t>
    </r>
    <r>
      <rPr>
        <sz val="10"/>
        <color theme="1"/>
        <rFont val="Calibri"/>
        <family val="2"/>
        <scheme val="minor"/>
      </rPr>
      <t>) of thermal mass for every 1 square foot (0.0929 m</t>
    </r>
    <r>
      <rPr>
        <vertAlign val="superscript"/>
        <sz val="10"/>
        <color theme="1"/>
        <rFont val="Calibri"/>
        <family val="2"/>
        <scheme val="minor"/>
      </rPr>
      <t>2</t>
    </r>
    <r>
      <rPr>
        <sz val="10"/>
        <color theme="1"/>
        <rFont val="Calibri"/>
        <family val="2"/>
        <scheme val="minor"/>
      </rPr>
      <t>) of south-facing glazing.</t>
    </r>
  </si>
  <si>
    <t>(iii)</t>
  </si>
  <si>
    <r>
      <t>Latitude 25 degrees to 30 degrees: 6 square feet (0.557 m</t>
    </r>
    <r>
      <rPr>
        <vertAlign val="superscript"/>
        <sz val="10"/>
        <color theme="1"/>
        <rFont val="Calibri"/>
        <family val="2"/>
        <scheme val="minor"/>
      </rPr>
      <t>2</t>
    </r>
    <r>
      <rPr>
        <sz val="10"/>
        <color theme="1"/>
        <rFont val="Calibri"/>
        <family val="2"/>
        <scheme val="minor"/>
      </rPr>
      <t>) of thermal mass for every 1 square foot (0.0929 m</t>
    </r>
    <r>
      <rPr>
        <vertAlign val="superscript"/>
        <sz val="10"/>
        <color theme="1"/>
        <rFont val="Calibri"/>
        <family val="2"/>
        <scheme val="minor"/>
      </rPr>
      <t>2</t>
    </r>
    <r>
      <rPr>
        <sz val="10"/>
        <color theme="1"/>
        <rFont val="Calibri"/>
        <family val="2"/>
        <scheme val="minor"/>
      </rPr>
      <t>) of south-facing glazing.</t>
    </r>
  </si>
  <si>
    <r>
      <t>Thermal mass not directly exposed to sunlight is permitted to be used to achieve thermal mass requirements of Section 703.7.4 (2) based on a ratio of 40 square feet (3.72 m</t>
    </r>
    <r>
      <rPr>
        <vertAlign val="superscript"/>
        <sz val="10"/>
        <color theme="1"/>
        <rFont val="Calibri"/>
        <family val="2"/>
        <scheme val="minor"/>
      </rPr>
      <t>2</t>
    </r>
    <r>
      <rPr>
        <sz val="10"/>
        <color theme="1"/>
        <rFont val="Calibri"/>
        <family val="2"/>
        <scheme val="minor"/>
      </rPr>
      <t>) of thermal mass for every 1 square foot (0.0929 m</t>
    </r>
    <r>
      <rPr>
        <vertAlign val="superscript"/>
        <sz val="10"/>
        <color theme="1"/>
        <rFont val="Calibri"/>
        <family val="2"/>
        <scheme val="minor"/>
      </rPr>
      <t>2</t>
    </r>
    <r>
      <rPr>
        <sz val="10"/>
        <color theme="1"/>
        <rFont val="Calibri"/>
        <family val="2"/>
        <scheme val="minor"/>
      </rPr>
      <t>) of south-facing glazing.</t>
    </r>
  </si>
  <si>
    <t xml:space="preserve">In addition to return air or transfer grilles/ducts required by Section 703.7.1(9), provisions for forced airflow to adjoining areas are implemented as needed. </t>
  </si>
  <si>
    <t>704 HERS INDEX TARGET PATH</t>
  </si>
  <si>
    <r>
      <t>704.1 HERS index Target Compliance.</t>
    </r>
    <r>
      <rPr>
        <sz val="10"/>
        <color theme="1"/>
        <rFont val="Calibri"/>
        <family val="2"/>
        <scheme val="minor"/>
      </rPr>
      <t xml:space="preserve">  Compliance with the energy chapter shall be permitted to be based on the EPA HERS Index Target Procedure for Energy Star Qualified Homes.  Points from Section 704 (HERS Index Target) shall not be combined with points from Section 702 (Performance Path) or Section 703 (Prescriptive Path).</t>
    </r>
  </si>
  <si>
    <r>
      <t>704.2 Point calculation.</t>
    </r>
    <r>
      <rPr>
        <sz val="10"/>
        <color theme="1"/>
        <rFont val="Calibri"/>
        <family val="2"/>
        <scheme val="minor"/>
      </rPr>
      <t xml:space="preserve">  Points for Section 704 shall be computed based on Steps “1a” through “1d” of the EPA HERS Index Target Procedure.  Points shall be computed individually for each building as follows:</t>
    </r>
  </si>
  <si>
    <t>705 ADDITIONAL PRACTICES</t>
  </si>
  <si>
    <t>705.2 Lighting</t>
  </si>
  <si>
    <t>705.2.1</t>
  </si>
  <si>
    <t>705.2.1 Lighting controls</t>
  </si>
  <si>
    <r>
      <t xml:space="preserve"> </t>
    </r>
    <r>
      <rPr>
        <b/>
        <sz val="10"/>
        <color theme="1"/>
        <rFont val="Calibri"/>
        <family val="2"/>
        <scheme val="minor"/>
      </rPr>
      <t xml:space="preserve">(Percentages for point thresholds are based on lighting not required for means of egress or security lighting as defined by local building codes.) </t>
    </r>
  </si>
  <si>
    <t>705.2.1.1</t>
  </si>
  <si>
    <r>
      <t xml:space="preserve">705.2.1.1 Interior lighting.  </t>
    </r>
    <r>
      <rPr>
        <sz val="10"/>
        <color theme="1"/>
        <rFont val="Calibri"/>
        <family val="2"/>
        <scheme val="minor"/>
      </rPr>
      <t>In dwelling units, permanently installed interior lighting fixtures are controlled with an occupancy sensor, or dimmer:</t>
    </r>
  </si>
  <si>
    <t>50 percent to less than 75 percent of lighting fixtures.</t>
  </si>
  <si>
    <t>A minimum of 75 percent of lighting fixtures.</t>
  </si>
  <si>
    <t>705.2.1.2</t>
  </si>
  <si>
    <r>
      <t xml:space="preserve">705.2.1.2 Exterior lighting. </t>
    </r>
    <r>
      <rPr>
        <sz val="10"/>
        <color theme="1"/>
        <rFont val="Calibri"/>
        <family val="2"/>
        <scheme val="minor"/>
      </rPr>
      <t>Photo or motion sensors are installed on 75 percent of outdoor lighting fixtures to control lighting.</t>
    </r>
  </si>
  <si>
    <t>705.2.1.3</t>
  </si>
  <si>
    <t xml:space="preserve">705.2.1.3 Multifamily common areas.  </t>
  </si>
  <si>
    <t xml:space="preserve">In a multifamily building, occupancy sensors, or dimmers are installed in common areas (except corridors and stairwells).   </t>
  </si>
  <si>
    <t>In a multifamily building, occupancy controls are installed to automatically reduce light levels in interior corridors and exit stairwells when the space is unoccupied. Light levels are reduced by:</t>
  </si>
  <si>
    <t>50 percent to less than 75 percent or to local minimum requirements</t>
  </si>
  <si>
    <t xml:space="preserve">A minimum of 75 percent </t>
  </si>
  <si>
    <t>705.2.1.4</t>
  </si>
  <si>
    <r>
      <t xml:space="preserve">705.2.1.4 </t>
    </r>
    <r>
      <rPr>
        <sz val="10"/>
        <color theme="1"/>
        <rFont val="Calibri"/>
        <family val="2"/>
        <scheme val="minor"/>
      </rPr>
      <t>In a multifamily building, occupancy controls are installed to automatically reduce light levels in garages and parking structures when the space is unoccupied.  Light levels are reduced by:</t>
    </r>
  </si>
  <si>
    <t>A minimum of 75 percent</t>
  </si>
  <si>
    <t>705.2.2</t>
  </si>
  <si>
    <r>
      <t>705.2.2 TDDs and skylights.</t>
    </r>
    <r>
      <rPr>
        <sz val="10"/>
        <color theme="1"/>
        <rFont val="Calibri"/>
        <family val="2"/>
        <scheme val="minor"/>
      </rPr>
      <t xml:space="preserve"> A tubular daylighting device (TDD) or a skylight that meets the requirements of Table 703.2.5.2(a) is installed in rooms without windows. </t>
    </r>
  </si>
  <si>
    <t>705.2.3</t>
  </si>
  <si>
    <r>
      <t>705.2.3 Lighting outlets.</t>
    </r>
    <r>
      <rPr>
        <sz val="10"/>
        <color theme="1"/>
        <rFont val="Calibri"/>
        <family val="2"/>
        <scheme val="minor"/>
      </rPr>
      <t xml:space="preserve"> Occupancy sensors are installed for a minimum of 80 percent of hard-wired lighting outlets in the interior living space.</t>
    </r>
  </si>
  <si>
    <t>705.2.4</t>
  </si>
  <si>
    <r>
      <t xml:space="preserve">705.2.4 Recessed luminaires. </t>
    </r>
    <r>
      <rPr>
        <sz val="10"/>
        <color theme="1"/>
        <rFont val="Calibri"/>
        <family val="2"/>
        <scheme val="minor"/>
      </rPr>
      <t>The number of recessed luminaires that penetrates the thermal envelope is less than 1 per 400 square feet (37.16 m</t>
    </r>
    <r>
      <rPr>
        <vertAlign val="superscript"/>
        <sz val="10"/>
        <color theme="1"/>
        <rFont val="Calibri"/>
        <family val="2"/>
        <scheme val="minor"/>
      </rPr>
      <t>2</t>
    </r>
    <r>
      <rPr>
        <sz val="10"/>
        <color theme="1"/>
        <rFont val="Calibri"/>
        <family val="2"/>
        <scheme val="minor"/>
      </rPr>
      <t xml:space="preserve">) of total conditioned floor area and they are in accordance with Section </t>
    </r>
    <r>
      <rPr>
        <b/>
        <sz val="10"/>
        <color theme="1"/>
        <rFont val="Calibri"/>
        <family val="2"/>
        <scheme val="minor"/>
      </rPr>
      <t>701.4.3.5</t>
    </r>
    <r>
      <rPr>
        <sz val="10"/>
        <color theme="1"/>
        <rFont val="Calibri"/>
        <family val="2"/>
        <scheme val="minor"/>
      </rPr>
      <t>.</t>
    </r>
  </si>
  <si>
    <r>
      <t xml:space="preserve">705.3 Induction cooktop. </t>
    </r>
    <r>
      <rPr>
        <sz val="10"/>
        <color theme="1"/>
        <rFont val="Calibri"/>
        <family val="2"/>
        <scheme val="minor"/>
      </rPr>
      <t>Induction cooktop is installed.</t>
    </r>
  </si>
  <si>
    <r>
      <t xml:space="preserve">705.4 Return ducts and transfer grilles. </t>
    </r>
    <r>
      <rPr>
        <sz val="10"/>
        <color theme="1"/>
        <rFont val="Calibri"/>
        <family val="2"/>
        <scheme val="minor"/>
      </rPr>
      <t xml:space="preserve">Return ducts or transfer grilles are installed in every room with a door. Return ducts or transfer grilles are not required for bathrooms, kitchens, closets, pantries, and laundry rooms. </t>
    </r>
  </si>
  <si>
    <t>705.5 HVAC design and installation</t>
  </si>
  <si>
    <t>705.5.1</t>
  </si>
  <si>
    <r>
      <t>705.5.1</t>
    </r>
    <r>
      <rPr>
        <sz val="10"/>
        <color theme="1"/>
        <rFont val="Calibri"/>
        <family val="2"/>
        <scheme val="minor"/>
      </rPr>
      <t xml:space="preserve"> HVAC contractor and service technician are certified by a nationally or regionally recognized program (e.g., North American Technician Excellence, Inc. (NATE), Air Conditioning Contractors of Americas Quality Assured Program (ACCA/QA), Building Performance Institute (BPI), Radiant Panel Association, or a manufacturer’s training program).</t>
    </r>
  </si>
  <si>
    <t>705.5.2</t>
  </si>
  <si>
    <r>
      <t>705.5.2</t>
    </r>
    <r>
      <rPr>
        <sz val="10"/>
        <color theme="1"/>
        <rFont val="Calibri"/>
        <family val="2"/>
        <scheme val="minor"/>
      </rPr>
      <t xml:space="preserve"> Performance of the heating and/or cooling system is verified by the HVAC contractor in accordance with all of the following: </t>
    </r>
  </si>
  <si>
    <t>Start-up procedure is performed in accordance with the manufacturer’s instructions.</t>
  </si>
  <si>
    <t>Refrigerant charge is verified by super-heat and/or sub-cooling method.</t>
  </si>
  <si>
    <t xml:space="preserve">Burner is set to fire at input level listed on nameplate. </t>
  </si>
  <si>
    <t>Air handler setting/fan speed is set in accordance with manufacturer’s instructions.</t>
  </si>
  <si>
    <t>Total airflow is within 10 percent of design flow.</t>
  </si>
  <si>
    <t xml:space="preserve">Total external system static does not exceed equipment capability at rated airflow. </t>
  </si>
  <si>
    <t>705.6 Installation and performance verification.</t>
  </si>
  <si>
    <t>705.6.1</t>
  </si>
  <si>
    <r>
      <t>705.6.1</t>
    </r>
    <r>
      <rPr>
        <sz val="10"/>
        <color theme="1"/>
        <rFont val="Calibri"/>
        <family val="2"/>
        <scheme val="minor"/>
      </rPr>
      <t xml:space="preserve"> Third-party on-site inspection is conducted to verify compliance with all of the following, as applicable. Minimum of two inspections are performed: one inspection after insulation is installed and prior to covering, and another inspection upon completion of the building. Where multiple buildings or dwelling units of the same model are built by the same builder, a representative sample inspection of a minimum of 15 percent of the buildings or dwelling units is permitted. </t>
    </r>
  </si>
  <si>
    <t>(Points awarded only for buildings where building envelope leakage testing is not required by 2015 IECC.)</t>
  </si>
  <si>
    <t>705.6.2.1</t>
  </si>
  <si>
    <r>
      <t>705.6.2.1 Air leakage validation of building or dwelling units.</t>
    </r>
    <r>
      <rPr>
        <sz val="10"/>
        <color theme="1"/>
        <rFont val="Calibri"/>
        <family val="2"/>
        <scheme val="minor"/>
      </rPr>
      <t xml:space="preserve"> A visual inspection is performed as described in 701.4.3.2(2) and air leakage testing is performed in accordance with ASTM E779 or ASTM E1827.</t>
    </r>
  </si>
  <si>
    <t>A blower door test.</t>
  </si>
  <si>
    <t>Third-party verification is completed.</t>
  </si>
  <si>
    <t>705.6.2.2</t>
  </si>
  <si>
    <r>
      <t xml:space="preserve">705.6.2.2 HVAC airflow testing. </t>
    </r>
    <r>
      <rPr>
        <sz val="10"/>
        <color theme="1"/>
        <rFont val="Calibri"/>
        <family val="2"/>
        <scheme val="minor"/>
      </rPr>
      <t>Balanced HVAC airflows are demonstrated by flow hood or other acceptable flow measurement tool by a third party. Test results are in accordance with both of the following:</t>
    </r>
  </si>
  <si>
    <t>Measured flow at each supply and return register meets or exceeds the requirements in ACCA 5 QI-2010, Section 5.2.</t>
  </si>
  <si>
    <t>Total airflow meets or exceeds the requirements in ACCA 5 QI-2010, Section 5.2.</t>
  </si>
  <si>
    <t>705.6.2.3</t>
  </si>
  <si>
    <r>
      <t xml:space="preserve">705.6.2.3 HVAC duct leakage testing. </t>
    </r>
    <r>
      <rPr>
        <sz val="10"/>
        <color theme="1"/>
        <rFont val="Calibri"/>
        <family val="2"/>
        <scheme val="minor"/>
      </rPr>
      <t>One of the following is achieved:</t>
    </r>
  </si>
  <si>
    <t>(Points awarded only where these practices are not required by IECC.)</t>
  </si>
  <si>
    <t xml:space="preserve">piping 3/4-inch and larger in outside diameter </t>
  </si>
  <si>
    <t xml:space="preserve">piping serving more than one dwelling unit </t>
  </si>
  <si>
    <t xml:space="preserve">piping located outside the conditioned space </t>
  </si>
  <si>
    <t xml:space="preserve">piping from the water heater to a distribution manifold </t>
  </si>
  <si>
    <t xml:space="preserve">piping located under a floor slab </t>
  </si>
  <si>
    <t xml:space="preserve">buried piping </t>
  </si>
  <si>
    <t>supply and return piping in recirculation systems other than demand recirculation systems</t>
  </si>
  <si>
    <t>705.6.4</t>
  </si>
  <si>
    <t xml:space="preserve">705.6.4 Potable hot water demand re-circulation system. </t>
  </si>
  <si>
    <t>705.6.4.1</t>
  </si>
  <si>
    <r>
      <t>705.6.4.1</t>
    </r>
    <r>
      <rPr>
        <sz val="10"/>
        <color rgb="FF000000"/>
        <rFont val="Calibri"/>
        <family val="2"/>
        <scheme val="minor"/>
      </rPr>
      <t xml:space="preserve"> Potable hot water demand re-circulation system is installed in a single-family unit.</t>
    </r>
  </si>
  <si>
    <t>705.6.4.2</t>
  </si>
  <si>
    <r>
      <t>705.6.4.2</t>
    </r>
    <r>
      <rPr>
        <sz val="10"/>
        <color rgb="FF000000"/>
        <rFont val="Calibri"/>
        <family val="2"/>
        <scheme val="minor"/>
      </rPr>
      <t xml:space="preserve"> Potable hot water demand re-circulation system is installed in a multifamily unit in place of a standard circulation pump and control.</t>
    </r>
  </si>
  <si>
    <r>
      <t xml:space="preserve">705.7 </t>
    </r>
    <r>
      <rPr>
        <sz val="10"/>
        <color rgb="FF000000"/>
        <rFont val="Calibri"/>
        <family val="2"/>
        <scheme val="minor"/>
      </rPr>
      <t>In multi-unit buildings, an advanced electric and fossil fuel submetering system is installed to monitor electricity and fossil fuel consumption for each unit. The device provides consumption information on a monthly or near real-time basis. The information is available to the occupants at a minimum on a monthly basis.</t>
    </r>
  </si>
  <si>
    <t>706 INNOVATIVE PRACTICES</t>
  </si>
  <si>
    <r>
      <t>706.1 Energy consumption control.</t>
    </r>
    <r>
      <rPr>
        <sz val="10"/>
        <color theme="1"/>
        <rFont val="Calibri"/>
        <family val="2"/>
        <scheme val="minor"/>
      </rPr>
      <t xml:space="preserve"> A whole-building or whole-dwelling unit device or system is installed that controls or monitors energy consumption. </t>
    </r>
  </si>
  <si>
    <t>programmable communicating thermostat with the capability to be controlled remotely</t>
  </si>
  <si>
    <t>energy-monitoring device or system</t>
  </si>
  <si>
    <t>energy management control system</t>
  </si>
  <si>
    <t>programmable thermostat with control capability based on occupant presence or usage pattern</t>
  </si>
  <si>
    <t>lighting control system</t>
  </si>
  <si>
    <r>
      <t>706.2 Renewable energy service plan.</t>
    </r>
    <r>
      <rPr>
        <sz val="10"/>
        <color theme="1"/>
        <rFont val="Calibri"/>
        <family val="2"/>
        <scheme val="minor"/>
      </rPr>
      <t xml:space="preserve"> Renewable energy service plan is provided as follows:</t>
    </r>
  </si>
  <si>
    <t>Builder selects a renewable energy service plan provided by the local electrical utility for interim (temporary) electric service. The builder’s local administrative office has renewable energy service.</t>
  </si>
  <si>
    <t>The buyer of the building selects one of the following renewable energy service plans provided by the utility prior to occupancy of the building with a minimum two-year commitment.</t>
  </si>
  <si>
    <t>less than half of the dwelling’s projected electricity and gas use is provided by renewable energy</t>
  </si>
  <si>
    <t>half or more of the of the dwelling’s projected electricity and gas use is provided by renewable energy</t>
  </si>
  <si>
    <r>
      <t>706.3 Smart Appliances and Systems.</t>
    </r>
    <r>
      <rPr>
        <sz val="10"/>
        <color theme="1"/>
        <rFont val="Calibri"/>
        <family val="2"/>
        <scheme val="minor"/>
      </rPr>
      <t xml:space="preserve"> Smart appliances and systems are installed as follows:</t>
    </r>
  </si>
  <si>
    <t>Three to five smart appliances installed</t>
  </si>
  <si>
    <t>Six or more smart appliances installed</t>
  </si>
  <si>
    <t>(Items (7) and (8) are permitted to count as two appliances each for the purpose of awarding points.)</t>
  </si>
  <si>
    <t>(where points awarded in Section 706.3, points shall not be awarded in Section 706.7 and 706.9)</t>
  </si>
  <si>
    <t>Freezer</t>
  </si>
  <si>
    <t>Clothes Dryer</t>
  </si>
  <si>
    <t>Clothes Washer</t>
  </si>
  <si>
    <t>Room Air Conditioner</t>
  </si>
  <si>
    <t>HVAC Systems</t>
  </si>
  <si>
    <t>Service Hot Water Heating Systems</t>
  </si>
  <si>
    <t>706.4 Pumps.</t>
  </si>
  <si>
    <t>706.4.1</t>
  </si>
  <si>
    <r>
      <t xml:space="preserve">706.4.1 </t>
    </r>
    <r>
      <rPr>
        <sz val="10"/>
        <color theme="1"/>
        <rFont val="Calibri"/>
        <family val="2"/>
        <scheme val="minor"/>
      </rPr>
      <t>Pool, spa, and water features equipped with filtration pumps as follows:</t>
    </r>
  </si>
  <si>
    <t>Electronically controlled variable-speed pump(s) is installed (full load efficiency of 90 percent or greater).</t>
  </si>
  <si>
    <t>Electronically controlled variable-speed pump(s) is installed (full load efficiency of 90 percent or greater) in a pool</t>
  </si>
  <si>
    <t>706.4.2</t>
  </si>
  <si>
    <r>
      <t>706.4.2</t>
    </r>
    <r>
      <rPr>
        <sz val="10"/>
        <color theme="1"/>
        <rFont val="Calibri"/>
        <family val="2"/>
        <scheme val="minor"/>
      </rPr>
      <t xml:space="preserve"> Sump pump(s) with electrically commutated motors (ECMs) or permanent split capacitor (PSC) motors is installed (full load efficiency of 90 percent or greater).</t>
    </r>
  </si>
  <si>
    <r>
      <t>706.5</t>
    </r>
    <r>
      <rPr>
        <sz val="10"/>
        <color theme="1"/>
        <rFont val="Calibri"/>
        <family val="2"/>
        <scheme val="minor"/>
      </rPr>
      <t xml:space="preserve"> </t>
    </r>
    <r>
      <rPr>
        <b/>
        <sz val="10"/>
        <color theme="1"/>
        <rFont val="Calibri"/>
        <family val="2"/>
      </rPr>
      <t xml:space="preserve">On-site renewable energy system. An on-site </t>
    </r>
    <r>
      <rPr>
        <sz val="10"/>
        <color theme="1"/>
        <rFont val="Calibri"/>
        <family val="2"/>
        <scheme val="minor"/>
      </rPr>
      <t xml:space="preserve">renewable energy system(s) is installed on the property. </t>
    </r>
  </si>
  <si>
    <t>(Points shall not be awarded in this section for solar thermal or geothermal systems that provide space heating, space cooling, or water heating,   Points for these systems are awarded in Section 703.)</t>
  </si>
  <si>
    <t>(Where onsite renewable energy is included in Section 702 Performance Path or 704 HERS Index Target Path, Section 706.5 shall not be awarded.)</t>
  </si>
  <si>
    <r>
      <t xml:space="preserve">706.6 Parking garage efficiency. </t>
    </r>
    <r>
      <rPr>
        <sz val="10"/>
        <color theme="1"/>
        <rFont val="Calibri"/>
        <family val="2"/>
        <scheme val="minor"/>
      </rPr>
      <t>Structured parking garages are designed to require no mechanical ventilation for fresh air requirements.</t>
    </r>
  </si>
  <si>
    <r>
      <t xml:space="preserve">706.7 Grid-interactive electric thermal storage system. </t>
    </r>
    <r>
      <rPr>
        <sz val="10"/>
        <color theme="1"/>
        <rFont val="Calibri"/>
        <family val="2"/>
        <scheme val="minor"/>
      </rPr>
      <t>A grid-interactive electric thermal storage system is installed.</t>
    </r>
  </si>
  <si>
    <t xml:space="preserve">Grid-Interactive Water Heating System     </t>
  </si>
  <si>
    <t xml:space="preserve">Grid-Interactive Space Heating and cooling System     </t>
  </si>
  <si>
    <t>(where points awarded in Section 706.7, points shall not be awarded in Section 706.3 and 706.9)</t>
  </si>
  <si>
    <r>
      <t xml:space="preserve">706.8 Electrical Vehicle Charging Station. </t>
    </r>
    <r>
      <rPr>
        <sz val="10"/>
        <color theme="1"/>
        <rFont val="Calibri"/>
        <family val="2"/>
        <scheme val="minor"/>
      </rPr>
      <t>A Level 2 or Level 3 electric vehicle charging station is installed on the building site. (Note: Charging station shall not be included in the building energy consumption.)</t>
    </r>
  </si>
  <si>
    <r>
      <t xml:space="preserve">706.9 Automatic demand response.  </t>
    </r>
    <r>
      <rPr>
        <sz val="10"/>
        <color theme="1"/>
        <rFont val="Calibri"/>
        <family val="2"/>
        <scheme val="minor"/>
      </rPr>
      <t>Automatic demand response system is installed that curtails energy usage upon a signal from the utility or an energy service provider is installed.</t>
    </r>
  </si>
  <si>
    <t>(where points awarded in Section 706.9, points shall not be awarded in Section 706.3 and 706.7)</t>
  </si>
  <si>
    <r>
      <t>Weighted Average = [(E</t>
    </r>
    <r>
      <rPr>
        <vertAlign val="subscript"/>
        <sz val="10"/>
        <color theme="1"/>
        <rFont val="Calibri"/>
        <family val="2"/>
      </rPr>
      <t>unit 1</t>
    </r>
    <r>
      <rPr>
        <sz val="10"/>
        <color theme="1"/>
        <rFont val="Calibri"/>
        <family val="2"/>
      </rPr>
      <t>*C</t>
    </r>
    <r>
      <rPr>
        <vertAlign val="subscript"/>
        <sz val="10"/>
        <color theme="1"/>
        <rFont val="Calibri"/>
        <family val="2"/>
      </rPr>
      <t>unit 1</t>
    </r>
    <r>
      <rPr>
        <sz val="10"/>
        <color theme="1"/>
        <rFont val="Calibri"/>
        <family val="2"/>
      </rPr>
      <t>)+(E</t>
    </r>
    <r>
      <rPr>
        <vertAlign val="subscript"/>
        <sz val="10"/>
        <color theme="1"/>
        <rFont val="Calibri"/>
        <family val="2"/>
      </rPr>
      <t>unit 2</t>
    </r>
    <r>
      <rPr>
        <sz val="10"/>
        <color theme="1"/>
        <rFont val="Calibri"/>
        <family val="2"/>
      </rPr>
      <t>*C</t>
    </r>
    <r>
      <rPr>
        <vertAlign val="subscript"/>
        <sz val="10"/>
        <color theme="1"/>
        <rFont val="Calibri"/>
        <family val="2"/>
      </rPr>
      <t>unit 2</t>
    </r>
    <r>
      <rPr>
        <sz val="10"/>
        <color theme="1"/>
        <rFont val="Calibri"/>
        <family val="2"/>
      </rPr>
      <t>)+…+(E</t>
    </r>
    <r>
      <rPr>
        <vertAlign val="subscript"/>
        <sz val="10"/>
        <color theme="1"/>
        <rFont val="Calibri"/>
        <family val="2"/>
      </rPr>
      <t xml:space="preserve">unit </t>
    </r>
    <r>
      <rPr>
        <i/>
        <vertAlign val="subscript"/>
        <sz val="10"/>
        <color theme="1"/>
        <rFont val="Calibri"/>
        <family val="2"/>
      </rPr>
      <t>n</t>
    </r>
    <r>
      <rPr>
        <sz val="10"/>
        <color theme="1"/>
        <rFont val="Calibri"/>
        <family val="2"/>
      </rPr>
      <t>*C</t>
    </r>
    <r>
      <rPr>
        <vertAlign val="subscript"/>
        <sz val="10"/>
        <color theme="1"/>
        <rFont val="Calibri"/>
        <family val="2"/>
      </rPr>
      <t xml:space="preserve">unit </t>
    </r>
    <r>
      <rPr>
        <i/>
        <vertAlign val="subscript"/>
        <sz val="10"/>
        <color theme="1"/>
        <rFont val="Calibri"/>
        <family val="2"/>
      </rPr>
      <t>n</t>
    </r>
    <r>
      <rPr>
        <sz val="10"/>
        <color theme="1"/>
        <rFont val="Calibri"/>
        <family val="2"/>
      </rPr>
      <t>)] / (C</t>
    </r>
    <r>
      <rPr>
        <vertAlign val="subscript"/>
        <sz val="10"/>
        <color theme="1"/>
        <rFont val="Calibri"/>
        <family val="2"/>
      </rPr>
      <t>unit 1</t>
    </r>
    <r>
      <rPr>
        <sz val="10"/>
        <color theme="1"/>
        <rFont val="Calibri"/>
        <family val="2"/>
      </rPr>
      <t>+C</t>
    </r>
    <r>
      <rPr>
        <vertAlign val="subscript"/>
        <sz val="10"/>
        <color theme="1"/>
        <rFont val="Calibri"/>
        <family val="2"/>
      </rPr>
      <t>unit 2</t>
    </r>
    <r>
      <rPr>
        <sz val="10"/>
        <color theme="1"/>
        <rFont val="Calibri"/>
        <family val="2"/>
      </rPr>
      <t>+…+C</t>
    </r>
    <r>
      <rPr>
        <vertAlign val="subscript"/>
        <sz val="10"/>
        <color theme="1"/>
        <rFont val="Calibri"/>
        <family val="2"/>
      </rPr>
      <t xml:space="preserve">unit </t>
    </r>
    <r>
      <rPr>
        <i/>
        <vertAlign val="subscript"/>
        <sz val="10"/>
        <color theme="1"/>
        <rFont val="Calibri"/>
        <family val="2"/>
      </rPr>
      <t>n</t>
    </r>
    <r>
      <rPr>
        <sz val="10"/>
        <color theme="1"/>
        <rFont val="Calibri"/>
        <family val="2"/>
      </rPr>
      <t>)
where:</t>
    </r>
  </si>
  <si>
    <t>add. pts. needed</t>
  </si>
  <si>
    <t>NOTE: Indicate in the assigned Notes area the type designed and constructed: frost-protected shallow foundations, pier and pad foundations, post foundations, or other similar foundation type.</t>
  </si>
  <si>
    <t>termite infest. prob.:</t>
  </si>
  <si>
    <t>NOTE: If "N/A" is selected, explain why in the assigned Notes area.</t>
  </si>
  <si>
    <t>Note: Please list "other biobased materials" used in the Notes field</t>
  </si>
  <si>
    <t>Select Path:</t>
  </si>
  <si>
    <t>801.7.1</t>
  </si>
  <si>
    <r>
      <t xml:space="preserve">801.7.1 </t>
    </r>
    <r>
      <rPr>
        <sz val="10"/>
        <color theme="1"/>
        <rFont val="Calibri"/>
        <family val="2"/>
      </rPr>
      <t>Rainwater is used for irrigation in accordance with one of the following:</t>
    </r>
  </si>
  <si>
    <t>Chapter 5: Lot Design, Preparation, and Development</t>
  </si>
  <si>
    <t>Chapter 6: Resource Efficiency</t>
  </si>
  <si>
    <t>Chapter 7: Energy Efficiency</t>
  </si>
  <si>
    <t>Chapter 8: Water Efficiency</t>
  </si>
  <si>
    <t>Chapter 9: Indoor Environmental Quality</t>
  </si>
  <si>
    <t>Chapter 10: Operation, Maintenance, and Building Owner Education</t>
  </si>
  <si>
    <t xml:space="preserve">Autauga  </t>
  </si>
  <si>
    <t xml:space="preserve">Baldwin  </t>
  </si>
  <si>
    <t xml:space="preserve">Barbour  </t>
  </si>
  <si>
    <t xml:space="preserve">Bibb  </t>
  </si>
  <si>
    <t xml:space="preserve">Blount  </t>
  </si>
  <si>
    <t xml:space="preserve">Bullock  </t>
  </si>
  <si>
    <t xml:space="preserve">Butler  </t>
  </si>
  <si>
    <t xml:space="preserve">Calhoun  </t>
  </si>
  <si>
    <t xml:space="preserve">Chambers  </t>
  </si>
  <si>
    <t xml:space="preserve">Cherokee  </t>
  </si>
  <si>
    <t xml:space="preserve">Chilton  </t>
  </si>
  <si>
    <t xml:space="preserve">Choctaw  </t>
  </si>
  <si>
    <t xml:space="preserve">Clarke  </t>
  </si>
  <si>
    <t xml:space="preserve">Clay  </t>
  </si>
  <si>
    <t xml:space="preserve">Cleburne  </t>
  </si>
  <si>
    <t xml:space="preserve">Coffee  </t>
  </si>
  <si>
    <t xml:space="preserve">Colbert  </t>
  </si>
  <si>
    <t xml:space="preserve">Conecuh  </t>
  </si>
  <si>
    <t xml:space="preserve">Coosa  </t>
  </si>
  <si>
    <t xml:space="preserve">Covington  </t>
  </si>
  <si>
    <t xml:space="preserve">Crenshaw  </t>
  </si>
  <si>
    <t xml:space="preserve">Cullman  </t>
  </si>
  <si>
    <t xml:space="preserve">Dale  </t>
  </si>
  <si>
    <t xml:space="preserve">Dallas  </t>
  </si>
  <si>
    <t xml:space="preserve">De Kalb  </t>
  </si>
  <si>
    <t xml:space="preserve">Elmore  </t>
  </si>
  <si>
    <t xml:space="preserve">Escambia  </t>
  </si>
  <si>
    <t xml:space="preserve">Etowah  </t>
  </si>
  <si>
    <t xml:space="preserve">Fayette  </t>
  </si>
  <si>
    <t xml:space="preserve">Franklin  </t>
  </si>
  <si>
    <t xml:space="preserve">Geneva  </t>
  </si>
  <si>
    <t xml:space="preserve">Greene  </t>
  </si>
  <si>
    <t xml:space="preserve">Hale  </t>
  </si>
  <si>
    <t xml:space="preserve">Henry  </t>
  </si>
  <si>
    <t xml:space="preserve">Houston  </t>
  </si>
  <si>
    <t xml:space="preserve">Jackson  </t>
  </si>
  <si>
    <t xml:space="preserve">Jefferson  </t>
  </si>
  <si>
    <t xml:space="preserve">Lamar  </t>
  </si>
  <si>
    <t xml:space="preserve">Lauderdale  </t>
  </si>
  <si>
    <t xml:space="preserve">Lawrence  </t>
  </si>
  <si>
    <t xml:space="preserve">Lee  </t>
  </si>
  <si>
    <t xml:space="preserve">Limestone  </t>
  </si>
  <si>
    <t xml:space="preserve">Lowndes  </t>
  </si>
  <si>
    <t xml:space="preserve">Macon  </t>
  </si>
  <si>
    <t xml:space="preserve">Madison  </t>
  </si>
  <si>
    <t xml:space="preserve">Marengo  </t>
  </si>
  <si>
    <t xml:space="preserve">Marion  </t>
  </si>
  <si>
    <t xml:space="preserve">Marshall  </t>
  </si>
  <si>
    <t xml:space="preserve">Mobile  </t>
  </si>
  <si>
    <t xml:space="preserve">Monroe  </t>
  </si>
  <si>
    <t xml:space="preserve">Montgomery  </t>
  </si>
  <si>
    <t xml:space="preserve">Morgan  </t>
  </si>
  <si>
    <t xml:space="preserve">Perry  </t>
  </si>
  <si>
    <t xml:space="preserve">Pickens  </t>
  </si>
  <si>
    <t xml:space="preserve">Pike  </t>
  </si>
  <si>
    <t xml:space="preserve">Randolph  </t>
  </si>
  <si>
    <t xml:space="preserve">Russell  </t>
  </si>
  <si>
    <t xml:space="preserve">Saint Clair  </t>
  </si>
  <si>
    <t xml:space="preserve">Shelby  </t>
  </si>
  <si>
    <t xml:space="preserve">Sumter  </t>
  </si>
  <si>
    <t xml:space="preserve">Talladega  </t>
  </si>
  <si>
    <t xml:space="preserve">Tallapoosa  </t>
  </si>
  <si>
    <t xml:space="preserve">Tuscaloosa  </t>
  </si>
  <si>
    <t xml:space="preserve">Walker  </t>
  </si>
  <si>
    <t xml:space="preserve">Washington  </t>
  </si>
  <si>
    <t xml:space="preserve">Wilcox  </t>
  </si>
  <si>
    <t xml:space="preserve">Winston  </t>
  </si>
  <si>
    <t xml:space="preserve">Aleutians East  </t>
  </si>
  <si>
    <t xml:space="preserve">Aleutians West  </t>
  </si>
  <si>
    <t xml:space="preserve">Anchorage  </t>
  </si>
  <si>
    <t xml:space="preserve">Bethel  </t>
  </si>
  <si>
    <t xml:space="preserve">Bristol Bay  </t>
  </si>
  <si>
    <t xml:space="preserve">Denali  </t>
  </si>
  <si>
    <t xml:space="preserve">Dillingham  </t>
  </si>
  <si>
    <t xml:space="preserve">Fairbanks North Star  </t>
  </si>
  <si>
    <t xml:space="preserve">Haines  </t>
  </si>
  <si>
    <t xml:space="preserve">Hoonah Angoon  </t>
  </si>
  <si>
    <t xml:space="preserve">Juneau  </t>
  </si>
  <si>
    <t xml:space="preserve">Kenai Peninsula  </t>
  </si>
  <si>
    <t xml:space="preserve">Ketchikan Gateway  </t>
  </si>
  <si>
    <t xml:space="preserve">Kodiak Island  </t>
  </si>
  <si>
    <t xml:space="preserve">Lake And Peninsula  </t>
  </si>
  <si>
    <t xml:space="preserve">Matanuska Susitna  </t>
  </si>
  <si>
    <t xml:space="preserve">Nome  </t>
  </si>
  <si>
    <t xml:space="preserve">North Slope  </t>
  </si>
  <si>
    <t xml:space="preserve">Northwest Arctic  </t>
  </si>
  <si>
    <t xml:space="preserve">Petersburg  </t>
  </si>
  <si>
    <t xml:space="preserve">Prince Of Wales Hyder  </t>
  </si>
  <si>
    <t xml:space="preserve">Sitka  </t>
  </si>
  <si>
    <t xml:space="preserve">Skagway  </t>
  </si>
  <si>
    <t xml:space="preserve">Southeast Fairbanks  </t>
  </si>
  <si>
    <t xml:space="preserve">Valdez Cordova  </t>
  </si>
  <si>
    <t xml:space="preserve">Wade Hampton  </t>
  </si>
  <si>
    <t xml:space="preserve">Wrangell  </t>
  </si>
  <si>
    <t xml:space="preserve">Yakutat  </t>
  </si>
  <si>
    <t xml:space="preserve">Yukon Koyukuk  </t>
  </si>
  <si>
    <t xml:space="preserve">American Samoa  </t>
  </si>
  <si>
    <t xml:space="preserve">Apache  </t>
  </si>
  <si>
    <t xml:space="preserve">Cochise  </t>
  </si>
  <si>
    <t xml:space="preserve">Coconino  </t>
  </si>
  <si>
    <t xml:space="preserve">Gila  </t>
  </si>
  <si>
    <t xml:space="preserve">Graham  </t>
  </si>
  <si>
    <t xml:space="preserve">Greenlee  </t>
  </si>
  <si>
    <t xml:space="preserve">La Paz  </t>
  </si>
  <si>
    <t xml:space="preserve">Maricopa  </t>
  </si>
  <si>
    <t xml:space="preserve">Mohave  </t>
  </si>
  <si>
    <t xml:space="preserve">Navajo  </t>
  </si>
  <si>
    <t xml:space="preserve">Pima  </t>
  </si>
  <si>
    <t xml:space="preserve">Pinal  </t>
  </si>
  <si>
    <t xml:space="preserve">Santa Cruz  </t>
  </si>
  <si>
    <t xml:space="preserve">Yavapai  </t>
  </si>
  <si>
    <t xml:space="preserve">Yuma  </t>
  </si>
  <si>
    <t xml:space="preserve">Arkansas  </t>
  </si>
  <si>
    <t xml:space="preserve">Ashley  </t>
  </si>
  <si>
    <t xml:space="preserve">Baxter  </t>
  </si>
  <si>
    <t xml:space="preserve">Benton  </t>
  </si>
  <si>
    <t xml:space="preserve">Boone  </t>
  </si>
  <si>
    <t xml:space="preserve">Bradley  </t>
  </si>
  <si>
    <t xml:space="preserve">Carroll  </t>
  </si>
  <si>
    <t xml:space="preserve">Chicot  </t>
  </si>
  <si>
    <t xml:space="preserve">Clark  </t>
  </si>
  <si>
    <t xml:space="preserve">Cleveland  </t>
  </si>
  <si>
    <t xml:space="preserve">Columbia  </t>
  </si>
  <si>
    <t xml:space="preserve">Conway  </t>
  </si>
  <si>
    <t xml:space="preserve">Craighead  </t>
  </si>
  <si>
    <t xml:space="preserve">Crawford  </t>
  </si>
  <si>
    <t xml:space="preserve">Crittenden  </t>
  </si>
  <si>
    <t xml:space="preserve">Cross  </t>
  </si>
  <si>
    <t xml:space="preserve">Desha  </t>
  </si>
  <si>
    <t xml:space="preserve">Drew  </t>
  </si>
  <si>
    <t xml:space="preserve">Faulkner  </t>
  </si>
  <si>
    <t xml:space="preserve">Fulton  </t>
  </si>
  <si>
    <t xml:space="preserve">Garland  </t>
  </si>
  <si>
    <t xml:space="preserve">Grant  </t>
  </si>
  <si>
    <t xml:space="preserve">Hempstead  </t>
  </si>
  <si>
    <t xml:space="preserve">Hot Spring  </t>
  </si>
  <si>
    <t xml:space="preserve">Howard  </t>
  </si>
  <si>
    <t xml:space="preserve">Independence  </t>
  </si>
  <si>
    <t xml:space="preserve">Izard  </t>
  </si>
  <si>
    <t xml:space="preserve">Johnson  </t>
  </si>
  <si>
    <t xml:space="preserve">Lafayette  </t>
  </si>
  <si>
    <t xml:space="preserve">Lincoln  </t>
  </si>
  <si>
    <t xml:space="preserve">Little River  </t>
  </si>
  <si>
    <t xml:space="preserve">Logan  </t>
  </si>
  <si>
    <t xml:space="preserve">Lonoke  </t>
  </si>
  <si>
    <t xml:space="preserve">Miller  </t>
  </si>
  <si>
    <t xml:space="preserve">Mississippi  </t>
  </si>
  <si>
    <t xml:space="preserve">Nevada  </t>
  </si>
  <si>
    <t xml:space="preserve">Newton  </t>
  </si>
  <si>
    <t xml:space="preserve">Ouachita  </t>
  </si>
  <si>
    <t xml:space="preserve">Phillips  </t>
  </si>
  <si>
    <t xml:space="preserve">Poinsett  </t>
  </si>
  <si>
    <t xml:space="preserve">Polk  </t>
  </si>
  <si>
    <t xml:space="preserve">Pope  </t>
  </si>
  <si>
    <t xml:space="preserve">Prairie  </t>
  </si>
  <si>
    <t xml:space="preserve">Pulaski  </t>
  </si>
  <si>
    <t xml:space="preserve">Saint Francis  </t>
  </si>
  <si>
    <t xml:space="preserve">Saline  </t>
  </si>
  <si>
    <t xml:space="preserve">Scott  </t>
  </si>
  <si>
    <t xml:space="preserve">Searcy  </t>
  </si>
  <si>
    <t xml:space="preserve">Sebastian  </t>
  </si>
  <si>
    <t xml:space="preserve">Sevier  </t>
  </si>
  <si>
    <t xml:space="preserve">Sharp  </t>
  </si>
  <si>
    <t xml:space="preserve">Stone  </t>
  </si>
  <si>
    <t xml:space="preserve">Union  </t>
  </si>
  <si>
    <t xml:space="preserve">Van Buren  </t>
  </si>
  <si>
    <t xml:space="preserve">White  </t>
  </si>
  <si>
    <t xml:space="preserve">Woodruff  </t>
  </si>
  <si>
    <t xml:space="preserve">Yell  </t>
  </si>
  <si>
    <t xml:space="preserve">Alameda  </t>
  </si>
  <si>
    <t xml:space="preserve">Alpine  </t>
  </si>
  <si>
    <t xml:space="preserve">Amador  </t>
  </si>
  <si>
    <t xml:space="preserve">Butte  </t>
  </si>
  <si>
    <t xml:space="preserve">Calaveras  </t>
  </si>
  <si>
    <t xml:space="preserve">Colusa  </t>
  </si>
  <si>
    <t xml:space="preserve">Contra Costa  </t>
  </si>
  <si>
    <t xml:space="preserve">Del Norte  </t>
  </si>
  <si>
    <t xml:space="preserve">El Dorado  </t>
  </si>
  <si>
    <t xml:space="preserve">Fresno  </t>
  </si>
  <si>
    <t xml:space="preserve">Glenn  </t>
  </si>
  <si>
    <t xml:space="preserve">Humboldt  </t>
  </si>
  <si>
    <t xml:space="preserve">Imperial  </t>
  </si>
  <si>
    <t xml:space="preserve">Inyo  </t>
  </si>
  <si>
    <t xml:space="preserve">Kern  </t>
  </si>
  <si>
    <t xml:space="preserve">Kings  </t>
  </si>
  <si>
    <t xml:space="preserve">Lake  </t>
  </si>
  <si>
    <t xml:space="preserve">Lassen  </t>
  </si>
  <si>
    <t xml:space="preserve">Los Angeles  </t>
  </si>
  <si>
    <t xml:space="preserve">Madera  </t>
  </si>
  <si>
    <t xml:space="preserve">Marin  </t>
  </si>
  <si>
    <t xml:space="preserve">Mariposa  </t>
  </si>
  <si>
    <t xml:space="preserve">Mendocino  </t>
  </si>
  <si>
    <t xml:space="preserve">Merced  </t>
  </si>
  <si>
    <t xml:space="preserve">Modoc  </t>
  </si>
  <si>
    <t xml:space="preserve">Mono  </t>
  </si>
  <si>
    <t xml:space="preserve">Monterey  </t>
  </si>
  <si>
    <t xml:space="preserve">Napa  </t>
  </si>
  <si>
    <t xml:space="preserve">Orange  </t>
  </si>
  <si>
    <t xml:space="preserve">Placer  </t>
  </si>
  <si>
    <t xml:space="preserve">Plumas  </t>
  </si>
  <si>
    <t xml:space="preserve">Riverside  </t>
  </si>
  <si>
    <t xml:space="preserve">Sacramento  </t>
  </si>
  <si>
    <t xml:space="preserve">San Benito  </t>
  </si>
  <si>
    <t xml:space="preserve">San Bernardino  </t>
  </si>
  <si>
    <t xml:space="preserve">San Diego  </t>
  </si>
  <si>
    <t xml:space="preserve">San Francisco  </t>
  </si>
  <si>
    <t xml:space="preserve">San Joaquin  </t>
  </si>
  <si>
    <t xml:space="preserve">San Luis Obispo  </t>
  </si>
  <si>
    <t xml:space="preserve">San Mateo  </t>
  </si>
  <si>
    <t xml:space="preserve">Santa Barbara  </t>
  </si>
  <si>
    <t xml:space="preserve">Santa Clara  </t>
  </si>
  <si>
    <t xml:space="preserve">Shasta  </t>
  </si>
  <si>
    <t xml:space="preserve">Sierra  </t>
  </si>
  <si>
    <t xml:space="preserve">Siskiyou  </t>
  </si>
  <si>
    <t xml:space="preserve">Solano  </t>
  </si>
  <si>
    <t xml:space="preserve">Sonoma  </t>
  </si>
  <si>
    <t xml:space="preserve">Stanislaus  </t>
  </si>
  <si>
    <t xml:space="preserve">Sutter  </t>
  </si>
  <si>
    <t xml:space="preserve">Tehama  </t>
  </si>
  <si>
    <t xml:space="preserve">Trinity  </t>
  </si>
  <si>
    <t xml:space="preserve">Tulare  </t>
  </si>
  <si>
    <t xml:space="preserve">Tuolumne  </t>
  </si>
  <si>
    <t xml:space="preserve">Ventura  </t>
  </si>
  <si>
    <t xml:space="preserve">Yolo  </t>
  </si>
  <si>
    <t xml:space="preserve">Yuba  </t>
  </si>
  <si>
    <t xml:space="preserve">Adams  </t>
  </si>
  <si>
    <t xml:space="preserve">Alamosa  </t>
  </si>
  <si>
    <t xml:space="preserve">Arapahoe  </t>
  </si>
  <si>
    <t xml:space="preserve">Archuleta  </t>
  </si>
  <si>
    <t xml:space="preserve">Baca  </t>
  </si>
  <si>
    <t xml:space="preserve">Bent  </t>
  </si>
  <si>
    <t xml:space="preserve">Boulder  </t>
  </si>
  <si>
    <t xml:space="preserve">Broomfield  </t>
  </si>
  <si>
    <t xml:space="preserve">Chaffee  </t>
  </si>
  <si>
    <t xml:space="preserve">Cheyenne  </t>
  </si>
  <si>
    <t xml:space="preserve">Clear Creek  </t>
  </si>
  <si>
    <t xml:space="preserve">Conejos  </t>
  </si>
  <si>
    <t xml:space="preserve">Costilla  </t>
  </si>
  <si>
    <t xml:space="preserve">Crowley  </t>
  </si>
  <si>
    <t xml:space="preserve">Custer  </t>
  </si>
  <si>
    <t xml:space="preserve">Delta  </t>
  </si>
  <si>
    <t xml:space="preserve">Denver  </t>
  </si>
  <si>
    <t xml:space="preserve">Dolores  </t>
  </si>
  <si>
    <t xml:space="preserve">Douglas  </t>
  </si>
  <si>
    <t xml:space="preserve">Eagle  </t>
  </si>
  <si>
    <t xml:space="preserve">El Paso  </t>
  </si>
  <si>
    <t xml:space="preserve">Elbert  </t>
  </si>
  <si>
    <t xml:space="preserve">Fremont  </t>
  </si>
  <si>
    <t xml:space="preserve">Garfield  </t>
  </si>
  <si>
    <t xml:space="preserve">Gilpin  </t>
  </si>
  <si>
    <t xml:space="preserve">Grand  </t>
  </si>
  <si>
    <t xml:space="preserve">Gunnison  </t>
  </si>
  <si>
    <t xml:space="preserve">Hinsdale  </t>
  </si>
  <si>
    <t xml:space="preserve">Huerfano  </t>
  </si>
  <si>
    <t xml:space="preserve">Kiowa  </t>
  </si>
  <si>
    <t xml:space="preserve">Kit Carson  </t>
  </si>
  <si>
    <t xml:space="preserve">La Plata  </t>
  </si>
  <si>
    <t xml:space="preserve">Larimer  </t>
  </si>
  <si>
    <t xml:space="preserve">Las Animas  </t>
  </si>
  <si>
    <t xml:space="preserve">Mesa  </t>
  </si>
  <si>
    <t xml:space="preserve">Mineral  </t>
  </si>
  <si>
    <t xml:space="preserve">Moffat  </t>
  </si>
  <si>
    <t xml:space="preserve">Montezuma  </t>
  </si>
  <si>
    <t xml:space="preserve">Montrose  </t>
  </si>
  <si>
    <t xml:space="preserve">Otero  </t>
  </si>
  <si>
    <t xml:space="preserve">Ouray  </t>
  </si>
  <si>
    <t xml:space="preserve">Park  </t>
  </si>
  <si>
    <t xml:space="preserve">Pitkin  </t>
  </si>
  <si>
    <t xml:space="preserve">Prowers  </t>
  </si>
  <si>
    <t xml:space="preserve">Pueblo  </t>
  </si>
  <si>
    <t xml:space="preserve">Rio Blanco  </t>
  </si>
  <si>
    <t xml:space="preserve">Rio Grande  </t>
  </si>
  <si>
    <t xml:space="preserve">Routt  </t>
  </si>
  <si>
    <t xml:space="preserve">Saguache  </t>
  </si>
  <si>
    <t xml:space="preserve">San Juan  </t>
  </si>
  <si>
    <t xml:space="preserve">San Miguel  </t>
  </si>
  <si>
    <t xml:space="preserve">Sedgwick  </t>
  </si>
  <si>
    <t xml:space="preserve">Summit  </t>
  </si>
  <si>
    <t xml:space="preserve">Teller  </t>
  </si>
  <si>
    <t xml:space="preserve">Weld  </t>
  </si>
  <si>
    <t xml:space="preserve">Fairfield  </t>
  </si>
  <si>
    <t xml:space="preserve">Hartford  </t>
  </si>
  <si>
    <t xml:space="preserve">Litchfield  </t>
  </si>
  <si>
    <t xml:space="preserve">Middlesex  </t>
  </si>
  <si>
    <t xml:space="preserve">New Haven  </t>
  </si>
  <si>
    <t xml:space="preserve">New London  </t>
  </si>
  <si>
    <t xml:space="preserve">Tolland  </t>
  </si>
  <si>
    <t xml:space="preserve">Windham  </t>
  </si>
  <si>
    <t xml:space="preserve">Kent  </t>
  </si>
  <si>
    <t xml:space="preserve">New Castle  </t>
  </si>
  <si>
    <t xml:space="preserve">Sussex  </t>
  </si>
  <si>
    <t xml:space="preserve">District Of Columbia  </t>
  </si>
  <si>
    <t xml:space="preserve">Alachua  </t>
  </si>
  <si>
    <t xml:space="preserve">Baker  </t>
  </si>
  <si>
    <t xml:space="preserve">Bay  </t>
  </si>
  <si>
    <t xml:space="preserve">Bradford  </t>
  </si>
  <si>
    <t xml:space="preserve">Brevard  </t>
  </si>
  <si>
    <t xml:space="preserve">Broward  </t>
  </si>
  <si>
    <t xml:space="preserve">Charlotte  </t>
  </si>
  <si>
    <t xml:space="preserve">Citrus  </t>
  </si>
  <si>
    <t xml:space="preserve">Collier  </t>
  </si>
  <si>
    <t xml:space="preserve">De Soto  </t>
  </si>
  <si>
    <t xml:space="preserve">Dixie  </t>
  </si>
  <si>
    <t xml:space="preserve">Duval  </t>
  </si>
  <si>
    <t xml:space="preserve">Flagler  </t>
  </si>
  <si>
    <t xml:space="preserve">Gadsden  </t>
  </si>
  <si>
    <t xml:space="preserve">Gilchrist  </t>
  </si>
  <si>
    <t xml:space="preserve">Glades  </t>
  </si>
  <si>
    <t xml:space="preserve">Gulf  </t>
  </si>
  <si>
    <t xml:space="preserve">Hamilton  </t>
  </si>
  <si>
    <t xml:space="preserve">Hardee  </t>
  </si>
  <si>
    <t xml:space="preserve">Hendry  </t>
  </si>
  <si>
    <t xml:space="preserve">Hernando  </t>
  </si>
  <si>
    <t xml:space="preserve">Highlands  </t>
  </si>
  <si>
    <t xml:space="preserve">Hillsborough  </t>
  </si>
  <si>
    <t xml:space="preserve">Holmes  </t>
  </si>
  <si>
    <t xml:space="preserve">Indian River  </t>
  </si>
  <si>
    <t xml:space="preserve">Leon  </t>
  </si>
  <si>
    <t xml:space="preserve">Levy  </t>
  </si>
  <si>
    <t xml:space="preserve">Liberty  </t>
  </si>
  <si>
    <t xml:space="preserve">Manatee  </t>
  </si>
  <si>
    <t xml:space="preserve">Martin  </t>
  </si>
  <si>
    <t xml:space="preserve">Miami-Dade  </t>
  </si>
  <si>
    <t xml:space="preserve">Nassau  </t>
  </si>
  <si>
    <t xml:space="preserve">Okaloosa  </t>
  </si>
  <si>
    <t xml:space="preserve">Okeechobee  </t>
  </si>
  <si>
    <t xml:space="preserve">Osceola  </t>
  </si>
  <si>
    <t xml:space="preserve">Palm Beach  </t>
  </si>
  <si>
    <t xml:space="preserve">Pasco  </t>
  </si>
  <si>
    <t xml:space="preserve">Pinellas  </t>
  </si>
  <si>
    <t xml:space="preserve">Putnam  </t>
  </si>
  <si>
    <t xml:space="preserve">Saint Johns  </t>
  </si>
  <si>
    <t xml:space="preserve">Saint Lucie  </t>
  </si>
  <si>
    <t xml:space="preserve">Santa Rosa  </t>
  </si>
  <si>
    <t xml:space="preserve">Sarasota  </t>
  </si>
  <si>
    <t xml:space="preserve">Seminole  </t>
  </si>
  <si>
    <t xml:space="preserve">Suwannee  </t>
  </si>
  <si>
    <t xml:space="preserve">Taylor  </t>
  </si>
  <si>
    <t xml:space="preserve">Volusia  </t>
  </si>
  <si>
    <t xml:space="preserve">Wakulla  </t>
  </si>
  <si>
    <t xml:space="preserve">Walton  </t>
  </si>
  <si>
    <t xml:space="preserve">Appling  </t>
  </si>
  <si>
    <t xml:space="preserve">Atkinson  </t>
  </si>
  <si>
    <t xml:space="preserve">Bacon  </t>
  </si>
  <si>
    <t xml:space="preserve">Banks  </t>
  </si>
  <si>
    <t xml:space="preserve">Barrow  </t>
  </si>
  <si>
    <t xml:space="preserve">Bartow  </t>
  </si>
  <si>
    <t xml:space="preserve">Ben Hill  </t>
  </si>
  <si>
    <t xml:space="preserve">Berrien  </t>
  </si>
  <si>
    <t xml:space="preserve">Bleckley  </t>
  </si>
  <si>
    <t xml:space="preserve">Brantley  </t>
  </si>
  <si>
    <t xml:space="preserve">Brooks  </t>
  </si>
  <si>
    <t xml:space="preserve">Bryan  </t>
  </si>
  <si>
    <t xml:space="preserve">Bulloch  </t>
  </si>
  <si>
    <t xml:space="preserve">Burke  </t>
  </si>
  <si>
    <t xml:space="preserve">Butts  </t>
  </si>
  <si>
    <t xml:space="preserve">Camden  </t>
  </si>
  <si>
    <t xml:space="preserve">Candler  </t>
  </si>
  <si>
    <t xml:space="preserve">Catoosa  </t>
  </si>
  <si>
    <t xml:space="preserve">Charlton  </t>
  </si>
  <si>
    <t xml:space="preserve">Chatham  </t>
  </si>
  <si>
    <t xml:space="preserve">Chattahoochee  </t>
  </si>
  <si>
    <t xml:space="preserve">Chattooga  </t>
  </si>
  <si>
    <t xml:space="preserve">Clayton  </t>
  </si>
  <si>
    <t xml:space="preserve">Clinch  </t>
  </si>
  <si>
    <t xml:space="preserve">Cobb  </t>
  </si>
  <si>
    <t xml:space="preserve">Colquitt  </t>
  </si>
  <si>
    <t xml:space="preserve">Cook  </t>
  </si>
  <si>
    <t xml:space="preserve">Coweta  </t>
  </si>
  <si>
    <t xml:space="preserve">Crisp  </t>
  </si>
  <si>
    <t xml:space="preserve">Dade  </t>
  </si>
  <si>
    <t xml:space="preserve">Dawson  </t>
  </si>
  <si>
    <t xml:space="preserve">Decatur  </t>
  </si>
  <si>
    <t xml:space="preserve">Dekalb  </t>
  </si>
  <si>
    <t xml:space="preserve">Dodge  </t>
  </si>
  <si>
    <t xml:space="preserve">Dooly  </t>
  </si>
  <si>
    <t xml:space="preserve">Dougherty  </t>
  </si>
  <si>
    <t xml:space="preserve">Early  </t>
  </si>
  <si>
    <t xml:space="preserve">Echols  </t>
  </si>
  <si>
    <t xml:space="preserve">Effingham  </t>
  </si>
  <si>
    <t xml:space="preserve">Emanuel  </t>
  </si>
  <si>
    <t xml:space="preserve">Evans  </t>
  </si>
  <si>
    <t xml:space="preserve">Fannin  </t>
  </si>
  <si>
    <t xml:space="preserve">Floyd  </t>
  </si>
  <si>
    <t xml:space="preserve">Forsyth  </t>
  </si>
  <si>
    <t xml:space="preserve">Gilmer  </t>
  </si>
  <si>
    <t xml:space="preserve">Glascock  </t>
  </si>
  <si>
    <t xml:space="preserve">Glynn  </t>
  </si>
  <si>
    <t xml:space="preserve">Gordon  </t>
  </si>
  <si>
    <t xml:space="preserve">Grady  </t>
  </si>
  <si>
    <t xml:space="preserve">Gwinnett  </t>
  </si>
  <si>
    <t xml:space="preserve">Habersham  </t>
  </si>
  <si>
    <t xml:space="preserve">Hall  </t>
  </si>
  <si>
    <t xml:space="preserve">Hancock  </t>
  </si>
  <si>
    <t xml:space="preserve">Haralson  </t>
  </si>
  <si>
    <t xml:space="preserve">Harris  </t>
  </si>
  <si>
    <t xml:space="preserve">Hart  </t>
  </si>
  <si>
    <t xml:space="preserve">Heard  </t>
  </si>
  <si>
    <t xml:space="preserve">Irwin  </t>
  </si>
  <si>
    <t xml:space="preserve">Jasper  </t>
  </si>
  <si>
    <t xml:space="preserve">Jeff Davis  </t>
  </si>
  <si>
    <t xml:space="preserve">Jenkins  </t>
  </si>
  <si>
    <t xml:space="preserve">Jones  </t>
  </si>
  <si>
    <t xml:space="preserve">Lanier  </t>
  </si>
  <si>
    <t xml:space="preserve">Laurens  </t>
  </si>
  <si>
    <t xml:space="preserve">Long  </t>
  </si>
  <si>
    <t xml:space="preserve">Lumpkin  </t>
  </si>
  <si>
    <t xml:space="preserve">Mcduffie  </t>
  </si>
  <si>
    <t xml:space="preserve">Mcintosh  </t>
  </si>
  <si>
    <t xml:space="preserve">Meriwether  </t>
  </si>
  <si>
    <t xml:space="preserve">Mitchell  </t>
  </si>
  <si>
    <t xml:space="preserve">Murray  </t>
  </si>
  <si>
    <t xml:space="preserve">Muscogee  </t>
  </si>
  <si>
    <t xml:space="preserve">Oconee  </t>
  </si>
  <si>
    <t xml:space="preserve">Oglethorpe  </t>
  </si>
  <si>
    <t xml:space="preserve">Paulding  </t>
  </si>
  <si>
    <t xml:space="preserve">Peach  </t>
  </si>
  <si>
    <t xml:space="preserve">Pierce  </t>
  </si>
  <si>
    <t xml:space="preserve">Quitman  </t>
  </si>
  <si>
    <t xml:space="preserve">Rabun  </t>
  </si>
  <si>
    <t xml:space="preserve">Richmond  </t>
  </si>
  <si>
    <t xml:space="preserve">Rockdale  </t>
  </si>
  <si>
    <t xml:space="preserve">Schley  </t>
  </si>
  <si>
    <t xml:space="preserve">Screven  </t>
  </si>
  <si>
    <t xml:space="preserve">Spalding  </t>
  </si>
  <si>
    <t xml:space="preserve">Stephens  </t>
  </si>
  <si>
    <t xml:space="preserve">Stewart  </t>
  </si>
  <si>
    <t xml:space="preserve">Talbot  </t>
  </si>
  <si>
    <t xml:space="preserve">Taliaferro  </t>
  </si>
  <si>
    <t xml:space="preserve">Tattnall  </t>
  </si>
  <si>
    <t xml:space="preserve">Telfair  </t>
  </si>
  <si>
    <t xml:space="preserve">Terrell  </t>
  </si>
  <si>
    <t xml:space="preserve">Thomas  </t>
  </si>
  <si>
    <t xml:space="preserve">Tift  </t>
  </si>
  <si>
    <t xml:space="preserve">Toombs  </t>
  </si>
  <si>
    <t xml:space="preserve">Towns  </t>
  </si>
  <si>
    <t xml:space="preserve">Treutlen  </t>
  </si>
  <si>
    <t xml:space="preserve">Troup  </t>
  </si>
  <si>
    <t xml:space="preserve">Turner  </t>
  </si>
  <si>
    <t xml:space="preserve">Twiggs  </t>
  </si>
  <si>
    <t xml:space="preserve">Upson  </t>
  </si>
  <si>
    <t xml:space="preserve">Ware  </t>
  </si>
  <si>
    <t xml:space="preserve">Warren  </t>
  </si>
  <si>
    <t xml:space="preserve">Wayne  </t>
  </si>
  <si>
    <t xml:space="preserve">Webster  </t>
  </si>
  <si>
    <t xml:space="preserve">Wheeler  </t>
  </si>
  <si>
    <t xml:space="preserve">Whitfield  </t>
  </si>
  <si>
    <t xml:space="preserve">Wilkes  </t>
  </si>
  <si>
    <t xml:space="preserve">Wilkinson  </t>
  </si>
  <si>
    <t xml:space="preserve">Worth  </t>
  </si>
  <si>
    <t xml:space="preserve">Guam  </t>
  </si>
  <si>
    <t xml:space="preserve">Hawaii  </t>
  </si>
  <si>
    <t xml:space="preserve">Honolulu  </t>
  </si>
  <si>
    <t xml:space="preserve">Kauai  </t>
  </si>
  <si>
    <t xml:space="preserve">Maui  </t>
  </si>
  <si>
    <t xml:space="preserve">Ada  </t>
  </si>
  <si>
    <t xml:space="preserve">Bannock  </t>
  </si>
  <si>
    <t xml:space="preserve">Bear Lake  </t>
  </si>
  <si>
    <t xml:space="preserve">Benewah  </t>
  </si>
  <si>
    <t xml:space="preserve">Bingham  </t>
  </si>
  <si>
    <t xml:space="preserve">Blaine  </t>
  </si>
  <si>
    <t xml:space="preserve">Boise  </t>
  </si>
  <si>
    <t xml:space="preserve">Bonner  </t>
  </si>
  <si>
    <t xml:space="preserve">Bonneville  </t>
  </si>
  <si>
    <t xml:space="preserve">Boundary  </t>
  </si>
  <si>
    <t xml:space="preserve">Camas  </t>
  </si>
  <si>
    <t xml:space="preserve">Canyon  </t>
  </si>
  <si>
    <t xml:space="preserve">Caribou  </t>
  </si>
  <si>
    <t xml:space="preserve">Cassia  </t>
  </si>
  <si>
    <t xml:space="preserve">Clearwater  </t>
  </si>
  <si>
    <t xml:space="preserve">Gem  </t>
  </si>
  <si>
    <t xml:space="preserve">Gooding  </t>
  </si>
  <si>
    <t xml:space="preserve">Idaho  </t>
  </si>
  <si>
    <t xml:space="preserve">Jerome  </t>
  </si>
  <si>
    <t xml:space="preserve">Kootenai  </t>
  </si>
  <si>
    <t xml:space="preserve">Latah  </t>
  </si>
  <si>
    <t xml:space="preserve">Lemhi  </t>
  </si>
  <si>
    <t xml:space="preserve">Lewis  </t>
  </si>
  <si>
    <t xml:space="preserve">Minidoka  </t>
  </si>
  <si>
    <t xml:space="preserve">Nez Perce  </t>
  </si>
  <si>
    <t xml:space="preserve">Oneida  </t>
  </si>
  <si>
    <t xml:space="preserve">Owyhee  </t>
  </si>
  <si>
    <t xml:space="preserve">Payette  </t>
  </si>
  <si>
    <t xml:space="preserve">Power  </t>
  </si>
  <si>
    <t xml:space="preserve">Shoshone  </t>
  </si>
  <si>
    <t xml:space="preserve">Teton  </t>
  </si>
  <si>
    <t xml:space="preserve">Twin Falls  </t>
  </si>
  <si>
    <t xml:space="preserve">Valley  </t>
  </si>
  <si>
    <t xml:space="preserve">Alexander  </t>
  </si>
  <si>
    <t xml:space="preserve">Bond  </t>
  </si>
  <si>
    <t xml:space="preserve">Brown  </t>
  </si>
  <si>
    <t xml:space="preserve">Bureau  </t>
  </si>
  <si>
    <t xml:space="preserve">Cass  </t>
  </si>
  <si>
    <t xml:space="preserve">Champaign  </t>
  </si>
  <si>
    <t xml:space="preserve">Christian  </t>
  </si>
  <si>
    <t xml:space="preserve">Clinton  </t>
  </si>
  <si>
    <t xml:space="preserve">Coles  </t>
  </si>
  <si>
    <t xml:space="preserve">Cumberland  </t>
  </si>
  <si>
    <t xml:space="preserve">Dewitt  </t>
  </si>
  <si>
    <t xml:space="preserve">Dupage  </t>
  </si>
  <si>
    <t xml:space="preserve">Edgar  </t>
  </si>
  <si>
    <t xml:space="preserve">Edwards  </t>
  </si>
  <si>
    <t xml:space="preserve">Ford  </t>
  </si>
  <si>
    <t xml:space="preserve">Gallatin  </t>
  </si>
  <si>
    <t xml:space="preserve">Grundy  </t>
  </si>
  <si>
    <t xml:space="preserve">Hardin  </t>
  </si>
  <si>
    <t xml:space="preserve">Henderson  </t>
  </si>
  <si>
    <t xml:space="preserve">Iroquois  </t>
  </si>
  <si>
    <t xml:space="preserve">Jersey  </t>
  </si>
  <si>
    <t xml:space="preserve">Jo Daviess  </t>
  </si>
  <si>
    <t xml:space="preserve">Kane  </t>
  </si>
  <si>
    <t xml:space="preserve">Kankakee  </t>
  </si>
  <si>
    <t xml:space="preserve">Kendall  </t>
  </si>
  <si>
    <t xml:space="preserve">Knox  </t>
  </si>
  <si>
    <t xml:space="preserve">La Salle  </t>
  </si>
  <si>
    <t xml:space="preserve">Livingston  </t>
  </si>
  <si>
    <t xml:space="preserve">Macoupin  </t>
  </si>
  <si>
    <t xml:space="preserve">Mason  </t>
  </si>
  <si>
    <t xml:space="preserve">Massac  </t>
  </si>
  <si>
    <t xml:space="preserve">Mcdonough  </t>
  </si>
  <si>
    <t xml:space="preserve">Mchenry  </t>
  </si>
  <si>
    <t xml:space="preserve">Mclean  </t>
  </si>
  <si>
    <t xml:space="preserve">Menard  </t>
  </si>
  <si>
    <t xml:space="preserve">Mercer  </t>
  </si>
  <si>
    <t xml:space="preserve">Moultrie  </t>
  </si>
  <si>
    <t xml:space="preserve">Ogle  </t>
  </si>
  <si>
    <t xml:space="preserve">Peoria  </t>
  </si>
  <si>
    <t xml:space="preserve">Piatt  </t>
  </si>
  <si>
    <t xml:space="preserve">Richland  </t>
  </si>
  <si>
    <t xml:space="preserve">Rock Island  </t>
  </si>
  <si>
    <t xml:space="preserve">Sangamon  </t>
  </si>
  <si>
    <t xml:space="preserve">Schuyler  </t>
  </si>
  <si>
    <t xml:space="preserve">Stark  </t>
  </si>
  <si>
    <t xml:space="preserve">Stephenson  </t>
  </si>
  <si>
    <t xml:space="preserve">Tazewell  </t>
  </si>
  <si>
    <t xml:space="preserve">Vermilion  </t>
  </si>
  <si>
    <t xml:space="preserve">Wabash  </t>
  </si>
  <si>
    <t xml:space="preserve">Whiteside  </t>
  </si>
  <si>
    <t xml:space="preserve">Will  </t>
  </si>
  <si>
    <t xml:space="preserve">Williamson  </t>
  </si>
  <si>
    <t xml:space="preserve">Winnebago  </t>
  </si>
  <si>
    <t xml:space="preserve">Woodford  </t>
  </si>
  <si>
    <t xml:space="preserve">Allen  </t>
  </si>
  <si>
    <t xml:space="preserve">Bartholomew  </t>
  </si>
  <si>
    <t xml:space="preserve">Blackford  </t>
  </si>
  <si>
    <t xml:space="preserve">Daviess  </t>
  </si>
  <si>
    <t xml:space="preserve">Dearborn  </t>
  </si>
  <si>
    <t xml:space="preserve">Delaware  </t>
  </si>
  <si>
    <t xml:space="preserve">Dubois  </t>
  </si>
  <si>
    <t xml:space="preserve">Elkhart  </t>
  </si>
  <si>
    <t xml:space="preserve">Fountain  </t>
  </si>
  <si>
    <t xml:space="preserve">Gibson  </t>
  </si>
  <si>
    <t xml:space="preserve">Harrison  </t>
  </si>
  <si>
    <t xml:space="preserve">Hendricks  </t>
  </si>
  <si>
    <t xml:space="preserve">Huntington  </t>
  </si>
  <si>
    <t xml:space="preserve">Jay  </t>
  </si>
  <si>
    <t xml:space="preserve">Jennings  </t>
  </si>
  <si>
    <t xml:space="preserve">Kosciusko  </t>
  </si>
  <si>
    <t xml:space="preserve">La Porte  </t>
  </si>
  <si>
    <t xml:space="preserve">Lagrange  </t>
  </si>
  <si>
    <t xml:space="preserve">Miami  </t>
  </si>
  <si>
    <t xml:space="preserve">Noble  </t>
  </si>
  <si>
    <t xml:space="preserve">Ohio  </t>
  </si>
  <si>
    <t xml:space="preserve">Owen  </t>
  </si>
  <si>
    <t xml:space="preserve">Parke  </t>
  </si>
  <si>
    <t xml:space="preserve">Porter  </t>
  </si>
  <si>
    <t xml:space="preserve">Posey  </t>
  </si>
  <si>
    <t xml:space="preserve">Ripley  </t>
  </si>
  <si>
    <t xml:space="preserve">Rush  </t>
  </si>
  <si>
    <t xml:space="preserve">Spencer  </t>
  </si>
  <si>
    <t xml:space="preserve">St Joseph  </t>
  </si>
  <si>
    <t xml:space="preserve">Starke  </t>
  </si>
  <si>
    <t xml:space="preserve">Steuben  </t>
  </si>
  <si>
    <t xml:space="preserve">Sullivan  </t>
  </si>
  <si>
    <t xml:space="preserve">Switzerland  </t>
  </si>
  <si>
    <t xml:space="preserve">Tippecanoe  </t>
  </si>
  <si>
    <t xml:space="preserve">Tipton  </t>
  </si>
  <si>
    <t xml:space="preserve">Vanderburgh  </t>
  </si>
  <si>
    <t xml:space="preserve">Vermillion  </t>
  </si>
  <si>
    <t xml:space="preserve">Vigo  </t>
  </si>
  <si>
    <t xml:space="preserve">Warrick  </t>
  </si>
  <si>
    <t xml:space="preserve">Wells  </t>
  </si>
  <si>
    <t xml:space="preserve">Whitley  </t>
  </si>
  <si>
    <t xml:space="preserve">Adair  </t>
  </si>
  <si>
    <t xml:space="preserve">Allamakee  </t>
  </si>
  <si>
    <t xml:space="preserve">Appanoose  </t>
  </si>
  <si>
    <t xml:space="preserve">Audubon  </t>
  </si>
  <si>
    <t xml:space="preserve">Black Hawk  </t>
  </si>
  <si>
    <t xml:space="preserve">Bremer  </t>
  </si>
  <si>
    <t xml:space="preserve">Buchanan  </t>
  </si>
  <si>
    <t xml:space="preserve">Buena Vista  </t>
  </si>
  <si>
    <t xml:space="preserve">Cedar  </t>
  </si>
  <si>
    <t xml:space="preserve">Cerro Gordo  </t>
  </si>
  <si>
    <t xml:space="preserve">Chickasaw  </t>
  </si>
  <si>
    <t xml:space="preserve">Davis  </t>
  </si>
  <si>
    <t xml:space="preserve">Des Moines  </t>
  </si>
  <si>
    <t xml:space="preserve">Dickinson  </t>
  </si>
  <si>
    <t xml:space="preserve">Dubuque  </t>
  </si>
  <si>
    <t xml:space="preserve">Emmet  </t>
  </si>
  <si>
    <t xml:space="preserve">Guthrie  </t>
  </si>
  <si>
    <t xml:space="preserve">Ida  </t>
  </si>
  <si>
    <t xml:space="preserve">Iowa  </t>
  </si>
  <si>
    <t xml:space="preserve">Keokuk  </t>
  </si>
  <si>
    <t xml:space="preserve">Kossuth  </t>
  </si>
  <si>
    <t xml:space="preserve">Linn  </t>
  </si>
  <si>
    <t xml:space="preserve">Louisa  </t>
  </si>
  <si>
    <t xml:space="preserve">Lucas  </t>
  </si>
  <si>
    <t xml:space="preserve">Lyon  </t>
  </si>
  <si>
    <t xml:space="preserve">Mahaska  </t>
  </si>
  <si>
    <t xml:space="preserve">Mills  </t>
  </si>
  <si>
    <t xml:space="preserve">Monona  </t>
  </si>
  <si>
    <t xml:space="preserve">Muscatine  </t>
  </si>
  <si>
    <t xml:space="preserve">Obrien  </t>
  </si>
  <si>
    <t xml:space="preserve">Page  </t>
  </si>
  <si>
    <t xml:space="preserve">Palo Alto  </t>
  </si>
  <si>
    <t xml:space="preserve">Plymouth  </t>
  </si>
  <si>
    <t xml:space="preserve">Pocahontas  </t>
  </si>
  <si>
    <t xml:space="preserve">Pottawattamie  </t>
  </si>
  <si>
    <t xml:space="preserve">Poweshiek  </t>
  </si>
  <si>
    <t xml:space="preserve">Ringgold  </t>
  </si>
  <si>
    <t xml:space="preserve">Sac  </t>
  </si>
  <si>
    <t xml:space="preserve">Sioux  </t>
  </si>
  <si>
    <t xml:space="preserve">Story  </t>
  </si>
  <si>
    <t xml:space="preserve">Tama  </t>
  </si>
  <si>
    <t xml:space="preserve">Wapello  </t>
  </si>
  <si>
    <t xml:space="preserve">Winneshiek  </t>
  </si>
  <si>
    <t xml:space="preserve">Woodbury  </t>
  </si>
  <si>
    <t xml:space="preserve">Wright  </t>
  </si>
  <si>
    <t xml:space="preserve">Anderson  </t>
  </si>
  <si>
    <t xml:space="preserve">Atchison  </t>
  </si>
  <si>
    <t xml:space="preserve">Barber  </t>
  </si>
  <si>
    <t xml:space="preserve">Barton  </t>
  </si>
  <si>
    <t xml:space="preserve">Bourbon  </t>
  </si>
  <si>
    <t xml:space="preserve">Chase  </t>
  </si>
  <si>
    <t xml:space="preserve">Chautauqua  </t>
  </si>
  <si>
    <t xml:space="preserve">Cloud  </t>
  </si>
  <si>
    <t xml:space="preserve">Coffey  </t>
  </si>
  <si>
    <t xml:space="preserve">Comanche  </t>
  </si>
  <si>
    <t xml:space="preserve">Cowley  </t>
  </si>
  <si>
    <t xml:space="preserve">Doniphan  </t>
  </si>
  <si>
    <t xml:space="preserve">Elk  </t>
  </si>
  <si>
    <t xml:space="preserve">Ellis  </t>
  </si>
  <si>
    <t xml:space="preserve">Ellsworth  </t>
  </si>
  <si>
    <t xml:space="preserve">Finney  </t>
  </si>
  <si>
    <t xml:space="preserve">Geary  </t>
  </si>
  <si>
    <t xml:space="preserve">Gove  </t>
  </si>
  <si>
    <t xml:space="preserve">Gray  </t>
  </si>
  <si>
    <t xml:space="preserve">Greeley  </t>
  </si>
  <si>
    <t xml:space="preserve">Greenwood  </t>
  </si>
  <si>
    <t xml:space="preserve">Harper  </t>
  </si>
  <si>
    <t xml:space="preserve">Harvey  </t>
  </si>
  <si>
    <t xml:space="preserve">Haskell  </t>
  </si>
  <si>
    <t xml:space="preserve">Hodgeman  </t>
  </si>
  <si>
    <t xml:space="preserve">Jewell  </t>
  </si>
  <si>
    <t xml:space="preserve">Kearny  </t>
  </si>
  <si>
    <t xml:space="preserve">Kingman  </t>
  </si>
  <si>
    <t xml:space="preserve">Labette  </t>
  </si>
  <si>
    <t xml:space="preserve">Lane  </t>
  </si>
  <si>
    <t xml:space="preserve">Leavenworth  </t>
  </si>
  <si>
    <t xml:space="preserve">Mcpherson  </t>
  </si>
  <si>
    <t xml:space="preserve">Meade  </t>
  </si>
  <si>
    <t xml:space="preserve">Morris  </t>
  </si>
  <si>
    <t xml:space="preserve">Morton  </t>
  </si>
  <si>
    <t xml:space="preserve">Nemaha  </t>
  </si>
  <si>
    <t xml:space="preserve">Neosho  </t>
  </si>
  <si>
    <t xml:space="preserve">Ness  </t>
  </si>
  <si>
    <t xml:space="preserve">Norton  </t>
  </si>
  <si>
    <t xml:space="preserve">Osage  </t>
  </si>
  <si>
    <t xml:space="preserve">Osborne  </t>
  </si>
  <si>
    <t xml:space="preserve">Ottawa  </t>
  </si>
  <si>
    <t xml:space="preserve">Pawnee  </t>
  </si>
  <si>
    <t xml:space="preserve">Pottawatomie  </t>
  </si>
  <si>
    <t xml:space="preserve">Pratt  </t>
  </si>
  <si>
    <t xml:space="preserve">Rawlins  </t>
  </si>
  <si>
    <t xml:space="preserve">Reno  </t>
  </si>
  <si>
    <t xml:space="preserve">Republic  </t>
  </si>
  <si>
    <t xml:space="preserve">Rice  </t>
  </si>
  <si>
    <t xml:space="preserve">Riley  </t>
  </si>
  <si>
    <t xml:space="preserve">Rooks  </t>
  </si>
  <si>
    <t xml:space="preserve">Seward  </t>
  </si>
  <si>
    <t xml:space="preserve">Shawnee  </t>
  </si>
  <si>
    <t xml:space="preserve">Sheridan  </t>
  </si>
  <si>
    <t xml:space="preserve">Sherman  </t>
  </si>
  <si>
    <t xml:space="preserve">Smith  </t>
  </si>
  <si>
    <t xml:space="preserve">Stafford  </t>
  </si>
  <si>
    <t xml:space="preserve">Stanton  </t>
  </si>
  <si>
    <t xml:space="preserve">Stevens  </t>
  </si>
  <si>
    <t xml:space="preserve">Sumner  </t>
  </si>
  <si>
    <t xml:space="preserve">Trego  </t>
  </si>
  <si>
    <t xml:space="preserve">Wabaunsee  </t>
  </si>
  <si>
    <t xml:space="preserve">Wallace  </t>
  </si>
  <si>
    <t xml:space="preserve">Wichita  </t>
  </si>
  <si>
    <t xml:space="preserve">Wilson  </t>
  </si>
  <si>
    <t xml:space="preserve">Woodson  </t>
  </si>
  <si>
    <t xml:space="preserve">Wyandotte  </t>
  </si>
  <si>
    <t xml:space="preserve">Ballard  </t>
  </si>
  <si>
    <t xml:space="preserve">Barren  </t>
  </si>
  <si>
    <t xml:space="preserve">Bath  </t>
  </si>
  <si>
    <t xml:space="preserve">Bell  </t>
  </si>
  <si>
    <t xml:space="preserve">Boyd  </t>
  </si>
  <si>
    <t xml:space="preserve">Boyle  </t>
  </si>
  <si>
    <t xml:space="preserve">Bracken  </t>
  </si>
  <si>
    <t xml:space="preserve">Breathitt  </t>
  </si>
  <si>
    <t xml:space="preserve">Breckinridge  </t>
  </si>
  <si>
    <t xml:space="preserve">Bullitt  </t>
  </si>
  <si>
    <t xml:space="preserve">Caldwell  </t>
  </si>
  <si>
    <t xml:space="preserve">Calloway  </t>
  </si>
  <si>
    <t xml:space="preserve">Campbell  </t>
  </si>
  <si>
    <t xml:space="preserve">Carlisle  </t>
  </si>
  <si>
    <t xml:space="preserve">Carter  </t>
  </si>
  <si>
    <t xml:space="preserve">Casey  </t>
  </si>
  <si>
    <t xml:space="preserve">Edmonson  </t>
  </si>
  <si>
    <t xml:space="preserve">Elliott  </t>
  </si>
  <si>
    <t xml:space="preserve">Estill  </t>
  </si>
  <si>
    <t xml:space="preserve">Fleming  </t>
  </si>
  <si>
    <t xml:space="preserve">Garrard  </t>
  </si>
  <si>
    <t xml:space="preserve">Graves  </t>
  </si>
  <si>
    <t xml:space="preserve">Grayson  </t>
  </si>
  <si>
    <t xml:space="preserve">Green  </t>
  </si>
  <si>
    <t xml:space="preserve">Greenup  </t>
  </si>
  <si>
    <t xml:space="preserve">Harlan  </t>
  </si>
  <si>
    <t xml:space="preserve">Hickman  </t>
  </si>
  <si>
    <t xml:space="preserve">Hopkins  </t>
  </si>
  <si>
    <t xml:space="preserve">Jessamine  </t>
  </si>
  <si>
    <t xml:space="preserve">Kenton  </t>
  </si>
  <si>
    <t xml:space="preserve">Knott  </t>
  </si>
  <si>
    <t xml:space="preserve">Larue  </t>
  </si>
  <si>
    <t xml:space="preserve">Laurel  </t>
  </si>
  <si>
    <t xml:space="preserve">Leslie  </t>
  </si>
  <si>
    <t xml:space="preserve">Letcher  </t>
  </si>
  <si>
    <t xml:space="preserve">Magoffin  </t>
  </si>
  <si>
    <t xml:space="preserve">Mccracken  </t>
  </si>
  <si>
    <t xml:space="preserve">Mccreary  </t>
  </si>
  <si>
    <t xml:space="preserve">Menifee  </t>
  </si>
  <si>
    <t xml:space="preserve">Metcalfe  </t>
  </si>
  <si>
    <t xml:space="preserve">Muhlenberg  </t>
  </si>
  <si>
    <t xml:space="preserve">Nelson  </t>
  </si>
  <si>
    <t xml:space="preserve">Nicholas  </t>
  </si>
  <si>
    <t xml:space="preserve">Oldham  </t>
  </si>
  <si>
    <t xml:space="preserve">Owsley  </t>
  </si>
  <si>
    <t xml:space="preserve">Pendleton  </t>
  </si>
  <si>
    <t xml:space="preserve">Powell  </t>
  </si>
  <si>
    <t xml:space="preserve">Robertson  </t>
  </si>
  <si>
    <t xml:space="preserve">Rockcastle  </t>
  </si>
  <si>
    <t xml:space="preserve">Rowan  </t>
  </si>
  <si>
    <t xml:space="preserve">Simpson  </t>
  </si>
  <si>
    <t xml:space="preserve">Todd  </t>
  </si>
  <si>
    <t xml:space="preserve">Trigg  </t>
  </si>
  <si>
    <t xml:space="preserve">Trimble  </t>
  </si>
  <si>
    <t xml:space="preserve">Wolfe  </t>
  </si>
  <si>
    <t xml:space="preserve">Acadia  </t>
  </si>
  <si>
    <t xml:space="preserve">Ascension  </t>
  </si>
  <si>
    <t xml:space="preserve">Assumption  </t>
  </si>
  <si>
    <t xml:space="preserve">Avoyelles  </t>
  </si>
  <si>
    <t xml:space="preserve">Beauregard  </t>
  </si>
  <si>
    <t xml:space="preserve">Bienville  </t>
  </si>
  <si>
    <t xml:space="preserve">Bossier  </t>
  </si>
  <si>
    <t xml:space="preserve">Caddo  </t>
  </si>
  <si>
    <t xml:space="preserve">Calcasieu  </t>
  </si>
  <si>
    <t xml:space="preserve">Cameron  </t>
  </si>
  <si>
    <t xml:space="preserve">Catahoula  </t>
  </si>
  <si>
    <t xml:space="preserve">Claiborne  </t>
  </si>
  <si>
    <t xml:space="preserve">Concordia  </t>
  </si>
  <si>
    <t xml:space="preserve">East Baton Rouge  </t>
  </si>
  <si>
    <t xml:space="preserve">East Carroll  </t>
  </si>
  <si>
    <t xml:space="preserve">East Feliciana  </t>
  </si>
  <si>
    <t xml:space="preserve">Evangeline  </t>
  </si>
  <si>
    <t xml:space="preserve">Iberia  </t>
  </si>
  <si>
    <t xml:space="preserve">Iberville  </t>
  </si>
  <si>
    <t xml:space="preserve">Jefferson Davis  </t>
  </si>
  <si>
    <t xml:space="preserve">Lafourche  </t>
  </si>
  <si>
    <t xml:space="preserve">Morehouse  </t>
  </si>
  <si>
    <t xml:space="preserve">Natchitoches  </t>
  </si>
  <si>
    <t xml:space="preserve">Orleans  </t>
  </si>
  <si>
    <t xml:space="preserve">Plaquemines  </t>
  </si>
  <si>
    <t xml:space="preserve">Pointe Coupee  </t>
  </si>
  <si>
    <t xml:space="preserve">Rapides  </t>
  </si>
  <si>
    <t xml:space="preserve">Red River  </t>
  </si>
  <si>
    <t xml:space="preserve">Sabine  </t>
  </si>
  <si>
    <t xml:space="preserve">Saint Bernard  </t>
  </si>
  <si>
    <t xml:space="preserve">Saint Charles  </t>
  </si>
  <si>
    <t xml:space="preserve">Saint Helena  </t>
  </si>
  <si>
    <t xml:space="preserve">Saint James  </t>
  </si>
  <si>
    <t xml:space="preserve">Saint Landry  </t>
  </si>
  <si>
    <t xml:space="preserve">Saint Martin  </t>
  </si>
  <si>
    <t xml:space="preserve">Saint Mary  </t>
  </si>
  <si>
    <t xml:space="preserve">Saint Tammany  </t>
  </si>
  <si>
    <t xml:space="preserve">St John The Baptist  </t>
  </si>
  <si>
    <t xml:space="preserve">Tangipahoa  </t>
  </si>
  <si>
    <t xml:space="preserve">Tensas  </t>
  </si>
  <si>
    <t xml:space="preserve">Terrebonne  </t>
  </si>
  <si>
    <t xml:space="preserve">Vernon  </t>
  </si>
  <si>
    <t xml:space="preserve">West Baton Rouge  </t>
  </si>
  <si>
    <t xml:space="preserve">West Carroll  </t>
  </si>
  <si>
    <t xml:space="preserve">West Feliciana  </t>
  </si>
  <si>
    <t xml:space="preserve">Winn  </t>
  </si>
  <si>
    <t xml:space="preserve">Androscoggin  </t>
  </si>
  <si>
    <t xml:space="preserve">Aroostook  </t>
  </si>
  <si>
    <t xml:space="preserve">Kennebec  </t>
  </si>
  <si>
    <t xml:space="preserve">Oxford  </t>
  </si>
  <si>
    <t xml:space="preserve">Penobscot  </t>
  </si>
  <si>
    <t xml:space="preserve">Piscataquis  </t>
  </si>
  <si>
    <t xml:space="preserve">Sagadahoc  </t>
  </si>
  <si>
    <t xml:space="preserve">Somerset  </t>
  </si>
  <si>
    <t xml:space="preserve">Waldo  </t>
  </si>
  <si>
    <t xml:space="preserve">York  </t>
  </si>
  <si>
    <t xml:space="preserve">Allegany  </t>
  </si>
  <si>
    <t xml:space="preserve">Anne Arundel  </t>
  </si>
  <si>
    <t xml:space="preserve">Baltimore  </t>
  </si>
  <si>
    <t xml:space="preserve">Baltimore City  </t>
  </si>
  <si>
    <t xml:space="preserve">Calvert  </t>
  </si>
  <si>
    <t xml:space="preserve">Caroline  </t>
  </si>
  <si>
    <t xml:space="preserve">Cecil  </t>
  </si>
  <si>
    <t xml:space="preserve">Charles  </t>
  </si>
  <si>
    <t xml:space="preserve">Dorchester  </t>
  </si>
  <si>
    <t xml:space="preserve">Frederick  </t>
  </si>
  <si>
    <t xml:space="preserve">Garrett  </t>
  </si>
  <si>
    <t xml:space="preserve">Harford  </t>
  </si>
  <si>
    <t xml:space="preserve">Prince Georges  </t>
  </si>
  <si>
    <t xml:space="preserve">Queen Annes  </t>
  </si>
  <si>
    <t xml:space="preserve">Saint Marys  </t>
  </si>
  <si>
    <t xml:space="preserve">Wicomico  </t>
  </si>
  <si>
    <t xml:space="preserve">Worcester  </t>
  </si>
  <si>
    <t xml:space="preserve">Barnstable  </t>
  </si>
  <si>
    <t xml:space="preserve">Berkshire  </t>
  </si>
  <si>
    <t xml:space="preserve">Bristol  </t>
  </si>
  <si>
    <t xml:space="preserve">Dukes  </t>
  </si>
  <si>
    <t xml:space="preserve">Essex  </t>
  </si>
  <si>
    <t xml:space="preserve">Hampden  </t>
  </si>
  <si>
    <t xml:space="preserve">Hampshire  </t>
  </si>
  <si>
    <t xml:space="preserve">Nantucket  </t>
  </si>
  <si>
    <t xml:space="preserve">Norfolk  </t>
  </si>
  <si>
    <t xml:space="preserve">Suffolk  </t>
  </si>
  <si>
    <t xml:space="preserve">Alcona  </t>
  </si>
  <si>
    <t xml:space="preserve">Alger  </t>
  </si>
  <si>
    <t xml:space="preserve">Allegan  </t>
  </si>
  <si>
    <t xml:space="preserve">Alpena  </t>
  </si>
  <si>
    <t xml:space="preserve">Antrim  </t>
  </si>
  <si>
    <t xml:space="preserve">Arenac  </t>
  </si>
  <si>
    <t xml:space="preserve">Baraga  </t>
  </si>
  <si>
    <t xml:space="preserve">Barry  </t>
  </si>
  <si>
    <t xml:space="preserve">Benzie  </t>
  </si>
  <si>
    <t xml:space="preserve">Branch  </t>
  </si>
  <si>
    <t xml:space="preserve">Charlevoix  </t>
  </si>
  <si>
    <t xml:space="preserve">Cheboygan  </t>
  </si>
  <si>
    <t xml:space="preserve">Chippewa  </t>
  </si>
  <si>
    <t xml:space="preserve">Clare  </t>
  </si>
  <si>
    <t xml:space="preserve">Eaton  </t>
  </si>
  <si>
    <t xml:space="preserve">Genesee  </t>
  </si>
  <si>
    <t xml:space="preserve">Gladwin  </t>
  </si>
  <si>
    <t xml:space="preserve">Gogebic  </t>
  </si>
  <si>
    <t xml:space="preserve">Grand Traverse  </t>
  </si>
  <si>
    <t xml:space="preserve">Gratiot  </t>
  </si>
  <si>
    <t xml:space="preserve">Hillsdale  </t>
  </si>
  <si>
    <t xml:space="preserve">Houghton  </t>
  </si>
  <si>
    <t xml:space="preserve">Huron  </t>
  </si>
  <si>
    <t xml:space="preserve">Ingham  </t>
  </si>
  <si>
    <t xml:space="preserve">Ionia  </t>
  </si>
  <si>
    <t xml:space="preserve">Iosco  </t>
  </si>
  <si>
    <t xml:space="preserve">Iron  </t>
  </si>
  <si>
    <t xml:space="preserve">Isabella  </t>
  </si>
  <si>
    <t xml:space="preserve">Kalamazoo  </t>
  </si>
  <si>
    <t xml:space="preserve">Kalkaska  </t>
  </si>
  <si>
    <t xml:space="preserve">Keweenaw  </t>
  </si>
  <si>
    <t xml:space="preserve">Lapeer  </t>
  </si>
  <si>
    <t xml:space="preserve">Leelanau  </t>
  </si>
  <si>
    <t xml:space="preserve">Lenawee  </t>
  </si>
  <si>
    <t xml:space="preserve">Luce  </t>
  </si>
  <si>
    <t xml:space="preserve">Mackinac  </t>
  </si>
  <si>
    <t xml:space="preserve">Macomb  </t>
  </si>
  <si>
    <t xml:space="preserve">Manistee  </t>
  </si>
  <si>
    <t xml:space="preserve">Marquette  </t>
  </si>
  <si>
    <t xml:space="preserve">Mecosta  </t>
  </si>
  <si>
    <t xml:space="preserve">Menominee  </t>
  </si>
  <si>
    <t xml:space="preserve">Midland  </t>
  </si>
  <si>
    <t xml:space="preserve">Missaukee  </t>
  </si>
  <si>
    <t xml:space="preserve">Montcalm  </t>
  </si>
  <si>
    <t xml:space="preserve">Montmorency  </t>
  </si>
  <si>
    <t xml:space="preserve">Muskegon  </t>
  </si>
  <si>
    <t xml:space="preserve">Newaygo  </t>
  </si>
  <si>
    <t xml:space="preserve">Oakland  </t>
  </si>
  <si>
    <t xml:space="preserve">Oceana  </t>
  </si>
  <si>
    <t xml:space="preserve">Ogemaw  </t>
  </si>
  <si>
    <t xml:space="preserve">Ontonagon  </t>
  </si>
  <si>
    <t xml:space="preserve">Oscoda  </t>
  </si>
  <si>
    <t xml:space="preserve">Otsego  </t>
  </si>
  <si>
    <t xml:space="preserve">Presque Isle  </t>
  </si>
  <si>
    <t xml:space="preserve">Roscommon  </t>
  </si>
  <si>
    <t xml:space="preserve">Saginaw  </t>
  </si>
  <si>
    <t xml:space="preserve">Saint Joseph  </t>
  </si>
  <si>
    <t xml:space="preserve">Sanilac  </t>
  </si>
  <si>
    <t xml:space="preserve">Schoolcraft  </t>
  </si>
  <si>
    <t xml:space="preserve">Shiawassee  </t>
  </si>
  <si>
    <t xml:space="preserve">Tuscola  </t>
  </si>
  <si>
    <t xml:space="preserve">Washtenaw  </t>
  </si>
  <si>
    <t xml:space="preserve">Wexford  </t>
  </si>
  <si>
    <t xml:space="preserve">Aitkin  </t>
  </si>
  <si>
    <t xml:space="preserve">Anoka  </t>
  </si>
  <si>
    <t xml:space="preserve">Becker  </t>
  </si>
  <si>
    <t xml:space="preserve">Beltrami  </t>
  </si>
  <si>
    <t xml:space="preserve">Big Stone  </t>
  </si>
  <si>
    <t xml:space="preserve">Blue Earth  </t>
  </si>
  <si>
    <t xml:space="preserve">Carlton  </t>
  </si>
  <si>
    <t xml:space="preserve">Carver  </t>
  </si>
  <si>
    <t xml:space="preserve">Chisago  </t>
  </si>
  <si>
    <t xml:space="preserve">Cottonwood  </t>
  </si>
  <si>
    <t xml:space="preserve">Crow Wing  </t>
  </si>
  <si>
    <t xml:space="preserve">Dakota  </t>
  </si>
  <si>
    <t xml:space="preserve">Faribault  </t>
  </si>
  <si>
    <t xml:space="preserve">Fillmore  </t>
  </si>
  <si>
    <t xml:space="preserve">Freeborn  </t>
  </si>
  <si>
    <t xml:space="preserve">Goodhue  </t>
  </si>
  <si>
    <t xml:space="preserve">Hennepin  </t>
  </si>
  <si>
    <t xml:space="preserve">Hubbard  </t>
  </si>
  <si>
    <t xml:space="preserve">Isanti  </t>
  </si>
  <si>
    <t xml:space="preserve">Itasca  </t>
  </si>
  <si>
    <t xml:space="preserve">Kanabec  </t>
  </si>
  <si>
    <t xml:space="preserve">Kandiyohi  </t>
  </si>
  <si>
    <t xml:space="preserve">Kittson  </t>
  </si>
  <si>
    <t xml:space="preserve">Koochiching  </t>
  </si>
  <si>
    <t xml:space="preserve">Lac Qui Parle  </t>
  </si>
  <si>
    <t xml:space="preserve">Lake Of The Woods  </t>
  </si>
  <si>
    <t xml:space="preserve">Le Sueur  </t>
  </si>
  <si>
    <t xml:space="preserve">Mahnomen  </t>
  </si>
  <si>
    <t xml:space="preserve">Mcleod  </t>
  </si>
  <si>
    <t xml:space="preserve">Meeker  </t>
  </si>
  <si>
    <t xml:space="preserve">Mille Lacs  </t>
  </si>
  <si>
    <t xml:space="preserve">Morrison  </t>
  </si>
  <si>
    <t xml:space="preserve">Mower  </t>
  </si>
  <si>
    <t xml:space="preserve">Nicollet  </t>
  </si>
  <si>
    <t xml:space="preserve">Nobles  </t>
  </si>
  <si>
    <t xml:space="preserve">Norman  </t>
  </si>
  <si>
    <t xml:space="preserve">Olmsted  </t>
  </si>
  <si>
    <t xml:space="preserve">Otter Tail  </t>
  </si>
  <si>
    <t xml:space="preserve">Pennington  </t>
  </si>
  <si>
    <t xml:space="preserve">Pine  </t>
  </si>
  <si>
    <t xml:space="preserve">Pipestone  </t>
  </si>
  <si>
    <t xml:space="preserve">Ramsey  </t>
  </si>
  <si>
    <t xml:space="preserve">Red Lake  </t>
  </si>
  <si>
    <t xml:space="preserve">Redwood  </t>
  </si>
  <si>
    <t xml:space="preserve">Renville  </t>
  </si>
  <si>
    <t xml:space="preserve">Rock  </t>
  </si>
  <si>
    <t xml:space="preserve">Roseau  </t>
  </si>
  <si>
    <t xml:space="preserve">Saint Louis  </t>
  </si>
  <si>
    <t xml:space="preserve">Sherburne  </t>
  </si>
  <si>
    <t xml:space="preserve">Sibley  </t>
  </si>
  <si>
    <t xml:space="preserve">Stearns  </t>
  </si>
  <si>
    <t xml:space="preserve">Steele  </t>
  </si>
  <si>
    <t xml:space="preserve">Swift  </t>
  </si>
  <si>
    <t xml:space="preserve">Traverse  </t>
  </si>
  <si>
    <t xml:space="preserve">Wabasha  </t>
  </si>
  <si>
    <t xml:space="preserve">Wadena  </t>
  </si>
  <si>
    <t xml:space="preserve">Waseca  </t>
  </si>
  <si>
    <t xml:space="preserve">Watonwan  </t>
  </si>
  <si>
    <t xml:space="preserve">Wilkin  </t>
  </si>
  <si>
    <t xml:space="preserve">Winona  </t>
  </si>
  <si>
    <t xml:space="preserve">Yellow Medicine  </t>
  </si>
  <si>
    <t xml:space="preserve">Alcorn  </t>
  </si>
  <si>
    <t xml:space="preserve">Amite  </t>
  </si>
  <si>
    <t xml:space="preserve">Attala  </t>
  </si>
  <si>
    <t xml:space="preserve">Bolivar  </t>
  </si>
  <si>
    <t xml:space="preserve">Coahoma  </t>
  </si>
  <si>
    <t xml:space="preserve">Copiah  </t>
  </si>
  <si>
    <t xml:space="preserve">Desoto  </t>
  </si>
  <si>
    <t xml:space="preserve">Forrest  </t>
  </si>
  <si>
    <t xml:space="preserve">George  </t>
  </si>
  <si>
    <t xml:space="preserve">Grenada  </t>
  </si>
  <si>
    <t xml:space="preserve">Hinds  </t>
  </si>
  <si>
    <t xml:space="preserve">Humphreys  </t>
  </si>
  <si>
    <t xml:space="preserve">Issaquena  </t>
  </si>
  <si>
    <t xml:space="preserve">Itawamba  </t>
  </si>
  <si>
    <t xml:space="preserve">Kemper  </t>
  </si>
  <si>
    <t xml:space="preserve">Leake  </t>
  </si>
  <si>
    <t xml:space="preserve">Leflore  </t>
  </si>
  <si>
    <t xml:space="preserve">Neshoba  </t>
  </si>
  <si>
    <t xml:space="preserve">Noxubee  </t>
  </si>
  <si>
    <t xml:space="preserve">Oktibbeha  </t>
  </si>
  <si>
    <t xml:space="preserve">Panola  </t>
  </si>
  <si>
    <t xml:space="preserve">Pearl River  </t>
  </si>
  <si>
    <t xml:space="preserve">Pontotoc  </t>
  </si>
  <si>
    <t xml:space="preserve">Prentiss  </t>
  </si>
  <si>
    <t xml:space="preserve">Rankin  </t>
  </si>
  <si>
    <t xml:space="preserve">Sharkey  </t>
  </si>
  <si>
    <t xml:space="preserve">Sunflower  </t>
  </si>
  <si>
    <t xml:space="preserve">Tallahatchie  </t>
  </si>
  <si>
    <t xml:space="preserve">Tate  </t>
  </si>
  <si>
    <t xml:space="preserve">Tippah  </t>
  </si>
  <si>
    <t xml:space="preserve">Tishomingo  </t>
  </si>
  <si>
    <t xml:space="preserve">Tunica  </t>
  </si>
  <si>
    <t xml:space="preserve">Walthall  </t>
  </si>
  <si>
    <t xml:space="preserve">Yalobusha  </t>
  </si>
  <si>
    <t xml:space="preserve">Yazoo  </t>
  </si>
  <si>
    <t xml:space="preserve">Andrew  </t>
  </si>
  <si>
    <t xml:space="preserve">Audrain  </t>
  </si>
  <si>
    <t xml:space="preserve">Bates  </t>
  </si>
  <si>
    <t xml:space="preserve">Bollinger  </t>
  </si>
  <si>
    <t xml:space="preserve">Callaway  </t>
  </si>
  <si>
    <t xml:space="preserve">Cape Girardeau  </t>
  </si>
  <si>
    <t xml:space="preserve">Chariton  </t>
  </si>
  <si>
    <t xml:space="preserve">Cole  </t>
  </si>
  <si>
    <t xml:space="preserve">Cooper  </t>
  </si>
  <si>
    <t xml:space="preserve">Dent  </t>
  </si>
  <si>
    <t xml:space="preserve">Dunklin  </t>
  </si>
  <si>
    <t xml:space="preserve">Gasconade  </t>
  </si>
  <si>
    <t xml:space="preserve">Gentry  </t>
  </si>
  <si>
    <t xml:space="preserve">Hickory  </t>
  </si>
  <si>
    <t xml:space="preserve">Holt  </t>
  </si>
  <si>
    <t xml:space="preserve">Howell  </t>
  </si>
  <si>
    <t xml:space="preserve">Laclede  </t>
  </si>
  <si>
    <t xml:space="preserve">Maries  </t>
  </si>
  <si>
    <t xml:space="preserve">Mcdonald  </t>
  </si>
  <si>
    <t xml:space="preserve">Moniteau  </t>
  </si>
  <si>
    <t xml:space="preserve">New Madrid  </t>
  </si>
  <si>
    <t xml:space="preserve">Nodaway  </t>
  </si>
  <si>
    <t xml:space="preserve">Oregon  </t>
  </si>
  <si>
    <t xml:space="preserve">Ozark  </t>
  </si>
  <si>
    <t xml:space="preserve">Pemiscot  </t>
  </si>
  <si>
    <t xml:space="preserve">Pettis  </t>
  </si>
  <si>
    <t xml:space="preserve">Phelps  </t>
  </si>
  <si>
    <t xml:space="preserve">Platte  </t>
  </si>
  <si>
    <t xml:space="preserve">Ralls  </t>
  </si>
  <si>
    <t xml:space="preserve">Ray  </t>
  </si>
  <si>
    <t xml:space="preserve">Reynolds  </t>
  </si>
  <si>
    <t xml:space="preserve">Saint Francois  </t>
  </si>
  <si>
    <t xml:space="preserve">Saint Louis City  </t>
  </si>
  <si>
    <t xml:space="preserve">Sainte Genevieve  </t>
  </si>
  <si>
    <t xml:space="preserve">Scotland  </t>
  </si>
  <si>
    <t xml:space="preserve">Shannon  </t>
  </si>
  <si>
    <t xml:space="preserve">Stoddard  </t>
  </si>
  <si>
    <t xml:space="preserve">Taney  </t>
  </si>
  <si>
    <t xml:space="preserve">Texas  </t>
  </si>
  <si>
    <t xml:space="preserve">Beaverhead  </t>
  </si>
  <si>
    <t xml:space="preserve">Big Horn  </t>
  </si>
  <si>
    <t xml:space="preserve">Broadwater  </t>
  </si>
  <si>
    <t xml:space="preserve">Carbon  </t>
  </si>
  <si>
    <t xml:space="preserve">Cascade  </t>
  </si>
  <si>
    <t xml:space="preserve">Chouteau  </t>
  </si>
  <si>
    <t xml:space="preserve">Daniels  </t>
  </si>
  <si>
    <t xml:space="preserve">Deer Lodge  </t>
  </si>
  <si>
    <t xml:space="preserve">Fallon  </t>
  </si>
  <si>
    <t xml:space="preserve">Fergus  </t>
  </si>
  <si>
    <t xml:space="preserve">Flathead  </t>
  </si>
  <si>
    <t xml:space="preserve">Glacier  </t>
  </si>
  <si>
    <t xml:space="preserve">Golden Valley  </t>
  </si>
  <si>
    <t xml:space="preserve">Granite  </t>
  </si>
  <si>
    <t xml:space="preserve">Hill  </t>
  </si>
  <si>
    <t xml:space="preserve">Judith Basin  </t>
  </si>
  <si>
    <t xml:space="preserve">Lewis And Clark  </t>
  </si>
  <si>
    <t xml:space="preserve">Mccone  </t>
  </si>
  <si>
    <t xml:space="preserve">Meagher  </t>
  </si>
  <si>
    <t xml:space="preserve">Missoula  </t>
  </si>
  <si>
    <t xml:space="preserve">Musselshell  </t>
  </si>
  <si>
    <t xml:space="preserve">Petroleum  </t>
  </si>
  <si>
    <t xml:space="preserve">Pondera  </t>
  </si>
  <si>
    <t xml:space="preserve">Powder River  </t>
  </si>
  <si>
    <t xml:space="preserve">Ravalli  </t>
  </si>
  <si>
    <t xml:space="preserve">Roosevelt  </t>
  </si>
  <si>
    <t xml:space="preserve">Rosebud  </t>
  </si>
  <si>
    <t xml:space="preserve">Sanders  </t>
  </si>
  <si>
    <t xml:space="preserve">Silver Bow  </t>
  </si>
  <si>
    <t xml:space="preserve">Stillwater  </t>
  </si>
  <si>
    <t xml:space="preserve">Sweet Grass  </t>
  </si>
  <si>
    <t xml:space="preserve">Toole  </t>
  </si>
  <si>
    <t xml:space="preserve">Treasure  </t>
  </si>
  <si>
    <t xml:space="preserve">Wheatland  </t>
  </si>
  <si>
    <t xml:space="preserve">Wibaux  </t>
  </si>
  <si>
    <t xml:space="preserve">Yellowstone  </t>
  </si>
  <si>
    <t xml:space="preserve">Antelope  </t>
  </si>
  <si>
    <t xml:space="preserve">Arthur  </t>
  </si>
  <si>
    <t xml:space="preserve">Banner  </t>
  </si>
  <si>
    <t xml:space="preserve">Box Butte  </t>
  </si>
  <si>
    <t xml:space="preserve">Buffalo  </t>
  </si>
  <si>
    <t xml:space="preserve">Burt  </t>
  </si>
  <si>
    <t xml:space="preserve">Cherry  </t>
  </si>
  <si>
    <t xml:space="preserve">Colfax  </t>
  </si>
  <si>
    <t xml:space="preserve">Cuming  </t>
  </si>
  <si>
    <t xml:space="preserve">Dawes  </t>
  </si>
  <si>
    <t xml:space="preserve">Deuel  </t>
  </si>
  <si>
    <t xml:space="preserve">Dixon  </t>
  </si>
  <si>
    <t xml:space="preserve">Dundy  </t>
  </si>
  <si>
    <t xml:space="preserve">Frontier  </t>
  </si>
  <si>
    <t xml:space="preserve">Furnas  </t>
  </si>
  <si>
    <t xml:space="preserve">Gage  </t>
  </si>
  <si>
    <t xml:space="preserve">Garden  </t>
  </si>
  <si>
    <t xml:space="preserve">Gosper  </t>
  </si>
  <si>
    <t xml:space="preserve">Hayes  </t>
  </si>
  <si>
    <t xml:space="preserve">Hitchcock  </t>
  </si>
  <si>
    <t xml:space="preserve">Hooker  </t>
  </si>
  <si>
    <t xml:space="preserve">Kearney  </t>
  </si>
  <si>
    <t xml:space="preserve">Keith  </t>
  </si>
  <si>
    <t xml:space="preserve">Keya Paha  </t>
  </si>
  <si>
    <t xml:space="preserve">Kimball  </t>
  </si>
  <si>
    <t xml:space="preserve">Lancaster  </t>
  </si>
  <si>
    <t xml:space="preserve">Loup  </t>
  </si>
  <si>
    <t xml:space="preserve">Merrick  </t>
  </si>
  <si>
    <t xml:space="preserve">Morrill  </t>
  </si>
  <si>
    <t xml:space="preserve">Nance  </t>
  </si>
  <si>
    <t xml:space="preserve">Nuckolls  </t>
  </si>
  <si>
    <t xml:space="preserve">Otoe  </t>
  </si>
  <si>
    <t xml:space="preserve">Perkins  </t>
  </si>
  <si>
    <t xml:space="preserve">Red Willow  </t>
  </si>
  <si>
    <t xml:space="preserve">Richardson  </t>
  </si>
  <si>
    <t xml:space="preserve">Sarpy  </t>
  </si>
  <si>
    <t xml:space="preserve">Saunders  </t>
  </si>
  <si>
    <t xml:space="preserve">Scotts Bluff  </t>
  </si>
  <si>
    <t xml:space="preserve">Thayer  </t>
  </si>
  <si>
    <t xml:space="preserve">Thurston  </t>
  </si>
  <si>
    <t xml:space="preserve">Carson City  </t>
  </si>
  <si>
    <t xml:space="preserve">Churchill  </t>
  </si>
  <si>
    <t xml:space="preserve">Elko  </t>
  </si>
  <si>
    <t xml:space="preserve">Esmeralda  </t>
  </si>
  <si>
    <t xml:space="preserve">Eureka  </t>
  </si>
  <si>
    <t xml:space="preserve">Lander  </t>
  </si>
  <si>
    <t xml:space="preserve">Nye  </t>
  </si>
  <si>
    <t xml:space="preserve">Pershing  </t>
  </si>
  <si>
    <t xml:space="preserve">Storey  </t>
  </si>
  <si>
    <t xml:space="preserve">Washoe  </t>
  </si>
  <si>
    <t xml:space="preserve">White Pine  </t>
  </si>
  <si>
    <t xml:space="preserve">Belknap  </t>
  </si>
  <si>
    <t xml:space="preserve">Cheshire  </t>
  </si>
  <si>
    <t xml:space="preserve">Coos  </t>
  </si>
  <si>
    <t xml:space="preserve">Grafton  </t>
  </si>
  <si>
    <t xml:space="preserve">Merrimack  </t>
  </si>
  <si>
    <t xml:space="preserve">Rockingham  </t>
  </si>
  <si>
    <t xml:space="preserve">Strafford  </t>
  </si>
  <si>
    <t xml:space="preserve">Atlantic  </t>
  </si>
  <si>
    <t xml:space="preserve">Bergen  </t>
  </si>
  <si>
    <t xml:space="preserve">Burlington  </t>
  </si>
  <si>
    <t xml:space="preserve">Cape May  </t>
  </si>
  <si>
    <t xml:space="preserve">Gloucester  </t>
  </si>
  <si>
    <t xml:space="preserve">Hudson  </t>
  </si>
  <si>
    <t xml:space="preserve">Hunterdon  </t>
  </si>
  <si>
    <t xml:space="preserve">Monmouth  </t>
  </si>
  <si>
    <t xml:space="preserve">Ocean  </t>
  </si>
  <si>
    <t xml:space="preserve">Passaic  </t>
  </si>
  <si>
    <t xml:space="preserve">Salem  </t>
  </si>
  <si>
    <t xml:space="preserve">Bernalillo  </t>
  </si>
  <si>
    <t xml:space="preserve">Catron  </t>
  </si>
  <si>
    <t xml:space="preserve">Chaves  </t>
  </si>
  <si>
    <t xml:space="preserve">Cibola  </t>
  </si>
  <si>
    <t xml:space="preserve">Curry  </t>
  </si>
  <si>
    <t xml:space="preserve">De Baca  </t>
  </si>
  <si>
    <t xml:space="preserve">Dona Ana  </t>
  </si>
  <si>
    <t xml:space="preserve">Eddy  </t>
  </si>
  <si>
    <t xml:space="preserve">Guadalupe  </t>
  </si>
  <si>
    <t xml:space="preserve">Harding  </t>
  </si>
  <si>
    <t xml:space="preserve">Hidalgo  </t>
  </si>
  <si>
    <t xml:space="preserve">Lea  </t>
  </si>
  <si>
    <t xml:space="preserve">Los Alamos  </t>
  </si>
  <si>
    <t xml:space="preserve">Luna  </t>
  </si>
  <si>
    <t xml:space="preserve">Mckinley  </t>
  </si>
  <si>
    <t xml:space="preserve">Mora  </t>
  </si>
  <si>
    <t xml:space="preserve">Quay  </t>
  </si>
  <si>
    <t xml:space="preserve">Rio Arriba  </t>
  </si>
  <si>
    <t xml:space="preserve">Sandoval  </t>
  </si>
  <si>
    <t xml:space="preserve">Santa Fe  </t>
  </si>
  <si>
    <t xml:space="preserve">Socorro  </t>
  </si>
  <si>
    <t xml:space="preserve">Taos  </t>
  </si>
  <si>
    <t xml:space="preserve">Torrance  </t>
  </si>
  <si>
    <t xml:space="preserve">Valencia  </t>
  </si>
  <si>
    <t xml:space="preserve">Albany  </t>
  </si>
  <si>
    <t xml:space="preserve">Bronx  </t>
  </si>
  <si>
    <t xml:space="preserve">Broome  </t>
  </si>
  <si>
    <t xml:space="preserve">Cattaraugus  </t>
  </si>
  <si>
    <t xml:space="preserve">Cayuga  </t>
  </si>
  <si>
    <t xml:space="preserve">Chemung  </t>
  </si>
  <si>
    <t xml:space="preserve">Chenango  </t>
  </si>
  <si>
    <t xml:space="preserve">Cortland  </t>
  </si>
  <si>
    <t xml:space="preserve">Dutchess  </t>
  </si>
  <si>
    <t xml:space="preserve">Erie  </t>
  </si>
  <si>
    <t xml:space="preserve">Herkimer  </t>
  </si>
  <si>
    <t xml:space="preserve">New York  </t>
  </si>
  <si>
    <t xml:space="preserve">Niagara  </t>
  </si>
  <si>
    <t xml:space="preserve">Onondaga  </t>
  </si>
  <si>
    <t xml:space="preserve">Ontario  </t>
  </si>
  <si>
    <t xml:space="preserve">Oswego  </t>
  </si>
  <si>
    <t xml:space="preserve">Queens  </t>
  </si>
  <si>
    <t xml:space="preserve">Rensselaer  </t>
  </si>
  <si>
    <t xml:space="preserve">Rockland  </t>
  </si>
  <si>
    <t xml:space="preserve">Saint Lawrence  </t>
  </si>
  <si>
    <t xml:space="preserve">Saratoga  </t>
  </si>
  <si>
    <t xml:space="preserve">Schenectady  </t>
  </si>
  <si>
    <t xml:space="preserve">Schoharie  </t>
  </si>
  <si>
    <t xml:space="preserve">Seneca  </t>
  </si>
  <si>
    <t xml:space="preserve">Tioga  </t>
  </si>
  <si>
    <t xml:space="preserve">Tompkins  </t>
  </si>
  <si>
    <t xml:space="preserve">Ulster  </t>
  </si>
  <si>
    <t xml:space="preserve">Westchester  </t>
  </si>
  <si>
    <t xml:space="preserve">Wyoming  </t>
  </si>
  <si>
    <t xml:space="preserve">Yates  </t>
  </si>
  <si>
    <t xml:space="preserve">Alamance  </t>
  </si>
  <si>
    <t xml:space="preserve">Alleghany  </t>
  </si>
  <si>
    <t xml:space="preserve">Anson  </t>
  </si>
  <si>
    <t xml:space="preserve">Ashe  </t>
  </si>
  <si>
    <t xml:space="preserve">Avery  </t>
  </si>
  <si>
    <t xml:space="preserve">Beaufort  </t>
  </si>
  <si>
    <t xml:space="preserve">Bertie  </t>
  </si>
  <si>
    <t xml:space="preserve">Bladen  </t>
  </si>
  <si>
    <t xml:space="preserve">Brunswick  </t>
  </si>
  <si>
    <t xml:space="preserve">Buncombe  </t>
  </si>
  <si>
    <t xml:space="preserve">Cabarrus  </t>
  </si>
  <si>
    <t xml:space="preserve">Carteret  </t>
  </si>
  <si>
    <t xml:space="preserve">Caswell  </t>
  </si>
  <si>
    <t xml:space="preserve">Catawba  </t>
  </si>
  <si>
    <t xml:space="preserve">Chowan  </t>
  </si>
  <si>
    <t xml:space="preserve">Columbus  </t>
  </si>
  <si>
    <t xml:space="preserve">Craven  </t>
  </si>
  <si>
    <t xml:space="preserve">Currituck  </t>
  </si>
  <si>
    <t xml:space="preserve">Dare  </t>
  </si>
  <si>
    <t xml:space="preserve">Davidson  </t>
  </si>
  <si>
    <t xml:space="preserve">Davie  </t>
  </si>
  <si>
    <t xml:space="preserve">Duplin  </t>
  </si>
  <si>
    <t xml:space="preserve">Durham  </t>
  </si>
  <si>
    <t xml:space="preserve">Edgecombe  </t>
  </si>
  <si>
    <t xml:space="preserve">Gaston  </t>
  </si>
  <si>
    <t xml:space="preserve">Gates  </t>
  </si>
  <si>
    <t xml:space="preserve">Granville  </t>
  </si>
  <si>
    <t xml:space="preserve">Guilford  </t>
  </si>
  <si>
    <t xml:space="preserve">Halifax  </t>
  </si>
  <si>
    <t xml:space="preserve">Harnett  </t>
  </si>
  <si>
    <t xml:space="preserve">Haywood  </t>
  </si>
  <si>
    <t xml:space="preserve">Hertford  </t>
  </si>
  <si>
    <t xml:space="preserve">Hoke  </t>
  </si>
  <si>
    <t xml:space="preserve">Hyde  </t>
  </si>
  <si>
    <t xml:space="preserve">Iredell  </t>
  </si>
  <si>
    <t xml:space="preserve">Johnston  </t>
  </si>
  <si>
    <t xml:space="preserve">Lenoir  </t>
  </si>
  <si>
    <t xml:space="preserve">Mcdowell  </t>
  </si>
  <si>
    <t xml:space="preserve">Mecklenburg  </t>
  </si>
  <si>
    <t xml:space="preserve">Moore  </t>
  </si>
  <si>
    <t xml:space="preserve">Nash  </t>
  </si>
  <si>
    <t xml:space="preserve">New Hanover  </t>
  </si>
  <si>
    <t xml:space="preserve">Northampton  </t>
  </si>
  <si>
    <t xml:space="preserve">Onslow  </t>
  </si>
  <si>
    <t xml:space="preserve">Pamlico  </t>
  </si>
  <si>
    <t xml:space="preserve">Pasquotank  </t>
  </si>
  <si>
    <t xml:space="preserve">Pender  </t>
  </si>
  <si>
    <t xml:space="preserve">Perquimans  </t>
  </si>
  <si>
    <t xml:space="preserve">Person  </t>
  </si>
  <si>
    <t xml:space="preserve">Pitt  </t>
  </si>
  <si>
    <t xml:space="preserve">Robeson  </t>
  </si>
  <si>
    <t xml:space="preserve">Rutherford  </t>
  </si>
  <si>
    <t xml:space="preserve">Sampson  </t>
  </si>
  <si>
    <t xml:space="preserve">Stanly  </t>
  </si>
  <si>
    <t xml:space="preserve">Stokes  </t>
  </si>
  <si>
    <t xml:space="preserve">Surry  </t>
  </si>
  <si>
    <t xml:space="preserve">Swain  </t>
  </si>
  <si>
    <t xml:space="preserve">Transylvania  </t>
  </si>
  <si>
    <t xml:space="preserve">Tyrrell  </t>
  </si>
  <si>
    <t xml:space="preserve">Vance  </t>
  </si>
  <si>
    <t xml:space="preserve">Wake  </t>
  </si>
  <si>
    <t xml:space="preserve">Watauga  </t>
  </si>
  <si>
    <t xml:space="preserve">Yadkin  </t>
  </si>
  <si>
    <t xml:space="preserve">Yancey  </t>
  </si>
  <si>
    <t xml:space="preserve">Barnes  </t>
  </si>
  <si>
    <t xml:space="preserve">Benson  </t>
  </si>
  <si>
    <t xml:space="preserve">Billings  </t>
  </si>
  <si>
    <t xml:space="preserve">Bottineau  </t>
  </si>
  <si>
    <t xml:space="preserve">Bowman  </t>
  </si>
  <si>
    <t xml:space="preserve">Burleigh  </t>
  </si>
  <si>
    <t xml:space="preserve">Cavalier  </t>
  </si>
  <si>
    <t xml:space="preserve">Dickey  </t>
  </si>
  <si>
    <t xml:space="preserve">Divide  </t>
  </si>
  <si>
    <t xml:space="preserve">Dunn  </t>
  </si>
  <si>
    <t xml:space="preserve">Emmons  </t>
  </si>
  <si>
    <t xml:space="preserve">Foster  </t>
  </si>
  <si>
    <t xml:space="preserve">Grand Forks  </t>
  </si>
  <si>
    <t xml:space="preserve">Griggs  </t>
  </si>
  <si>
    <t xml:space="preserve">Hettinger  </t>
  </si>
  <si>
    <t xml:space="preserve">Kidder  </t>
  </si>
  <si>
    <t xml:space="preserve">Lamoure  </t>
  </si>
  <si>
    <t xml:space="preserve">Mckenzie  </t>
  </si>
  <si>
    <t xml:space="preserve">Mountrail  </t>
  </si>
  <si>
    <t xml:space="preserve">Oliver  </t>
  </si>
  <si>
    <t xml:space="preserve">Pembina  </t>
  </si>
  <si>
    <t xml:space="preserve">Ransom  </t>
  </si>
  <si>
    <t xml:space="preserve">Rolette  </t>
  </si>
  <si>
    <t xml:space="preserve">Sargent  </t>
  </si>
  <si>
    <t xml:space="preserve">Slope  </t>
  </si>
  <si>
    <t xml:space="preserve">Stutsman  </t>
  </si>
  <si>
    <t xml:space="preserve">Towner  </t>
  </si>
  <si>
    <t xml:space="preserve">Traill  </t>
  </si>
  <si>
    <t xml:space="preserve">Walsh  </t>
  </si>
  <si>
    <t xml:space="preserve">Ward  </t>
  </si>
  <si>
    <t xml:space="preserve">Williams  </t>
  </si>
  <si>
    <t xml:space="preserve">Northern Mariana Islands  </t>
  </si>
  <si>
    <t xml:space="preserve">Ashland  </t>
  </si>
  <si>
    <t xml:space="preserve">Ashtabula  </t>
  </si>
  <si>
    <t xml:space="preserve">Athens  </t>
  </si>
  <si>
    <t xml:space="preserve">Auglaize  </t>
  </si>
  <si>
    <t xml:space="preserve">Belmont  </t>
  </si>
  <si>
    <t xml:space="preserve">Clermont  </t>
  </si>
  <si>
    <t xml:space="preserve">Columbiana  </t>
  </si>
  <si>
    <t xml:space="preserve">Coshocton  </t>
  </si>
  <si>
    <t xml:space="preserve">Cuyahoga  </t>
  </si>
  <si>
    <t xml:space="preserve">Darke  </t>
  </si>
  <si>
    <t xml:space="preserve">Defiance  </t>
  </si>
  <si>
    <t xml:space="preserve">Gallia  </t>
  </si>
  <si>
    <t xml:space="preserve">Geauga  </t>
  </si>
  <si>
    <t xml:space="preserve">Guernsey  </t>
  </si>
  <si>
    <t xml:space="preserve">Highland  </t>
  </si>
  <si>
    <t xml:space="preserve">Hocking  </t>
  </si>
  <si>
    <t xml:space="preserve">Licking  </t>
  </si>
  <si>
    <t xml:space="preserve">Lorain  </t>
  </si>
  <si>
    <t xml:space="preserve">Mahoning  </t>
  </si>
  <si>
    <t xml:space="preserve">Medina  </t>
  </si>
  <si>
    <t xml:space="preserve">Meigs  </t>
  </si>
  <si>
    <t xml:space="preserve">Morrow  </t>
  </si>
  <si>
    <t xml:space="preserve">Muskingum  </t>
  </si>
  <si>
    <t xml:space="preserve">Pickaway  </t>
  </si>
  <si>
    <t xml:space="preserve">Portage  </t>
  </si>
  <si>
    <t xml:space="preserve">Preble  </t>
  </si>
  <si>
    <t xml:space="preserve">Ross  </t>
  </si>
  <si>
    <t xml:space="preserve">Sandusky  </t>
  </si>
  <si>
    <t xml:space="preserve">Scioto  </t>
  </si>
  <si>
    <t xml:space="preserve">Trumbull  </t>
  </si>
  <si>
    <t xml:space="preserve">Tuscarawas  </t>
  </si>
  <si>
    <t xml:space="preserve">Van Wert  </t>
  </si>
  <si>
    <t xml:space="preserve">Vinton  </t>
  </si>
  <si>
    <t xml:space="preserve">Wood  </t>
  </si>
  <si>
    <t xml:space="preserve">Wyandot  </t>
  </si>
  <si>
    <t xml:space="preserve">Alfalfa  </t>
  </si>
  <si>
    <t xml:space="preserve">Atoka  </t>
  </si>
  <si>
    <t xml:space="preserve">Beaver  </t>
  </si>
  <si>
    <t xml:space="preserve">Beckham  </t>
  </si>
  <si>
    <t xml:space="preserve">Canadian  </t>
  </si>
  <si>
    <t xml:space="preserve">Cimarron  </t>
  </si>
  <si>
    <t xml:space="preserve">Coal  </t>
  </si>
  <si>
    <t xml:space="preserve">Cotton  </t>
  </si>
  <si>
    <t xml:space="preserve">Craig  </t>
  </si>
  <si>
    <t xml:space="preserve">Creek  </t>
  </si>
  <si>
    <t xml:space="preserve">Dewey  </t>
  </si>
  <si>
    <t xml:space="preserve">Garvin  </t>
  </si>
  <si>
    <t xml:space="preserve">Greer  </t>
  </si>
  <si>
    <t xml:space="preserve">Harmon  </t>
  </si>
  <si>
    <t xml:space="preserve">Hughes  </t>
  </si>
  <si>
    <t xml:space="preserve">Kay  </t>
  </si>
  <si>
    <t xml:space="preserve">Kingfisher  </t>
  </si>
  <si>
    <t xml:space="preserve">Latimer  </t>
  </si>
  <si>
    <t xml:space="preserve">Le Flore  </t>
  </si>
  <si>
    <t xml:space="preserve">Love  </t>
  </si>
  <si>
    <t xml:space="preserve">Major  </t>
  </si>
  <si>
    <t xml:space="preserve">Mayes  </t>
  </si>
  <si>
    <t xml:space="preserve">Mcclain  </t>
  </si>
  <si>
    <t xml:space="preserve">Mccurtain  </t>
  </si>
  <si>
    <t xml:space="preserve">Muskogee  </t>
  </si>
  <si>
    <t xml:space="preserve">Nowata  </t>
  </si>
  <si>
    <t xml:space="preserve">Okfuskee  </t>
  </si>
  <si>
    <t xml:space="preserve">Oklahoma  </t>
  </si>
  <si>
    <t xml:space="preserve">Okmulgee  </t>
  </si>
  <si>
    <t xml:space="preserve">Payne  </t>
  </si>
  <si>
    <t xml:space="preserve">Pittsburg  </t>
  </si>
  <si>
    <t xml:space="preserve">Pushmataha  </t>
  </si>
  <si>
    <t xml:space="preserve">Roger Mills  </t>
  </si>
  <si>
    <t xml:space="preserve">Rogers  </t>
  </si>
  <si>
    <t xml:space="preserve">Sequoyah  </t>
  </si>
  <si>
    <t xml:space="preserve">Tillman  </t>
  </si>
  <si>
    <t xml:space="preserve">Tulsa  </t>
  </si>
  <si>
    <t xml:space="preserve">Wagoner  </t>
  </si>
  <si>
    <t xml:space="preserve">Washita  </t>
  </si>
  <si>
    <t xml:space="preserve">Woods  </t>
  </si>
  <si>
    <t xml:space="preserve">Woodward  </t>
  </si>
  <si>
    <t xml:space="preserve">Clackamas  </t>
  </si>
  <si>
    <t xml:space="preserve">Clatsop  </t>
  </si>
  <si>
    <t xml:space="preserve">Crook  </t>
  </si>
  <si>
    <t xml:space="preserve">Deschutes  </t>
  </si>
  <si>
    <t xml:space="preserve">Gilliam  </t>
  </si>
  <si>
    <t xml:space="preserve">Harney  </t>
  </si>
  <si>
    <t xml:space="preserve">Hood River  </t>
  </si>
  <si>
    <t xml:space="preserve">Josephine  </t>
  </si>
  <si>
    <t xml:space="preserve">Klamath  </t>
  </si>
  <si>
    <t xml:space="preserve">Malheur  </t>
  </si>
  <si>
    <t xml:space="preserve">Multnomah  </t>
  </si>
  <si>
    <t xml:space="preserve">Tillamook  </t>
  </si>
  <si>
    <t xml:space="preserve">Umatilla  </t>
  </si>
  <si>
    <t xml:space="preserve">Wallowa  </t>
  </si>
  <si>
    <t xml:space="preserve">Wasco  </t>
  </si>
  <si>
    <t xml:space="preserve">Yamhill  </t>
  </si>
  <si>
    <t xml:space="preserve">Allegheny  </t>
  </si>
  <si>
    <t xml:space="preserve">Armstrong  </t>
  </si>
  <si>
    <t xml:space="preserve">Bedford  </t>
  </si>
  <si>
    <t xml:space="preserve">Berks  </t>
  </si>
  <si>
    <t xml:space="preserve">Blair  </t>
  </si>
  <si>
    <t xml:space="preserve">Bucks  </t>
  </si>
  <si>
    <t xml:space="preserve">Cambria  </t>
  </si>
  <si>
    <t xml:space="preserve">Centre  </t>
  </si>
  <si>
    <t xml:space="preserve">Chester  </t>
  </si>
  <si>
    <t xml:space="preserve">Clarion  </t>
  </si>
  <si>
    <t xml:space="preserve">Clearfield  </t>
  </si>
  <si>
    <t xml:space="preserve">Dauphin  </t>
  </si>
  <si>
    <t xml:space="preserve">Forest  </t>
  </si>
  <si>
    <t xml:space="preserve">Huntingdon  </t>
  </si>
  <si>
    <t xml:space="preserve">Indiana  </t>
  </si>
  <si>
    <t xml:space="preserve">Juniata  </t>
  </si>
  <si>
    <t xml:space="preserve">Lackawanna  </t>
  </si>
  <si>
    <t xml:space="preserve">Lebanon  </t>
  </si>
  <si>
    <t xml:space="preserve">Lehigh  </t>
  </si>
  <si>
    <t xml:space="preserve">Luzerne  </t>
  </si>
  <si>
    <t xml:space="preserve">Lycoming  </t>
  </si>
  <si>
    <t xml:space="preserve">Mckean  </t>
  </si>
  <si>
    <t xml:space="preserve">Mifflin  </t>
  </si>
  <si>
    <t xml:space="preserve">Montour  </t>
  </si>
  <si>
    <t xml:space="preserve">Northumberland  </t>
  </si>
  <si>
    <t xml:space="preserve">Philadelphia  </t>
  </si>
  <si>
    <t xml:space="preserve">Potter  </t>
  </si>
  <si>
    <t xml:space="preserve">Schuylkill  </t>
  </si>
  <si>
    <t xml:space="preserve">Snyder  </t>
  </si>
  <si>
    <t xml:space="preserve">Susquehanna  </t>
  </si>
  <si>
    <t xml:space="preserve">Venango  </t>
  </si>
  <si>
    <t xml:space="preserve">Westmoreland  </t>
  </si>
  <si>
    <t xml:space="preserve">Puerto Rico  </t>
  </si>
  <si>
    <t xml:space="preserve">Newport  </t>
  </si>
  <si>
    <t xml:space="preserve">Providence  </t>
  </si>
  <si>
    <t xml:space="preserve">Abbeville  </t>
  </si>
  <si>
    <t xml:space="preserve">Aiken  </t>
  </si>
  <si>
    <t xml:space="preserve">Allendale  </t>
  </si>
  <si>
    <t xml:space="preserve">Bamberg  </t>
  </si>
  <si>
    <t xml:space="preserve">Barnwell  </t>
  </si>
  <si>
    <t xml:space="preserve">Berkeley  </t>
  </si>
  <si>
    <t xml:space="preserve">Charleston  </t>
  </si>
  <si>
    <t xml:space="preserve">Chesterfield  </t>
  </si>
  <si>
    <t xml:space="preserve">Clarendon  </t>
  </si>
  <si>
    <t xml:space="preserve">Colleton  </t>
  </si>
  <si>
    <t xml:space="preserve">Darlington  </t>
  </si>
  <si>
    <t xml:space="preserve">Dillon  </t>
  </si>
  <si>
    <t xml:space="preserve">Edgefield  </t>
  </si>
  <si>
    <t xml:space="preserve">Florence  </t>
  </si>
  <si>
    <t xml:space="preserve">Georgetown  </t>
  </si>
  <si>
    <t xml:space="preserve">Greenville  </t>
  </si>
  <si>
    <t xml:space="preserve">Hampton  </t>
  </si>
  <si>
    <t xml:space="preserve">Horry  </t>
  </si>
  <si>
    <t xml:space="preserve">Kershaw  </t>
  </si>
  <si>
    <t xml:space="preserve">Lexington  </t>
  </si>
  <si>
    <t xml:space="preserve">Marlboro  </t>
  </si>
  <si>
    <t xml:space="preserve">Mccormick  </t>
  </si>
  <si>
    <t xml:space="preserve">Newberry  </t>
  </si>
  <si>
    <t xml:space="preserve">Orangeburg  </t>
  </si>
  <si>
    <t xml:space="preserve">Saluda  </t>
  </si>
  <si>
    <t xml:space="preserve">Spartanburg  </t>
  </si>
  <si>
    <t xml:space="preserve">Williamsburg  </t>
  </si>
  <si>
    <t xml:space="preserve">Aurora  </t>
  </si>
  <si>
    <t xml:space="preserve">Beadle  </t>
  </si>
  <si>
    <t xml:space="preserve">Bennett  </t>
  </si>
  <si>
    <t xml:space="preserve">Bon Homme  </t>
  </si>
  <si>
    <t xml:space="preserve">Brookings  </t>
  </si>
  <si>
    <t xml:space="preserve">Brule  </t>
  </si>
  <si>
    <t xml:space="preserve">Charles Mix  </t>
  </si>
  <si>
    <t xml:space="preserve">Codington  </t>
  </si>
  <si>
    <t xml:space="preserve">Corson  </t>
  </si>
  <si>
    <t xml:space="preserve">Davison  </t>
  </si>
  <si>
    <t xml:space="preserve">Day  </t>
  </si>
  <si>
    <t xml:space="preserve">Edmunds  </t>
  </si>
  <si>
    <t xml:space="preserve">Fall River  </t>
  </si>
  <si>
    <t xml:space="preserve">Faulk  </t>
  </si>
  <si>
    <t xml:space="preserve">Gregory  </t>
  </si>
  <si>
    <t xml:space="preserve">Haakon  </t>
  </si>
  <si>
    <t xml:space="preserve">Hamlin  </t>
  </si>
  <si>
    <t xml:space="preserve">Hand  </t>
  </si>
  <si>
    <t xml:space="preserve">Hanson  </t>
  </si>
  <si>
    <t xml:space="preserve">Hutchinson  </t>
  </si>
  <si>
    <t xml:space="preserve">Jerauld  </t>
  </si>
  <si>
    <t xml:space="preserve">Kingsbury  </t>
  </si>
  <si>
    <t xml:space="preserve">Lyman  </t>
  </si>
  <si>
    <t xml:space="preserve">Mccook  </t>
  </si>
  <si>
    <t xml:space="preserve">Mellette  </t>
  </si>
  <si>
    <t xml:space="preserve">Miner  </t>
  </si>
  <si>
    <t xml:space="preserve">Minnehaha  </t>
  </si>
  <si>
    <t xml:space="preserve">Moody  </t>
  </si>
  <si>
    <t xml:space="preserve">Roberts  </t>
  </si>
  <si>
    <t xml:space="preserve">Sanborn  </t>
  </si>
  <si>
    <t xml:space="preserve">Spink  </t>
  </si>
  <si>
    <t xml:space="preserve">Stanley  </t>
  </si>
  <si>
    <t xml:space="preserve">Sully  </t>
  </si>
  <si>
    <t xml:space="preserve">Tripp  </t>
  </si>
  <si>
    <t xml:space="preserve">Walworth  </t>
  </si>
  <si>
    <t xml:space="preserve">Yankton  </t>
  </si>
  <si>
    <t xml:space="preserve">Ziebach  </t>
  </si>
  <si>
    <t xml:space="preserve">Bledsoe  </t>
  </si>
  <si>
    <t xml:space="preserve">Cannon  </t>
  </si>
  <si>
    <t xml:space="preserve">Cheatham  </t>
  </si>
  <si>
    <t xml:space="preserve">Cocke  </t>
  </si>
  <si>
    <t xml:space="preserve">Crockett  </t>
  </si>
  <si>
    <t xml:space="preserve">Dickson  </t>
  </si>
  <si>
    <t xml:space="preserve">Dyer  </t>
  </si>
  <si>
    <t xml:space="preserve">Fentress  </t>
  </si>
  <si>
    <t xml:space="preserve">Giles  </t>
  </si>
  <si>
    <t xml:space="preserve">Grainger  </t>
  </si>
  <si>
    <t xml:space="preserve">Hamblen  </t>
  </si>
  <si>
    <t xml:space="preserve">Hardeman  </t>
  </si>
  <si>
    <t xml:space="preserve">Hawkins  </t>
  </si>
  <si>
    <t xml:space="preserve">Loudon  </t>
  </si>
  <si>
    <t xml:space="preserve">Maury  </t>
  </si>
  <si>
    <t xml:space="preserve">Mcminn  </t>
  </si>
  <si>
    <t xml:space="preserve">Mcnairy  </t>
  </si>
  <si>
    <t xml:space="preserve">Obion  </t>
  </si>
  <si>
    <t xml:space="preserve">Overton  </t>
  </si>
  <si>
    <t xml:space="preserve">Pickett  </t>
  </si>
  <si>
    <t xml:space="preserve">Rhea  </t>
  </si>
  <si>
    <t xml:space="preserve">Roane  </t>
  </si>
  <si>
    <t xml:space="preserve">Sequatchie  </t>
  </si>
  <si>
    <t xml:space="preserve">Trousdale  </t>
  </si>
  <si>
    <t xml:space="preserve">Unicoi  </t>
  </si>
  <si>
    <t xml:space="preserve">Weakley  </t>
  </si>
  <si>
    <t xml:space="preserve">Andrews  </t>
  </si>
  <si>
    <t xml:space="preserve">Angelina  </t>
  </si>
  <si>
    <t xml:space="preserve">Aransas  </t>
  </si>
  <si>
    <t xml:space="preserve">Archer  </t>
  </si>
  <si>
    <t xml:space="preserve">Atascosa  </t>
  </si>
  <si>
    <t xml:space="preserve">Austin  </t>
  </si>
  <si>
    <t xml:space="preserve">Bailey  </t>
  </si>
  <si>
    <t xml:space="preserve">Bandera  </t>
  </si>
  <si>
    <t xml:space="preserve">Bastrop  </t>
  </si>
  <si>
    <t xml:space="preserve">Baylor  </t>
  </si>
  <si>
    <t xml:space="preserve">Bee  </t>
  </si>
  <si>
    <t xml:space="preserve">Bexar  </t>
  </si>
  <si>
    <t xml:space="preserve">Blanco  </t>
  </si>
  <si>
    <t xml:space="preserve">Borden  </t>
  </si>
  <si>
    <t xml:space="preserve">Bosque  </t>
  </si>
  <si>
    <t xml:space="preserve">Bowie  </t>
  </si>
  <si>
    <t xml:space="preserve">Brazoria  </t>
  </si>
  <si>
    <t xml:space="preserve">Brazos  </t>
  </si>
  <si>
    <t xml:space="preserve">Brewster  </t>
  </si>
  <si>
    <t xml:space="preserve">Briscoe  </t>
  </si>
  <si>
    <t xml:space="preserve">Burleson  </t>
  </si>
  <si>
    <t xml:space="preserve">Burnet  </t>
  </si>
  <si>
    <t xml:space="preserve">Callahan  </t>
  </si>
  <si>
    <t xml:space="preserve">Camp  </t>
  </si>
  <si>
    <t xml:space="preserve">Carson  </t>
  </si>
  <si>
    <t xml:space="preserve">Castro  </t>
  </si>
  <si>
    <t xml:space="preserve">Childress  </t>
  </si>
  <si>
    <t xml:space="preserve">Cochran  </t>
  </si>
  <si>
    <t xml:space="preserve">Coke  </t>
  </si>
  <si>
    <t xml:space="preserve">Coleman  </t>
  </si>
  <si>
    <t xml:space="preserve">Collin  </t>
  </si>
  <si>
    <t xml:space="preserve">Collingsworth  </t>
  </si>
  <si>
    <t xml:space="preserve">Colorado  </t>
  </si>
  <si>
    <t xml:space="preserve">Comal  </t>
  </si>
  <si>
    <t xml:space="preserve">Concho  </t>
  </si>
  <si>
    <t xml:space="preserve">Cooke  </t>
  </si>
  <si>
    <t xml:space="preserve">Coryell  </t>
  </si>
  <si>
    <t xml:space="preserve">Cottle  </t>
  </si>
  <si>
    <t xml:space="preserve">Crane  </t>
  </si>
  <si>
    <t xml:space="preserve">Crosby  </t>
  </si>
  <si>
    <t xml:space="preserve">Culberson  </t>
  </si>
  <si>
    <t xml:space="preserve">Dallam  </t>
  </si>
  <si>
    <t xml:space="preserve">De Witt  </t>
  </si>
  <si>
    <t xml:space="preserve">Deaf Smith  </t>
  </si>
  <si>
    <t xml:space="preserve">Denton  </t>
  </si>
  <si>
    <t xml:space="preserve">Dickens  </t>
  </si>
  <si>
    <t xml:space="preserve">Dimmit  </t>
  </si>
  <si>
    <t xml:space="preserve">Donley  </t>
  </si>
  <si>
    <t xml:space="preserve">Eastland  </t>
  </si>
  <si>
    <t xml:space="preserve">Ector  </t>
  </si>
  <si>
    <t xml:space="preserve">Erath  </t>
  </si>
  <si>
    <t xml:space="preserve">Falls  </t>
  </si>
  <si>
    <t xml:space="preserve">Fisher  </t>
  </si>
  <si>
    <t xml:space="preserve">Foard  </t>
  </si>
  <si>
    <t xml:space="preserve">Fort Bend  </t>
  </si>
  <si>
    <t xml:space="preserve">Freestone  </t>
  </si>
  <si>
    <t xml:space="preserve">Frio  </t>
  </si>
  <si>
    <t xml:space="preserve">Gaines  </t>
  </si>
  <si>
    <t xml:space="preserve">Galveston  </t>
  </si>
  <si>
    <t xml:space="preserve">Garza  </t>
  </si>
  <si>
    <t xml:space="preserve">Gillespie  </t>
  </si>
  <si>
    <t xml:space="preserve">Glasscock  </t>
  </si>
  <si>
    <t xml:space="preserve">Goliad  </t>
  </si>
  <si>
    <t xml:space="preserve">Gonzales  </t>
  </si>
  <si>
    <t xml:space="preserve">Gregg  </t>
  </si>
  <si>
    <t xml:space="preserve">Grimes  </t>
  </si>
  <si>
    <t xml:space="preserve">Hansford  </t>
  </si>
  <si>
    <t xml:space="preserve">Hartley  </t>
  </si>
  <si>
    <t xml:space="preserve">Hays  </t>
  </si>
  <si>
    <t xml:space="preserve">Hemphill  </t>
  </si>
  <si>
    <t xml:space="preserve">Hockley  </t>
  </si>
  <si>
    <t xml:space="preserve">Hood  </t>
  </si>
  <si>
    <t xml:space="preserve">Hudspeth  </t>
  </si>
  <si>
    <t xml:space="preserve">Hunt  </t>
  </si>
  <si>
    <t xml:space="preserve">Irion  </t>
  </si>
  <si>
    <t xml:space="preserve">Jack  </t>
  </si>
  <si>
    <t xml:space="preserve">Jim Hogg  </t>
  </si>
  <si>
    <t xml:space="preserve">Jim Wells  </t>
  </si>
  <si>
    <t xml:space="preserve">Karnes  </t>
  </si>
  <si>
    <t xml:space="preserve">Kaufman  </t>
  </si>
  <si>
    <t xml:space="preserve">Kenedy  </t>
  </si>
  <si>
    <t xml:space="preserve">Kerr  </t>
  </si>
  <si>
    <t xml:space="preserve">Kimble  </t>
  </si>
  <si>
    <t xml:space="preserve">King  </t>
  </si>
  <si>
    <t xml:space="preserve">Kinney  </t>
  </si>
  <si>
    <t xml:space="preserve">Kleberg  </t>
  </si>
  <si>
    <t xml:space="preserve">Lamb  </t>
  </si>
  <si>
    <t xml:space="preserve">Lampasas  </t>
  </si>
  <si>
    <t xml:space="preserve">Lavaca  </t>
  </si>
  <si>
    <t xml:space="preserve">Lipscomb  </t>
  </si>
  <si>
    <t xml:space="preserve">Live Oak  </t>
  </si>
  <si>
    <t xml:space="preserve">Llano  </t>
  </si>
  <si>
    <t xml:space="preserve">Loving  </t>
  </si>
  <si>
    <t xml:space="preserve">Lubbock  </t>
  </si>
  <si>
    <t xml:space="preserve">Lynn  </t>
  </si>
  <si>
    <t xml:space="preserve">Matagorda  </t>
  </si>
  <si>
    <t xml:space="preserve">Maverick  </t>
  </si>
  <si>
    <t xml:space="preserve">Mcculloch  </t>
  </si>
  <si>
    <t xml:space="preserve">Mclennan  </t>
  </si>
  <si>
    <t xml:space="preserve">Mcmullen  </t>
  </si>
  <si>
    <t xml:space="preserve">Milam  </t>
  </si>
  <si>
    <t xml:space="preserve">Montague  </t>
  </si>
  <si>
    <t xml:space="preserve">Motley  </t>
  </si>
  <si>
    <t xml:space="preserve">Nacogdoches  </t>
  </si>
  <si>
    <t xml:space="preserve">Navarro  </t>
  </si>
  <si>
    <t xml:space="preserve">Nolan  </t>
  </si>
  <si>
    <t xml:space="preserve">Nueces  </t>
  </si>
  <si>
    <t xml:space="preserve">Ochiltree  </t>
  </si>
  <si>
    <t xml:space="preserve">Palo Pinto  </t>
  </si>
  <si>
    <t xml:space="preserve">Parker  </t>
  </si>
  <si>
    <t xml:space="preserve">Parmer  </t>
  </si>
  <si>
    <t xml:space="preserve">Pecos  </t>
  </si>
  <si>
    <t xml:space="preserve">Presidio  </t>
  </si>
  <si>
    <t xml:space="preserve">Rains  </t>
  </si>
  <si>
    <t xml:space="preserve">Randall  </t>
  </si>
  <si>
    <t xml:space="preserve">Reagan  </t>
  </si>
  <si>
    <t xml:space="preserve">Real  </t>
  </si>
  <si>
    <t xml:space="preserve">Reeves  </t>
  </si>
  <si>
    <t xml:space="preserve">Refugio  </t>
  </si>
  <si>
    <t xml:space="preserve">Rockwall  </t>
  </si>
  <si>
    <t xml:space="preserve">Runnels  </t>
  </si>
  <si>
    <t xml:space="preserve">Rusk  </t>
  </si>
  <si>
    <t xml:space="preserve">San Augustine  </t>
  </si>
  <si>
    <t xml:space="preserve">San Jacinto  </t>
  </si>
  <si>
    <t xml:space="preserve">San Patricio  </t>
  </si>
  <si>
    <t xml:space="preserve">San Saba  </t>
  </si>
  <si>
    <t xml:space="preserve">Schleicher  </t>
  </si>
  <si>
    <t xml:space="preserve">Scurry  </t>
  </si>
  <si>
    <t xml:space="preserve">Shackelford  </t>
  </si>
  <si>
    <t xml:space="preserve">Somervell  </t>
  </si>
  <si>
    <t xml:space="preserve">Starr  </t>
  </si>
  <si>
    <t xml:space="preserve">Sterling  </t>
  </si>
  <si>
    <t xml:space="preserve">Stonewall  </t>
  </si>
  <si>
    <t xml:space="preserve">Sutton  </t>
  </si>
  <si>
    <t xml:space="preserve">Swisher  </t>
  </si>
  <si>
    <t xml:space="preserve">Tarrant  </t>
  </si>
  <si>
    <t xml:space="preserve">Terry  </t>
  </si>
  <si>
    <t xml:space="preserve">Throckmorton  </t>
  </si>
  <si>
    <t xml:space="preserve">Titus  </t>
  </si>
  <si>
    <t xml:space="preserve">Tom Green  </t>
  </si>
  <si>
    <t xml:space="preserve">Travis  </t>
  </si>
  <si>
    <t xml:space="preserve">Tyler  </t>
  </si>
  <si>
    <t xml:space="preserve">Upshur  </t>
  </si>
  <si>
    <t xml:space="preserve">Upton  </t>
  </si>
  <si>
    <t xml:space="preserve">Uvalde  </t>
  </si>
  <si>
    <t xml:space="preserve">Val Verde  </t>
  </si>
  <si>
    <t xml:space="preserve">Van Zandt  </t>
  </si>
  <si>
    <t xml:space="preserve">Victoria  </t>
  </si>
  <si>
    <t xml:space="preserve">Waller  </t>
  </si>
  <si>
    <t xml:space="preserve">Webb  </t>
  </si>
  <si>
    <t xml:space="preserve">Wharton  </t>
  </si>
  <si>
    <t xml:space="preserve">Wilbarger  </t>
  </si>
  <si>
    <t xml:space="preserve">Willacy  </t>
  </si>
  <si>
    <t xml:space="preserve">Winkler  </t>
  </si>
  <si>
    <t xml:space="preserve">Wise  </t>
  </si>
  <si>
    <t xml:space="preserve">Yoakum  </t>
  </si>
  <si>
    <t xml:space="preserve">Young  </t>
  </si>
  <si>
    <t xml:space="preserve">Zapata  </t>
  </si>
  <si>
    <t xml:space="preserve">Zavala  </t>
  </si>
  <si>
    <t xml:space="preserve">Box Elder  </t>
  </si>
  <si>
    <t xml:space="preserve">Cache  </t>
  </si>
  <si>
    <t xml:space="preserve">Daggett  </t>
  </si>
  <si>
    <t xml:space="preserve">Duchesne  </t>
  </si>
  <si>
    <t xml:space="preserve">Emery  </t>
  </si>
  <si>
    <t xml:space="preserve">Juab  </t>
  </si>
  <si>
    <t xml:space="preserve">Millard  </t>
  </si>
  <si>
    <t xml:space="preserve">Piute  </t>
  </si>
  <si>
    <t xml:space="preserve">Rich  </t>
  </si>
  <si>
    <t xml:space="preserve">Salt Lake  </t>
  </si>
  <si>
    <t xml:space="preserve">Sanpete  </t>
  </si>
  <si>
    <t xml:space="preserve">Tooele  </t>
  </si>
  <si>
    <t xml:space="preserve">Uintah  </t>
  </si>
  <si>
    <t xml:space="preserve">Utah  </t>
  </si>
  <si>
    <t xml:space="preserve">Wasatch  </t>
  </si>
  <si>
    <t xml:space="preserve">Weber  </t>
  </si>
  <si>
    <t xml:space="preserve">Addison  </t>
  </si>
  <si>
    <t xml:space="preserve">Bennington  </t>
  </si>
  <si>
    <t xml:space="preserve">Caledonia  </t>
  </si>
  <si>
    <t xml:space="preserve">Chittenden  </t>
  </si>
  <si>
    <t xml:space="preserve">Grand Isle  </t>
  </si>
  <si>
    <t xml:space="preserve">Lamoille  </t>
  </si>
  <si>
    <t xml:space="preserve">Rutland  </t>
  </si>
  <si>
    <t xml:space="preserve">Windsor  </t>
  </si>
  <si>
    <t xml:space="preserve">Virgin Islands  </t>
  </si>
  <si>
    <t xml:space="preserve">Accomack  </t>
  </si>
  <si>
    <t xml:space="preserve">Albemarle  </t>
  </si>
  <si>
    <t xml:space="preserve">Alexandria City  </t>
  </si>
  <si>
    <t xml:space="preserve">Amelia  </t>
  </si>
  <si>
    <t xml:space="preserve">Amherst  </t>
  </si>
  <si>
    <t xml:space="preserve">Appomattox  </t>
  </si>
  <si>
    <t xml:space="preserve">Arlington  </t>
  </si>
  <si>
    <t xml:space="preserve">Augusta  </t>
  </si>
  <si>
    <t xml:space="preserve">Bland  </t>
  </si>
  <si>
    <t xml:space="preserve">Botetourt  </t>
  </si>
  <si>
    <t xml:space="preserve">Bristol City  </t>
  </si>
  <si>
    <t xml:space="preserve">Buckingham  </t>
  </si>
  <si>
    <t xml:space="preserve">Buena Vista City  </t>
  </si>
  <si>
    <t xml:space="preserve">Charles City  </t>
  </si>
  <si>
    <t xml:space="preserve">Charlottesville City  </t>
  </si>
  <si>
    <t xml:space="preserve">Chesapeake City  </t>
  </si>
  <si>
    <t xml:space="preserve">Colonial Heights City  </t>
  </si>
  <si>
    <t xml:space="preserve">Covington City  </t>
  </si>
  <si>
    <t xml:space="preserve">Culpeper  </t>
  </si>
  <si>
    <t xml:space="preserve">Danville City  </t>
  </si>
  <si>
    <t xml:space="preserve">Dickenson  </t>
  </si>
  <si>
    <t xml:space="preserve">Dinwiddie  </t>
  </si>
  <si>
    <t xml:space="preserve">Fairfax  </t>
  </si>
  <si>
    <t xml:space="preserve">Fairfax City  </t>
  </si>
  <si>
    <t xml:space="preserve">Falls Church City  </t>
  </si>
  <si>
    <t xml:space="preserve">Fauquier  </t>
  </si>
  <si>
    <t xml:space="preserve">Fluvanna  </t>
  </si>
  <si>
    <t xml:space="preserve">Franklin City  </t>
  </si>
  <si>
    <t xml:space="preserve">Fredericksburg City  </t>
  </si>
  <si>
    <t xml:space="preserve">Galax City  </t>
  </si>
  <si>
    <t xml:space="preserve">Goochland  </t>
  </si>
  <si>
    <t xml:space="preserve">Greensville  </t>
  </si>
  <si>
    <t xml:space="preserve">Hampton City  </t>
  </si>
  <si>
    <t xml:space="preserve">Hanover  </t>
  </si>
  <si>
    <t xml:space="preserve">Harrisonburg City  </t>
  </si>
  <si>
    <t xml:space="preserve">Henrico  </t>
  </si>
  <si>
    <t xml:space="preserve">Hopewell City  </t>
  </si>
  <si>
    <t xml:space="preserve">Isle Of Wight  </t>
  </si>
  <si>
    <t xml:space="preserve">James City  </t>
  </si>
  <si>
    <t xml:space="preserve">King And Queen  </t>
  </si>
  <si>
    <t xml:space="preserve">King George  </t>
  </si>
  <si>
    <t xml:space="preserve">King William  </t>
  </si>
  <si>
    <t xml:space="preserve">Lexington City  </t>
  </si>
  <si>
    <t xml:space="preserve">Loudoun  </t>
  </si>
  <si>
    <t xml:space="preserve">Lunenburg  </t>
  </si>
  <si>
    <t xml:space="preserve">Lynchburg City  </t>
  </si>
  <si>
    <t xml:space="preserve">Manassas City  </t>
  </si>
  <si>
    <t xml:space="preserve">Manassas Park City  </t>
  </si>
  <si>
    <t xml:space="preserve">Martinsville City  </t>
  </si>
  <si>
    <t xml:space="preserve">Mathews  </t>
  </si>
  <si>
    <t xml:space="preserve">New Kent  </t>
  </si>
  <si>
    <t xml:space="preserve">Newport News City  </t>
  </si>
  <si>
    <t xml:space="preserve">Norfolk City  </t>
  </si>
  <si>
    <t xml:space="preserve">Norton City  </t>
  </si>
  <si>
    <t xml:space="preserve">Nottoway  </t>
  </si>
  <si>
    <t xml:space="preserve">Patrick  </t>
  </si>
  <si>
    <t xml:space="preserve">Petersburg City  </t>
  </si>
  <si>
    <t xml:space="preserve">Pittsylvania  </t>
  </si>
  <si>
    <t xml:space="preserve">Poquoson City  </t>
  </si>
  <si>
    <t xml:space="preserve">Portsmouth City  </t>
  </si>
  <si>
    <t xml:space="preserve">Powhatan  </t>
  </si>
  <si>
    <t xml:space="preserve">Prince Edward  </t>
  </si>
  <si>
    <t xml:space="preserve">Prince George  </t>
  </si>
  <si>
    <t xml:space="preserve">Prince William  </t>
  </si>
  <si>
    <t xml:space="preserve">Radford  </t>
  </si>
  <si>
    <t xml:space="preserve">Rappahannock  </t>
  </si>
  <si>
    <t xml:space="preserve">Richmond City  </t>
  </si>
  <si>
    <t xml:space="preserve">Roanoke  </t>
  </si>
  <si>
    <t xml:space="preserve">Roanoke City  </t>
  </si>
  <si>
    <t xml:space="preserve">Rockbridge  </t>
  </si>
  <si>
    <t xml:space="preserve">Shenandoah  </t>
  </si>
  <si>
    <t xml:space="preserve">Smyth  </t>
  </si>
  <si>
    <t xml:space="preserve">Southampton  </t>
  </si>
  <si>
    <t xml:space="preserve">Spotsylvania  </t>
  </si>
  <si>
    <t xml:space="preserve">Staunton City  </t>
  </si>
  <si>
    <t xml:space="preserve">Suffolk City  </t>
  </si>
  <si>
    <t xml:space="preserve">Virginia Beach City  </t>
  </si>
  <si>
    <t xml:space="preserve">Waynesboro City  </t>
  </si>
  <si>
    <t xml:space="preserve">Williamsburg City  </t>
  </si>
  <si>
    <t xml:space="preserve">Winchester City  </t>
  </si>
  <si>
    <t xml:space="preserve">Wythe  </t>
  </si>
  <si>
    <t xml:space="preserve">Asotin  </t>
  </si>
  <si>
    <t xml:space="preserve">Chelan  </t>
  </si>
  <si>
    <t xml:space="preserve">Clallam  </t>
  </si>
  <si>
    <t xml:space="preserve">Cowlitz  </t>
  </si>
  <si>
    <t xml:space="preserve">Ferry  </t>
  </si>
  <si>
    <t xml:space="preserve">Grays Harbor  </t>
  </si>
  <si>
    <t xml:space="preserve">Island  </t>
  </si>
  <si>
    <t xml:space="preserve">Kitsap  </t>
  </si>
  <si>
    <t xml:space="preserve">Kittitas  </t>
  </si>
  <si>
    <t xml:space="preserve">Klickitat  </t>
  </si>
  <si>
    <t xml:space="preserve">Okanogan  </t>
  </si>
  <si>
    <t xml:space="preserve">Pacific  </t>
  </si>
  <si>
    <t xml:space="preserve">Pend Oreille  </t>
  </si>
  <si>
    <t xml:space="preserve">Skagit  </t>
  </si>
  <si>
    <t xml:space="preserve">Skamania  </t>
  </si>
  <si>
    <t xml:space="preserve">Snohomish  </t>
  </si>
  <si>
    <t xml:space="preserve">Spokane  </t>
  </si>
  <si>
    <t xml:space="preserve">Wahkiakum  </t>
  </si>
  <si>
    <t xml:space="preserve">Walla Walla  </t>
  </si>
  <si>
    <t xml:space="preserve">Whatcom  </t>
  </si>
  <si>
    <t xml:space="preserve">Whitman  </t>
  </si>
  <si>
    <t xml:space="preserve">Yakima  </t>
  </si>
  <si>
    <t xml:space="preserve">Braxton  </t>
  </si>
  <si>
    <t xml:space="preserve">Brooke  </t>
  </si>
  <si>
    <t xml:space="preserve">Cabell  </t>
  </si>
  <si>
    <t xml:space="preserve">Doddridge  </t>
  </si>
  <si>
    <t xml:space="preserve">Greenbrier  </t>
  </si>
  <si>
    <t xml:space="preserve">Hardy  </t>
  </si>
  <si>
    <t xml:space="preserve">Kanawha  </t>
  </si>
  <si>
    <t xml:space="preserve">Mingo  </t>
  </si>
  <si>
    <t xml:space="preserve">Monongalia  </t>
  </si>
  <si>
    <t xml:space="preserve">Pleasants  </t>
  </si>
  <si>
    <t xml:space="preserve">Preston  </t>
  </si>
  <si>
    <t xml:space="preserve">Raleigh  </t>
  </si>
  <si>
    <t xml:space="preserve">Ritchie  </t>
  </si>
  <si>
    <t xml:space="preserve">Summers  </t>
  </si>
  <si>
    <t xml:space="preserve">Tucker  </t>
  </si>
  <si>
    <t xml:space="preserve">Wetzel  </t>
  </si>
  <si>
    <t xml:space="preserve">Wirt  </t>
  </si>
  <si>
    <t xml:space="preserve">Barron  </t>
  </si>
  <si>
    <t xml:space="preserve">Bayfield  </t>
  </si>
  <si>
    <t xml:space="preserve">Burnett  </t>
  </si>
  <si>
    <t xml:space="preserve">Calumet  </t>
  </si>
  <si>
    <t xml:space="preserve">Dane  </t>
  </si>
  <si>
    <t xml:space="preserve">Door  </t>
  </si>
  <si>
    <t xml:space="preserve">Eau Claire  </t>
  </si>
  <si>
    <t xml:space="preserve">Fond Du Lac  </t>
  </si>
  <si>
    <t xml:space="preserve">Green Lake  </t>
  </si>
  <si>
    <t xml:space="preserve">Kenosha  </t>
  </si>
  <si>
    <t xml:space="preserve">Kewaunee  </t>
  </si>
  <si>
    <t xml:space="preserve">La Crosse  </t>
  </si>
  <si>
    <t xml:space="preserve">Langlade  </t>
  </si>
  <si>
    <t xml:space="preserve">Manitowoc  </t>
  </si>
  <si>
    <t xml:space="preserve">Marathon  </t>
  </si>
  <si>
    <t xml:space="preserve">Marinette  </t>
  </si>
  <si>
    <t xml:space="preserve">Milwaukee  </t>
  </si>
  <si>
    <t xml:space="preserve">Oconto  </t>
  </si>
  <si>
    <t xml:space="preserve">Outagamie  </t>
  </si>
  <si>
    <t xml:space="preserve">Ozaukee  </t>
  </si>
  <si>
    <t xml:space="preserve">Pepin  </t>
  </si>
  <si>
    <t xml:space="preserve">Price  </t>
  </si>
  <si>
    <t xml:space="preserve">Racine  </t>
  </si>
  <si>
    <t xml:space="preserve">Saint Croix  </t>
  </si>
  <si>
    <t xml:space="preserve">Sauk  </t>
  </si>
  <si>
    <t xml:space="preserve">Sawyer  </t>
  </si>
  <si>
    <t xml:space="preserve">Shawano  </t>
  </si>
  <si>
    <t xml:space="preserve">Sheboygan  </t>
  </si>
  <si>
    <t xml:space="preserve">Trempealeau  </t>
  </si>
  <si>
    <t xml:space="preserve">Vilas  </t>
  </si>
  <si>
    <t xml:space="preserve">Washburn  </t>
  </si>
  <si>
    <t xml:space="preserve">Waukesha  </t>
  </si>
  <si>
    <t xml:space="preserve">Waupaca  </t>
  </si>
  <si>
    <t xml:space="preserve">Waushara  </t>
  </si>
  <si>
    <t xml:space="preserve">Converse  </t>
  </si>
  <si>
    <t xml:space="preserve">Goshen  </t>
  </si>
  <si>
    <t xml:space="preserve">Hot Springs  </t>
  </si>
  <si>
    <t xml:space="preserve">Laramie  </t>
  </si>
  <si>
    <t xml:space="preserve">Natrona  </t>
  </si>
  <si>
    <t xml:space="preserve">Niobrara  </t>
  </si>
  <si>
    <t xml:space="preserve">Sublette  </t>
  </si>
  <si>
    <t xml:space="preserve">Sweetwater  </t>
  </si>
  <si>
    <t xml:space="preserve">Uinta  </t>
  </si>
  <si>
    <t xml:space="preserve">Washakie  </t>
  </si>
  <si>
    <t xml:space="preserve">Weston  </t>
  </si>
  <si>
    <t xml:space="preserve">NOTE: For lots in a development, the points for 503.4 may be awarded for the lot when there is a community storm water management plan implemented and the builder does not violate that plan with respect to water leaving the lot. </t>
  </si>
  <si>
    <t>50 to 59%</t>
  </si>
  <si>
    <t>60 to 69%</t>
  </si>
  <si>
    <t>70 to 79%</t>
  </si>
  <si>
    <t>80 to 89%</t>
  </si>
  <si>
    <t>90 to 99%</t>
  </si>
  <si>
    <t>a</t>
  </si>
  <si>
    <t>b</t>
  </si>
  <si>
    <t>c</t>
  </si>
  <si>
    <t>d</t>
  </si>
  <si>
    <t>e</t>
  </si>
  <si>
    <t>f</t>
  </si>
  <si>
    <t>NOTE: List "other" means of installing utilities in the assigned Notes area.</t>
  </si>
  <si>
    <t>Utilities on the lot are installed using one or more alternative means:</t>
  </si>
  <si>
    <t>other.</t>
  </si>
  <si>
    <t>shared utility trenches or easements,</t>
  </si>
  <si>
    <t>use of geomats,</t>
  </si>
  <si>
    <t>use of low ground pressure equipment,</t>
  </si>
  <si>
    <t>use of smaller equipment,</t>
  </si>
  <si>
    <t>tunneling instead of trenching,</t>
  </si>
  <si>
    <t>Ch.6</t>
  </si>
  <si>
    <t>2 story bldg.</t>
  </si>
  <si>
    <t>3 story bldg.</t>
  </si>
  <si>
    <t>4+ story bldg.</t>
  </si>
  <si>
    <t>Ch.7</t>
  </si>
  <si>
    <t>Performance Path</t>
  </si>
  <si>
    <t>Prescriptive Path</t>
  </si>
  <si>
    <t>HERS Index Target</t>
  </si>
  <si>
    <t>Alt. Bronze or Silver</t>
  </si>
  <si>
    <t>Emerald 
Not Available</t>
  </si>
  <si>
    <t>Alt. Bronze</t>
  </si>
  <si>
    <t>Alt. Silver</t>
  </si>
  <si>
    <t>Alternative:</t>
  </si>
  <si>
    <t>Ch. 7 Max</t>
  </si>
  <si>
    <t xml:space="preserve">Multifamily Building Note: Modeling is completed building-wide using one of the following methods: whole building energy modeling, a unit-by-unit approach, or a building average of a unit-by-unit approach.  </t>
  </si>
  <si>
    <t>Exception: Section 703.1.1 is not required for Tropical Climate Zone.</t>
  </si>
  <si>
    <t>For SI: 12 inches = 304.8 mm</t>
  </si>
  <si>
    <t>&gt;70</t>
  </si>
  <si>
    <t>&gt;41 and ≤70</t>
  </si>
  <si>
    <t>≤40</t>
  </si>
  <si>
    <t>Rake Overhang (Inches)</t>
  </si>
  <si>
    <t>Eave Overhang (Inches)</t>
  </si>
  <si>
    <t>Inches of Rainfall (1)</t>
  </si>
  <si>
    <t>Minimum Roof Overhang for One- &amp; Two-Story Buildings</t>
  </si>
  <si>
    <t>Table 602.1.12</t>
  </si>
  <si>
    <t>more than 75%</t>
  </si>
  <si>
    <t>50% to less than 75%</t>
  </si>
  <si>
    <t>25% to less than 50%</t>
  </si>
  <si>
    <t>Points For 2 Major</t>
  </si>
  <si>
    <t>Points For 2 Minor</t>
  </si>
  <si>
    <t>Recycled Content</t>
  </si>
  <si>
    <t>Table 604.1</t>
  </si>
  <si>
    <t>POINTS</t>
  </si>
  <si>
    <t>5 Impact Measures</t>
  </si>
  <si>
    <t>4 Impact Measures</t>
  </si>
  <si>
    <t>Product LCA</t>
  </si>
  <si>
    <t>Table 610.1.2.1</t>
  </si>
  <si>
    <t>4 types</t>
  </si>
  <si>
    <t>3 types</t>
  </si>
  <si>
    <t>2 types</t>
  </si>
  <si>
    <t>Building Assembly LCA</t>
  </si>
  <si>
    <t>Table 610.1.2.2</t>
  </si>
  <si>
    <t>Figure 6(2): Average Annual Precipitation</t>
  </si>
  <si>
    <t>Source:</t>
  </si>
  <si>
    <t>www.nationalatlas.gov</t>
  </si>
  <si>
    <t>Source: 2006 International Residential Code. International Code Council, Inc., Country Club Hill, Illinois. Reproduced with permission. All rights reserved.</t>
  </si>
  <si>
    <t>www.iccsafe.org</t>
  </si>
  <si>
    <t>Figure 6(3): Termite Infestation Probability Map</t>
  </si>
  <si>
    <t>back to 602.1.5</t>
  </si>
  <si>
    <t>back to 602.1.6</t>
  </si>
  <si>
    <t>See Figure 6(3)</t>
  </si>
  <si>
    <t>back to 602.1.12</t>
  </si>
  <si>
    <t>See Table 602.1.12</t>
  </si>
  <si>
    <t>Figure 6(2)</t>
  </si>
  <si>
    <t>(1) Annual mean total rainfall in inches is in accordance with:</t>
  </si>
  <si>
    <t>Met</t>
  </si>
  <si>
    <t>Not Met</t>
  </si>
  <si>
    <t>N/A</t>
  </si>
  <si>
    <t>a concrete slab over 6 mil polyethylene sheeting. Or other Class I vapor retarder installed in accordance with Section 408.3 or Section 506 of the International Residential Code</t>
  </si>
  <si>
    <t>6 mil polyethylene sheeting, or other Class I vapor retarder installed in accordance with Section 408.3 or Section 506 of the International Residential Code</t>
  </si>
  <si>
    <t>None to slight</t>
  </si>
  <si>
    <t>Slight to Moderate</t>
  </si>
  <si>
    <t>Moderate to heavy</t>
  </si>
  <si>
    <t>Very heavy</t>
  </si>
  <si>
    <t>1 exterior door</t>
  </si>
  <si>
    <t>2 exterior door</t>
  </si>
  <si>
    <t>3+ exterior door</t>
  </si>
  <si>
    <t>Note: The pedestrian door protected in a garage leading to living space does not qualify for points.</t>
  </si>
  <si>
    <t>back to Table 602.1.12</t>
  </si>
  <si>
    <t>NOTE: Indicate in the assigned Notes area what salvage materials were sorted for reuse.</t>
  </si>
  <si>
    <t>1
12 Max</t>
  </si>
  <si>
    <t>NOTE: Describe materials used in the assigned Notes area. Materials, elements, or components awarded points under Section 603.1 shall not be awarded points under Section 603.2.</t>
  </si>
  <si>
    <t>1
9 Max</t>
  </si>
  <si>
    <t>(Points awarded per 1% of salvaged materials used based on the total construction cost.)</t>
  </si>
  <si>
    <t>Material Percentage
Recycled Content</t>
  </si>
  <si>
    <t>per Table
604.1</t>
  </si>
  <si>
    <t>First Minor Comp.:</t>
  </si>
  <si>
    <t>Second Minor Comp.:</t>
  </si>
  <si>
    <t>Second Major Comp.:</t>
  </si>
  <si>
    <t>First Major Comp.:</t>
  </si>
  <si>
    <t>See Table 604.1</t>
  </si>
  <si>
    <t>back to 604.1</t>
  </si>
  <si>
    <t>NOTE: In the assigned Notes area, list materials used for minor and/or major building components.</t>
  </si>
  <si>
    <t>Enter material percent recycled content.</t>
  </si>
  <si>
    <t>wood</t>
  </si>
  <si>
    <t>cardboard</t>
  </si>
  <si>
    <t>metals</t>
  </si>
  <si>
    <t>drywall</t>
  </si>
  <si>
    <t>plastic</t>
  </si>
  <si>
    <t>asphalt roofing shingles</t>
  </si>
  <si>
    <t>concrete</t>
  </si>
  <si>
    <t>other</t>
  </si>
  <si>
    <t>NOTE: List "other" types of materials recycled in the assigned Notes area.</t>
  </si>
  <si>
    <t>more than .5%</t>
  </si>
  <si>
    <t>more than 1%</t>
  </si>
  <si>
    <t>1
2 Max</t>
  </si>
  <si>
    <t>NGBS Green Certified Product (GCP)</t>
  </si>
  <si>
    <t>Program(s):</t>
  </si>
  <si>
    <t>Note: Please list products and components in the Notes fields</t>
  </si>
  <si>
    <t>1 material</t>
  </si>
  <si>
    <t>2 materials</t>
  </si>
  <si>
    <t>3+ materials</t>
  </si>
  <si>
    <t>Note: Please list materials in the Notes field</t>
  </si>
  <si>
    <t>9 Max
3 per material</t>
  </si>
  <si>
    <t>1 product</t>
  </si>
  <si>
    <t>2 products</t>
  </si>
  <si>
    <t>3+ products</t>
  </si>
  <si>
    <t>NOTE: In the assigned Notes area, describe the types of products that comply with 608.1.</t>
  </si>
  <si>
    <t>10 Max
2 per each major comp. 
and 
1 per each minor comp.</t>
  </si>
  <si>
    <t># of major components:</t>
  </si>
  <si>
    <t># of minor components:</t>
  </si>
  <si>
    <t>1 component</t>
  </si>
  <si>
    <t>2 components</t>
  </si>
  <si>
    <t>3 components</t>
  </si>
  <si>
    <t>4 components</t>
  </si>
  <si>
    <t>5 components</t>
  </si>
  <si>
    <t>6 components</t>
  </si>
  <si>
    <t>7 components</t>
  </si>
  <si>
    <t>8 components</t>
  </si>
  <si>
    <t>9 components</t>
  </si>
  <si>
    <t>10+ components</t>
  </si>
  <si>
    <t>5+ components</t>
  </si>
  <si>
    <t>NOTE: In the assigned Notes areas, list major and minor materials used that comply with 609.1.</t>
  </si>
  <si>
    <t>For a component to comply with this practice, a minimum of 75% of all products in that component category must be sourced regionally, e.g., stone veneer category – 75 percent or more of the stone veneer on a project must be sourced regionally.</t>
  </si>
  <si>
    <t>NOTE: List products/systems compared &amp; impact measures considered in the assigned Notes area.</t>
  </si>
  <si>
    <t># of comparisons with 
5 measures:</t>
  </si>
  <si>
    <t># of comparisons with 
4 measures:</t>
  </si>
  <si>
    <t>1 comparison</t>
  </si>
  <si>
    <t>2 comparisons</t>
  </si>
  <si>
    <t>3 comparisons</t>
  </si>
  <si>
    <t>4 comparisons</t>
  </si>
  <si>
    <t>5+ comparisons</t>
  </si>
  <si>
    <t>NOTE: List assemblies compared &amp; impact measures considered in the assigned Notes area.</t>
  </si>
  <si>
    <t>4 impact measures</t>
  </si>
  <si>
    <t>5+ impact measures</t>
  </si>
  <si>
    <t>exterior walls:</t>
  </si>
  <si>
    <t>roof/ceiling:</t>
  </si>
  <si>
    <t>int. walls or ceilings:</t>
  </si>
  <si>
    <t>intermediate floors:</t>
  </si>
  <si>
    <t>per Table 610.1.2.1
10 Max</t>
  </si>
  <si>
    <t>per Table 610.1.2.2
10 Max</t>
  </si>
  <si>
    <t>back to 610.1.2.1</t>
  </si>
  <si>
    <t>back to 610.1.2.2</t>
  </si>
  <si>
    <t>1%+</t>
  </si>
  <si>
    <t>2%+</t>
  </si>
  <si>
    <t>3%+</t>
  </si>
  <si>
    <t>4%+</t>
  </si>
  <si>
    <t>5%+</t>
  </si>
  <si>
    <t>6%+</t>
  </si>
  <si>
    <t>7%+</t>
  </si>
  <si>
    <t>8%+</t>
  </si>
  <si>
    <t>9%+</t>
  </si>
  <si>
    <t>10%+</t>
  </si>
  <si>
    <t xml:space="preserve">NOTE: In the assigned Notes area, list products that comply with 610.1, manufacturers, and ISO registrars. </t>
  </si>
  <si>
    <t># of products:</t>
  </si>
  <si>
    <t># of products (not effective number):</t>
  </si>
  <si>
    <t>NOTE: List products in the assigned Notes area.</t>
  </si>
  <si>
    <t>END OF CHAPTER 6</t>
  </si>
  <si>
    <t>CLICK TO PROCEED TO CHAPTER 7 &gt;&gt;</t>
  </si>
  <si>
    <t>602.0</t>
  </si>
  <si>
    <t>602.1.2</t>
  </si>
  <si>
    <t>901 POLLUTANT SORCE CONTROL</t>
  </si>
  <si>
    <r>
      <t>901.0 Intent.</t>
    </r>
    <r>
      <rPr>
        <sz val="10"/>
        <color theme="1"/>
        <rFont val="Calibri"/>
        <family val="2"/>
        <scheme val="minor"/>
      </rPr>
      <t xml:space="preserve"> Pollutant sources are controlled.</t>
    </r>
  </si>
  <si>
    <t>901.1 Space and water heating options</t>
  </si>
  <si>
    <t>901.1.1</t>
  </si>
  <si>
    <r>
      <t>901.1.1</t>
    </r>
    <r>
      <rPr>
        <sz val="10"/>
        <color theme="1"/>
        <rFont val="Calibri"/>
        <family val="2"/>
        <scheme val="minor"/>
      </rPr>
      <t xml:space="preserve"> Natural draft furnaces, boilers, or water heaters are not located in conditioned spaces, including conditioned crawlspaces, unless located in a mechanical room that has an outdoor air source and is sealed and insulated to separate it from the conditioned space(s). </t>
    </r>
  </si>
  <si>
    <t>901.1.2</t>
  </si>
  <si>
    <r>
      <t xml:space="preserve">901.1.2 </t>
    </r>
    <r>
      <rPr>
        <sz val="10"/>
        <color theme="1"/>
        <rFont val="Calibri"/>
        <family val="2"/>
        <scheme val="minor"/>
      </rPr>
      <t xml:space="preserve">Air handling equipment or return ducts are not located in the garage, unless placed in isolated, air-sealed mechanical rooms with an outside air source. </t>
    </r>
  </si>
  <si>
    <t>901.1.3</t>
  </si>
  <si>
    <r>
      <t>901.1.3</t>
    </r>
    <r>
      <rPr>
        <sz val="10"/>
        <color theme="1"/>
        <rFont val="Calibri"/>
        <family val="2"/>
        <scheme val="minor"/>
      </rPr>
      <t xml:space="preserve"> The following combustion space heating or water heating equipment is installed within conditioned space:</t>
    </r>
  </si>
  <si>
    <t>all furnaces or all boilers</t>
  </si>
  <si>
    <t>power vent furnace(s) or boiler(s)</t>
  </si>
  <si>
    <t>direct vent furnace(s) or boiler(s)</t>
  </si>
  <si>
    <t>all water heaters</t>
  </si>
  <si>
    <t>power vent water heater(s)</t>
  </si>
  <si>
    <t>direct vent water heater(s)</t>
  </si>
  <si>
    <t>901.1.4</t>
  </si>
  <si>
    <r>
      <t xml:space="preserve">901.1.4 </t>
    </r>
    <r>
      <rPr>
        <sz val="10"/>
        <color theme="1"/>
        <rFont val="Calibri"/>
        <family val="2"/>
        <scheme val="minor"/>
      </rPr>
      <t>Gas-fired fireplaces and direct heating equipment is listed and is installed in accordance with the NFPA 54, ICC IFGC, or the applicable local gas appliance installation code. Gas-fired fireplaces within dwelling units and direct heating equipment are vented to the outdoors.</t>
    </r>
  </si>
  <si>
    <t>901.1.5</t>
  </si>
  <si>
    <r>
      <t xml:space="preserve">901.1.5 </t>
    </r>
    <r>
      <rPr>
        <sz val="10"/>
        <color theme="1"/>
        <rFont val="Calibri"/>
        <family val="2"/>
        <scheme val="minor"/>
      </rPr>
      <t>Natural gas and propane fireplaces are direct vented, have permanently fixed glass fronts or gasketed doors, and comply with CSA Z21.88/CSA 2.33 or CSA Z21.50b/CSA 2.22b.</t>
    </r>
  </si>
  <si>
    <t>901.1.6</t>
  </si>
  <si>
    <r>
      <t xml:space="preserve">901.1.6 </t>
    </r>
    <r>
      <rPr>
        <sz val="10"/>
        <color theme="1"/>
        <rFont val="Calibri"/>
        <family val="2"/>
        <scheme val="minor"/>
      </rPr>
      <t>The following electric equipment is installed:</t>
    </r>
  </si>
  <si>
    <t>heat pump air handler in unconditioned space</t>
  </si>
  <si>
    <t>heat pump air handler in conditioned space</t>
  </si>
  <si>
    <t>901.2 Solid fuel-burning appliances</t>
  </si>
  <si>
    <t>901.2.1</t>
  </si>
  <si>
    <r>
      <t>901.2.1</t>
    </r>
    <r>
      <rPr>
        <sz val="10"/>
        <color theme="1"/>
        <rFont val="Calibri"/>
        <family val="2"/>
        <scheme val="minor"/>
      </rPr>
      <t xml:space="preserve"> Solid fuel-burning fireplaces, inserts, stoves and heaters are code compliant and are in accordance with the following requirements: </t>
    </r>
  </si>
  <si>
    <t>Site-built masonry wood-burning fireplaces use outside combustion air and include a means of sealing the flue and the combustion air outlets to minimize interior air (heat) loss when not in operation.</t>
  </si>
  <si>
    <t xml:space="preserve">Factory-built, wood-burning fireplaces are in accordance with the certification requirements of UL 127 and are EPA certified or Phase 2 Qualified. </t>
  </si>
  <si>
    <t xml:space="preserve">Wood stove and fireplace inserts, as defined in UL 1482 Section 3.8, are in accordance with the certification requirements of UL 1482 and are in accordance with the emission requirements of the EPA Certification and the State of Washington WAC 173-433-100(3). </t>
  </si>
  <si>
    <t>Pellet (biomass) stoves and furnaces are in accordance with ASTM E1509 or are EPA certified.</t>
  </si>
  <si>
    <t xml:space="preserve">Masonry heaters are in accordance with the definitions in ASTM E1602 and ICC IBC Section 2112.1. </t>
  </si>
  <si>
    <t>901.2.2</t>
  </si>
  <si>
    <r>
      <t>901.2.2</t>
    </r>
    <r>
      <rPr>
        <sz val="10"/>
        <color theme="1"/>
        <rFont val="Calibri"/>
        <family val="2"/>
      </rPr>
      <t xml:space="preserve"> Fireplaces, woodstoves, pellet stoves, or masonry heaters are not installed. </t>
    </r>
  </si>
  <si>
    <r>
      <t>901.3 Garages.</t>
    </r>
    <r>
      <rPr>
        <sz val="10"/>
        <color theme="1"/>
        <rFont val="Calibri"/>
        <family val="2"/>
        <scheme val="minor"/>
      </rPr>
      <t xml:space="preserve"> Garages are in accordance with the following:</t>
    </r>
  </si>
  <si>
    <t>Attached garage</t>
  </si>
  <si>
    <t>Doors installed in the common wall between the attached garage and conditioned space are tightly sealed and gasketed.</t>
  </si>
  <si>
    <t xml:space="preserve">A continuous air barrier is provided separating the garage space from the conditioned living spaces. </t>
  </si>
  <si>
    <t>For one- and two-family dwelling units, a 100 cfm (47 L/s) or greater ducted or 70 cfm (33 L/s) cfm or greater unducted wall exhaust fan is installed and vented to the outdoors and is designed and installed for continuous operation or has controls (e.g., motion detectors, pressure switches) that activate operation for a minimum of 1 hour when either human passage door or roll-up automatic doors are operated. For ducted exhaust fans, the fan airflow rating and duct sizing are in accordance with Appendix A.</t>
  </si>
  <si>
    <t>A carport is installed, the garage is detached from the building, or no garage is installed.</t>
  </si>
  <si>
    <r>
      <rPr>
        <b/>
        <sz val="10"/>
        <color theme="1"/>
        <rFont val="Calibri"/>
        <family val="2"/>
        <scheme val="minor"/>
      </rPr>
      <t>901.4</t>
    </r>
    <r>
      <rPr>
        <sz val="10"/>
        <color theme="1"/>
        <rFont val="Calibri"/>
        <family val="2"/>
        <scheme val="minor"/>
      </rPr>
      <t xml:space="preserve"> Wood materials. A minimum of 85 percent of material within a product group (i.e., wood structural panels, countertops, composite trim/doors, custom woodwork, and/or component closet shelving) is manufactured in accordance with the following:</t>
    </r>
  </si>
  <si>
    <t>Structural plywood used for floor, wall, and/or roof sheathing is compliant with DOC PS 1 and/or DOC PS 2. OSB used for floor, wall, and/or roof sheathing is compliant with DOC PS 2. The panels are made with moisture-resistant adhesives. The trademark indicates these adhesives as follows: Exposure 1 or Exterior for plywood, and Exposure 1 for OSB.</t>
  </si>
  <si>
    <t>Particleboard and MDF (medium density fiberboard) is manufactured and labeled in accordance with CPA A208.1 and CPA A208.2, respectively.</t>
  </si>
  <si>
    <t>Hardwood plywood in accordance with HPVA HP-1.</t>
  </si>
  <si>
    <t>Particleboard, MDF, or hardwood plywood is in accordance with CPA 4.</t>
  </si>
  <si>
    <r>
      <t xml:space="preserve">Composite wood or agrifiber panel products contain no added urea-formaldehyde or are in accordance with the CARB </t>
    </r>
    <r>
      <rPr>
        <i/>
        <sz val="10"/>
        <color theme="1"/>
        <rFont val="Calibri"/>
        <family val="2"/>
        <scheme val="minor"/>
      </rPr>
      <t>Composite Wood Air Toxic Contaminant Measure Standard</t>
    </r>
    <r>
      <rPr>
        <sz val="10"/>
        <color theme="1"/>
        <rFont val="Calibri"/>
        <family val="2"/>
        <scheme val="minor"/>
      </rPr>
      <t>.</t>
    </r>
  </si>
  <si>
    <t>Non-emitting products.</t>
  </si>
  <si>
    <r>
      <t>901.5</t>
    </r>
    <r>
      <rPr>
        <sz val="10"/>
        <color theme="1"/>
        <rFont val="Calibri"/>
        <family val="2"/>
        <scheme val="minor"/>
      </rPr>
      <t xml:space="preserve"> </t>
    </r>
    <r>
      <rPr>
        <b/>
        <sz val="10"/>
        <color theme="1"/>
        <rFont val="Calibri"/>
        <family val="2"/>
        <scheme val="minor"/>
      </rPr>
      <t>Cabinets.</t>
    </r>
    <r>
      <rPr>
        <sz val="10"/>
        <color theme="1"/>
        <rFont val="Calibri"/>
        <family val="2"/>
        <scheme val="minor"/>
      </rPr>
      <t xml:space="preserve"> A minimum of 85 percent of installed cabinets are in accordance with one or both of the following: </t>
    </r>
  </si>
  <si>
    <t>(Where both of the following practices are used, only 3 points are awarded.)</t>
  </si>
  <si>
    <t>All parts of the cabinet are made of solid wood or non-formaldehyde emitting materials such as metal or glass.</t>
  </si>
  <si>
    <r>
      <t xml:space="preserve">The composite wood used in wood cabinets is in accordance with CARB </t>
    </r>
    <r>
      <rPr>
        <i/>
        <sz val="10"/>
        <color theme="1"/>
        <rFont val="Calibri"/>
        <family val="2"/>
        <scheme val="minor"/>
      </rPr>
      <t>Composite Wood Air Toxic Contaminant Measure Standard</t>
    </r>
    <r>
      <rPr>
        <sz val="10"/>
        <color theme="1"/>
        <rFont val="Calibri"/>
        <family val="2"/>
        <scheme val="minor"/>
      </rPr>
      <t xml:space="preserve"> or equivalent as certified by a third-party program such as, but not limited to, those in Appendix D.</t>
    </r>
  </si>
  <si>
    <r>
      <t>901.6 Carpets.</t>
    </r>
    <r>
      <rPr>
        <sz val="10"/>
        <color theme="1"/>
        <rFont val="Calibri"/>
        <family val="2"/>
        <scheme val="minor"/>
      </rPr>
      <t xml:space="preserve"> Wall-to-wall carpeting is not installed adjacent to water closets and bathing fixtures.</t>
    </r>
  </si>
  <si>
    <r>
      <t>901.7</t>
    </r>
    <r>
      <rPr>
        <sz val="10"/>
        <color theme="1"/>
        <rFont val="Calibri"/>
        <family val="2"/>
        <scheme val="minor"/>
      </rPr>
      <t xml:space="preserve"> </t>
    </r>
    <r>
      <rPr>
        <b/>
        <sz val="10"/>
        <color theme="1"/>
        <rFont val="Calibri"/>
        <family val="2"/>
        <scheme val="minor"/>
      </rPr>
      <t>Floor materials.</t>
    </r>
    <r>
      <rPr>
        <sz val="10"/>
        <color theme="1"/>
        <rFont val="Calibri"/>
        <family val="2"/>
        <scheme val="minor"/>
      </rPr>
      <t xml:space="preserve"> The following types of finished flooring materials are used.  The materials have emission levels in accordance with CDPH/EHLB Standard Method v1.1. Product is tested by a laboratory with the CDPH/EHLB Standard Method v1.1 within the laboratory scope of accreditation to ISO/IEC 17025 and certified by a third-party program accredited to ISO 17065, such as, but not limited to, those in Appendix D. </t>
    </r>
  </si>
  <si>
    <t>(Points are awarded for every 10% of conditioned floor space using one of the below materials.)</t>
  </si>
  <si>
    <t>Hard surface flooring: Prefinished installed hard-surface flooring is installed. Where post-manufacture coatings or surface applications have not been applied, the following hard surface flooring types are deemed to comply with the emission requirements of this practice:</t>
  </si>
  <si>
    <t>Ceramic tile flooring</t>
  </si>
  <si>
    <t>Organic-free, mineral-based flooring</t>
  </si>
  <si>
    <t>Clay masonry flooring</t>
  </si>
  <si>
    <t>Concrete masonry flooring</t>
  </si>
  <si>
    <t>Concrete flooring</t>
  </si>
  <si>
    <t>Metal flooring</t>
  </si>
  <si>
    <t>(When carpet cushion meeting the emission limits of the practice is also installed, the percentage of compliant carpet area is calculated at 1.33 times the actual installed area.)</t>
  </si>
  <si>
    <r>
      <t>901.8</t>
    </r>
    <r>
      <rPr>
        <sz val="10"/>
        <color theme="1"/>
        <rFont val="Calibri"/>
        <family val="2"/>
        <scheme val="minor"/>
      </rPr>
      <t xml:space="preserve"> </t>
    </r>
    <r>
      <rPr>
        <b/>
        <sz val="10"/>
        <color theme="1"/>
        <rFont val="Calibri"/>
        <family val="2"/>
        <scheme val="minor"/>
      </rPr>
      <t>Wall coverings.</t>
    </r>
    <r>
      <rPr>
        <sz val="10"/>
        <color theme="1"/>
        <rFont val="Calibri"/>
        <family val="2"/>
        <scheme val="minor"/>
      </rPr>
      <t xml:space="preserve"> A minimum of 10 percent of the interior wall surfaces are covered and a minimum of 85 percent of wall coverings are in accordance with the emission concentration limits of CDPH/EHLB Standard Method v1.1. Emission levels are determined by a laboratory accredited to ISO/IEC 17025 and the CDPH/EHLB Standard Method v1.1 is in its scope. The product is certified by a third-party program accredited to ISO 17065, such as, but not limited to, those in Appendix D.</t>
    </r>
  </si>
  <si>
    <r>
      <t>901.9 Interior architectural coatings.</t>
    </r>
    <r>
      <rPr>
        <sz val="10"/>
        <color theme="1"/>
        <rFont val="Calibri"/>
        <family val="2"/>
        <scheme val="minor"/>
      </rPr>
      <t xml:space="preserve"> A minimum of 85 percent of the interior architectural coatings are in accordance with either Section 901.9.1 or Section 901.9.3, not both. A minimum of 85 percent of architectural colorants are in accordance with Section 901.9.2.</t>
    </r>
  </si>
  <si>
    <t>901.9.1</t>
  </si>
  <si>
    <r>
      <t>901.9.1</t>
    </r>
    <r>
      <rPr>
        <sz val="10"/>
        <color theme="1"/>
        <rFont val="Calibri"/>
        <family val="2"/>
        <scheme val="minor"/>
      </rPr>
      <t xml:space="preserve"> Site-applied interior architectural coatings, which are inside the water proofing envelope, are in accordance with one or more of the following:</t>
    </r>
  </si>
  <si>
    <t>Zero VOC as determined by EPA Method 24 (VOC content is below the detection limit for the method)</t>
  </si>
  <si>
    <t>GreenSeal GS-11</t>
  </si>
  <si>
    <r>
      <t xml:space="preserve">CARB </t>
    </r>
    <r>
      <rPr>
        <i/>
        <sz val="10"/>
        <color theme="1"/>
        <rFont val="Calibri"/>
        <family val="2"/>
        <scheme val="minor"/>
      </rPr>
      <t>Suggested Control Measure for Architectural Coatings</t>
    </r>
    <r>
      <rPr>
        <sz val="10"/>
        <color theme="1"/>
        <rFont val="Calibri"/>
        <family val="2"/>
        <scheme val="minor"/>
      </rPr>
      <t xml:space="preserve"> (see Table 901.9.1).</t>
    </r>
  </si>
  <si>
    <t>901.9.2</t>
  </si>
  <si>
    <r>
      <t>901.9.2</t>
    </r>
    <r>
      <rPr>
        <sz val="10"/>
        <color theme="1"/>
        <rFont val="Calibri"/>
        <family val="2"/>
        <scheme val="minor"/>
      </rPr>
      <t xml:space="preserve"> Architectural coating colorant additive VOC content is in accordance with Table 901.9.2.</t>
    </r>
  </si>
  <si>
    <t>(Points for 901.9.2 are awarded only if base architectural coating is in accordance with 901.9.1.)</t>
  </si>
  <si>
    <t>901.9.3</t>
  </si>
  <si>
    <r>
      <t>901.9.3</t>
    </r>
    <r>
      <rPr>
        <sz val="10"/>
        <color theme="1"/>
        <rFont val="Calibri"/>
        <family val="2"/>
        <scheme val="minor"/>
      </rPr>
      <t xml:space="preserve"> Site-applied interior architectural coatings, which are inside the waterproofing envelope, are in accordance with the emission levels of CDPH/EHLB Standard Method v1.1. Emission levels are determined by a laboratory accredited to ISO/IEC 17025 and the CDPH/EHLB Standard Method v1.1 in its scope of accreditation. The product is certified by a third-party program accredited to ISO 17065, such as, but not limited to, those found in Appendix D. </t>
    </r>
  </si>
  <si>
    <r>
      <t>901.10 Interior adhesives and sealants.</t>
    </r>
    <r>
      <rPr>
        <sz val="10"/>
        <color theme="1"/>
        <rFont val="Calibri"/>
        <family val="2"/>
        <scheme val="minor"/>
      </rPr>
      <t xml:space="preserve"> A minimum of 85 percent of site-applied adhesives and sealants located inside the waterproofing envelope are in accordance with one of the following, as applicable.</t>
    </r>
  </si>
  <si>
    <t xml:space="preserve">The emission levels are in accordance with CDPH/EHLB Standard Method v1.1. Emission levels are determined by a laboratory accredited to ISO/IEC 17025 and the CDPH/EHLB Standard Method v1.1 is in its scope of accreditation. The product is certified by a third-party program accredited to ISO 17065, such as, but not limited to, those found in Appendix D. </t>
  </si>
  <si>
    <t>GreenSeal GS-36.</t>
  </si>
  <si>
    <t>SCAQMD Rule 1168 in accordance with Table 901.10(3), excluding products that are sold in 16 ounce containers or less and are regulated by the California Air Resources Board (CARB) Consumer Products Regulations.</t>
  </si>
  <si>
    <r>
      <t>901.11</t>
    </r>
    <r>
      <rPr>
        <sz val="10"/>
        <color theme="1"/>
        <rFont val="Calibri"/>
        <family val="2"/>
        <scheme val="minor"/>
      </rPr>
      <t xml:space="preserve"> </t>
    </r>
    <r>
      <rPr>
        <b/>
        <sz val="10"/>
        <color theme="1"/>
        <rFont val="Calibri"/>
        <family val="2"/>
        <scheme val="minor"/>
      </rPr>
      <t>Insulation.</t>
    </r>
    <r>
      <rPr>
        <sz val="10"/>
        <color theme="1"/>
        <rFont val="Calibri"/>
        <family val="2"/>
        <scheme val="minor"/>
      </rPr>
      <t xml:space="preserve"> Emissions of 85 percent of wall, ceiling, and floor insulation materials are in accordance with the emission levels of CDPH/EHLB Standard Method v1.1. Emission levels are determined by a laboratory accredited to ISO/IEC 17025 and the CDPH/EHLB Standard Method v1.1 is in its scope of accreditation. Insulation is certified by a third-party program accredited to ISO 17065, such as, but not limited to, those in Appendix D. </t>
    </r>
  </si>
  <si>
    <r>
      <t>901.12 Carbon monoxide (CO) alarms.</t>
    </r>
    <r>
      <rPr>
        <sz val="10"/>
        <color theme="1"/>
        <rFont val="Calibri"/>
        <family val="2"/>
        <scheme val="minor"/>
      </rPr>
      <t xml:space="preserve"> A carbon monoxide (CO) alarm is provided in accordance with the IRC Section R315.</t>
    </r>
  </si>
  <si>
    <r>
      <t>901.13 Building entrance pollutants control.</t>
    </r>
    <r>
      <rPr>
        <sz val="10"/>
        <color theme="1"/>
        <rFont val="Calibri"/>
        <family val="2"/>
        <scheme val="minor"/>
      </rPr>
      <t xml:space="preserve"> Pollutants are controlled at all main building entrances by one of the following methods: </t>
    </r>
  </si>
  <si>
    <t>Exterior grilles or mats are installed in a fixed manner and may be removable for cleaning.</t>
  </si>
  <si>
    <t>Interior grilles or mats are installed in a fixed manner and may be removable for cleaning.</t>
  </si>
  <si>
    <r>
      <t>901.14 Non-smoking areas.</t>
    </r>
    <r>
      <rPr>
        <sz val="10"/>
        <color theme="1"/>
        <rFont val="Calibri"/>
        <family val="2"/>
        <scheme val="minor"/>
      </rPr>
      <t xml:space="preserve"> Environmental tobacco smoke is minimized by one or more of the following:</t>
    </r>
  </si>
  <si>
    <t>All interior common areas of a multifamily building are designated as non-smoking areas with posted signage.</t>
  </si>
  <si>
    <t>Exterior smoking areas of a multifamily building are designated with posted signage and located a minimum of 25 feet from entries, outdoor air intakes, and operable windows.</t>
  </si>
  <si>
    <t>902 POLLUTANT CONTROL</t>
  </si>
  <si>
    <r>
      <t>902.0 Intent.</t>
    </r>
    <r>
      <rPr>
        <sz val="10"/>
        <color theme="1"/>
        <rFont val="Calibri"/>
        <family val="2"/>
        <scheme val="minor"/>
      </rPr>
      <t xml:space="preserve"> Pollutants generated in the building are controlled.</t>
    </r>
  </si>
  <si>
    <t>902.1 Spot ventilation.</t>
  </si>
  <si>
    <t xml:space="preserve">Bathrooms are vented to the outdoors. The minimum ventilation rate is 50 cfm (23.6 L/s) for intermittent operation or 20 cfm (9.4 L/s) for continuous operation in bathrooms. </t>
  </si>
  <si>
    <t xml:space="preserve">Clothes dryers (except listed and labeled condensing ductless dryers) are vented to the outdoors. </t>
  </si>
  <si>
    <t xml:space="preserve">Kitchen exhaust units and/or range hoods are ducted to the outdoors and have a minimum ventilation rate of 100 cfm (47.2 L/s) for intermittent operation or 25 cfm (11.8 L/s) for continuous operation. </t>
  </si>
  <si>
    <t>902.1.2</t>
  </si>
  <si>
    <r>
      <t>902.1.2</t>
    </r>
    <r>
      <rPr>
        <sz val="10"/>
        <color theme="1"/>
        <rFont val="Calibri"/>
        <family val="2"/>
        <scheme val="minor"/>
      </rPr>
      <t xml:space="preserve"> Bathroom and/or laundry exhaust fan is provided with an automatic timer and/or humidistat:</t>
    </r>
  </si>
  <si>
    <t>11 Max</t>
  </si>
  <si>
    <t>for first device</t>
  </si>
  <si>
    <t>for each additional device</t>
  </si>
  <si>
    <t>902.1.3</t>
  </si>
  <si>
    <r>
      <t>902.1.3</t>
    </r>
    <r>
      <rPr>
        <sz val="10"/>
        <color theme="1"/>
        <rFont val="Calibri"/>
        <family val="2"/>
        <scheme val="minor"/>
      </rPr>
      <t xml:space="preserve"> Kitchen range, bathroom, and laundry exhaust are verified to air flow specification. Ventilation airflow at the point of exhaust is tested to a minimum of:</t>
    </r>
  </si>
  <si>
    <t>100 cfm (47.2 L/s) intermittent or 25 cfm (11.8 L/s) continuous for kitchens, and</t>
  </si>
  <si>
    <t>50 cfm (23.6 L/s) intermittent or 20 cfm (9.4 L/s) continuous for bathrooms and/or laundry</t>
  </si>
  <si>
    <t>902.1.4</t>
  </si>
  <si>
    <r>
      <t xml:space="preserve">902.1.4 </t>
    </r>
    <r>
      <rPr>
        <sz val="10"/>
        <color theme="1"/>
        <rFont val="Calibri"/>
        <family val="2"/>
        <scheme val="minor"/>
      </rPr>
      <t xml:space="preserve">Exhaust fans are ENERGY STAR, as applicable. </t>
    </r>
  </si>
  <si>
    <t>(Points awarded per fan.)</t>
  </si>
  <si>
    <t>ENERGY STAR, or equivalent, fans operating at or below 1 sone</t>
  </si>
  <si>
    <t>902.1.5</t>
  </si>
  <si>
    <r>
      <t xml:space="preserve">902.1.5 </t>
    </r>
    <r>
      <rPr>
        <sz val="10"/>
        <color theme="1"/>
        <rFont val="Calibri"/>
        <family val="2"/>
        <scheme val="minor"/>
      </rPr>
      <t>Fenestration in spaces other than those identified in 902.1.1 through 902.1.4 are  designed for stack effect or cross-ventilation in accordance with all of the following:</t>
    </r>
  </si>
  <si>
    <t>Operable windows, operable skylights, or sliding glass doors with a total area of at least 15 percent of the conditioned floor area are provided.</t>
  </si>
  <si>
    <t>Insect screens are provided for all operable windows, operable skylights, and sliding glass doors.</t>
  </si>
  <si>
    <t xml:space="preserve">A minimum of two operable windows or sliding glass doors are placed in adjacent or opposite walls. If there is only one wall surface in that space exposed to the exterior, the minimum windows or sliding glass doors may be on the same wall.  </t>
  </si>
  <si>
    <t>902.2 Building ventilation systems.</t>
  </si>
  <si>
    <t>exhaust or supply fan(s) ready for continuous operation and with appropriately labeled controls</t>
  </si>
  <si>
    <t>balanced exhaust and supply fans with supply intakes located in accordance with the manufacturer’s guidelines so as to not introduce polluted air back into the building</t>
  </si>
  <si>
    <t>heat-recovery ventilator</t>
  </si>
  <si>
    <t>energy-recovery ventilator</t>
  </si>
  <si>
    <t>902.2.2</t>
  </si>
  <si>
    <r>
      <t>902.2.2</t>
    </r>
    <r>
      <rPr>
        <sz val="10"/>
        <color theme="1"/>
        <rFont val="Calibri"/>
        <family val="2"/>
        <scheme val="minor"/>
      </rPr>
      <t xml:space="preserve"> Ventilation airflow is tested to achieve the design fan airflow at point of exhaust in accordance with Section 902.2.1</t>
    </r>
  </si>
  <si>
    <t>902.2.3</t>
  </si>
  <si>
    <r>
      <t>902.2.3</t>
    </r>
    <r>
      <rPr>
        <sz val="10"/>
        <color theme="1"/>
        <rFont val="Calibri"/>
        <family val="2"/>
        <scheme val="minor"/>
      </rPr>
      <t xml:space="preserve"> MERV filters 8 to 13 are installed on central forced air systems and are accessible. Designer or installer is to verify that the HVAC equipment is able to accommodate the greater pressure drop of MERV 8 to 13 filters.</t>
    </r>
  </si>
  <si>
    <t>902.2.4</t>
  </si>
  <si>
    <r>
      <t xml:space="preserve">902.2.4 </t>
    </r>
    <r>
      <rPr>
        <sz val="10"/>
        <color theme="1"/>
        <rFont val="Calibri"/>
        <family val="2"/>
        <scheme val="minor"/>
      </rPr>
      <t>MERV filters 14 or greater are installed on central forced air systems and are accessible. Designer or installer is to verify that the HVAC equipment is able to accommodate the greater pressure drop of the filter used.</t>
    </r>
  </si>
  <si>
    <r>
      <t>902.3 Radon control.</t>
    </r>
    <r>
      <rPr>
        <sz val="10"/>
        <color theme="1"/>
        <rFont val="Calibri"/>
        <family val="2"/>
        <scheme val="minor"/>
      </rPr>
      <t xml:space="preserve"> Radon control measures are in accordance with ICC IRC Appendix F. Zones as defined in Figure 9(1). </t>
    </r>
  </si>
  <si>
    <t>Buildings located in Zone 1</t>
  </si>
  <si>
    <t>a passive radon system is installed</t>
  </si>
  <si>
    <r>
      <t>an active radon system</t>
    </r>
    <r>
      <rPr>
        <b/>
        <sz val="10"/>
        <color theme="1"/>
        <rFont val="Calibri"/>
        <family val="2"/>
        <scheme val="minor"/>
      </rPr>
      <t xml:space="preserve"> </t>
    </r>
    <r>
      <rPr>
        <sz val="10"/>
        <color theme="1"/>
        <rFont val="Calibri"/>
        <family val="2"/>
        <scheme val="minor"/>
      </rPr>
      <t>is installed</t>
    </r>
  </si>
  <si>
    <t>Buildings located in Zone 2 or Zone 3</t>
  </si>
  <si>
    <t>a passive or active radon system is installed</t>
  </si>
  <si>
    <r>
      <t>902.4 HVAC system protection.</t>
    </r>
    <r>
      <rPr>
        <sz val="10"/>
        <color theme="1"/>
        <rFont val="Calibri"/>
        <family val="2"/>
        <scheme val="minor"/>
      </rPr>
      <t xml:space="preserve"> One of the following HVAC system protection measures is performed. </t>
    </r>
  </si>
  <si>
    <t>HVAC supply registers (boots), return grilles, and rough-ins are covered during construction activities to prevent dust and other pollutants from entering the system.</t>
  </si>
  <si>
    <t>Prior to owner occupancy, HVAC supply registers (boots), return grilles, and duct terminations are inspected and vacuumed. In addition, the coils are inspected and cleaned and the filter is replaced if necessary.</t>
  </si>
  <si>
    <r>
      <t>902.5 Central vacuum systems.</t>
    </r>
    <r>
      <rPr>
        <sz val="10"/>
        <color theme="1"/>
        <rFont val="Calibri"/>
        <family val="2"/>
        <scheme val="minor"/>
      </rPr>
      <t xml:space="preserve"> Central vacuum system is installed and vented to the outside.</t>
    </r>
  </si>
  <si>
    <r>
      <t>902.6 Living space contaminants.</t>
    </r>
    <r>
      <rPr>
        <sz val="10"/>
        <color theme="1"/>
        <rFont val="Calibri"/>
        <family val="2"/>
        <scheme val="minor"/>
      </rPr>
      <t xml:space="preserve"> The living space is sealed in accordance with Section 701.4.3.1 to prevent unwanted contaminants.</t>
    </r>
  </si>
  <si>
    <t>903 MOISTURE MANAGEMENT: VAPOR, RAINWATER, PLUMBING, HVAC</t>
  </si>
  <si>
    <r>
      <t>903.0 Intent.</t>
    </r>
    <r>
      <rPr>
        <sz val="10"/>
        <color theme="1"/>
        <rFont val="Calibri"/>
        <family val="2"/>
        <scheme val="minor"/>
      </rPr>
      <t xml:space="preserve"> Moisture and moisture effects are controlled.</t>
    </r>
  </si>
  <si>
    <t>903.1.1</t>
  </si>
  <si>
    <t>903.1.2</t>
  </si>
  <si>
    <r>
      <t>903.2 Duct insulation.</t>
    </r>
    <r>
      <rPr>
        <sz val="10"/>
        <color theme="1"/>
        <rFont val="Calibri"/>
        <family val="2"/>
        <scheme val="minor"/>
      </rPr>
      <t xml:space="preserve"> Ducts are in accordance with one of the following.</t>
    </r>
  </si>
  <si>
    <t>All HVAC ducts, plenums, and trunks are located in conditioned space.</t>
  </si>
  <si>
    <t>All HVAC ducts, plenums, and trunks are in conditioned space. All HVAC ducts are insulated to a minimum of R4.</t>
  </si>
  <si>
    <t>additional dehumidification system(s)</t>
  </si>
  <si>
    <t>central HVAC system equipped with additional controls to operate in dehumidification mode</t>
  </si>
  <si>
    <t xml:space="preserve">904 INDOOR AIR QUALITY </t>
  </si>
  <si>
    <r>
      <t xml:space="preserve">904.0 Intent. </t>
    </r>
    <r>
      <rPr>
        <sz val="10"/>
        <color theme="1"/>
        <rFont val="Calibri"/>
        <family val="2"/>
        <scheme val="minor"/>
      </rPr>
      <t>IAQ is protected by best practices to control ventilation, moisture, pollutant sources and sanitation.</t>
    </r>
  </si>
  <si>
    <r>
      <t>904.1</t>
    </r>
    <r>
      <rPr>
        <sz val="10"/>
        <color theme="1"/>
        <rFont val="Calibri"/>
        <family val="2"/>
        <scheme val="minor"/>
      </rPr>
      <t xml:space="preserve"> </t>
    </r>
    <r>
      <rPr>
        <b/>
        <sz val="10"/>
        <color theme="1"/>
        <rFont val="Calibri"/>
        <family val="2"/>
        <scheme val="minor"/>
      </rPr>
      <t>Indoor Air Quality (IAQ) During Construction.</t>
    </r>
    <r>
      <rPr>
        <sz val="10"/>
        <color theme="1"/>
        <rFont val="Calibri"/>
        <family val="2"/>
        <scheme val="minor"/>
      </rPr>
      <t xml:space="preserve"> Wood is dry before close-in (602.1.7.1(3)), materials comply with emission criteria (901.4- 901.11), sources of water infiltration or condensation observed during construction have been eliminated, accessible interior surfaces are dry and free of visible suspect growth (per ASTM D7338-10 section 6.3), and water damage (per ASTM D7338-10 section 7.4.3).</t>
    </r>
  </si>
  <si>
    <r>
      <t>904.2</t>
    </r>
    <r>
      <rPr>
        <sz val="10"/>
        <color theme="1"/>
        <rFont val="Calibri"/>
        <family val="2"/>
        <scheme val="minor"/>
      </rPr>
      <t xml:space="preserve"> </t>
    </r>
    <r>
      <rPr>
        <b/>
        <sz val="10"/>
        <color theme="1"/>
        <rFont val="Calibri"/>
        <family val="2"/>
        <scheme val="minor"/>
      </rPr>
      <t xml:space="preserve">Indoor Air Quality (IAQ) Post Completion. </t>
    </r>
    <r>
      <rPr>
        <sz val="10"/>
        <color theme="1"/>
        <rFont val="Calibri"/>
        <family val="2"/>
        <scheme val="minor"/>
      </rPr>
      <t>Verify there are no moisture, mold, and dust issues per 602.1.7.1(3), 901.4-901.11, ASTM D7338 Section 6.3, and ASTM D7338 Section 7.4.3.</t>
    </r>
  </si>
  <si>
    <t>905 INNOVATIVE PRACTICES</t>
  </si>
  <si>
    <r>
      <t>905.1 Humidity monitoring system.</t>
    </r>
    <r>
      <rPr>
        <sz val="10"/>
        <color theme="1"/>
        <rFont val="Calibri"/>
        <family val="2"/>
        <scheme val="minor"/>
      </rPr>
      <t xml:space="preserve"> A humidity monitoring system is installed with a mobile base unit that displays readings of temperature and relative humidity. The system has a minimum of two remote sensor units. One remote sensor unit is placed permanently inside the conditioned space in a central location, excluding attachment to exterior walls, and another remote sensor unit is placed permanently outside of the conditioned space.</t>
    </r>
  </si>
  <si>
    <r>
      <t>905.2 Kitchen exhaust.</t>
    </r>
    <r>
      <rPr>
        <sz val="10"/>
        <color theme="1"/>
        <rFont val="Calibri"/>
        <family val="2"/>
        <scheme val="minor"/>
      </rPr>
      <t xml:space="preserve"> A kitchen exhaust unit(s) that equals or exceeds 400 cfm (189 L/s) is installed, and makeup air is provided.</t>
    </r>
  </si>
  <si>
    <r>
      <t>1001.0 Intent.</t>
    </r>
    <r>
      <rPr>
        <sz val="10"/>
        <color theme="1"/>
        <rFont val="Calibri"/>
        <family val="2"/>
        <scheme val="minor"/>
      </rPr>
      <t xml:space="preserve"> Information on the building’s use, maintenance, and green components is provided. </t>
    </r>
  </si>
  <si>
    <r>
      <t>1001.1</t>
    </r>
    <r>
      <rPr>
        <sz val="10"/>
        <color theme="1"/>
        <rFont val="Calibri"/>
        <family val="2"/>
        <scheme val="minor"/>
      </rPr>
      <t xml:space="preserve"> A homeowner’s manual is provided and stored in a permanent location in the dwelling that includes the following, as available and applicable.</t>
    </r>
  </si>
  <si>
    <t>A National Green Building Standard certificate with weblink and  completion document.</t>
  </si>
  <si>
    <t>List of green building features (can include the national green building checklist).</t>
  </si>
  <si>
    <t>Product manufacturer’s manuals or product data sheet for installed major equipment, fixtures, and appliances. If product data sheet is in the building owners’ manual, manufacturer’s manual may be attached to the appliance in lieu of inclusion in the building owners’ manual.</t>
  </si>
  <si>
    <t>Maintenance checklist.</t>
  </si>
  <si>
    <t>Information on local recycling and composting programs.</t>
  </si>
  <si>
    <t>Information on available local utility programs that purchase a portion of energy from renewable energy providers.</t>
  </si>
  <si>
    <t>Explanation of the benefits of using energy-efficient lighting systems [e.g., compact fluorescent light bulbs, light emitting diode (LED)] in high-usage areas.</t>
  </si>
  <si>
    <t>A list of practices to conserve water and energy.</t>
  </si>
  <si>
    <t>Information on the importance and operation of the home's fresh air ventilation system.</t>
  </si>
  <si>
    <t>Local public transportation options.</t>
  </si>
  <si>
    <t>A diagram showing the location of safety valves and controls for major building systems.</t>
  </si>
  <si>
    <t>Where frost-protected shallow foundations are used, owner is informed of precautions including:</t>
  </si>
  <si>
    <t>instructions to not remove or damage insulation when modifying landscaping.</t>
  </si>
  <si>
    <t>providing heat to the building as required by the ICC IRC or IBC.</t>
  </si>
  <si>
    <t>keeping base materials beneath and around the building free from moisture caused by broken water pipes or other water sources.</t>
  </si>
  <si>
    <t>(13)</t>
  </si>
  <si>
    <t>A list of local service providers that offer regularly scheduled service and maintenance contracts to ensure proper performance of equipment and the structure (e.g., HVAC, water-heating equipment, sealants, caulks, gutter and downspout system, shower and/or tub surrounds, irrigation system).</t>
  </si>
  <si>
    <t>(14)</t>
  </si>
  <si>
    <t>A photo record of framing with utilities installed. Photos are taken prior to installing insulation, clearly labeled, and included as part of the building owners’ manual.</t>
  </si>
  <si>
    <t>(15)</t>
  </si>
  <si>
    <t>List of common hazardous materials often used around the building and instructions for proper handling and disposal of these materials.</t>
  </si>
  <si>
    <t>(16)</t>
  </si>
  <si>
    <t>Information on organic pest control, fertilizers, deicers, and cleaning products.</t>
  </si>
  <si>
    <t>(17)</t>
  </si>
  <si>
    <t>Information on native landscape materials and/or those that have low water requirements.</t>
  </si>
  <si>
    <t>(18)</t>
  </si>
  <si>
    <t>Information on methods of maintaining the building’s relative humidity in the range of 30 percent to 60 percent.</t>
  </si>
  <si>
    <t>(19)</t>
  </si>
  <si>
    <t>Instructions for inspecting the building for termite infestation.</t>
  </si>
  <si>
    <t>(20)</t>
  </si>
  <si>
    <t>Instructions for maintaining gutters and downspouts and importance of diverting water a minimum of 5 feet away from foundation.</t>
  </si>
  <si>
    <t>(21)</t>
  </si>
  <si>
    <t>A narrative detailing the importance of maintenance and operation in retaining the attributes of a green-built building.</t>
  </si>
  <si>
    <t>(22)</t>
  </si>
  <si>
    <t>Where stormwater management measures are installed on the lot, information on the location, purpose, and upkeep of these measures.</t>
  </si>
  <si>
    <t>(23)</t>
  </si>
  <si>
    <t>Explanation of and benefits from green cleaning in the home.</t>
  </si>
  <si>
    <t>(24)</t>
  </si>
  <si>
    <t>Retrofit energy calculator that provides baseline for future energy retrofits.</t>
  </si>
  <si>
    <r>
      <t>1001. 2</t>
    </r>
    <r>
      <rPr>
        <sz val="10"/>
        <color theme="1"/>
        <rFont val="Calibri"/>
        <family val="2"/>
        <scheme val="minor"/>
      </rPr>
      <t xml:space="preserve"> </t>
    </r>
    <r>
      <rPr>
        <b/>
        <sz val="10"/>
        <color theme="1"/>
        <rFont val="Calibri"/>
        <family val="2"/>
        <scheme val="minor"/>
      </rPr>
      <t>Training of initial homeowners.</t>
    </r>
    <r>
      <rPr>
        <sz val="10"/>
        <color theme="1"/>
        <rFont val="Calibri"/>
        <family val="2"/>
        <scheme val="minor"/>
      </rPr>
      <t xml:space="preserve"> Initial homeowners are familiarized with the role of occupants in achieving green goals. Training is provided to the responsible party(ies) regarding equipment operation and maintenance, control systems, and occupant actions that will improve the environmental performance of the building. These include:</t>
    </r>
  </si>
  <si>
    <t>HVAC filters.</t>
  </si>
  <si>
    <t>Thermostat operation and programming.</t>
  </si>
  <si>
    <t>Lighting controls.</t>
  </si>
  <si>
    <t>Appliances operation.</t>
  </si>
  <si>
    <t>Water heater settings and hot water use.</t>
  </si>
  <si>
    <t>Fan controls.</t>
  </si>
  <si>
    <t>Recycling and composting practices.</t>
  </si>
  <si>
    <t>1002 CONSTRUCTION, OPERATION, AND MAINTENANCE MANUALS AND TRAINING FOR MULTI-UNIT BUILDINGS</t>
  </si>
  <si>
    <r>
      <t>1002.0 Intent.</t>
    </r>
    <r>
      <rPr>
        <sz val="10"/>
        <color theme="1"/>
        <rFont val="Calibri"/>
        <family val="2"/>
        <scheme val="minor"/>
      </rPr>
      <t xml:space="preserve"> Manuals are provided to the responsible parties (owner, management, tenant, and/or maintenance team) regarding the construction, operation, and maintenance of the building. Paper or digital format manuals are to include information regarding those aspects of the building’s construction, maintenance, and operation that are within the area of responsibilities of the respective recipient. One or more responsible parties are to receive a copy of all documentation for archival purposes.</t>
    </r>
  </si>
  <si>
    <t>A narrative detailing the importance of constructing a green building, including a list of green building attributes included in the building. This narrative is included in all responsible parties’ manuals.</t>
  </si>
  <si>
    <r>
      <t xml:space="preserve">A local green building program certificate as well as a copy of the </t>
    </r>
    <r>
      <rPr>
        <i/>
        <sz val="10"/>
        <color theme="1"/>
        <rFont val="Calibri"/>
        <family val="2"/>
        <scheme val="minor"/>
      </rPr>
      <t>National Green Building Standard</t>
    </r>
    <r>
      <rPr>
        <i/>
        <vertAlign val="superscript"/>
        <sz val="10"/>
        <color theme="1"/>
        <rFont val="Calibri"/>
        <family val="2"/>
        <scheme val="minor"/>
      </rPr>
      <t>TM</t>
    </r>
    <r>
      <rPr>
        <sz val="10"/>
        <color theme="1"/>
        <rFont val="Calibri"/>
        <family val="2"/>
        <scheme val="minor"/>
      </rPr>
      <t>, as adopted by the Adopting Entity, and the individual measures achieved by the building.</t>
    </r>
  </si>
  <si>
    <t>Warranty, operation, and maintenance instructions for all equipment, fixtures, appliances, and finishes.</t>
  </si>
  <si>
    <t>Record drawings of the building.</t>
  </si>
  <si>
    <t>A record drawing of the site including stormwater management plans, utility lines, landscaping with common name and genus/species of plantings.</t>
  </si>
  <si>
    <t>A list of the type and wattage of light bulbs installed in light fixtures.</t>
  </si>
  <si>
    <t>A photo record of framing with utilities installed. Photos are taken prior to installing insulation and clearly labeled.</t>
  </si>
  <si>
    <t>A narrative detailing the importance of operating and living in a green building. This narrative is included in all responsible parties’ manuals.</t>
  </si>
  <si>
    <t>A list of practices to conserve water and energy (e.g., turning off lights when not in use, switching the rotation of ceiling fans in changing seasons, purchasing ENERGY STAR appliances and electronics).</t>
  </si>
  <si>
    <t>Information on opportunities to purchase renewable energy from local utilities or national green power providers and information on utility and tax incentives for the installation of on-site renewable energy systems.</t>
  </si>
  <si>
    <t>Information on local and on-site recycling and hazardous waste disposal programs and, if applicable, building recycling and hazardous waste handling and disposal procedures.</t>
  </si>
  <si>
    <t>Explanation of the benefits of using compact fluorescent light bulbs, LEDs, or other high-efficiency lighting.</t>
  </si>
  <si>
    <t>Information on the radon mitigation system, where applicable.</t>
  </si>
  <si>
    <t>A procedure for educating tenants in rental properties on the proper use, benefits, and maintenance of green building systems including a maintenance staff notification process for improperly functioning equipment.</t>
  </si>
  <si>
    <t>Information on the importance and operation of the building’s fresh air ventilation system.</t>
  </si>
  <si>
    <t>A narrative detailing the importance of maintaining a green building. This narrative is included in all responsible parties’ manuals.</t>
  </si>
  <si>
    <t>User-friendly maintenance checklist that includes:</t>
  </si>
  <si>
    <t>HVAC filters</t>
  </si>
  <si>
    <t>thermostat operation and programming</t>
  </si>
  <si>
    <t>lighting controls</t>
  </si>
  <si>
    <t>appliances and settings</t>
  </si>
  <si>
    <t>water heater settings</t>
  </si>
  <si>
    <t>fan controls</t>
  </si>
  <si>
    <t>Instructions for maintaining gutters and downspouts and the importance of diverting water a minimum of 5 feet away from foundation.</t>
  </si>
  <si>
    <t>A procedure for rental tenant occupancy turnover that preserves the green features.</t>
  </si>
  <si>
    <t>An outline of a formal green building training program for maintenance staff.</t>
  </si>
  <si>
    <t>A green cleaning plan which includes guidance on sustainable cleaning products.</t>
  </si>
  <si>
    <r>
      <t>1002.4 Training of building owners.</t>
    </r>
    <r>
      <rPr>
        <sz val="10"/>
        <color theme="1"/>
        <rFont val="Calibri"/>
        <family val="2"/>
        <scheme val="minor"/>
      </rPr>
      <t xml:space="preserve"> Building owners are familiarized with the role of occupants in achieving green goals. On-site training is provided to the responsible party(ies) regarding equipment operation and maintenance, control systems, and occupant actions that will improve the environmental performance of the building. These include:</t>
    </r>
  </si>
  <si>
    <t>appliances operation</t>
  </si>
  <si>
    <t>water heater settings and hot water use</t>
  </si>
  <si>
    <t>recycling and composting practices</t>
  </si>
  <si>
    <t xml:space="preserve">1003 PUBLIC EDUCATION </t>
  </si>
  <si>
    <r>
      <t xml:space="preserve">1003.0 </t>
    </r>
    <r>
      <rPr>
        <sz val="10"/>
        <color theme="1"/>
        <rFont val="Calibri"/>
        <family val="2"/>
        <scheme val="minor"/>
      </rPr>
      <t xml:space="preserve"> </t>
    </r>
    <r>
      <rPr>
        <b/>
        <sz val="10"/>
        <color theme="1"/>
        <rFont val="Calibri"/>
        <family val="2"/>
        <scheme val="minor"/>
      </rPr>
      <t xml:space="preserve">Intent. </t>
    </r>
    <r>
      <rPr>
        <sz val="10"/>
        <color theme="1"/>
        <rFont val="Calibri"/>
        <family val="2"/>
        <scheme val="minor"/>
      </rPr>
      <t>Increase public awareness of the National Green Building Standard and projects constructed in accordance with National Green Building Standard to help increase demand for high-performance homes.</t>
    </r>
  </si>
  <si>
    <r>
      <t xml:space="preserve">1003.1 Public Education. </t>
    </r>
    <r>
      <rPr>
        <sz val="10"/>
        <color theme="1"/>
        <rFont val="Calibri"/>
        <family val="2"/>
        <scheme val="minor"/>
      </rPr>
      <t>One or more of the following is implemented:</t>
    </r>
  </si>
  <si>
    <t>2 Max</t>
  </si>
  <si>
    <r>
      <t>Signage.</t>
    </r>
    <r>
      <rPr>
        <sz val="10"/>
        <color theme="1"/>
        <rFont val="Calibri"/>
        <family val="2"/>
        <scheme val="minor"/>
      </rPr>
      <t xml:space="preserve"> Signs showing the project is designed and built in accordance with the National Green Building Standard are posted on the construction site.</t>
    </r>
  </si>
  <si>
    <r>
      <t xml:space="preserve">Certification Plaques. </t>
    </r>
    <r>
      <rPr>
        <sz val="10"/>
        <color theme="1"/>
        <rFont val="Calibri"/>
        <family val="2"/>
        <scheme val="minor"/>
      </rPr>
      <t>National Green Building Standard certification plaques with rating level attainted are placed in a conspicuous location near the utility area of the home or, in a conspicuous location near the main entrance of a multifamily building.</t>
    </r>
  </si>
  <si>
    <r>
      <t xml:space="preserve">Education. </t>
    </r>
    <r>
      <rPr>
        <sz val="10"/>
        <color theme="1"/>
        <rFont val="Calibri"/>
        <family val="2"/>
        <scheme val="minor"/>
      </rPr>
      <t>A URL for the National Green Building Standard is included on site signage, builder website (or property website for multifamily buildings), and marketing materials for homes certified under the National Green Building Standard.</t>
    </r>
  </si>
  <si>
    <t>1004 POST OCCUPANCY PERFORMANCE ASSESSMENT</t>
  </si>
  <si>
    <r>
      <t xml:space="preserve">1004.0 Intent. </t>
    </r>
    <r>
      <rPr>
        <sz val="10"/>
        <color theme="1"/>
        <rFont val="Calibri"/>
        <family val="2"/>
        <scheme val="minor"/>
      </rPr>
      <t>A verification system for post occupancy assessment of the building is intended to be a management tool for the building owner to determine if energy or water usage have deviated from expected levels so that inspection and correction action can be taken.</t>
    </r>
  </si>
  <si>
    <r>
      <t xml:space="preserve">1004.1 </t>
    </r>
    <r>
      <rPr>
        <sz val="10"/>
        <color theme="1"/>
        <rFont val="Calibri"/>
        <family val="2"/>
        <scheme val="minor"/>
      </rPr>
      <t>A verification system plan is provided in the building owner’s manual (Sections 1001 or 1002).  The verification system provides methods for demonstrating continued energy and water savings that are determined from the building’s initial year of occupancy of water and energy consumption as compared to annualized consumption at least every four years.</t>
    </r>
    <r>
      <rPr>
        <b/>
        <sz val="10"/>
        <color theme="1"/>
        <rFont val="Calibri"/>
        <family val="2"/>
        <scheme val="minor"/>
      </rPr>
      <t xml:space="preserve">  </t>
    </r>
  </si>
  <si>
    <t>Verification plan is developed top monitor post-occupancy energy and water use and is provided in the building owner’s manual.</t>
  </si>
  <si>
    <t>Verification system is installed in the building to monitor post-occupancy energy and water use.</t>
  </si>
  <si>
    <r>
      <t xml:space="preserve"> </t>
    </r>
    <r>
      <rPr>
        <b/>
        <sz val="10"/>
        <color theme="1"/>
        <rFont val="Calibri"/>
        <family val="2"/>
      </rPr>
      <t>(Points awarded per two items. Points awarded for non-mandatory items.)</t>
    </r>
  </si>
  <si>
    <t>1001 HOMEOWNER’S MANUAL AND TRAINING GUIDELINES FOR ONE- AND TWO-FAMILY DWELLINGS</t>
  </si>
  <si>
    <t>(Points awarded per two items. Points awarded for non-mandatory items.)</t>
  </si>
  <si>
    <t>1
8 Max</t>
  </si>
  <si>
    <r>
      <t xml:space="preserve">1002.1 Building construction manual. </t>
    </r>
    <r>
      <rPr>
        <sz val="10"/>
        <color theme="1"/>
        <rFont val="Calibri"/>
        <family val="2"/>
        <scheme val="minor"/>
      </rPr>
      <t xml:space="preserve">A building construction manual, including </t>
    </r>
    <r>
      <rPr>
        <sz val="10"/>
        <color rgb="FFFF0000"/>
        <rFont val="Calibri"/>
        <family val="2"/>
        <scheme val="minor"/>
      </rPr>
      <t>five or more</t>
    </r>
    <r>
      <rPr>
        <sz val="10"/>
        <color theme="1"/>
        <rFont val="Calibri"/>
        <family val="2"/>
        <scheme val="minor"/>
      </rPr>
      <t xml:space="preserve"> of the following, is compiled and distributed in accordance with Section 1002.0.</t>
    </r>
  </si>
  <si>
    <r>
      <t xml:space="preserve">1002.2 Operations manual. </t>
    </r>
    <r>
      <rPr>
        <sz val="10"/>
        <color theme="1"/>
        <rFont val="Calibri"/>
        <family val="2"/>
        <scheme val="minor"/>
      </rPr>
      <t xml:space="preserve">Operations manuals are created and distributed to the responsible parties in accordance with Section 1002.0. Between all of the operation manuals, </t>
    </r>
    <r>
      <rPr>
        <sz val="10"/>
        <color rgb="FFFF0000"/>
        <rFont val="Calibri"/>
        <family val="2"/>
        <scheme val="minor"/>
      </rPr>
      <t>five or more</t>
    </r>
    <r>
      <rPr>
        <sz val="10"/>
        <color theme="1"/>
        <rFont val="Calibri"/>
        <family val="2"/>
        <scheme val="minor"/>
      </rPr>
      <t xml:space="preserve"> of the following options are included.</t>
    </r>
  </si>
  <si>
    <r>
      <t>1002.3 Maintenance manual.</t>
    </r>
    <r>
      <rPr>
        <sz val="10"/>
        <color theme="1"/>
        <rFont val="Calibri"/>
        <family val="2"/>
        <scheme val="minor"/>
      </rPr>
      <t xml:space="preserve"> Maintenance manuals are created and distributed to the responsible parties in accordance with Section 1002.0. Between all of the maintenance manuals, </t>
    </r>
    <r>
      <rPr>
        <sz val="10"/>
        <color rgb="FFFF0000"/>
        <rFont val="Calibri"/>
        <family val="2"/>
        <scheme val="minor"/>
      </rPr>
      <t>five or more</t>
    </r>
    <r>
      <rPr>
        <sz val="10"/>
        <color theme="1"/>
        <rFont val="Calibri"/>
        <family val="2"/>
        <scheme val="minor"/>
      </rPr>
      <t xml:space="preserve"> of the following options are included.</t>
    </r>
  </si>
  <si>
    <t>END OF CHAPTER 10</t>
  </si>
  <si>
    <t>(Points are awarded only for buildings that use natural draft combustion space or water heating equipment.)</t>
  </si>
  <si>
    <t>Note: Points are only available for lots with slopes of 25% or greater.</t>
  </si>
  <si>
    <t>path:</t>
  </si>
  <si>
    <t>705 ct.:</t>
  </si>
  <si>
    <t>Less than 
two practices
chosen in 705</t>
  </si>
  <si>
    <t>NOTE: List the reviewer in the assigned Notes field.</t>
  </si>
  <si>
    <t>Not Primary Heat</t>
  </si>
  <si>
    <t>No Radiant or Hydronic</t>
  </si>
  <si>
    <t>Type of Heating System (main system):</t>
  </si>
  <si>
    <t>dstHeat1</t>
  </si>
  <si>
    <t>dstHeat2</t>
  </si>
  <si>
    <t>dstHeat3</t>
  </si>
  <si>
    <t>ddHeat1</t>
  </si>
  <si>
    <t>ddHeat2</t>
  </si>
  <si>
    <t>ddHeat3</t>
  </si>
  <si>
    <t>Type of Heating System (system 2):</t>
  </si>
  <si>
    <t>Type of Heating System (system 3):</t>
  </si>
  <si>
    <t>Type of Cooling System (main system):</t>
  </si>
  <si>
    <t>Type of Cooling System (system 2):</t>
  </si>
  <si>
    <t>Type of Cooling System (system 3):</t>
  </si>
  <si>
    <t>ddCool1</t>
  </si>
  <si>
    <t>dstCool1</t>
  </si>
  <si>
    <t>ddCool2</t>
  </si>
  <si>
    <t>dstCool2</t>
  </si>
  <si>
    <t>ddCool3</t>
  </si>
  <si>
    <t>dstCool3</t>
  </si>
  <si>
    <t>Heating Ducts:</t>
  </si>
  <si>
    <t>ddHDucts</t>
  </si>
  <si>
    <t>dstHDucts</t>
  </si>
  <si>
    <t>Cooling Ducts:</t>
  </si>
  <si>
    <t>ddCDucts</t>
  </si>
  <si>
    <t>dstCDucts</t>
  </si>
  <si>
    <t>Ducted</t>
  </si>
  <si>
    <t>Ductless</t>
  </si>
  <si>
    <t>No System</t>
  </si>
  <si>
    <t>Gas Engine-Driven Heat Pump</t>
  </si>
  <si>
    <t>Electric Air Conditiner</t>
  </si>
  <si>
    <t>2 points per kW Divided by number of dwelling units</t>
  </si>
  <si>
    <t>701.4.3.3 Exception:</t>
  </si>
  <si>
    <t>See Table 701.4.3.2(2)</t>
  </si>
  <si>
    <t>c. Basement wall U-factor of 0.360 in warm-humid locations.</t>
  </si>
  <si>
    <r>
      <t>b.</t>
    </r>
    <r>
      <rPr>
        <sz val="7"/>
        <color rgb="FF000000"/>
        <rFont val="Times New Roman"/>
        <family val="1"/>
      </rPr>
      <t xml:space="preserve">  </t>
    </r>
    <r>
      <rPr>
        <sz val="10"/>
        <color rgb="FF000000"/>
        <rFont val="Calibri"/>
        <family val="2"/>
      </rPr>
      <t>Where more the half the insulation is on the interior, the mass wall U-factors is a maximum of 0.17 in Zone 1, 0.14 in Zone 2, 0.12 in Zone 3, 0.10 in Zone 4 except in Marine, and the same as the frame wall U-factor in Marine Zone 4 and Zones 5 through 8.</t>
    </r>
  </si>
  <si>
    <r>
      <t>a.</t>
    </r>
    <r>
      <rPr>
        <sz val="7"/>
        <color rgb="FF000000"/>
        <rFont val="Times New Roman"/>
        <family val="1"/>
      </rPr>
      <t xml:space="preserve">  </t>
    </r>
    <r>
      <rPr>
        <sz val="10"/>
        <color rgb="FF000000"/>
        <rFont val="Calibri"/>
        <family val="2"/>
      </rPr>
      <t>Non-fenestration U-factors shall be obtained from measurement, calculation, or an approved source.</t>
    </r>
  </si>
  <si>
    <t>7 and 8</t>
  </si>
  <si>
    <t>5 and Marine 4</t>
  </si>
  <si>
    <t>4 except Marine</t>
  </si>
  <si>
    <r>
      <t>0.091</t>
    </r>
    <r>
      <rPr>
        <vertAlign val="superscript"/>
        <sz val="10"/>
        <color rgb="FF000000"/>
        <rFont val="Calibri"/>
        <family val="2"/>
        <scheme val="minor"/>
      </rPr>
      <t>C</t>
    </r>
  </si>
  <si>
    <t>Crawlspace Wall U-Factor</t>
  </si>
  <si>
    <t>Basement Wall U-Factor</t>
  </si>
  <si>
    <t>Floor U-Factor</t>
  </si>
  <si>
    <t>Mass Wall U-Factor</t>
  </si>
  <si>
    <t>Frame Wall U-Factor</t>
  </si>
  <si>
    <t>Ceiling U-Factor</t>
  </si>
  <si>
    <t>Skylight U-Factor</t>
  </si>
  <si>
    <t>Fenestration U- Factor</t>
  </si>
  <si>
    <t>Climate Zone</t>
  </si>
  <si>
    <r>
      <t>Equivalent U-Factors</t>
    </r>
    <r>
      <rPr>
        <b/>
        <vertAlign val="superscript"/>
        <sz val="10"/>
        <color theme="1"/>
        <rFont val="Calibri"/>
        <family val="2"/>
        <scheme val="minor"/>
      </rPr>
      <t>a</t>
    </r>
  </si>
  <si>
    <t>Table 703.2.1(a)</t>
  </si>
  <si>
    <t>Air Barrier and Insulation Installation</t>
  </si>
  <si>
    <t>Table 701.4.3.2(2)</t>
  </si>
  <si>
    <t xml:space="preserve">Exception: Tropical Climate Zone, crawl space, basement, floor u-factors are not applicable. </t>
  </si>
  <si>
    <r>
      <t xml:space="preserve">a. </t>
    </r>
    <r>
      <rPr>
        <sz val="10"/>
        <color rgb="FF000000"/>
        <rFont val="Calibri"/>
        <family val="2"/>
        <scheme val="minor"/>
      </rPr>
      <t>Tropical Climate Zone: Points are Climate Zone 1 points divided by 2 and rounded down</t>
    </r>
  </si>
  <si>
    <r>
      <rPr>
        <u/>
        <sz val="10"/>
        <color theme="1"/>
        <rFont val="Calibri"/>
        <family val="2"/>
      </rPr>
      <t>&gt;</t>
    </r>
    <r>
      <rPr>
        <sz val="10"/>
        <color theme="1"/>
        <rFont val="Calibri"/>
        <family val="2"/>
      </rPr>
      <t>35%</t>
    </r>
  </si>
  <si>
    <t>30% to &lt;35%</t>
  </si>
  <si>
    <t>25% to &lt;30%</t>
  </si>
  <si>
    <t>20% to &lt;25%</t>
  </si>
  <si>
    <t>15% to &lt;20%</t>
  </si>
  <si>
    <t>10% to &lt;15%</t>
  </si>
  <si>
    <t>5% to &lt;10%</t>
  </si>
  <si>
    <t>0 to &lt;5%</t>
  </si>
  <si>
    <r>
      <t>1</t>
    </r>
    <r>
      <rPr>
        <vertAlign val="superscript"/>
        <sz val="10"/>
        <color theme="1"/>
        <rFont val="Calibri"/>
        <family val="2"/>
      </rPr>
      <t>a</t>
    </r>
  </si>
  <si>
    <t>Minimum UA Improvement</t>
  </si>
  <si>
    <t>Points for Improvement in Total Building Thermal Envelope UA</t>
  </si>
  <si>
    <t>Table 703.2.1(b)</t>
  </si>
  <si>
    <t>&gt;6 inch</t>
  </si>
  <si>
    <r>
      <rPr>
        <u/>
        <sz val="10"/>
        <color theme="1"/>
        <rFont val="Calibri"/>
        <family val="2"/>
      </rPr>
      <t>&gt;</t>
    </r>
    <r>
      <rPr>
        <sz val="10"/>
        <color theme="1"/>
        <rFont val="Calibri"/>
        <family val="2"/>
      </rPr>
      <t>3 inch to</t>
    </r>
    <r>
      <rPr>
        <u/>
        <sz val="10"/>
        <color theme="1"/>
        <rFont val="Calibri"/>
        <family val="2"/>
      </rPr>
      <t xml:space="preserve"> &gt;</t>
    </r>
    <r>
      <rPr>
        <sz val="10"/>
        <color theme="1"/>
        <rFont val="Calibri"/>
        <family val="2"/>
      </rPr>
      <t>6 inch</t>
    </r>
  </si>
  <si>
    <t>7-8</t>
  </si>
  <si>
    <t>1-4</t>
  </si>
  <si>
    <t>Mass thickness</t>
  </si>
  <si>
    <t>Exterior Mass Walls</t>
  </si>
  <si>
    <t>Table 703.2.2</t>
  </si>
  <si>
    <t>Tropical</t>
  </si>
  <si>
    <t>(Points not awarded if points are taken under Section 705.6.2.1)</t>
  </si>
  <si>
    <t>-</t>
  </si>
  <si>
    <t>Max Envelope Leakage Rate (ACH50)</t>
  </si>
  <si>
    <t>Building Envelope Leakage</t>
  </si>
  <si>
    <t>Table 703.2.4</t>
  </si>
  <si>
    <t>Exception: For Sun-tempered designs meeting the requirements of Section 703.7.1, the SHGC is permitted to be 0.40 or higher on south facing glass.</t>
  </si>
  <si>
    <t>Any</t>
  </si>
  <si>
    <t>5 to 8</t>
  </si>
  <si>
    <t>Skylights and TDDs (maximums certified ratings)</t>
  </si>
  <si>
    <t>Windows and Exterior Doors (maximums certified ratings)</t>
  </si>
  <si>
    <t>SHGC</t>
  </si>
  <si>
    <t>U-Factor</t>
  </si>
  <si>
    <t>Climate Zones</t>
  </si>
  <si>
    <t>Fenestration Specifications</t>
  </si>
  <si>
    <t>Table 703.2.5.1</t>
  </si>
  <si>
    <t>(Points for multifamily buildings four or more stories in height are awarded at 3 times the point value listed in Table 703.2.5.2(c))</t>
  </si>
  <si>
    <t>5-8</t>
  </si>
  <si>
    <t>SHGC Skylights &amp; TDDs</t>
  </si>
  <si>
    <t>U-Factor Skylights &amp; TDDs</t>
  </si>
  <si>
    <t>SHGC Windows &amp; Exterior Doors</t>
  </si>
  <si>
    <t>U-Factor Windows &amp; Exterior Doors</t>
  </si>
  <si>
    <t>Enhanced Fenestration Specifications</t>
  </si>
  <si>
    <t>Table 703.2.5.2(c)</t>
  </si>
  <si>
    <t>Table 703.2.5.2(b)</t>
  </si>
  <si>
    <t>a. An equivalent energy performance is permitted based on fenestration meeting the requirements of Section B. Equivalent Energy Performance in ENERGY STAR Product Specification Residential Windows, Doors, and Skylights, Eligibility Criteria Version 6.0.</t>
  </si>
  <si>
    <r>
      <t>0.27</t>
    </r>
    <r>
      <rPr>
        <vertAlign val="superscript"/>
        <sz val="10"/>
        <color theme="1"/>
        <rFont val="Calibri"/>
        <family val="2"/>
        <scheme val="minor"/>
      </rPr>
      <t>a</t>
    </r>
  </si>
  <si>
    <t>Table 703.2.5.2(a)</t>
  </si>
  <si>
    <t>Electric Heat Pump Heating</t>
  </si>
  <si>
    <t>1' 0"</t>
  </si>
  <si>
    <t>1' 4"</t>
  </si>
  <si>
    <t>1' 8"</t>
  </si>
  <si>
    <t>2' 0"</t>
  </si>
  <si>
    <t>7 &amp; 8</t>
  </si>
  <si>
    <t>2' 4"</t>
  </si>
  <si>
    <t>4 &amp; 5 &amp; 6</t>
  </si>
  <si>
    <t>2' 8"</t>
  </si>
  <si>
    <t>1 &amp; 2 &amp; 3</t>
  </si>
  <si>
    <t>≤3' 4"</t>
  </si>
  <si>
    <t>≤4' 4"</t>
  </si>
  <si>
    <t>≤5' 4"</t>
  </si>
  <si>
    <t>≤6' 4"</t>
  </si>
  <si>
    <t>≤7' 4"</t>
  </si>
  <si>
    <t xml:space="preserve">Vertical distance between bottom of overhang and top of window sill </t>
  </si>
  <si>
    <t>South-Facing Window Overhang Depth</t>
  </si>
  <si>
    <t>Table 703.7.1(7)</t>
  </si>
  <si>
    <t>dstFloors</t>
  </si>
  <si>
    <t>Points per formula</t>
  </si>
  <si>
    <t>Percent above ICC IECC 2015:</t>
  </si>
  <si>
    <t>DO NOT PASTE ANYTHING INTO THE WORKSHEET. CELL PROTECTION, VALIDATION, AND CONDITIONAL FORMATTING CAN BE ALTERED BY PASTING. THIS WILL BREAK YOUR SHEET.</t>
  </si>
  <si>
    <t>Home Address:</t>
  </si>
  <si>
    <t>There is mandatory information or practices missing from this Page!</t>
  </si>
  <si>
    <t>There are errors on this page!</t>
  </si>
  <si>
    <t>There is mandatory information or practices missing from this Chapter!</t>
  </si>
  <si>
    <t>ATFS</t>
  </si>
  <si>
    <t>CSA Z809</t>
  </si>
  <si>
    <t>FSC</t>
  </si>
  <si>
    <t>GCP</t>
  </si>
  <si>
    <t>PEFC</t>
  </si>
  <si>
    <t>RPP</t>
  </si>
  <si>
    <t>SFI</t>
  </si>
  <si>
    <t>35% to less than 50%</t>
  </si>
  <si>
    <t>50% to less than 90%</t>
  </si>
  <si>
    <t>90% or more</t>
  </si>
  <si>
    <r>
      <rPr>
        <b/>
        <sz val="11"/>
        <color theme="1"/>
        <rFont val="Calibri"/>
        <family val="2"/>
        <scheme val="minor"/>
      </rPr>
      <t>Error</t>
    </r>
    <r>
      <rPr>
        <sz val="11"/>
        <color theme="1"/>
        <rFont val="Calibri"/>
        <family val="2"/>
        <scheme val="minor"/>
      </rPr>
      <t xml:space="preserve"> - Something is wrong. Review practice text for explanation.</t>
    </r>
  </si>
  <si>
    <r>
      <rPr>
        <b/>
        <sz val="11"/>
        <color theme="1"/>
        <rFont val="Calibri"/>
        <family val="2"/>
        <scheme val="minor"/>
      </rPr>
      <t>Note Entry</t>
    </r>
    <r>
      <rPr>
        <sz val="11"/>
        <color theme="1"/>
        <rFont val="Calibri"/>
        <family val="2"/>
        <scheme val="minor"/>
      </rPr>
      <t xml:space="preserve"> - A place for you to elaborate. If a note is mandatory it will turn yellow. Notes required due to selecting a practice out of phase (rough or final) will not turn yellow.</t>
    </r>
  </si>
  <si>
    <r>
      <rPr>
        <b/>
        <sz val="11"/>
        <color theme="1"/>
        <rFont val="Calibri"/>
        <family val="2"/>
        <scheme val="minor"/>
      </rPr>
      <t>Off Limits</t>
    </r>
    <r>
      <rPr>
        <sz val="11"/>
        <color theme="1"/>
        <rFont val="Calibri"/>
        <family val="2"/>
        <scheme val="minor"/>
      </rPr>
      <t xml:space="preserve"> - Some other answer or lack of answer disqualifies you from this practice or the practice is not available during the current phase (rough or final).</t>
    </r>
  </si>
  <si>
    <r>
      <rPr>
        <b/>
        <sz val="11"/>
        <color theme="1"/>
        <rFont val="Calibri"/>
        <family val="2"/>
        <scheme val="minor"/>
      </rPr>
      <t>Normal Entry (optional)</t>
    </r>
    <r>
      <rPr>
        <sz val="11"/>
        <color theme="1"/>
        <rFont val="Calibri"/>
        <family val="2"/>
        <scheme val="minor"/>
      </rPr>
      <t xml:space="preserve"> - Use the checkbox or dropdown to indicate the status of the adjacent practice. </t>
    </r>
  </si>
  <si>
    <r>
      <rPr>
        <b/>
        <sz val="11"/>
        <color theme="1"/>
        <rFont val="Calibri"/>
        <family val="2"/>
        <scheme val="minor"/>
      </rPr>
      <t>Mandatory Entry or Mandatory Note</t>
    </r>
    <r>
      <rPr>
        <sz val="11"/>
        <color theme="1"/>
        <rFont val="Calibri"/>
        <family val="2"/>
        <scheme val="minor"/>
      </rPr>
      <t xml:space="preserve"> - This field is required in order for the worksheet to be considered complete and submitable.</t>
    </r>
  </si>
  <si>
    <t>Stories above grade:</t>
  </si>
  <si>
    <t>Maximum skylight SHGC:</t>
  </si>
  <si>
    <t>Maximum skylight U-value:</t>
  </si>
  <si>
    <t>dstsSHGC</t>
  </si>
  <si>
    <t>dstsUV</t>
  </si>
  <si>
    <t>Maximum window and door SHGC:</t>
  </si>
  <si>
    <t>Maximum window and door U-value:</t>
  </si>
  <si>
    <t>dstwdSHGC</t>
  </si>
  <si>
    <t>dstwdUV</t>
  </si>
  <si>
    <t>Exclude south-facing glass if part of "Sun-tempered" design (703.7.1).</t>
  </si>
  <si>
    <t>back to 701.4.3.2(2)</t>
  </si>
  <si>
    <t>See 703.4.3.1</t>
  </si>
  <si>
    <t>Exception: Section 703.1.2 is not required for Tropical Climate Zone</t>
  </si>
  <si>
    <t>See Table 703.2.1(a)</t>
  </si>
  <si>
    <t>back to 703.2.1</t>
  </si>
  <si>
    <t>UA Improvement:</t>
  </si>
  <si>
    <t>T</t>
  </si>
  <si>
    <t>zone:</t>
  </si>
  <si>
    <t>tropical:</t>
  </si>
  <si>
    <t>UA:</t>
  </si>
  <si>
    <t>points:</t>
  </si>
  <si>
    <t>Verifier</t>
  </si>
  <si>
    <t>Mass thickness:</t>
  </si>
  <si>
    <t>≤4</t>
  </si>
  <si>
    <t>≤3</t>
  </si>
  <si>
    <t>≤2</t>
  </si>
  <si>
    <t>≤1</t>
  </si>
  <si>
    <t>Selected</t>
  </si>
  <si>
    <t>Required Documentation</t>
  </si>
  <si>
    <t>Ch. 8</t>
  </si>
  <si>
    <t>(4)(a)</t>
  </si>
  <si>
    <t>705.6.3</t>
  </si>
  <si>
    <t>(Points not awarded if points are taken under Section 703.4.4)</t>
  </si>
  <si>
    <t>Duct leakage is in accordance with IECC R403.3.3 and R403.3.4.</t>
  </si>
  <si>
    <t>Duct leakage is in accordance with IECC R403.3.3 and R403.3.4, and testing is conducted by an independent third party.</t>
  </si>
  <si>
    <r>
      <t xml:space="preserve">705.6.3 Insulating hot water pipes. </t>
    </r>
    <r>
      <rPr>
        <sz val="10"/>
        <color theme="1"/>
        <rFont val="Calibri"/>
        <family val="2"/>
        <scheme val="minor"/>
      </rPr>
      <t>Insulation with a minimum thermal resistance (R-value) of at least R-3 is applied to the following, as applicable:</t>
    </r>
  </si>
  <si>
    <t>See Table 801.1(1)</t>
  </si>
  <si>
    <t>See Table 801.1(2)</t>
  </si>
  <si>
    <t>Table 801.1(1)</t>
  </si>
  <si>
    <r>
      <t>Maximum Pipe Length Conversion Table</t>
    </r>
    <r>
      <rPr>
        <b/>
        <vertAlign val="superscript"/>
        <sz val="10"/>
        <color theme="1"/>
        <rFont val="Calibri"/>
        <family val="2"/>
        <scheme val="minor"/>
      </rPr>
      <t>a</t>
    </r>
  </si>
  <si>
    <t>Nominal Pipe Size (inch)</t>
  </si>
  <si>
    <t>Liquid Ounces per Foot of Length</t>
  </si>
  <si>
    <t>Main, Branch, and Fixture Supply System Volume Category</t>
  </si>
  <si>
    <t>Branch and Fixture Supply Volume from Circulation Loop</t>
  </si>
  <si>
    <t>128 ounces (1 gallons) [per 801.1(1)]</t>
  </si>
  <si>
    <t>64 ounces (0.5 gallon) [per 801.1(2)]</t>
  </si>
  <si>
    <t>32 ounces (0.25 gallon) [per 801.1(3)]</t>
  </si>
  <si>
    <t>24 ounces  (0.19 gallons [per 801.1(4)]</t>
  </si>
  <si>
    <t>Maximum Pipe Length (feet)</t>
  </si>
  <si>
    <r>
      <t>1/4</t>
    </r>
    <r>
      <rPr>
        <vertAlign val="superscript"/>
        <sz val="10"/>
        <color theme="1"/>
        <rFont val="Calibri"/>
        <family val="2"/>
        <scheme val="minor"/>
      </rPr>
      <t>b</t>
    </r>
  </si>
  <si>
    <r>
      <t>5/16</t>
    </r>
    <r>
      <rPr>
        <vertAlign val="superscript"/>
        <sz val="10"/>
        <color theme="1"/>
        <rFont val="Calibri"/>
        <family val="2"/>
        <scheme val="minor"/>
      </rPr>
      <t>b</t>
    </r>
  </si>
  <si>
    <r>
      <t>3/8</t>
    </r>
    <r>
      <rPr>
        <vertAlign val="superscript"/>
        <sz val="10"/>
        <color theme="1"/>
        <rFont val="Calibri"/>
        <family val="2"/>
        <scheme val="minor"/>
      </rPr>
      <t>b</t>
    </r>
  </si>
  <si>
    <t>1/2</t>
  </si>
  <si>
    <t>5/8</t>
  </si>
  <si>
    <t>3/4</t>
  </si>
  <si>
    <t>7/8</t>
  </si>
  <si>
    <t>1 1/4</t>
  </si>
  <si>
    <t>1 1/2</t>
  </si>
  <si>
    <t>a. Maximum pipe length figures apply when the entire pipe run is one nominal diameter only. Where multiple pipe diameters are used, the combined volume shall not exceed the volume limitation in Section 801.1.</t>
  </si>
  <si>
    <t>b. The maximum flow rate through 1/4 inch nominal piping shall not exceed 0.5 gpm. The maximum flow rate through 5/16 inch nominal piping shall not exceed 1 gpm. The maximum flow rate through 3/8 inch nominal piping shall not exceed 1.5 gpm.</t>
  </si>
  <si>
    <t>Table 801.1(2)</t>
  </si>
  <si>
    <t>Common Hot Water Pipe Internal Volumes</t>
  </si>
  <si>
    <t>OUNCES OF WATER PER FOOT OF PIPE</t>
  </si>
  <si>
    <t>Size Nominal, Inch</t>
  </si>
  <si>
    <t>Copper Type M</t>
  </si>
  <si>
    <t>Copper Type L</t>
  </si>
  <si>
    <t>Copper Type K</t>
  </si>
  <si>
    <t>CPVC CTS SDR 11</t>
  </si>
  <si>
    <t>CPVC SCH 40</t>
  </si>
  <si>
    <t>CPVC</t>
  </si>
  <si>
    <t>PE-RT</t>
  </si>
  <si>
    <t>Composite ASTM F 1281</t>
  </si>
  <si>
    <t>PEX CTS SDR 9</t>
  </si>
  <si>
    <t>PP SDR 7.4 F2389</t>
  </si>
  <si>
    <t>PP SDR   9  F2389</t>
  </si>
  <si>
    <t>SCH 80</t>
  </si>
  <si>
    <t>SDR 9</t>
  </si>
  <si>
    <t>3/8</t>
  </si>
  <si>
    <t>1 ¼</t>
  </si>
  <si>
    <t>1 ½</t>
  </si>
  <si>
    <t>back to 801.1</t>
  </si>
  <si>
    <t>NOTE: If multiple dishwashers and washing machines are installed, ALL instances must meet the above conditions to be awarded points.</t>
  </si>
  <si>
    <t xml:space="preserve">Multifamily Building Note: Washing machines are installed in individual units or provided in common areas of multifamily buildings. </t>
  </si>
  <si>
    <t># of compartments:</t>
  </si>
  <si>
    <t>1 compartment</t>
  </si>
  <si>
    <t>2 compartments</t>
  </si>
  <si>
    <t>3 compartments</t>
  </si>
  <si>
    <t>4+ compartments</t>
  </si>
  <si>
    <t>1 control</t>
  </si>
  <si>
    <t>2 controls</t>
  </si>
  <si>
    <t>1 bathroom</t>
  </si>
  <si>
    <t>2 bathrooms</t>
  </si>
  <si>
    <t>3+ bathrooms</t>
  </si>
  <si>
    <t>3+ controls</t>
  </si>
  <si>
    <t>1
3 Max</t>
  </si>
  <si>
    <t>1 fixture</t>
  </si>
  <si>
    <t>2 fixtures</t>
  </si>
  <si>
    <t>3+ fixtures</t>
  </si>
  <si>
    <t>2 
6 Max</t>
  </si>
  <si>
    <t>1 Additional
3 Max</t>
  </si>
  <si>
    <t>Ch. 8 Max</t>
  </si>
  <si>
    <t>1 toilet</t>
  </si>
  <si>
    <t>2 toilets</t>
  </si>
  <si>
    <t>3+ toilets</t>
  </si>
  <si>
    <t>NOTE: 5 Points must be taken in 503.5(1)-(6) for a Full Landscape Plan in order to receive points for 801.6.4(3).</t>
  </si>
  <si>
    <t>(2)(a)</t>
  </si>
  <si>
    <t>(2)(b)</t>
  </si>
  <si>
    <t>(2)(c)</t>
  </si>
  <si>
    <t>(2)(d)</t>
  </si>
  <si>
    <t>5
15 Max</t>
  </si>
  <si>
    <t>1 appl./fixture</t>
  </si>
  <si>
    <t>2 appl./fixtures</t>
  </si>
  <si>
    <t>3+ appl./fixtures</t>
  </si>
  <si>
    <t># of systems:</t>
  </si>
  <si>
    <t>5
20 Max</t>
  </si>
  <si>
    <t>4+ appl./fixtures</t>
  </si>
  <si>
    <t>3 appl./fixtures</t>
  </si>
  <si>
    <t>END OF CHAPTER 8</t>
  </si>
  <si>
    <t>CLICK TO PROCEED TO CHAPTER 9 &gt;&gt;</t>
  </si>
  <si>
    <t>Climate Zone:</t>
  </si>
  <si>
    <t>Percent less than Energy Star:</t>
  </si>
  <si>
    <t>30 + (percent less than EnergyStar HERS Index Target for that building) * 2</t>
  </si>
  <si>
    <t>705.6.2</t>
  </si>
  <si>
    <r>
      <t xml:space="preserve">705.6.2 Testing. </t>
    </r>
    <r>
      <rPr>
        <sz val="10"/>
        <color theme="1"/>
        <rFont val="Calibri"/>
        <family val="2"/>
        <scheme val="minor"/>
      </rPr>
      <t>Testing is conducted to verify performance:</t>
    </r>
  </si>
  <si>
    <t>By using this tool, this project automatically qualifies for this practice.</t>
  </si>
  <si>
    <t>(Points not awarded if points are taken under Section 703.2.4)</t>
  </si>
  <si>
    <t>NOTE: Specify name of person or company conducting blower door test in the assigned Notes area.</t>
  </si>
  <si>
    <t>NOTE: Specify name of person or company conducting HVAC airflow test in the assigned Notes area.</t>
  </si>
  <si>
    <t>END OF CHAPTER 7</t>
  </si>
  <si>
    <t>CLICK TO PROCEED TO CHAPTER 8 &gt;&gt;</t>
  </si>
  <si>
    <t>Multifamily Building Note: The site is designed such that at least 40 percent of the multifamily dwelling units have one south facing wall (within 15 degrees) containing at least 50 percent of glazing for entire unit, Effective shading is required for passive solar control on all south facing glazing. The floor area of at least 15 feet from the south facing perimeter glazing is massive and exposed to capture solar heat during the day and reradiate at night.</t>
  </si>
  <si>
    <t>Multifamily Building Note: Washing machines in ALL units must comply.</t>
  </si>
  <si>
    <t>count:</t>
  </si>
  <si>
    <t>Overhangs or adjustable canopies or awnings or trellises provide shading on south-facing glass for the appropriate climate zone in accordance with Table 703.7.1(7):</t>
  </si>
  <si>
    <t>See Table 703.7.1(7)</t>
  </si>
  <si>
    <t>back to 703.7.1</t>
  </si>
  <si>
    <t>A minimum of 95 percent of the total hard-wired interior luminaires or lamps qualify as ENERGY STAR or equivalent.</t>
  </si>
  <si>
    <t># of luminaires:</t>
  </si>
  <si>
    <t>SEF:</t>
  </si>
  <si>
    <t>703.5.4</t>
  </si>
  <si>
    <t>efficiency:</t>
  </si>
  <si>
    <t>type:</t>
  </si>
  <si>
    <r>
      <t xml:space="preserve">Oil water heating (30 or more gallons, Energy Factor of </t>
    </r>
    <r>
      <rPr>
        <sz val="10"/>
        <color theme="1"/>
        <rFont val="Calibri"/>
        <family val="2"/>
      </rPr>
      <t>≥ 0.59</t>
    </r>
    <r>
      <rPr>
        <sz val="10"/>
        <color theme="1"/>
        <rFont val="Calibri"/>
        <family val="2"/>
        <scheme val="minor"/>
      </rPr>
      <t>)</t>
    </r>
  </si>
  <si>
    <t>Electric water heating (EF/TE of ≥ 0.95)</t>
  </si>
  <si>
    <t>Electric instantaneous water heating (EF/TE of ≥ 0.97)</t>
  </si>
  <si>
    <t>Gas water heating (Storage with input rate greater than 75,000 Btu/h or instantaneous input rate greater than 200,000 Btu/h)</t>
  </si>
  <si>
    <t>(1)(a)</t>
  </si>
  <si>
    <t>(1)(b)</t>
  </si>
  <si>
    <t xml:space="preserve">    Energy Factor 0.67 to &lt; 0.80</t>
  </si>
  <si>
    <t xml:space="preserve">    Energy Factor ≥ 0.80</t>
  </si>
  <si>
    <t xml:space="preserve">    Thermal Efficiency of ≥ 0.90</t>
  </si>
  <si>
    <t xml:space="preserve">    Thermal Efficiency of ≥ 0.95</t>
  </si>
  <si>
    <t xml:space="preserve">    Energy Factor of 1.5 to &lt; 2.0</t>
  </si>
  <si>
    <t xml:space="preserve">    Energy Factor of 2.0 to &lt; 2.2</t>
  </si>
  <si>
    <t xml:space="preserve">    Energy Factor of ≥ 2.2</t>
  </si>
  <si>
    <t xml:space="preserve">    SEF ≥ 1.3</t>
  </si>
  <si>
    <t xml:space="preserve">    SEF ≥ 1.51</t>
  </si>
  <si>
    <t xml:space="preserve">    SEF ≥ 1.81</t>
  </si>
  <si>
    <t xml:space="preserve">    SEF ≥ 2.31</t>
  </si>
  <si>
    <t xml:space="preserve">    SEF ≥ 3.01</t>
  </si>
  <si>
    <t>You may only claim points for the lowest efficieny water heater.</t>
  </si>
  <si>
    <t xml:space="preserve">    ductwork entirely outside the building's thermal envelope</t>
  </si>
  <si>
    <t xml:space="preserve">    ductwork entirely intside the building's thermal envelope</t>
  </si>
  <si>
    <t xml:space="preserve">    ductwork inside and outside the building's thermal envelope</t>
  </si>
  <si>
    <t>&gt;4 story MF:</t>
  </si>
  <si>
    <t xml:space="preserve">Number of Types of Building Assembly </t>
  </si>
  <si>
    <t xml:space="preserve">    Countertops</t>
  </si>
  <si>
    <t xml:space="preserve">    Composite trim/doors</t>
  </si>
  <si>
    <t xml:space="preserve">    Custom woodwork</t>
  </si>
  <si>
    <t xml:space="preserve">    Component closet shelving</t>
  </si>
  <si>
    <t>Carpet and carpet cushion meeting the emission limits is installed.</t>
  </si>
  <si>
    <t>A window complying with IRC Section R303.3 is provided in addition to mechanical ventilation.</t>
  </si>
  <si>
    <t># of timers:</t>
  </si>
  <si>
    <t># of humidistats:</t>
  </si>
  <si>
    <t>ENERGY STAR, or equivalent, fans operating above 1 sone</t>
  </si>
  <si>
    <t>Ch. 9</t>
  </si>
  <si>
    <t>902.2.1</t>
  </si>
  <si>
    <t>Cold water pipes in unconditioned spaces are insulated to a minimum of R-4 with pipe insulation or other covering that adequately prevents condensation.</t>
  </si>
  <si>
    <t>Plumbing is not installed in unconditioned spaces.</t>
  </si>
  <si>
    <r>
      <t xml:space="preserve">903.1 Plumbing. </t>
    </r>
    <r>
      <rPr>
        <sz val="10"/>
        <color theme="1"/>
        <rFont val="Calibri"/>
        <family val="2"/>
        <scheme val="minor"/>
      </rPr>
      <t>Plumbing is in accordance with one of the following.</t>
    </r>
  </si>
  <si>
    <r>
      <t>903.3 Relative humidity.</t>
    </r>
    <r>
      <rPr>
        <sz val="10"/>
        <color theme="1"/>
        <rFont val="Calibri"/>
        <family val="2"/>
        <scheme val="minor"/>
      </rPr>
      <t xml:space="preserve"> In climate zones 1A, 2A, 3A, 4A, and 5A, equipment is installed to maintain relative humidity (RH) at or below 60 percent using one of the following:</t>
    </r>
  </si>
  <si>
    <t>Not available if there is no garage</t>
  </si>
  <si>
    <t>actual %:</t>
  </si>
  <si>
    <t>actual %'s:</t>
  </si>
  <si>
    <t>See Table 901.9.1</t>
  </si>
  <si>
    <r>
      <t>e.</t>
    </r>
    <r>
      <rPr>
        <sz val="7"/>
        <color theme="1"/>
        <rFont val="Times New Roman"/>
        <family val="1"/>
      </rPr>
      <t xml:space="preserve">  </t>
    </r>
    <r>
      <rPr>
        <sz val="10"/>
        <color theme="1"/>
        <rFont val="Calibri"/>
        <family val="2"/>
      </rPr>
      <t>Limit is expressed as VOC actual.</t>
    </r>
  </si>
  <si>
    <r>
      <t>d.</t>
    </r>
    <r>
      <rPr>
        <sz val="7"/>
        <color theme="1"/>
        <rFont val="Times New Roman"/>
        <family val="1"/>
      </rPr>
      <t xml:space="preserve">  </t>
    </r>
    <r>
      <rPr>
        <sz val="10"/>
        <color theme="1"/>
        <rFont val="Calibri"/>
        <family val="2"/>
      </rPr>
      <t>Limits are expressed as VOC Regulatory (except as noted), thinned to the manufacturer’s maximum thinning recommendation, excluding any colorant added to tint bases.</t>
    </r>
  </si>
  <si>
    <r>
      <t>c.</t>
    </r>
    <r>
      <rPr>
        <sz val="7"/>
        <color theme="1"/>
        <rFont val="Times New Roman"/>
        <family val="1"/>
      </rPr>
      <t xml:space="preserve">   </t>
    </r>
    <r>
      <rPr>
        <sz val="10"/>
        <color theme="1"/>
        <rFont val="Calibri"/>
        <family val="2"/>
      </rPr>
      <t>Table 901.9.1 architectural coating regulatory category and VOC content compliance determination shall conform to the California Air Resources Board Suggested Control Measure for Architectural Coatings dated February 1, 2008.</t>
    </r>
  </si>
  <si>
    <r>
      <t>b.</t>
    </r>
    <r>
      <rPr>
        <sz val="7"/>
        <color theme="1"/>
        <rFont val="Times New Roman"/>
        <family val="1"/>
      </rPr>
      <t xml:space="preserve">  </t>
    </r>
    <r>
      <rPr>
        <sz val="10"/>
        <color theme="1"/>
        <rFont val="Calibri"/>
        <family val="2"/>
      </rPr>
      <t>Values in this table are derived from those specified by the California Air Resources Board, Architectural Coatings Suggested Control Measure, February 1, 2008.</t>
    </r>
  </si>
  <si>
    <r>
      <t>a.</t>
    </r>
    <r>
      <rPr>
        <sz val="7"/>
        <color theme="1"/>
        <rFont val="Times New Roman"/>
        <family val="1"/>
      </rPr>
      <t xml:space="preserve">  </t>
    </r>
    <r>
      <rPr>
        <sz val="10"/>
        <color theme="1"/>
        <rFont val="Calibri"/>
        <family val="2"/>
      </rPr>
      <t>The specified limits remain in effect unless revised limits are listed in subsequent columns in the table.</t>
    </r>
  </si>
  <si>
    <t>Zinc-Rich Primers</t>
  </si>
  <si>
    <t>Wood Preservatives</t>
  </si>
  <si>
    <t>Wood Coatings</t>
  </si>
  <si>
    <t>Waterproofing Membranes</t>
  </si>
  <si>
    <t>Tub and Tile Refinish Coatings</t>
  </si>
  <si>
    <t>Traffic Marking Coatings</t>
  </si>
  <si>
    <t>Swimming Pool Coatings</t>
  </si>
  <si>
    <t>Stone Consolidants</t>
  </si>
  <si>
    <t>Stains</t>
  </si>
  <si>
    <t>Specialty Primers, Sealers, and Undercoaters</t>
  </si>
  <si>
    <t>Shellacs, Opaque</t>
  </si>
  <si>
    <t>Shellacs, Clear</t>
  </si>
  <si>
    <t>Rust Preventative Coatings</t>
  </si>
  <si>
    <t>Roof Coatings</t>
  </si>
  <si>
    <t>Recycled Coatings</t>
  </si>
  <si>
    <t>Reactive Penetrating Sealers</t>
  </si>
  <si>
    <t>Primers, Sealers, and Undercoaters</t>
  </si>
  <si>
    <t>Pre-Treatment Wash Primers</t>
  </si>
  <si>
    <t>Multi-Color Coatings</t>
  </si>
  <si>
    <t>Metallic Pigmented Coatings</t>
  </si>
  <si>
    <t>Mastic Texture Coatings</t>
  </si>
  <si>
    <t>Magnesite Cement Coatings</t>
  </si>
  <si>
    <r>
      <t>120</t>
    </r>
    <r>
      <rPr>
        <vertAlign val="superscript"/>
        <sz val="10"/>
        <color theme="1"/>
        <rFont val="Calibri"/>
        <family val="2"/>
      </rPr>
      <t>e</t>
    </r>
  </si>
  <si>
    <t>Low Solids Coatings</t>
  </si>
  <si>
    <t>Industrial Maintenance Coatings</t>
  </si>
  <si>
    <t>High Temperature Coatings</t>
  </si>
  <si>
    <t>Graphic Arts Coatings (Sign Paints)</t>
  </si>
  <si>
    <t>Form-Release Compounds</t>
  </si>
  <si>
    <t>Floor Coatings</t>
  </si>
  <si>
    <t>Fire Resistive Coatings</t>
  </si>
  <si>
    <t>Faux Finishing Coatings</t>
  </si>
  <si>
    <r>
      <t>LIMIT</t>
    </r>
    <r>
      <rPr>
        <b/>
        <vertAlign val="superscript"/>
        <sz val="10"/>
        <color theme="1"/>
        <rFont val="Calibri"/>
        <family val="2"/>
      </rPr>
      <t>d</t>
    </r>
    <r>
      <rPr>
        <b/>
        <sz val="10"/>
        <color theme="1"/>
        <rFont val="Calibri"/>
        <family val="2"/>
      </rPr>
      <t xml:space="preserve"> (g/l)</t>
    </r>
  </si>
  <si>
    <t>Coating Category</t>
  </si>
  <si>
    <t>Dry Fog Coatings</t>
  </si>
  <si>
    <t>Driveway Sealers</t>
  </si>
  <si>
    <t>Concrete/Masonry Sealers</t>
  </si>
  <si>
    <t>Concrete Curing Compounds</t>
  </si>
  <si>
    <t>Bond Breakers</t>
  </si>
  <si>
    <t>Bituminous Roof Primers</t>
  </si>
  <si>
    <t>Bituminous Roof Coatings</t>
  </si>
  <si>
    <t>Basement Specialty Coatings</t>
  </si>
  <si>
    <t>Aluminum Roof Coatings</t>
  </si>
  <si>
    <t>Specialty Coatings:</t>
  </si>
  <si>
    <t>Non-flat  High-Gloss Coatings</t>
  </si>
  <si>
    <t>Non-flat Coatings</t>
  </si>
  <si>
    <t>Flat Coatings</t>
  </si>
  <si>
    <r>
      <t>VOC Content Limits For Architectural Coatings</t>
    </r>
    <r>
      <rPr>
        <b/>
        <vertAlign val="superscript"/>
        <sz val="10"/>
        <color theme="1"/>
        <rFont val="Calibri"/>
        <family val="2"/>
      </rPr>
      <t>a,b,c</t>
    </r>
  </si>
  <si>
    <t>Table 901.9.1</t>
  </si>
  <si>
    <t>Waterborne IM</t>
  </si>
  <si>
    <t>Solvent-Based IM</t>
  </si>
  <si>
    <t>Architectural Coatings, excluding IM Coatings</t>
  </si>
  <si>
    <t>LIMIT (g/l)</t>
  </si>
  <si>
    <t>Colorant</t>
  </si>
  <si>
    <t>VOC Content Limits for Colorants</t>
  </si>
  <si>
    <t>Table 901.9.2</t>
  </si>
  <si>
    <t>b. For low-solid adhesives and sealants, the VOC limit is expressed in grams/liter of material as specified in Rule 1168. For all other adhesives and sealants, the VOC limits are expressed as grams of VOC per liter of adhesive or sealant less water and less exempt compounds as specified in Rule 1168.</t>
  </si>
  <si>
    <r>
      <t>a.</t>
    </r>
    <r>
      <rPr>
        <sz val="7"/>
        <color theme="1"/>
        <rFont val="Times New Roman"/>
        <family val="1"/>
      </rPr>
      <t xml:space="preserve">   </t>
    </r>
    <r>
      <rPr>
        <sz val="10"/>
        <color theme="1"/>
        <rFont val="Calibri"/>
        <family val="2"/>
      </rPr>
      <t>VOC limit less water and less exempt compounds in grams/liter</t>
    </r>
  </si>
  <si>
    <t>Structural wood member adhesive</t>
  </si>
  <si>
    <t>Special purpose contact adhesive</t>
  </si>
  <si>
    <t>Contact adhesive</t>
  </si>
  <si>
    <t>Adhesive primer for plastic</t>
  </si>
  <si>
    <t>Plastic cement welding</t>
  </si>
  <si>
    <t>ABS solvent cement</t>
  </si>
  <si>
    <t>PVC solvent cement</t>
  </si>
  <si>
    <t>CPVC solvent cement</t>
  </si>
  <si>
    <t>Other sealant primers</t>
  </si>
  <si>
    <t>Modified bituminous sealant primer</t>
  </si>
  <si>
    <t xml:space="preserve">  Porous</t>
  </si>
  <si>
    <t xml:space="preserve">  Non-porous</t>
  </si>
  <si>
    <t>Architectural sealant primer</t>
  </si>
  <si>
    <t>Architectural sealants</t>
  </si>
  <si>
    <t>Single ply roof membrane adhesives</t>
  </si>
  <si>
    <t>Structural glazing adhesives</t>
  </si>
  <si>
    <t>Multipurpose construction adhesives</t>
  </si>
  <si>
    <t>VOC LIMIT (g/l)</t>
  </si>
  <si>
    <t>ADHESIVE OR SEALANT</t>
  </si>
  <si>
    <t>Cove base adhesives</t>
  </si>
  <si>
    <t>Drywall and panel adhesives</t>
  </si>
  <si>
    <t>VCT and asphalt tile adhesives</t>
  </si>
  <si>
    <t>Ceramic tile adhesives</t>
  </si>
  <si>
    <t>Subfloor adhesives</t>
  </si>
  <si>
    <t>Rubber floor adhesives</t>
  </si>
  <si>
    <t>Wood flooring adhesive</t>
  </si>
  <si>
    <t>Outdoor carpet adhesives</t>
  </si>
  <si>
    <t>Carpet pad adhesives</t>
  </si>
  <si>
    <t xml:space="preserve">Indoor carpet adhesives </t>
  </si>
  <si>
    <r>
      <t>Site Applied Adhesive and Sealants VOC Limits</t>
    </r>
    <r>
      <rPr>
        <b/>
        <vertAlign val="superscript"/>
        <sz val="10"/>
        <color theme="1"/>
        <rFont val="Calibri"/>
        <family val="2"/>
      </rPr>
      <t>a,b</t>
    </r>
  </si>
  <si>
    <t>Table 901.10(3)</t>
  </si>
  <si>
    <t>back to 901.9.1</t>
  </si>
  <si>
    <t>See Table 901.9.2</t>
  </si>
  <si>
    <t>See Table 901.10(3)</t>
  </si>
  <si>
    <t>back to 901.10(3)</t>
  </si>
  <si>
    <t># of fans:</t>
  </si>
  <si>
    <t>ACH50:</t>
  </si>
  <si>
    <t>row:</t>
  </si>
  <si>
    <t>602.1.7.1(3):</t>
  </si>
  <si>
    <r>
      <t xml:space="preserve">902.2.1 </t>
    </r>
    <r>
      <rPr>
        <sz val="10"/>
        <color theme="1"/>
        <rFont val="Calibri"/>
        <family val="2"/>
        <scheme val="minor"/>
      </rPr>
      <t>One of the following whole building ventilation systems is implemented and is in accordance with the specifications of Appendix B and an explanation of the operation and importance of the ventilation system is included in either 1001.1(9) or 1002.2(11).</t>
    </r>
  </si>
  <si>
    <t>back to 703.2.2</t>
  </si>
  <si>
    <t>back to 703.2.4</t>
  </si>
  <si>
    <t>multiple heating sys.?</t>
  </si>
  <si>
    <t>multiple cooling sys.?</t>
  </si>
  <si>
    <r>
      <t xml:space="preserve">    </t>
    </r>
    <r>
      <rPr>
        <sz val="10"/>
        <color theme="1"/>
        <rFont val="Calibri"/>
        <family val="2"/>
      </rPr>
      <t>≥90% AFUE</t>
    </r>
  </si>
  <si>
    <r>
      <t xml:space="preserve">    </t>
    </r>
    <r>
      <rPr>
        <sz val="10"/>
        <color theme="1"/>
        <rFont val="Calibri"/>
        <family val="2"/>
      </rPr>
      <t>≥92% AFUE</t>
    </r>
  </si>
  <si>
    <r>
      <t xml:space="preserve">    </t>
    </r>
    <r>
      <rPr>
        <sz val="10"/>
        <color theme="1"/>
        <rFont val="Calibri"/>
        <family val="2"/>
      </rPr>
      <t>≥94% AFUE</t>
    </r>
  </si>
  <si>
    <r>
      <t xml:space="preserve">    </t>
    </r>
    <r>
      <rPr>
        <sz val="10"/>
        <color theme="1"/>
        <rFont val="Calibri"/>
        <family val="2"/>
      </rPr>
      <t>≥96% AFUE</t>
    </r>
  </si>
  <si>
    <r>
      <t xml:space="preserve">    </t>
    </r>
    <r>
      <rPr>
        <sz val="10"/>
        <color theme="1"/>
        <rFont val="Calibri"/>
        <family val="2"/>
      </rPr>
      <t>≥98% AFUE</t>
    </r>
  </si>
  <si>
    <r>
      <t xml:space="preserve">    </t>
    </r>
    <r>
      <rPr>
        <sz val="10"/>
        <color theme="1"/>
        <rFont val="Calibri"/>
        <family val="2"/>
      </rPr>
      <t>≥85% AFUE</t>
    </r>
  </si>
  <si>
    <t>CZ:</t>
  </si>
  <si>
    <t>NOTE: For multi-unit buildings, each dwelling unit must have compliant whole-dwelling unit fans installed to claim these points.</t>
  </si>
  <si>
    <t>NOTE: For multi-unit buildings, each dwelling unit must comply to claim this point.</t>
  </si>
  <si>
    <t>See Table 703.2.5.1</t>
  </si>
  <si>
    <t>back to 703.2.5.1</t>
  </si>
  <si>
    <t>Per Table 703.2.5.2(a) or
703.2.5.2(b) or 
703.2.5.2(c)</t>
  </si>
  <si>
    <t>back to 703.2.5.2</t>
  </si>
  <si>
    <t>END OF CHAPTER 9</t>
  </si>
  <si>
    <t>CLICK TO PROCEED TO CHAPTER 10 &gt;&gt;</t>
  </si>
  <si>
    <t>Min. or Average AFUE:</t>
  </si>
  <si>
    <r>
      <t xml:space="preserve">    </t>
    </r>
    <r>
      <rPr>
        <sz val="10"/>
        <color theme="1"/>
        <rFont val="Calibri"/>
        <family val="2"/>
      </rPr>
      <t>≥8.5 HSPF</t>
    </r>
  </si>
  <si>
    <r>
      <t xml:space="preserve">    </t>
    </r>
    <r>
      <rPr>
        <sz val="10"/>
        <color theme="1"/>
        <rFont val="Calibri"/>
        <family val="2"/>
      </rPr>
      <t>≥9.0 HSPF</t>
    </r>
  </si>
  <si>
    <r>
      <t xml:space="preserve">    </t>
    </r>
    <r>
      <rPr>
        <sz val="10"/>
        <color theme="1"/>
        <rFont val="Calibri"/>
        <family val="2"/>
      </rPr>
      <t>≥9.5 HSPF</t>
    </r>
  </si>
  <si>
    <r>
      <t xml:space="preserve">    </t>
    </r>
    <r>
      <rPr>
        <sz val="10"/>
        <color theme="1"/>
        <rFont val="Calibri"/>
        <family val="2"/>
      </rPr>
      <t>≥10.0 HSPF</t>
    </r>
  </si>
  <si>
    <r>
      <t>Gas Engine-Driven Heat Pump Heating (≥1.3 COP at 47</t>
    </r>
    <r>
      <rPr>
        <sz val="10"/>
        <color theme="1"/>
        <rFont val="Calibri"/>
        <family val="2"/>
      </rPr>
      <t>°</t>
    </r>
    <r>
      <rPr>
        <sz val="10"/>
        <color theme="1"/>
        <rFont val="Calibri"/>
        <family val="2"/>
        <scheme val="minor"/>
      </rPr>
      <t>F)</t>
    </r>
  </si>
  <si>
    <t>Min. or Average COP:</t>
  </si>
  <si>
    <t>Min. or Average HSPF:</t>
  </si>
  <si>
    <r>
      <t xml:space="preserve">    </t>
    </r>
    <r>
      <rPr>
        <sz val="10"/>
        <color theme="1"/>
        <rFont val="Calibri"/>
        <family val="2"/>
      </rPr>
      <t>≥15 SEER</t>
    </r>
  </si>
  <si>
    <r>
      <t xml:space="preserve">    </t>
    </r>
    <r>
      <rPr>
        <sz val="10"/>
        <color theme="1"/>
        <rFont val="Calibri"/>
        <family val="2"/>
      </rPr>
      <t>≥17 SEER</t>
    </r>
  </si>
  <si>
    <r>
      <t xml:space="preserve">    </t>
    </r>
    <r>
      <rPr>
        <sz val="10"/>
        <color theme="1"/>
        <rFont val="Calibri"/>
        <family val="2"/>
      </rPr>
      <t>≥19 SEER</t>
    </r>
  </si>
  <si>
    <r>
      <t xml:space="preserve">    </t>
    </r>
    <r>
      <rPr>
        <sz val="10"/>
        <color theme="1"/>
        <rFont val="Calibri"/>
        <family val="2"/>
      </rPr>
      <t>≥21 SEER</t>
    </r>
  </si>
  <si>
    <t>Tropical Climate Zone: None of the occupied space is air conditioned and ceiling fans are provided for bedrooms and the largest space which is not used as a bedroom.</t>
  </si>
  <si>
    <t>(*)</t>
  </si>
  <si>
    <t>Electric Air Conditioner and Heat Pump Cooling</t>
  </si>
  <si>
    <r>
      <t>Gas Engine-Driven Heat Pump Cooling (≥1.2 COP at 95</t>
    </r>
    <r>
      <rPr>
        <sz val="10"/>
        <color theme="1"/>
        <rFont val="Calibri"/>
        <family val="2"/>
      </rPr>
      <t>°</t>
    </r>
    <r>
      <rPr>
        <sz val="10"/>
        <color theme="1"/>
        <rFont val="Calibri"/>
        <family val="2"/>
        <scheme val="minor"/>
      </rPr>
      <t>F)</t>
    </r>
  </si>
  <si>
    <t>Min. or Average SEER:</t>
  </si>
  <si>
    <r>
      <t xml:space="preserve">    </t>
    </r>
    <r>
      <rPr>
        <sz val="10"/>
        <color theme="1"/>
        <rFont val="Calibri"/>
        <family val="2"/>
      </rPr>
      <t>≥15 SEER, ≥4.0 COP</t>
    </r>
  </si>
  <si>
    <r>
      <t xml:space="preserve">    </t>
    </r>
    <r>
      <rPr>
        <sz val="10"/>
        <color theme="1"/>
        <rFont val="Calibri"/>
        <family val="2"/>
      </rPr>
      <t>≥16 EER, ≥3.6 COP</t>
    </r>
  </si>
  <si>
    <r>
      <t xml:space="preserve">    </t>
    </r>
    <r>
      <rPr>
        <sz val="10"/>
        <color theme="1"/>
        <rFont val="Calibri"/>
        <family val="2"/>
      </rPr>
      <t>≥24 EER, ≥4.3 COP</t>
    </r>
  </si>
  <si>
    <r>
      <t xml:space="preserve">    </t>
    </r>
    <r>
      <rPr>
        <sz val="10"/>
        <color theme="1"/>
        <rFont val="Calibri"/>
        <family val="2"/>
      </rPr>
      <t>≥28 EER, ≥4.8 COP</t>
    </r>
  </si>
  <si>
    <t>Min. or Average EER:</t>
  </si>
  <si>
    <t>Multifamily Building Note: Testing by dwelling units, groups of dwelling units, or the building as a whole is acceptable.</t>
  </si>
  <si>
    <t>902.1.1</t>
  </si>
  <si>
    <r>
      <t xml:space="preserve">902.1.1 </t>
    </r>
    <r>
      <rPr>
        <sz val="10"/>
        <color theme="1"/>
        <rFont val="Calibri"/>
        <family val="2"/>
        <scheme val="minor"/>
      </rPr>
      <t>Spot ventilation is in accordance with the following:</t>
    </r>
  </si>
  <si>
    <t>701.4.2.1</t>
  </si>
  <si>
    <t>verFloors</t>
  </si>
  <si>
    <t>verHDucts</t>
  </si>
  <si>
    <t>verCool1</t>
  </si>
  <si>
    <t>verCool2</t>
  </si>
  <si>
    <t>verCool3</t>
  </si>
  <si>
    <t>verCDucts</t>
  </si>
  <si>
    <t>verwdSHGC</t>
  </si>
  <si>
    <t>versSHGC</t>
  </si>
  <si>
    <t>verwdUV</t>
  </si>
  <si>
    <t>versUV</t>
  </si>
  <si>
    <r>
      <rPr>
        <b/>
        <sz val="11"/>
        <color theme="1"/>
        <rFont val="Calibri"/>
        <family val="2"/>
        <scheme val="minor"/>
      </rPr>
      <t>Answered</t>
    </r>
    <r>
      <rPr>
        <sz val="11"/>
        <color theme="1"/>
        <rFont val="Calibri"/>
        <family val="2"/>
        <scheme val="minor"/>
      </rPr>
      <t xml:space="preserve"> - You have affirmed that this practice was chosen/not chosen or met/not met.</t>
    </r>
  </si>
  <si>
    <t>Additional Points required</t>
  </si>
  <si>
    <t>Total points required</t>
  </si>
  <si>
    <r>
      <rPr>
        <b/>
        <sz val="11"/>
        <color theme="1"/>
        <rFont val="Calibri"/>
        <family val="2"/>
        <scheme val="minor"/>
      </rPr>
      <t>Chapter 6:</t>
    </r>
    <r>
      <rPr>
        <sz val="11"/>
        <color theme="1"/>
        <rFont val="Calibri"/>
        <family val="2"/>
        <scheme val="minor"/>
      </rPr>
      <t xml:space="preserve"> Resource Efficiency</t>
    </r>
  </si>
  <si>
    <r>
      <rPr>
        <b/>
        <sz val="11"/>
        <color theme="1"/>
        <rFont val="Calibri"/>
        <family val="2"/>
        <scheme val="minor"/>
      </rPr>
      <t>Chapter 5:</t>
    </r>
    <r>
      <rPr>
        <sz val="11"/>
        <color theme="1"/>
        <rFont val="Calibri"/>
        <family val="2"/>
        <scheme val="minor"/>
      </rPr>
      <t xml:space="preserve"> Lot Design, Preparation, and Development</t>
    </r>
  </si>
  <si>
    <r>
      <rPr>
        <b/>
        <sz val="11"/>
        <color theme="1"/>
        <rFont val="Calibri"/>
        <family val="2"/>
        <scheme val="minor"/>
      </rPr>
      <t>Chapter 7:</t>
    </r>
    <r>
      <rPr>
        <sz val="11"/>
        <color theme="1"/>
        <rFont val="Calibri"/>
        <family val="2"/>
        <scheme val="minor"/>
      </rPr>
      <t xml:space="preserve"> Energy Efficiency</t>
    </r>
  </si>
  <si>
    <r>
      <rPr>
        <b/>
        <sz val="11"/>
        <color theme="1"/>
        <rFont val="Calibri"/>
        <family val="2"/>
        <scheme val="minor"/>
      </rPr>
      <t>Chapter 8:</t>
    </r>
    <r>
      <rPr>
        <sz val="11"/>
        <color theme="1"/>
        <rFont val="Calibri"/>
        <family val="2"/>
        <scheme val="minor"/>
      </rPr>
      <t xml:space="preserve"> Water Efficiency</t>
    </r>
  </si>
  <si>
    <r>
      <rPr>
        <b/>
        <sz val="11"/>
        <color theme="1"/>
        <rFont val="Calibri"/>
        <family val="2"/>
        <scheme val="minor"/>
      </rPr>
      <t>Chapter 9:</t>
    </r>
    <r>
      <rPr>
        <sz val="11"/>
        <color theme="1"/>
        <rFont val="Calibri"/>
        <family val="2"/>
        <scheme val="minor"/>
      </rPr>
      <t xml:space="preserve"> Indoor Environmental Quality</t>
    </r>
  </si>
  <si>
    <r>
      <rPr>
        <b/>
        <sz val="11"/>
        <color theme="1"/>
        <rFont val="Calibri"/>
        <family val="2"/>
        <scheme val="minor"/>
      </rPr>
      <t>Chapter 10:</t>
    </r>
    <r>
      <rPr>
        <sz val="11"/>
        <color theme="1"/>
        <rFont val="Calibri"/>
        <family val="2"/>
        <scheme val="minor"/>
      </rPr>
      <t xml:space="preserve"> Operation, Maintenance, and Building Owner Education</t>
    </r>
  </si>
  <si>
    <t>Additional Points Claimed</t>
  </si>
  <si>
    <t>Summary of Results of the Design Phase</t>
  </si>
  <si>
    <t>Overall Level Achieved for Design</t>
  </si>
  <si>
    <t xml:space="preserve">    Additional points required due to SF over 4000 (601.1)</t>
  </si>
  <si>
    <t xml:space="preserve">Multifamily Building Note: For a multifamily building, a weighted average of the individual unit sizes is used for this practice. </t>
  </si>
  <si>
    <t>Mandatory Practices</t>
  </si>
  <si>
    <t>No Errors</t>
  </si>
  <si>
    <r>
      <t xml:space="preserve">703.3.6 </t>
    </r>
    <r>
      <rPr>
        <sz val="10"/>
        <color theme="1"/>
        <rFont val="Calibri"/>
        <family val="2"/>
        <scheme val="minor"/>
      </rPr>
      <t>Ground source heat pump is installed by a Certified Geothermal Service Contractor in accordance with Table 703.3.6. Refrigerant charge is verified for compliance with manufacturer’s instructions utilizing a method in Section 4.3 of ACCA 5 QI-2010.</t>
    </r>
  </si>
  <si>
    <r>
      <t>703.5.5</t>
    </r>
    <r>
      <rPr>
        <sz val="10"/>
        <color theme="1"/>
        <rFont val="Calibri"/>
        <family val="2"/>
        <scheme val="minor"/>
      </rPr>
      <t xml:space="preserve"> </t>
    </r>
    <r>
      <rPr>
        <b/>
        <sz val="10"/>
        <color theme="1"/>
        <rFont val="Calibri"/>
        <family val="2"/>
        <scheme val="minor"/>
      </rPr>
      <t xml:space="preserve">Solar water heater. </t>
    </r>
    <r>
      <rPr>
        <sz val="10"/>
        <color theme="1"/>
        <rFont val="Calibri"/>
        <family val="2"/>
        <scheme val="minor"/>
      </rPr>
      <t>SRCC (Solar Rating &amp; Certification Corporation) OG 300 rated, or equivalent, solar domestic water heating system is installed. Solar Energy Factor (SEF) as defined by SRCC is in accordance with Table 703.5.5.</t>
    </r>
  </si>
  <si>
    <t>Carpet meeting and carpet cushion not meeting the emission limits is installed.</t>
  </si>
  <si>
    <t>Points Required</t>
  </si>
  <si>
    <t>Sign Off After ROUGH Inspection</t>
  </si>
  <si>
    <t>Project ID:</t>
  </si>
  <si>
    <t>Certification Level - As Designed:</t>
  </si>
  <si>
    <t>Builder/Applicant:</t>
  </si>
  <si>
    <t>Building Type:</t>
  </si>
  <si>
    <t>Project Description:</t>
  </si>
  <si>
    <t>Chapter</t>
  </si>
  <si>
    <t xml:space="preserve">Designer </t>
  </si>
  <si>
    <t>BRONZE</t>
  </si>
  <si>
    <t>SILVER</t>
  </si>
  <si>
    <t>GOLD</t>
  </si>
  <si>
    <t>EMERALD</t>
  </si>
  <si>
    <r>
      <t xml:space="preserve">CHAPTER </t>
    </r>
    <r>
      <rPr>
        <b/>
        <sz val="11"/>
        <color theme="1"/>
        <rFont val="Calibri"/>
        <family val="2"/>
        <scheme val="minor"/>
      </rPr>
      <t>5</t>
    </r>
    <r>
      <rPr>
        <sz val="11"/>
        <color theme="1"/>
        <rFont val="Calibri"/>
        <family val="2"/>
        <scheme val="minor"/>
      </rPr>
      <t xml:space="preserve"> LOT DESIGN</t>
    </r>
  </si>
  <si>
    <r>
      <t xml:space="preserve">CHAPTER </t>
    </r>
    <r>
      <rPr>
        <b/>
        <sz val="11"/>
        <color theme="1"/>
        <rFont val="Calibri"/>
        <family val="2"/>
        <scheme val="minor"/>
      </rPr>
      <t>6</t>
    </r>
    <r>
      <rPr>
        <sz val="11"/>
        <color theme="1"/>
        <rFont val="Calibri"/>
        <family val="2"/>
        <scheme val="minor"/>
      </rPr>
      <t xml:space="preserve"> RESOURCE EFFICIENCY</t>
    </r>
  </si>
  <si>
    <r>
      <t xml:space="preserve">CHAPTER </t>
    </r>
    <r>
      <rPr>
        <b/>
        <sz val="11"/>
        <color theme="1"/>
        <rFont val="Calibri"/>
        <family val="2"/>
        <scheme val="minor"/>
      </rPr>
      <t>7</t>
    </r>
    <r>
      <rPr>
        <sz val="11"/>
        <color theme="1"/>
        <rFont val="Calibri"/>
        <family val="2"/>
        <scheme val="minor"/>
      </rPr>
      <t xml:space="preserve"> ENERGY EFFICIENCY</t>
    </r>
  </si>
  <si>
    <r>
      <t xml:space="preserve">CHAPTER </t>
    </r>
    <r>
      <rPr>
        <b/>
        <sz val="11"/>
        <color theme="1"/>
        <rFont val="Calibri"/>
        <family val="2"/>
        <scheme val="minor"/>
      </rPr>
      <t>8</t>
    </r>
    <r>
      <rPr>
        <sz val="11"/>
        <color theme="1"/>
        <rFont val="Calibri"/>
        <family val="2"/>
        <scheme val="minor"/>
      </rPr>
      <t xml:space="preserve"> WATER EFFICIENCY</t>
    </r>
  </si>
  <si>
    <r>
      <t xml:space="preserve">CHAPTER </t>
    </r>
    <r>
      <rPr>
        <b/>
        <sz val="11"/>
        <color theme="1"/>
        <rFont val="Calibri"/>
        <family val="2"/>
        <scheme val="minor"/>
      </rPr>
      <t>9</t>
    </r>
    <r>
      <rPr>
        <sz val="11"/>
        <color theme="1"/>
        <rFont val="Calibri"/>
        <family val="2"/>
        <scheme val="minor"/>
      </rPr>
      <t xml:space="preserve"> INDOOR ENVIRONMENTAL QUALITY</t>
    </r>
  </si>
  <si>
    <r>
      <t xml:space="preserve">CHAPTER </t>
    </r>
    <r>
      <rPr>
        <b/>
        <sz val="11"/>
        <color theme="1"/>
        <rFont val="Calibri"/>
        <family val="2"/>
        <scheme val="minor"/>
      </rPr>
      <t>10</t>
    </r>
    <r>
      <rPr>
        <sz val="11"/>
        <color theme="1"/>
        <rFont val="Calibri"/>
        <family val="2"/>
        <scheme val="minor"/>
      </rPr>
      <t xml:space="preserve"> OPERATION, MAINTENANCE</t>
    </r>
  </si>
  <si>
    <t>Total</t>
  </si>
  <si>
    <t>Builder Signature Release:</t>
  </si>
  <si>
    <t>Name:</t>
  </si>
  <si>
    <t>Email:</t>
  </si>
  <si>
    <t>Phone:</t>
  </si>
  <si>
    <t>Date:</t>
  </si>
  <si>
    <t>Verifier Comments &amp; Sign Off</t>
  </si>
  <si>
    <t>I have personally verified by inspection and/or document review the green practices for which I have awarded points during this rough inspection on this building following the guidance in theVerifier Agreement and Verifiers Resource Guide.  My company is not supplying product, participating in the physical construction of this project, or affiliated in any other way that would compromise the independence of my verification services.</t>
  </si>
  <si>
    <t>Verifier Comments:</t>
  </si>
  <si>
    <t>Verifier Signature:</t>
  </si>
  <si>
    <t>Start Time:</t>
  </si>
  <si>
    <t>End Time:</t>
  </si>
  <si>
    <t>(format: mm/dd/yyyy)</t>
  </si>
  <si>
    <t>Team Verification</t>
  </si>
  <si>
    <t xml:space="preserve">(Completing this section is MANDATORY whenever multiple accredited verifiers are involved in the verification of a given building or homes within a batch.) </t>
  </si>
  <si>
    <t>Verifier Name</t>
  </si>
  <si>
    <t>Role</t>
  </si>
  <si>
    <r>
      <rPr>
        <b/>
        <sz val="11"/>
        <color theme="1"/>
        <rFont val="Calibri"/>
        <family val="2"/>
        <scheme val="minor"/>
      </rPr>
      <t>Elements Verified</t>
    </r>
    <r>
      <rPr>
        <sz val="11"/>
        <color theme="1"/>
        <rFont val="Calibri"/>
        <family val="2"/>
        <scheme val="minor"/>
      </rPr>
      <t xml:space="preserve"> </t>
    </r>
    <r>
      <rPr>
        <i/>
        <sz val="8"/>
        <color theme="1"/>
        <rFont val="Calibri"/>
        <family val="2"/>
        <scheme val="minor"/>
      </rPr>
      <t>(if applicable)</t>
    </r>
  </si>
  <si>
    <t>OPTIONAL BATCH SUBMISSION</t>
  </si>
  <si>
    <t>Final Address</t>
  </si>
  <si>
    <t>Rough Address</t>
  </si>
  <si>
    <t>City, State, Zip</t>
  </si>
  <si>
    <t>Project ID</t>
  </si>
  <si>
    <r>
      <t xml:space="preserve">Inspection Date 
</t>
    </r>
    <r>
      <rPr>
        <sz val="8"/>
        <color theme="0" tint="-0.499984740745262"/>
        <rFont val="Calibri"/>
        <family val="2"/>
        <scheme val="minor"/>
      </rPr>
      <t>(format: mm/dd/yyyy)</t>
    </r>
  </si>
  <si>
    <t>- REQUIREMENTS FOR BATCH SUBMISSION -</t>
  </si>
  <si>
    <t>• All addresses must be single-family homes in the same community, built by the same builder.</t>
  </si>
  <si>
    <t>• All homes must have substantially the same construction type.</t>
  </si>
  <si>
    <t>• The standard inspection notification process must be followed for each home.</t>
  </si>
  <si>
    <t>• All inspections of the same type (rough or final) must be completed before submitting the report.</t>
  </si>
  <si>
    <t>• Practices &amp; points are only awarded for practices that all homes meet. When using the performance path, the energy analysis for the poorest-performing home must be submitted. 
   A note should be included from the energy professional that confirm that the home was the poorest performing of those within the batch.</t>
  </si>
  <si>
    <t>• All homes within a batch listed earn the same certification level.</t>
  </si>
  <si>
    <t>• All homes must be inspected, and the inspection dates need to be included for each address.</t>
  </si>
  <si>
    <t>• No more than 10 homes can be submitted on one report.</t>
  </si>
  <si>
    <t>• Photos for each home are to be submitted, each titled with their respective Project ID.</t>
  </si>
  <si>
    <t>Warning!</t>
  </si>
  <si>
    <t xml:space="preserve">• A separate certificate will be issued for each home listed, but no certificates are issued until ALL homes are verified and verification reports reviewed. </t>
  </si>
  <si>
    <r>
      <t xml:space="preserve">• </t>
    </r>
    <r>
      <rPr>
        <u val="double"/>
        <sz val="11"/>
        <color theme="1"/>
        <rFont val="Calibri"/>
        <family val="2"/>
        <scheme val="minor"/>
      </rPr>
      <t>Warning</t>
    </r>
    <r>
      <rPr>
        <sz val="11"/>
        <color theme="1"/>
        <rFont val="Calibri"/>
        <family val="2"/>
        <scheme val="minor"/>
      </rPr>
      <t>: If there is an issue with the report, it may not surface until it is too late to recover. This may mean that certificates are not available for closing.</t>
    </r>
  </si>
  <si>
    <t>Sign Off After FINAL Inspection</t>
  </si>
  <si>
    <t>I authorize delivery of the certificate via:</t>
  </si>
  <si>
    <t>Certificate should be sent to:</t>
  </si>
  <si>
    <t>I certify that to the best of my knowledge, based on documentation presented to me and inspections completed by me, the items noted in this verification report are in conformance with ICC-700 and the guidance in the Verifier Agreement and Verifier's Resource Guide.  My company did not supply product, participate in the physical construction of this project, or affiliated in any other way that would compromise the independence of my verification services.</t>
  </si>
  <si>
    <t>I hereby disclose that the services provided by my company related to this home were:</t>
  </si>
  <si>
    <t>Other Service Description
(If applicable)</t>
  </si>
  <si>
    <t>Expected  Level:</t>
  </si>
  <si>
    <t>Verifier Reminder:</t>
  </si>
  <si>
    <t>Delivery Method</t>
  </si>
  <si>
    <t>Expected Level</t>
  </si>
  <si>
    <t>US Mail</t>
  </si>
  <si>
    <t>Address On File</t>
  </si>
  <si>
    <t>Address as noted in Builder Comment</t>
  </si>
  <si>
    <t>Service Disclosure</t>
  </si>
  <si>
    <t>Verification Only</t>
  </si>
  <si>
    <t>Other sevices as disclosed to the right</t>
  </si>
  <si>
    <t>Map showing location of transportation relative to the building.</t>
  </si>
  <si>
    <t>Distance is based walking or driving from the lot and not from the community entrance.</t>
  </si>
  <si>
    <t>Infrastructure in the community should be considered applicable to this practice. Map or approved site plan showing location of committed community resources relative to building.</t>
  </si>
  <si>
    <t>Community site plan or official local jurisdiction bike lane map.</t>
  </si>
  <si>
    <t>Approved bike plan showing location of designated bicycle parking and racks.</t>
  </si>
  <si>
    <t>Both a plan and implementation is required to award points. Lot specific information for:</t>
  </si>
  <si>
    <t>Statement from professional that he/she directed plan implementation. This applies to high priority resources.</t>
  </si>
  <si>
    <t>Evidence of site supervisor training</t>
  </si>
  <si>
    <t>Invoice or other evidence from Certified Arborist.</t>
  </si>
  <si>
    <t>Statement from professional that maintenance of vegetation during construction complies.</t>
  </si>
  <si>
    <t>Written conservation plan.</t>
  </si>
  <si>
    <t>Report from qualified professional indicating the percent alignment.</t>
  </si>
  <si>
    <t>Report from qualified professional stating intent of the requirement has been met.</t>
  </si>
  <si>
    <t>None. To receive points, the lot must have enough of a slope that these practices actually contribute to reducing the impact both short and long term. For example, a retaining wall must not just be for decorative purposes and driveways on flat lots do not get points for alignment</t>
  </si>
  <si>
    <t>Construction schedule. Un-stabilized soil exposure should be limited to 14 days or less if that area will not be further disturbed during a 21-day period. The construction schedule must include specific activities at specific stages to address stabilization.</t>
  </si>
  <si>
    <t>Plans &amp; scopes of work showing tunneling.</t>
  </si>
  <si>
    <t>Plans &amp; scopes of work showing use of smaller equipment.</t>
  </si>
  <si>
    <t>Plans showing shared utility trenches or easements.</t>
  </si>
  <si>
    <t>Plans showing utilities under paved surfaces instead of yards.</t>
  </si>
  <si>
    <t>Plans showing grading &amp; clearing limits.</t>
  </si>
  <si>
    <t>Engineer’s report showing 95% event will not result in rainwater leaving the lot.</t>
  </si>
  <si>
    <t>Calculation showing % of hardscape surface covered with permeable materials.</t>
  </si>
  <si>
    <t>Landscape plan that identifies natural vegetation on the lot to be protected, enhanced, or restored.</t>
  </si>
  <si>
    <t>List of regionally appropriate plants must be on plan. Landscape contractor statement or labels on plants.</t>
  </si>
  <si>
    <t>Landscape plan by qualified landscape professional that identifies flowering and nectar producing species on at least 10% of planted areas.</t>
  </si>
  <si>
    <t>Landscape plan by qualified landscape professional.</t>
  </si>
  <si>
    <t>Calculation showing % of lot (minus building footprint &amp; hardscape) that is turf or EPA Budget Tool. Landscape plan by qualified landscape professional stating intent of practice will be met.</t>
  </si>
  <si>
    <t>Landscape plan by qualified landscape professional showing watering needs. This practice applies to plants on the lot and the plan should show the hydrozoning.</t>
  </si>
  <si>
    <t>Landscape plan by qualified professional stating intent of practice will be met.</t>
  </si>
  <si>
    <t>PO or invoice for contractor providing onsite recycling.</t>
  </si>
  <si>
    <t>Development-wide or lot-specific wildlife management plan by a qualified professional. The measures to support wildlife habitat should be commensurate with the lot size and surroundings. Points are available for lots when community space supports wildlife habitat. The minimum support measures should include at least 2 of the following: area for shelter, natural food source, and natural water source.</t>
  </si>
  <si>
    <t>Lot specific plan showing no sensitive areas. These points available if the lot does not contain any environmentally sensitive areas, or if the lot does contain an environmentally sensitive area and this area is not disturbed by the construction.</t>
  </si>
  <si>
    <t>Lot specific plan showing original location of sensitive areas. Plan by qualified professional showing appropriate mitigation or restoration steps. These points are available only if the lot has a compromised environmentally sensitive area on the lot. Points cannot be claimed for mandatory mitigation or restoration of federally-protected sensitive areas unless the mitigation or restoration is greater than that which was required through the federal permit process.</t>
  </si>
  <si>
    <t>None. All designated trees and vegetation on the lot or adjacent to the lot that might be disturbed by the construction must be protected in order to award these points.</t>
  </si>
  <si>
    <t>Landscape plan. The lot must have at least one tree identified for saving on the plan and all of the identified trees must be avoided to earn these points.</t>
  </si>
  <si>
    <t>Invoice or other evidence from qualified arborist. Besides evidence that all appropriate measures above have been implemented, the designated trees and vegetation must be healthy on completion of the project. Designated trees are trees existing on the lot before construction began.</t>
  </si>
  <si>
    <t>Storm water pollution prevention plan. These controls must be on the lot.</t>
  </si>
  <si>
    <t>None. Lot lines alone are not sufficient for this practice except on small urban lots where the building footprint consumes at least 50% of the lot.</t>
  </si>
  <si>
    <t>The no disturbance zone may be adjacent to the lot when the zone is close enough to be impacted by the construction.</t>
  </si>
  <si>
    <t>None. Stockpiled topsoil can either be from the lot itself or from the construction of the development, but the stockpiled topsoil must be used on the lot for points to be awarded.</t>
  </si>
  <si>
    <t>None. This must be done for all heavy equipment used on the lot throughout the construction process.</t>
  </si>
  <si>
    <t>As-built construction schedule. This practice applies to the lot.</t>
  </si>
  <si>
    <t>Invoice or evidence from landscape contractor. The amount of amendments should be consistent with good landscape practice. A soil analysis or landscape professional would typically be required to identify the most appropriate amendments. Amendments or mulch should be applied to at least 50% of the landscaped area.</t>
  </si>
  <si>
    <t>Plans and scope of work showing alternative means used. When awarding points for tunneling at least 50% of the utilities must be installed with tunneling to earn these points. At least 75% of the utilities must be installed with low ground pressure equipment for these points. When awarding points for shared trenches or easements, at least three utilities must be in one trench or two utilities in each of two trenches or all utilities use the same easement.</t>
  </si>
  <si>
    <t>None. A shared driveway must be shared at least for 50% of its length.</t>
  </si>
  <si>
    <t>Document with local regulations</t>
  </si>
  <si>
    <t>None.</t>
  </si>
  <si>
    <t>Site and landscape plan.</t>
  </si>
  <si>
    <t>This practice applies to strategies implemented on the lot. Calculation showing percent of hardscape included in heat island minimization. Manufacture’s literature with SRI data.</t>
  </si>
  <si>
    <t>Manufacture’s literature with SRI data.</t>
  </si>
  <si>
    <t>Calculation of number of units divided by lot size for the building.</t>
  </si>
  <si>
    <t>None. These points are intended for buildings that contain other than residential uses in the building. The points for a mixed use community are awarded in 501.2(3).</t>
  </si>
  <si>
    <t>Plan specs.</t>
  </si>
  <si>
    <t>Plans or other document by architect or designer showing square footage calculation per ANSI Z765 for all finished floor area above grade. Calculation showing weighted average unit size for multi-family buildings.</t>
  </si>
  <si>
    <t>Engineer’s statement that the intent of the practice has been met.</t>
  </si>
  <si>
    <t>Specifications showing higher grade materials.</t>
  </si>
  <si>
    <t>Engineer’s statement of design report showing performance based design meeting the intent of the practice.</t>
  </si>
  <si>
    <t>Plans showing dimensions &amp; layouts to minimize material usage and waste.</t>
  </si>
  <si>
    <t>PO and documentation from producer.</t>
  </si>
  <si>
    <t xml:space="preserve">List of materials and manufacture’s literature (unless pre-finished is obvious) that do not get site finished. Note if used at 90%, 50%, or 35% level. </t>
  </si>
  <si>
    <r>
      <t>REQUIRED:</t>
    </r>
    <r>
      <rPr>
        <sz val="10"/>
        <color theme="1"/>
        <rFont val="Calibri"/>
        <family val="2"/>
        <scheme val="minor"/>
      </rPr>
      <t xml:space="preserve"> Evidence that the site was previously developed.</t>
    </r>
  </si>
  <si>
    <r>
      <t>REQUIRED:</t>
    </r>
    <r>
      <rPr>
        <sz val="10"/>
        <color theme="1"/>
        <rFont val="Calibri"/>
        <family val="2"/>
        <scheme val="minor"/>
      </rPr>
      <t xml:space="preserve"> Evidence that the site is a recognized brownfield.</t>
    </r>
  </si>
  <si>
    <r>
      <t>REQUIRED</t>
    </r>
    <r>
      <rPr>
        <sz val="10"/>
        <color theme="1"/>
        <rFont val="Calibri"/>
        <family val="2"/>
        <scheme val="minor"/>
      </rPr>
      <t>: Written project mission statement, goals, and specific team member roles identified. Points can be awarded if the developer of the community establishes a team for this purpose with identified roles and written goals, objectives, and a mission statement, and the covenants for homes built in the community support the mission.</t>
    </r>
  </si>
  <si>
    <r>
      <t>REQUIRED:</t>
    </r>
    <r>
      <rPr>
        <sz val="10"/>
        <color theme="1"/>
        <rFont val="Calibri"/>
        <family val="2"/>
        <scheme val="minor"/>
      </rPr>
      <t xml:space="preserve"> Natural resource inventory signed by qualified professional.</t>
    </r>
  </si>
  <si>
    <r>
      <t>REQUIRED:</t>
    </r>
    <r>
      <rPr>
        <sz val="10"/>
        <color theme="1"/>
        <rFont val="Calibri"/>
        <family val="2"/>
        <scheme val="minor"/>
      </rPr>
      <t xml:space="preserve"> Written conservation plan. Examples of high priority resources include trees, waterways, snags, micro-habitats, etc.</t>
    </r>
  </si>
  <si>
    <r>
      <t>REQUIRED</t>
    </r>
    <r>
      <rPr>
        <sz val="10"/>
        <color theme="1"/>
        <rFont val="Calibri"/>
        <family val="2"/>
        <scheme val="minor"/>
      </rPr>
      <t>: Hydrological study report applicable to the lot and statement that the intent of the requirement has been met.</t>
    </r>
  </si>
  <si>
    <r>
      <t>REQUIRED:</t>
    </r>
    <r>
      <rPr>
        <sz val="10"/>
        <color theme="1"/>
        <rFont val="Calibri"/>
        <family val="2"/>
        <scheme val="minor"/>
      </rPr>
      <t xml:space="preserve"> Pest management plan.</t>
    </r>
  </si>
  <si>
    <r>
      <t>REQUIRED:</t>
    </r>
    <r>
      <rPr>
        <sz val="10"/>
        <color theme="1"/>
        <rFont val="Calibri"/>
        <family val="2"/>
        <scheme val="minor"/>
      </rPr>
      <t xml:space="preserve"> Framing/structural plans, material and cut lists.</t>
    </r>
  </si>
  <si>
    <t>List of practices implemented from 503.3. This practice applies to activities on the lot.</t>
  </si>
  <si>
    <t>Plans showing foundation details.</t>
  </si>
  <si>
    <t>Plans/specifications AND scope of work(s) detailing how mandatory requirement has been met. Photo(s) showing installation. Report from certified professional when the building code exceptions are used. </t>
  </si>
  <si>
    <t>Plans/specifications AND scope of work(s) detailing how this requirement has been met. Photo(s) showing installation.</t>
  </si>
  <si>
    <t>Plans, specification, or scope of work showing enhanced foundation coating.</t>
  </si>
  <si>
    <t>Plans showing exterior and interior rain tile for foundation, if applicable.</t>
  </si>
  <si>
    <t xml:space="preserve">If wet insulation is used, provide documentation of moisture content before enclosure. </t>
  </si>
  <si>
    <r>
      <rPr>
        <b/>
        <sz val="10"/>
        <color theme="1"/>
        <rFont val="Calibri"/>
        <family val="2"/>
        <scheme val="minor"/>
      </rPr>
      <t>MANDATORY</t>
    </r>
    <r>
      <rPr>
        <sz val="10"/>
        <color theme="1"/>
        <rFont val="Calibri"/>
        <family val="2"/>
        <scheme val="minor"/>
      </rPr>
      <t xml:space="preserve"> Plans, specification, or scope of work showing WRB or drainage plane.</t>
    </r>
  </si>
  <si>
    <t>Projection factor calculations = overhang width/ height to the overhang (Measure height from sill of window or door to the overhang) See illustration in the definition section of standard.</t>
  </si>
  <si>
    <t>MANDATORY</t>
  </si>
  <si>
    <t>Plans/documentation showing original square footage. When modified, plans showing modifications. When deconstructed, photos showing process and receipts for donation of major components.</t>
  </si>
  <si>
    <t xml:space="preserve">List of the type and quantity of salvaged materials used on this building. Demonstrate that the installed cost of the salvaged materials to be = to or &gt;1% of total construction costs. </t>
  </si>
  <si>
    <t>List of materials used with recycled content. Manufacturer’s literature showing recycled content.</t>
  </si>
  <si>
    <t>Post C&amp;D waste management plan on-site. Evidence that at least 50% of waste materials are being recycled or salvaged.</t>
  </si>
  <si>
    <t>No documentation required, but builder rep shall point out on-site recycling efforts and explain 50% goal.</t>
  </si>
  <si>
    <t>Copy of agreement with and pick-up tickets by recycling contractor, list of materials sent to recycler.</t>
  </si>
  <si>
    <t>List of materials and amounts, and manufacturers’ literature or certificate documenting materials manufactured from renewable resources used on this site.</t>
  </si>
  <si>
    <t>List of certified wood product types used and literature or stamp showing certification.</t>
  </si>
  <si>
    <t xml:space="preserve">List materials used and manufacturer’s literature showing source and amount of energy used in manufacturing. </t>
  </si>
  <si>
    <t>List the products used and justification that are claimed to use fewer resources if not specifically listed in the practice.</t>
  </si>
  <si>
    <t>List the materials or components and manufacturing location used in the home that are extracted, processed, and manufactured within 500 miles</t>
  </si>
  <si>
    <t>Documented ISO 14044 LCA comparing at least two products intended for the same application.</t>
  </si>
  <si>
    <t>List of materials used to include manufacturer, cost of materials, and % of total materials cost. Copy of ISO14001 certificate for each material claimed. Analysis showing total material cost.</t>
  </si>
  <si>
    <t>List of certified products with product literature or other evidence of certification.</t>
  </si>
  <si>
    <t>Drawing, specifications, scopes of work detailing air sealing that is not readily inspected during the rough inspection.</t>
  </si>
  <si>
    <t>Manufacturer’s label or literature indicating listing complying with this practice.</t>
  </si>
  <si>
    <t xml:space="preserve">Manufacturer’s literature stating compliance with the practice. </t>
  </si>
  <si>
    <t>Manufacturer’s literature indicating conformance to ASTM C1371</t>
  </si>
  <si>
    <t>Test report showing ACH50.</t>
  </si>
  <si>
    <t>Labels on units.</t>
  </si>
  <si>
    <t>Manufacturer’s specification for combo system showing combined annual efficiency of at least 0.80 and a minimum water heating recovery efficiency of 0.87.</t>
  </si>
  <si>
    <t>Manufacturer’s specification for equipment that is installed.</t>
  </si>
  <si>
    <t>Manufacturer’s literature.</t>
  </si>
  <si>
    <t>Manufacturer’s literature showing factory installation or invoice/statement of work by qualified installer.</t>
  </si>
  <si>
    <t>Manufacturer’s literature for installed equipment.</t>
  </si>
  <si>
    <t>Calculation showing glazing percentage per the practice.</t>
  </si>
  <si>
    <t>When thermal mass is claimed provide calculation for ratio of exposed thermal mass to conditioned floor space.</t>
  </si>
  <si>
    <t>Calculations for ratio of south glazing to floor area and ratio of exposed thermal mass to conditioned floor space.</t>
  </si>
  <si>
    <t xml:space="preserve">None. </t>
  </si>
  <si>
    <t>Certificate.</t>
  </si>
  <si>
    <t>Start-up checklist signed by contractor.</t>
  </si>
  <si>
    <t>Blower door test report. 701.4.3.2 visual inspection report.</t>
  </si>
  <si>
    <t>Manufacturer’s product specification(s).</t>
  </si>
  <si>
    <t>Evidence (e.g., utility bills) builder has selected renewable energy service for both construction and local office for temporary electric service during construction.</t>
  </si>
  <si>
    <t>Service agreement that owner has selected renewable energy service plan for permanent service after completion.</t>
  </si>
  <si>
    <t>Manufacture’s literature or label.</t>
  </si>
  <si>
    <t>Manufacturer’s literature or installer certification showing number of watts produced by installed system.</t>
  </si>
  <si>
    <t>Calculation showing maximum amount of water in the piping between heater and any fixture.</t>
  </si>
  <si>
    <t>Manufacturer’s specifications showing compliance.</t>
  </si>
  <si>
    <t>Manufacturer’s specs showing compliance.</t>
  </si>
  <si>
    <t>Manufacturer’s specifications or literature.</t>
  </si>
  <si>
    <t>Landscape plan of 503.5</t>
  </si>
  <si>
    <t>Plans and specs.</t>
  </si>
  <si>
    <t>Analysis by qualified professional that system as installed and normal rainfall with provide 100% of domestic demand</t>
  </si>
  <si>
    <t>Plans and specs showing rough plumbed systems.</t>
  </si>
  <si>
    <t>When fire sprinkler system present, provide installer’s certification that shutoff does not interfere with sprinklers.</t>
  </si>
  <si>
    <t>Local jurisdiction approval.</t>
  </si>
  <si>
    <t>Documentation describing advanced features of the system.</t>
  </si>
  <si>
    <t>Manufacturer’s literature or label. Note: The EPA does not certify fireplaces. There are EPA-qualified fireplaces that are acceptable for this practice.</t>
  </si>
  <si>
    <t>Manufacturer’s literature or label.</t>
  </si>
  <si>
    <t>Manufacturer’s literature/specifications for fan.</t>
  </si>
  <si>
    <t>MANDATORY None.</t>
  </si>
  <si>
    <t>Manufacturer’s literature demonstrating zero emissions.</t>
  </si>
  <si>
    <t>Manufacturer’s literature or label on product indicating CARB compliance.</t>
  </si>
  <si>
    <t>Manufacturer’s literature or label on product indicating CPA4 compliance.</t>
  </si>
  <si>
    <t>Manufacturer’s literature or label on product indicating HPVA compliance.</t>
  </si>
  <si>
    <t>Manufacturer’s literature or label on product indicating CPA compliance.</t>
  </si>
  <si>
    <t xml:space="preserve">Manufacturer’s literature showing 3rd party certification. </t>
  </si>
  <si>
    <t>List of interior coatings used showing amount used, %, and VOC criteria. Manufacturer’s literature showing VOC. Scopes of work or specifications showing which materials were to be used.</t>
  </si>
  <si>
    <t>List of all colorants used showing amount used, %, and VOC criteria. Manufacturer’s literature showing VOC as listed. Scopes of work or specifications showing which materials were to be used.</t>
  </si>
  <si>
    <t>List of interior coatings used showing amount used, %, and VOC criteria. Manufacturer’s literature showing VOC and product certification. Scopes of work or specifications showing which materials were to be used.</t>
  </si>
  <si>
    <t>List of all interior sealants used showing amount, %, and VOC criteria. Manufacturer’s literature showing VOC and product certification when applicable.</t>
  </si>
  <si>
    <t>Manufacturer’s literature or product marking showing compliance for wall, ceiling and/or floor insulation.</t>
  </si>
  <si>
    <t>Manufacturer’s literature or product marking showing NFPA and CSA or UL compliance.</t>
  </si>
  <si>
    <t>Manufacturer’s literature/specifications for the fan showing cfm.</t>
  </si>
  <si>
    <t>Manufacturer’s literature/specifications showing cfm.</t>
  </si>
  <si>
    <t>MANDATORY if ACH50 is less than 5 for any of 701.4.3.2(1), or 703.1.5, or 704.5.2.1 or any blower door testing that has been done.</t>
  </si>
  <si>
    <t>Statement from qualified professional indicating system is in compliance with Appendix B.</t>
  </si>
  <si>
    <t>Test report by qualified professional showing compliance as installed.</t>
  </si>
  <si>
    <t>Designer/installer certification of system capability for installed MERV filters.</t>
  </si>
  <si>
    <t>None for passive system.</t>
  </si>
  <si>
    <t>Invoice from cleaning contractor showing cleaning and coil inspection.</t>
  </si>
  <si>
    <t>Manufacturer’s literature detailing capabilities. Statement by qualified professional that the system as installed has the capacity to meet the practice.</t>
  </si>
  <si>
    <t>Manufacturer’s literature showing cfm.</t>
  </si>
  <si>
    <t>Builder’s documented procedures &amp; standard practices explaining the occupant training process. Examples of training materials and written confirmation from similar projects that training has been done.</t>
  </si>
  <si>
    <t>Items (1) and (2) are mandatory.  Review the operations manual that includes both mandatory items and at least 2 from the list of optional items.</t>
  </si>
  <si>
    <t>Item (1) is mandatory.  Review the maintenance manual that addresses the mandatory item and at least 4 of the optional items.</t>
  </si>
  <si>
    <t>Builder’s documented procedures &amp; standard practices explaining the occupant training process. Examples of training materials and written confirmation from similar projects that training has actually been done.</t>
  </si>
  <si>
    <t xml:space="preserve">Visual confirmation and/or photos of the construction signs visible on site during construction. </t>
  </si>
  <si>
    <t>Purchase order for certification signage and written instructions regarding installation location.</t>
  </si>
  <si>
    <t xml:space="preserve">Photos, screen shots of web pages, or copies of marketing materials that include www.ngbs.com. </t>
  </si>
  <si>
    <t xml:space="preserve">Verification system, such as automated monitoring equipment, is installed that provides a means to measure energy and water usage. </t>
  </si>
  <si>
    <r>
      <t>MANDATORY</t>
    </r>
    <r>
      <rPr>
        <sz val="10"/>
        <color theme="1"/>
        <rFont val="Calibri"/>
        <family val="2"/>
        <scheme val="minor"/>
      </rPr>
      <t>. Plans showing exterior drain tile for foundation, if applicable. Photo(s) showing installation.</t>
    </r>
  </si>
  <si>
    <r>
      <t>Flooring manufacturer’s recommendations for moisture content. Moisture sampling data by builder or 3</t>
    </r>
    <r>
      <rPr>
        <vertAlign val="superscript"/>
        <sz val="10"/>
        <color theme="1"/>
        <rFont val="Calibri"/>
        <family val="2"/>
        <scheme val="minor"/>
      </rPr>
      <t>rd</t>
    </r>
    <r>
      <rPr>
        <sz val="10"/>
        <color theme="1"/>
        <rFont val="Calibri"/>
        <family val="2"/>
        <scheme val="minor"/>
      </rPr>
      <t xml:space="preserve"> party.</t>
    </r>
  </si>
  <si>
    <r>
      <t>MANDATORY</t>
    </r>
    <r>
      <rPr>
        <sz val="10"/>
        <color theme="1"/>
        <rFont val="Calibri"/>
        <family val="2"/>
        <scheme val="minor"/>
      </rPr>
      <t xml:space="preserve"> Manufacturer’s literature/specification/labeling showing ASTM compliance. Plans/specifications and scope of work showing installation. </t>
    </r>
  </si>
  <si>
    <r>
      <t>MANDATORY</t>
    </r>
    <r>
      <rPr>
        <sz val="10"/>
        <color theme="1"/>
        <rFont val="Calibri"/>
        <family val="2"/>
        <scheme val="minor"/>
      </rPr>
      <t xml:space="preserve"> Plans showing ice barrier.</t>
    </r>
  </si>
  <si>
    <r>
      <t>MANDATORY</t>
    </r>
    <r>
      <rPr>
        <sz val="10"/>
        <color theme="1"/>
        <rFont val="Calibri"/>
        <family val="2"/>
        <scheme val="minor"/>
      </rPr>
      <t xml:space="preserve"> None.</t>
    </r>
  </si>
  <si>
    <r>
      <t xml:space="preserve">REQUIRED: </t>
    </r>
    <r>
      <rPr>
        <sz val="10"/>
        <color theme="1"/>
        <rFont val="Calibri"/>
        <family val="2"/>
        <scheme val="minor"/>
      </rPr>
      <t>Type III industry-wide environmental product declaration for each product.</t>
    </r>
  </si>
  <si>
    <r>
      <t>REQUIRED:</t>
    </r>
    <r>
      <rPr>
        <sz val="10"/>
        <color theme="1"/>
        <rFont val="Calibri"/>
        <family val="2"/>
        <scheme val="minor"/>
      </rPr>
      <t xml:space="preserve"> Type III Environmental Product Declaration for each product.</t>
    </r>
  </si>
  <si>
    <r>
      <t>REQUIRED:</t>
    </r>
    <r>
      <rPr>
        <sz val="10"/>
        <color theme="1"/>
        <rFont val="Calibri"/>
        <family val="2"/>
        <scheme val="minor"/>
      </rPr>
      <t xml:space="preserve"> 3</t>
    </r>
    <r>
      <rPr>
        <vertAlign val="superscript"/>
        <sz val="10"/>
        <color theme="1"/>
        <rFont val="Calibri"/>
        <family val="2"/>
        <scheme val="minor"/>
      </rPr>
      <t>rd</t>
    </r>
    <r>
      <rPr>
        <sz val="10"/>
        <color theme="1"/>
        <rFont val="Calibri"/>
        <family val="2"/>
        <scheme val="minor"/>
      </rPr>
      <t xml:space="preserve"> party report/statement showing design has been reviewed to ensure energy efficient performance or specific prescriptive details are adequately implemented in the building’s design, and to ensure proper integration of various energy efficient technologies. In Climate Zone 1 PE must sign off that the system will maintain the cooling season indoor humidity less than the ASHRAE Simplified method for Design Indoor RH (70%) if the system size is not consistent with Manual S. </t>
    </r>
  </si>
  <si>
    <r>
      <t>REQUIRED</t>
    </r>
    <r>
      <rPr>
        <sz val="10"/>
        <color theme="1"/>
        <rFont val="Calibri"/>
        <family val="2"/>
        <scheme val="minor"/>
      </rPr>
      <t xml:space="preserve"> if applicable: When primary heat source in the building is a radiant or hydronic heating system, a statement from qualified professional of system design using industry-approved guidelines.</t>
    </r>
  </si>
  <si>
    <r>
      <t xml:space="preserve">MANDATORY </t>
    </r>
    <r>
      <rPr>
        <sz val="10"/>
        <color theme="1"/>
        <rFont val="Calibri"/>
        <family val="2"/>
        <scheme val="minor"/>
      </rPr>
      <t>if there is a duct system: For buildings with ducted systems provide product spec or trade contractor’s scope of work to confirm use of duct sealing using UL 181 tape, mastic, gaskets, or an IRC or ICC/IMC approved system.</t>
    </r>
  </si>
  <si>
    <r>
      <t>REQUIRED</t>
    </r>
    <r>
      <rPr>
        <sz val="10"/>
        <color theme="1"/>
        <rFont val="Calibri"/>
        <family val="2"/>
        <scheme val="minor"/>
      </rPr>
      <t>: Software output report for this building using ACCA Manual D or equivalent.</t>
    </r>
  </si>
  <si>
    <r>
      <t>REQUIRED:</t>
    </r>
    <r>
      <rPr>
        <sz val="10"/>
        <color theme="1"/>
        <rFont val="Calibri"/>
        <family val="2"/>
        <scheme val="minor"/>
      </rPr>
      <t xml:space="preserve"> RemRate NGBS report, RESCheck, or other report showing the thermal envelop meets the requirement.</t>
    </r>
  </si>
  <si>
    <r>
      <t>RESCheck 4.0.1 or other equivalent analysis method showing the percent improvement for UA improvement over an analysis using the values provided in Table 703.2.1(a). Documentation of 3</t>
    </r>
    <r>
      <rPr>
        <vertAlign val="superscript"/>
        <sz val="10"/>
        <color theme="1"/>
        <rFont val="Calibri"/>
        <family val="2"/>
        <scheme val="minor"/>
      </rPr>
      <t>rd</t>
    </r>
    <r>
      <rPr>
        <sz val="10"/>
        <color theme="1"/>
        <rFont val="Calibri"/>
        <family val="2"/>
        <scheme val="minor"/>
      </rPr>
      <t xml:space="preserve"> party insulation installation grading results</t>
    </r>
  </si>
  <si>
    <r>
      <t>3</t>
    </r>
    <r>
      <rPr>
        <vertAlign val="superscript"/>
        <sz val="10"/>
        <color theme="1"/>
        <rFont val="Calibri"/>
        <family val="2"/>
        <scheme val="minor"/>
      </rPr>
      <t>rd</t>
    </r>
    <r>
      <rPr>
        <sz val="10"/>
        <color theme="1"/>
        <rFont val="Calibri"/>
        <family val="2"/>
        <scheme val="minor"/>
      </rPr>
      <t xml:space="preserve"> party duct leakage test report.</t>
    </r>
  </si>
  <si>
    <r>
      <t>Report signed by qualified 3</t>
    </r>
    <r>
      <rPr>
        <vertAlign val="superscript"/>
        <sz val="10"/>
        <color theme="1"/>
        <rFont val="Calibri"/>
        <family val="2"/>
        <scheme val="minor"/>
      </rPr>
      <t>rd</t>
    </r>
    <r>
      <rPr>
        <sz val="10"/>
        <color theme="1"/>
        <rFont val="Calibri"/>
        <family val="2"/>
        <scheme val="minor"/>
      </rPr>
      <t xml:space="preserve"> party showing design and actual flows at each supply and return indicating compliance with balanced flow requirement.</t>
    </r>
  </si>
  <si>
    <r>
      <t>None</t>
    </r>
    <r>
      <rPr>
        <sz val="10"/>
        <color rgb="FF000000"/>
        <rFont val="Calibri"/>
        <family val="2"/>
        <scheme val="minor"/>
      </rPr>
      <t>.</t>
    </r>
  </si>
  <si>
    <r>
      <t xml:space="preserve">1a, and 1b are </t>
    </r>
    <r>
      <rPr>
        <b/>
        <sz val="10"/>
        <color theme="1"/>
        <rFont val="Calibri"/>
        <family val="2"/>
        <scheme val="minor"/>
      </rPr>
      <t>MANDATORY</t>
    </r>
    <r>
      <rPr>
        <sz val="10"/>
        <color theme="1"/>
        <rFont val="Calibri"/>
        <family val="2"/>
        <scheme val="minor"/>
      </rPr>
      <t xml:space="preserve"> if applicable</t>
    </r>
  </si>
  <si>
    <r>
      <t>Manufacturer’s literature showin</t>
    </r>
    <r>
      <rPr>
        <vertAlign val="superscript"/>
        <sz val="10"/>
        <color theme="1"/>
        <rFont val="Calibri"/>
        <family val="2"/>
        <scheme val="minor"/>
      </rPr>
      <t xml:space="preserve">g </t>
    </r>
    <r>
      <rPr>
        <sz val="10"/>
        <color theme="1"/>
        <rFont val="Calibri"/>
        <family val="2"/>
        <scheme val="minor"/>
      </rPr>
      <t>3</t>
    </r>
    <r>
      <rPr>
        <vertAlign val="superscript"/>
        <sz val="10"/>
        <color theme="1"/>
        <rFont val="Calibri"/>
        <family val="2"/>
        <scheme val="minor"/>
      </rPr>
      <t>rd</t>
    </r>
    <r>
      <rPr>
        <sz val="10"/>
        <color theme="1"/>
        <rFont val="Calibri"/>
        <family val="2"/>
        <scheme val="minor"/>
      </rPr>
      <t xml:space="preserve"> party certification for other materials. Scope of work or specification showing products to be installed.</t>
    </r>
  </si>
  <si>
    <r>
      <t>3</t>
    </r>
    <r>
      <rPr>
        <vertAlign val="superscript"/>
        <sz val="10"/>
        <color theme="1"/>
        <rFont val="Calibri"/>
        <family val="2"/>
        <scheme val="minor"/>
      </rPr>
      <t>rd</t>
    </r>
    <r>
      <rPr>
        <sz val="10"/>
        <color theme="1"/>
        <rFont val="Calibri"/>
        <family val="2"/>
        <scheme val="minor"/>
      </rPr>
      <t xml:space="preserve"> party test report showing compliance as installed.</t>
    </r>
  </si>
  <si>
    <r>
      <t xml:space="preserve">Items (1) – (3) are </t>
    </r>
    <r>
      <rPr>
        <b/>
        <sz val="10"/>
        <color theme="1"/>
        <rFont val="Calibri"/>
        <family val="2"/>
        <scheme val="minor"/>
      </rPr>
      <t>mandatory</t>
    </r>
    <r>
      <rPr>
        <sz val="10"/>
        <color theme="1"/>
        <rFont val="Calibri"/>
        <family val="2"/>
        <scheme val="minor"/>
      </rPr>
      <t>.  Verifier should review homeowner’s manual that addresses the required 3 items and any of the listed additional optional items.</t>
    </r>
  </si>
  <si>
    <r>
      <t xml:space="preserve">Items (1) – (3) are </t>
    </r>
    <r>
      <rPr>
        <b/>
        <sz val="10"/>
        <color theme="1"/>
        <rFont val="Calibri"/>
        <family val="2"/>
        <scheme val="minor"/>
      </rPr>
      <t>mandatory</t>
    </r>
    <r>
      <rPr>
        <sz val="10"/>
        <color theme="1"/>
        <rFont val="Calibri"/>
        <family val="2"/>
        <scheme val="minor"/>
      </rPr>
      <t>. Verifier must review building construction manual that addresses the mandatory 3 items (a certificate placeholder is acceptable) plus at least 2 of the listed additional optional items. Verify the expected process to deliver manual(s) to the responsible party.</t>
    </r>
  </si>
  <si>
    <r>
      <t>Moisture sampling data by builder or 3</t>
    </r>
    <r>
      <rPr>
        <vertAlign val="superscript"/>
        <sz val="10"/>
        <color theme="1"/>
        <rFont val="Calibri"/>
        <family val="2"/>
        <scheme val="minor"/>
      </rPr>
      <t>rd</t>
    </r>
    <r>
      <rPr>
        <sz val="10"/>
        <color theme="1"/>
        <rFont val="Calibri"/>
        <family val="2"/>
        <scheme val="minor"/>
      </rPr>
      <t xml:space="preserve"> party.</t>
    </r>
  </si>
  <si>
    <r>
      <t>REQUIRED</t>
    </r>
    <r>
      <rPr>
        <sz val="10"/>
        <color theme="1"/>
        <rFont val="Calibri"/>
        <family val="2"/>
        <scheme val="minor"/>
      </rPr>
      <t>: Hygrothermal analysis, such as WUFI.</t>
    </r>
  </si>
  <si>
    <r>
      <t>MANDATORY</t>
    </r>
    <r>
      <rPr>
        <sz val="10"/>
        <color theme="1"/>
        <rFont val="Calibri"/>
        <family val="2"/>
        <scheme val="minor"/>
      </rPr>
      <t xml:space="preserve"> </t>
    </r>
  </si>
  <si>
    <r>
      <t>REQUIRED</t>
    </r>
    <r>
      <rPr>
        <sz val="10"/>
        <color theme="1"/>
        <rFont val="Calibri"/>
        <family val="2"/>
        <scheme val="minor"/>
      </rPr>
      <t>: Software output report for this building using ACCA Manual J AND Manual S or equivalent.</t>
    </r>
  </si>
  <si>
    <t>Verification plan is developed to monitor post-occupancy energy and water use and is provided in the building owner’s manual.</t>
  </si>
  <si>
    <t>Overview (Design Phase)</t>
  </si>
  <si>
    <t>Overview (Verifier phase)</t>
  </si>
  <si>
    <t>Who completed this information?</t>
  </si>
  <si>
    <t>Caveats</t>
  </si>
  <si>
    <t>CLICK HERE TO GET STARTED!</t>
  </si>
  <si>
    <t>DESIGN PHASE:</t>
  </si>
  <si>
    <r>
      <t xml:space="preserve">Begin on the </t>
    </r>
    <r>
      <rPr>
        <b/>
        <sz val="11"/>
        <color theme="1"/>
        <rFont val="Calibri"/>
        <family val="2"/>
        <scheme val="minor"/>
      </rPr>
      <t>Overview (Design)</t>
    </r>
    <r>
      <rPr>
        <sz val="11"/>
        <color theme="1"/>
        <rFont val="Calibri"/>
        <family val="2"/>
        <scheme val="minor"/>
      </rPr>
      <t xml:space="preserve"> page. Complete all mandatory information and as much non-mandatory information as possible before moving on to the rest of the workbook. </t>
    </r>
  </si>
  <si>
    <t>VERIFICATION PHASE:</t>
  </si>
  <si>
    <t>Information in the header will track your points progress for that Chapter in real time. The header will also display warnings if you are missing any mandatory information or there is an error on that page. The Chapter Level may not display while there are still errors on the page.</t>
  </si>
  <si>
    <t>www.homeinnovation.com/FindNGBSverifier</t>
  </si>
  <si>
    <t>When you have finished scoring the design phase, send this file as an attachment to your verifier. They will complete the remainder. Accredited verifiers can be found at:</t>
  </si>
  <si>
    <r>
      <t xml:space="preserve">The </t>
    </r>
    <r>
      <rPr>
        <b/>
        <sz val="11"/>
        <color theme="1"/>
        <rFont val="Calibri"/>
        <family val="2"/>
        <scheme val="minor"/>
      </rPr>
      <t>Design Summary</t>
    </r>
    <r>
      <rPr>
        <sz val="11"/>
        <color theme="1"/>
        <rFont val="Calibri"/>
        <family val="2"/>
        <scheme val="minor"/>
      </rPr>
      <t xml:space="preserve"> page shows a summary of the points claimed in the Design phase. It will also indicate if there is anything missing or incorrect in each Chapter.</t>
    </r>
  </si>
  <si>
    <t>Report Phase:</t>
  </si>
  <si>
    <r>
      <t xml:space="preserve">The </t>
    </r>
    <r>
      <rPr>
        <b/>
        <sz val="11"/>
        <color theme="1"/>
        <rFont val="Calibri"/>
        <family val="2"/>
        <scheme val="minor"/>
      </rPr>
      <t>Verification Report</t>
    </r>
    <r>
      <rPr>
        <sz val="11"/>
        <color theme="1"/>
        <rFont val="Calibri"/>
        <family val="2"/>
        <scheme val="minor"/>
      </rPr>
      <t xml:space="preserve"> page is used for both parts of the Verification phase. At the top of the page, select the goal level and the phase (Rough or Final).</t>
    </r>
  </si>
  <si>
    <t>Some practices should only be claimed during one phase of Verification. If the practice is not available during your current phase, it will be greyed out.</t>
  </si>
  <si>
    <t>Points claimed in the Design phase are displayed for easy comparison. On practices where the choices are not obvious based on point values, chosen portions of the practice will be highlighted in green.</t>
  </si>
  <si>
    <t>NOTE: If "N/A" is selected, please explain in the Notes area.</t>
  </si>
  <si>
    <t>Built to IBC</t>
  </si>
  <si>
    <t>(m)</t>
  </si>
  <si>
    <t>901.10</t>
  </si>
  <si>
    <t>RF</t>
  </si>
  <si>
    <t>R</t>
  </si>
  <si>
    <t>F</t>
  </si>
  <si>
    <t>P</t>
  </si>
  <si>
    <t>NGBS Green is a site-verified certification. Buildings seeking NGBS Green certification must be inspected at least twice by an NGBS Green Accredited Verifier; once before drywall is installed so the Verifier can inspect NGBS green practices inside the wall, and once when the building is complete. For multifamily buildings, each unit must be inspected. Most practices must be visually inspected by the Verifier before certification points are awarded. Documents, plans, and specs are part of the verification process. Below is documentation the Verifer will need, in addition to ,visual inspection, to award certification points.</t>
  </si>
  <si>
    <r>
      <rPr>
        <b/>
        <sz val="10"/>
        <color theme="1"/>
        <rFont val="Calibri"/>
        <family val="2"/>
        <scheme val="minor"/>
      </rPr>
      <t>REQUIRED</t>
    </r>
    <r>
      <rPr>
        <sz val="10"/>
        <color theme="1"/>
        <rFont val="Calibri"/>
        <family val="2"/>
        <scheme val="minor"/>
      </rPr>
      <t>: Certificate of Certification for land development.</t>
    </r>
  </si>
  <si>
    <r>
      <t>REQUIRED:</t>
    </r>
    <r>
      <rPr>
        <sz val="10"/>
        <rFont val="Calibri"/>
        <family val="2"/>
        <scheme val="minor"/>
      </rPr>
      <t xml:space="preserve"> Hydrologic study report verifying the intent of the requirement has been met</t>
    </r>
  </si>
  <si>
    <t>Site assessment and plan that identifies important existing permeable soils, natural drainage ways and other water features.  Photos or other document showing water &amp; natural drainage prior to development.</t>
  </si>
  <si>
    <t>Hydrologic analysis; plans that show features to minimize concentrated flows</t>
  </si>
  <si>
    <r>
      <t>REQUIRED:</t>
    </r>
    <r>
      <rPr>
        <sz val="10"/>
        <color theme="1"/>
        <rFont val="Calibri"/>
        <family val="2"/>
        <scheme val="minor"/>
      </rPr>
      <t xml:space="preserve"> (for any of these sub practices): Lot specific plan and information</t>
    </r>
  </si>
  <si>
    <t>Demolition waste management plan</t>
  </si>
  <si>
    <t>Stormater BMP inspection reports</t>
  </si>
  <si>
    <t>Site plan</t>
  </si>
  <si>
    <t>Manufacturer’s literature showing ENERGY STAR Cool Roof, or documentation demonstrating equivilent to ENERGY STAR requirements .</t>
  </si>
  <si>
    <t>Whole-building LCA in compliance with ASTM E2921.</t>
  </si>
  <si>
    <t>Documented ISO 14044 Building Assembly LCA comparing at least two assemblies intended for the same application.</t>
  </si>
  <si>
    <t>Software report indicating at least compliance with 2015 IECC requirement forrelevant climate location. Acceptable software includes, among others, REM/Rate, Open Studio, or Energy Gauge.  The same software report can be used to support performance point claim in Section 702.</t>
  </si>
  <si>
    <r>
      <t>REQUIRED:</t>
    </r>
    <r>
      <rPr>
        <sz val="10"/>
        <rFont val="Calibri"/>
        <family val="2"/>
        <scheme val="minor"/>
      </rPr>
      <t xml:space="preserve"> HERS Index Score of home.</t>
    </r>
  </si>
  <si>
    <r>
      <t>REQUIRED</t>
    </r>
    <r>
      <rPr>
        <sz val="10"/>
        <color theme="1"/>
        <rFont val="Calibri"/>
        <family val="2"/>
        <scheme val="minor"/>
      </rPr>
      <t>: ENERGY STAR Certificate or statement from energy professional that the building qualifies for ENERGY STAR and which version, or statement from a qualified energy professional that the building meets the IECC’s Tropical Climate Zone requirements.</t>
    </r>
  </si>
  <si>
    <r>
      <t>REQUIRED</t>
    </r>
    <r>
      <rPr>
        <sz val="10"/>
        <color theme="1"/>
        <rFont val="Calibri"/>
        <family val="2"/>
        <scheme val="minor"/>
      </rPr>
      <t xml:space="preserve">: Blower door report by qualified professional. </t>
    </r>
  </si>
  <si>
    <r>
      <rPr>
        <b/>
        <sz val="10"/>
        <color theme="1"/>
        <rFont val="Calibri"/>
        <family val="2"/>
        <scheme val="minor"/>
      </rPr>
      <t>REQUIRED:</t>
    </r>
    <r>
      <rPr>
        <sz val="10"/>
        <color theme="1"/>
        <rFont val="Calibri"/>
        <family val="2"/>
        <scheme val="minor"/>
      </rPr>
      <t xml:space="preserve"> Energy analysis report.
All buildings using this path must have their performance claim supported by REM/Rate, Energy Gauge, or other energy performance analysis software output reports prepared and signed by a qualified energy professional. </t>
    </r>
    <r>
      <rPr>
        <b/>
        <sz val="10"/>
        <color theme="1"/>
        <rFont val="Calibri"/>
        <family val="2"/>
        <scheme val="minor"/>
      </rPr>
      <t>The 2015 IECC must be the basis for this analysis.</t>
    </r>
    <r>
      <rPr>
        <sz val="10"/>
        <color theme="1"/>
        <rFont val="Calibri"/>
        <family val="2"/>
        <scheme val="minor"/>
      </rPr>
      <t xml:space="preserve">
If performance claim is 1) not to be supported by performance test data, and 2) not to be based on energy recovery; then 1) the qualified professional must assume in their energy simulation an SLA of 0.00036 for the infiltration, and 2) no energy recovery for the ventilation system for either the REM/Rate or Energy Gauge output report.
Test results must be submitted for performance claims which use an infiltration better than SLA = 0.00036, or for buildings that claim points for simulate energy recovery.
RemRate has a NGBS report that demonstrates compliance with this practice.
</t>
    </r>
  </si>
  <si>
    <r>
      <t>REQUIRED:</t>
    </r>
    <r>
      <rPr>
        <sz val="10"/>
        <rFont val="Calibri"/>
        <family val="2"/>
        <scheme val="minor"/>
      </rPr>
      <t xml:space="preserve"> Energy analysis report.</t>
    </r>
  </si>
  <si>
    <r>
      <rPr>
        <b/>
        <sz val="10"/>
        <color theme="1"/>
        <rFont val="Calibri"/>
        <family val="2"/>
        <scheme val="minor"/>
      </rPr>
      <t>Required:</t>
    </r>
    <r>
      <rPr>
        <sz val="10"/>
        <color theme="1"/>
        <rFont val="Calibri"/>
        <family val="2"/>
        <scheme val="minor"/>
      </rPr>
      <t xml:space="preserve"> RESCheck 4.0.1 or other equivalent analysis method showing the percent improvement for UA improvement over an analysis using the values provided in Table 703.2.1(a). Documentation of 3rd party insulation installation grading results.</t>
    </r>
  </si>
  <si>
    <t>Building leakage test report.</t>
  </si>
  <si>
    <t>Duct leakage report.</t>
  </si>
  <si>
    <t>Fenestration label.</t>
  </si>
  <si>
    <t>Manufacturer’s literature or labels, or documentation demonstrating equivalent to ENERGY STAR requirements.</t>
  </si>
  <si>
    <t>Point calculation using the EPA HERS Index Target Procedure.</t>
  </si>
  <si>
    <t>NGBS Green Verification report completed by Accredited Verifier serves as documentation.</t>
  </si>
  <si>
    <t>3rd party duct leakage test report</t>
  </si>
  <si>
    <t>Plans and/or specs</t>
  </si>
  <si>
    <t>ENERGY STAR label or literature, or documentation demonstrating equivalent to ENERGY STAR requirements.</t>
  </si>
  <si>
    <t>Nozzle performance test results by an accredited third party laboratory and results are posted on Smart Water Application Technologies website or similar.</t>
  </si>
  <si>
    <t>Plan and statement from WaterSense professional or equivilent indicating compliance</t>
  </si>
  <si>
    <r>
      <rPr>
        <b/>
        <sz val="10"/>
        <color theme="1"/>
        <rFont val="Calibri"/>
        <family val="2"/>
        <scheme val="minor"/>
      </rPr>
      <t>MANDATORY</t>
    </r>
    <r>
      <rPr>
        <sz val="10"/>
        <color theme="1"/>
        <rFont val="Calibri"/>
        <family val="2"/>
        <scheme val="minor"/>
      </rPr>
      <t xml:space="preserve"> None.</t>
    </r>
  </si>
  <si>
    <r>
      <rPr>
        <b/>
        <sz val="10"/>
        <rFont val="Calibri"/>
        <family val="2"/>
        <scheme val="minor"/>
      </rPr>
      <t xml:space="preserve">MANDATORY. </t>
    </r>
    <r>
      <rPr>
        <sz val="10"/>
        <color theme="1"/>
        <rFont val="Calibri"/>
        <family val="2"/>
        <scheme val="minor"/>
      </rPr>
      <t xml:space="preserve">
Manufacturer’s literature showing 3rd party certification. </t>
    </r>
  </si>
  <si>
    <t>ENERGY STAR label or literature for basic fans or fans below 1 sone; or documentation demonstrating equivalent to ENERGY STAR requirements.</t>
  </si>
  <si>
    <t>Analysis or reports from appropriate building modeling software used during design by the design team to estimate expected annual energy and water use for the building. The expected energy and water use will set the performance baseline for the building and the calculations must be included in the building owner’s manual.
Building owner’s manual must include a plan where actual energy and water use can be compared to the expected energy and water use. The plan must provide for measurement and verification of the energy and water use at least every four years after initial occupancy. The building owner can select to review energy and water use at a more frequent schedule. Further, if the building owner’s manual must energy or water use exceed the design baseline by more than 20% on an annualized basis, the owner will further investigate and resolve any issues found, or recommend further corrections or modifications to meet the efficiency standards.</t>
  </si>
  <si>
    <t>Energy Star label or documentation demonstrating equivilent to ENERGY STAR requirements.</t>
  </si>
  <si>
    <t>NGBS Scoring for New Construction
ICC/ASHRAE 700-2015 National Green Building Standard™</t>
  </si>
  <si>
    <t>This workbook will be updated periodically.  Before scoring a project, check if you have the latest version.</t>
  </si>
  <si>
    <t>This scoring tool was developed using Microsoft Excel for PC. Features of this spreadsheet may not work in older Excel versions, in spreadsheet software other than Excel, or platforms other than Windows.</t>
  </si>
  <si>
    <t>This tool follows 3 distinct phases: the Design phase, Rough Verification, and Final Verfication.
While the Design Phase is not required to earn certification, it is helpful in the overall process.
Two Verification phases ARE required, with one occuring following rough-in and the second occuring after construction is complete.</t>
  </si>
  <si>
    <r>
      <rPr>
        <b/>
        <sz val="11"/>
        <color theme="1"/>
        <rFont val="Calibri"/>
        <family val="2"/>
        <scheme val="minor"/>
      </rPr>
      <t>Chapters 5 through 10</t>
    </r>
    <r>
      <rPr>
        <sz val="11"/>
        <color theme="1"/>
        <rFont val="Calibri"/>
        <family val="2"/>
        <scheme val="minor"/>
      </rPr>
      <t xml:space="preserve"> are for the design phase. Claim practices using checkboxes, dropdowns, and number entry. Practices are colored based on their availability (see Key below).</t>
    </r>
  </si>
  <si>
    <r>
      <t xml:space="preserve">Verifiers should begin with the </t>
    </r>
    <r>
      <rPr>
        <b/>
        <sz val="11"/>
        <color theme="1"/>
        <rFont val="Calibri"/>
        <family val="2"/>
        <scheme val="minor"/>
      </rPr>
      <t>Overview (Verification)</t>
    </r>
    <r>
      <rPr>
        <sz val="11"/>
        <color theme="1"/>
        <rFont val="Calibri"/>
        <family val="2"/>
        <scheme val="minor"/>
      </rPr>
      <t xml:space="preserve"> page. Verifiers must confirm the information on the </t>
    </r>
    <r>
      <rPr>
        <b/>
        <sz val="11"/>
        <color theme="1"/>
        <rFont val="Calibri"/>
        <family val="2"/>
        <scheme val="minor"/>
      </rPr>
      <t>Overview (Design)</t>
    </r>
    <r>
      <rPr>
        <sz val="11"/>
        <color theme="1"/>
        <rFont val="Calibri"/>
        <family val="2"/>
        <scheme val="minor"/>
      </rPr>
      <t xml:space="preserve"> page. If any information is incorrect, uncheck the corresponding checkbox and enter the correct information here.</t>
    </r>
  </si>
  <si>
    <r>
      <t xml:space="preserve">When the rough portion of the Verification phase is complete, move on to the </t>
    </r>
    <r>
      <rPr>
        <b/>
        <sz val="11"/>
        <color theme="1"/>
        <rFont val="Calibri"/>
        <family val="2"/>
        <scheme val="minor"/>
      </rPr>
      <t>Rough Signature</t>
    </r>
    <r>
      <rPr>
        <sz val="11"/>
        <color theme="1"/>
        <rFont val="Calibri"/>
        <family val="2"/>
        <scheme val="minor"/>
      </rPr>
      <t xml:space="preserve"> page. Fill out the necessary information before submitting the file to Home Innovation.</t>
    </r>
  </si>
  <si>
    <r>
      <t xml:space="preserve">When the final portion of the Verification phase is complete, move to the </t>
    </r>
    <r>
      <rPr>
        <b/>
        <sz val="11"/>
        <color theme="1"/>
        <rFont val="Calibri"/>
        <family val="2"/>
        <scheme val="minor"/>
      </rPr>
      <t>Final Signature</t>
    </r>
    <r>
      <rPr>
        <sz val="11"/>
        <color theme="1"/>
        <rFont val="Calibri"/>
        <family val="2"/>
        <scheme val="minor"/>
      </rPr>
      <t xml:space="preserve"> page. Fill out necessary information before submitting the file to Home Innovation.</t>
    </r>
  </si>
  <si>
    <t>R/F</t>
  </si>
  <si>
    <t>606.0</t>
  </si>
  <si>
    <t>605.0</t>
  </si>
  <si>
    <t>603.0</t>
  </si>
  <si>
    <t>505.0</t>
  </si>
  <si>
    <t>1003.0</t>
  </si>
  <si>
    <t>1004.0</t>
  </si>
  <si>
    <t>901.0</t>
  </si>
  <si>
    <t>Plans/specifications for active systems.</t>
  </si>
  <si>
    <t>None for listed materials (a)-(f) because they are deemed to comply. Manufacturer’s literature showing 3rd party certification for other materials, including carpet and carpet cushion. Scope of work or specification showing products to be installed.</t>
  </si>
  <si>
    <t>Plans/construction documents showing flashing details at all required locations</t>
  </si>
  <si>
    <t>Address of Home:</t>
  </si>
  <si>
    <t>I certify to the best of my knowledge all practices in this verification report have been properly met during the construction of this building.  By signing this, I am requesting that the verifier submit this report/building for consideration of a certificate for certification to the National Green Building Standard under the Home Innovation's NGBS Green Certification Program.
I understand that the final certification level will be based on results of the rough and final inspections after review by Home Innovation.</t>
  </si>
  <si>
    <t>Builder Rep. Signature:</t>
  </si>
  <si>
    <r>
      <t xml:space="preserve">Builder Rep. Signature: </t>
    </r>
    <r>
      <rPr>
        <b/>
        <sz val="11"/>
        <color theme="0" tint="-0.24994659260841701"/>
        <rFont val="Calibri"/>
        <family val="2"/>
        <scheme val="minor"/>
      </rPr>
      <t>(Optional)</t>
    </r>
  </si>
  <si>
    <t>Certification Level - Final:</t>
  </si>
  <si>
    <t>Builder Comments:</t>
  </si>
  <si>
    <t>Overnight $50.00</t>
  </si>
  <si>
    <t>Batch ID:</t>
  </si>
  <si>
    <t>Remove:</t>
  </si>
  <si>
    <t>rgherror</t>
  </si>
  <si>
    <t>There are errors in the Verification Report Sheet!</t>
  </si>
  <si>
    <t>There is missing mandatory information on this sheet!</t>
  </si>
  <si>
    <t>X = not allowed, any length of duct of this size with assumed turns and fitting will exceed the rated pressure drop.</t>
  </si>
  <si>
    <t>NL = no limit on duct length of this size.</t>
  </si>
  <si>
    <t>This table assumes no elbows. Deduct 15 ft (5 m) of allowable duct length for each elbow.</t>
  </si>
  <si>
    <t>NL</t>
  </si>
  <si>
    <t>7 (175) and above</t>
  </si>
  <si>
    <t>145 (48)</t>
  </si>
  <si>
    <t>95 (32)</t>
  </si>
  <si>
    <t>125 (42)</t>
  </si>
  <si>
    <t>6 (150)</t>
  </si>
  <si>
    <t>55 (18)</t>
  </si>
  <si>
    <t>85 (28)</t>
  </si>
  <si>
    <t>135 (45)</t>
  </si>
  <si>
    <t>20 (7)</t>
  </si>
  <si>
    <t>35 (12)</t>
  </si>
  <si>
    <t>70 (27)</t>
  </si>
  <si>
    <t>5 (125)</t>
  </si>
  <si>
    <t>5 (2)</t>
  </si>
  <si>
    <t>105 (35)</t>
  </si>
  <si>
    <t>3 (1)</t>
  </si>
  <si>
    <t>4 (100)</t>
  </si>
  <si>
    <t>3 (75)</t>
  </si>
  <si>
    <t>Maximum Length, ft (m)</t>
  </si>
  <si>
    <t>Diameter, in. (mm)</t>
  </si>
  <si>
    <t>(L/s @ 62.5 Pa)</t>
  </si>
  <si>
    <t>cfm @ 0.25 in. w.g.</t>
  </si>
  <si>
    <t>Smooth Duct</t>
  </si>
  <si>
    <t>Flex Duct</t>
  </si>
  <si>
    <t>Fan Rating</t>
  </si>
  <si>
    <t>Duct Type</t>
  </si>
  <si>
    <t>Prescriptive Duct Sizing</t>
  </si>
  <si>
    <t>TABLE A201</t>
  </si>
  <si>
    <r>
      <t>A201.1</t>
    </r>
    <r>
      <rPr>
        <sz val="10"/>
        <color theme="1"/>
        <rFont val="Arial"/>
        <family val="2"/>
      </rPr>
      <t xml:space="preserve"> </t>
    </r>
    <r>
      <rPr>
        <b/>
        <sz val="10"/>
        <color theme="1"/>
        <rFont val="Arial"/>
        <family val="2"/>
      </rPr>
      <t xml:space="preserve">Airflow rating. </t>
    </r>
    <r>
      <rPr>
        <sz val="10"/>
        <color theme="1"/>
        <rFont val="Arial"/>
        <family val="2"/>
      </rPr>
      <t>The airflows required by this standard refer to the delivered airflow of the system as installed and tested using a flow hood, flow grid, or other airflow measuring device. Alternatively, the airflow rating at a pressure of 0.25 in. w.c. (62.5 Pa) may be used, provided the duct sizing meets the prescriptive requirements of Table A201 or manufacturers’ design criteria.</t>
    </r>
  </si>
  <si>
    <t>AIR FLOW RATING</t>
  </si>
  <si>
    <t>A200</t>
  </si>
  <si>
    <r>
      <t>A101.3 Acknowledgment.</t>
    </r>
    <r>
      <rPr>
        <sz val="10"/>
        <color theme="1"/>
        <rFont val="Arial"/>
        <family val="2"/>
      </rPr>
      <t xml:space="preserve"> The text of Appendix A, Section A200 and related Table are extracted from ASHRAE (American Society of Heating, Refrigerating and Air-Conditioning Engineers, Inc.) Standard 62.2-2007 </t>
    </r>
    <r>
      <rPr>
        <i/>
        <sz val="10"/>
        <color theme="1"/>
        <rFont val="Arial"/>
        <family val="2"/>
      </rPr>
      <t>Ventilation and Acceptable Indoor Air Quality in Low-Rise Residential Buildings</t>
    </r>
    <r>
      <rPr>
        <sz val="10"/>
        <color theme="1"/>
        <rFont val="Arial"/>
        <family val="2"/>
      </rPr>
      <t>, Section 7.3 and Table 7.1, respectively, and is used with the permission of ASHRAE. The referenced Section and Table numbers within the extracted text are modified to be applicable to Appendix A of this Standard.</t>
    </r>
  </si>
  <si>
    <r>
      <t>A101.2 Scope.</t>
    </r>
    <r>
      <rPr>
        <sz val="10"/>
        <color theme="1"/>
        <rFont val="Arial"/>
        <family val="2"/>
      </rPr>
      <t xml:space="preserve"> The provisions contained in Appendix A provide the criteria necessary for complying with Section 901.3(1)(c) for the installation of ducted exhaust fans in garages. To receive points for implementing Practice 901.3(1)(c), the fan airflow rating and duct sizing for ducted exhaust fans are to be in accordance with the applicable criteria of Appendix A.</t>
    </r>
  </si>
  <si>
    <r>
      <t>A101.1 Applicability of Appendix A.</t>
    </r>
    <r>
      <rPr>
        <sz val="10"/>
        <color theme="1"/>
        <rFont val="Arial"/>
        <family val="2"/>
      </rPr>
      <t xml:space="preserve"> Appendix A is part of this Standard. </t>
    </r>
  </si>
  <si>
    <t>SCOPE AND APPLICABILITY</t>
  </si>
  <si>
    <t>A100</t>
  </si>
  <si>
    <t>DUCTED GARAGE EXHAUST FAN SIZING CRITERIA</t>
  </si>
  <si>
    <t>APPENDIX A</t>
  </si>
  <si>
    <r>
      <t xml:space="preserve">Exception: </t>
    </r>
    <r>
      <rPr>
        <sz val="10"/>
        <color theme="1"/>
        <rFont val="Arial"/>
        <family val="2"/>
      </rPr>
      <t>These ventilation strategies are not restricted if the authority having jurisdiction approves the envelope design as being moisture resistant.</t>
    </r>
  </si>
  <si>
    <r>
      <t xml:space="preserve">B201.6.2 Very Cold Climates. </t>
    </r>
    <r>
      <rPr>
        <sz val="10"/>
        <color theme="1"/>
        <rFont val="Arial"/>
        <family val="2"/>
      </rPr>
      <t>Mechanical supply systems exceeding 7.5 cfm per 100 ft</t>
    </r>
    <r>
      <rPr>
        <vertAlign val="superscript"/>
        <sz val="10"/>
        <color theme="1"/>
        <rFont val="Arial"/>
        <family val="2"/>
      </rPr>
      <t>2</t>
    </r>
    <r>
      <rPr>
        <sz val="10"/>
        <color theme="1"/>
        <rFont val="Arial"/>
        <family val="2"/>
      </rPr>
      <t xml:space="preserve"> (35 L/s per 100 m</t>
    </r>
    <r>
      <rPr>
        <vertAlign val="superscript"/>
        <sz val="10"/>
        <color theme="1"/>
        <rFont val="Arial"/>
        <family val="2"/>
      </rPr>
      <t>2</t>
    </r>
    <r>
      <rPr>
        <sz val="10"/>
        <color theme="1"/>
        <rFont val="Arial"/>
        <family val="2"/>
      </rPr>
      <t>) shall not be used in very cold climates. (See ASHRAE 62.2*, Section 8 for a listing of very cold US climates.)</t>
    </r>
  </si>
  <si>
    <r>
      <t xml:space="preserve">B201.6.1 Hot, Humid Climates. </t>
    </r>
    <r>
      <rPr>
        <sz val="10"/>
        <color theme="1"/>
        <rFont val="Arial"/>
        <family val="2"/>
      </rPr>
      <t>In hot, humid climates, whole-house mechanical net exhaust flow shall not exceed 7.5 cfm per 100 ft</t>
    </r>
    <r>
      <rPr>
        <vertAlign val="superscript"/>
        <sz val="10"/>
        <color theme="1"/>
        <rFont val="Arial"/>
        <family val="2"/>
      </rPr>
      <t>2</t>
    </r>
    <r>
      <rPr>
        <sz val="10"/>
        <color theme="1"/>
        <rFont val="Arial"/>
        <family val="2"/>
      </rPr>
      <t xml:space="preserve"> (35 L/s per 100 m</t>
    </r>
    <r>
      <rPr>
        <vertAlign val="superscript"/>
        <sz val="10"/>
        <color theme="1"/>
        <rFont val="Arial"/>
        <family val="2"/>
      </rPr>
      <t>2</t>
    </r>
    <r>
      <rPr>
        <sz val="10"/>
        <color theme="1"/>
        <rFont val="Arial"/>
        <family val="2"/>
      </rPr>
      <t>). (See ASHRAE 62.2*, Section 8 for a listing of hot, humid US climates.)</t>
    </r>
  </si>
  <si>
    <r>
      <t>B201.6</t>
    </r>
    <r>
      <rPr>
        <sz val="10"/>
        <color theme="1"/>
        <rFont val="Arial"/>
        <family val="2"/>
      </rPr>
      <t xml:space="preserve"> </t>
    </r>
    <r>
      <rPr>
        <b/>
        <sz val="10"/>
        <color theme="1"/>
        <rFont val="Arial"/>
        <family val="2"/>
      </rPr>
      <t>Restrictions on System Type.</t>
    </r>
    <r>
      <rPr>
        <sz val="10"/>
        <color theme="1"/>
        <rFont val="Arial"/>
        <family val="2"/>
      </rPr>
      <t xml:space="preserve"> Use of certain ventilation strategies is restricted in specific climates as follows.</t>
    </r>
  </si>
  <si>
    <t xml:space="preserve">For values not listed, use the next higher value for cycle time or the next lower value for Fractional On-Time. Linear interpolation is allowed for intermediate Fractional On-Times. The maximum allowed Cycle Time is 24 hours and the minimum allowed Fractional On-Time is 0.1. </t>
  </si>
  <si>
    <t xml:space="preserve">See Chapter 10 of Guideline 24 for an example of this calculation. </t>
  </si>
  <si>
    <t>*</t>
  </si>
  <si>
    <t>0-4</t>
  </si>
  <si>
    <r>
      <t>Cycle Time, T</t>
    </r>
    <r>
      <rPr>
        <b/>
        <vertAlign val="subscript"/>
        <sz val="10"/>
        <color theme="1"/>
        <rFont val="Arial"/>
        <family val="2"/>
      </rPr>
      <t xml:space="preserve">cyc </t>
    </r>
    <r>
      <rPr>
        <b/>
        <sz val="10"/>
        <color theme="1"/>
        <rFont val="Arial"/>
        <family val="2"/>
      </rPr>
      <t>(h)</t>
    </r>
  </si>
  <si>
    <t xml:space="preserve">Fractional On-Time, </t>
  </si>
  <si>
    <t>Ventilation Effectiveness for Intermittent Fans</t>
  </si>
  <si>
    <t>TABLE B201.5</t>
  </si>
  <si>
    <t>fractional on time, defined as the on-time for one cycle divided by the cycle time</t>
  </si>
  <si>
    <t>=</t>
  </si>
  <si>
    <t>ventilation effectiveness (from Table B201.5)</t>
  </si>
  <si>
    <t>fan cycle time, defined as the total time for one on-cycle and one off-cycle (used in Table B201.5)</t>
  </si>
  <si>
    <r>
      <t>T</t>
    </r>
    <r>
      <rPr>
        <i/>
        <vertAlign val="subscript"/>
        <sz val="10"/>
        <color theme="1"/>
        <rFont val="Times New Roman"/>
        <family val="1"/>
      </rPr>
      <t>cyc</t>
    </r>
  </si>
  <si>
    <t>ventilation air requirement (from Table B201.1a or B201.1b)</t>
  </si>
  <si>
    <t>fan flow rate during the on-cycle</t>
  </si>
  <si>
    <t>where</t>
  </si>
  <si>
    <t>Equation B201.5</t>
  </si>
  <si>
    <r>
      <t xml:space="preserve">Exception: </t>
    </r>
    <r>
      <rPr>
        <sz val="10"/>
        <color theme="1"/>
        <rFont val="Arial"/>
        <family val="2"/>
      </rPr>
      <t>The effective ventilation rate of an intermittent system is the combination of its delivered capacity, its daily fractional on-time, cycle time, and the ventilation effectiveness from Table B201.2. The fan flow rate required to achieve an effective ventilation rate that is equivalent to the continuous ventilation requirement shall be calculated from the following equation:</t>
    </r>
  </si>
  <si>
    <r>
      <t>B201.5</t>
    </r>
    <r>
      <rPr>
        <sz val="10"/>
        <color theme="1"/>
        <rFont val="Arial"/>
        <family val="2"/>
      </rPr>
      <t xml:space="preserve"> </t>
    </r>
    <r>
      <rPr>
        <b/>
        <sz val="10"/>
        <color theme="1"/>
        <rFont val="Arial"/>
        <family val="2"/>
      </rPr>
      <t>Delivered Ventilation.</t>
    </r>
    <r>
      <rPr>
        <sz val="10"/>
        <color theme="1"/>
        <rFont val="Arial"/>
        <family val="2"/>
      </rPr>
      <t xml:space="preserve"> The delivered ventilation rate shall be calculated as the larger of the total supply or total exhaust and shall be no less than specified in Section B201.1 during each hour of operation.</t>
    </r>
  </si>
  <si>
    <r>
      <t xml:space="preserve">Exception: </t>
    </r>
    <r>
      <rPr>
        <sz val="10"/>
        <color theme="1"/>
        <rFont val="Arial"/>
        <family val="2"/>
      </rPr>
      <t>An intermittently operating, whole-house mechanical ventilation system may be used if the ventilation rate is adjusted, according to the exception to Section B201.5. The system must be designed so that it can operate automatically based on a timer. The intermittent mechanical ventilation system must operate at least once per day and must operate at least 10 percent of the time.</t>
    </r>
  </si>
  <si>
    <r>
      <t>B201.4</t>
    </r>
    <r>
      <rPr>
        <sz val="10"/>
        <color theme="1"/>
        <rFont val="Arial"/>
        <family val="2"/>
      </rPr>
      <t xml:space="preserve"> </t>
    </r>
    <r>
      <rPr>
        <b/>
        <sz val="10"/>
        <color theme="1"/>
        <rFont val="Arial"/>
        <family val="2"/>
      </rPr>
      <t>Control and Operation.</t>
    </r>
    <r>
      <rPr>
        <sz val="10"/>
        <color theme="1"/>
        <rFont val="Arial"/>
        <family val="2"/>
      </rPr>
      <t xml:space="preserve"> The “fan on” switch on a heating or air-conditioning system shall be permitted as an operational control for systems introducing ventilation air through a duct to the return side of an HVAC system. Readily accessible override control must be provided to the occupant. Local exhaust fan switches and “fan on” switches shall be permitted as override controls. Controls, including the “fan-on” switch of a conditioning system, must be appropriately labeled.</t>
    </r>
  </si>
  <si>
    <r>
      <t>B201.3</t>
    </r>
    <r>
      <rPr>
        <sz val="10"/>
        <color theme="1"/>
        <rFont val="Arial"/>
        <family val="2"/>
      </rPr>
      <t xml:space="preserve"> </t>
    </r>
    <r>
      <rPr>
        <b/>
        <sz val="10"/>
        <color theme="1"/>
        <rFont val="Arial"/>
        <family val="2"/>
      </rPr>
      <t xml:space="preserve">Airflow Measurement. </t>
    </r>
    <r>
      <rPr>
        <sz val="10"/>
        <color theme="1"/>
        <rFont val="Arial"/>
        <family val="2"/>
      </rPr>
      <t>The airflow required by this section is the quantity of outdoor ventilation air supplied and/or indoor air exhausted by the ventilation system as installed and shall be measured using a flow hood, flow grid, or other airflow measuring device. Ventilation airflow of systems with multiple operating modes shall be tested in all modes designed to meet this section.</t>
    </r>
  </si>
  <si>
    <r>
      <t>B201.2</t>
    </r>
    <r>
      <rPr>
        <sz val="10"/>
        <color theme="1"/>
        <rFont val="Arial"/>
        <family val="2"/>
      </rPr>
      <t xml:space="preserve"> </t>
    </r>
    <r>
      <rPr>
        <b/>
        <sz val="10"/>
        <color theme="1"/>
        <rFont val="Arial"/>
        <family val="2"/>
      </rPr>
      <t xml:space="preserve">System Type. </t>
    </r>
    <r>
      <rPr>
        <sz val="10"/>
        <color theme="1"/>
        <rFont val="Arial"/>
        <family val="2"/>
      </rPr>
      <t>The whole-house ventilation system shall consist of one or more supply or exhaust fans and associated ducts and controls. Local exhaust fans shall be permitted to be part of a mechanical exhaust system. Outdoor air ducts connected to the return side of an air handler shall be permitted as supply ventilation if manufacturers’ requirements for return air temperature are met. See ASHRAE 62.2*, Appendix B for guidance on selection of methods.</t>
    </r>
  </si>
  <si>
    <r>
      <t>[1]</t>
    </r>
    <r>
      <rPr>
        <sz val="12"/>
        <color theme="1"/>
        <rFont val="Arial"/>
        <family val="2"/>
      </rPr>
      <t xml:space="preserve"> </t>
    </r>
    <r>
      <rPr>
        <i/>
        <sz val="9"/>
        <color theme="1"/>
        <rFont val="Arial"/>
        <family val="2"/>
      </rPr>
      <t xml:space="preserve">ANSI/ASHRAE Standard 136-1993 (RA 2006), A Method of Determining Air Change Rates in Detached Dwellings. </t>
    </r>
    <r>
      <rPr>
        <sz val="9"/>
        <color theme="1"/>
        <rFont val="Arial"/>
        <family val="2"/>
      </rPr>
      <t>American Society of Heating, Refrigerating and Air-Conditioning Engineers, Inc., Atlanta, GA.</t>
    </r>
  </si>
  <si>
    <t>&gt;697</t>
  </si>
  <si>
    <t>557.1–697</t>
  </si>
  <si>
    <t>418.1–557</t>
  </si>
  <si>
    <t>279.1–418</t>
  </si>
  <si>
    <t>139.1–279</t>
  </si>
  <si>
    <t>&lt;139</t>
  </si>
  <si>
    <t>&gt;7</t>
  </si>
  <si>
    <t>6–7</t>
  </si>
  <si>
    <t>4–5</t>
  </si>
  <si>
    <t>2–3</t>
  </si>
  <si>
    <t>0–1</t>
  </si>
  <si>
    <r>
      <t>(m</t>
    </r>
    <r>
      <rPr>
        <b/>
        <vertAlign val="superscript"/>
        <sz val="10"/>
        <color theme="1"/>
        <rFont val="Arial"/>
        <family val="2"/>
      </rPr>
      <t>2</t>
    </r>
    <r>
      <rPr>
        <b/>
        <sz val="10"/>
        <color theme="1"/>
        <rFont val="Arial"/>
        <family val="2"/>
      </rPr>
      <t>)</t>
    </r>
  </si>
  <si>
    <t>Bedrooms</t>
  </si>
  <si>
    <t>Floor Area</t>
  </si>
  <si>
    <t>Ventilation Air Requirements, L/s</t>
  </si>
  <si>
    <t>TABLE B201.1b (SI)</t>
  </si>
  <si>
    <t>&gt;7500</t>
  </si>
  <si>
    <t>6001–7500</t>
  </si>
  <si>
    <t>4501–6000</t>
  </si>
  <si>
    <t>3001–4500</t>
  </si>
  <si>
    <t>1501–3000</t>
  </si>
  <si>
    <t>&lt;1500</t>
  </si>
  <si>
    <r>
      <t>(ft</t>
    </r>
    <r>
      <rPr>
        <b/>
        <vertAlign val="superscript"/>
        <sz val="10"/>
        <color theme="1"/>
        <rFont val="Arial"/>
        <family val="2"/>
      </rPr>
      <t>2</t>
    </r>
    <r>
      <rPr>
        <b/>
        <sz val="10"/>
        <color theme="1"/>
        <rFont val="Arial"/>
        <family val="2"/>
      </rPr>
      <t>)</t>
    </r>
  </si>
  <si>
    <t>Ventilation Air Requirements, cfm</t>
  </si>
  <si>
    <t>TABLE B201.1a (I-P)</t>
  </si>
  <si>
    <t>number of bedrooms; not to be less than one</t>
  </si>
  <si>
    <r>
      <t>floor area, m</t>
    </r>
    <r>
      <rPr>
        <vertAlign val="superscript"/>
        <sz val="10"/>
        <color theme="1"/>
        <rFont val="Arial"/>
        <family val="2"/>
      </rPr>
      <t>2</t>
    </r>
  </si>
  <si>
    <t>fan flow rate, L/s</t>
  </si>
  <si>
    <t>Equation B201.1b</t>
  </si>
  <si>
    <r>
      <t>floor area, ft</t>
    </r>
    <r>
      <rPr>
        <vertAlign val="superscript"/>
        <sz val="10"/>
        <color theme="1"/>
        <rFont val="Arial"/>
        <family val="2"/>
      </rPr>
      <t>2</t>
    </r>
  </si>
  <si>
    <t>fan flow rate, cfm</t>
  </si>
  <si>
    <t>Equation B201.1a</t>
  </si>
  <si>
    <r>
      <rPr>
        <b/>
        <sz val="10"/>
        <color theme="1"/>
        <rFont val="Arial"/>
        <family val="2"/>
      </rPr>
      <t>B201.1.3 Infiltration Credit.</t>
    </r>
    <r>
      <rPr>
        <sz val="10"/>
        <color theme="1"/>
        <rFont val="Arial"/>
        <family val="2"/>
      </rPr>
      <t xml:space="preserve"> Section B201.1 includes a default credit for ventilation provided by infiltration of 2 cfm/100 ft2 (10 L/s per 100 m2) of occupiable floor space. For buildings built prior to the application of this standard, when excess infiltration has been measured using ANSI/ASHRAE Standard 136, A Method of Determining Air Change Rates in Detached Dwellings,</t>
    </r>
    <r>
      <rPr>
        <vertAlign val="superscript"/>
        <sz val="10"/>
        <color theme="1"/>
        <rFont val="Arial"/>
        <family val="2"/>
      </rPr>
      <t>[1]</t>
    </r>
    <r>
      <rPr>
        <sz val="10"/>
        <color theme="1"/>
        <rFont val="Arial"/>
        <family val="2"/>
      </rPr>
      <t xml:space="preserve"> the rates in Section B201.1 may be decreased by half of the excess of the rate calculated from Standard 136 that is above the default rate. No increase to the rate in Section B201.1 is required if measured infiltration in accordance with Standard 136 is lower than the default rate. </t>
    </r>
  </si>
  <si>
    <r>
      <t>B201.1.2 Alternative Ventilation</t>
    </r>
    <r>
      <rPr>
        <sz val="10"/>
        <color theme="1"/>
        <rFont val="Arial"/>
        <family val="2"/>
      </rPr>
      <t>. Other methods may be used to provide the required ventilation rates (of Tables B201.1a and B201.1b) when approved by a licensed design professional.</t>
    </r>
  </si>
  <si>
    <r>
      <t xml:space="preserve">B201.1.1 Different Occupant Density. </t>
    </r>
    <r>
      <rPr>
        <sz val="10"/>
        <color theme="1"/>
        <rFont val="Arial"/>
        <family val="2"/>
      </rPr>
      <t>Tables B201.1a and B201.1b and Equations B201.1a and B201.1b assume two persons in a studio or one-bedroom dwelling unit and an additional person for each additional bedroom. Where higher occupant densities are known, the rate shall be increased by 7.5 cfm (3.5 L/s) for each additional person. When approved by the authority having jurisdiction, lower occupant densities may be used.</t>
    </r>
  </si>
  <si>
    <r>
      <t xml:space="preserve">and </t>
    </r>
    <r>
      <rPr>
        <sz val="10"/>
        <color theme="1"/>
        <rFont val="Arial"/>
        <family val="2"/>
      </rPr>
      <t>if the authority having jurisdiction determines that window operation is a locally permissible method of providing ventilation.</t>
    </r>
  </si>
  <si>
    <t>the building is thermally conditioned for human occupancy for less than 876 hours per year,</t>
  </si>
  <si>
    <r>
      <t>(b)</t>
    </r>
    <r>
      <rPr>
        <sz val="10"/>
        <color theme="1"/>
        <rFont val="Arial"/>
        <family val="2"/>
      </rPr>
      <t xml:space="preserve"> </t>
    </r>
  </si>
  <si>
    <t>the building has no mechanical cooling and is in zone 1 or 2 of the ICC* IECC Climate Zone Map (see ASHRAE 62.2*, Figure 8.2), or</t>
  </si>
  <si>
    <r>
      <t>(a)</t>
    </r>
    <r>
      <rPr>
        <sz val="10"/>
        <color theme="1"/>
        <rFont val="Arial"/>
        <family val="2"/>
      </rPr>
      <t xml:space="preserve"> </t>
    </r>
  </si>
  <si>
    <r>
      <t xml:space="preserve">Exceptions: </t>
    </r>
    <r>
      <rPr>
        <sz val="10"/>
        <color theme="1"/>
        <rFont val="Arial"/>
        <family val="2"/>
      </rPr>
      <t>Whole-building mechanical systems are not required provided that at least one of the following conditions is met:</t>
    </r>
  </si>
  <si>
    <r>
      <t>B201.1</t>
    </r>
    <r>
      <rPr>
        <sz val="10"/>
        <color theme="1"/>
        <rFont val="Arial"/>
        <family val="2"/>
      </rPr>
      <t xml:space="preserve"> </t>
    </r>
    <r>
      <rPr>
        <b/>
        <sz val="10"/>
        <color theme="1"/>
        <rFont val="Arial"/>
        <family val="2"/>
      </rPr>
      <t>Ventilation Rate.</t>
    </r>
    <r>
      <rPr>
        <sz val="10"/>
        <color theme="1"/>
        <rFont val="Arial"/>
        <family val="2"/>
      </rPr>
      <t xml:space="preserve"> A mechanical exhaust system, supply system, or combination thereof shall be installed for each dwelling unit to provide whole-building ventilation with outdoor air each hour at no less than the rate specified in Tables B201.1a and B201.1b or, equivalently, Equations B201.1a and B201.1b, based on the floor area of the conditioned space and number of bedrooms.</t>
    </r>
  </si>
  <si>
    <t>WHOLE-BUILDING VENTILATION</t>
  </si>
  <si>
    <t>B200</t>
  </si>
  <si>
    <r>
      <t>B101.3 Acknowledgment.</t>
    </r>
    <r>
      <rPr>
        <sz val="10"/>
        <color theme="1"/>
        <rFont val="Arial"/>
        <family val="2"/>
      </rPr>
      <t xml:space="preserve"> The text of Appendix B, Section B200 and related Tables are extracted from ASHRAE (American Society of Heating, Refrigerating and Air-Conditioning Engineers, Inc.) Standard 62.2-2010 </t>
    </r>
    <r>
      <rPr>
        <i/>
        <sz val="10"/>
        <color theme="1"/>
        <rFont val="Arial"/>
        <family val="2"/>
      </rPr>
      <t>Ventilation and Acceptable Indoor Air Quality in Low-Rise Residential Buildings</t>
    </r>
    <r>
      <rPr>
        <sz val="10"/>
        <color theme="1"/>
        <rFont val="Arial"/>
        <family val="2"/>
      </rPr>
      <t>, Section 4, and is used with the permission of ASHRAE. The referenced Section and Table numbers within the extracted text are modified to be applicable to Appendix B of this Standard. “*” indicates added reference to ICC or ASHRAE 62.2 to provide clarity.</t>
    </r>
  </si>
  <si>
    <r>
      <t>B101.2 Scope.</t>
    </r>
    <r>
      <rPr>
        <sz val="10"/>
        <color theme="1"/>
        <rFont val="Arial"/>
        <family val="2"/>
      </rPr>
      <t xml:space="preserve"> The provisions contained in Appendix B provide the specifications necessary for complying with Section 902.2.1 for the installation of whole building ventilation systems. To receive points for implementing Practice 902.2.1, the chosen whole building ventilation system is to be in accordance with the applicable specifications of Appendix B.</t>
    </r>
  </si>
  <si>
    <r>
      <t>B101.1 Applicability of Appendix B.</t>
    </r>
    <r>
      <rPr>
        <sz val="10"/>
        <color theme="1"/>
        <rFont val="Arial"/>
        <family val="2"/>
      </rPr>
      <t xml:space="preserve"> Appendix B is part of this Standard. </t>
    </r>
  </si>
  <si>
    <t>B100</t>
  </si>
  <si>
    <t>WHOLE BUILDING VENTILATION SYSTEM SPECIFICATIONS</t>
  </si>
  <si>
    <t>APPENDIX B</t>
  </si>
  <si>
    <t>(877) 854-3577</t>
  </si>
  <si>
    <t>www.ul.com</t>
  </si>
  <si>
    <t>Northbrook, IL 60062-2096</t>
  </si>
  <si>
    <t>333 Pfingsten Road</t>
  </si>
  <si>
    <t>Underwriters Laboratories Inc.</t>
  </si>
  <si>
    <t>UL 2768</t>
  </si>
  <si>
    <t>(202) 872-6400</t>
  </si>
  <si>
    <t xml:space="preserve">http://www.greenseal.org/ </t>
  </si>
  <si>
    <t>Washington, DC 20036-5525</t>
  </si>
  <si>
    <t>1001 Connecticut Avenue, NW, Suite 827</t>
  </si>
  <si>
    <t>Green Seal</t>
  </si>
  <si>
    <t>Green Seal-11 Standard for Paints and Coatings</t>
  </si>
  <si>
    <t>(510) 452-8000</t>
  </si>
  <si>
    <t xml:space="preserve">http://www.scscertified.com </t>
  </si>
  <si>
    <t>Emeryville, California 94608</t>
  </si>
  <si>
    <t>2000 Powell Street, Suite 600</t>
  </si>
  <si>
    <t>Scientific Certification Systems</t>
  </si>
  <si>
    <t>Scientific Certification Systems (SCS) Indoor Advantage Gold Program</t>
  </si>
  <si>
    <t xml:space="preserve">http://www.rfci.com </t>
  </si>
  <si>
    <t>LaGrange, Georgia 30240</t>
  </si>
  <si>
    <t>115 Broad Street, Suite 201</t>
  </si>
  <si>
    <t>Resilient Floor Covering Institute</t>
  </si>
  <si>
    <t>Resilient Floor Covering Institute’s FloorScore Indoor Air Certification Program</t>
  </si>
  <si>
    <t xml:space="preserve">www.ul.com </t>
  </si>
  <si>
    <t>Underwriters Laboratories Inc. 333 Pfingsten Road Northbrook, IL 60062-2096</t>
  </si>
  <si>
    <t>UL GREENGUARD Gold</t>
  </si>
  <si>
    <t>(706) 278-3176</t>
  </si>
  <si>
    <t>http://www.carpet-rug.org</t>
  </si>
  <si>
    <t>United States of America</t>
  </si>
  <si>
    <t>Dalton, Georgia 30720</t>
  </si>
  <si>
    <t>730 College Drive</t>
  </si>
  <si>
    <t>Carpet and Rug Institute</t>
  </si>
  <si>
    <t>Carpet and Rug Institute’s (CRI) Green Label Plus Indoor Air Quality Program</t>
  </si>
  <si>
    <t>(703) 264-1690</t>
  </si>
  <si>
    <t>www.kcma.org</t>
  </si>
  <si>
    <t>Reston, VA 20191</t>
  </si>
  <si>
    <t>1899 Preston White Drive</t>
  </si>
  <si>
    <t>Kitchen Cabinet Manufacturers Association</t>
  </si>
  <si>
    <t>Kitchen Cabinet Manufacturers Association (KCMA) Environmental Stewardship Program (ESP)</t>
  </si>
  <si>
    <t>Contact Information for the Program Administrator</t>
  </si>
  <si>
    <t>Third-party Certification Program</t>
  </si>
  <si>
    <t>Contact Information for the Example Third-party Certification Programs</t>
  </si>
  <si>
    <t>TABLE D200(2)</t>
  </si>
  <si>
    <t>UL GREENGUARD Gold Scientific Certifications Systems (SCS) Indoor Advantage Gold Program</t>
  </si>
  <si>
    <t>901.11 Insulation</t>
  </si>
  <si>
    <t>Green Seal-36 Standard for Adhesives for Commercial Use</t>
  </si>
  <si>
    <t>Scientific Certifications Systems (SCS) Indoor Advantage Gold Program</t>
  </si>
  <si>
    <t xml:space="preserve">UL GREENGUARD </t>
  </si>
  <si>
    <t>901.10 Adhesives and sealants</t>
  </si>
  <si>
    <t>901.9 Architectural coatings</t>
  </si>
  <si>
    <t>901.8 Wall coverings</t>
  </si>
  <si>
    <t>UL GREENGUARD Gold Resilient Floor Covering Institute’s FloorScore Indoor Air Certification Program</t>
  </si>
  <si>
    <t>901.7 Hard-surface flooring</t>
  </si>
  <si>
    <t>901.6 Carpets</t>
  </si>
  <si>
    <t xml:space="preserve">Kitchen Cabinet Manufacturers Association (KCMA) Environmental Stewardship Program (ESP) </t>
  </si>
  <si>
    <t>901.5 Cabinets</t>
  </si>
  <si>
    <t>Examples of Third-party Certification Programs Compliant with the Corresponding Section</t>
  </si>
  <si>
    <t>Related Section of Standard</t>
  </si>
  <si>
    <t>Examples of Third-party Certification Programs</t>
  </si>
  <si>
    <t>TABLE D200(1)</t>
  </si>
  <si>
    <t>CONFORMANCE</t>
  </si>
  <si>
    <t>D200</t>
  </si>
  <si>
    <r>
      <t>D101.2 Scope.</t>
    </r>
    <r>
      <rPr>
        <sz val="10"/>
        <color theme="1"/>
        <rFont val="Arial"/>
        <family val="2"/>
      </rPr>
      <t xml:space="preserve"> Appendix D provides examples of third-party programs for indoor environmental quality that can be used to demonstrate compliance with the applicable provisions of this Standard.</t>
    </r>
  </si>
  <si>
    <r>
      <t>D101.1 Applicability of Appendix D.</t>
    </r>
    <r>
      <rPr>
        <sz val="10"/>
        <color theme="1"/>
        <rFont val="Arial"/>
        <family val="2"/>
      </rPr>
      <t xml:space="preserve"> Appendix D is not part of this Standard. </t>
    </r>
  </si>
  <si>
    <t>D100</t>
  </si>
  <si>
    <t xml:space="preserve">EXAMPLES OF THIRD-PARTY PROGRAMS FOR INDOOR ENVIRONMENTAL QUALITY </t>
  </si>
  <si>
    <t xml:space="preserve">APPENDIX D </t>
  </si>
  <si>
    <t>The "Required Documentation" and "Verification Report" sheets have filters built in. You can use these filters to hide rows that are irrelevant to you.</t>
  </si>
  <si>
    <t>Advanced (filtering)</t>
  </si>
  <si>
    <t>The "Verification Report" sheet has three columns on the left: Chapter, Points, and Rough/Final. You can use each filter to hide practices that are not relevant to you.</t>
  </si>
  <si>
    <t>The filtering is easily undone and redone. Just click the arrow again and recheck each value you want to display.</t>
  </si>
  <si>
    <t>The points filtering is based on the current state of the design portion when the filter is applied. If the selected practices are changed, you will have to undo and redo the filtering.</t>
  </si>
  <si>
    <t>DO NOT SELECT "SORT". SORTING WILL NOT DO ANYTHING POSITIVE. IF YOU ACCIDENTALLY SORT SOMETHING, UNDO (CTRL + Z) AND IT SHOULD GO BACK TO NORMAL BUT MAY CRASH.</t>
  </si>
  <si>
    <t>filter column</t>
  </si>
  <si>
    <t>Use the notes column to add explanation or extra information regarding a practice. Some practices require a note of explanation and will indicate as such.</t>
  </si>
  <si>
    <t>CLICK TO PROCEED TO CHAPTER 5 &gt;&gt;</t>
  </si>
  <si>
    <t>Mandatory Information is missing on the Overview (Design) page!</t>
  </si>
  <si>
    <t>Ch7Max</t>
  </si>
  <si>
    <t>Ch8Max</t>
  </si>
  <si>
    <t>Mandatory info is missing from the Overview (Design) page!</t>
  </si>
  <si>
    <t>Mandatory Information is missing on the Overview (Verification) page!</t>
  </si>
  <si>
    <t>Verifier to email this Excel Workbook, photo and scan and email signature page to VerificationReport@homeinnovation.com 
If the performance path has been selected also send a copy of the RemRate or EnergyGauge report.</t>
  </si>
  <si>
    <t>back to Verification Report</t>
  </si>
  <si>
    <r>
      <t xml:space="preserve">The </t>
    </r>
    <r>
      <rPr>
        <b/>
        <sz val="11"/>
        <color theme="1"/>
        <rFont val="Calibri"/>
        <family val="2"/>
        <scheme val="minor"/>
      </rPr>
      <t>Required Documentation</t>
    </r>
    <r>
      <rPr>
        <sz val="11"/>
        <color theme="1"/>
        <rFont val="Calibri"/>
        <family val="2"/>
        <scheme val="minor"/>
      </rPr>
      <t xml:space="preserve"> page shows the paperwork necessary if claiming certain practices. These can be filtered to only show those that were claimed in the Design phase.</t>
    </r>
  </si>
  <si>
    <t>• A home can be removed from a batch at any time and submitted separately. With the exception of homes that are removed for regular report submission, homes should be grouped within the same "batch" for both rough and/or final submissions. Batch submission is at the discretion of the verifier.</t>
  </si>
  <si>
    <t>version</t>
  </si>
  <si>
    <t>correction</t>
  </si>
  <si>
    <t>release date</t>
  </si>
  <si>
    <t>initial release</t>
  </si>
  <si>
    <t>Design Phase Notes</t>
  </si>
  <si>
    <t>Verifier Notes</t>
  </si>
  <si>
    <t>1001.0</t>
  </si>
  <si>
    <t>1002.0</t>
  </si>
  <si>
    <t>701.1</t>
  </si>
  <si>
    <t>902.0</t>
  </si>
  <si>
    <t>903.0</t>
  </si>
  <si>
    <t>904.0</t>
  </si>
  <si>
    <t>_1_</t>
  </si>
  <si>
    <t>_2_</t>
  </si>
  <si>
    <t>_3_</t>
  </si>
  <si>
    <t>601</t>
  </si>
  <si>
    <t>901</t>
  </si>
  <si>
    <t>1001</t>
  </si>
  <si>
    <t>3.1.0</t>
  </si>
  <si>
    <t>3.0.0</t>
  </si>
  <si>
    <t>corrected "additional points" display on Design Summary page; Corrected display error for some Design Phase Notes in Verification Report; Fixed Validation on Overview pages; Fixed elements related to backend</t>
  </si>
  <si>
    <t>3.2.0</t>
  </si>
  <si>
    <t>If you click on the arrow in the top left, you will see options for filtering out certain values. If you uncheck values other than "P", practices not chosen will be hidden.</t>
  </si>
  <si>
    <t>fixed 902.1.1(2) dropdown; Points are now available if no recessed lighting (705.2.4); Allow N/As in 901.2.1 when 901.2.2 selected; fixed checkbox for 901.2.2 in Verifier Report.</t>
  </si>
  <si>
    <r>
      <t xml:space="preserve">902.2.1 </t>
    </r>
    <r>
      <rPr>
        <sz val="10"/>
        <color theme="1"/>
        <rFont val="Calibri"/>
        <family val="2"/>
        <scheme val="minor"/>
      </rPr>
      <t xml:space="preserve">One of the following whole building ventilation systems is implemented and is in accordance with the specifications of Appendix B and an explanation of the operation and importance of the ventilation system is </t>
    </r>
    <r>
      <rPr>
        <b/>
        <sz val="10"/>
        <color theme="1"/>
        <rFont val="Calibri"/>
        <family val="2"/>
        <scheme val="minor"/>
      </rPr>
      <t>included in either 1001.1(9) or 1002.2(11)</t>
    </r>
    <r>
      <rPr>
        <sz val="10"/>
        <color theme="1"/>
        <rFont val="Calibri"/>
        <family val="2"/>
        <scheme val="minor"/>
      </rPr>
      <t>.</t>
    </r>
  </si>
  <si>
    <r>
      <t xml:space="preserve">This workbook allows you to score a new single-family or multifamily building to the ICC/ASHRAE 700-2015 National Green Building Standard™. Use of the NGBS Scoring workbook is the required entry point for Home Innovation’s NGBS Green Certification. This workbook is intended to be used in conjunction with the publications ICC/ASHRAE 700-2015 National Green Building Standard™.  Please read the Instructions below.  </t>
    </r>
    <r>
      <rPr>
        <b/>
        <sz val="11"/>
        <color rgb="FFFF0000"/>
        <rFont val="Calibri"/>
        <family val="2"/>
        <scheme val="minor"/>
      </rPr>
      <t>Excel 2010, 2013, or 2016 is required!</t>
    </r>
  </si>
  <si>
    <t>state entered incorrectly will no longer turn green; states now in alphabetical order in dropdown; changed how mandatories are indicated for 902.2.1 and 1001.1(9)/1002.2(11); added official support for Excel 2016</t>
  </si>
  <si>
    <t>3.3.0</t>
  </si>
  <si>
    <t>Conditioned Square Footage:</t>
  </si>
  <si>
    <t>"</t>
  </si>
  <si>
    <t>ELR50 (optional):</t>
  </si>
  <si>
    <t>Coding</t>
  </si>
  <si>
    <t>Coding+Points</t>
  </si>
  <si>
    <t>points</t>
  </si>
  <si>
    <t>No Mandatory items missing on the "Overview (Design)" page</t>
  </si>
  <si>
    <t>On the far left of the "Required Documentation" sheet, there are three dynamic columns which change based on what you did in the design portion.</t>
  </si>
  <si>
    <t>(cont.) various interface tweaks; fixed 902.3 error; 801.6.3 now allows N/A; 901.13 &amp; 14 are now MF only; corrected Rough/Final for Ch. 7</t>
  </si>
  <si>
    <t>(cont.) added alternative to ACH50 (ELR50); added coding column to Design pages and Required Documentation.</t>
  </si>
  <si>
    <t>Filters</t>
  </si>
  <si>
    <t>3.3.1</t>
  </si>
  <si>
    <t xml:space="preserve">                 (Certificates are only sent to the Builder/Developer)</t>
  </si>
  <si>
    <t>changed filtering appearance, added some clarifying language to the Final Signature page.</t>
  </si>
  <si>
    <t>Location:</t>
  </si>
  <si>
    <t>dstDesigner</t>
  </si>
  <si>
    <t>verProjectID</t>
  </si>
  <si>
    <t>3.3.2</t>
  </si>
  <si>
    <t>Added text to Design Summary; Fixed elements related to backend</t>
  </si>
  <si>
    <t>(format: hh:mm AM)</t>
  </si>
  <si>
    <r>
      <rPr>
        <b/>
        <sz val="11"/>
        <color theme="1"/>
        <rFont val="Calibri"/>
        <family val="2"/>
        <scheme val="minor"/>
      </rPr>
      <t>Inspection Dates</t>
    </r>
    <r>
      <rPr>
        <sz val="11"/>
        <color theme="1"/>
        <rFont val="Calibri"/>
        <family val="2"/>
        <scheme val="minor"/>
      </rPr>
      <t xml:space="preserve"> </t>
    </r>
    <r>
      <rPr>
        <i/>
        <sz val="8"/>
        <color theme="1"/>
        <rFont val="Calibri"/>
        <family val="2"/>
        <scheme val="minor"/>
      </rPr>
      <t>(if applicable)</t>
    </r>
  </si>
  <si>
    <t>back to 901.9.2</t>
  </si>
  <si>
    <t>(The info below is transferred from the Rough Signature sheet; the information must have been entered there at Rough (except inspection date and removal))</t>
  </si>
  <si>
    <t>Minor text fixes; fixed some hyperlinks that were unclickable; fill-in box formatting; 901.3 accepts N/As when not Mandatory</t>
  </si>
  <si>
    <t>required by IECC:</t>
  </si>
  <si>
    <t>(cont.)705.6.3 available without points, unlocking 801.1.6; 901.1.4 no longer locks out 901.2.2</t>
  </si>
  <si>
    <t>3.4.0</t>
  </si>
  <si>
    <t>3.5.0</t>
  </si>
  <si>
    <t>fixed 801.1.6 in verification phase; fixed Final Level calculation</t>
  </si>
  <si>
    <t>3.5.1</t>
  </si>
  <si>
    <t>behind the scenes changes</t>
  </si>
  <si>
    <t>rough</t>
  </si>
  <si>
    <t>dd name</t>
  </si>
  <si>
    <t>All rights reserved.  This document is protected by U.S. copyright law. Requirements from ICC/ASHRAE 700-2015 National Green Building Standard™ © 2017 National Association of Home Builders of the U.S. - used by permission.  Home Innovation authorizes use of this document only by those individuals/organizations participating in Home Innovation's NGBS Green program and solely for purpose of seeking NGBS Green certification from the Home Innovation Research Labs.</t>
  </si>
  <si>
    <t>© Home Innovation Research Labs, Inc., 2017. All rights reserved.</t>
  </si>
  <si>
    <t>3.6.0</t>
  </si>
  <si>
    <t>Reviewer Notes</t>
  </si>
  <si>
    <t>include</t>
  </si>
  <si>
    <t>photoRev</t>
  </si>
  <si>
    <t>fixed 602.1.12 points calculation; fixed part of 703.5.1 hiding inappropriately when filtering for points claimed; added reviewer column (internal) and photo review sheet</t>
  </si>
  <si>
    <t>photoRevList</t>
  </si>
  <si>
    <t>Not OK</t>
  </si>
  <si>
    <t>(cont.)701.1.1-3 no longer trigger a mandatory error during rough.</t>
  </si>
  <si>
    <t>check google maps or photo should appear developed</t>
  </si>
  <si>
    <t>look for sidewalk in foreground or check google</t>
  </si>
  <si>
    <t>use best judgement to confirm slope angle</t>
  </si>
  <si>
    <t>look at plants</t>
  </si>
  <si>
    <t>look at similar plants</t>
  </si>
  <si>
    <t>look for trees and shading</t>
  </si>
  <si>
    <t>look for silt fence</t>
  </si>
  <si>
    <t xml:space="preserve">look for silt fence </t>
  </si>
  <si>
    <t>look for silt fence or saftey fencing</t>
  </si>
  <si>
    <t>driveway appearance or google maps</t>
  </si>
  <si>
    <t>trees or other that create shading</t>
  </si>
  <si>
    <t>concrete driveway</t>
  </si>
  <si>
    <t>white or light roof color</t>
  </si>
  <si>
    <t>visual judgement</t>
  </si>
  <si>
    <t>visual confirmation</t>
  </si>
  <si>
    <t xml:space="preserve">trim </t>
  </si>
  <si>
    <t>windows</t>
  </si>
  <si>
    <t>tyvek, or green osb walls with tape</t>
  </si>
  <si>
    <t xml:space="preserve">look at front door and estimate # covered doors excluding garage </t>
  </si>
  <si>
    <t xml:space="preserve">visually estimate roof overhangs </t>
  </si>
  <si>
    <t>visual inspection</t>
  </si>
  <si>
    <t>look for gutters and or downspouts</t>
  </si>
  <si>
    <t>look for steps at the entery doors - fail</t>
  </si>
  <si>
    <t>look for chimney</t>
  </si>
  <si>
    <t>look for garage</t>
  </si>
  <si>
    <t>If photos appear to contradict the points claimed, 
please explain in the Notes field in the Verifier report.</t>
  </si>
  <si>
    <t>Practices that will be reviewed alongside 
the required photo documentation.</t>
  </si>
  <si>
    <t>3.7.0</t>
  </si>
  <si>
    <t>fixed mandatory errors appearing at rough for practices that are also available at final</t>
  </si>
  <si>
    <t>4.0.0</t>
  </si>
  <si>
    <t>3.7.1</t>
  </si>
  <si>
    <t>fixed 701.4.3.2  mandatory air sealing items and fixed 701.4.3.5 available for Final not Rough</t>
  </si>
  <si>
    <t>Mandatory</t>
  </si>
  <si>
    <t>highlight mandatory items on the right side of the Verification Report  worksheet, adjust workbook to work with 2015 updater tool.</t>
  </si>
  <si>
    <t>4.0.1</t>
  </si>
  <si>
    <t>adjusted Rough Sig and Final Sig. to work better with the 2015 Updater Tool</t>
  </si>
  <si>
    <t>2015 IECC</t>
  </si>
  <si>
    <t>4.0.2</t>
  </si>
  <si>
    <t>added 2015 IECC, 2015 IRC and 2015 IBC as selections in the pull down for the “Local Building Code”</t>
  </si>
  <si>
    <t>2015 IRC</t>
  </si>
  <si>
    <t>2015 IBC</t>
  </si>
  <si>
    <t>ACH50 doesn’t meet requirements</t>
  </si>
  <si>
    <t>4.0.3</t>
  </si>
  <si>
    <t>Correct login in Section 705.6.2 to include multistory high-rise exception per IECC guidelines</t>
  </si>
  <si>
    <t>4.0.4</t>
  </si>
  <si>
    <t>Modified logic for ACH50 ch7</t>
  </si>
  <si>
    <t>ZERH Builder</t>
  </si>
  <si>
    <t>123 Main Sts</t>
  </si>
  <si>
    <t>Lot 123</t>
  </si>
  <si>
    <t>Durham</t>
  </si>
  <si>
    <t>27703</t>
  </si>
  <si>
    <t>NGBS Green Verifier</t>
  </si>
  <si>
    <t>Weyerhaeuser Trus Joist</t>
  </si>
  <si>
    <t>Boise Cascade Versa-Lam</t>
  </si>
  <si>
    <t>Weyerhaeuser Trust Joist</t>
  </si>
  <si>
    <t>Weyerhaeuser Trus Joist; Boise Cascade Versa-Lam</t>
  </si>
  <si>
    <t>ZERH Requirement - ENERGY STAR Certified Home National Rater Field Checklist, Section 3.4.3 Advanced Framing</t>
  </si>
  <si>
    <t>ZERH Requirement - ENERGY STAR Certified Homes National Water Management Requirements, Section 1.3 Capillary Break</t>
  </si>
  <si>
    <t>ZERH Requirement - ENERGY STAR Certified Homes National Water Management Requirements, Section 1.8, Drain Tile</t>
  </si>
  <si>
    <t>ZERH Requirement - ENERGY STAR Certified Homes National Water Mangement Requirements, Section 4.4 Water Damaged Materials</t>
  </si>
  <si>
    <t>ZERH Requirement - ENERGY STAR Certified Homes National Water Mangement Requirements, Section 4.5 Framing Members Moisture Content</t>
  </si>
  <si>
    <t>ZERH Requirement - ENERGY STAR Certified Homes National Water Management Requirements, Footnote 18, Lumber Moisture Content</t>
  </si>
  <si>
    <t>ZERH Requirement - ENERGY STAR Certified Homes National Water Management Requirements, Section 2.2 Drainage Plane Behind Cladding</t>
  </si>
  <si>
    <t>ZERH Requirement - ENERGY STAR Certified Homes National Water Management Requirements, Section 3.1 Step and Kick-Out Flashing</t>
  </si>
  <si>
    <t xml:space="preserve">ZERH Requirement - ENERGY STAR Certified Homes National Water Management Requirements, Section 4.2 Backing Material on Tub and Shower Enclosure </t>
  </si>
  <si>
    <t>ZERH Requirement - ENERGY STAR Certified Homes National Water Management Requirements, Section 3.2 Gutters and Downspouts</t>
  </si>
  <si>
    <t>ZERH Requirement - ENERGY STAR Homes Version 3.0 or 3.1 certification (depending on location)</t>
  </si>
  <si>
    <t>ZERH Requirement - Exhibit 1 Efficient Appliances</t>
  </si>
  <si>
    <t>ZERH Requirement - Indoor airPLUS, Section 4.3 Location of Air Handling Equipment and Ductwork</t>
  </si>
  <si>
    <t>ZERH Requirement - Indoor airPLUS, Section 5.1 Combustion Equipment</t>
  </si>
  <si>
    <t>ZERH Requirement - ENERGY STAR Certified Homes National Rater Field Checklist, Section 2, Fully Aligned Air Barriers</t>
  </si>
  <si>
    <t>ZERH Requirement - ENERGY STAR Certified Homes National Rater Field Checklist, Section 4.9, Air Sealing</t>
  </si>
  <si>
    <t>ZERH Requirement - Indoor airPLUS, Section 6.1 Composite Wood</t>
  </si>
  <si>
    <t>ZERH Requirement - Indoor airPLUS, Section 6.1 Hardwood Plywood, Particle Board and MDF</t>
  </si>
  <si>
    <t>ZERH Requirement - ENERGY STAR Certified Homes National Water Management Requirements, Section 4.1 Bathroom Carpets</t>
  </si>
  <si>
    <t>ZERH Requirement - Indoor airPLUS, Section 6.2 Interior Paints and Finishes</t>
  </si>
  <si>
    <t>ZERH Requirement - Indoor airPLUS, Section 5.2 Carbon Monoxide Alarms</t>
  </si>
  <si>
    <t>ZERH Requirement - ENERGY STAR Certified Homes National Rater Field Checklist Section 8.2 Bathroom Exhaust</t>
  </si>
  <si>
    <t>ZERH Requirement - Indoor airPLUS, Section 4.6 HVAC Systems</t>
  </si>
  <si>
    <t xml:space="preserve">ZERH Requirement - ENERGY STAR Certifid Homes National Rater Field Checklist, Section 8.1 Kitchen Exhaust </t>
  </si>
  <si>
    <t>ZERH Requirement - ENERGY STAR Certified Homes National Rater Field Checklist, Section 8 Local Mechanical Exhaust</t>
  </si>
  <si>
    <t>ZERH Requirement - ENERGY STAR Certified Homes National Rater Field Checklist, Section 7.2 Ventilation Override Switch</t>
  </si>
  <si>
    <t>ZERH Requirement - ENERGY STAR Certified Homes National Rater Field Checklist, Section 7.1 Confirm Ventilation Rates</t>
  </si>
  <si>
    <t>ZERH Requirement - Indoor airPLUS, Section 4.7 Filtration for Central Forced-Air HVAC Systems</t>
  </si>
  <si>
    <t>ZERH Requirement - ENERGY STAR Certified Homes National Rater Field Checklist, Section 2 Fully Aligned Air Barriers</t>
  </si>
  <si>
    <t>ZERH Requirement - Zero Energy Ready Homes Exhibit 1</t>
  </si>
  <si>
    <t>ZERH Requirement - Indoor airPLUS Verification Checklist, Section 4.1 HVAC Systems</t>
  </si>
  <si>
    <t>ZERH Requirement - ENERGY STAR Certified Homes National Rater Field Checklist, Section 8.1 Kitchen Exhaust</t>
  </si>
  <si>
    <t>This workbook also shows NGBS provisions that overlap with the DOE Zero Energy Ready Home certification requirements.  If your project already aligns with several DOE ZERH provisions (which are indicated in the Notes column), you may want to explore dual certification under both programs.  See www.buildings.energy/gov for more information on DOE Zero Energy Ready Home.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</si>
</sst>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quot;)&quot;"/>
    <numFmt numFmtId="165" formatCode="0&quot; square feet&quot;"/>
    <numFmt numFmtId="166" formatCode="0.0%"/>
    <numFmt numFmtId="167" formatCode="0&quot; products&quot;"/>
    <numFmt numFmtId="168" formatCode="0.0"/>
    <numFmt numFmtId="169" formatCode="0.000"/>
    <numFmt numFmtId="170" formatCode="0&quot; inches&quot;"/>
    <numFmt numFmtId="171" formatCode="0&quot; Additional&quot;"/>
    <numFmt numFmtId="172" formatCode="0&quot; system(s)&quot;"/>
    <numFmt numFmtId="173" formatCode="0&quot; kW&quot;"/>
    <numFmt numFmtId="174" formatCode="&quot;per &quot;0&quot; square feet&quot;"/>
    <numFmt numFmtId="175" formatCode="0&quot; luminaires&quot;"/>
    <numFmt numFmtId="176" formatCode="0&quot; timer(s)&quot;"/>
    <numFmt numFmtId="177" formatCode="0&quot; humidistat(s)&quot;"/>
    <numFmt numFmtId="178" formatCode="0&quot; fan(s)&quot;"/>
    <numFmt numFmtId="179" formatCode="0_);[Red]\(0\)"/>
    <numFmt numFmtId="180" formatCode="mm/dd/yy;@"/>
  </numFmts>
  <fonts count="10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4"/>
      <color theme="1"/>
      <name val="Calibri"/>
      <family val="2"/>
      <scheme val="minor"/>
    </font>
    <font>
      <u/>
      <sz val="10"/>
      <color indexed="12"/>
      <name val="Calibri"/>
      <family val="2"/>
      <scheme val="minor"/>
    </font>
    <font>
      <sz val="14"/>
      <color theme="0"/>
      <name val="Calibri"/>
      <family val="2"/>
      <scheme val="minor"/>
    </font>
    <font>
      <u/>
      <sz val="11"/>
      <color theme="11"/>
      <name val="Calibri"/>
      <family val="2"/>
      <scheme val="minor"/>
    </font>
    <font>
      <b/>
      <sz val="11"/>
      <color rgb="FFFF0000"/>
      <name val="Calibri"/>
      <family val="2"/>
      <scheme val="minor"/>
    </font>
    <font>
      <sz val="9"/>
      <color theme="0"/>
      <name val="Calibri"/>
      <family val="2"/>
      <scheme val="minor"/>
    </font>
    <font>
      <b/>
      <sz val="10"/>
      <color theme="1"/>
      <name val="Calibri"/>
      <family val="2"/>
      <scheme val="minor"/>
    </font>
    <font>
      <b/>
      <sz val="10"/>
      <color theme="1"/>
      <name val="Calibri"/>
      <family val="2"/>
    </font>
    <font>
      <sz val="10"/>
      <color theme="1"/>
      <name val="Calibri"/>
      <family val="2"/>
    </font>
    <font>
      <sz val="11"/>
      <color rgb="FF37CBFF"/>
      <name val="Calibri"/>
      <family val="2"/>
      <scheme val="minor"/>
    </font>
    <font>
      <sz val="10"/>
      <name val="Calibri"/>
      <family val="2"/>
    </font>
    <font>
      <b/>
      <sz val="11"/>
      <color theme="0" tint="-0.14996795556505021"/>
      <name val="Calibri"/>
      <family val="2"/>
      <scheme val="minor"/>
    </font>
    <font>
      <sz val="12"/>
      <color theme="0"/>
      <name val="Calibri"/>
      <family val="2"/>
      <scheme val="minor"/>
    </font>
    <font>
      <i/>
      <sz val="10"/>
      <color theme="1"/>
      <name val="Calibri"/>
      <family val="2"/>
      <scheme val="minor"/>
    </font>
    <font>
      <b/>
      <sz val="12"/>
      <name val="Calibri"/>
      <family val="2"/>
    </font>
    <font>
      <vertAlign val="superscript"/>
      <sz val="10"/>
      <color theme="1"/>
      <name val="Calibri"/>
      <family val="2"/>
      <scheme val="minor"/>
    </font>
    <font>
      <b/>
      <vertAlign val="superscript"/>
      <sz val="10"/>
      <color theme="1"/>
      <name val="Calibri"/>
      <family val="2"/>
      <scheme val="minor"/>
    </font>
    <font>
      <b/>
      <i/>
      <sz val="10"/>
      <color theme="1"/>
      <name val="Calibri"/>
      <family val="2"/>
      <scheme val="minor"/>
    </font>
    <font>
      <sz val="7"/>
      <color theme="1"/>
      <name val="Times New Roman"/>
      <family val="1"/>
    </font>
    <font>
      <sz val="10"/>
      <color rgb="FF000000"/>
      <name val="Calibri"/>
      <family val="2"/>
      <scheme val="minor"/>
    </font>
    <font>
      <u/>
      <sz val="10"/>
      <color theme="1"/>
      <name val="Calibri"/>
      <family val="2"/>
      <scheme val="minor"/>
    </font>
    <font>
      <i/>
      <sz val="10"/>
      <color theme="1"/>
      <name val="Symbol"/>
      <family val="1"/>
      <charset val="2"/>
    </font>
    <font>
      <b/>
      <sz val="10"/>
      <color rgb="FFFF0000"/>
      <name val="Calibri"/>
      <family val="2"/>
      <scheme val="minor"/>
    </font>
    <font>
      <vertAlign val="subscript"/>
      <sz val="10"/>
      <color theme="1"/>
      <name val="Calibri"/>
      <family val="2"/>
    </font>
    <font>
      <i/>
      <vertAlign val="subscript"/>
      <sz val="10"/>
      <color theme="1"/>
      <name val="Calibri"/>
      <family val="2"/>
    </font>
    <font>
      <b/>
      <sz val="10"/>
      <color rgb="FF000000"/>
      <name val="Calibri"/>
      <family val="2"/>
      <scheme val="minor"/>
    </font>
    <font>
      <b/>
      <sz val="10"/>
      <color theme="0"/>
      <name val="Calibri"/>
      <family val="2"/>
      <scheme val="minor"/>
    </font>
    <font>
      <b/>
      <sz val="10"/>
      <color theme="0"/>
      <name val="Calibri"/>
      <family val="2"/>
    </font>
    <font>
      <sz val="11"/>
      <name val="Calibri"/>
      <family val="2"/>
      <scheme val="minor"/>
    </font>
    <font>
      <i/>
      <vertAlign val="superscript"/>
      <sz val="10"/>
      <color theme="1"/>
      <name val="Calibri"/>
      <family val="2"/>
      <scheme val="minor"/>
    </font>
    <font>
      <sz val="10"/>
      <color rgb="FFFF0000"/>
      <name val="Calibri"/>
      <family val="2"/>
      <scheme val="minor"/>
    </font>
    <font>
      <sz val="10"/>
      <color rgb="FF000000"/>
      <name val="Calibri"/>
      <family val="2"/>
    </font>
    <font>
      <sz val="7"/>
      <color rgb="FF000000"/>
      <name val="Times New Roman"/>
      <family val="1"/>
    </font>
    <font>
      <vertAlign val="superscript"/>
      <sz val="10"/>
      <color rgb="FF000000"/>
      <name val="Calibri"/>
      <family val="2"/>
      <scheme val="minor"/>
    </font>
    <font>
      <u/>
      <sz val="10"/>
      <color theme="1"/>
      <name val="Calibri"/>
      <family val="2"/>
    </font>
    <font>
      <vertAlign val="superscript"/>
      <sz val="10"/>
      <color theme="1"/>
      <name val="Calibri"/>
      <family val="2"/>
    </font>
    <font>
      <b/>
      <sz val="10"/>
      <color rgb="FF000000"/>
      <name val="Calibri"/>
      <family val="2"/>
    </font>
    <font>
      <b/>
      <sz val="10"/>
      <name val="Calibri"/>
      <family val="2"/>
      <scheme val="minor"/>
    </font>
    <font>
      <b/>
      <vertAlign val="superscript"/>
      <sz val="10"/>
      <color theme="1"/>
      <name val="Calibri"/>
      <family val="2"/>
    </font>
    <font>
      <sz val="8"/>
      <color theme="1"/>
      <name val="Calibri"/>
      <family val="2"/>
    </font>
    <font>
      <u/>
      <sz val="10"/>
      <color theme="10"/>
      <name val="Calibri"/>
      <family val="2"/>
      <scheme val="minor"/>
    </font>
    <font>
      <sz val="10"/>
      <color theme="0"/>
      <name val="Calibri"/>
      <family val="2"/>
      <scheme val="minor"/>
    </font>
    <font>
      <b/>
      <u/>
      <sz val="10"/>
      <color theme="10"/>
      <name val="Calibri"/>
      <family val="2"/>
      <scheme val="minor"/>
    </font>
    <font>
      <b/>
      <sz val="16"/>
      <color theme="1"/>
      <name val="Calibri"/>
      <family val="2"/>
      <scheme val="minor"/>
    </font>
    <font>
      <b/>
      <sz val="11"/>
      <name val="Calibri"/>
      <family val="2"/>
      <scheme val="minor"/>
    </font>
    <font>
      <b/>
      <sz val="11"/>
      <name val="Wingdings"/>
      <charset val="2"/>
    </font>
    <font>
      <sz val="8"/>
      <color theme="0" tint="-0.499984740745262"/>
      <name val="Calibri"/>
      <family val="2"/>
      <scheme val="minor"/>
    </font>
    <font>
      <i/>
      <sz val="8"/>
      <color theme="1"/>
      <name val="Calibri"/>
      <family val="2"/>
      <scheme val="minor"/>
    </font>
    <font>
      <i/>
      <sz val="8"/>
      <color theme="0" tint="-0.499984740745262"/>
      <name val="Calibri"/>
      <family val="2"/>
      <scheme val="minor"/>
    </font>
    <font>
      <u val="double"/>
      <sz val="11"/>
      <color theme="1"/>
      <name val="Calibri"/>
      <family val="2"/>
      <scheme val="minor"/>
    </font>
    <font>
      <i/>
      <sz val="9"/>
      <color theme="2" tint="-0.499984740745262"/>
      <name val="Calibri"/>
      <family val="2"/>
      <scheme val="minor"/>
    </font>
    <font>
      <i/>
      <sz val="11"/>
      <color theme="1"/>
      <name val="Calibri"/>
      <family val="2"/>
      <scheme val="minor"/>
    </font>
    <font>
      <sz val="10"/>
      <name val="Calibri"/>
      <family val="2"/>
      <scheme val="minor"/>
    </font>
    <font>
      <u/>
      <sz val="14"/>
      <color theme="0"/>
      <name val="Calibri"/>
      <family val="2"/>
      <scheme val="minor"/>
    </font>
    <font>
      <b/>
      <u/>
      <sz val="11"/>
      <color theme="1"/>
      <name val="Calibri"/>
      <family val="2"/>
      <scheme val="minor"/>
    </font>
    <font>
      <u/>
      <sz val="11"/>
      <color theme="10"/>
      <name val="Calibri"/>
      <family val="2"/>
      <scheme val="minor"/>
    </font>
    <font>
      <sz val="8"/>
      <color theme="1"/>
      <name val="Calibri"/>
      <family val="2"/>
      <scheme val="minor"/>
    </font>
    <font>
      <b/>
      <sz val="11"/>
      <color theme="0" tint="-0.24994659260841701"/>
      <name val="Calibri"/>
      <family val="2"/>
      <scheme val="minor"/>
    </font>
    <font>
      <sz val="8"/>
      <color theme="1"/>
      <name val="Arial"/>
      <family val="2"/>
    </font>
    <font>
      <sz val="10"/>
      <color theme="1"/>
      <name val="Arial"/>
      <family val="2"/>
    </font>
    <font>
      <b/>
      <sz val="10"/>
      <color theme="1"/>
      <name val="Arial"/>
      <family val="2"/>
    </font>
    <font>
      <b/>
      <sz val="10"/>
      <color theme="0"/>
      <name val="Arial"/>
      <family val="2"/>
    </font>
    <font>
      <i/>
      <sz val="10"/>
      <color theme="1"/>
      <name val="Arial"/>
      <family val="2"/>
    </font>
    <font>
      <b/>
      <sz val="16"/>
      <color theme="1"/>
      <name val="Arial"/>
      <family val="2"/>
    </font>
    <font>
      <b/>
      <sz val="12"/>
      <color theme="1"/>
      <name val="Arial"/>
      <family val="2"/>
    </font>
    <font>
      <sz val="12"/>
      <color theme="1"/>
      <name val="Times New Roman"/>
      <family val="1"/>
    </font>
    <font>
      <vertAlign val="superscript"/>
      <sz val="10"/>
      <color theme="1"/>
      <name val="Arial"/>
      <family val="2"/>
    </font>
    <font>
      <b/>
      <vertAlign val="subscript"/>
      <sz val="10"/>
      <color theme="1"/>
      <name val="Arial"/>
      <family val="2"/>
    </font>
    <font>
      <i/>
      <sz val="10"/>
      <color theme="1"/>
      <name val="Times New Roman"/>
      <family val="1"/>
    </font>
    <font>
      <i/>
      <vertAlign val="subscript"/>
      <sz val="10"/>
      <color theme="1"/>
      <name val="Times New Roman"/>
      <family val="1"/>
    </font>
    <font>
      <vertAlign val="superscript"/>
      <sz val="12"/>
      <color theme="1"/>
      <name val="Arial"/>
      <family val="2"/>
    </font>
    <font>
      <sz val="12"/>
      <color theme="1"/>
      <name val="Arial"/>
      <family val="2"/>
    </font>
    <font>
      <i/>
      <sz val="9"/>
      <color theme="1"/>
      <name val="Arial"/>
      <family val="2"/>
    </font>
    <font>
      <sz val="9"/>
      <color theme="1"/>
      <name val="Arial"/>
      <family val="2"/>
    </font>
    <font>
      <b/>
      <vertAlign val="superscript"/>
      <sz val="10"/>
      <color theme="1"/>
      <name val="Arial"/>
      <family val="2"/>
    </font>
    <font>
      <b/>
      <sz val="14"/>
      <color theme="0"/>
      <name val="Calibri"/>
      <family val="2"/>
      <scheme val="minor"/>
    </font>
    <font>
      <b/>
      <sz val="16"/>
      <color theme="0"/>
      <name val="Calibri"/>
      <family val="2"/>
      <scheme val="minor"/>
    </font>
    <font>
      <sz val="16"/>
      <color theme="0"/>
      <name val="Calibri"/>
      <family val="2"/>
      <scheme val="minor"/>
    </font>
    <font>
      <i/>
      <sz val="8"/>
      <color theme="0"/>
      <name val="Calibri"/>
      <family val="2"/>
      <scheme val="minor"/>
    </font>
    <font>
      <sz val="11"/>
      <name val="Calibri"/>
      <family val="2"/>
    </font>
    <font>
      <b/>
      <sz val="11"/>
      <color rgb="FFFFFFFF"/>
      <name val="Calibri"/>
      <family val="2"/>
      <scheme val="minor"/>
    </font>
  </fonts>
  <fills count="50">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rgb="FF92D050"/>
        <bgColor indexed="64"/>
      </patternFill>
    </fill>
    <fill>
      <patternFill patternType="solid">
        <fgColor rgb="FFFF0000"/>
        <bgColor indexed="64"/>
      </patternFill>
    </fill>
    <fill>
      <patternFill patternType="solid">
        <fgColor theme="4" tint="0.79998168889431442"/>
        <bgColor indexed="64"/>
      </patternFill>
    </fill>
    <fill>
      <patternFill patternType="solid">
        <fgColor rgb="FFFFFF99"/>
        <bgColor indexed="64"/>
      </patternFill>
    </fill>
    <fill>
      <patternFill patternType="solid">
        <fgColor rgb="FF37CBFF"/>
        <bgColor indexed="64"/>
      </patternFill>
    </fill>
    <fill>
      <patternFill patternType="darkDown">
        <fgColor theme="0"/>
        <bgColor rgb="FFFFFF00"/>
      </patternFill>
    </fill>
    <fill>
      <patternFill patternType="solid">
        <fgColor theme="0"/>
        <bgColor indexed="64"/>
      </patternFill>
    </fill>
    <fill>
      <patternFill patternType="darkGrid">
        <bgColor rgb="FF37CBFF"/>
      </patternFill>
    </fill>
    <fill>
      <patternFill patternType="solid">
        <fgColor theme="1"/>
        <bgColor indexed="64"/>
      </patternFill>
    </fill>
    <fill>
      <patternFill patternType="solid">
        <fgColor rgb="FFD9D9D9"/>
        <bgColor indexed="64"/>
      </patternFill>
    </fill>
    <fill>
      <patternFill patternType="darkGrid"/>
    </fill>
    <fill>
      <patternFill patternType="solid">
        <fgColor rgb="FFE6E6E6"/>
        <bgColor indexed="64"/>
      </patternFill>
    </fill>
    <fill>
      <patternFill patternType="solid">
        <fgColor rgb="FF000000"/>
        <bgColor indexed="64"/>
      </patternFill>
    </fill>
    <fill>
      <patternFill patternType="solid">
        <fgColor theme="0" tint="-4.9989318521683403E-2"/>
        <bgColor indexed="64"/>
      </patternFill>
    </fill>
    <fill>
      <patternFill patternType="darkDown">
        <fgColor theme="0"/>
        <bgColor theme="0"/>
      </patternFill>
    </fill>
  </fills>
  <borders count="1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rgb="FF002060"/>
      </left>
      <right style="thin">
        <color rgb="FF002060"/>
      </right>
      <top style="thin">
        <color rgb="FF002060"/>
      </top>
      <bottom style="thin">
        <color rgb="FF00206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FFC000"/>
      </left>
      <right style="thin">
        <color rgb="FFFFC000"/>
      </right>
      <top style="thin">
        <color rgb="FFFFC000"/>
      </top>
      <bottom style="thin">
        <color rgb="FFFFC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top/>
      <bottom/>
      <diagonal/>
    </border>
    <border>
      <left/>
      <right style="thin">
        <color auto="1"/>
      </right>
      <top/>
      <bottom style="double">
        <color indexed="64"/>
      </bottom>
      <diagonal/>
    </border>
    <border>
      <left/>
      <right/>
      <top/>
      <bottom style="double">
        <color indexed="64"/>
      </bottom>
      <diagonal/>
    </border>
    <border>
      <left style="thin">
        <color auto="1"/>
      </left>
      <right style="thin">
        <color auto="1"/>
      </right>
      <top style="thin">
        <color auto="1"/>
      </top>
      <bottom style="double">
        <color indexed="64"/>
      </bottom>
      <diagonal/>
    </border>
    <border>
      <left/>
      <right/>
      <top style="double">
        <color indexed="64"/>
      </top>
      <bottom/>
      <diagonal/>
    </border>
    <border>
      <left style="thin">
        <color auto="1"/>
      </left>
      <right style="thin">
        <color auto="1"/>
      </right>
      <top style="double">
        <color indexed="64"/>
      </top>
      <bottom style="thin">
        <color auto="1"/>
      </bottom>
      <diagonal/>
    </border>
    <border>
      <left/>
      <right/>
      <top style="double">
        <color indexed="64"/>
      </top>
      <bottom style="double">
        <color indexed="64"/>
      </bottom>
      <diagonal/>
    </border>
    <border>
      <left style="thin">
        <color auto="1"/>
      </left>
      <right style="thin">
        <color auto="1"/>
      </right>
      <top style="double">
        <color indexed="64"/>
      </top>
      <bottom style="double">
        <color indexed="64"/>
      </bottom>
      <diagonal/>
    </border>
    <border>
      <left style="thin">
        <color auto="1"/>
      </left>
      <right style="thin">
        <color auto="1"/>
      </right>
      <top style="double">
        <color indexed="64"/>
      </top>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right style="thick">
        <color theme="9" tint="-0.24994659260841701"/>
      </right>
      <top style="thick">
        <color theme="9" tint="-0.24994659260841701"/>
      </top>
      <bottom/>
      <diagonal/>
    </border>
    <border>
      <left style="thick">
        <color theme="9" tint="-0.24994659260841701"/>
      </left>
      <right/>
      <top/>
      <bottom/>
      <diagonal/>
    </border>
    <border>
      <left/>
      <right style="thick">
        <color theme="9" tint="-0.24994659260841701"/>
      </right>
      <top/>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right style="thick">
        <color theme="9" tint="-0.24994659260841701"/>
      </right>
      <top/>
      <bottom style="thick">
        <color theme="9" tint="-0.24994659260841701"/>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rgb="FFFFC000"/>
      </left>
      <right style="thin">
        <color rgb="FFFFC000"/>
      </right>
      <top style="thin">
        <color rgb="FFFFC000"/>
      </top>
      <bottom/>
      <diagonal/>
    </border>
    <border>
      <left style="thin">
        <color rgb="FFFFC000"/>
      </left>
      <right style="thin">
        <color rgb="FFFFC000"/>
      </right>
      <top/>
      <bottom/>
      <diagonal/>
    </border>
    <border>
      <left style="thin">
        <color rgb="FFFFC000"/>
      </left>
      <right style="thin">
        <color rgb="FFFFC000"/>
      </right>
      <top/>
      <bottom style="thin">
        <color rgb="FFFFC000"/>
      </bottom>
      <diagonal/>
    </border>
    <border>
      <left style="thin">
        <color rgb="FFFFC000"/>
      </left>
      <right style="thin">
        <color rgb="FFFFC000"/>
      </right>
      <top style="thin">
        <color rgb="FFFFC000"/>
      </top>
      <bottom style="thin">
        <color auto="1"/>
      </bottom>
      <diagonal/>
    </border>
    <border>
      <left style="thin">
        <color rgb="FFFFC000"/>
      </left>
      <right style="thin">
        <color rgb="FFFFC000"/>
      </right>
      <top style="thin">
        <color rgb="FFFFC000"/>
      </top>
      <bottom style="double">
        <color auto="1"/>
      </bottom>
      <diagonal/>
    </border>
    <border>
      <left/>
      <right style="thin">
        <color auto="1"/>
      </right>
      <top style="double">
        <color auto="1"/>
      </top>
      <bottom/>
      <diagonal/>
    </border>
    <border>
      <left style="thin">
        <color auto="1"/>
      </left>
      <right style="thin">
        <color auto="1"/>
      </right>
      <top/>
      <bottom style="double">
        <color indexed="64"/>
      </bottom>
      <diagonal/>
    </border>
    <border>
      <left style="thin">
        <color auto="1"/>
      </left>
      <right/>
      <top/>
      <bottom style="double">
        <color indexed="64"/>
      </bottom>
      <diagonal/>
    </border>
    <border>
      <left/>
      <right style="thin">
        <color auto="1"/>
      </right>
      <top style="thin">
        <color auto="1"/>
      </top>
      <bottom style="double">
        <color indexed="64"/>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left>
      <right style="thin">
        <color indexed="64"/>
      </right>
      <top style="thin">
        <color auto="1"/>
      </top>
      <bottom/>
      <diagonal/>
    </border>
    <border>
      <left style="thin">
        <color theme="0"/>
      </left>
      <right style="thin">
        <color indexed="64"/>
      </right>
      <top/>
      <bottom/>
      <diagonal/>
    </border>
    <border>
      <left/>
      <right/>
      <top style="double">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right style="medium">
        <color indexed="64"/>
      </right>
      <top/>
      <bottom/>
      <diagonal/>
    </border>
    <border>
      <left/>
      <right style="medium">
        <color indexed="64"/>
      </right>
      <top/>
      <bottom style="medium">
        <color rgb="FF000000"/>
      </bottom>
      <diagonal/>
    </border>
    <border>
      <left style="thin">
        <color theme="9" tint="-0.249977111117893"/>
      </left>
      <right/>
      <top style="thin">
        <color theme="9" tint="-0.249977111117893"/>
      </top>
      <bottom style="thin">
        <color theme="9"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medium">
        <color indexed="64"/>
      </left>
      <right style="medium">
        <color indexed="64"/>
      </right>
      <top style="medium">
        <color indexed="64"/>
      </top>
      <bottom style="medium">
        <color indexed="64"/>
      </bottom>
      <diagonal/>
    </border>
    <border>
      <left style="thin">
        <color rgb="FFFFC000"/>
      </left>
      <right/>
      <top/>
      <bottom/>
      <diagonal/>
    </border>
    <border>
      <left style="thin">
        <color theme="0" tint="-0.14996795556505021"/>
      </left>
      <right style="thin">
        <color auto="1"/>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medium">
        <color indexed="64"/>
      </left>
      <right/>
      <top/>
      <bottom/>
      <diagonal/>
    </border>
    <border>
      <left/>
      <right style="medium">
        <color indexed="64"/>
      </right>
      <top/>
      <bottom style="double">
        <color rgb="FF000000"/>
      </bottom>
      <diagonal/>
    </border>
    <border>
      <left/>
      <right style="medium">
        <color indexed="64"/>
      </right>
      <top/>
      <bottom style="double">
        <color indexed="64"/>
      </bottom>
      <diagonal/>
    </border>
    <border>
      <left style="medium">
        <color indexed="64"/>
      </left>
      <right/>
      <top/>
      <bottom style="double">
        <color indexed="64"/>
      </bottom>
      <diagonal/>
    </border>
    <border>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theme="9" tint="-0.24994659260841701"/>
      </left>
      <right style="thin">
        <color auto="1"/>
      </right>
      <top style="thin">
        <color theme="9" tint="-0.24994659260841701"/>
      </top>
      <bottom style="thin">
        <color theme="9" tint="-0.24994659260841701"/>
      </bottom>
      <diagonal/>
    </border>
    <border>
      <left style="thin">
        <color auto="1"/>
      </left>
      <right style="thin">
        <color auto="1"/>
      </right>
      <top style="thin">
        <color theme="9" tint="-0.24994659260841701"/>
      </top>
      <bottom style="thin">
        <color theme="9" tint="-0.24994659260841701"/>
      </bottom>
      <diagonal/>
    </border>
    <border>
      <left style="thin">
        <color auto="1"/>
      </left>
      <right style="thin">
        <color theme="9" tint="-0.24994659260841701"/>
      </right>
      <top style="thin">
        <color theme="9" tint="-0.24994659260841701"/>
      </top>
      <bottom style="thin">
        <color theme="9" tint="-0.24994659260841701"/>
      </bottom>
      <diagonal/>
    </border>
  </borders>
  <cellStyleXfs count="68">
    <xf numFmtId="0" fontId="0" fillId="0" borderId="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0" applyNumberFormat="0" applyBorder="0" applyAlignment="0" applyProtection="0"/>
    <xf numFmtId="0" fontId="9" fillId="6" borderId="4" applyNumberFormat="0" applyAlignment="0" applyProtection="0"/>
    <xf numFmtId="0" fontId="10" fillId="7" borderId="5" applyNumberFormat="0" applyAlignment="0" applyProtection="0"/>
    <xf numFmtId="0" fontId="11" fillId="7" borderId="4" applyNumberFormat="0" applyAlignment="0" applyProtection="0"/>
    <xf numFmtId="0" fontId="12" fillId="0" borderId="6" applyNumberFormat="0" applyFill="0" applyAlignment="0" applyProtection="0"/>
    <xf numFmtId="0" fontId="13" fillId="8" borderId="7" applyNumberFormat="0" applyAlignment="0" applyProtection="0"/>
    <xf numFmtId="0" fontId="14" fillId="0" borderId="0" applyNumberFormat="0" applyFill="0" applyBorder="0" applyAlignment="0" applyProtection="0"/>
    <xf numFmtId="0" fontId="1" fillId="9"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7" fillId="33" borderId="0" applyNumberFormat="0" applyBorder="0" applyAlignment="0" applyProtection="0"/>
    <xf numFmtId="0" fontId="1" fillId="38" borderId="10" applyNumberFormat="0" applyFont="0" applyAlignment="0">
      <protection locked="0"/>
    </xf>
    <xf numFmtId="0" fontId="1" fillId="39" borderId="10" applyNumberFormat="0" applyFont="0" applyAlignment="0">
      <protection locked="0"/>
    </xf>
    <xf numFmtId="0" fontId="20" fillId="0" borderId="0" applyNumberFormat="0" applyFill="0" applyBorder="0" applyAlignment="0" applyProtection="0"/>
    <xf numFmtId="0" fontId="21" fillId="34" borderId="0" applyNumberFormat="0" applyBorder="0" applyAlignment="0"/>
    <xf numFmtId="0" fontId="1" fillId="35" borderId="10" applyNumberFormat="0" applyFont="0" applyAlignment="0">
      <alignment horizontal="center" vertical="center"/>
    </xf>
    <xf numFmtId="0" fontId="1" fillId="36" borderId="10" applyNumberFormat="0" applyFont="0" applyAlignment="0"/>
    <xf numFmtId="0" fontId="1" fillId="37" borderId="10" applyNumberFormat="0" applyFont="0" applyAlignment="0">
      <protection locked="0"/>
    </xf>
    <xf numFmtId="0" fontId="1" fillId="37" borderId="10" applyFont="0">
      <alignment horizontal="left" vertical="top" wrapText="1"/>
      <protection locked="0"/>
    </xf>
    <xf numFmtId="0" fontId="20" fillId="0" borderId="0" applyNumberFormat="0" applyFill="0" applyBorder="0" applyAlignment="0" applyProtection="0"/>
    <xf numFmtId="0" fontId="22" fillId="0" borderId="0" applyNumberFormat="0" applyFill="0" applyBorder="0" applyAlignment="0" applyProtection="0"/>
    <xf numFmtId="0" fontId="5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0" fillId="0" borderId="0" applyNumberFormat="0" applyBorder="0" applyAlignment="0" applyProtection="0">
      <alignment horizontal="left"/>
    </xf>
    <xf numFmtId="0" fontId="22" fillId="0" borderId="0" applyNumberFormat="0" applyFill="0" applyBorder="0" applyAlignment="0" applyProtection="0"/>
    <xf numFmtId="0" fontId="1" fillId="0" borderId="0" applyFont="0" applyFill="0" applyBorder="0">
      <alignment horizontal="center" vertical="center"/>
    </xf>
    <xf numFmtId="0" fontId="24" fillId="34" borderId="18">
      <alignment vertical="center" wrapText="1"/>
    </xf>
    <xf numFmtId="0" fontId="1" fillId="35" borderId="10" applyFont="0" applyAlignment="0">
      <alignment horizontal="center" vertical="center"/>
    </xf>
    <xf numFmtId="164" fontId="29" fillId="40" borderId="14">
      <alignment horizontal="left" vertical="top" wrapText="1"/>
    </xf>
    <xf numFmtId="0" fontId="1" fillId="37" borderId="10" applyFont="0">
      <alignment horizontal="left" vertical="top" wrapText="1"/>
    </xf>
    <xf numFmtId="0" fontId="74" fillId="0" borderId="0" applyNumberFormat="0" applyFill="0" applyBorder="0" applyAlignment="0" applyProtection="0"/>
  </cellStyleXfs>
  <cellXfs count="1851">
    <xf numFmtId="0" fontId="0" fillId="0" borderId="0" xfId="0"/>
    <xf numFmtId="0" fontId="0" fillId="2" borderId="0" xfId="0" applyFill="1"/>
    <xf numFmtId="0" fontId="0" fillId="0" borderId="0" xfId="0" applyAlignment="1">
      <alignment horizontal="left"/>
    </xf>
    <xf numFmtId="0" fontId="0" fillId="0" borderId="0" xfId="0" applyBorder="1" applyAlignment="1">
      <alignment horizontal="left" vertical="top"/>
    </xf>
    <xf numFmtId="0" fontId="18" fillId="0" borderId="0" xfId="0" applyFont="1"/>
    <xf numFmtId="0" fontId="0" fillId="0" borderId="0" xfId="0" applyAlignment="1">
      <alignment horizontal="left"/>
    </xf>
    <xf numFmtId="0" fontId="0" fillId="2" borderId="0" xfId="0" applyFill="1" applyAlignment="1">
      <alignment horizontal="left"/>
    </xf>
    <xf numFmtId="0" fontId="0" fillId="0" borderId="0" xfId="0" applyAlignment="1">
      <alignment horizontal="right"/>
    </xf>
    <xf numFmtId="0" fontId="0" fillId="0" borderId="0" xfId="0" applyAlignment="1"/>
    <xf numFmtId="0" fontId="0" fillId="0" borderId="0" xfId="0"/>
    <xf numFmtId="0" fontId="0" fillId="38" borderId="10" xfId="47" applyFont="1" applyAlignment="1">
      <alignment horizontal="left"/>
      <protection locked="0"/>
    </xf>
    <xf numFmtId="0" fontId="0" fillId="39" borderId="10" xfId="48" applyFont="1" applyAlignment="1">
      <alignment horizontal="left"/>
      <protection locked="0"/>
    </xf>
    <xf numFmtId="0" fontId="0" fillId="39" borderId="10" xfId="48" applyFont="1">
      <protection locked="0"/>
    </xf>
    <xf numFmtId="0" fontId="0" fillId="0" borderId="0" xfId="0"/>
    <xf numFmtId="0" fontId="21" fillId="34" borderId="0" xfId="50" applyAlignment="1">
      <alignment horizontal="left"/>
    </xf>
    <xf numFmtId="0" fontId="21" fillId="34" borderId="0" xfId="50" applyAlignment="1"/>
    <xf numFmtId="0" fontId="0" fillId="0" borderId="0" xfId="0"/>
    <xf numFmtId="0" fontId="0" fillId="0" borderId="0" xfId="0"/>
    <xf numFmtId="49" fontId="0" fillId="0" borderId="0" xfId="0" applyNumberFormat="1"/>
    <xf numFmtId="0" fontId="0" fillId="0" borderId="0" xfId="0" applyAlignment="1">
      <alignment horizontal="right"/>
    </xf>
    <xf numFmtId="0" fontId="0" fillId="0" borderId="0" xfId="0"/>
    <xf numFmtId="49" fontId="18" fillId="0" borderId="0" xfId="0" applyNumberFormat="1" applyFont="1"/>
    <xf numFmtId="49" fontId="21" fillId="34" borderId="0" xfId="50" applyNumberFormat="1"/>
    <xf numFmtId="0" fontId="21" fillId="34" borderId="0" xfId="50"/>
    <xf numFmtId="49" fontId="21" fillId="34" borderId="0" xfId="50" applyNumberFormat="1" applyAlignment="1">
      <alignment horizontal="center" vertical="center"/>
    </xf>
    <xf numFmtId="0" fontId="28" fillId="39" borderId="10" xfId="48" applyFont="1">
      <protection locked="0"/>
    </xf>
    <xf numFmtId="49" fontId="18" fillId="0" borderId="0" xfId="0" quotePrefix="1" applyNumberFormat="1" applyFont="1"/>
    <xf numFmtId="49" fontId="25" fillId="0" borderId="0" xfId="0" applyNumberFormat="1" applyFont="1"/>
    <xf numFmtId="0" fontId="0" fillId="0" borderId="10" xfId="0" applyBorder="1" applyAlignment="1">
      <alignment horizontal="center"/>
    </xf>
    <xf numFmtId="0" fontId="0" fillId="0" borderId="0" xfId="0" applyAlignment="1">
      <alignment horizontal="center"/>
    </xf>
    <xf numFmtId="0" fontId="0" fillId="0" borderId="0" xfId="0" applyAlignment="1">
      <alignment horizontal="left"/>
    </xf>
    <xf numFmtId="0" fontId="0" fillId="0" borderId="0" xfId="0" applyAlignment="1">
      <alignment horizontal="right"/>
    </xf>
    <xf numFmtId="0" fontId="0" fillId="0" borderId="0" xfId="0"/>
    <xf numFmtId="0" fontId="0" fillId="0" borderId="0" xfId="0" applyNumberFormat="1"/>
    <xf numFmtId="0" fontId="24" fillId="34" borderId="18" xfId="63" applyAlignment="1">
      <alignment vertical="center"/>
    </xf>
    <xf numFmtId="0" fontId="24" fillId="34" borderId="18" xfId="63" applyAlignment="1">
      <alignment horizontal="center" vertical="center" wrapText="1"/>
    </xf>
    <xf numFmtId="0" fontId="0" fillId="2" borderId="0" xfId="0" applyNumberFormat="1" applyFill="1"/>
    <xf numFmtId="0" fontId="0" fillId="0" borderId="0" xfId="0"/>
    <xf numFmtId="0" fontId="24" fillId="34" borderId="18" xfId="63" applyAlignment="1">
      <alignment vertical="center"/>
    </xf>
    <xf numFmtId="0" fontId="0" fillId="0" borderId="0" xfId="0"/>
    <xf numFmtId="0" fontId="0" fillId="0" borderId="0" xfId="0" applyAlignment="1">
      <alignment horizontal="center"/>
    </xf>
    <xf numFmtId="0" fontId="0" fillId="0" borderId="0" xfId="0" applyAlignment="1">
      <alignment horizontal="left"/>
    </xf>
    <xf numFmtId="0" fontId="0" fillId="0" borderId="0" xfId="0" applyAlignment="1">
      <alignment horizontal="right"/>
    </xf>
    <xf numFmtId="0" fontId="0" fillId="0" borderId="0" xfId="0"/>
    <xf numFmtId="0" fontId="0" fillId="0" borderId="0" xfId="62" applyFont="1">
      <alignment horizontal="center" vertical="center"/>
    </xf>
    <xf numFmtId="0" fontId="0" fillId="0" borderId="0" xfId="0" applyAlignment="1">
      <alignment horizontal="left"/>
    </xf>
    <xf numFmtId="0" fontId="0" fillId="0" borderId="0" xfId="0" applyAlignment="1">
      <alignment horizontal="right"/>
    </xf>
    <xf numFmtId="0" fontId="0" fillId="0" borderId="0" xfId="0"/>
    <xf numFmtId="0" fontId="0" fillId="0" borderId="0" xfId="0" applyProtection="1"/>
    <xf numFmtId="0" fontId="0" fillId="41" borderId="10" xfId="48" applyFont="1" applyFill="1" applyAlignment="1" applyProtection="1">
      <alignment horizontal="left"/>
    </xf>
    <xf numFmtId="0" fontId="0" fillId="0" borderId="0" xfId="0" applyAlignment="1" applyProtection="1">
      <alignment horizontal="left"/>
    </xf>
    <xf numFmtId="0" fontId="0" fillId="41" borderId="10" xfId="47" applyFont="1" applyFill="1" applyAlignment="1" applyProtection="1">
      <alignment horizontal="left"/>
    </xf>
    <xf numFmtId="0" fontId="0" fillId="0" borderId="0" xfId="0" applyBorder="1" applyAlignment="1" applyProtection="1">
      <alignment horizontal="left" vertical="top"/>
    </xf>
    <xf numFmtId="0" fontId="0" fillId="41" borderId="10" xfId="48" applyFont="1" applyFill="1" applyProtection="1"/>
    <xf numFmtId="0" fontId="28" fillId="38" borderId="10" xfId="47" applyFont="1">
      <protection locked="0"/>
    </xf>
    <xf numFmtId="0" fontId="31" fillId="34" borderId="19" xfId="50" applyFont="1" applyBorder="1" applyAlignment="1"/>
    <xf numFmtId="0" fontId="0" fillId="0" borderId="0" xfId="0"/>
    <xf numFmtId="0" fontId="0" fillId="0" borderId="0" xfId="0" applyAlignment="1">
      <alignment horizontal="right"/>
    </xf>
    <xf numFmtId="0" fontId="0" fillId="0" borderId="0" xfId="0"/>
    <xf numFmtId="0" fontId="0" fillId="0" borderId="0" xfId="0"/>
    <xf numFmtId="0" fontId="0" fillId="38" borderId="10" xfId="47" applyFont="1" applyBorder="1" applyAlignment="1">
      <alignment horizontal="center"/>
      <protection locked="0"/>
    </xf>
    <xf numFmtId="0" fontId="16" fillId="39" borderId="10" xfId="48" applyFont="1" applyBorder="1" applyAlignment="1">
      <alignment horizontal="center"/>
      <protection locked="0"/>
    </xf>
    <xf numFmtId="0" fontId="0" fillId="0" borderId="0" xfId="0" applyAlignment="1">
      <alignment horizontal="center"/>
    </xf>
    <xf numFmtId="0" fontId="0" fillId="0" borderId="0" xfId="0" applyAlignment="1">
      <alignment horizontal="left"/>
    </xf>
    <xf numFmtId="0" fontId="0" fillId="0" borderId="0" xfId="0" applyAlignment="1">
      <alignment horizontal="right"/>
    </xf>
    <xf numFmtId="0" fontId="0" fillId="0" borderId="0" xfId="0"/>
    <xf numFmtId="0" fontId="25" fillId="0" borderId="0" xfId="0" applyFont="1" applyAlignment="1">
      <alignment horizontal="left"/>
    </xf>
    <xf numFmtId="0" fontId="25" fillId="0" borderId="0" xfId="0" applyFont="1" applyAlignment="1">
      <alignment horizontal="left" vertical="top"/>
    </xf>
    <xf numFmtId="0" fontId="25" fillId="0" borderId="0" xfId="0" applyFont="1"/>
    <xf numFmtId="0" fontId="0" fillId="0" borderId="0" xfId="0" applyAlignment="1">
      <alignment vertical="center"/>
    </xf>
    <xf numFmtId="0" fontId="21" fillId="34" borderId="0" xfId="50" applyAlignment="1">
      <alignment vertical="center"/>
    </xf>
    <xf numFmtId="0" fontId="21" fillId="34" borderId="0" xfId="50" applyAlignment="1">
      <alignment horizontal="center" vertical="center"/>
    </xf>
    <xf numFmtId="0" fontId="21" fillId="34" borderId="0" xfId="50" applyAlignment="1">
      <alignment horizontal="left" vertical="top"/>
    </xf>
    <xf numFmtId="0" fontId="0" fillId="0" borderId="0" xfId="0"/>
    <xf numFmtId="0" fontId="0" fillId="37" borderId="10" xfId="54" applyFont="1">
      <alignment horizontal="left" vertical="top" wrapText="1"/>
      <protection locked="0"/>
    </xf>
    <xf numFmtId="0" fontId="0" fillId="0" borderId="0" xfId="0" applyNumberFormat="1"/>
    <xf numFmtId="0" fontId="0" fillId="0" borderId="0" xfId="0" applyAlignment="1">
      <alignment horizontal="center"/>
    </xf>
    <xf numFmtId="0" fontId="0" fillId="0" borderId="0" xfId="0" applyAlignment="1">
      <alignment horizontal="left"/>
    </xf>
    <xf numFmtId="0" fontId="0" fillId="0" borderId="0" xfId="0" applyAlignment="1">
      <alignment horizontal="right"/>
    </xf>
    <xf numFmtId="0" fontId="0" fillId="0" borderId="0" xfId="0"/>
    <xf numFmtId="49" fontId="18" fillId="0" borderId="0" xfId="0" applyNumberFormat="1" applyFont="1" applyAlignment="1">
      <alignment horizontal="left"/>
    </xf>
    <xf numFmtId="49" fontId="25" fillId="0" borderId="0" xfId="0" applyNumberFormat="1" applyFont="1" applyAlignment="1">
      <alignment horizontal="left"/>
    </xf>
    <xf numFmtId="49" fontId="21" fillId="34" borderId="0" xfId="50" applyNumberFormat="1" applyAlignment="1">
      <alignment horizontal="left" vertical="top"/>
    </xf>
    <xf numFmtId="0" fontId="25" fillId="0" borderId="0" xfId="0" applyFont="1" applyAlignment="1">
      <alignment horizontal="center" vertical="center"/>
    </xf>
    <xf numFmtId="0" fontId="0" fillId="0" borderId="0" xfId="0" applyAlignment="1">
      <alignment horizontal="center" vertical="center"/>
    </xf>
    <xf numFmtId="0" fontId="21" fillId="34" borderId="0" xfId="50" applyAlignment="1">
      <alignment vertical="top"/>
    </xf>
    <xf numFmtId="0" fontId="18" fillId="0" borderId="0" xfId="0" applyFont="1" applyAlignment="1">
      <alignment vertical="top"/>
    </xf>
    <xf numFmtId="0" fontId="21" fillId="34" borderId="0" xfId="50" applyAlignment="1">
      <alignment vertical="top" wrapText="1"/>
    </xf>
    <xf numFmtId="0" fontId="25" fillId="0" borderId="0" xfId="0" applyFont="1" applyAlignment="1">
      <alignment vertical="top"/>
    </xf>
    <xf numFmtId="0" fontId="0" fillId="0" borderId="0" xfId="0" applyAlignment="1">
      <alignment vertical="top"/>
    </xf>
    <xf numFmtId="49" fontId="25" fillId="0" borderId="0" xfId="0" applyNumberFormat="1" applyFont="1" applyAlignment="1">
      <alignment vertical="top"/>
    </xf>
    <xf numFmtId="49" fontId="21" fillId="34" borderId="0" xfId="50" applyNumberFormat="1" applyAlignment="1">
      <alignment vertical="top"/>
    </xf>
    <xf numFmtId="49" fontId="25" fillId="0" borderId="0" xfId="0" quotePrefix="1" applyNumberFormat="1" applyFont="1" applyAlignment="1">
      <alignment vertical="top"/>
    </xf>
    <xf numFmtId="49" fontId="18" fillId="0" borderId="0" xfId="0" applyNumberFormat="1" applyFont="1" applyAlignment="1">
      <alignment vertical="top"/>
    </xf>
    <xf numFmtId="49" fontId="25" fillId="0" borderId="0" xfId="0" applyNumberFormat="1" applyFont="1" applyBorder="1" applyAlignment="1">
      <alignment vertical="top"/>
    </xf>
    <xf numFmtId="0" fontId="0" fillId="0" borderId="0" xfId="62" applyFont="1" applyBorder="1">
      <alignment horizontal="center" vertical="center"/>
    </xf>
    <xf numFmtId="0" fontId="0" fillId="0" borderId="0" xfId="62" applyNumberFormat="1" applyFont="1" applyBorder="1">
      <alignment horizontal="center" vertical="center"/>
    </xf>
    <xf numFmtId="0" fontId="0" fillId="0" borderId="0" xfId="0" applyBorder="1"/>
    <xf numFmtId="0" fontId="18" fillId="0" borderId="0" xfId="0" applyFont="1" applyBorder="1" applyAlignment="1">
      <alignment vertical="top"/>
    </xf>
    <xf numFmtId="49" fontId="25" fillId="0" borderId="31" xfId="0" applyNumberFormat="1" applyFont="1" applyBorder="1" applyAlignment="1">
      <alignment vertical="top"/>
    </xf>
    <xf numFmtId="0" fontId="18" fillId="0" borderId="31" xfId="0" applyFont="1" applyBorder="1" applyAlignment="1">
      <alignment vertical="top"/>
    </xf>
    <xf numFmtId="0" fontId="0" fillId="0" borderId="31" xfId="62" applyFont="1" applyBorder="1" applyAlignment="1">
      <alignment horizontal="center" vertical="center"/>
    </xf>
    <xf numFmtId="0" fontId="0" fillId="0" borderId="31" xfId="62" applyFont="1" applyBorder="1">
      <alignment horizontal="center" vertical="center"/>
    </xf>
    <xf numFmtId="0" fontId="0" fillId="0" borderId="31" xfId="62" applyNumberFormat="1" applyFont="1" applyBorder="1" applyAlignment="1">
      <alignment horizontal="center" vertical="center"/>
    </xf>
    <xf numFmtId="0" fontId="0" fillId="0" borderId="31" xfId="0" applyBorder="1"/>
    <xf numFmtId="0" fontId="28" fillId="39" borderId="32" xfId="48" applyFont="1" applyBorder="1">
      <protection locked="0"/>
    </xf>
    <xf numFmtId="0" fontId="25" fillId="0" borderId="0" xfId="0" applyFont="1" applyBorder="1" applyAlignment="1">
      <alignment horizontal="left" vertical="top"/>
    </xf>
    <xf numFmtId="49" fontId="18" fillId="0" borderId="0" xfId="0" applyNumberFormat="1" applyFont="1" applyBorder="1" applyAlignment="1">
      <alignment vertical="top"/>
    </xf>
    <xf numFmtId="49" fontId="18" fillId="0" borderId="31" xfId="0" applyNumberFormat="1" applyFont="1" applyBorder="1" applyAlignment="1">
      <alignment vertical="top"/>
    </xf>
    <xf numFmtId="0" fontId="25" fillId="0" borderId="31" xfId="0" applyFont="1" applyBorder="1" applyAlignment="1">
      <alignment vertical="top"/>
    </xf>
    <xf numFmtId="0" fontId="0" fillId="0" borderId="33" xfId="0" applyBorder="1"/>
    <xf numFmtId="0" fontId="25" fillId="0" borderId="33" xfId="0" applyFont="1" applyBorder="1" applyAlignment="1">
      <alignment horizontal="left" vertical="top"/>
    </xf>
    <xf numFmtId="49" fontId="18" fillId="0" borderId="33" xfId="0" applyNumberFormat="1" applyFont="1" applyBorder="1" applyAlignment="1">
      <alignment vertical="top"/>
    </xf>
    <xf numFmtId="9" fontId="1" fillId="39" borderId="10" xfId="48" applyNumberFormat="1" applyFont="1" applyBorder="1" applyAlignment="1">
      <alignment horizontal="center" vertical="center"/>
      <protection locked="0"/>
    </xf>
    <xf numFmtId="0" fontId="0" fillId="39" borderId="10" xfId="48" applyFont="1" applyBorder="1">
      <protection locked="0"/>
    </xf>
    <xf numFmtId="49" fontId="25" fillId="0" borderId="0" xfId="0" quotePrefix="1" applyNumberFormat="1" applyFont="1" applyBorder="1" applyAlignment="1">
      <alignment vertical="top"/>
    </xf>
    <xf numFmtId="49" fontId="25" fillId="0" borderId="31" xfId="0" quotePrefix="1" applyNumberFormat="1" applyFont="1" applyBorder="1" applyAlignment="1">
      <alignment vertical="top"/>
    </xf>
    <xf numFmtId="0" fontId="0" fillId="0" borderId="30" xfId="0" applyBorder="1"/>
    <xf numFmtId="0" fontId="0" fillId="0" borderId="28" xfId="0" applyBorder="1"/>
    <xf numFmtId="49" fontId="25" fillId="0" borderId="33" xfId="0" applyNumberFormat="1" applyFont="1" applyBorder="1" applyAlignment="1">
      <alignment vertical="top"/>
    </xf>
    <xf numFmtId="0" fontId="0" fillId="0" borderId="31" xfId="0" applyBorder="1" applyAlignment="1">
      <alignment vertical="top"/>
    </xf>
    <xf numFmtId="49" fontId="25" fillId="0" borderId="35" xfId="0" applyNumberFormat="1" applyFont="1" applyBorder="1" applyAlignment="1">
      <alignment vertical="top"/>
    </xf>
    <xf numFmtId="49" fontId="18" fillId="0" borderId="35" xfId="0" applyNumberFormat="1" applyFont="1" applyBorder="1" applyAlignment="1">
      <alignment vertical="top"/>
    </xf>
    <xf numFmtId="0" fontId="25" fillId="0" borderId="35" xfId="0" applyFont="1" applyBorder="1" applyAlignment="1">
      <alignment vertical="top"/>
    </xf>
    <xf numFmtId="0" fontId="16" fillId="0" borderId="35" xfId="0" applyFont="1" applyBorder="1" applyAlignment="1">
      <alignment horizontal="center" vertical="center"/>
    </xf>
    <xf numFmtId="0" fontId="0" fillId="0" borderId="35" xfId="0" applyBorder="1"/>
    <xf numFmtId="0" fontId="0" fillId="0" borderId="35" xfId="0" applyBorder="1" applyAlignment="1">
      <alignment horizontal="center" vertical="center"/>
    </xf>
    <xf numFmtId="0" fontId="28" fillId="39" borderId="17" xfId="48" applyFont="1" applyBorder="1">
      <protection locked="0"/>
    </xf>
    <xf numFmtId="0" fontId="28" fillId="39" borderId="36" xfId="48" applyFont="1" applyBorder="1">
      <protection locked="0"/>
    </xf>
    <xf numFmtId="0" fontId="0" fillId="0" borderId="0" xfId="0" quotePrefix="1"/>
    <xf numFmtId="0" fontId="0" fillId="39" borderId="10" xfId="48" applyFont="1" applyAlignment="1">
      <alignment horizontal="left"/>
      <protection locked="0"/>
    </xf>
    <xf numFmtId="0" fontId="0" fillId="0" borderId="0" xfId="0"/>
    <xf numFmtId="0" fontId="0" fillId="0" borderId="0" xfId="0" applyBorder="1" applyAlignment="1">
      <alignment horizontal="center" vertical="center"/>
    </xf>
    <xf numFmtId="0" fontId="0" fillId="0" borderId="31" xfId="0" applyBorder="1" applyAlignment="1">
      <alignment horizontal="center" vertical="center"/>
    </xf>
    <xf numFmtId="0" fontId="0" fillId="37" borderId="10" xfId="54" applyFont="1">
      <alignment horizontal="left" vertical="top" wrapText="1"/>
      <protection locked="0"/>
    </xf>
    <xf numFmtId="0" fontId="25" fillId="0" borderId="33" xfId="0" applyFont="1" applyBorder="1" applyAlignment="1">
      <alignment vertical="top"/>
    </xf>
    <xf numFmtId="0" fontId="0" fillId="0" borderId="0" xfId="0" applyNumberFormat="1"/>
    <xf numFmtId="0" fontId="0" fillId="0" borderId="0" xfId="0"/>
    <xf numFmtId="0" fontId="0" fillId="0" borderId="0" xfId="0" applyAlignment="1">
      <alignment horizontal="center" vertical="center"/>
    </xf>
    <xf numFmtId="0" fontId="0" fillId="37" borderId="36" xfId="54" applyFont="1" applyBorder="1">
      <alignment horizontal="left" vertical="top" wrapText="1"/>
      <protection locked="0"/>
    </xf>
    <xf numFmtId="0" fontId="18" fillId="0" borderId="0" xfId="0" applyFont="1" applyBorder="1"/>
    <xf numFmtId="0" fontId="25" fillId="0" borderId="0" xfId="0" applyFont="1" applyBorder="1" applyAlignment="1">
      <alignment horizontal="left"/>
    </xf>
    <xf numFmtId="49" fontId="18" fillId="0" borderId="0" xfId="0" applyNumberFormat="1" applyFont="1" applyAlignment="1">
      <alignment horizontal="center"/>
    </xf>
    <xf numFmtId="0" fontId="0" fillId="0" borderId="0" xfId="0"/>
    <xf numFmtId="0" fontId="0" fillId="0" borderId="0" xfId="0" applyAlignment="1">
      <alignment horizontal="right"/>
    </xf>
    <xf numFmtId="0" fontId="0" fillId="0" borderId="0" xfId="0"/>
    <xf numFmtId="0" fontId="0" fillId="0" borderId="0" xfId="0" applyAlignment="1">
      <alignment horizontal="center" vertical="center"/>
    </xf>
    <xf numFmtId="0" fontId="0" fillId="0" borderId="0" xfId="0"/>
    <xf numFmtId="0" fontId="0" fillId="0" borderId="0" xfId="0" applyNumberFormat="1"/>
    <xf numFmtId="0" fontId="16" fillId="0" borderId="0" xfId="0" applyNumberFormat="1" applyFont="1" applyAlignment="1">
      <alignment horizontal="center" vertical="center"/>
    </xf>
    <xf numFmtId="0" fontId="0" fillId="0" borderId="0" xfId="0"/>
    <xf numFmtId="0" fontId="0" fillId="0" borderId="0" xfId="0" applyAlignment="1">
      <alignment horizontal="center" vertical="center"/>
    </xf>
    <xf numFmtId="0" fontId="25" fillId="0" borderId="0" xfId="0" applyFont="1" applyAlignment="1">
      <alignment horizontal="left" vertical="top"/>
    </xf>
    <xf numFmtId="0" fontId="0" fillId="0" borderId="0" xfId="0"/>
    <xf numFmtId="0" fontId="18" fillId="0" borderId="0" xfId="0" applyFont="1" applyAlignment="1">
      <alignment horizontal="center" vertical="center"/>
    </xf>
    <xf numFmtId="0" fontId="27" fillId="0" borderId="25" xfId="0" applyFont="1" applyBorder="1" applyAlignment="1">
      <alignment horizontal="center" vertical="center"/>
    </xf>
    <xf numFmtId="0" fontId="27" fillId="0" borderId="12" xfId="0" applyFont="1" applyBorder="1" applyAlignment="1">
      <alignment horizontal="center" vertical="center"/>
    </xf>
    <xf numFmtId="0" fontId="26" fillId="0" borderId="21" xfId="0" applyFont="1" applyBorder="1" applyAlignment="1">
      <alignment horizontal="center" vertical="center" wrapText="1"/>
    </xf>
    <xf numFmtId="0" fontId="26" fillId="0" borderId="12" xfId="0" applyFont="1" applyBorder="1" applyAlignment="1">
      <alignment horizontal="center" vertical="center"/>
    </xf>
    <xf numFmtId="0" fontId="26" fillId="0" borderId="10" xfId="0" applyFont="1" applyBorder="1" applyAlignment="1">
      <alignment horizontal="center" vertical="center"/>
    </xf>
    <xf numFmtId="0" fontId="21" fillId="34" borderId="38" xfId="50" applyBorder="1" applyAlignment="1">
      <alignment vertical="center"/>
    </xf>
    <xf numFmtId="0" fontId="21" fillId="34" borderId="39" xfId="50" applyBorder="1" applyAlignment="1">
      <alignment vertical="center"/>
    </xf>
    <xf numFmtId="0" fontId="21" fillId="34" borderId="40" xfId="50" applyBorder="1" applyAlignment="1">
      <alignment vertical="center"/>
    </xf>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0" fillId="0" borderId="0" xfId="0" applyBorder="1" applyAlignment="1">
      <alignment horizontal="right"/>
    </xf>
    <xf numFmtId="0" fontId="59" fillId="0" borderId="0" xfId="57" applyBorder="1"/>
    <xf numFmtId="0" fontId="0" fillId="0" borderId="0" xfId="0"/>
    <xf numFmtId="0" fontId="0" fillId="37" borderId="10" xfId="54" applyFont="1">
      <alignment horizontal="left" vertical="top" wrapText="1"/>
      <protection locked="0"/>
    </xf>
    <xf numFmtId="0" fontId="25" fillId="0" borderId="0" xfId="0" applyFont="1" applyAlignment="1">
      <alignment horizontal="right" vertical="top"/>
    </xf>
    <xf numFmtId="0" fontId="32" fillId="0" borderId="0" xfId="0" applyFont="1" applyAlignment="1">
      <alignment vertical="top"/>
    </xf>
    <xf numFmtId="0" fontId="18" fillId="0" borderId="0" xfId="0" applyFont="1" applyAlignment="1">
      <alignment horizontal="right" vertical="top"/>
    </xf>
    <xf numFmtId="0" fontId="0" fillId="0" borderId="0" xfId="0"/>
    <xf numFmtId="0" fontId="0" fillId="37" borderId="10" xfId="54" applyFont="1">
      <alignment horizontal="left" vertical="top" wrapText="1"/>
      <protection locked="0"/>
    </xf>
    <xf numFmtId="0" fontId="18" fillId="0" borderId="0" xfId="0" applyFont="1" applyBorder="1" applyAlignment="1">
      <alignment horizontal="left" vertical="top" wrapText="1"/>
    </xf>
    <xf numFmtId="0" fontId="18" fillId="0" borderId="0" xfId="0" applyFont="1" applyAlignment="1">
      <alignment vertical="top" wrapText="1"/>
    </xf>
    <xf numFmtId="164" fontId="29" fillId="40" borderId="14" xfId="65">
      <alignment horizontal="left" vertical="top" wrapText="1"/>
    </xf>
    <xf numFmtId="0" fontId="26" fillId="0" borderId="0" xfId="0" applyFont="1" applyAlignment="1">
      <alignment horizontal="right" vertical="top" wrapText="1"/>
    </xf>
    <xf numFmtId="0" fontId="25" fillId="0" borderId="0" xfId="0" applyFont="1" applyAlignment="1">
      <alignment horizontal="right" vertical="top" wrapText="1"/>
    </xf>
    <xf numFmtId="0" fontId="18" fillId="0" borderId="0" xfId="0" applyFont="1" applyAlignment="1">
      <alignment horizontal="left"/>
    </xf>
    <xf numFmtId="0" fontId="25" fillId="0" borderId="0" xfId="0" applyFont="1" applyAlignment="1">
      <alignment horizontal="center"/>
    </xf>
    <xf numFmtId="0" fontId="25" fillId="0" borderId="0" xfId="0" applyFont="1" applyAlignment="1">
      <alignment vertical="top" wrapText="1"/>
    </xf>
    <xf numFmtId="0" fontId="0" fillId="37" borderId="15" xfId="54" applyFont="1" applyBorder="1">
      <alignment horizontal="left" vertical="top" wrapText="1"/>
      <protection locked="0"/>
    </xf>
    <xf numFmtId="166" fontId="47" fillId="39" borderId="10" xfId="48" applyNumberFormat="1" applyFont="1">
      <protection locked="0"/>
    </xf>
    <xf numFmtId="0" fontId="0" fillId="0" borderId="0" xfId="0"/>
    <xf numFmtId="0" fontId="0" fillId="37" borderId="10" xfId="54" applyFont="1">
      <alignment horizontal="left" vertical="top" wrapText="1"/>
      <protection locked="0"/>
    </xf>
    <xf numFmtId="0" fontId="0" fillId="37" borderId="32" xfId="54" applyFont="1" applyBorder="1">
      <alignment horizontal="left" vertical="top" wrapText="1"/>
      <protection locked="0"/>
    </xf>
    <xf numFmtId="0" fontId="0" fillId="0" borderId="0" xfId="0" quotePrefix="1" applyNumberFormat="1"/>
    <xf numFmtId="167" fontId="47" fillId="39" borderId="10" xfId="48" applyNumberFormat="1" applyFont="1">
      <protection locked="0"/>
    </xf>
    <xf numFmtId="49" fontId="25" fillId="0" borderId="26" xfId="0" applyNumberFormat="1" applyFont="1" applyBorder="1" applyAlignment="1">
      <alignment vertical="top"/>
    </xf>
    <xf numFmtId="0" fontId="18" fillId="0" borderId="26" xfId="0" applyFont="1" applyBorder="1" applyAlignment="1">
      <alignment vertical="top"/>
    </xf>
    <xf numFmtId="0" fontId="0" fillId="0" borderId="26" xfId="62" applyFont="1" applyBorder="1">
      <alignment horizontal="center" vertical="center"/>
    </xf>
    <xf numFmtId="49" fontId="18" fillId="0" borderId="26" xfId="0" applyNumberFormat="1" applyFont="1" applyBorder="1" applyAlignment="1">
      <alignment vertical="top"/>
    </xf>
    <xf numFmtId="0" fontId="0" fillId="0" borderId="26" xfId="0" applyBorder="1"/>
    <xf numFmtId="49" fontId="25" fillId="0" borderId="26" xfId="0" quotePrefix="1" applyNumberFormat="1" applyFont="1" applyBorder="1" applyAlignment="1">
      <alignment vertical="top"/>
    </xf>
    <xf numFmtId="164" fontId="29" fillId="40" borderId="50" xfId="65" applyBorder="1">
      <alignment horizontal="left" vertical="top" wrapText="1"/>
    </xf>
    <xf numFmtId="164" fontId="29" fillId="40" borderId="51" xfId="65" applyBorder="1">
      <alignment horizontal="left" vertical="top" wrapText="1"/>
    </xf>
    <xf numFmtId="0" fontId="25" fillId="0" borderId="33" xfId="0" applyFont="1" applyBorder="1" applyAlignment="1">
      <alignment horizontal="left"/>
    </xf>
    <xf numFmtId="0" fontId="18" fillId="0" borderId="33" xfId="0" applyFont="1" applyBorder="1"/>
    <xf numFmtId="0" fontId="18" fillId="0" borderId="33" xfId="0" applyFont="1" applyBorder="1" applyAlignment="1">
      <alignment vertical="top"/>
    </xf>
    <xf numFmtId="49" fontId="25" fillId="0" borderId="0" xfId="0" applyNumberFormat="1" applyFont="1" applyBorder="1"/>
    <xf numFmtId="0" fontId="18" fillId="0" borderId="0" xfId="0" applyFont="1" applyBorder="1" applyAlignment="1">
      <alignment horizontal="left" vertical="top"/>
    </xf>
    <xf numFmtId="0" fontId="45" fillId="0" borderId="0" xfId="0" applyFont="1" applyBorder="1" applyAlignment="1">
      <alignment horizontal="center" vertical="center"/>
    </xf>
    <xf numFmtId="0" fontId="0" fillId="0" borderId="52" xfId="0" applyBorder="1"/>
    <xf numFmtId="0" fontId="28" fillId="39" borderId="15" xfId="48" applyFont="1" applyBorder="1">
      <protection locked="0"/>
    </xf>
    <xf numFmtId="0" fontId="25" fillId="0" borderId="0" xfId="0" applyFont="1" applyBorder="1" applyAlignment="1">
      <alignment horizontal="right" vertical="top"/>
    </xf>
    <xf numFmtId="0" fontId="37" fillId="0" borderId="0" xfId="0" applyFont="1" applyBorder="1" applyAlignment="1">
      <alignment horizontal="justify" vertical="top"/>
    </xf>
    <xf numFmtId="0" fontId="25" fillId="0" borderId="0" xfId="0" applyFont="1" applyBorder="1" applyAlignment="1">
      <alignment vertical="top"/>
    </xf>
    <xf numFmtId="0" fontId="0" fillId="39" borderId="34" xfId="48" applyFont="1" applyBorder="1">
      <protection locked="0"/>
    </xf>
    <xf numFmtId="0" fontId="25" fillId="0" borderId="31" xfId="0" applyFont="1" applyBorder="1" applyAlignment="1">
      <alignment horizontal="left"/>
    </xf>
    <xf numFmtId="49" fontId="25" fillId="0" borderId="31" xfId="0" applyNumberFormat="1" applyFont="1" applyBorder="1"/>
    <xf numFmtId="165" fontId="47" fillId="39" borderId="34" xfId="48" applyNumberFormat="1" applyFont="1" applyBorder="1">
      <protection locked="0"/>
    </xf>
    <xf numFmtId="0" fontId="25" fillId="0" borderId="23" xfId="0" applyFont="1" applyBorder="1" applyAlignment="1">
      <alignment horizontal="left"/>
    </xf>
    <xf numFmtId="0" fontId="18" fillId="0" borderId="23" xfId="0" applyFont="1" applyBorder="1"/>
    <xf numFmtId="0" fontId="18" fillId="0" borderId="23" xfId="0" applyFont="1" applyBorder="1" applyAlignment="1">
      <alignment vertical="top"/>
    </xf>
    <xf numFmtId="0" fontId="0" fillId="0" borderId="23" xfId="0" applyBorder="1"/>
    <xf numFmtId="0" fontId="26" fillId="0" borderId="0" xfId="0" applyFont="1" applyBorder="1" applyAlignment="1">
      <alignment horizontal="right" vertical="top" wrapText="1"/>
    </xf>
    <xf numFmtId="166" fontId="47" fillId="39" borderId="34" xfId="48" applyNumberFormat="1" applyFont="1" applyBorder="1">
      <protection locked="0"/>
    </xf>
    <xf numFmtId="0" fontId="0" fillId="2" borderId="0" xfId="0" applyFill="1" applyBorder="1"/>
    <xf numFmtId="49" fontId="25" fillId="0" borderId="33" xfId="0" applyNumberFormat="1" applyFont="1" applyBorder="1"/>
    <xf numFmtId="167" fontId="47" fillId="39" borderId="10" xfId="48" applyNumberFormat="1" applyFont="1" applyBorder="1">
      <protection locked="0"/>
    </xf>
    <xf numFmtId="0" fontId="0" fillId="0" borderId="31" xfId="0" applyBorder="1" applyAlignment="1">
      <alignment vertical="center"/>
    </xf>
    <xf numFmtId="0" fontId="16" fillId="35" borderId="35" xfId="0" applyFont="1" applyFill="1" applyBorder="1"/>
    <xf numFmtId="0" fontId="0" fillId="35" borderId="35" xfId="0" applyFill="1" applyBorder="1"/>
    <xf numFmtId="0" fontId="0" fillId="35" borderId="35" xfId="0" applyFill="1" applyBorder="1" applyAlignment="1">
      <alignment vertical="center"/>
    </xf>
    <xf numFmtId="0" fontId="0" fillId="35" borderId="35" xfId="0" applyFill="1" applyBorder="1" applyAlignment="1">
      <alignment horizontal="center" vertical="center"/>
    </xf>
    <xf numFmtId="0" fontId="59" fillId="35" borderId="35" xfId="57" applyFill="1" applyBorder="1"/>
    <xf numFmtId="0" fontId="36" fillId="0" borderId="0" xfId="0" applyFont="1" applyBorder="1" applyAlignment="1">
      <alignment horizontal="left" vertical="top" wrapText="1"/>
    </xf>
    <xf numFmtId="49" fontId="25" fillId="0" borderId="26" xfId="0" applyNumberFormat="1" applyFont="1" applyBorder="1"/>
    <xf numFmtId="0" fontId="18" fillId="0" borderId="26" xfId="0" applyFont="1" applyBorder="1" applyAlignment="1">
      <alignment horizontal="left" vertical="top"/>
    </xf>
    <xf numFmtId="49" fontId="25" fillId="0" borderId="21" xfId="0" applyNumberFormat="1" applyFont="1" applyBorder="1"/>
    <xf numFmtId="0" fontId="18" fillId="0" borderId="21" xfId="0" applyFont="1" applyBorder="1" applyAlignment="1">
      <alignment vertical="top"/>
    </xf>
    <xf numFmtId="0" fontId="18" fillId="0" borderId="21" xfId="0" applyFont="1" applyBorder="1" applyAlignment="1">
      <alignment horizontal="left" vertical="top"/>
    </xf>
    <xf numFmtId="0" fontId="25" fillId="0" borderId="21" xfId="0" applyFont="1" applyBorder="1" applyAlignment="1">
      <alignment horizontal="center" vertical="center"/>
    </xf>
    <xf numFmtId="49" fontId="25" fillId="0" borderId="23" xfId="0" applyNumberFormat="1" applyFont="1" applyBorder="1"/>
    <xf numFmtId="0" fontId="18" fillId="0" borderId="26" xfId="0" applyFont="1" applyBorder="1"/>
    <xf numFmtId="0" fontId="0" fillId="0" borderId="21" xfId="0" applyBorder="1"/>
    <xf numFmtId="0" fontId="0" fillId="0" borderId="21" xfId="0" applyBorder="1" applyAlignment="1">
      <alignment horizontal="center" vertical="center"/>
    </xf>
    <xf numFmtId="49" fontId="25" fillId="0" borderId="21" xfId="0" applyNumberFormat="1" applyFont="1" applyBorder="1" applyAlignment="1">
      <alignment vertical="top"/>
    </xf>
    <xf numFmtId="49" fontId="25" fillId="0" borderId="23" xfId="0" quotePrefix="1" applyNumberFormat="1" applyFont="1" applyBorder="1" applyAlignment="1">
      <alignment vertical="top"/>
    </xf>
    <xf numFmtId="0" fontId="25" fillId="0" borderId="23" xfId="0" applyFont="1" applyBorder="1" applyAlignment="1">
      <alignment vertical="top"/>
    </xf>
    <xf numFmtId="0" fontId="25" fillId="0" borderId="26" xfId="0" applyFont="1" applyBorder="1" applyAlignment="1">
      <alignment horizontal="left"/>
    </xf>
    <xf numFmtId="164" fontId="29" fillId="40" borderId="50" xfId="65" applyBorder="1" applyAlignment="1">
      <alignment horizontal="left" vertical="top" wrapText="1"/>
    </xf>
    <xf numFmtId="0" fontId="25" fillId="0" borderId="26" xfId="0" applyFont="1" applyBorder="1" applyAlignment="1">
      <alignment vertical="top"/>
    </xf>
    <xf numFmtId="49" fontId="25" fillId="0" borderId="21" xfId="0" quotePrefix="1" applyNumberFormat="1" applyFont="1" applyBorder="1" applyAlignment="1">
      <alignment vertical="top"/>
    </xf>
    <xf numFmtId="0" fontId="25" fillId="0" borderId="21" xfId="0" applyFont="1" applyBorder="1" applyAlignment="1">
      <alignment vertical="top"/>
    </xf>
    <xf numFmtId="0" fontId="25" fillId="0" borderId="0" xfId="0" applyFont="1" applyBorder="1" applyAlignment="1">
      <alignment horizontal="right" vertical="top" wrapText="1"/>
    </xf>
    <xf numFmtId="0" fontId="25" fillId="0" borderId="26" xfId="0" applyFont="1" applyBorder="1" applyAlignment="1">
      <alignment horizontal="right" vertical="top" wrapText="1"/>
    </xf>
    <xf numFmtId="168" fontId="25" fillId="0" borderId="0" xfId="0" applyNumberFormat="1" applyFont="1" applyAlignment="1">
      <alignment horizontal="left"/>
    </xf>
    <xf numFmtId="2" fontId="25" fillId="0" borderId="0" xfId="0" applyNumberFormat="1" applyFont="1" applyAlignment="1">
      <alignment horizontal="left"/>
    </xf>
    <xf numFmtId="0" fontId="27" fillId="0" borderId="0" xfId="0" applyFont="1" applyAlignment="1">
      <alignment horizontal="right" wrapText="1"/>
    </xf>
    <xf numFmtId="0" fontId="18" fillId="0" borderId="0" xfId="0" applyFont="1" applyAlignment="1">
      <alignment wrapText="1"/>
    </xf>
    <xf numFmtId="0" fontId="26" fillId="0" borderId="0" xfId="0" applyFont="1" applyAlignment="1">
      <alignment horizontal="right" vertical="center" wrapText="1"/>
    </xf>
    <xf numFmtId="0" fontId="26" fillId="0" borderId="0" xfId="0" applyFont="1" applyAlignment="1">
      <alignment horizontal="right" wrapText="1"/>
    </xf>
    <xf numFmtId="0" fontId="25" fillId="0" borderId="0" xfId="0" applyFont="1" applyAlignment="1">
      <alignment wrapText="1"/>
    </xf>
    <xf numFmtId="0" fontId="21" fillId="34" borderId="0" xfId="50" applyAlignment="1">
      <alignment horizontal="left" vertical="top" wrapText="1"/>
    </xf>
    <xf numFmtId="49" fontId="21" fillId="34" borderId="0" xfId="50" applyNumberFormat="1" applyAlignment="1">
      <alignment horizontal="left" vertical="top" wrapText="1"/>
    </xf>
    <xf numFmtId="49" fontId="25" fillId="0" borderId="0" xfId="0" applyNumberFormat="1" applyFont="1" applyAlignment="1">
      <alignment vertical="top" wrapText="1"/>
    </xf>
    <xf numFmtId="49" fontId="25" fillId="0" borderId="0" xfId="0" quotePrefix="1" applyNumberFormat="1" applyFont="1" applyAlignment="1">
      <alignment vertical="top" wrapText="1"/>
    </xf>
    <xf numFmtId="0" fontId="27" fillId="0" borderId="0" xfId="0" applyFont="1" applyAlignment="1">
      <alignment horizontal="justify" vertical="top" wrapText="1"/>
    </xf>
    <xf numFmtId="0" fontId="32" fillId="0" borderId="0" xfId="0" applyFont="1" applyAlignment="1">
      <alignment vertical="top" wrapText="1"/>
    </xf>
    <xf numFmtId="49" fontId="25" fillId="0" borderId="0" xfId="0" applyNumberFormat="1" applyFont="1" applyAlignment="1">
      <alignment horizontal="center" vertical="top" wrapText="1"/>
    </xf>
    <xf numFmtId="0" fontId="44" fillId="0" borderId="0" xfId="0" applyFont="1" applyAlignment="1">
      <alignment vertical="top" wrapText="1"/>
    </xf>
    <xf numFmtId="0" fontId="18" fillId="0" borderId="0" xfId="0" applyFont="1" applyAlignment="1">
      <alignment horizontal="right" vertical="top" wrapText="1"/>
    </xf>
    <xf numFmtId="0" fontId="25" fillId="0" borderId="0" xfId="0" applyFont="1" applyAlignment="1">
      <alignment horizontal="center" vertical="top" wrapText="1"/>
    </xf>
    <xf numFmtId="168" fontId="25" fillId="0" borderId="0" xfId="0" applyNumberFormat="1" applyFont="1" applyBorder="1" applyAlignment="1">
      <alignment horizontal="left"/>
    </xf>
    <xf numFmtId="0" fontId="18" fillId="0" borderId="0" xfId="0" applyFont="1" applyBorder="1" applyAlignment="1">
      <alignment horizontal="center" vertical="center"/>
    </xf>
    <xf numFmtId="0" fontId="18" fillId="0" borderId="31" xfId="0" applyFont="1" applyBorder="1"/>
    <xf numFmtId="0" fontId="18" fillId="0" borderId="31" xfId="0" applyFont="1" applyBorder="1" applyAlignment="1">
      <alignment horizontal="center" vertical="center"/>
    </xf>
    <xf numFmtId="0" fontId="18" fillId="0" borderId="31" xfId="0" applyFont="1" applyBorder="1" applyAlignment="1">
      <alignment wrapText="1"/>
    </xf>
    <xf numFmtId="0" fontId="18" fillId="0" borderId="26" xfId="0" applyFont="1" applyBorder="1" applyAlignment="1">
      <alignment wrapText="1"/>
    </xf>
    <xf numFmtId="0" fontId="18" fillId="0" borderId="21" xfId="0" applyFont="1" applyBorder="1"/>
    <xf numFmtId="0" fontId="18" fillId="0" borderId="21" xfId="0" applyFont="1" applyBorder="1" applyAlignment="1">
      <alignment wrapText="1"/>
    </xf>
    <xf numFmtId="0" fontId="18" fillId="0" borderId="0" xfId="0" applyFont="1" applyBorder="1" applyAlignment="1">
      <alignment wrapText="1"/>
    </xf>
    <xf numFmtId="0" fontId="18" fillId="0" borderId="23" xfId="0" applyFont="1" applyBorder="1" applyAlignment="1">
      <alignment horizontal="center" vertical="center"/>
    </xf>
    <xf numFmtId="0" fontId="18" fillId="0" borderId="23" xfId="0" applyFont="1" applyBorder="1" applyAlignment="1">
      <alignment wrapText="1"/>
    </xf>
    <xf numFmtId="0" fontId="0" fillId="0" borderId="0" xfId="0" applyAlignment="1">
      <alignment horizontal="right"/>
    </xf>
    <xf numFmtId="0" fontId="0" fillId="0" borderId="0" xfId="0"/>
    <xf numFmtId="0" fontId="0" fillId="37" borderId="10" xfId="54" applyFont="1">
      <alignment horizontal="left" vertical="top" wrapText="1"/>
      <protection locked="0"/>
    </xf>
    <xf numFmtId="0" fontId="0" fillId="0" borderId="0" xfId="0" applyAlignment="1">
      <alignment horizontal="center" vertical="center"/>
    </xf>
    <xf numFmtId="0" fontId="0" fillId="0" borderId="0" xfId="0" applyBorder="1" applyAlignment="1">
      <alignment horizontal="center" vertical="center"/>
    </xf>
    <xf numFmtId="0" fontId="0" fillId="0" borderId="26" xfId="0" applyBorder="1" applyAlignment="1">
      <alignment horizontal="center" vertical="center"/>
    </xf>
    <xf numFmtId="0" fontId="16" fillId="0" borderId="26" xfId="0" applyNumberFormat="1" applyFont="1" applyBorder="1" applyAlignment="1">
      <alignment horizontal="center" vertical="center"/>
    </xf>
    <xf numFmtId="0" fontId="16" fillId="0" borderId="0" xfId="0" applyFont="1" applyBorder="1" applyAlignment="1">
      <alignment horizontal="center" vertical="center"/>
    </xf>
    <xf numFmtId="0" fontId="16" fillId="0" borderId="26" xfId="0" applyFont="1" applyBorder="1" applyAlignment="1">
      <alignment horizontal="center" vertical="center"/>
    </xf>
    <xf numFmtId="0" fontId="0" fillId="0" borderId="31" xfId="0" applyBorder="1" applyAlignment="1">
      <alignment horizontal="center" vertical="center"/>
    </xf>
    <xf numFmtId="0" fontId="18" fillId="0" borderId="0" xfId="0" applyFont="1" applyBorder="1" applyAlignment="1">
      <alignment horizontal="left" vertical="top" wrapText="1"/>
    </xf>
    <xf numFmtId="0" fontId="18" fillId="0" borderId="26" xfId="0" applyFont="1" applyBorder="1" applyAlignment="1">
      <alignment horizontal="left" vertical="top" wrapText="1"/>
    </xf>
    <xf numFmtId="164" fontId="29" fillId="40" borderId="14" xfId="65">
      <alignment horizontal="left" vertical="top" wrapText="1"/>
    </xf>
    <xf numFmtId="0" fontId="0" fillId="0" borderId="0" xfId="62" applyFont="1" applyAlignment="1">
      <alignment horizontal="center" vertical="center"/>
    </xf>
    <xf numFmtId="0" fontId="0" fillId="0" borderId="0" xfId="62" applyFont="1" applyBorder="1" applyAlignment="1">
      <alignment horizontal="center" vertical="center"/>
    </xf>
    <xf numFmtId="0" fontId="16" fillId="0" borderId="0" xfId="0" applyFont="1" applyAlignment="1">
      <alignment horizontal="center" vertical="center"/>
    </xf>
    <xf numFmtId="0" fontId="16" fillId="0" borderId="31" xfId="0" applyFont="1" applyBorder="1" applyAlignment="1">
      <alignment horizontal="center" vertical="center"/>
    </xf>
    <xf numFmtId="0" fontId="0" fillId="0" borderId="33" xfId="0" applyBorder="1" applyAlignment="1">
      <alignment horizontal="center" vertical="center"/>
    </xf>
    <xf numFmtId="0" fontId="16" fillId="0" borderId="33" xfId="0" applyFont="1" applyBorder="1" applyAlignment="1">
      <alignment horizontal="center" vertical="center"/>
    </xf>
    <xf numFmtId="0" fontId="0" fillId="37" borderId="15" xfId="54" applyFont="1" applyBorder="1">
      <alignment horizontal="left" vertical="top" wrapText="1"/>
      <protection locked="0"/>
    </xf>
    <xf numFmtId="164" fontId="29" fillId="40" borderId="47" xfId="65" applyBorder="1">
      <alignment horizontal="left" vertical="top" wrapText="1"/>
    </xf>
    <xf numFmtId="0" fontId="25" fillId="0" borderId="0" xfId="0" applyFont="1" applyBorder="1" applyAlignment="1">
      <alignment horizontal="center" vertical="center"/>
    </xf>
    <xf numFmtId="0" fontId="25" fillId="0" borderId="26" xfId="0" applyFont="1" applyBorder="1" applyAlignment="1">
      <alignment horizontal="center" vertical="center"/>
    </xf>
    <xf numFmtId="0" fontId="25" fillId="0" borderId="0" xfId="0" applyFont="1" applyBorder="1" applyAlignment="1">
      <alignment horizontal="right" vertical="top" wrapText="1"/>
    </xf>
    <xf numFmtId="164" fontId="29" fillId="40" borderId="14" xfId="65" applyBorder="1">
      <alignment horizontal="left" vertical="top" wrapText="1"/>
    </xf>
    <xf numFmtId="164" fontId="29" fillId="40" borderId="50" xfId="65" applyBorder="1">
      <alignment horizontal="left" vertical="top" wrapText="1"/>
    </xf>
    <xf numFmtId="0" fontId="25" fillId="0" borderId="0" xfId="0" applyFont="1" applyAlignment="1">
      <alignment horizontal="center" vertical="center"/>
    </xf>
    <xf numFmtId="0" fontId="25" fillId="0" borderId="33" xfId="0" applyFont="1" applyBorder="1" applyAlignment="1">
      <alignment horizontal="center" vertical="center"/>
    </xf>
    <xf numFmtId="164" fontId="29" fillId="40" borderId="14" xfId="65" applyBorder="1" applyAlignment="1">
      <alignment horizontal="left" vertical="top" wrapText="1"/>
    </xf>
    <xf numFmtId="164" fontId="29" fillId="40" borderId="47" xfId="65" applyBorder="1" applyAlignment="1">
      <alignment horizontal="left" vertical="top" wrapText="1"/>
    </xf>
    <xf numFmtId="0" fontId="36" fillId="0" borderId="0" xfId="0" applyFont="1" applyBorder="1" applyAlignment="1">
      <alignment horizontal="left" vertical="top" wrapText="1"/>
    </xf>
    <xf numFmtId="0" fontId="0" fillId="0" borderId="0" xfId="62" applyNumberFormat="1" applyFont="1">
      <alignment horizontal="center" vertical="center"/>
    </xf>
    <xf numFmtId="0" fontId="0" fillId="0" borderId="0" xfId="0" applyNumberFormat="1"/>
    <xf numFmtId="0" fontId="0" fillId="37" borderId="10" xfId="66" applyFont="1">
      <alignment horizontal="left" vertical="top" wrapText="1"/>
    </xf>
    <xf numFmtId="0" fontId="0" fillId="37" borderId="32" xfId="66" applyFont="1" applyBorder="1">
      <alignment horizontal="left" vertical="top" wrapText="1"/>
    </xf>
    <xf numFmtId="0" fontId="0" fillId="37" borderId="53" xfId="66" applyFont="1" applyBorder="1">
      <alignment horizontal="left" vertical="top" wrapText="1"/>
    </xf>
    <xf numFmtId="0" fontId="0" fillId="0" borderId="54" xfId="0" applyBorder="1"/>
    <xf numFmtId="0" fontId="0" fillId="39" borderId="17" xfId="48" applyFont="1" applyBorder="1">
      <protection locked="0"/>
    </xf>
    <xf numFmtId="0" fontId="0" fillId="0" borderId="55" xfId="0" applyBorder="1"/>
    <xf numFmtId="0" fontId="0" fillId="0" borderId="0" xfId="0"/>
    <xf numFmtId="0" fontId="0" fillId="0" borderId="0" xfId="0"/>
    <xf numFmtId="0" fontId="0" fillId="0" borderId="0" xfId="0" applyAlignment="1">
      <alignment horizontal="right"/>
    </xf>
    <xf numFmtId="0" fontId="0" fillId="0" borderId="0" xfId="0"/>
    <xf numFmtId="0" fontId="0" fillId="0" borderId="0" xfId="0"/>
    <xf numFmtId="0" fontId="0" fillId="37" borderId="10" xfId="54" applyFont="1" applyBorder="1">
      <alignment horizontal="left" vertical="top" wrapText="1"/>
      <protection locked="0"/>
    </xf>
    <xf numFmtId="0" fontId="0" fillId="0" borderId="0" xfId="62" applyNumberFormat="1" applyFont="1" applyBorder="1" applyAlignment="1">
      <alignment horizontal="center" vertical="center"/>
    </xf>
    <xf numFmtId="0" fontId="0" fillId="37" borderId="10" xfId="66" applyFont="1">
      <alignment horizontal="left" vertical="top" wrapText="1"/>
    </xf>
    <xf numFmtId="0" fontId="59" fillId="35" borderId="35" xfId="57" applyFill="1" applyBorder="1" applyProtection="1">
      <protection locked="0"/>
    </xf>
    <xf numFmtId="0" fontId="59" fillId="0" borderId="0" xfId="57" applyAlignment="1" applyProtection="1">
      <alignment horizontal="left" vertical="top" wrapText="1"/>
      <protection locked="0"/>
    </xf>
    <xf numFmtId="164" fontId="59" fillId="40" borderId="47" xfId="57" applyNumberFormat="1" applyFill="1" applyBorder="1" applyAlignment="1" applyProtection="1">
      <alignment horizontal="left" vertical="top" wrapText="1"/>
      <protection locked="0"/>
    </xf>
    <xf numFmtId="164" fontId="59" fillId="40" borderId="14" xfId="57" applyNumberFormat="1" applyFill="1" applyBorder="1" applyAlignment="1" applyProtection="1">
      <alignment horizontal="left" vertical="top" wrapText="1"/>
      <protection locked="0"/>
    </xf>
    <xf numFmtId="0" fontId="59" fillId="0" borderId="0" xfId="57" applyBorder="1" applyProtection="1">
      <protection locked="0"/>
    </xf>
    <xf numFmtId="0" fontId="26" fillId="0" borderId="33" xfId="0" applyFont="1" applyBorder="1" applyAlignment="1">
      <alignment horizontal="left" vertical="top" wrapText="1"/>
    </xf>
    <xf numFmtId="0" fontId="0" fillId="0" borderId="0" xfId="0"/>
    <xf numFmtId="0" fontId="0" fillId="0" borderId="64" xfId="0" applyBorder="1"/>
    <xf numFmtId="0" fontId="0" fillId="0" borderId="0" xfId="0"/>
    <xf numFmtId="0" fontId="0" fillId="0" borderId="0" xfId="0" applyAlignment="1">
      <alignment horizontal="left"/>
    </xf>
    <xf numFmtId="0" fontId="0" fillId="0" borderId="0" xfId="0"/>
    <xf numFmtId="0" fontId="0" fillId="0" borderId="0" xfId="0" applyAlignment="1">
      <alignment horizontal="left"/>
    </xf>
    <xf numFmtId="0" fontId="0" fillId="0" borderId="0" xfId="0"/>
    <xf numFmtId="0" fontId="0" fillId="0" borderId="0" xfId="0"/>
    <xf numFmtId="0" fontId="0" fillId="0" borderId="0" xfId="0" applyBorder="1" applyAlignment="1">
      <alignment horizontal="center" vertical="center"/>
    </xf>
    <xf numFmtId="0" fontId="18" fillId="0" borderId="0" xfId="0" applyFont="1" applyBorder="1" applyAlignment="1">
      <alignment horizontal="left" vertical="top" wrapText="1"/>
    </xf>
    <xf numFmtId="0" fontId="18" fillId="0" borderId="26" xfId="0" applyFont="1" applyBorder="1" applyAlignment="1">
      <alignment horizontal="left" vertical="top" wrapText="1"/>
    </xf>
    <xf numFmtId="0" fontId="25" fillId="0" borderId="33" xfId="0" applyFont="1" applyBorder="1" applyAlignment="1">
      <alignment horizontal="left" vertical="top" wrapText="1"/>
    </xf>
    <xf numFmtId="0" fontId="18" fillId="0" borderId="0" xfId="0" applyFont="1" applyBorder="1" applyAlignment="1">
      <alignment vertical="top" wrapText="1"/>
    </xf>
    <xf numFmtId="0" fontId="18" fillId="0" borderId="26" xfId="0" applyFont="1" applyBorder="1" applyAlignment="1">
      <alignment vertical="top" wrapText="1"/>
    </xf>
    <xf numFmtId="0" fontId="25" fillId="0" borderId="0" xfId="0" applyFont="1" applyBorder="1" applyAlignment="1">
      <alignment horizontal="center" vertical="center"/>
    </xf>
    <xf numFmtId="0" fontId="25" fillId="0" borderId="0" xfId="0" applyFont="1" applyBorder="1" applyAlignment="1">
      <alignment horizontal="right" vertical="top" wrapText="1"/>
    </xf>
    <xf numFmtId="0" fontId="0" fillId="0" borderId="0" xfId="0" applyAlignment="1">
      <alignment wrapText="1"/>
    </xf>
    <xf numFmtId="0" fontId="25" fillId="0" borderId="0" xfId="0" applyFont="1" applyAlignment="1">
      <alignment horizontal="right" vertical="top" wrapText="1"/>
    </xf>
    <xf numFmtId="0" fontId="18" fillId="0" borderId="0" xfId="0" applyFont="1" applyAlignment="1">
      <alignment vertical="top" wrapText="1"/>
    </xf>
    <xf numFmtId="164" fontId="29" fillId="40" borderId="14" xfId="65" applyBorder="1" applyAlignment="1">
      <alignment horizontal="left" vertical="top" wrapText="1"/>
    </xf>
    <xf numFmtId="164" fontId="29" fillId="40" borderId="47" xfId="65" applyBorder="1" applyAlignment="1">
      <alignment horizontal="left" vertical="top" wrapText="1"/>
    </xf>
    <xf numFmtId="164" fontId="29" fillId="40" borderId="14" xfId="65" applyAlignment="1">
      <alignment horizontal="left" vertical="top" wrapText="1"/>
    </xf>
    <xf numFmtId="0" fontId="18" fillId="0" borderId="0" xfId="0" applyFont="1" applyAlignment="1">
      <alignment horizontal="right" vertical="top" wrapText="1"/>
    </xf>
    <xf numFmtId="0" fontId="25" fillId="0" borderId="0" xfId="0" applyFont="1" applyAlignment="1">
      <alignment vertical="top" wrapText="1"/>
    </xf>
    <xf numFmtId="0" fontId="59" fillId="0" borderId="0" xfId="57" applyAlignment="1" applyProtection="1">
      <alignment horizontal="left" vertical="top" wrapText="1"/>
      <protection locked="0"/>
    </xf>
    <xf numFmtId="0" fontId="0" fillId="0" borderId="0" xfId="0" applyAlignment="1">
      <alignment horizontal="left"/>
    </xf>
    <xf numFmtId="0" fontId="0" fillId="0" borderId="0" xfId="0"/>
    <xf numFmtId="0" fontId="0" fillId="38" borderId="10" xfId="47" applyFont="1" applyAlignment="1">
      <alignment horizontal="left"/>
      <protection locked="0"/>
    </xf>
    <xf numFmtId="0" fontId="0" fillId="0" borderId="0" xfId="0" applyAlignment="1">
      <alignment horizontal="left" wrapText="1"/>
    </xf>
    <xf numFmtId="0" fontId="27" fillId="0" borderId="0" xfId="0" applyFont="1" applyAlignment="1">
      <alignment horizontal="left" vertical="top" wrapText="1"/>
    </xf>
    <xf numFmtId="0" fontId="27" fillId="0" borderId="12" xfId="0" applyFont="1" applyBorder="1" applyAlignment="1">
      <alignment horizontal="center" vertical="center"/>
    </xf>
    <xf numFmtId="0" fontId="27" fillId="0" borderId="10" xfId="0" applyFont="1" applyBorder="1" applyAlignment="1">
      <alignment horizontal="center" vertical="center"/>
    </xf>
    <xf numFmtId="0" fontId="18" fillId="0" borderId="21" xfId="0" applyFont="1" applyBorder="1" applyAlignment="1">
      <alignment horizontal="left" vertical="top" wrapText="1"/>
    </xf>
    <xf numFmtId="0" fontId="18" fillId="0" borderId="21" xfId="0" applyFont="1" applyBorder="1" applyAlignment="1">
      <alignment vertical="top" wrapText="1"/>
    </xf>
    <xf numFmtId="0" fontId="37" fillId="0" borderId="0" xfId="0" applyFont="1" applyBorder="1" applyAlignment="1">
      <alignment horizontal="justify" vertical="top" wrapText="1"/>
    </xf>
    <xf numFmtId="0" fontId="25" fillId="0" borderId="33" xfId="0" applyFont="1" applyBorder="1" applyAlignment="1">
      <alignment vertical="top" wrapText="1"/>
    </xf>
    <xf numFmtId="0" fontId="18" fillId="0" borderId="31" xfId="0" applyFont="1" applyBorder="1" applyAlignment="1">
      <alignment vertical="top" wrapText="1"/>
    </xf>
    <xf numFmtId="0" fontId="25" fillId="0" borderId="0" xfId="0" applyFont="1" applyBorder="1" applyAlignment="1">
      <alignment vertical="top" wrapText="1"/>
    </xf>
    <xf numFmtId="164" fontId="29" fillId="40" borderId="51" xfId="65" applyBorder="1" applyAlignment="1">
      <alignment horizontal="left" vertical="top" wrapText="1"/>
    </xf>
    <xf numFmtId="169" fontId="18" fillId="0" borderId="10" xfId="0" applyNumberFormat="1" applyFont="1" applyBorder="1" applyAlignment="1">
      <alignment horizontal="center" vertical="center" wrapText="1"/>
    </xf>
    <xf numFmtId="169" fontId="18" fillId="0" borderId="10" xfId="0" applyNumberFormat="1" applyFont="1" applyBorder="1" applyAlignment="1">
      <alignment horizontal="center" vertical="center"/>
    </xf>
    <xf numFmtId="0" fontId="27" fillId="0" borderId="12" xfId="0" applyFont="1" applyBorder="1" applyAlignment="1">
      <alignment horizontal="center" vertical="center" wrapText="1"/>
    </xf>
    <xf numFmtId="0" fontId="38" fillId="0" borderId="0" xfId="0" applyFont="1" applyAlignment="1">
      <alignment horizontal="center" vertical="center"/>
    </xf>
    <xf numFmtId="0" fontId="18" fillId="0" borderId="10" xfId="0" applyFont="1" applyBorder="1" applyAlignment="1">
      <alignment horizontal="center" vertical="center" wrapText="1"/>
    </xf>
    <xf numFmtId="2" fontId="27" fillId="0" borderId="12" xfId="0" applyNumberFormat="1" applyFont="1" applyBorder="1" applyAlignment="1">
      <alignment horizontal="center" vertical="center" wrapText="1"/>
    </xf>
    <xf numFmtId="0" fontId="18" fillId="0" borderId="10" xfId="0" applyFont="1" applyBorder="1" applyAlignment="1">
      <alignment horizontal="center" wrapText="1"/>
    </xf>
    <xf numFmtId="0" fontId="25" fillId="0" borderId="10"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0" xfId="0" applyNumberFormat="1" applyFont="1" applyBorder="1" applyAlignment="1">
      <alignment horizontal="center" vertical="center" wrapText="1"/>
    </xf>
    <xf numFmtId="0" fontId="25" fillId="0" borderId="10" xfId="0" applyNumberFormat="1" applyFont="1" applyBorder="1" applyAlignment="1">
      <alignment horizontal="center" vertical="center"/>
    </xf>
    <xf numFmtId="0" fontId="26" fillId="0" borderId="10" xfId="0" applyNumberFormat="1" applyFont="1" applyBorder="1" applyAlignment="1">
      <alignment horizontal="center" vertical="center"/>
    </xf>
    <xf numFmtId="0" fontId="26" fillId="0" borderId="12" xfId="0" applyNumberFormat="1" applyFont="1" applyBorder="1" applyAlignment="1">
      <alignment horizontal="center" vertical="center"/>
    </xf>
    <xf numFmtId="0" fontId="44" fillId="0" borderId="10" xfId="0" applyNumberFormat="1" applyFont="1" applyBorder="1" applyAlignment="1">
      <alignment horizontal="center" vertical="center"/>
    </xf>
    <xf numFmtId="0" fontId="26" fillId="0" borderId="12" xfId="0" applyNumberFormat="1" applyFont="1" applyBorder="1" applyAlignment="1">
      <alignment horizontal="center" vertical="center" wrapText="1"/>
    </xf>
    <xf numFmtId="1" fontId="18" fillId="0" borderId="10" xfId="0" applyNumberFormat="1" applyFont="1" applyBorder="1" applyAlignment="1">
      <alignment horizontal="center" vertical="center" wrapText="1"/>
    </xf>
    <xf numFmtId="1" fontId="27" fillId="0" borderId="12" xfId="0" applyNumberFormat="1" applyFont="1" applyFill="1" applyBorder="1" applyAlignment="1">
      <alignment horizontal="center" vertical="center" wrapText="1"/>
    </xf>
    <xf numFmtId="16" fontId="0" fillId="0" borderId="0" xfId="0" applyNumberFormat="1"/>
    <xf numFmtId="49" fontId="18" fillId="0" borderId="10" xfId="0" applyNumberFormat="1" applyFont="1" applyBorder="1" applyAlignment="1">
      <alignment horizontal="center" vertical="center" wrapText="1"/>
    </xf>
    <xf numFmtId="49" fontId="27" fillId="0" borderId="12" xfId="0" applyNumberFormat="1" applyFont="1" applyFill="1" applyBorder="1" applyAlignment="1">
      <alignment horizontal="center" vertical="center" wrapText="1"/>
    </xf>
    <xf numFmtId="0" fontId="25" fillId="0" borderId="10" xfId="0" applyFont="1" applyBorder="1" applyAlignment="1">
      <alignment horizontal="center" vertical="center"/>
    </xf>
    <xf numFmtId="49" fontId="25" fillId="0" borderId="10" xfId="0" applyNumberFormat="1" applyFont="1" applyBorder="1" applyAlignment="1">
      <alignment horizontal="center" vertical="center" wrapText="1"/>
    </xf>
    <xf numFmtId="49" fontId="44" fillId="0" borderId="10" xfId="0" applyNumberFormat="1" applyFont="1" applyBorder="1" applyAlignment="1">
      <alignment horizontal="center" vertical="center"/>
    </xf>
    <xf numFmtId="49" fontId="25" fillId="0" borderId="10" xfId="0" applyNumberFormat="1" applyFont="1" applyBorder="1" applyAlignment="1">
      <alignment horizontal="center" vertical="center"/>
    </xf>
    <xf numFmtId="0" fontId="18" fillId="0" borderId="10" xfId="0" applyNumberFormat="1" applyFont="1" applyBorder="1" applyAlignment="1">
      <alignment horizontal="center" vertical="center" wrapText="1"/>
    </xf>
    <xf numFmtId="2" fontId="18" fillId="0" borderId="10" xfId="0" applyNumberFormat="1" applyFont="1" applyBorder="1" applyAlignment="1">
      <alignment horizontal="center" vertical="center" wrapText="1"/>
    </xf>
    <xf numFmtId="2" fontId="18" fillId="0" borderId="10" xfId="0" applyNumberFormat="1" applyFont="1" applyBorder="1" applyAlignment="1">
      <alignment horizontal="center" vertical="center"/>
    </xf>
    <xf numFmtId="49" fontId="18" fillId="0" borderId="10" xfId="0" applyNumberFormat="1" applyFont="1" applyBorder="1" applyAlignment="1">
      <alignment horizontal="center"/>
    </xf>
    <xf numFmtId="0" fontId="18" fillId="0" borderId="10" xfId="0" applyFont="1" applyBorder="1" applyAlignment="1">
      <alignment horizontal="center"/>
    </xf>
    <xf numFmtId="0" fontId="45" fillId="43" borderId="15" xfId="0" applyFont="1" applyFill="1" applyBorder="1" applyAlignment="1">
      <alignment horizontal="center" vertical="center" wrapText="1"/>
    </xf>
    <xf numFmtId="0" fontId="18" fillId="0" borderId="15" xfId="0" applyFont="1" applyBorder="1" applyAlignment="1">
      <alignment horizontal="center" vertical="center" wrapText="1"/>
    </xf>
    <xf numFmtId="0" fontId="27" fillId="0" borderId="10" xfId="0" applyFont="1" applyBorder="1" applyAlignment="1">
      <alignment horizontal="center" vertical="center" wrapText="1"/>
    </xf>
    <xf numFmtId="0" fontId="16" fillId="0" borderId="0" xfId="0" applyFont="1" applyBorder="1" applyAlignment="1">
      <alignment horizontal="center"/>
    </xf>
    <xf numFmtId="0" fontId="27" fillId="0" borderId="65" xfId="0" applyFont="1" applyBorder="1" applyAlignment="1">
      <alignment horizontal="center" vertical="center"/>
    </xf>
    <xf numFmtId="0" fontId="26" fillId="0" borderId="65" xfId="0" applyFont="1" applyBorder="1" applyAlignment="1">
      <alignment horizontal="center" vertical="center"/>
    </xf>
    <xf numFmtId="0" fontId="26" fillId="0" borderId="65" xfId="0" applyFont="1" applyBorder="1" applyAlignment="1">
      <alignment horizontal="center" vertical="center" wrapText="1"/>
    </xf>
    <xf numFmtId="166" fontId="47" fillId="39" borderId="10" xfId="48" applyNumberFormat="1" applyFont="1" applyBorder="1">
      <protection locked="0"/>
    </xf>
    <xf numFmtId="49" fontId="0" fillId="39" borderId="10" xfId="48" applyNumberFormat="1" applyFont="1" applyAlignment="1">
      <alignment horizontal="left"/>
      <protection locked="0"/>
    </xf>
    <xf numFmtId="0" fontId="0" fillId="0" borderId="0" xfId="0" applyAlignment="1">
      <alignment horizontal="left"/>
    </xf>
    <xf numFmtId="0" fontId="0" fillId="0" borderId="0" xfId="0"/>
    <xf numFmtId="0" fontId="0" fillId="38" borderId="10" xfId="47" applyFont="1" applyAlignment="1">
      <alignment horizontal="left"/>
      <protection locked="0"/>
    </xf>
    <xf numFmtId="0" fontId="0" fillId="0" borderId="0" xfId="0"/>
    <xf numFmtId="0" fontId="16" fillId="0" borderId="25" xfId="0" applyFont="1" applyBorder="1" applyAlignment="1">
      <alignment horizontal="right" vertical="center"/>
    </xf>
    <xf numFmtId="0" fontId="16" fillId="0" borderId="12" xfId="0" applyFont="1" applyBorder="1" applyAlignment="1">
      <alignment horizontal="right" vertical="center"/>
    </xf>
    <xf numFmtId="0" fontId="0" fillId="0" borderId="0" xfId="0" applyAlignment="1">
      <alignment horizontal="center"/>
    </xf>
    <xf numFmtId="0" fontId="0" fillId="0" borderId="0" xfId="0" applyAlignment="1">
      <alignment horizontal="right"/>
    </xf>
    <xf numFmtId="0" fontId="0" fillId="0" borderId="0" xfId="0"/>
    <xf numFmtId="0" fontId="0" fillId="0" borderId="0" xfId="0" applyFill="1" applyBorder="1" applyAlignment="1">
      <alignment horizontal="left"/>
    </xf>
    <xf numFmtId="0" fontId="0" fillId="0" borderId="0" xfId="0"/>
    <xf numFmtId="0" fontId="0" fillId="0" borderId="0" xfId="0"/>
    <xf numFmtId="9" fontId="0" fillId="0" borderId="0" xfId="0" applyNumberFormat="1"/>
    <xf numFmtId="0" fontId="0" fillId="0" borderId="0" xfId="0" applyFill="1"/>
    <xf numFmtId="0" fontId="16" fillId="0" borderId="0" xfId="0" applyFont="1"/>
    <xf numFmtId="170" fontId="47" fillId="39" borderId="10" xfId="48" applyNumberFormat="1" applyFont="1" applyBorder="1">
      <protection locked="0"/>
    </xf>
    <xf numFmtId="0" fontId="0" fillId="0" borderId="0" xfId="0"/>
    <xf numFmtId="164" fontId="29" fillId="40" borderId="14" xfId="65">
      <alignment horizontal="left" vertical="top" wrapText="1"/>
    </xf>
    <xf numFmtId="0" fontId="25" fillId="0" borderId="0" xfId="0" applyFont="1" applyAlignment="1">
      <alignment horizontal="right" vertical="top" wrapText="1"/>
    </xf>
    <xf numFmtId="0" fontId="18" fillId="0" borderId="0" xfId="0" applyFont="1" applyAlignment="1">
      <alignment vertical="top" wrapText="1"/>
    </xf>
    <xf numFmtId="0" fontId="0" fillId="0" borderId="0" xfId="0"/>
    <xf numFmtId="0" fontId="18" fillId="0" borderId="10" xfId="0" applyFont="1" applyBorder="1" applyAlignment="1">
      <alignment horizontal="center" vertical="center"/>
    </xf>
    <xf numFmtId="0" fontId="18" fillId="0" borderId="10" xfId="0" applyFont="1" applyBorder="1" applyAlignment="1">
      <alignment horizontal="center"/>
    </xf>
    <xf numFmtId="0" fontId="55" fillId="0" borderId="76" xfId="0" applyFont="1" applyBorder="1" applyAlignment="1">
      <alignment horizontal="center" vertical="center" wrapText="1"/>
    </xf>
    <xf numFmtId="0" fontId="55" fillId="0" borderId="77" xfId="0" applyFont="1" applyBorder="1" applyAlignment="1">
      <alignment horizontal="center" vertical="center" wrapText="1"/>
    </xf>
    <xf numFmtId="0" fontId="55" fillId="0" borderId="65" xfId="0" applyFont="1" applyBorder="1" applyAlignment="1">
      <alignment horizontal="center" vertical="center" wrapText="1"/>
    </xf>
    <xf numFmtId="49" fontId="50" fillId="0" borderId="66" xfId="0" applyNumberFormat="1" applyFont="1" applyBorder="1" applyAlignment="1">
      <alignment horizontal="center" vertical="center" wrapText="1"/>
    </xf>
    <xf numFmtId="0" fontId="50" fillId="0" borderId="65" xfId="0" applyFont="1" applyBorder="1" applyAlignment="1">
      <alignment horizontal="center" vertical="center" wrapText="1"/>
    </xf>
    <xf numFmtId="2" fontId="50" fillId="0" borderId="65" xfId="0" applyNumberFormat="1" applyFont="1" applyBorder="1" applyAlignment="1">
      <alignment horizontal="center" vertical="center" wrapText="1"/>
    </xf>
    <xf numFmtId="0" fontId="50" fillId="0" borderId="66" xfId="0" applyFont="1" applyBorder="1" applyAlignment="1">
      <alignment horizontal="center" vertical="center" wrapText="1"/>
    </xf>
    <xf numFmtId="0" fontId="0" fillId="39" borderId="10" xfId="48" applyFont="1" applyAlignment="1">
      <protection locked="0"/>
    </xf>
    <xf numFmtId="0" fontId="0" fillId="0" borderId="0" xfId="0"/>
    <xf numFmtId="0" fontId="0" fillId="0" borderId="0" xfId="0"/>
    <xf numFmtId="0" fontId="0" fillId="37" borderId="10" xfId="54" applyFont="1">
      <alignment horizontal="left" vertical="top" wrapText="1"/>
      <protection locked="0"/>
    </xf>
    <xf numFmtId="0" fontId="0" fillId="37" borderId="10" xfId="54" applyFont="1" applyBorder="1">
      <alignment horizontal="left" vertical="top" wrapText="1"/>
      <protection locked="0"/>
    </xf>
    <xf numFmtId="0" fontId="0" fillId="37" borderId="32" xfId="54" applyFont="1" applyBorder="1">
      <alignment horizontal="left" vertical="top" wrapText="1"/>
      <protection locked="0"/>
    </xf>
    <xf numFmtId="0" fontId="0" fillId="0" borderId="31" xfId="0" applyBorder="1" applyAlignment="1">
      <alignment horizontal="center" vertical="center"/>
    </xf>
    <xf numFmtId="0" fontId="18" fillId="0" borderId="0" xfId="0" applyFont="1" applyBorder="1" applyAlignment="1">
      <alignment vertical="top" wrapText="1"/>
    </xf>
    <xf numFmtId="0" fontId="18" fillId="0" borderId="26" xfId="0" applyFont="1" applyBorder="1" applyAlignment="1">
      <alignment vertical="top" wrapText="1"/>
    </xf>
    <xf numFmtId="0" fontId="18" fillId="0" borderId="31" xfId="0" applyFont="1" applyBorder="1" applyAlignment="1">
      <alignment vertical="top" wrapText="1"/>
    </xf>
    <xf numFmtId="0" fontId="25" fillId="0" borderId="31" xfId="0" applyFont="1" applyBorder="1" applyAlignment="1">
      <alignment horizontal="center" vertical="center"/>
    </xf>
    <xf numFmtId="49" fontId="25" fillId="0" borderId="31" xfId="0" applyNumberFormat="1" applyFont="1" applyBorder="1" applyAlignment="1">
      <alignment horizontal="left"/>
    </xf>
    <xf numFmtId="0" fontId="25" fillId="0" borderId="31" xfId="0" applyFont="1" applyBorder="1" applyAlignment="1">
      <alignment vertical="top" wrapText="1"/>
    </xf>
    <xf numFmtId="0" fontId="28" fillId="39" borderId="10" xfId="48" applyFont="1" applyBorder="1">
      <protection locked="0"/>
    </xf>
    <xf numFmtId="0" fontId="0" fillId="39" borderId="10" xfId="48" applyFont="1" applyBorder="1" applyAlignment="1">
      <protection locked="0"/>
    </xf>
    <xf numFmtId="0" fontId="25" fillId="0" borderId="31" xfId="0" applyFont="1" applyBorder="1" applyAlignment="1">
      <alignment horizontal="right" vertical="top" wrapText="1"/>
    </xf>
    <xf numFmtId="0" fontId="25" fillId="0" borderId="35" xfId="0" applyFont="1" applyBorder="1" applyAlignment="1">
      <alignment horizontal="left"/>
    </xf>
    <xf numFmtId="0" fontId="18" fillId="0" borderId="35" xfId="0" applyFont="1" applyBorder="1"/>
    <xf numFmtId="0" fontId="25" fillId="0" borderId="35" xfId="0" applyFont="1" applyBorder="1" applyAlignment="1">
      <alignment vertical="top" wrapText="1"/>
    </xf>
    <xf numFmtId="0" fontId="25" fillId="0" borderId="35" xfId="0" applyFont="1" applyBorder="1" applyAlignment="1">
      <alignment horizontal="center" vertical="center"/>
    </xf>
    <xf numFmtId="0" fontId="28" fillId="39" borderId="34" xfId="48" applyFont="1" applyBorder="1">
      <protection locked="0"/>
    </xf>
    <xf numFmtId="172" fontId="47" fillId="39" borderId="10" xfId="48" applyNumberFormat="1" applyFont="1" applyBorder="1">
      <protection locked="0"/>
    </xf>
    <xf numFmtId="171" fontId="25" fillId="0" borderId="26" xfId="0" applyNumberFormat="1" applyFont="1" applyBorder="1" applyAlignment="1">
      <alignment horizontal="center" vertical="center"/>
    </xf>
    <xf numFmtId="0" fontId="0" fillId="0" borderId="0" xfId="0" applyAlignment="1">
      <alignment horizontal="right"/>
    </xf>
    <xf numFmtId="0" fontId="0" fillId="0" borderId="0" xfId="0"/>
    <xf numFmtId="0" fontId="0" fillId="0" borderId="0" xfId="0"/>
    <xf numFmtId="0" fontId="25" fillId="0" borderId="0" xfId="0" applyFont="1" applyAlignment="1">
      <alignment horizontal="left" vertical="top" wrapText="1"/>
    </xf>
    <xf numFmtId="0" fontId="25" fillId="0" borderId="0" xfId="0" applyFont="1" applyAlignment="1">
      <alignment horizontal="right" vertical="top" wrapText="1"/>
    </xf>
    <xf numFmtId="0" fontId="18" fillId="0" borderId="0" xfId="0" applyFont="1" applyAlignment="1">
      <alignment vertical="top" wrapText="1"/>
    </xf>
    <xf numFmtId="0" fontId="25" fillId="0" borderId="0" xfId="0" applyFont="1" applyAlignment="1">
      <alignment vertical="top" wrapText="1"/>
    </xf>
    <xf numFmtId="173" fontId="47" fillId="39" borderId="10" xfId="48" applyNumberFormat="1" applyFont="1" applyBorder="1">
      <protection locked="0"/>
    </xf>
    <xf numFmtId="0" fontId="0" fillId="0" borderId="0" xfId="0"/>
    <xf numFmtId="0" fontId="0" fillId="0" borderId="0" xfId="0"/>
    <xf numFmtId="0" fontId="0" fillId="0" borderId="0" xfId="0"/>
    <xf numFmtId="175" fontId="47" fillId="39" borderId="10" xfId="48" applyNumberFormat="1" applyFont="1" applyBorder="1">
      <protection locked="0"/>
    </xf>
    <xf numFmtId="0" fontId="0" fillId="0" borderId="0" xfId="0"/>
    <xf numFmtId="164" fontId="29" fillId="40" borderId="14" xfId="65">
      <alignment horizontal="left" vertical="top" wrapText="1"/>
    </xf>
    <xf numFmtId="0" fontId="18" fillId="0" borderId="0" xfId="0" applyFont="1" applyAlignment="1">
      <alignment vertical="top" wrapText="1"/>
    </xf>
    <xf numFmtId="0" fontId="0" fillId="0" borderId="0" xfId="0"/>
    <xf numFmtId="2" fontId="47" fillId="39" borderId="10" xfId="48" applyNumberFormat="1" applyFont="1" applyBorder="1">
      <protection locked="0"/>
    </xf>
    <xf numFmtId="0" fontId="0" fillId="2" borderId="0" xfId="0" applyFill="1" applyAlignment="1">
      <alignment horizontal="right"/>
    </xf>
    <xf numFmtId="0" fontId="0" fillId="0" borderId="0" xfId="0"/>
    <xf numFmtId="0" fontId="0" fillId="0" borderId="0" xfId="0" applyAlignment="1">
      <alignment horizontal="right"/>
    </xf>
    <xf numFmtId="0" fontId="0" fillId="0" borderId="0" xfId="0"/>
    <xf numFmtId="0" fontId="25" fillId="0" borderId="0" xfId="0" applyFont="1" applyAlignment="1">
      <alignment horizontal="center" vertical="center"/>
    </xf>
    <xf numFmtId="0" fontId="45" fillId="34" borderId="0" xfId="50" applyFont="1" applyAlignment="1">
      <alignment horizontal="center" vertical="center"/>
    </xf>
    <xf numFmtId="0" fontId="0" fillId="0" borderId="0" xfId="0"/>
    <xf numFmtId="0" fontId="0" fillId="0" borderId="0" xfId="0"/>
    <xf numFmtId="0" fontId="26" fillId="0" borderId="70" xfId="0" applyFont="1" applyBorder="1" applyAlignment="1">
      <alignment horizontal="center" vertical="center" wrapText="1"/>
    </xf>
    <xf numFmtId="0" fontId="0" fillId="0" borderId="0" xfId="0"/>
    <xf numFmtId="0" fontId="18" fillId="0" borderId="0" xfId="0" applyFont="1" applyAlignment="1">
      <alignment vertical="top" wrapText="1"/>
    </xf>
    <xf numFmtId="9" fontId="1" fillId="39" borderId="10" xfId="48" applyNumberFormat="1" applyFont="1" applyBorder="1" applyAlignment="1">
      <alignment horizontal="right" vertical="center"/>
      <protection locked="0"/>
    </xf>
    <xf numFmtId="0" fontId="27" fillId="0" borderId="65" xfId="0" applyFont="1" applyBorder="1" applyAlignment="1">
      <alignment horizontal="center" vertical="center" wrapText="1"/>
    </xf>
    <xf numFmtId="0" fontId="27" fillId="0" borderId="66" xfId="0" applyFont="1" applyBorder="1" applyAlignment="1">
      <alignment horizontal="left" vertical="center" wrapText="1" indent="1"/>
    </xf>
    <xf numFmtId="0" fontId="27" fillId="0" borderId="70" xfId="0" applyFont="1" applyBorder="1" applyAlignment="1">
      <alignment horizontal="center" vertical="center" wrapText="1"/>
    </xf>
    <xf numFmtId="0" fontId="27" fillId="0" borderId="81" xfId="0" applyFont="1" applyBorder="1" applyAlignment="1">
      <alignment horizontal="left" vertical="center" wrapText="1" indent="1"/>
    </xf>
    <xf numFmtId="0" fontId="27" fillId="0" borderId="76" xfId="0" applyFont="1" applyBorder="1" applyAlignment="1">
      <alignment horizontal="center" vertical="center" wrapText="1"/>
    </xf>
    <xf numFmtId="0" fontId="27" fillId="0" borderId="67" xfId="0" applyFont="1" applyBorder="1" applyAlignment="1">
      <alignment horizontal="left" vertical="center" wrapText="1" indent="1"/>
    </xf>
    <xf numFmtId="0" fontId="26" fillId="0" borderId="66" xfId="0" applyFont="1" applyBorder="1" applyAlignment="1">
      <alignment horizontal="center" vertical="center" wrapText="1"/>
    </xf>
    <xf numFmtId="0" fontId="27" fillId="44" borderId="65" xfId="0" applyFont="1" applyFill="1" applyBorder="1" applyAlignment="1">
      <alignment horizontal="center" vertical="center" wrapText="1"/>
    </xf>
    <xf numFmtId="0" fontId="27" fillId="44" borderId="66" xfId="0" applyFont="1" applyFill="1" applyBorder="1" applyAlignment="1">
      <alignment vertical="center" wrapText="1"/>
    </xf>
    <xf numFmtId="0" fontId="27" fillId="0" borderId="66" xfId="0" applyFont="1" applyBorder="1" applyAlignment="1">
      <alignment vertical="center" wrapText="1"/>
    </xf>
    <xf numFmtId="0" fontId="26" fillId="0" borderId="81" xfId="0" applyFont="1" applyBorder="1" applyAlignment="1">
      <alignment horizontal="center" vertical="center" wrapText="1"/>
    </xf>
    <xf numFmtId="0" fontId="27" fillId="0" borderId="66" xfId="0" applyFont="1" applyBorder="1" applyAlignment="1">
      <alignment horizontal="center" vertical="center" wrapText="1"/>
    </xf>
    <xf numFmtId="0" fontId="27" fillId="0" borderId="10" xfId="0" applyFont="1" applyBorder="1" applyAlignment="1">
      <alignment vertical="center" wrapText="1"/>
    </xf>
    <xf numFmtId="0" fontId="27" fillId="0" borderId="17"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15" xfId="0" applyFont="1" applyBorder="1" applyAlignment="1">
      <alignment horizontal="center" vertical="center" wrapText="1"/>
    </xf>
    <xf numFmtId="0" fontId="26" fillId="0" borderId="10" xfId="0" applyFont="1" applyBorder="1" applyAlignment="1">
      <alignment horizontal="center" vertical="center" wrapText="1"/>
    </xf>
    <xf numFmtId="0" fontId="27" fillId="0" borderId="15" xfId="0" applyFont="1" applyBorder="1" applyAlignment="1">
      <alignment vertical="center" wrapText="1"/>
    </xf>
    <xf numFmtId="0" fontId="27" fillId="0" borderId="17" xfId="0" applyFont="1" applyBorder="1" applyAlignment="1">
      <alignment vertical="center" wrapText="1"/>
    </xf>
    <xf numFmtId="0" fontId="27" fillId="0" borderId="16" xfId="0" applyFont="1" applyBorder="1" applyAlignment="1">
      <alignment vertical="center" wrapText="1"/>
    </xf>
    <xf numFmtId="0" fontId="0" fillId="0" borderId="0" xfId="0"/>
    <xf numFmtId="0" fontId="0" fillId="37" borderId="10" xfId="54" applyFont="1">
      <alignment horizontal="left" vertical="top" wrapText="1"/>
      <protection locked="0"/>
    </xf>
    <xf numFmtId="0" fontId="0" fillId="37" borderId="32" xfId="54" applyFont="1" applyBorder="1">
      <alignment horizontal="left" vertical="top" wrapText="1"/>
      <protection locked="0"/>
    </xf>
    <xf numFmtId="0" fontId="18" fillId="0" borderId="0" xfId="0" applyFont="1" applyAlignment="1">
      <alignment horizontal="left" vertical="top" wrapText="1"/>
    </xf>
    <xf numFmtId="0" fontId="18" fillId="0" borderId="0" xfId="0" applyFont="1" applyBorder="1" applyAlignment="1">
      <alignment vertical="top" wrapText="1"/>
    </xf>
    <xf numFmtId="0" fontId="18" fillId="0" borderId="26" xfId="0" applyFont="1" applyBorder="1" applyAlignment="1">
      <alignment vertical="top" wrapText="1"/>
    </xf>
    <xf numFmtId="0" fontId="25" fillId="0" borderId="33" xfId="0" applyFont="1" applyBorder="1" applyAlignment="1">
      <alignment horizontal="center" vertical="center"/>
    </xf>
    <xf numFmtId="0" fontId="25" fillId="0" borderId="0" xfId="0" applyFont="1" applyBorder="1" applyAlignment="1">
      <alignment horizontal="center" vertical="center"/>
    </xf>
    <xf numFmtId="0" fontId="18" fillId="0" borderId="31" xfId="0" applyFont="1" applyBorder="1" applyAlignment="1">
      <alignment vertical="top" wrapText="1"/>
    </xf>
    <xf numFmtId="0" fontId="25" fillId="0" borderId="26" xfId="0" applyFont="1" applyBorder="1" applyAlignment="1">
      <alignment horizontal="center" vertical="center"/>
    </xf>
    <xf numFmtId="0" fontId="41" fillId="0" borderId="0" xfId="0" applyFont="1" applyBorder="1" applyAlignment="1">
      <alignment horizontal="center" vertical="center"/>
    </xf>
    <xf numFmtId="0" fontId="25" fillId="0" borderId="0" xfId="0" applyFont="1" applyAlignment="1">
      <alignment horizontal="center" vertical="center"/>
    </xf>
    <xf numFmtId="0" fontId="25" fillId="0" borderId="31" xfId="0" applyFont="1" applyBorder="1" applyAlignment="1">
      <alignment horizontal="center" vertical="center"/>
    </xf>
    <xf numFmtId="0" fontId="18" fillId="0" borderId="0" xfId="0" applyFont="1" applyAlignment="1">
      <alignment vertical="top" wrapText="1"/>
    </xf>
    <xf numFmtId="0" fontId="25" fillId="0" borderId="0" xfId="0" applyFont="1" applyAlignment="1">
      <alignment horizontal="center" vertical="center" wrapText="1"/>
    </xf>
    <xf numFmtId="0" fontId="25" fillId="0" borderId="0" xfId="62" applyFont="1">
      <alignment horizontal="center" vertical="center"/>
    </xf>
    <xf numFmtId="0" fontId="26" fillId="0" borderId="0" xfId="0" applyFont="1" applyBorder="1" applyAlignment="1">
      <alignment horizontal="center" vertical="center"/>
    </xf>
    <xf numFmtId="0" fontId="25" fillId="0" borderId="33" xfId="0" applyFont="1" applyBorder="1" applyAlignment="1">
      <alignment vertical="top" wrapText="1"/>
    </xf>
    <xf numFmtId="0" fontId="25" fillId="0" borderId="31" xfId="0" applyFont="1" applyBorder="1" applyAlignment="1">
      <alignment vertical="top" wrapText="1"/>
    </xf>
    <xf numFmtId="0" fontId="59" fillId="0" borderId="0" xfId="57" applyAlignment="1" applyProtection="1">
      <alignment horizontal="left" vertical="top" wrapText="1"/>
      <protection locked="0"/>
    </xf>
    <xf numFmtId="0" fontId="18" fillId="0" borderId="21" xfId="0" applyFont="1" applyBorder="1" applyAlignment="1">
      <alignment horizontal="center" vertical="center"/>
    </xf>
    <xf numFmtId="0" fontId="25" fillId="0" borderId="21" xfId="0" applyFont="1" applyBorder="1" applyAlignment="1">
      <alignment horizontal="center" vertical="center"/>
    </xf>
    <xf numFmtId="2" fontId="0" fillId="0" borderId="0" xfId="0" applyNumberFormat="1"/>
    <xf numFmtId="0" fontId="0" fillId="0" borderId="0" xfId="0" applyAlignment="1">
      <alignment horizontal="left"/>
    </xf>
    <xf numFmtId="0" fontId="0" fillId="0" borderId="0" xfId="0" applyAlignment="1">
      <alignment horizontal="right"/>
    </xf>
    <xf numFmtId="0" fontId="0" fillId="0" borderId="0" xfId="0"/>
    <xf numFmtId="0" fontId="0" fillId="37" borderId="10" xfId="54" applyFont="1" applyBorder="1">
      <alignment horizontal="left" vertical="top" wrapText="1"/>
      <protection locked="0"/>
    </xf>
    <xf numFmtId="0" fontId="0" fillId="37" borderId="32" xfId="54" applyFont="1" applyBorder="1">
      <alignment horizontal="left" vertical="top" wrapText="1"/>
      <protection locked="0"/>
    </xf>
    <xf numFmtId="0" fontId="0" fillId="0" borderId="0" xfId="0" applyBorder="1" applyAlignment="1">
      <alignment horizontal="center" vertical="center"/>
    </xf>
    <xf numFmtId="0" fontId="0" fillId="0" borderId="26" xfId="0" applyBorder="1" applyAlignment="1">
      <alignment horizontal="center" vertical="center"/>
    </xf>
    <xf numFmtId="0" fontId="0" fillId="37" borderId="17" xfId="54" applyFont="1" applyBorder="1">
      <alignment horizontal="left" vertical="top" wrapText="1"/>
      <protection locked="0"/>
    </xf>
    <xf numFmtId="0" fontId="0" fillId="37" borderId="53" xfId="54" applyFont="1" applyBorder="1">
      <alignment horizontal="left" vertical="top" wrapText="1"/>
      <protection locked="0"/>
    </xf>
    <xf numFmtId="0" fontId="18" fillId="0" borderId="26" xfId="0" applyFont="1" applyBorder="1" applyAlignment="1">
      <alignment horizontal="left" vertical="top" wrapText="1"/>
    </xf>
    <xf numFmtId="0" fontId="18" fillId="0" borderId="0" xfId="0" applyFont="1" applyBorder="1" applyAlignment="1">
      <alignment vertical="top" wrapText="1"/>
    </xf>
    <xf numFmtId="0" fontId="18" fillId="0" borderId="26" xfId="0" applyFont="1" applyBorder="1" applyAlignment="1">
      <alignment vertical="top" wrapText="1"/>
    </xf>
    <xf numFmtId="0" fontId="25" fillId="0" borderId="0" xfId="0" applyFont="1" applyAlignment="1">
      <alignment horizontal="center" vertical="center"/>
    </xf>
    <xf numFmtId="0" fontId="25" fillId="0" borderId="33" xfId="0" applyFont="1" applyBorder="1" applyAlignment="1">
      <alignment horizontal="center" vertical="center"/>
    </xf>
    <xf numFmtId="0" fontId="25" fillId="0" borderId="0" xfId="0" applyFont="1" applyBorder="1" applyAlignment="1">
      <alignment horizontal="center" vertical="center"/>
    </xf>
    <xf numFmtId="0" fontId="25" fillId="0" borderId="26" xfId="0" applyFont="1" applyBorder="1" applyAlignment="1">
      <alignment horizontal="center" vertical="center"/>
    </xf>
    <xf numFmtId="0" fontId="25" fillId="0" borderId="23" xfId="0" applyFont="1" applyBorder="1" applyAlignment="1">
      <alignment horizontal="center" vertical="center"/>
    </xf>
    <xf numFmtId="0" fontId="41" fillId="0" borderId="0" xfId="0" applyFont="1" applyBorder="1" applyAlignment="1">
      <alignment horizontal="center" vertical="center"/>
    </xf>
    <xf numFmtId="0" fontId="26" fillId="0" borderId="0" xfId="0" applyFont="1" applyBorder="1" applyAlignment="1">
      <alignment horizontal="center" vertical="center" wrapText="1"/>
    </xf>
    <xf numFmtId="0" fontId="25" fillId="0" borderId="0" xfId="0" applyFont="1" applyBorder="1" applyAlignment="1">
      <alignment horizontal="right" vertical="top" wrapText="1"/>
    </xf>
    <xf numFmtId="164" fontId="29" fillId="40" borderId="50" xfId="65" applyBorder="1" applyAlignment="1">
      <alignment horizontal="left" vertical="top" wrapText="1"/>
    </xf>
    <xf numFmtId="0" fontId="25" fillId="0" borderId="26" xfId="0" applyFont="1" applyBorder="1" applyAlignment="1">
      <alignment horizontal="center" vertical="center" wrapText="1"/>
    </xf>
    <xf numFmtId="0" fontId="25" fillId="0" borderId="31" xfId="0" applyFont="1" applyBorder="1" applyAlignment="1">
      <alignment horizontal="center" vertical="center"/>
    </xf>
    <xf numFmtId="0" fontId="18" fillId="0" borderId="23" xfId="0" applyFont="1" applyBorder="1" applyAlignment="1">
      <alignment vertical="top" wrapText="1"/>
    </xf>
    <xf numFmtId="0" fontId="18" fillId="0" borderId="31" xfId="0" applyFont="1" applyBorder="1" applyAlignment="1">
      <alignment vertical="top" wrapText="1"/>
    </xf>
    <xf numFmtId="0" fontId="25" fillId="0" borderId="0" xfId="0" applyFont="1" applyAlignment="1">
      <alignment vertical="top" wrapText="1"/>
    </xf>
    <xf numFmtId="0" fontId="25" fillId="0" borderId="26" xfId="0" applyFont="1" applyBorder="1" applyAlignment="1">
      <alignment horizontal="right" vertical="top" wrapText="1"/>
    </xf>
    <xf numFmtId="164" fontId="29" fillId="40" borderId="51" xfId="65" applyBorder="1">
      <alignment horizontal="left" vertical="top" wrapText="1"/>
    </xf>
    <xf numFmtId="0" fontId="25" fillId="0" borderId="33" xfId="0" applyFont="1" applyBorder="1" applyAlignment="1">
      <alignment vertical="top" wrapText="1"/>
    </xf>
    <xf numFmtId="0" fontId="0" fillId="0" borderId="12" xfId="0" applyBorder="1" applyAlignment="1">
      <alignment horizontal="left"/>
    </xf>
    <xf numFmtId="0" fontId="0" fillId="0" borderId="21" xfId="0" applyBorder="1" applyAlignment="1">
      <alignment horizontal="left"/>
    </xf>
    <xf numFmtId="0" fontId="0" fillId="0" borderId="13" xfId="0" applyBorder="1" applyAlignment="1">
      <alignment horizontal="left"/>
    </xf>
    <xf numFmtId="0" fontId="0" fillId="41" borderId="10" xfId="48" applyFont="1" applyFill="1" applyAlignment="1" applyProtection="1">
      <alignment horizontal="left"/>
    </xf>
    <xf numFmtId="0" fontId="0" fillId="0" borderId="0" xfId="0" applyAlignment="1" applyProtection="1">
      <alignment horizontal="left" wrapText="1"/>
    </xf>
    <xf numFmtId="164" fontId="29" fillId="40" borderId="50" xfId="65" applyBorder="1">
      <alignment horizontal="left" vertical="top" wrapText="1"/>
    </xf>
    <xf numFmtId="0" fontId="26" fillId="0" borderId="26" xfId="0" applyFont="1" applyBorder="1" applyAlignment="1">
      <alignment horizontal="center" vertical="center" wrapText="1"/>
    </xf>
    <xf numFmtId="0" fontId="18" fillId="0" borderId="21" xfId="0" applyFont="1" applyBorder="1" applyAlignment="1">
      <alignment horizontal="center" vertical="center"/>
    </xf>
    <xf numFmtId="0" fontId="25" fillId="0" borderId="21" xfId="0" applyFont="1" applyBorder="1" applyAlignment="1">
      <alignment horizontal="center" vertical="center"/>
    </xf>
    <xf numFmtId="0" fontId="25" fillId="0" borderId="26" xfId="0" applyFont="1" applyBorder="1" applyAlignment="1">
      <alignment horizontal="center"/>
    </xf>
    <xf numFmtId="0" fontId="25" fillId="0" borderId="0" xfId="0" applyFont="1" applyBorder="1" applyAlignment="1">
      <alignment horizontal="center"/>
    </xf>
    <xf numFmtId="168" fontId="25" fillId="0" borderId="31" xfId="0" applyNumberFormat="1" applyFont="1" applyBorder="1" applyAlignment="1">
      <alignment horizontal="left"/>
    </xf>
    <xf numFmtId="168" fontId="25" fillId="0" borderId="33" xfId="0" applyNumberFormat="1" applyFont="1" applyBorder="1" applyAlignment="1">
      <alignment horizontal="left"/>
    </xf>
    <xf numFmtId="0" fontId="18" fillId="0" borderId="0" xfId="0" applyFont="1" applyBorder="1" applyAlignment="1">
      <alignment horizontal="left"/>
    </xf>
    <xf numFmtId="0" fontId="18" fillId="0" borderId="31" xfId="0" applyFont="1" applyBorder="1" applyAlignment="1">
      <alignment horizontal="left"/>
    </xf>
    <xf numFmtId="0" fontId="59" fillId="0" borderId="31" xfId="57" applyBorder="1" applyAlignment="1" applyProtection="1">
      <alignment horizontal="left" vertical="top" wrapText="1"/>
      <protection locked="0"/>
    </xf>
    <xf numFmtId="176" fontId="47" fillId="39" borderId="10" xfId="48" applyNumberFormat="1" applyFont="1" applyBorder="1">
      <protection locked="0"/>
    </xf>
    <xf numFmtId="178" fontId="47" fillId="39" borderId="10" xfId="48" applyNumberFormat="1" applyFont="1" applyBorder="1">
      <protection locked="0"/>
    </xf>
    <xf numFmtId="0" fontId="0" fillId="2" borderId="0" xfId="0" applyFill="1" applyBorder="1" applyAlignment="1">
      <alignment horizontal="right"/>
    </xf>
    <xf numFmtId="2" fontId="0" fillId="2" borderId="0" xfId="0" applyNumberFormat="1" applyFill="1" applyBorder="1"/>
    <xf numFmtId="9" fontId="47" fillId="39" borderId="10" xfId="48" applyNumberFormat="1" applyFont="1" applyBorder="1">
      <protection locked="0"/>
    </xf>
    <xf numFmtId="168" fontId="47" fillId="39" borderId="10" xfId="48" applyNumberFormat="1" applyFont="1" applyBorder="1">
      <protection locked="0"/>
    </xf>
    <xf numFmtId="0" fontId="18" fillId="0" borderId="0" xfId="0" applyFont="1" applyAlignment="1">
      <alignment vertical="center"/>
    </xf>
    <xf numFmtId="0" fontId="60" fillId="34" borderId="0" xfId="50" applyFont="1" applyAlignment="1">
      <alignment vertical="center"/>
    </xf>
    <xf numFmtId="0" fontId="25" fillId="0" borderId="26" xfId="62" applyFont="1" applyBorder="1" applyAlignment="1">
      <alignment horizontal="center" vertical="center"/>
    </xf>
    <xf numFmtId="0" fontId="25" fillId="0" borderId="31" xfId="62" applyFont="1" applyBorder="1" applyAlignment="1">
      <alignment horizontal="center" vertical="center"/>
    </xf>
    <xf numFmtId="0" fontId="25" fillId="0" borderId="0" xfId="62" applyFont="1" applyAlignment="1">
      <alignment horizontal="center" vertical="center"/>
    </xf>
    <xf numFmtId="0" fontId="25" fillId="0" borderId="0" xfId="0" applyNumberFormat="1" applyFont="1" applyAlignment="1">
      <alignment horizontal="center" vertical="center"/>
    </xf>
    <xf numFmtId="0" fontId="25" fillId="0" borderId="26" xfId="0" applyNumberFormat="1" applyFont="1" applyBorder="1" applyAlignment="1">
      <alignment horizontal="center" vertical="center"/>
    </xf>
    <xf numFmtId="0" fontId="18" fillId="0" borderId="0" xfId="62" applyNumberFormat="1" applyFont="1" applyBorder="1" applyAlignment="1">
      <alignment horizontal="center" vertical="center"/>
    </xf>
    <xf numFmtId="0" fontId="18" fillId="0" borderId="31" xfId="62" applyNumberFormat="1" applyFont="1" applyBorder="1" applyAlignment="1">
      <alignment horizontal="center" vertical="center"/>
    </xf>
    <xf numFmtId="0" fontId="60" fillId="34" borderId="0" xfId="50" applyFont="1" applyAlignment="1">
      <alignment horizontal="center" vertical="center"/>
    </xf>
    <xf numFmtId="0" fontId="18" fillId="0" borderId="0" xfId="0" applyFont="1" applyAlignment="1">
      <alignment horizontal="center" vertical="center"/>
    </xf>
    <xf numFmtId="0" fontId="18" fillId="0" borderId="33" xfId="0" applyFont="1" applyBorder="1" applyAlignment="1">
      <alignment horizontal="center" vertical="center"/>
    </xf>
    <xf numFmtId="0" fontId="18" fillId="0" borderId="26" xfId="0" applyFont="1" applyBorder="1" applyAlignment="1">
      <alignment horizontal="center" vertical="center"/>
    </xf>
    <xf numFmtId="0" fontId="18" fillId="0" borderId="0" xfId="0" applyFont="1" applyBorder="1" applyAlignment="1">
      <alignment horizontal="center" vertical="center"/>
    </xf>
    <xf numFmtId="0" fontId="18" fillId="0" borderId="26" xfId="0" applyFont="1" applyBorder="1" applyAlignment="1">
      <alignment horizontal="center" vertical="center"/>
    </xf>
    <xf numFmtId="0" fontId="18" fillId="0" borderId="31" xfId="0" applyFont="1" applyBorder="1" applyAlignment="1">
      <alignment horizontal="center" vertical="center"/>
    </xf>
    <xf numFmtId="0" fontId="18" fillId="0" borderId="23" xfId="0" applyFont="1" applyBorder="1" applyAlignment="1">
      <alignment horizontal="center" vertical="center"/>
    </xf>
    <xf numFmtId="0" fontId="18" fillId="0" borderId="33" xfId="0" applyFont="1" applyBorder="1" applyAlignment="1">
      <alignment horizontal="center" vertical="center"/>
    </xf>
    <xf numFmtId="0" fontId="18" fillId="0" borderId="35" xfId="0" applyFont="1" applyBorder="1" applyAlignment="1">
      <alignment horizontal="center" vertical="center"/>
    </xf>
    <xf numFmtId="0" fontId="60" fillId="34" borderId="0" xfId="50" applyFont="1"/>
    <xf numFmtId="0" fontId="25" fillId="0" borderId="33" xfId="0" applyFont="1" applyBorder="1"/>
    <xf numFmtId="0" fontId="25" fillId="0" borderId="0" xfId="0" applyFont="1" applyBorder="1"/>
    <xf numFmtId="0" fontId="18" fillId="0" borderId="31" xfId="0" applyFont="1" applyBorder="1" applyAlignment="1">
      <alignment vertical="center"/>
    </xf>
    <xf numFmtId="0" fontId="18" fillId="0" borderId="0" xfId="0" applyFont="1" applyBorder="1" applyAlignment="1">
      <alignment vertical="center"/>
    </xf>
    <xf numFmtId="1" fontId="47" fillId="39" borderId="10" xfId="48" applyNumberFormat="1" applyFont="1" applyBorder="1">
      <protection locked="0"/>
    </xf>
    <xf numFmtId="0" fontId="0" fillId="0" borderId="0" xfId="0" applyAlignment="1">
      <alignment horizontal="left"/>
    </xf>
    <xf numFmtId="0" fontId="0" fillId="0" borderId="0" xfId="0" applyAlignment="1">
      <alignment horizontal="right"/>
    </xf>
    <xf numFmtId="0" fontId="0" fillId="0" borderId="0" xfId="0"/>
    <xf numFmtId="0" fontId="0" fillId="41" borderId="10" xfId="48" applyFont="1" applyFill="1" applyAlignment="1" applyProtection="1">
      <alignment horizontal="left"/>
    </xf>
    <xf numFmtId="49" fontId="25" fillId="0" borderId="0" xfId="0" applyNumberFormat="1" applyFont="1" applyBorder="1" applyAlignment="1">
      <alignment vertical="top" wrapText="1"/>
    </xf>
    <xf numFmtId="49" fontId="25" fillId="0" borderId="31" xfId="0" applyNumberFormat="1" applyFont="1" applyBorder="1" applyAlignment="1">
      <alignment vertical="top" wrapText="1"/>
    </xf>
    <xf numFmtId="0" fontId="18" fillId="0" borderId="33" xfId="0" applyFont="1" applyBorder="1" applyAlignment="1">
      <alignment vertical="top" wrapText="1"/>
    </xf>
    <xf numFmtId="0" fontId="18" fillId="0" borderId="35" xfId="0" applyFont="1" applyBorder="1" applyAlignment="1">
      <alignment vertical="top" wrapText="1"/>
    </xf>
    <xf numFmtId="0" fontId="26" fillId="0" borderId="31" xfId="0" applyFont="1" applyBorder="1" applyAlignment="1">
      <alignment horizontal="center" vertical="center" wrapText="1"/>
    </xf>
    <xf numFmtId="0" fontId="26" fillId="0" borderId="0" xfId="0" applyFont="1" applyBorder="1" applyAlignment="1">
      <alignment vertical="top" wrapText="1"/>
    </xf>
    <xf numFmtId="0" fontId="18" fillId="0" borderId="26" xfId="0" applyFont="1" applyBorder="1" applyAlignment="1">
      <alignment horizontal="left"/>
    </xf>
    <xf numFmtId="0" fontId="26" fillId="0" borderId="31" xfId="0" applyFont="1" applyBorder="1" applyAlignment="1">
      <alignment horizontal="justify" vertical="top" wrapText="1"/>
    </xf>
    <xf numFmtId="0" fontId="28" fillId="39" borderId="53" xfId="48" applyFont="1" applyBorder="1">
      <protection locked="0"/>
    </xf>
    <xf numFmtId="0" fontId="59" fillId="0" borderId="26" xfId="57" applyBorder="1" applyAlignment="1" applyProtection="1">
      <alignment horizontal="left" vertical="top" wrapText="1"/>
      <protection locked="0"/>
    </xf>
    <xf numFmtId="177" fontId="47" fillId="39" borderId="10" xfId="48" applyNumberFormat="1" applyFont="1" applyBorder="1">
      <protection locked="0"/>
    </xf>
    <xf numFmtId="0" fontId="25" fillId="0" borderId="23" xfId="0" applyFont="1" applyBorder="1" applyAlignment="1">
      <alignment vertical="top" wrapText="1"/>
    </xf>
    <xf numFmtId="49" fontId="25" fillId="0" borderId="26" xfId="0" applyNumberFormat="1" applyFont="1" applyBorder="1" applyAlignment="1">
      <alignment vertical="top" wrapText="1"/>
    </xf>
    <xf numFmtId="0" fontId="0" fillId="2" borderId="26" xfId="0" applyFill="1" applyBorder="1"/>
    <xf numFmtId="0" fontId="0" fillId="2" borderId="23" xfId="0" applyFill="1" applyBorder="1"/>
    <xf numFmtId="0" fontId="25" fillId="0" borderId="26" xfId="0" applyFont="1" applyBorder="1" applyAlignment="1">
      <alignment vertical="top" wrapText="1"/>
    </xf>
    <xf numFmtId="0" fontId="25" fillId="0" borderId="23" xfId="0" applyFont="1" applyBorder="1"/>
    <xf numFmtId="0" fontId="25" fillId="0" borderId="26" xfId="0" applyFont="1" applyBorder="1"/>
    <xf numFmtId="0" fontId="25" fillId="0" borderId="21" xfId="0" applyFont="1" applyBorder="1"/>
    <xf numFmtId="0" fontId="25" fillId="0" borderId="21" xfId="0" applyFont="1" applyBorder="1" applyAlignment="1">
      <alignment vertical="top" wrapText="1"/>
    </xf>
    <xf numFmtId="0" fontId="59" fillId="0" borderId="26" xfId="57" applyBorder="1" applyAlignment="1">
      <alignment horizontal="left" vertical="top" wrapText="1"/>
    </xf>
    <xf numFmtId="0" fontId="25" fillId="0" borderId="82" xfId="0" applyFont="1" applyBorder="1" applyAlignment="1">
      <alignment horizontal="center" vertical="center"/>
    </xf>
    <xf numFmtId="0" fontId="0" fillId="0" borderId="27" xfId="0" applyBorder="1"/>
    <xf numFmtId="0" fontId="0" fillId="0" borderId="24" xfId="0" applyBorder="1"/>
    <xf numFmtId="0" fontId="27" fillId="0" borderId="0" xfId="0" applyFont="1" applyBorder="1" applyAlignment="1">
      <alignment horizontal="justify" vertical="top" wrapText="1"/>
    </xf>
    <xf numFmtId="0" fontId="32" fillId="0" borderId="26" xfId="0" applyFont="1" applyBorder="1" applyAlignment="1">
      <alignment vertical="top" wrapText="1"/>
    </xf>
    <xf numFmtId="0" fontId="25" fillId="0" borderId="26" xfId="62" applyFont="1" applyBorder="1">
      <alignment horizontal="center" vertical="center"/>
    </xf>
    <xf numFmtId="0" fontId="27" fillId="0" borderId="31" xfId="0" applyFont="1" applyBorder="1" applyAlignment="1">
      <alignment horizontal="justify" vertical="top" wrapText="1"/>
    </xf>
    <xf numFmtId="0" fontId="25" fillId="0" borderId="31" xfId="62" applyFont="1" applyBorder="1">
      <alignment horizontal="center" vertical="center"/>
    </xf>
    <xf numFmtId="49" fontId="25" fillId="0" borderId="0" xfId="0" applyNumberFormat="1" applyFont="1" applyBorder="1" applyAlignment="1">
      <alignment horizontal="center" vertical="top" wrapText="1"/>
    </xf>
    <xf numFmtId="49" fontId="25" fillId="0" borderId="26" xfId="0" applyNumberFormat="1" applyFont="1" applyBorder="1" applyAlignment="1">
      <alignment horizontal="center" vertical="top" wrapText="1"/>
    </xf>
    <xf numFmtId="174" fontId="0" fillId="0" borderId="31" xfId="0" applyNumberFormat="1" applyBorder="1" applyAlignment="1">
      <alignment horizontal="left"/>
    </xf>
    <xf numFmtId="49" fontId="25" fillId="0" borderId="31" xfId="0" applyNumberFormat="1" applyFont="1" applyBorder="1" applyAlignment="1">
      <alignment horizontal="center" vertical="top" wrapText="1"/>
    </xf>
    <xf numFmtId="0" fontId="0" fillId="0" borderId="0" xfId="0" applyBorder="1" applyAlignment="1">
      <alignment vertical="top" wrapText="1"/>
    </xf>
    <xf numFmtId="0" fontId="0" fillId="0" borderId="26" xfId="0" applyBorder="1" applyAlignment="1">
      <alignment vertical="top" wrapText="1"/>
    </xf>
    <xf numFmtId="49" fontId="25" fillId="0" borderId="23" xfId="0" applyNumberFormat="1" applyFont="1" applyBorder="1" applyAlignment="1">
      <alignment vertical="top" wrapText="1"/>
    </xf>
    <xf numFmtId="49" fontId="25" fillId="0" borderId="21" xfId="0" applyNumberFormat="1" applyFont="1" applyBorder="1" applyAlignment="1">
      <alignment vertical="top" wrapText="1"/>
    </xf>
    <xf numFmtId="49" fontId="25" fillId="0" borderId="21" xfId="0" quotePrefix="1" applyNumberFormat="1" applyFont="1" applyBorder="1" applyAlignment="1">
      <alignment vertical="top" wrapText="1"/>
    </xf>
    <xf numFmtId="0" fontId="27" fillId="0" borderId="26" xfId="0" applyFont="1" applyBorder="1" applyAlignment="1">
      <alignment horizontal="justify" vertical="top" wrapText="1"/>
    </xf>
    <xf numFmtId="0" fontId="27" fillId="0" borderId="21" xfId="0" applyFont="1" applyBorder="1" applyAlignment="1">
      <alignment horizontal="justify" vertical="top" wrapText="1"/>
    </xf>
    <xf numFmtId="0" fontId="25" fillId="0" borderId="21" xfId="62" applyFont="1" applyBorder="1">
      <alignment horizontal="center" vertical="center"/>
    </xf>
    <xf numFmtId="49" fontId="25" fillId="0" borderId="0" xfId="0" quotePrefix="1" applyNumberFormat="1" applyFont="1" applyBorder="1" applyAlignment="1">
      <alignment vertical="top" wrapText="1"/>
    </xf>
    <xf numFmtId="49" fontId="25" fillId="0" borderId="21" xfId="0" applyNumberFormat="1" applyFont="1" applyBorder="1" applyAlignment="1">
      <alignment horizontal="center" vertical="top" wrapText="1"/>
    </xf>
    <xf numFmtId="49" fontId="25" fillId="0" borderId="23" xfId="0" applyNumberFormat="1" applyFont="1" applyBorder="1" applyAlignment="1">
      <alignment horizontal="center" vertical="top" wrapText="1"/>
    </xf>
    <xf numFmtId="0" fontId="0" fillId="39" borderId="10" xfId="48" applyFont="1" applyAlignment="1">
      <alignment horizontal="left"/>
      <protection locked="0"/>
    </xf>
    <xf numFmtId="0" fontId="0" fillId="0" borderId="0" xfId="0"/>
    <xf numFmtId="0" fontId="0" fillId="0" borderId="10" xfId="0" applyBorder="1"/>
    <xf numFmtId="0" fontId="16" fillId="0" borderId="10" xfId="0"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xf numFmtId="0" fontId="18" fillId="0" borderId="0" xfId="0" applyFont="1" applyBorder="1" applyAlignment="1">
      <alignment horizontal="left" vertical="top" wrapText="1"/>
    </xf>
    <xf numFmtId="0" fontId="18" fillId="0" borderId="26" xfId="0" applyFont="1" applyBorder="1" applyAlignment="1">
      <alignment horizontal="left" vertical="top" wrapText="1"/>
    </xf>
    <xf numFmtId="0" fontId="25" fillId="0" borderId="0" xfId="0" applyFont="1" applyAlignment="1">
      <alignment horizontal="left" vertical="top" wrapText="1"/>
    </xf>
    <xf numFmtId="164" fontId="29" fillId="40" borderId="14" xfId="65">
      <alignment horizontal="left" vertical="top" wrapText="1"/>
    </xf>
    <xf numFmtId="0" fontId="18" fillId="0" borderId="0" xfId="0" applyFont="1" applyAlignment="1">
      <alignment horizontal="left" vertical="top" wrapText="1"/>
    </xf>
    <xf numFmtId="0" fontId="25" fillId="0" borderId="33" xfId="0" applyFont="1" applyBorder="1" applyAlignment="1">
      <alignment horizontal="left" vertical="top" wrapText="1"/>
    </xf>
    <xf numFmtId="0" fontId="0" fillId="0" borderId="10" xfId="0" applyBorder="1"/>
    <xf numFmtId="0" fontId="16" fillId="0" borderId="10" xfId="0" applyFont="1" applyBorder="1" applyAlignment="1">
      <alignment horizontal="center" vertical="center"/>
    </xf>
    <xf numFmtId="0" fontId="16" fillId="0" borderId="10" xfId="0" applyFont="1" applyBorder="1" applyAlignment="1">
      <alignment horizontal="center"/>
    </xf>
    <xf numFmtId="0" fontId="18" fillId="0" borderId="0" xfId="0" applyFont="1" applyBorder="1" applyAlignment="1">
      <alignment vertical="top" wrapText="1"/>
    </xf>
    <xf numFmtId="0" fontId="18" fillId="0" borderId="26" xfId="0" applyFont="1" applyBorder="1" applyAlignment="1">
      <alignment vertical="top" wrapText="1"/>
    </xf>
    <xf numFmtId="0" fontId="0" fillId="0" borderId="0" xfId="0" applyAlignment="1">
      <alignment wrapText="1"/>
    </xf>
    <xf numFmtId="0" fontId="18" fillId="0" borderId="31" xfId="0" applyFont="1" applyBorder="1" applyAlignment="1">
      <alignment vertical="top" wrapText="1"/>
    </xf>
    <xf numFmtId="164" fontId="29" fillId="40" borderId="14" xfId="65" applyAlignment="1">
      <alignment horizontal="left" vertical="top" wrapText="1"/>
    </xf>
    <xf numFmtId="164" fontId="29" fillId="40" borderId="47" xfId="65" applyBorder="1" applyAlignment="1">
      <alignment horizontal="left" vertical="top" wrapText="1"/>
    </xf>
    <xf numFmtId="0" fontId="25" fillId="0" borderId="0" xfId="0" applyFont="1" applyAlignment="1">
      <alignment horizontal="right" vertical="top" wrapText="1"/>
    </xf>
    <xf numFmtId="0" fontId="18" fillId="0" borderId="0" xfId="0" applyFont="1" applyAlignment="1">
      <alignment vertical="top" wrapText="1"/>
    </xf>
    <xf numFmtId="0" fontId="25" fillId="0" borderId="0" xfId="0" applyFont="1" applyBorder="1" applyAlignment="1">
      <alignment horizontal="right" vertical="top" wrapText="1"/>
    </xf>
    <xf numFmtId="164" fontId="29" fillId="40" borderId="14" xfId="65" applyBorder="1" applyAlignment="1">
      <alignment horizontal="left" vertical="top" wrapText="1"/>
    </xf>
    <xf numFmtId="164" fontId="29" fillId="40" borderId="50" xfId="65" applyBorder="1" applyAlignment="1">
      <alignment horizontal="left" vertical="top" wrapText="1"/>
    </xf>
    <xf numFmtId="0" fontId="36" fillId="0" borderId="0" xfId="0" applyFont="1" applyBorder="1" applyAlignment="1">
      <alignment horizontal="left" vertical="top" wrapText="1"/>
    </xf>
    <xf numFmtId="0" fontId="25" fillId="0" borderId="0" xfId="0" applyFont="1" applyAlignment="1">
      <alignment vertical="top" wrapText="1"/>
    </xf>
    <xf numFmtId="164" fontId="29" fillId="40" borderId="50" xfId="65" applyBorder="1">
      <alignment horizontal="left" vertical="top" wrapText="1"/>
    </xf>
    <xf numFmtId="0" fontId="25" fillId="0" borderId="0" xfId="0" applyFont="1" applyBorder="1" applyAlignment="1">
      <alignment vertical="top" wrapText="1"/>
    </xf>
    <xf numFmtId="0" fontId="25" fillId="0" borderId="26" xfId="0" applyFont="1" applyBorder="1" applyAlignment="1">
      <alignment vertical="top" wrapText="1"/>
    </xf>
    <xf numFmtId="0" fontId="25" fillId="0" borderId="23" xfId="0" applyFont="1" applyBorder="1" applyAlignment="1">
      <alignment vertical="top" wrapText="1"/>
    </xf>
    <xf numFmtId="164" fontId="29" fillId="40" borderId="51" xfId="65" applyBorder="1">
      <alignment horizontal="left" vertical="top" wrapText="1"/>
    </xf>
    <xf numFmtId="0" fontId="27" fillId="0" borderId="0" xfId="0" applyFont="1" applyAlignment="1">
      <alignment horizontal="justify" vertical="top" wrapText="1"/>
    </xf>
    <xf numFmtId="0" fontId="25" fillId="0" borderId="31" xfId="0" applyFont="1" applyBorder="1" applyAlignment="1">
      <alignment horizontal="right" vertical="top" wrapText="1"/>
    </xf>
    <xf numFmtId="0" fontId="18" fillId="0" borderId="0" xfId="0" applyFont="1" applyAlignment="1">
      <alignment horizontal="right" vertical="top" wrapText="1"/>
    </xf>
    <xf numFmtId="0" fontId="25" fillId="0" borderId="26" xfId="0" applyFont="1" applyBorder="1" applyAlignment="1">
      <alignment horizontal="right" vertical="top" wrapText="1"/>
    </xf>
    <xf numFmtId="0" fontId="25" fillId="0" borderId="33" xfId="0" applyFont="1" applyBorder="1" applyAlignment="1">
      <alignment vertical="top" wrapText="1"/>
    </xf>
    <xf numFmtId="0" fontId="25" fillId="0" borderId="31" xfId="0" applyFont="1" applyBorder="1" applyAlignment="1">
      <alignment vertical="top" wrapText="1"/>
    </xf>
    <xf numFmtId="0" fontId="26" fillId="0" borderId="0" xfId="0" applyFont="1" applyBorder="1" applyAlignment="1">
      <alignment vertical="top" wrapText="1"/>
    </xf>
    <xf numFmtId="0" fontId="26" fillId="0" borderId="0" xfId="0" applyFont="1" applyAlignment="1">
      <alignment horizontal="right" vertical="top" wrapText="1"/>
    </xf>
    <xf numFmtId="0" fontId="26" fillId="0" borderId="0" xfId="0" applyFont="1" applyBorder="1" applyAlignment="1">
      <alignment horizontal="right" vertical="top" wrapText="1"/>
    </xf>
    <xf numFmtId="0" fontId="18" fillId="0" borderId="0" xfId="0" applyFont="1" applyBorder="1" applyAlignment="1">
      <alignment wrapText="1"/>
    </xf>
    <xf numFmtId="0" fontId="18" fillId="0" borderId="31" xfId="0" applyFont="1" applyBorder="1" applyAlignment="1">
      <alignment wrapText="1"/>
    </xf>
    <xf numFmtId="0" fontId="18" fillId="0" borderId="0" xfId="0" applyFont="1" applyAlignment="1">
      <alignment wrapText="1"/>
    </xf>
    <xf numFmtId="0" fontId="18" fillId="0" borderId="23" xfId="0" applyFont="1" applyBorder="1" applyAlignment="1">
      <alignment wrapText="1"/>
    </xf>
    <xf numFmtId="0" fontId="18" fillId="0" borderId="26" xfId="0" applyFont="1" applyBorder="1" applyAlignment="1">
      <alignment wrapText="1"/>
    </xf>
    <xf numFmtId="0" fontId="0" fillId="0" borderId="0" xfId="0" applyAlignment="1">
      <alignment horizontal="center" vertical="center"/>
    </xf>
    <xf numFmtId="0" fontId="0" fillId="0" borderId="0" xfId="0" applyBorder="1" applyAlignment="1">
      <alignment horizontal="center" vertical="center"/>
    </xf>
    <xf numFmtId="0" fontId="26" fillId="0" borderId="33" xfId="0" applyFont="1" applyBorder="1" applyAlignment="1">
      <alignment horizontal="left" vertical="top" wrapText="1"/>
    </xf>
    <xf numFmtId="0" fontId="0" fillId="0" borderId="0" xfId="0" applyBorder="1" applyAlignment="1">
      <alignment horizontal="center"/>
    </xf>
    <xf numFmtId="0" fontId="59" fillId="0" borderId="0" xfId="57" applyAlignment="1" applyProtection="1">
      <alignment horizontal="left" vertical="top" wrapText="1"/>
      <protection locked="0"/>
    </xf>
    <xf numFmtId="0" fontId="16" fillId="0" borderId="0" xfId="0" applyFont="1" applyAlignment="1">
      <alignment horizontal="center" wrapText="1"/>
    </xf>
    <xf numFmtId="0" fontId="0" fillId="0" borderId="10" xfId="0" applyBorder="1" applyAlignment="1">
      <alignment horizontal="right" indent="2"/>
    </xf>
    <xf numFmtId="0" fontId="62" fillId="0" borderId="0" xfId="0" applyFont="1"/>
    <xf numFmtId="0" fontId="16" fillId="0" borderId="10" xfId="0" applyFont="1" applyBorder="1" applyAlignment="1">
      <alignment horizontal="right" indent="2"/>
    </xf>
    <xf numFmtId="179" fontId="16" fillId="0" borderId="10" xfId="0" applyNumberFormat="1" applyFont="1" applyBorder="1"/>
    <xf numFmtId="0" fontId="16" fillId="0" borderId="10" xfId="0" applyFont="1" applyBorder="1" applyAlignment="1">
      <alignment vertical="top"/>
    </xf>
    <xf numFmtId="0" fontId="64" fillId="0" borderId="10" xfId="60" applyFont="1" applyBorder="1" applyAlignment="1">
      <alignment horizontal="center"/>
    </xf>
    <xf numFmtId="0" fontId="63" fillId="0" borderId="10" xfId="60" applyFont="1" applyBorder="1" applyAlignment="1"/>
    <xf numFmtId="0" fontId="16" fillId="0" borderId="10" xfId="0" applyFont="1" applyBorder="1"/>
    <xf numFmtId="179" fontId="16" fillId="0" borderId="0" xfId="0" applyNumberFormat="1" applyFont="1" applyBorder="1"/>
    <xf numFmtId="0" fontId="19" fillId="0" borderId="0" xfId="0" applyFont="1" applyBorder="1" applyAlignment="1">
      <alignment horizontal="center" vertical="center"/>
    </xf>
    <xf numFmtId="0" fontId="63" fillId="0" borderId="0" xfId="60" applyFont="1" applyBorder="1" applyAlignment="1"/>
    <xf numFmtId="0" fontId="0" fillId="0" borderId="0" xfId="0" applyFill="1" applyBorder="1"/>
    <xf numFmtId="0" fontId="0" fillId="0" borderId="0" xfId="64" applyFont="1" applyFill="1" applyBorder="1" applyAlignment="1">
      <alignment horizontal="left"/>
    </xf>
    <xf numFmtId="0" fontId="0" fillId="0" borderId="0" xfId="64" applyFont="1" applyFill="1" applyBorder="1" applyAlignment="1">
      <alignment horizontal="center"/>
    </xf>
    <xf numFmtId="0" fontId="0" fillId="41" borderId="0" xfId="0" applyFill="1"/>
    <xf numFmtId="0" fontId="16" fillId="0" borderId="10" xfId="0" applyFont="1" applyBorder="1" applyAlignment="1">
      <alignment horizontal="center" vertical="center" wrapText="1"/>
    </xf>
    <xf numFmtId="0" fontId="0" fillId="41" borderId="0" xfId="0" applyFill="1" applyBorder="1"/>
    <xf numFmtId="0" fontId="0" fillId="0" borderId="0" xfId="0" applyBorder="1" applyAlignment="1">
      <alignment horizontal="left"/>
    </xf>
    <xf numFmtId="0" fontId="0" fillId="0" borderId="15" xfId="0" applyBorder="1" applyAlignment="1">
      <alignment horizontal="left" vertical="center"/>
    </xf>
    <xf numFmtId="0" fontId="0" fillId="0" borderId="15" xfId="0" applyBorder="1" applyAlignment="1">
      <alignment horizontal="center" vertical="center"/>
    </xf>
    <xf numFmtId="0" fontId="0" fillId="0" borderId="15" xfId="0" applyBorder="1" applyAlignment="1">
      <alignment horizontal="center"/>
    </xf>
    <xf numFmtId="0" fontId="0" fillId="0" borderId="16" xfId="0" applyBorder="1" applyAlignment="1">
      <alignment horizontal="left" vertical="center"/>
    </xf>
    <xf numFmtId="0" fontId="0" fillId="0" borderId="16" xfId="0" applyBorder="1" applyAlignment="1">
      <alignment horizontal="center" vertical="center"/>
    </xf>
    <xf numFmtId="0" fontId="0" fillId="0" borderId="16" xfId="0" applyBorder="1" applyAlignment="1">
      <alignment horizontal="center"/>
    </xf>
    <xf numFmtId="0" fontId="0" fillId="0" borderId="17" xfId="0" applyBorder="1" applyAlignment="1">
      <alignment horizontal="left" vertical="center" wrapText="1"/>
    </xf>
    <xf numFmtId="0" fontId="0" fillId="0" borderId="17" xfId="0" applyBorder="1" applyAlignment="1">
      <alignment horizontal="center" vertical="center"/>
    </xf>
    <xf numFmtId="0" fontId="0" fillId="0" borderId="17" xfId="0" applyBorder="1" applyAlignment="1">
      <alignment horizontal="center"/>
    </xf>
    <xf numFmtId="0" fontId="0" fillId="41" borderId="0" xfId="0" applyFill="1" applyBorder="1" applyAlignment="1">
      <alignment horizontal="left"/>
    </xf>
    <xf numFmtId="0" fontId="0" fillId="41" borderId="0" xfId="0" applyFill="1" applyBorder="1" applyAlignment="1">
      <alignment horizontal="center"/>
    </xf>
    <xf numFmtId="0" fontId="0" fillId="36" borderId="10" xfId="52" applyFont="1"/>
    <xf numFmtId="0" fontId="16" fillId="0" borderId="0" xfId="0" applyFont="1" applyAlignment="1">
      <alignment horizontal="right"/>
    </xf>
    <xf numFmtId="0" fontId="16" fillId="0" borderId="0" xfId="0" applyFont="1" applyFill="1" applyBorder="1" applyAlignment="1">
      <alignment horizontal="right"/>
    </xf>
    <xf numFmtId="0" fontId="16" fillId="0" borderId="0" xfId="0" applyFont="1" applyBorder="1"/>
    <xf numFmtId="0" fontId="0" fillId="0" borderId="0" xfId="0" applyBorder="1" applyAlignment="1"/>
    <xf numFmtId="0" fontId="0" fillId="0" borderId="0" xfId="0" applyBorder="1" applyAlignment="1">
      <alignment vertical="center"/>
    </xf>
    <xf numFmtId="0" fontId="0" fillId="0" borderId="0" xfId="0" applyFill="1" applyBorder="1" applyAlignment="1"/>
    <xf numFmtId="0" fontId="0" fillId="38" borderId="10" xfId="47" applyFont="1" applyAlignment="1">
      <protection locked="0"/>
    </xf>
    <xf numFmtId="0" fontId="67" fillId="0" borderId="0" xfId="0" applyFont="1" applyAlignment="1">
      <alignment horizontal="left" vertical="center"/>
    </xf>
    <xf numFmtId="0" fontId="67" fillId="0" borderId="0" xfId="0" applyFont="1" applyAlignment="1">
      <alignment vertical="center"/>
    </xf>
    <xf numFmtId="0" fontId="16" fillId="0" borderId="0" xfId="0" applyFont="1" applyAlignment="1">
      <alignment horizontal="center"/>
    </xf>
    <xf numFmtId="0" fontId="16" fillId="0" borderId="10" xfId="0" applyFont="1" applyBorder="1" applyAlignment="1">
      <alignment horizontal="center" wrapText="1"/>
    </xf>
    <xf numFmtId="0" fontId="16" fillId="0" borderId="0" xfId="0" applyFont="1" applyFill="1" applyBorder="1" applyAlignment="1"/>
    <xf numFmtId="180" fontId="0" fillId="0" borderId="0" xfId="0" applyNumberFormat="1" applyFill="1" applyBorder="1" applyAlignment="1"/>
    <xf numFmtId="0" fontId="16" fillId="41" borderId="0" xfId="0" quotePrefix="1" applyFont="1" applyFill="1" applyBorder="1"/>
    <xf numFmtId="0" fontId="0" fillId="41" borderId="0" xfId="0" applyFill="1" applyBorder="1" applyAlignment="1">
      <alignment horizontal="left" indent="1"/>
    </xf>
    <xf numFmtId="0" fontId="0" fillId="0" borderId="0" xfId="0" applyFill="1" applyBorder="1" applyAlignment="1">
      <alignment wrapText="1"/>
    </xf>
    <xf numFmtId="0" fontId="0" fillId="0" borderId="0" xfId="0" applyFill="1" applyBorder="1" applyAlignment="1">
      <alignment vertical="center" wrapText="1"/>
    </xf>
    <xf numFmtId="0" fontId="16" fillId="0" borderId="0" xfId="0" applyFont="1" applyFill="1"/>
    <xf numFmtId="0" fontId="0" fillId="0" borderId="0" xfId="0" applyFill="1" applyAlignment="1"/>
    <xf numFmtId="0" fontId="0" fillId="0" borderId="0" xfId="0" applyAlignment="1">
      <alignment horizontal="left" indent="1"/>
    </xf>
    <xf numFmtId="0" fontId="0" fillId="0" borderId="0" xfId="0" applyFill="1" applyAlignment="1">
      <alignment horizontal="left" indent="1"/>
    </xf>
    <xf numFmtId="0" fontId="0" fillId="0" borderId="0" xfId="0" applyFill="1" applyAlignment="1">
      <alignment horizontal="left"/>
    </xf>
    <xf numFmtId="0" fontId="0" fillId="0" borderId="0" xfId="64" applyFont="1" applyFill="1" applyBorder="1" applyAlignment="1"/>
    <xf numFmtId="0" fontId="0" fillId="0" borderId="0" xfId="52" applyFont="1" applyFill="1" applyBorder="1" applyAlignment="1"/>
    <xf numFmtId="0" fontId="66" fillId="0" borderId="0" xfId="54" applyFont="1" applyFill="1" applyBorder="1">
      <alignment horizontal="left" vertical="top" wrapText="1"/>
      <protection locked="0"/>
    </xf>
    <xf numFmtId="0" fontId="66" fillId="38" borderId="10" xfId="47" applyFont="1" applyAlignment="1">
      <alignment horizontal="left" vertical="top" wrapText="1"/>
      <protection locked="0"/>
    </xf>
    <xf numFmtId="0" fontId="14" fillId="0" borderId="0" xfId="0" applyFont="1" applyAlignment="1">
      <alignment vertical="top"/>
    </xf>
    <xf numFmtId="0" fontId="0" fillId="39" borderId="10" xfId="48" applyFont="1" applyProtection="1"/>
    <xf numFmtId="0" fontId="0" fillId="38" borderId="10" xfId="47" applyFont="1" applyProtection="1"/>
    <xf numFmtId="0" fontId="0" fillId="35" borderId="10" xfId="64" applyFont="1" applyAlignment="1" applyProtection="1"/>
    <xf numFmtId="0" fontId="0" fillId="36" borderId="11" xfId="0" applyFill="1" applyBorder="1" applyProtection="1"/>
    <xf numFmtId="0" fontId="0" fillId="37" borderId="10" xfId="54" applyFont="1" applyProtection="1">
      <alignment horizontal="left" vertical="top" wrapText="1"/>
    </xf>
    <xf numFmtId="0" fontId="0" fillId="42" borderId="10" xfId="48" applyFont="1" applyFill="1" applyProtection="1"/>
    <xf numFmtId="0" fontId="0" fillId="0" borderId="0" xfId="0"/>
    <xf numFmtId="0" fontId="0" fillId="0" borderId="0" xfId="0"/>
    <xf numFmtId="0" fontId="0" fillId="0" borderId="0" xfId="0" applyAlignment="1">
      <alignment horizontal="left" vertical="top"/>
    </xf>
    <xf numFmtId="0" fontId="0" fillId="0" borderId="0" xfId="0" applyFill="1" applyBorder="1" applyAlignment="1">
      <alignment horizontal="left" vertical="top"/>
    </xf>
    <xf numFmtId="0" fontId="0" fillId="0" borderId="0" xfId="64" applyFont="1" applyFill="1" applyBorder="1" applyAlignment="1">
      <alignment horizontal="left" vertical="top"/>
    </xf>
    <xf numFmtId="0" fontId="16" fillId="0" borderId="0" xfId="0" applyFont="1" applyAlignment="1">
      <alignment horizontal="right"/>
    </xf>
    <xf numFmtId="0" fontId="0" fillId="0" borderId="0" xfId="0"/>
    <xf numFmtId="0" fontId="16" fillId="0" borderId="0" xfId="0" applyFont="1" applyAlignment="1"/>
    <xf numFmtId="0" fontId="16" fillId="0" borderId="12" xfId="0" applyFont="1" applyBorder="1" applyAlignment="1">
      <alignment horizontal="right"/>
    </xf>
    <xf numFmtId="0" fontId="16" fillId="0" borderId="21" xfId="0" applyFont="1" applyBorder="1"/>
    <xf numFmtId="0" fontId="16" fillId="0" borderId="13" xfId="0" applyFont="1" applyBorder="1"/>
    <xf numFmtId="0" fontId="0" fillId="0" borderId="0" xfId="0"/>
    <xf numFmtId="164" fontId="29" fillId="40" borderId="50" xfId="65" applyBorder="1">
      <alignment horizontal="left" vertical="top" wrapText="1"/>
    </xf>
    <xf numFmtId="0" fontId="0" fillId="0" borderId="0" xfId="0"/>
    <xf numFmtId="0" fontId="0" fillId="0" borderId="0" xfId="0"/>
    <xf numFmtId="0" fontId="0" fillId="0" borderId="0" xfId="0" applyAlignment="1">
      <alignment horizontal="center"/>
    </xf>
    <xf numFmtId="0" fontId="0" fillId="0" borderId="0" xfId="0" applyAlignment="1">
      <alignment horizontal="right"/>
    </xf>
    <xf numFmtId="0" fontId="0" fillId="37" borderId="10" xfId="54" applyFont="1" applyBorder="1">
      <alignment horizontal="left" vertical="top" wrapText="1"/>
      <protection locked="0"/>
    </xf>
    <xf numFmtId="0" fontId="0" fillId="37" borderId="32" xfId="54" applyFont="1" applyBorder="1">
      <alignment horizontal="left" vertical="top" wrapText="1"/>
      <protection locked="0"/>
    </xf>
    <xf numFmtId="0" fontId="25" fillId="0" borderId="0" xfId="0" applyFont="1" applyBorder="1" applyAlignment="1">
      <alignment horizontal="center" vertical="center"/>
    </xf>
    <xf numFmtId="0" fontId="25" fillId="0" borderId="26" xfId="0" applyFont="1" applyBorder="1" applyAlignment="1">
      <alignment horizontal="center" vertical="center"/>
    </xf>
    <xf numFmtId="0" fontId="25" fillId="0" borderId="33" xfId="0" applyFont="1" applyBorder="1" applyAlignment="1">
      <alignment horizontal="center" vertical="center"/>
    </xf>
    <xf numFmtId="0" fontId="25" fillId="0" borderId="31" xfId="0" applyFont="1" applyBorder="1" applyAlignment="1">
      <alignment horizontal="center" vertical="center"/>
    </xf>
    <xf numFmtId="0" fontId="25" fillId="0" borderId="0" xfId="0" applyFont="1" applyAlignment="1">
      <alignment horizontal="center" vertical="center"/>
    </xf>
    <xf numFmtId="0" fontId="18" fillId="0" borderId="33" xfId="0" applyFont="1" applyBorder="1" applyAlignment="1">
      <alignment horizontal="center" vertical="center"/>
    </xf>
    <xf numFmtId="0" fontId="18" fillId="0" borderId="31" xfId="0" applyFont="1" applyBorder="1" applyAlignment="1">
      <alignment horizontal="center" vertical="center"/>
    </xf>
    <xf numFmtId="0" fontId="18" fillId="0" borderId="0" xfId="0" applyFont="1" applyAlignment="1">
      <alignment horizontal="center" vertical="center"/>
    </xf>
    <xf numFmtId="0" fontId="18" fillId="0" borderId="0" xfId="0" applyFont="1" applyBorder="1" applyAlignment="1">
      <alignment horizontal="center" vertical="center"/>
    </xf>
    <xf numFmtId="0" fontId="18" fillId="0" borderId="26" xfId="0" applyFont="1" applyBorder="1" applyAlignment="1">
      <alignment horizontal="center" vertical="center"/>
    </xf>
    <xf numFmtId="0" fontId="0" fillId="37" borderId="17" xfId="54" applyFont="1" applyBorder="1">
      <alignment horizontal="left" vertical="top" wrapText="1"/>
      <protection locked="0"/>
    </xf>
    <xf numFmtId="0" fontId="25" fillId="0" borderId="0" xfId="0" applyFont="1" applyAlignment="1">
      <alignment horizontal="left" vertical="top" wrapText="1"/>
    </xf>
    <xf numFmtId="0" fontId="18" fillId="0" borderId="26" xfId="0" applyFont="1" applyBorder="1" applyAlignment="1">
      <alignment horizontal="left" vertical="top" wrapText="1"/>
    </xf>
    <xf numFmtId="0" fontId="18" fillId="0" borderId="0" xfId="0" applyFont="1" applyAlignment="1">
      <alignment horizontal="left" vertical="top" wrapText="1"/>
    </xf>
    <xf numFmtId="0" fontId="0" fillId="37" borderId="10" xfId="54" applyFont="1">
      <alignment horizontal="left" vertical="top" wrapText="1"/>
      <protection locked="0"/>
    </xf>
    <xf numFmtId="0" fontId="18" fillId="0" borderId="23" xfId="0" applyFont="1" applyBorder="1" applyAlignment="1">
      <alignment horizontal="center" vertical="center"/>
    </xf>
    <xf numFmtId="0" fontId="25" fillId="0" borderId="23" xfId="0" applyFont="1" applyBorder="1" applyAlignment="1">
      <alignment horizontal="center" vertical="center"/>
    </xf>
    <xf numFmtId="0" fontId="18" fillId="0" borderId="0" xfId="0" applyFont="1" applyBorder="1" applyAlignment="1">
      <alignment vertical="top" wrapText="1"/>
    </xf>
    <xf numFmtId="0" fontId="18" fillId="0" borderId="26" xfId="0" applyFont="1" applyBorder="1" applyAlignment="1">
      <alignment vertical="top" wrapText="1"/>
    </xf>
    <xf numFmtId="164" fontId="29" fillId="40" borderId="14" xfId="65">
      <alignment horizontal="left" vertical="top" wrapText="1"/>
    </xf>
    <xf numFmtId="0" fontId="25" fillId="0" borderId="0" xfId="0" applyFont="1" applyAlignment="1">
      <alignment horizontal="center" vertical="center" wrapText="1"/>
    </xf>
    <xf numFmtId="0" fontId="41" fillId="0" borderId="0" xfId="0" applyFont="1" applyBorder="1" applyAlignment="1">
      <alignment horizontal="center" vertical="center"/>
    </xf>
    <xf numFmtId="0" fontId="26" fillId="0" borderId="0" xfId="0" applyFont="1" applyBorder="1" applyAlignment="1">
      <alignment horizontal="center" vertical="center" wrapText="1"/>
    </xf>
    <xf numFmtId="0" fontId="25" fillId="0" borderId="0" xfId="0" applyFont="1" applyAlignment="1">
      <alignment horizontal="right" vertical="top" wrapText="1"/>
    </xf>
    <xf numFmtId="0" fontId="18" fillId="0" borderId="0" xfId="0" applyFont="1" applyAlignment="1">
      <alignment vertical="top" wrapText="1"/>
    </xf>
    <xf numFmtId="0" fontId="25" fillId="0" borderId="0" xfId="0" applyFont="1" applyBorder="1" applyAlignment="1">
      <alignment horizontal="right" vertical="top" wrapText="1"/>
    </xf>
    <xf numFmtId="164" fontId="29" fillId="40" borderId="50" xfId="65" applyBorder="1" applyAlignment="1">
      <alignment horizontal="left" vertical="top" wrapText="1"/>
    </xf>
    <xf numFmtId="0" fontId="25" fillId="0" borderId="26" xfId="0" applyFont="1" applyBorder="1" applyAlignment="1">
      <alignment horizontal="center" vertical="center" wrapText="1"/>
    </xf>
    <xf numFmtId="0" fontId="18" fillId="0" borderId="23" xfId="0" applyFont="1" applyBorder="1" applyAlignment="1">
      <alignment vertical="top" wrapText="1"/>
    </xf>
    <xf numFmtId="0" fontId="18" fillId="0" borderId="31" xfId="0" applyFont="1" applyBorder="1" applyAlignment="1">
      <alignment vertical="top" wrapText="1"/>
    </xf>
    <xf numFmtId="0" fontId="25" fillId="0" borderId="26" xfId="62" applyFont="1" applyBorder="1">
      <alignment horizontal="center" vertical="center"/>
    </xf>
    <xf numFmtId="164" fontId="29" fillId="40" borderId="50" xfId="65" applyBorder="1">
      <alignment horizontal="left" vertical="top" wrapText="1"/>
    </xf>
    <xf numFmtId="0" fontId="27" fillId="0" borderId="0" xfId="0" applyFont="1" applyAlignment="1">
      <alignment horizontal="justify" vertical="top" wrapText="1"/>
    </xf>
    <xf numFmtId="0" fontId="18" fillId="0" borderId="0" xfId="0" applyFont="1" applyAlignment="1">
      <alignment horizontal="right" vertical="top" wrapText="1"/>
    </xf>
    <xf numFmtId="0" fontId="25" fillId="0" borderId="0" xfId="0" applyFont="1" applyAlignment="1">
      <alignment vertical="top" wrapText="1"/>
    </xf>
    <xf numFmtId="0" fontId="25" fillId="0" borderId="0" xfId="0" applyFont="1" applyBorder="1" applyAlignment="1">
      <alignment vertical="top" wrapText="1"/>
    </xf>
    <xf numFmtId="0" fontId="25" fillId="0" borderId="26" xfId="0" applyFont="1" applyBorder="1" applyAlignment="1">
      <alignment vertical="top" wrapText="1"/>
    </xf>
    <xf numFmtId="0" fontId="25" fillId="0" borderId="23" xfId="0" applyFont="1" applyBorder="1" applyAlignment="1">
      <alignment vertical="top" wrapText="1"/>
    </xf>
    <xf numFmtId="164" fontId="29" fillId="40" borderId="51" xfId="65" applyBorder="1">
      <alignment horizontal="left" vertical="top" wrapText="1"/>
    </xf>
    <xf numFmtId="0" fontId="25" fillId="0" borderId="26" xfId="0" applyFont="1" applyBorder="1" applyAlignment="1">
      <alignment horizontal="right" vertical="top" wrapText="1"/>
    </xf>
    <xf numFmtId="0" fontId="26" fillId="0" borderId="0" xfId="0" applyFont="1" applyAlignment="1">
      <alignment horizontal="right" vertical="top" wrapText="1"/>
    </xf>
    <xf numFmtId="0" fontId="25" fillId="0" borderId="33" xfId="0" applyFont="1" applyBorder="1" applyAlignment="1">
      <alignment vertical="top" wrapText="1"/>
    </xf>
    <xf numFmtId="0" fontId="0" fillId="0" borderId="0" xfId="0" applyAlignment="1">
      <alignment horizontal="center" vertical="center"/>
    </xf>
    <xf numFmtId="0" fontId="0" fillId="0" borderId="0" xfId="0" applyBorder="1" applyAlignment="1">
      <alignment horizontal="center" vertical="center"/>
    </xf>
    <xf numFmtId="0" fontId="0" fillId="0" borderId="26" xfId="0" applyBorder="1" applyAlignment="1">
      <alignment horizontal="center" vertical="center"/>
    </xf>
    <xf numFmtId="0" fontId="0" fillId="37" borderId="32" xfId="66" applyFont="1" applyBorder="1">
      <alignment horizontal="left" vertical="top" wrapText="1"/>
    </xf>
    <xf numFmtId="0" fontId="0" fillId="37" borderId="10" xfId="66" applyFont="1">
      <alignment horizontal="left" vertical="top" wrapText="1"/>
    </xf>
    <xf numFmtId="0" fontId="0" fillId="37" borderId="53" xfId="66" applyFont="1" applyBorder="1">
      <alignment horizontal="left" vertical="top" wrapText="1"/>
    </xf>
    <xf numFmtId="0" fontId="0" fillId="0" borderId="0" xfId="0" applyBorder="1" applyAlignment="1">
      <alignment horizontal="right"/>
    </xf>
    <xf numFmtId="0" fontId="26" fillId="0" borderId="26" xfId="0" applyFont="1" applyBorder="1" applyAlignment="1">
      <alignment horizontal="center" vertical="center" wrapText="1"/>
    </xf>
    <xf numFmtId="0" fontId="18" fillId="0" borderId="21" xfId="0" applyFont="1" applyBorder="1" applyAlignment="1">
      <alignment horizontal="center" vertical="center"/>
    </xf>
    <xf numFmtId="0" fontId="25" fillId="0" borderId="21" xfId="0" applyFont="1" applyBorder="1" applyAlignment="1">
      <alignment horizontal="center" vertical="center"/>
    </xf>
    <xf numFmtId="0" fontId="0" fillId="0" borderId="0" xfId="0" applyAlignment="1">
      <alignment horizontal="center"/>
    </xf>
    <xf numFmtId="0" fontId="0" fillId="0" borderId="0" xfId="0"/>
    <xf numFmtId="0" fontId="0" fillId="0" borderId="0" xfId="0" applyAlignment="1">
      <alignment horizontal="right"/>
    </xf>
    <xf numFmtId="0" fontId="18" fillId="0" borderId="0" xfId="0" applyFont="1" applyAlignment="1">
      <alignment horizontal="center" vertical="center"/>
    </xf>
    <xf numFmtId="0" fontId="0" fillId="37" borderId="10" xfId="54" applyFont="1">
      <alignment horizontal="left" vertical="top" wrapText="1"/>
      <protection locked="0"/>
    </xf>
    <xf numFmtId="0" fontId="0" fillId="37" borderId="10" xfId="54" applyFont="1" applyBorder="1">
      <alignment horizontal="left" vertical="top" wrapText="1"/>
      <protection locked="0"/>
    </xf>
    <xf numFmtId="0" fontId="0" fillId="37" borderId="32" xfId="54" applyFont="1" applyBorder="1">
      <alignment horizontal="left" vertical="top" wrapText="1"/>
      <protection locked="0"/>
    </xf>
    <xf numFmtId="0" fontId="18" fillId="0" borderId="0" xfId="0" applyFont="1" applyBorder="1" applyAlignment="1">
      <alignment horizontal="center" vertical="center"/>
    </xf>
    <xf numFmtId="0" fontId="18" fillId="0" borderId="26" xfId="0" applyFont="1" applyBorder="1" applyAlignment="1">
      <alignment horizontal="center" vertical="center"/>
    </xf>
    <xf numFmtId="0" fontId="25" fillId="0" borderId="0" xfId="0" applyFont="1" applyBorder="1" applyAlignment="1">
      <alignment horizontal="center" vertical="center"/>
    </xf>
    <xf numFmtId="0" fontId="25" fillId="0" borderId="26" xfId="0" applyFont="1" applyBorder="1" applyAlignment="1">
      <alignment horizontal="center" vertical="center"/>
    </xf>
    <xf numFmtId="0" fontId="18" fillId="0" borderId="31" xfId="0" applyFont="1" applyBorder="1" applyAlignment="1">
      <alignment horizontal="center" vertical="center"/>
    </xf>
    <xf numFmtId="0" fontId="18" fillId="0" borderId="33" xfId="0" applyFont="1" applyBorder="1" applyAlignment="1">
      <alignment horizontal="center" vertical="center"/>
    </xf>
    <xf numFmtId="164" fontId="29" fillId="40" borderId="14" xfId="65">
      <alignment horizontal="left" vertical="top" wrapText="1"/>
    </xf>
    <xf numFmtId="0" fontId="18" fillId="0" borderId="0" xfId="0" applyFont="1" applyBorder="1" applyAlignment="1">
      <alignment vertical="top" wrapText="1"/>
    </xf>
    <xf numFmtId="0" fontId="18" fillId="0" borderId="26" xfId="0" applyFont="1" applyBorder="1" applyAlignment="1">
      <alignment vertical="top" wrapText="1"/>
    </xf>
    <xf numFmtId="0" fontId="25" fillId="0" borderId="23" xfId="0" applyFont="1" applyBorder="1" applyAlignment="1">
      <alignment horizontal="center" vertical="center"/>
    </xf>
    <xf numFmtId="0" fontId="18" fillId="0" borderId="23" xfId="0" applyFont="1" applyBorder="1" applyAlignment="1">
      <alignment horizontal="center" vertical="center"/>
    </xf>
    <xf numFmtId="0" fontId="25" fillId="0" borderId="31" xfId="0" applyFont="1" applyBorder="1" applyAlignment="1">
      <alignment horizontal="center" vertical="center"/>
    </xf>
    <xf numFmtId="0" fontId="25" fillId="0" borderId="0" xfId="0" applyFont="1" applyAlignment="1">
      <alignment horizontal="center" vertical="center"/>
    </xf>
    <xf numFmtId="0" fontId="0" fillId="37" borderId="53" xfId="54" applyFont="1" applyBorder="1">
      <alignment horizontal="left" vertical="top" wrapText="1"/>
      <protection locked="0"/>
    </xf>
    <xf numFmtId="0" fontId="25" fillId="0" borderId="33" xfId="0" applyFont="1" applyBorder="1" applyAlignment="1">
      <alignment horizontal="center" vertical="center"/>
    </xf>
    <xf numFmtId="0" fontId="18" fillId="0" borderId="31" xfId="0" applyFont="1" applyBorder="1" applyAlignment="1">
      <alignment vertical="top" wrapText="1"/>
    </xf>
    <xf numFmtId="0" fontId="25" fillId="0" borderId="0" xfId="0" applyFont="1" applyAlignment="1">
      <alignment horizontal="right" vertical="top" wrapText="1"/>
    </xf>
    <xf numFmtId="0" fontId="18" fillId="0" borderId="0" xfId="0" applyFont="1" applyAlignment="1">
      <alignment vertical="top" wrapText="1"/>
    </xf>
    <xf numFmtId="0" fontId="25" fillId="0" borderId="0" xfId="0" applyFont="1" applyAlignment="1">
      <alignment vertical="top" wrapText="1"/>
    </xf>
    <xf numFmtId="164" fontId="29" fillId="40" borderId="50" xfId="65" applyBorder="1">
      <alignment horizontal="left" vertical="top" wrapText="1"/>
    </xf>
    <xf numFmtId="0" fontId="25" fillId="0" borderId="0" xfId="0" applyFont="1" applyBorder="1" applyAlignment="1">
      <alignment vertical="top" wrapText="1"/>
    </xf>
    <xf numFmtId="0" fontId="25" fillId="0" borderId="23" xfId="0" applyFont="1" applyBorder="1" applyAlignment="1">
      <alignment vertical="top" wrapText="1"/>
    </xf>
    <xf numFmtId="0" fontId="25" fillId="0" borderId="31" xfId="0" applyFont="1" applyBorder="1" applyAlignment="1">
      <alignment horizontal="right" vertical="top" wrapText="1"/>
    </xf>
    <xf numFmtId="0" fontId="26" fillId="0" borderId="0" xfId="0" applyFont="1" applyBorder="1" applyAlignment="1">
      <alignment horizontal="center" vertical="center"/>
    </xf>
    <xf numFmtId="0" fontId="25" fillId="0" borderId="26" xfId="0" applyFont="1" applyBorder="1" applyAlignment="1">
      <alignment horizontal="right" vertical="top" wrapText="1"/>
    </xf>
    <xf numFmtId="0" fontId="25" fillId="0" borderId="33" xfId="0" applyFont="1" applyBorder="1" applyAlignment="1">
      <alignment vertical="top" wrapText="1"/>
    </xf>
    <xf numFmtId="0" fontId="25" fillId="0" borderId="31" xfId="0" applyFont="1" applyBorder="1" applyAlignment="1">
      <alignment vertical="top" wrapText="1"/>
    </xf>
    <xf numFmtId="0" fontId="26" fillId="0" borderId="0" xfId="0" applyFont="1" applyBorder="1" applyAlignment="1">
      <alignment vertical="top" wrapText="1"/>
    </xf>
    <xf numFmtId="0" fontId="18" fillId="0" borderId="0" xfId="0" applyFont="1" applyBorder="1" applyAlignment="1">
      <alignment wrapText="1"/>
    </xf>
    <xf numFmtId="0" fontId="18" fillId="0" borderId="31" xfId="0" applyFont="1" applyBorder="1" applyAlignment="1">
      <alignment wrapText="1"/>
    </xf>
    <xf numFmtId="0" fontId="18" fillId="0" borderId="0" xfId="0" applyFont="1" applyAlignment="1">
      <alignment wrapText="1"/>
    </xf>
    <xf numFmtId="0" fontId="18" fillId="0" borderId="23" xfId="0" applyFont="1" applyBorder="1" applyAlignment="1">
      <alignment wrapText="1"/>
    </xf>
    <xf numFmtId="0" fontId="18" fillId="0" borderId="26" xfId="0" applyFont="1" applyBorder="1" applyAlignment="1">
      <alignment wrapText="1"/>
    </xf>
    <xf numFmtId="0" fontId="0" fillId="0" borderId="0" xfId="0" applyAlignment="1">
      <alignment horizontal="center" vertical="center"/>
    </xf>
    <xf numFmtId="0" fontId="0" fillId="0" borderId="31" xfId="0" applyBorder="1" applyAlignment="1">
      <alignment horizontal="center" vertical="center"/>
    </xf>
    <xf numFmtId="0" fontId="0" fillId="37" borderId="10" xfId="66" applyFont="1">
      <alignment horizontal="left" vertical="top" wrapText="1"/>
    </xf>
    <xf numFmtId="0" fontId="0" fillId="37" borderId="32" xfId="66" applyFont="1" applyBorder="1">
      <alignment horizontal="left" vertical="top" wrapText="1"/>
    </xf>
    <xf numFmtId="0" fontId="59" fillId="0" borderId="0" xfId="57" applyAlignment="1" applyProtection="1">
      <alignment horizontal="left" vertical="top" wrapText="1"/>
      <protection locked="0"/>
    </xf>
    <xf numFmtId="0" fontId="18" fillId="0" borderId="21" xfId="0" applyFont="1" applyBorder="1" applyAlignment="1">
      <alignment horizontal="center" vertical="center"/>
    </xf>
    <xf numFmtId="0" fontId="25" fillId="0" borderId="0" xfId="0" applyFont="1" applyAlignment="1">
      <alignment horizontal="center"/>
    </xf>
    <xf numFmtId="0" fontId="25" fillId="0" borderId="26" xfId="0" applyFont="1" applyBorder="1" applyAlignment="1">
      <alignment horizontal="center"/>
    </xf>
    <xf numFmtId="0" fontId="25" fillId="0" borderId="0" xfId="0" applyFont="1" applyBorder="1" applyAlignment="1">
      <alignment horizontal="center"/>
    </xf>
    <xf numFmtId="0" fontId="0" fillId="0" borderId="0" xfId="0"/>
    <xf numFmtId="0" fontId="18" fillId="0" borderId="31" xfId="0" applyFont="1" applyBorder="1" applyAlignment="1">
      <alignment horizontal="center" vertical="center"/>
    </xf>
    <xf numFmtId="0" fontId="18" fillId="0" borderId="0" xfId="0" applyFont="1" applyBorder="1" applyAlignment="1">
      <alignment horizontal="center" vertical="center"/>
    </xf>
    <xf numFmtId="0" fontId="25" fillId="0" borderId="0" xfId="0" applyFont="1" applyBorder="1" applyAlignment="1">
      <alignment horizontal="center"/>
    </xf>
    <xf numFmtId="0" fontId="16" fillId="0" borderId="26" xfId="62" applyFont="1" applyBorder="1">
      <alignment horizontal="center" vertical="center"/>
    </xf>
    <xf numFmtId="0" fontId="16" fillId="0" borderId="31" xfId="62" applyFont="1" applyBorder="1">
      <alignment horizontal="center" vertical="center"/>
    </xf>
    <xf numFmtId="0" fontId="16" fillId="0" borderId="0" xfId="62" applyFont="1">
      <alignment horizontal="center" vertical="center"/>
    </xf>
    <xf numFmtId="0" fontId="25" fillId="0" borderId="31" xfId="0" applyFont="1" applyBorder="1" applyAlignment="1">
      <alignment horizontal="center"/>
    </xf>
    <xf numFmtId="0" fontId="0" fillId="0" borderId="0" xfId="0" applyAlignment="1">
      <alignment horizontal="left" vertical="top" wrapText="1"/>
    </xf>
    <xf numFmtId="0" fontId="21" fillId="34" borderId="0" xfId="50" applyAlignment="1"/>
    <xf numFmtId="0" fontId="0" fillId="0" borderId="0" xfId="0"/>
    <xf numFmtId="0" fontId="0" fillId="0" borderId="0" xfId="0" applyFont="1" applyAlignment="1">
      <alignment horizontal="left" vertical="top" wrapText="1"/>
    </xf>
    <xf numFmtId="0" fontId="0" fillId="0" borderId="0" xfId="0" applyAlignment="1">
      <alignment horizontal="right"/>
    </xf>
    <xf numFmtId="0" fontId="18" fillId="0" borderId="0" xfId="0" applyFont="1" applyBorder="1" applyAlignment="1">
      <alignment horizontal="left" vertical="top" wrapText="1"/>
    </xf>
    <xf numFmtId="0" fontId="18" fillId="0" borderId="26" xfId="0" applyFont="1" applyBorder="1" applyAlignment="1">
      <alignment horizontal="left" vertical="top" wrapText="1"/>
    </xf>
    <xf numFmtId="0" fontId="18" fillId="0" borderId="31" xfId="0" applyFont="1" applyBorder="1" applyAlignment="1">
      <alignment horizontal="left" vertical="top" wrapText="1"/>
    </xf>
    <xf numFmtId="0" fontId="25" fillId="0" borderId="0" xfId="0" applyFont="1" applyAlignment="1">
      <alignment horizontal="left" vertical="top" wrapText="1"/>
    </xf>
    <xf numFmtId="0" fontId="18" fillId="0" borderId="0" xfId="0" applyFont="1" applyAlignment="1">
      <alignment horizontal="left" vertical="top" wrapText="1"/>
    </xf>
    <xf numFmtId="0" fontId="25" fillId="0" borderId="0" xfId="0" applyFont="1" applyBorder="1" applyAlignment="1">
      <alignment horizontal="left" vertical="top" wrapText="1"/>
    </xf>
    <xf numFmtId="0" fontId="18" fillId="0" borderId="23" xfId="0" applyFont="1" applyBorder="1" applyAlignment="1">
      <alignment horizontal="left" vertical="top" wrapText="1"/>
    </xf>
    <xf numFmtId="0" fontId="25" fillId="0" borderId="26" xfId="0" applyFont="1" applyBorder="1" applyAlignment="1">
      <alignment horizontal="left" vertical="top" wrapText="1"/>
    </xf>
    <xf numFmtId="0" fontId="25" fillId="0" borderId="23" xfId="0" applyFont="1" applyBorder="1" applyAlignment="1">
      <alignment vertical="top" wrapText="1"/>
    </xf>
    <xf numFmtId="0" fontId="25" fillId="0" borderId="33" xfId="0" applyFont="1" applyBorder="1" applyAlignment="1">
      <alignment vertical="top" wrapText="1"/>
    </xf>
    <xf numFmtId="0" fontId="18" fillId="0" borderId="0" xfId="0" applyFont="1" applyAlignment="1">
      <alignment horizontal="left" vertical="top"/>
    </xf>
    <xf numFmtId="0" fontId="26" fillId="0" borderId="33" xfId="0" applyFont="1" applyBorder="1" applyAlignment="1">
      <alignment horizontal="left" vertical="top" wrapText="1"/>
    </xf>
    <xf numFmtId="0" fontId="0" fillId="0" borderId="0" xfId="0" applyAlignment="1">
      <alignment horizontal="left" vertical="top"/>
    </xf>
    <xf numFmtId="0" fontId="0" fillId="0" borderId="0" xfId="0"/>
    <xf numFmtId="164" fontId="29" fillId="40" borderId="50" xfId="65" applyBorder="1">
      <alignment horizontal="left" vertical="top" wrapText="1"/>
    </xf>
    <xf numFmtId="0" fontId="18" fillId="0" borderId="0" xfId="0" applyFont="1" applyAlignment="1">
      <alignment horizontal="left" vertical="top"/>
    </xf>
    <xf numFmtId="49" fontId="25" fillId="0" borderId="0" xfId="0" applyNumberFormat="1" applyFont="1" applyAlignment="1">
      <alignment horizontal="left" vertical="top"/>
    </xf>
    <xf numFmtId="49" fontId="25" fillId="0" borderId="0" xfId="0" applyNumberFormat="1" applyFont="1" applyBorder="1" applyAlignment="1">
      <alignment horizontal="left" vertical="top"/>
    </xf>
    <xf numFmtId="0" fontId="25" fillId="0" borderId="26" xfId="0" applyFont="1" applyBorder="1" applyAlignment="1">
      <alignment horizontal="left" vertical="top"/>
    </xf>
    <xf numFmtId="0" fontId="25" fillId="0" borderId="31" xfId="0" applyFont="1" applyBorder="1" applyAlignment="1">
      <alignment horizontal="left" vertical="top"/>
    </xf>
    <xf numFmtId="0" fontId="25" fillId="0" borderId="23" xfId="0" applyFont="1" applyBorder="1" applyAlignment="1">
      <alignment horizontal="left" vertical="top"/>
    </xf>
    <xf numFmtId="0" fontId="25" fillId="0" borderId="35" xfId="0" applyFont="1" applyBorder="1" applyAlignment="1">
      <alignment horizontal="left" vertical="top"/>
    </xf>
    <xf numFmtId="49" fontId="25" fillId="0" borderId="31" xfId="0" applyNumberFormat="1" applyFont="1" applyBorder="1" applyAlignment="1">
      <alignment horizontal="left" vertical="top"/>
    </xf>
    <xf numFmtId="168" fontId="25" fillId="0" borderId="0" xfId="0" applyNumberFormat="1" applyFont="1" applyAlignment="1">
      <alignment horizontal="left" vertical="top"/>
    </xf>
    <xf numFmtId="168" fontId="25" fillId="0" borderId="0" xfId="0" applyNumberFormat="1" applyFont="1" applyBorder="1" applyAlignment="1">
      <alignment horizontal="left" vertical="top"/>
    </xf>
    <xf numFmtId="0" fontId="18" fillId="0" borderId="31" xfId="0" applyFont="1" applyBorder="1" applyAlignment="1">
      <alignment horizontal="left" vertical="top"/>
    </xf>
    <xf numFmtId="2" fontId="25" fillId="0" borderId="0" xfId="0" applyNumberFormat="1" applyFont="1" applyAlignment="1">
      <alignment horizontal="left" vertical="top"/>
    </xf>
    <xf numFmtId="168" fontId="25" fillId="0" borderId="31" xfId="0" applyNumberFormat="1" applyFont="1" applyBorder="1" applyAlignment="1">
      <alignment horizontal="left" vertical="top"/>
    </xf>
    <xf numFmtId="168" fontId="25" fillId="0" borderId="33" xfId="0" applyNumberFormat="1" applyFont="1" applyBorder="1" applyAlignment="1">
      <alignment horizontal="left" vertical="top"/>
    </xf>
    <xf numFmtId="49" fontId="18" fillId="0" borderId="0" xfId="0" applyNumberFormat="1" applyFont="1" applyAlignment="1">
      <alignment horizontal="left" vertical="top"/>
    </xf>
    <xf numFmtId="49" fontId="18" fillId="0" borderId="0" xfId="0" applyNumberFormat="1" applyFont="1" applyBorder="1" applyAlignment="1">
      <alignment horizontal="left" vertical="top"/>
    </xf>
    <xf numFmtId="49" fontId="18" fillId="0" borderId="31" xfId="0" applyNumberFormat="1" applyFont="1" applyBorder="1" applyAlignment="1">
      <alignment horizontal="left" vertical="top"/>
    </xf>
    <xf numFmtId="49" fontId="25" fillId="0" borderId="33" xfId="0" applyNumberFormat="1" applyFont="1" applyBorder="1" applyAlignment="1">
      <alignment horizontal="left" vertical="top"/>
    </xf>
    <xf numFmtId="0" fontId="0" fillId="0" borderId="31" xfId="0" applyBorder="1" applyAlignment="1">
      <alignment horizontal="left" vertical="top"/>
    </xf>
    <xf numFmtId="49" fontId="25" fillId="0" borderId="35" xfId="0" applyNumberFormat="1" applyFont="1" applyBorder="1" applyAlignment="1">
      <alignment horizontal="left" vertical="top"/>
    </xf>
    <xf numFmtId="0" fontId="25" fillId="0" borderId="21" xfId="0" applyFont="1" applyBorder="1" applyAlignment="1">
      <alignment horizontal="left" vertical="top"/>
    </xf>
    <xf numFmtId="0" fontId="0" fillId="0" borderId="26" xfId="0" applyBorder="1" applyAlignment="1">
      <alignment horizontal="left" vertical="top"/>
    </xf>
    <xf numFmtId="49" fontId="25" fillId="0" borderId="26" xfId="0" applyNumberFormat="1" applyFont="1" applyBorder="1" applyAlignment="1">
      <alignment horizontal="left" vertical="top"/>
    </xf>
    <xf numFmtId="49" fontId="25" fillId="0" borderId="0" xfId="0" quotePrefix="1" applyNumberFormat="1" applyFont="1" applyAlignment="1">
      <alignment horizontal="left" vertical="top"/>
    </xf>
    <xf numFmtId="49" fontId="18" fillId="0" borderId="26" xfId="0" applyNumberFormat="1" applyFont="1" applyBorder="1" applyAlignment="1">
      <alignment horizontal="left" vertical="top"/>
    </xf>
    <xf numFmtId="49" fontId="18" fillId="0" borderId="33" xfId="0" applyNumberFormat="1" applyFont="1" applyBorder="1" applyAlignment="1">
      <alignment horizontal="left" vertical="top"/>
    </xf>
    <xf numFmtId="49" fontId="25" fillId="0" borderId="26" xfId="0" quotePrefix="1" applyNumberFormat="1" applyFont="1" applyBorder="1" applyAlignment="1">
      <alignment horizontal="left" vertical="top"/>
    </xf>
    <xf numFmtId="49" fontId="25" fillId="0" borderId="0" xfId="0" quotePrefix="1" applyNumberFormat="1" applyFont="1" applyBorder="1" applyAlignment="1">
      <alignment horizontal="left" vertical="top"/>
    </xf>
    <xf numFmtId="49" fontId="25" fillId="0" borderId="31" xfId="0" quotePrefix="1" applyNumberFormat="1" applyFont="1" applyBorder="1" applyAlignment="1">
      <alignment horizontal="left" vertical="top"/>
    </xf>
    <xf numFmtId="49" fontId="18" fillId="0" borderId="35" xfId="0" applyNumberFormat="1" applyFont="1" applyBorder="1" applyAlignment="1">
      <alignment horizontal="left" vertical="top"/>
    </xf>
    <xf numFmtId="0" fontId="18" fillId="0" borderId="33" xfId="0" applyFont="1" applyBorder="1" applyAlignment="1">
      <alignment horizontal="left" vertical="top"/>
    </xf>
    <xf numFmtId="49" fontId="25" fillId="0" borderId="21" xfId="0" applyNumberFormat="1" applyFont="1" applyBorder="1" applyAlignment="1">
      <alignment horizontal="left" vertical="top"/>
    </xf>
    <xf numFmtId="49" fontId="25" fillId="0" borderId="23" xfId="0" quotePrefix="1" applyNumberFormat="1" applyFont="1" applyBorder="1" applyAlignment="1">
      <alignment horizontal="left" vertical="top"/>
    </xf>
    <xf numFmtId="0" fontId="0" fillId="0" borderId="23" xfId="0" applyBorder="1" applyAlignment="1">
      <alignment horizontal="left" vertical="top"/>
    </xf>
    <xf numFmtId="49" fontId="25" fillId="0" borderId="23" xfId="0" applyNumberFormat="1" applyFont="1" applyBorder="1" applyAlignment="1">
      <alignment horizontal="left" vertical="top"/>
    </xf>
    <xf numFmtId="0" fontId="18" fillId="0" borderId="23" xfId="0" applyFont="1" applyBorder="1" applyAlignment="1">
      <alignment horizontal="left" vertical="top"/>
    </xf>
    <xf numFmtId="49" fontId="25" fillId="0" borderId="21" xfId="0" quotePrefix="1" applyNumberFormat="1" applyFont="1" applyBorder="1" applyAlignment="1">
      <alignment horizontal="left" vertical="top"/>
    </xf>
    <xf numFmtId="49" fontId="25" fillId="0" borderId="0" xfId="0" applyNumberFormat="1" applyFont="1" applyBorder="1" applyAlignment="1">
      <alignment horizontal="left" vertical="top" wrapText="1"/>
    </xf>
    <xf numFmtId="49" fontId="25" fillId="0" borderId="26" xfId="0" applyNumberFormat="1" applyFont="1" applyBorder="1" applyAlignment="1">
      <alignment horizontal="left" vertical="top" wrapText="1"/>
    </xf>
    <xf numFmtId="0" fontId="18" fillId="0" borderId="33" xfId="0" applyFont="1" applyBorder="1" applyAlignment="1">
      <alignment horizontal="left" vertical="top" wrapText="1"/>
    </xf>
    <xf numFmtId="49" fontId="25" fillId="0" borderId="0" xfId="0" applyNumberFormat="1" applyFont="1" applyAlignment="1">
      <alignment horizontal="left" vertical="top" wrapText="1"/>
    </xf>
    <xf numFmtId="49" fontId="25" fillId="0" borderId="0" xfId="0" quotePrefix="1" applyNumberFormat="1" applyFont="1" applyAlignment="1">
      <alignment horizontal="left" vertical="top" wrapText="1"/>
    </xf>
    <xf numFmtId="0" fontId="0" fillId="0" borderId="0" xfId="0" applyBorder="1" applyAlignment="1">
      <alignment horizontal="left" vertical="top" wrapText="1"/>
    </xf>
    <xf numFmtId="0" fontId="0" fillId="0" borderId="26" xfId="0" applyBorder="1" applyAlignment="1">
      <alignment horizontal="left" vertical="top" wrapText="1"/>
    </xf>
    <xf numFmtId="49" fontId="25" fillId="0" borderId="23" xfId="0" applyNumberFormat="1" applyFont="1" applyBorder="1" applyAlignment="1">
      <alignment horizontal="left" vertical="top" wrapText="1"/>
    </xf>
    <xf numFmtId="49" fontId="25" fillId="0" borderId="21" xfId="0" applyNumberFormat="1" applyFont="1" applyBorder="1" applyAlignment="1">
      <alignment horizontal="left" vertical="top" wrapText="1"/>
    </xf>
    <xf numFmtId="49" fontId="25" fillId="0" borderId="21" xfId="0" quotePrefix="1" applyNumberFormat="1" applyFont="1" applyBorder="1" applyAlignment="1">
      <alignment horizontal="left" vertical="top" wrapText="1"/>
    </xf>
    <xf numFmtId="49" fontId="25" fillId="0" borderId="31" xfId="0" applyNumberFormat="1" applyFont="1" applyBorder="1" applyAlignment="1">
      <alignment horizontal="left" vertical="top" wrapText="1"/>
    </xf>
    <xf numFmtId="49" fontId="25" fillId="0" borderId="0" xfId="0" quotePrefix="1" applyNumberFormat="1" applyFont="1" applyBorder="1" applyAlignment="1">
      <alignment horizontal="left" vertical="top" wrapText="1"/>
    </xf>
    <xf numFmtId="0" fontId="18" fillId="0" borderId="35" xfId="0" applyFont="1" applyBorder="1" applyAlignment="1">
      <alignment horizontal="left" vertical="top" wrapText="1"/>
    </xf>
    <xf numFmtId="0" fontId="18" fillId="0" borderId="0" xfId="0" applyFont="1" applyBorder="1" applyAlignment="1">
      <alignment horizontal="left" vertical="top"/>
    </xf>
    <xf numFmtId="0" fontId="44" fillId="0" borderId="23" xfId="0" applyFont="1" applyBorder="1" applyAlignment="1">
      <alignment vertical="top" wrapText="1"/>
    </xf>
    <xf numFmtId="0" fontId="18" fillId="0" borderId="0" xfId="0" applyFont="1" applyAlignment="1">
      <alignment horizontal="center" vertical="center"/>
    </xf>
    <xf numFmtId="0" fontId="0" fillId="0" borderId="0" xfId="0"/>
    <xf numFmtId="0" fontId="16" fillId="0" borderId="0" xfId="0" applyFont="1" applyAlignment="1">
      <alignment horizontal="right"/>
    </xf>
    <xf numFmtId="0" fontId="0" fillId="0" borderId="0" xfId="0" applyAlignment="1">
      <alignment horizontal="right"/>
    </xf>
    <xf numFmtId="0" fontId="16" fillId="0" borderId="0" xfId="0" applyFont="1"/>
    <xf numFmtId="0" fontId="16" fillId="0" borderId="0" xfId="0" applyFont="1" applyAlignment="1">
      <alignment horizontal="right" vertical="center"/>
    </xf>
    <xf numFmtId="0" fontId="0" fillId="0" borderId="0" xfId="0" applyAlignment="1">
      <alignment horizontal="left" vertical="top"/>
    </xf>
    <xf numFmtId="0" fontId="0" fillId="2" borderId="0" xfId="0" applyFill="1" applyAlignment="1">
      <alignment vertical="top"/>
    </xf>
    <xf numFmtId="0" fontId="0" fillId="0" borderId="0" xfId="0" applyAlignment="1">
      <alignment horizontal="center"/>
    </xf>
    <xf numFmtId="0" fontId="0" fillId="0" borderId="0" xfId="0"/>
    <xf numFmtId="0" fontId="16" fillId="0" borderId="0" xfId="0" applyFont="1" applyAlignment="1">
      <alignment horizontal="right"/>
    </xf>
    <xf numFmtId="0" fontId="0" fillId="0" borderId="0" xfId="0" applyAlignment="1">
      <alignment horizontal="right"/>
    </xf>
    <xf numFmtId="0" fontId="0" fillId="0" borderId="10" xfId="0" applyBorder="1"/>
    <xf numFmtId="0" fontId="18" fillId="0" borderId="10" xfId="0" applyFont="1" applyBorder="1" applyAlignment="1">
      <alignment horizontal="left" vertical="top"/>
    </xf>
    <xf numFmtId="0" fontId="16" fillId="0" borderId="0" xfId="0" applyFont="1" applyFill="1" applyBorder="1"/>
    <xf numFmtId="0" fontId="21" fillId="34" borderId="0" xfId="50" applyAlignment="1">
      <alignment horizontal="center"/>
    </xf>
    <xf numFmtId="0" fontId="0" fillId="0" borderId="0" xfId="0" applyFill="1" applyAlignment="1">
      <alignment horizontal="center"/>
    </xf>
    <xf numFmtId="49" fontId="0" fillId="38" borderId="10" xfId="47" applyNumberFormat="1" applyFont="1" applyAlignment="1">
      <protection locked="0"/>
    </xf>
    <xf numFmtId="49" fontId="0" fillId="39" borderId="10" xfId="48" applyNumberFormat="1" applyFont="1">
      <protection locked="0"/>
    </xf>
    <xf numFmtId="14" fontId="0" fillId="39" borderId="10" xfId="48" applyNumberFormat="1" applyFont="1">
      <protection locked="0"/>
    </xf>
    <xf numFmtId="0" fontId="18" fillId="0" borderId="10" xfId="0" applyFont="1" applyBorder="1"/>
    <xf numFmtId="0" fontId="21" fillId="34" borderId="10" xfId="50" applyBorder="1" applyAlignment="1">
      <alignment vertical="top"/>
    </xf>
    <xf numFmtId="0" fontId="25" fillId="0" borderId="10" xfId="0" applyFont="1" applyBorder="1" applyAlignment="1">
      <alignment horizontal="left" vertical="top"/>
    </xf>
    <xf numFmtId="0" fontId="21" fillId="34" borderId="10" xfId="50" applyBorder="1" applyAlignment="1">
      <alignment horizontal="left" vertical="top"/>
    </xf>
    <xf numFmtId="0" fontId="21" fillId="34" borderId="10" xfId="50" applyBorder="1" applyAlignment="1">
      <alignment vertical="top" wrapText="1"/>
    </xf>
    <xf numFmtId="0" fontId="18" fillId="0" borderId="10" xfId="0" applyFont="1" applyBorder="1" applyAlignment="1">
      <alignment horizontal="left" vertical="top" wrapText="1"/>
    </xf>
    <xf numFmtId="0" fontId="49" fillId="0" borderId="10" xfId="0" applyFont="1" applyBorder="1" applyAlignment="1">
      <alignment horizontal="left" vertical="top"/>
    </xf>
    <xf numFmtId="0" fontId="21" fillId="34" borderId="10" xfId="50" applyBorder="1"/>
    <xf numFmtId="49" fontId="18" fillId="0" borderId="10" xfId="0" applyNumberFormat="1" applyFont="1" applyBorder="1" applyAlignment="1">
      <alignment horizontal="left" vertical="top" wrapText="1"/>
    </xf>
    <xf numFmtId="49" fontId="21" fillId="34" borderId="10" xfId="50" applyNumberFormat="1" applyBorder="1" applyAlignment="1">
      <alignment horizontal="left" vertical="top" wrapText="1"/>
    </xf>
    <xf numFmtId="0" fontId="25" fillId="0" borderId="10" xfId="0" applyFont="1" applyBorder="1" applyAlignment="1">
      <alignment horizontal="left" vertical="top" wrapText="1"/>
    </xf>
    <xf numFmtId="0" fontId="21" fillId="34" borderId="10" xfId="50" applyBorder="1" applyAlignment="1">
      <alignment horizontal="left" vertical="top" wrapText="1"/>
    </xf>
    <xf numFmtId="0" fontId="71" fillId="0" borderId="10" xfId="0" applyFont="1" applyBorder="1" applyAlignment="1">
      <alignment horizontal="left" vertical="top" wrapText="1"/>
    </xf>
    <xf numFmtId="0" fontId="71" fillId="0" borderId="10" xfId="0" applyFont="1" applyBorder="1" applyAlignment="1">
      <alignment horizontal="left" vertical="top"/>
    </xf>
    <xf numFmtId="0" fontId="38" fillId="0" borderId="10" xfId="0" applyFont="1" applyBorder="1" applyAlignment="1">
      <alignment horizontal="left" vertical="top" wrapText="1"/>
    </xf>
    <xf numFmtId="0" fontId="36" fillId="0" borderId="10" xfId="0" applyFont="1" applyBorder="1" applyAlignment="1">
      <alignment horizontal="left" vertical="top" wrapText="1"/>
    </xf>
    <xf numFmtId="0" fontId="60" fillId="34" borderId="10" xfId="50" applyFont="1" applyBorder="1" applyAlignment="1">
      <alignment horizontal="left" vertical="top" wrapText="1"/>
    </xf>
    <xf numFmtId="0" fontId="0" fillId="0" borderId="0" xfId="0"/>
    <xf numFmtId="0" fontId="0" fillId="0" borderId="0" xfId="0" applyFont="1" applyAlignment="1">
      <alignment horizontal="left" vertical="top" wrapText="1"/>
    </xf>
    <xf numFmtId="0" fontId="0" fillId="0" borderId="0" xfId="0" applyAlignment="1">
      <alignment horizontal="center" vertical="center"/>
    </xf>
    <xf numFmtId="0" fontId="78" fillId="0" borderId="84" xfId="0" applyFont="1" applyBorder="1" applyAlignment="1">
      <alignment horizontal="center" vertical="top" wrapText="1"/>
    </xf>
    <xf numFmtId="0" fontId="78" fillId="0" borderId="85" xfId="0" applyFont="1" applyBorder="1" applyAlignment="1">
      <alignment horizontal="center" vertical="top" wrapText="1"/>
    </xf>
    <xf numFmtId="0" fontId="78" fillId="0" borderId="87" xfId="0" applyFont="1" applyBorder="1" applyAlignment="1">
      <alignment horizontal="center" vertical="top" wrapText="1"/>
    </xf>
    <xf numFmtId="0" fontId="78" fillId="0" borderId="10" xfId="0" applyFont="1" applyBorder="1" applyAlignment="1">
      <alignment horizontal="center" vertical="top" wrapText="1"/>
    </xf>
    <xf numFmtId="0" fontId="78" fillId="0" borderId="89" xfId="0" applyFont="1" applyBorder="1" applyAlignment="1">
      <alignment horizontal="center" vertical="top" wrapText="1"/>
    </xf>
    <xf numFmtId="0" fontId="78" fillId="0" borderId="34" xfId="0" applyFont="1" applyBorder="1" applyAlignment="1">
      <alignment horizontal="center" vertical="top" wrapText="1"/>
    </xf>
    <xf numFmtId="0" fontId="78" fillId="0" borderId="0" xfId="0" applyFont="1" applyAlignment="1">
      <alignment horizontal="justify" vertical="top" wrapText="1"/>
    </xf>
    <xf numFmtId="0" fontId="79" fillId="0" borderId="0" xfId="0" applyFont="1" applyAlignment="1">
      <alignment horizontal="justify" vertical="center" wrapText="1"/>
    </xf>
    <xf numFmtId="0" fontId="79" fillId="0" borderId="0" xfId="0" applyFont="1" applyAlignment="1">
      <alignment horizontal="justify" vertical="top" wrapText="1"/>
    </xf>
    <xf numFmtId="0" fontId="78" fillId="0" borderId="0" xfId="0" applyFont="1" applyAlignment="1">
      <alignment horizontal="justify" vertical="center"/>
    </xf>
    <xf numFmtId="0" fontId="82" fillId="0" borderId="0" xfId="0" applyFont="1" applyAlignment="1">
      <alignment horizontal="left" vertical="center"/>
    </xf>
    <xf numFmtId="0" fontId="83" fillId="0" borderId="0" xfId="0" applyFont="1" applyAlignment="1">
      <alignment horizontal="center" vertical="center"/>
    </xf>
    <xf numFmtId="0" fontId="83" fillId="0" borderId="0" xfId="0" applyFont="1" applyAlignment="1">
      <alignment horizontal="left" vertical="center"/>
    </xf>
    <xf numFmtId="0" fontId="84" fillId="0" borderId="0" xfId="0" applyFont="1" applyAlignment="1">
      <alignment vertical="top" wrapText="1"/>
    </xf>
    <xf numFmtId="0" fontId="78" fillId="0" borderId="65" xfId="0" applyFont="1" applyBorder="1" applyAlignment="1">
      <alignment horizontal="center" vertical="top" wrapText="1"/>
    </xf>
    <xf numFmtId="0" fontId="78" fillId="0" borderId="75" xfId="0" applyFont="1" applyBorder="1" applyAlignment="1">
      <alignment horizontal="center" vertical="top" wrapText="1"/>
    </xf>
    <xf numFmtId="0" fontId="78" fillId="0" borderId="76" xfId="0" applyFont="1" applyBorder="1" applyAlignment="1">
      <alignment horizontal="center" vertical="top" wrapText="1"/>
    </xf>
    <xf numFmtId="0" fontId="78" fillId="0" borderId="0" xfId="0" applyFont="1" applyBorder="1" applyAlignment="1">
      <alignment horizontal="center" vertical="top" wrapText="1"/>
    </xf>
    <xf numFmtId="0" fontId="79" fillId="0" borderId="95" xfId="0" applyFont="1" applyBorder="1" applyAlignment="1">
      <alignment horizontal="center" vertical="top" wrapText="1"/>
    </xf>
    <xf numFmtId="0" fontId="78" fillId="0" borderId="0" xfId="0" applyFont="1" applyAlignment="1">
      <alignment vertical="top" wrapText="1"/>
    </xf>
    <xf numFmtId="0" fontId="87" fillId="0" borderId="0" xfId="0" applyFont="1" applyAlignment="1">
      <alignment horizontal="left" vertical="top" wrapText="1"/>
    </xf>
    <xf numFmtId="0" fontId="89" fillId="0" borderId="0" xfId="0" applyFont="1"/>
    <xf numFmtId="0" fontId="78" fillId="0" borderId="0" xfId="0" applyFont="1" applyBorder="1" applyAlignment="1">
      <alignment vertical="top" wrapText="1"/>
    </xf>
    <xf numFmtId="0" fontId="79" fillId="0" borderId="96" xfId="0" applyFont="1" applyBorder="1" applyAlignment="1">
      <alignment horizontal="center" vertical="top" wrapText="1"/>
    </xf>
    <xf numFmtId="0" fontId="79" fillId="0" borderId="31" xfId="0" applyFont="1" applyBorder="1" applyAlignment="1">
      <alignment horizontal="center" vertical="top" wrapText="1"/>
    </xf>
    <xf numFmtId="0" fontId="78" fillId="0" borderId="0" xfId="0" applyFont="1" applyBorder="1" applyAlignment="1">
      <alignment horizontal="left" vertical="top" wrapText="1"/>
    </xf>
    <xf numFmtId="0" fontId="78" fillId="0" borderId="69" xfId="0" applyFont="1" applyBorder="1" applyAlignment="1">
      <alignment horizontal="left" vertical="top" wrapText="1"/>
    </xf>
    <xf numFmtId="0" fontId="78" fillId="0" borderId="94" xfId="0" applyFont="1" applyBorder="1" applyAlignment="1">
      <alignment horizontal="left" vertical="top" wrapText="1"/>
    </xf>
    <xf numFmtId="0" fontId="77" fillId="0" borderId="0" xfId="0" applyFont="1" applyAlignment="1">
      <alignment vertical="top" wrapText="1"/>
    </xf>
    <xf numFmtId="0" fontId="77" fillId="0" borderId="0" xfId="0" applyFont="1" applyAlignment="1">
      <alignment horizontal="justify" vertical="top" wrapText="1"/>
    </xf>
    <xf numFmtId="0" fontId="78" fillId="0" borderId="0" xfId="0" applyFont="1" applyAlignment="1">
      <alignment horizontal="justify" vertical="top"/>
    </xf>
    <xf numFmtId="0" fontId="0" fillId="0" borderId="0" xfId="0" applyAlignment="1">
      <alignment horizontal="center" vertical="top"/>
    </xf>
    <xf numFmtId="0" fontId="83" fillId="0" borderId="0" xfId="0" applyFont="1" applyAlignment="1">
      <alignment horizontal="left" vertical="top"/>
    </xf>
    <xf numFmtId="0" fontId="0" fillId="38" borderId="10" xfId="47" applyFont="1" applyAlignment="1">
      <alignment horizontal="left"/>
      <protection locked="0"/>
    </xf>
    <xf numFmtId="0" fontId="0" fillId="38" borderId="10" xfId="47" applyFont="1">
      <protection locked="0"/>
    </xf>
    <xf numFmtId="49" fontId="0" fillId="38" borderId="10" xfId="47" applyNumberFormat="1" applyFont="1" applyAlignment="1">
      <alignment horizontal="left"/>
      <protection locked="0"/>
    </xf>
    <xf numFmtId="0" fontId="0" fillId="0" borderId="0" xfId="0" applyFill="1" applyBorder="1" applyAlignment="1">
      <alignment vertical="top"/>
    </xf>
    <xf numFmtId="0" fontId="16" fillId="0" borderId="0" xfId="0" applyFont="1" applyFill="1" applyBorder="1" applyAlignment="1">
      <alignment vertical="top"/>
    </xf>
    <xf numFmtId="49" fontId="21" fillId="34" borderId="0" xfId="50" applyNumberFormat="1" applyAlignment="1">
      <alignment horizontal="left"/>
    </xf>
    <xf numFmtId="0" fontId="0" fillId="0" borderId="0" xfId="0" applyProtection="1">
      <protection locked="0"/>
    </xf>
    <xf numFmtId="0" fontId="0" fillId="0" borderId="0" xfId="0"/>
    <xf numFmtId="49" fontId="0" fillId="0" borderId="0" xfId="0" applyNumberFormat="1" applyAlignment="1">
      <alignment horizontal="right"/>
    </xf>
    <xf numFmtId="14" fontId="0" fillId="0" borderId="0" xfId="0" applyNumberFormat="1"/>
    <xf numFmtId="0" fontId="0" fillId="0" borderId="0" xfId="0"/>
    <xf numFmtId="0" fontId="0" fillId="0" borderId="0" xfId="0"/>
    <xf numFmtId="49" fontId="0" fillId="0" borderId="0" xfId="0" applyNumberFormat="1" applyAlignment="1"/>
    <xf numFmtId="49" fontId="18" fillId="0" borderId="0" xfId="0" applyNumberFormat="1" applyFont="1" applyAlignment="1"/>
    <xf numFmtId="49" fontId="18" fillId="0" borderId="0" xfId="0" applyNumberFormat="1" applyFont="1" applyAlignment="1">
      <alignment horizontal="left" vertical="top" wrapText="1"/>
    </xf>
    <xf numFmtId="49" fontId="0" fillId="0" borderId="0" xfId="0" applyNumberFormat="1" applyBorder="1"/>
    <xf numFmtId="49" fontId="18" fillId="0" borderId="0" xfId="0" applyNumberFormat="1" applyFont="1" applyBorder="1"/>
    <xf numFmtId="49" fontId="18" fillId="0" borderId="0" xfId="0" quotePrefix="1" applyNumberFormat="1" applyFont="1" applyAlignment="1">
      <alignment horizontal="left" vertical="top"/>
    </xf>
    <xf numFmtId="0" fontId="0" fillId="0" borderId="0" xfId="0"/>
    <xf numFmtId="0" fontId="0" fillId="0" borderId="0" xfId="0"/>
    <xf numFmtId="0" fontId="18" fillId="0" borderId="0" xfId="0" applyFont="1" applyAlignment="1">
      <alignment horizontal="center" vertical="center"/>
    </xf>
    <xf numFmtId="0" fontId="18" fillId="0" borderId="0" xfId="0" applyFont="1" applyBorder="1" applyAlignment="1">
      <alignment vertical="top" wrapText="1"/>
    </xf>
    <xf numFmtId="0" fontId="18" fillId="0" borderId="26" xfId="0" applyFont="1" applyBorder="1" applyAlignment="1">
      <alignment vertical="top" wrapText="1"/>
    </xf>
    <xf numFmtId="0" fontId="18" fillId="0" borderId="31" xfId="0" applyFont="1" applyBorder="1" applyAlignment="1">
      <alignment vertical="top" wrapText="1"/>
    </xf>
    <xf numFmtId="0" fontId="18" fillId="0" borderId="23" xfId="0" applyFont="1" applyBorder="1" applyAlignment="1">
      <alignment vertical="top" wrapText="1"/>
    </xf>
    <xf numFmtId="0" fontId="18" fillId="0" borderId="0" xfId="0" applyFont="1" applyAlignment="1">
      <alignment vertical="top" wrapText="1"/>
    </xf>
    <xf numFmtId="0" fontId="0" fillId="0" borderId="0" xfId="0" applyAlignment="1">
      <alignment horizontal="center"/>
    </xf>
    <xf numFmtId="0" fontId="0" fillId="0" borderId="0" xfId="0" applyAlignment="1">
      <alignment horizontal="left"/>
    </xf>
    <xf numFmtId="0" fontId="0" fillId="0" borderId="0" xfId="0"/>
    <xf numFmtId="0" fontId="24" fillId="34" borderId="18" xfId="63" applyAlignment="1">
      <alignment vertical="center"/>
    </xf>
    <xf numFmtId="0" fontId="24" fillId="34" borderId="0" xfId="63" applyBorder="1" applyAlignment="1">
      <alignment vertical="center"/>
    </xf>
    <xf numFmtId="0" fontId="24" fillId="34" borderId="18" xfId="63" applyAlignment="1">
      <alignment horizontal="center" vertical="center"/>
    </xf>
    <xf numFmtId="0" fontId="0" fillId="0" borderId="0" xfId="0"/>
    <xf numFmtId="0" fontId="0" fillId="0" borderId="0" xfId="0"/>
    <xf numFmtId="0" fontId="0" fillId="0" borderId="0" xfId="0"/>
    <xf numFmtId="49" fontId="18" fillId="0" borderId="0" xfId="0" applyNumberFormat="1" applyFont="1" applyProtection="1">
      <protection locked="0"/>
    </xf>
    <xf numFmtId="49" fontId="18" fillId="0" borderId="0" xfId="0" quotePrefix="1" applyNumberFormat="1" applyFont="1" applyProtection="1">
      <protection locked="0"/>
    </xf>
    <xf numFmtId="49" fontId="0" fillId="0" borderId="0" xfId="0" applyNumberFormat="1" applyProtection="1">
      <protection locked="0"/>
    </xf>
    <xf numFmtId="49" fontId="18" fillId="0" borderId="0" xfId="0" applyNumberFormat="1" applyFont="1" applyAlignment="1" applyProtection="1">
      <alignment horizontal="left"/>
      <protection locked="0"/>
    </xf>
    <xf numFmtId="49" fontId="18" fillId="0" borderId="0" xfId="0" applyNumberFormat="1" applyFont="1" applyBorder="1" applyProtection="1">
      <protection locked="0"/>
    </xf>
    <xf numFmtId="49" fontId="25" fillId="0" borderId="0" xfId="0" applyNumberFormat="1" applyFont="1" applyAlignment="1" applyProtection="1">
      <alignment horizontal="left"/>
      <protection locked="0"/>
    </xf>
    <xf numFmtId="0" fontId="41" fillId="2" borderId="26" xfId="0" applyFont="1" applyFill="1" applyBorder="1" applyAlignment="1">
      <alignment horizontal="center" vertical="center"/>
    </xf>
    <xf numFmtId="0" fontId="41" fillId="2" borderId="0" xfId="0" applyFont="1" applyFill="1" applyBorder="1" applyAlignment="1">
      <alignment horizontal="center" vertical="center"/>
    </xf>
    <xf numFmtId="0" fontId="41" fillId="2" borderId="21" xfId="0" applyFont="1" applyFill="1" applyBorder="1" applyAlignment="1">
      <alignment horizontal="center" vertical="center"/>
    </xf>
    <xf numFmtId="0" fontId="0" fillId="0" borderId="0" xfId="0"/>
    <xf numFmtId="2" fontId="0" fillId="0" borderId="0" xfId="0" applyNumberFormat="1" applyFill="1"/>
    <xf numFmtId="0" fontId="0" fillId="0" borderId="0" xfId="0"/>
    <xf numFmtId="0" fontId="0" fillId="0" borderId="0" xfId="0" applyAlignment="1">
      <alignment horizontal="left"/>
    </xf>
    <xf numFmtId="0" fontId="0" fillId="0" borderId="0" xfId="0" applyAlignment="1">
      <alignment horizontal="center"/>
    </xf>
    <xf numFmtId="0" fontId="0" fillId="0" borderId="0" xfId="0" applyAlignment="1">
      <alignment horizontal="left"/>
    </xf>
    <xf numFmtId="0" fontId="16" fillId="0" borderId="0" xfId="0" applyFont="1" applyAlignment="1">
      <alignment horizontal="right"/>
    </xf>
    <xf numFmtId="0" fontId="16" fillId="0" borderId="0" xfId="0" applyFont="1"/>
    <xf numFmtId="0" fontId="0" fillId="0" borderId="0" xfId="0"/>
    <xf numFmtId="0" fontId="59" fillId="0" borderId="0" xfId="57" applyProtection="1">
      <protection locked="0"/>
    </xf>
    <xf numFmtId="49" fontId="0" fillId="39" borderId="10" xfId="48" applyNumberFormat="1" applyFont="1" applyAlignment="1">
      <protection locked="0"/>
    </xf>
    <xf numFmtId="0" fontId="0" fillId="0" borderId="0" xfId="0"/>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0" fontId="0" fillId="0" borderId="0" xfId="0" applyAlignment="1">
      <alignment horizontal="left"/>
    </xf>
    <xf numFmtId="0" fontId="0" fillId="0" borderId="0" xfId="0"/>
    <xf numFmtId="0" fontId="25" fillId="0" borderId="0" xfId="0" applyFont="1" applyAlignment="1">
      <alignment horizontal="left" vertical="top" wrapText="1"/>
    </xf>
    <xf numFmtId="0" fontId="18" fillId="0" borderId="0" xfId="0" applyFont="1" applyBorder="1" applyAlignment="1">
      <alignment vertical="top" wrapText="1"/>
    </xf>
    <xf numFmtId="0" fontId="18" fillId="0" borderId="26" xfId="0" applyFont="1" applyBorder="1" applyAlignment="1">
      <alignment vertical="top" wrapText="1"/>
    </xf>
    <xf numFmtId="0" fontId="0" fillId="0" borderId="21" xfId="0" applyBorder="1" applyAlignment="1">
      <alignment horizontal="center" vertical="center"/>
    </xf>
    <xf numFmtId="0" fontId="18" fillId="0" borderId="0" xfId="0" applyFont="1" applyBorder="1" applyAlignment="1">
      <alignment horizontal="left" vertical="top" wrapText="1"/>
    </xf>
    <xf numFmtId="0" fontId="18" fillId="0" borderId="26" xfId="0" applyFont="1" applyBorder="1" applyAlignment="1">
      <alignment horizontal="left" vertical="top" wrapText="1"/>
    </xf>
    <xf numFmtId="0" fontId="18" fillId="0" borderId="0" xfId="0" applyFont="1" applyBorder="1" applyAlignment="1">
      <alignment horizontal="center" vertical="center"/>
    </xf>
    <xf numFmtId="0" fontId="18" fillId="0" borderId="26" xfId="0" applyFont="1" applyBorder="1" applyAlignment="1">
      <alignment horizontal="center" vertical="center"/>
    </xf>
    <xf numFmtId="0" fontId="18" fillId="0" borderId="0" xfId="0" applyFont="1" applyAlignment="1">
      <alignment horizontal="center" vertical="center"/>
    </xf>
    <xf numFmtId="0" fontId="18" fillId="0" borderId="31" xfId="0" applyFont="1" applyBorder="1" applyAlignment="1">
      <alignment horizontal="center" vertical="center"/>
    </xf>
    <xf numFmtId="0" fontId="25" fillId="0" borderId="0" xfId="0" applyFont="1" applyBorder="1" applyAlignment="1">
      <alignment horizontal="center" vertical="center"/>
    </xf>
    <xf numFmtId="0" fontId="18" fillId="0" borderId="23" xfId="0" applyFont="1" applyBorder="1" applyAlignment="1">
      <alignment horizontal="center" vertical="center"/>
    </xf>
    <xf numFmtId="164" fontId="29" fillId="40" borderId="14" xfId="65">
      <alignment horizontal="left" vertical="top" wrapText="1"/>
    </xf>
    <xf numFmtId="0" fontId="18" fillId="0" borderId="0" xfId="0" applyFont="1" applyAlignment="1">
      <alignment horizontal="left" vertical="top" wrapText="1"/>
    </xf>
    <xf numFmtId="0" fontId="25" fillId="0" borderId="0" xfId="0" applyFont="1" applyAlignment="1">
      <alignment horizontal="center" vertical="center"/>
    </xf>
    <xf numFmtId="0" fontId="18" fillId="0" borderId="33" xfId="0" applyFont="1" applyBorder="1" applyAlignment="1">
      <alignment horizontal="center" vertical="center"/>
    </xf>
    <xf numFmtId="0" fontId="18" fillId="0" borderId="31" xfId="0" applyFont="1" applyBorder="1" applyAlignment="1">
      <alignment vertical="top" wrapText="1"/>
    </xf>
    <xf numFmtId="0" fontId="18" fillId="0" borderId="23" xfId="0" applyFont="1" applyBorder="1" applyAlignment="1">
      <alignment vertical="top" wrapText="1"/>
    </xf>
    <xf numFmtId="164" fontId="29" fillId="40" borderId="47" xfId="65" applyBorder="1" applyAlignment="1">
      <alignment horizontal="left" vertical="top" wrapText="1"/>
    </xf>
    <xf numFmtId="0" fontId="25" fillId="0" borderId="0" xfId="0" applyFont="1" applyAlignment="1">
      <alignment horizontal="right" vertical="top" wrapText="1"/>
    </xf>
    <xf numFmtId="0" fontId="18" fillId="0" borderId="0" xfId="0" applyFont="1" applyAlignment="1">
      <alignment vertical="top" wrapText="1"/>
    </xf>
    <xf numFmtId="0" fontId="25" fillId="0" borderId="0" xfId="0" applyFont="1" applyBorder="1" applyAlignment="1">
      <alignment horizontal="right" vertical="top" wrapText="1"/>
    </xf>
    <xf numFmtId="164" fontId="29" fillId="40" borderId="14" xfId="65" applyBorder="1" applyAlignment="1">
      <alignment horizontal="left" vertical="top" wrapText="1"/>
    </xf>
    <xf numFmtId="164" fontId="29" fillId="40" borderId="50" xfId="65" applyBorder="1" applyAlignment="1">
      <alignment horizontal="left" vertical="top" wrapText="1"/>
    </xf>
    <xf numFmtId="0" fontId="25" fillId="0" borderId="0" xfId="0" applyFont="1" applyAlignment="1">
      <alignment vertical="top" wrapText="1"/>
    </xf>
    <xf numFmtId="164" fontId="29" fillId="40" borderId="14" xfId="65" applyBorder="1">
      <alignment horizontal="left" vertical="top" wrapText="1"/>
    </xf>
    <xf numFmtId="164" fontId="29" fillId="40" borderId="50" xfId="65" applyBorder="1">
      <alignment horizontal="left" vertical="top" wrapText="1"/>
    </xf>
    <xf numFmtId="0" fontId="25" fillId="0" borderId="0" xfId="0" applyFont="1" applyBorder="1" applyAlignment="1">
      <alignment vertical="top" wrapText="1"/>
    </xf>
    <xf numFmtId="0" fontId="25" fillId="0" borderId="26" xfId="0" applyFont="1" applyBorder="1" applyAlignment="1">
      <alignment vertical="top" wrapText="1"/>
    </xf>
    <xf numFmtId="0" fontId="25" fillId="0" borderId="23" xfId="0" applyFont="1" applyBorder="1" applyAlignment="1">
      <alignment vertical="top" wrapText="1"/>
    </xf>
    <xf numFmtId="164" fontId="29" fillId="40" borderId="51" xfId="65" applyBorder="1">
      <alignment horizontal="left" vertical="top" wrapText="1"/>
    </xf>
    <xf numFmtId="0" fontId="27" fillId="0" borderId="0" xfId="0" applyFont="1" applyAlignment="1">
      <alignment horizontal="justify" vertical="top" wrapText="1"/>
    </xf>
    <xf numFmtId="0" fontId="25" fillId="0" borderId="31" xfId="0" applyFont="1" applyBorder="1" applyAlignment="1">
      <alignment horizontal="right" vertical="top" wrapText="1"/>
    </xf>
    <xf numFmtId="0" fontId="18" fillId="0" borderId="0" xfId="0" applyFont="1" applyAlignment="1">
      <alignment horizontal="right" vertical="top" wrapText="1"/>
    </xf>
    <xf numFmtId="0" fontId="25" fillId="0" borderId="26" xfId="0" applyFont="1" applyBorder="1" applyAlignment="1">
      <alignment horizontal="right" vertical="top" wrapText="1"/>
    </xf>
    <xf numFmtId="0" fontId="25" fillId="0" borderId="33" xfId="0" applyFont="1" applyBorder="1" applyAlignment="1">
      <alignment vertical="top" wrapText="1"/>
    </xf>
    <xf numFmtId="0" fontId="25" fillId="0" borderId="31" xfId="0" applyFont="1" applyBorder="1" applyAlignment="1">
      <alignment vertical="top" wrapText="1"/>
    </xf>
    <xf numFmtId="0" fontId="26" fillId="0" borderId="0" xfId="0" applyFont="1" applyBorder="1" applyAlignment="1">
      <alignment vertical="top" wrapText="1"/>
    </xf>
    <xf numFmtId="0" fontId="26" fillId="0" borderId="0" xfId="0" applyFont="1" applyAlignment="1">
      <alignment horizontal="right" vertical="top" wrapText="1"/>
    </xf>
    <xf numFmtId="164" fontId="29" fillId="40" borderId="47" xfId="65" applyBorder="1">
      <alignment horizontal="left" vertical="top" wrapText="1"/>
    </xf>
    <xf numFmtId="0" fontId="26" fillId="0" borderId="0" xfId="0" applyFont="1" applyBorder="1" applyAlignment="1">
      <alignment horizontal="right" vertical="top" wrapText="1"/>
    </xf>
    <xf numFmtId="0" fontId="18" fillId="0" borderId="0" xfId="0" applyFont="1" applyAlignment="1">
      <alignment wrapText="1"/>
    </xf>
    <xf numFmtId="0" fontId="18" fillId="0" borderId="0" xfId="0" applyFont="1" applyBorder="1" applyAlignment="1">
      <alignment wrapText="1"/>
    </xf>
    <xf numFmtId="0" fontId="18" fillId="0" borderId="31" xfId="0" applyFont="1" applyBorder="1" applyAlignment="1">
      <alignment wrapText="1"/>
    </xf>
    <xf numFmtId="0" fontId="18" fillId="0" borderId="23" xfId="0" applyFont="1" applyBorder="1" applyAlignment="1">
      <alignment wrapText="1"/>
    </xf>
    <xf numFmtId="0" fontId="18" fillId="0" borderId="26" xfId="0" applyFont="1" applyBorder="1" applyAlignment="1">
      <alignment wrapText="1"/>
    </xf>
    <xf numFmtId="0" fontId="0" fillId="0" borderId="0" xfId="0" applyAlignment="1">
      <alignment horizontal="center" vertical="center"/>
    </xf>
    <xf numFmtId="0" fontId="0" fillId="0" borderId="0" xfId="0" applyBorder="1" applyAlignment="1">
      <alignment horizontal="center" vertical="center"/>
    </xf>
    <xf numFmtId="0" fontId="0" fillId="0" borderId="26" xfId="0" applyBorder="1" applyAlignment="1">
      <alignment horizontal="center" vertical="center"/>
    </xf>
    <xf numFmtId="0" fontId="0" fillId="0" borderId="33" xfId="0" applyBorder="1" applyAlignment="1">
      <alignment horizontal="center" vertical="center"/>
    </xf>
    <xf numFmtId="0" fontId="0" fillId="0" borderId="31" xfId="0" applyBorder="1" applyAlignment="1">
      <alignment horizontal="center" vertical="center"/>
    </xf>
    <xf numFmtId="0" fontId="0" fillId="0" borderId="0" xfId="62" applyNumberFormat="1" applyFont="1" applyBorder="1" applyAlignment="1">
      <alignment horizontal="center" vertical="center"/>
    </xf>
    <xf numFmtId="0" fontId="18" fillId="0" borderId="21" xfId="0" applyFont="1" applyBorder="1" applyAlignment="1">
      <alignment horizontal="center" vertical="center"/>
    </xf>
    <xf numFmtId="0" fontId="25" fillId="0" borderId="0" xfId="0" applyFont="1" applyAlignment="1">
      <alignment horizontal="center"/>
    </xf>
    <xf numFmtId="0" fontId="25" fillId="0" borderId="0" xfId="0" applyFont="1" applyBorder="1" applyAlignment="1">
      <alignment horizontal="center"/>
    </xf>
    <xf numFmtId="0" fontId="30" fillId="0" borderId="0" xfId="60" applyBorder="1" applyAlignment="1"/>
    <xf numFmtId="0" fontId="0" fillId="0" borderId="0" xfId="0" applyBorder="1" applyAlignment="1">
      <alignment horizontal="left" vertical="center"/>
    </xf>
    <xf numFmtId="0" fontId="21" fillId="34" borderId="0" xfId="50" applyProtection="1">
      <protection locked="0"/>
    </xf>
    <xf numFmtId="0" fontId="0" fillId="37" borderId="10" xfId="66" applyFont="1" applyProtection="1">
      <alignment horizontal="left" vertical="top" wrapText="1"/>
      <protection locked="0"/>
    </xf>
    <xf numFmtId="0" fontId="0" fillId="0" borderId="54" xfId="0" applyBorder="1" applyProtection="1">
      <protection locked="0"/>
    </xf>
    <xf numFmtId="0" fontId="0" fillId="37" borderId="53" xfId="66" applyFont="1" applyBorder="1" applyProtection="1">
      <alignment horizontal="left" vertical="top" wrapText="1"/>
      <protection locked="0"/>
    </xf>
    <xf numFmtId="0" fontId="0" fillId="0" borderId="31" xfId="0" applyBorder="1" applyProtection="1">
      <protection locked="0"/>
    </xf>
    <xf numFmtId="0" fontId="0" fillId="37" borderId="32" xfId="66" applyFont="1" applyBorder="1" applyProtection="1">
      <alignment horizontal="left" vertical="top" wrapText="1"/>
      <protection locked="0"/>
    </xf>
    <xf numFmtId="0" fontId="0" fillId="0" borderId="0" xfId="0" applyBorder="1" applyProtection="1">
      <protection locked="0"/>
    </xf>
    <xf numFmtId="0" fontId="47" fillId="34" borderId="0" xfId="50" applyFont="1"/>
    <xf numFmtId="0" fontId="0" fillId="48" borderId="0" xfId="0" applyFill="1"/>
    <xf numFmtId="164" fontId="29" fillId="49" borderId="14" xfId="65" applyFill="1">
      <alignment horizontal="left" vertical="top" wrapText="1"/>
    </xf>
    <xf numFmtId="0" fontId="0" fillId="39" borderId="10" xfId="0" applyFill="1" applyBorder="1" applyProtection="1">
      <protection locked="0"/>
    </xf>
    <xf numFmtId="0" fontId="0" fillId="0" borderId="0" xfId="0"/>
    <xf numFmtId="0" fontId="0" fillId="0" borderId="0" xfId="0"/>
    <xf numFmtId="9" fontId="0" fillId="48" borderId="0" xfId="0" applyNumberFormat="1" applyFill="1"/>
    <xf numFmtId="0" fontId="0" fillId="0" borderId="0" xfId="0"/>
    <xf numFmtId="0" fontId="0" fillId="0" borderId="0" xfId="0"/>
    <xf numFmtId="0" fontId="97" fillId="0" borderId="0" xfId="0" applyFont="1"/>
    <xf numFmtId="0" fontId="0" fillId="0" borderId="0" xfId="0"/>
    <xf numFmtId="164" fontId="29" fillId="40" borderId="14" xfId="65">
      <alignment horizontal="left" vertical="top" wrapText="1"/>
    </xf>
    <xf numFmtId="164" fontId="98" fillId="40" borderId="14" xfId="65" applyFont="1" applyAlignment="1">
      <alignment horizontal="center" vertical="top" wrapText="1"/>
    </xf>
    <xf numFmtId="0" fontId="0" fillId="0" borderId="0" xfId="0"/>
    <xf numFmtId="164" fontId="29" fillId="40" borderId="14" xfId="65">
      <alignment horizontal="left" vertical="top" wrapText="1"/>
    </xf>
    <xf numFmtId="0" fontId="99" fillId="0" borderId="10" xfId="60" applyFont="1" applyBorder="1" applyAlignment="1"/>
    <xf numFmtId="0" fontId="99" fillId="0" borderId="0" xfId="60" applyFont="1" applyAlignment="1"/>
    <xf numFmtId="0" fontId="99" fillId="0" borderId="0" xfId="60" applyFont="1" applyAlignment="1">
      <alignment horizontal="left"/>
    </xf>
    <xf numFmtId="0" fontId="99" fillId="0" borderId="0" xfId="60" applyFont="1" applyAlignment="1" applyProtection="1"/>
    <xf numFmtId="0" fontId="99" fillId="0" borderId="0" xfId="60" applyFont="1" applyAlignment="1" applyProtection="1">
      <alignment horizontal="left"/>
    </xf>
    <xf numFmtId="0" fontId="17" fillId="41" borderId="0" xfId="0" applyFont="1" applyFill="1" applyAlignment="1">
      <alignment horizontal="right"/>
    </xf>
    <xf numFmtId="0" fontId="0" fillId="41" borderId="0" xfId="0" quotePrefix="1" applyNumberFormat="1" applyFont="1" applyFill="1"/>
    <xf numFmtId="0" fontId="0" fillId="41" borderId="0" xfId="0" applyFill="1" applyAlignment="1">
      <alignment horizontal="center" vertical="center" textRotation="90"/>
    </xf>
    <xf numFmtId="0" fontId="0" fillId="41" borderId="0" xfId="0" applyFill="1" applyAlignment="1">
      <alignment horizontal="center" vertical="top" textRotation="90"/>
    </xf>
    <xf numFmtId="0" fontId="0" fillId="41" borderId="0" xfId="0" applyFill="1" applyAlignment="1">
      <alignment textRotation="90"/>
    </xf>
    <xf numFmtId="0" fontId="0" fillId="41" borderId="0" xfId="0" applyFont="1" applyFill="1"/>
    <xf numFmtId="0" fontId="16" fillId="41" borderId="0" xfId="0" applyNumberFormat="1" applyFont="1" applyFill="1"/>
    <xf numFmtId="0" fontId="0" fillId="41" borderId="0" xfId="0" applyNumberFormat="1" applyFont="1" applyFill="1"/>
    <xf numFmtId="49" fontId="18" fillId="41" borderId="0" xfId="0" applyNumberFormat="1" applyFont="1" applyFill="1"/>
    <xf numFmtId="49" fontId="0" fillId="41" borderId="0" xfId="0" applyNumberFormat="1" applyFont="1" applyFill="1"/>
    <xf numFmtId="49" fontId="18" fillId="41" borderId="0" xfId="0" quotePrefix="1" applyNumberFormat="1" applyFont="1" applyFill="1"/>
    <xf numFmtId="49" fontId="0" fillId="41" borderId="0" xfId="0" quotePrefix="1" applyNumberFormat="1" applyFont="1" applyFill="1"/>
    <xf numFmtId="49" fontId="0" fillId="41" borderId="0" xfId="0" applyNumberFormat="1" applyFill="1"/>
    <xf numFmtId="49" fontId="18" fillId="41" borderId="0" xfId="0" applyNumberFormat="1" applyFont="1" applyFill="1" applyAlignment="1">
      <alignment horizontal="left"/>
    </xf>
    <xf numFmtId="49" fontId="18" fillId="41" borderId="0" xfId="0" applyNumberFormat="1" applyFont="1" applyFill="1" applyAlignment="1"/>
    <xf numFmtId="49" fontId="18" fillId="41" borderId="0" xfId="0" applyNumberFormat="1" applyFont="1" applyFill="1" applyAlignment="1">
      <alignment horizontal="left" vertical="top"/>
    </xf>
    <xf numFmtId="0" fontId="0" fillId="41" borderId="0" xfId="0" applyFont="1" applyFill="1" applyAlignment="1">
      <alignment horizontal="left"/>
    </xf>
    <xf numFmtId="49" fontId="25" fillId="41" borderId="0" xfId="0" applyNumberFormat="1" applyFont="1" applyFill="1" applyAlignment="1">
      <alignment horizontal="left"/>
    </xf>
    <xf numFmtId="49" fontId="18" fillId="41" borderId="0" xfId="0" applyNumberFormat="1" applyFont="1" applyFill="1" applyAlignment="1">
      <alignment horizontal="left" vertical="top" wrapText="1"/>
    </xf>
    <xf numFmtId="0" fontId="0" fillId="41" borderId="0" xfId="0" applyNumberFormat="1" applyFont="1" applyFill="1" applyAlignment="1">
      <alignment horizontal="left" vertical="top"/>
    </xf>
    <xf numFmtId="49" fontId="18" fillId="41" borderId="0" xfId="0" applyNumberFormat="1" applyFont="1" applyFill="1" applyAlignment="1">
      <alignment vertical="top"/>
    </xf>
    <xf numFmtId="49" fontId="25" fillId="41" borderId="0" xfId="0" applyNumberFormat="1" applyFont="1" applyFill="1"/>
    <xf numFmtId="49" fontId="18" fillId="41" borderId="0" xfId="0" applyNumberFormat="1" applyFont="1" applyFill="1" applyAlignment="1">
      <alignment horizontal="center"/>
    </xf>
    <xf numFmtId="49" fontId="18" fillId="41" borderId="0" xfId="0" applyNumberFormat="1" applyFont="1" applyFill="1" applyBorder="1"/>
    <xf numFmtId="0" fontId="0" fillId="41" borderId="0" xfId="0" applyNumberFormat="1" applyFont="1" applyFill="1" applyBorder="1"/>
    <xf numFmtId="0" fontId="0" fillId="41" borderId="0" xfId="0" applyFont="1" applyFill="1" applyBorder="1"/>
    <xf numFmtId="49" fontId="18" fillId="41" borderId="0" xfId="0" applyNumberFormat="1" applyFont="1" applyFill="1" applyBorder="1" applyAlignment="1">
      <alignment horizontal="left" vertical="top"/>
    </xf>
    <xf numFmtId="49" fontId="0" fillId="41" borderId="0" xfId="0" applyNumberFormat="1" applyFont="1" applyFill="1" applyAlignment="1">
      <alignment horizontal="left"/>
    </xf>
    <xf numFmtId="49" fontId="18" fillId="41" borderId="0" xfId="0" quotePrefix="1" applyNumberFormat="1" applyFont="1" applyFill="1" applyAlignment="1">
      <alignment horizontal="left" vertical="top"/>
    </xf>
    <xf numFmtId="0" fontId="0" fillId="41" borderId="0" xfId="0" applyNumberFormat="1" applyFill="1"/>
    <xf numFmtId="0" fontId="0" fillId="37" borderId="10" xfId="54" applyFont="1" applyProtection="1">
      <alignment horizontal="left" vertical="top" wrapText="1"/>
      <protection locked="0"/>
    </xf>
    <xf numFmtId="0" fontId="0" fillId="0" borderId="0" xfId="0" applyAlignment="1">
      <alignment horizontal="left" vertical="top" wrapText="1"/>
    </xf>
    <xf numFmtId="0" fontId="0" fillId="0" borderId="0" xfId="0"/>
    <xf numFmtId="0" fontId="0" fillId="0" borderId="0" xfId="0" applyFont="1" applyAlignment="1">
      <alignment horizontal="left" vertical="top" wrapText="1"/>
    </xf>
    <xf numFmtId="0" fontId="23" fillId="0" borderId="0" xfId="0" applyFont="1" applyAlignment="1">
      <alignment horizontal="left" vertical="top" wrapText="1"/>
    </xf>
    <xf numFmtId="0" fontId="21" fillId="34" borderId="0" xfId="50" applyAlignment="1"/>
    <xf numFmtId="0" fontId="0" fillId="0" borderId="10" xfId="0" applyBorder="1" applyAlignment="1">
      <alignment horizontal="center" vertical="center"/>
    </xf>
    <xf numFmtId="0" fontId="19" fillId="0" borderId="10" xfId="0" applyFont="1" applyBorder="1" applyAlignment="1">
      <alignment horizontal="center" vertical="center" wrapText="1"/>
    </xf>
    <xf numFmtId="0" fontId="32" fillId="0" borderId="10" xfId="0" applyFont="1" applyBorder="1" applyAlignment="1">
      <alignment horizontal="center" vertical="top" wrapText="1"/>
    </xf>
    <xf numFmtId="0" fontId="0" fillId="0" borderId="0" xfId="0" applyAlignment="1">
      <alignment horizontal="center"/>
    </xf>
    <xf numFmtId="0" fontId="21" fillId="34" borderId="0" xfId="50" applyAlignment="1">
      <alignment horizontal="right"/>
    </xf>
    <xf numFmtId="14" fontId="21" fillId="34" borderId="23" xfId="50" applyNumberFormat="1" applyBorder="1" applyAlignment="1">
      <alignment horizontal="left"/>
    </xf>
    <xf numFmtId="0" fontId="0" fillId="0" borderId="0" xfId="0" applyAlignment="1">
      <alignment horizontal="left" vertical="top" wrapText="1"/>
    </xf>
    <xf numFmtId="0" fontId="0" fillId="0" borderId="0" xfId="0" applyAlignment="1">
      <alignment horizontal="left"/>
    </xf>
    <xf numFmtId="0" fontId="74" fillId="0" borderId="0" xfId="57" applyFont="1" applyAlignment="1" applyProtection="1">
      <alignment horizontal="left"/>
      <protection locked="0"/>
    </xf>
    <xf numFmtId="0" fontId="72" fillId="34" borderId="0" xfId="50" applyFont="1" applyAlignment="1" applyProtection="1">
      <protection locked="0"/>
    </xf>
    <xf numFmtId="0" fontId="23" fillId="0" borderId="0" xfId="0" applyFont="1"/>
    <xf numFmtId="0" fontId="0" fillId="0" borderId="0" xfId="0" applyAlignment="1">
      <alignment wrapText="1"/>
    </xf>
    <xf numFmtId="0" fontId="73" fillId="0" borderId="0" xfId="0" applyFont="1" applyAlignment="1">
      <alignment horizontal="left" vertical="top" wrapText="1"/>
    </xf>
    <xf numFmtId="0" fontId="74" fillId="0" borderId="0" xfId="57" applyFont="1" applyAlignment="1" applyProtection="1">
      <alignment horizontal="left" vertical="top" wrapText="1"/>
      <protection locked="0"/>
    </xf>
    <xf numFmtId="0" fontId="0" fillId="39" borderId="10" xfId="48" applyFont="1" applyAlignment="1">
      <alignment horizontal="left"/>
      <protection locked="0"/>
    </xf>
    <xf numFmtId="0" fontId="0" fillId="38" borderId="10" xfId="47" applyFont="1" applyAlignment="1">
      <alignment horizontal="left"/>
      <protection locked="0"/>
    </xf>
    <xf numFmtId="0" fontId="16" fillId="0" borderId="0" xfId="0" applyFont="1" applyAlignment="1">
      <alignment horizontal="right"/>
    </xf>
    <xf numFmtId="0" fontId="16" fillId="0" borderId="0" xfId="0" applyFont="1" applyBorder="1" applyAlignment="1">
      <alignment horizontal="right" vertical="center"/>
    </xf>
    <xf numFmtId="0" fontId="16" fillId="0" borderId="0" xfId="0" applyFont="1"/>
    <xf numFmtId="0" fontId="16" fillId="0" borderId="0" xfId="0" applyFont="1" applyBorder="1" applyAlignment="1">
      <alignment horizontal="right" vertical="center" wrapText="1"/>
    </xf>
    <xf numFmtId="0" fontId="0" fillId="0" borderId="0" xfId="0" applyAlignment="1">
      <alignment horizontal="right"/>
    </xf>
    <xf numFmtId="0" fontId="0" fillId="39" borderId="22" xfId="48" applyFont="1" applyBorder="1" applyAlignment="1">
      <alignment horizontal="left" vertical="top" wrapText="1"/>
      <protection locked="0"/>
    </xf>
    <xf numFmtId="0" fontId="0" fillId="39" borderId="23" xfId="48" applyFont="1" applyBorder="1" applyAlignment="1">
      <alignment horizontal="left" vertical="top" wrapText="1"/>
      <protection locked="0"/>
    </xf>
    <xf numFmtId="0" fontId="0" fillId="39" borderId="24" xfId="48" applyFont="1" applyBorder="1" applyAlignment="1">
      <alignment horizontal="left" vertical="top" wrapText="1"/>
      <protection locked="0"/>
    </xf>
    <xf numFmtId="0" fontId="0" fillId="39" borderId="25" xfId="48" applyFont="1" applyBorder="1" applyAlignment="1">
      <alignment horizontal="left" vertical="top" wrapText="1"/>
      <protection locked="0"/>
    </xf>
    <xf numFmtId="0" fontId="0" fillId="39" borderId="26" xfId="48" applyFont="1" applyBorder="1" applyAlignment="1">
      <alignment horizontal="left" vertical="top" wrapText="1"/>
      <protection locked="0"/>
    </xf>
    <xf numFmtId="0" fontId="0" fillId="39" borderId="27" xfId="48" applyFont="1" applyBorder="1" applyAlignment="1">
      <alignment horizontal="left" vertical="top" wrapText="1"/>
      <protection locked="0"/>
    </xf>
    <xf numFmtId="0" fontId="99" fillId="0" borderId="0" xfId="60" applyFont="1" applyAlignment="1">
      <alignment horizontal="right"/>
    </xf>
    <xf numFmtId="0" fontId="30" fillId="0" borderId="0" xfId="60" applyAlignment="1">
      <alignment horizontal="right"/>
    </xf>
    <xf numFmtId="0" fontId="0" fillId="0" borderId="0" xfId="0"/>
    <xf numFmtId="0" fontId="0" fillId="0" borderId="22" xfId="0" applyBorder="1" applyAlignment="1">
      <alignment horizontal="left" wrapText="1"/>
    </xf>
    <xf numFmtId="0" fontId="0" fillId="0" borderId="23" xfId="0" applyBorder="1" applyAlignment="1">
      <alignment horizontal="left" wrapText="1"/>
    </xf>
    <xf numFmtId="0" fontId="0" fillId="0" borderId="24" xfId="0" applyBorder="1" applyAlignment="1">
      <alignment horizontal="left" wrapText="1"/>
    </xf>
    <xf numFmtId="0" fontId="0" fillId="0" borderId="25" xfId="0" applyBorder="1" applyAlignment="1">
      <alignment horizontal="left" wrapText="1"/>
    </xf>
    <xf numFmtId="0" fontId="0" fillId="0" borderId="26" xfId="0" applyBorder="1" applyAlignment="1">
      <alignment horizontal="left" wrapText="1"/>
    </xf>
    <xf numFmtId="0" fontId="0" fillId="0" borderId="27" xfId="0" applyBorder="1" applyAlignment="1">
      <alignment horizontal="left" wrapText="1"/>
    </xf>
    <xf numFmtId="0" fontId="0" fillId="38" borderId="12" xfId="47" applyFont="1" applyBorder="1" applyAlignment="1">
      <alignment horizontal="left"/>
      <protection locked="0"/>
    </xf>
    <xf numFmtId="0" fontId="0" fillId="38" borderId="21" xfId="47" applyFont="1" applyBorder="1" applyAlignment="1">
      <alignment horizontal="left"/>
      <protection locked="0"/>
    </xf>
    <xf numFmtId="0" fontId="0" fillId="38" borderId="13" xfId="47" applyFont="1" applyBorder="1" applyAlignment="1">
      <alignment horizontal="left"/>
      <protection locked="0"/>
    </xf>
    <xf numFmtId="0" fontId="0" fillId="39" borderId="12" xfId="48" applyFont="1" applyBorder="1" applyAlignment="1">
      <alignment horizontal="left"/>
      <protection locked="0"/>
    </xf>
    <xf numFmtId="0" fontId="0" fillId="39" borderId="21" xfId="48" applyFont="1" applyBorder="1" applyAlignment="1">
      <alignment horizontal="left"/>
      <protection locked="0"/>
    </xf>
    <xf numFmtId="0" fontId="0" fillId="39" borderId="13" xfId="48" applyFont="1" applyBorder="1" applyAlignment="1">
      <alignment horizontal="left"/>
      <protection locked="0"/>
    </xf>
    <xf numFmtId="0" fontId="0" fillId="38" borderId="10" xfId="47" applyFont="1" applyBorder="1" applyAlignment="1">
      <alignment horizontal="left"/>
      <protection locked="0"/>
    </xf>
    <xf numFmtId="0" fontId="0" fillId="0" borderId="22" xfId="0" applyBorder="1" applyAlignment="1">
      <alignment wrapText="1"/>
    </xf>
    <xf numFmtId="0" fontId="0" fillId="0" borderId="24" xfId="0" applyBorder="1" applyAlignment="1">
      <alignment wrapText="1"/>
    </xf>
    <xf numFmtId="0" fontId="0" fillId="0" borderId="29" xfId="0" applyBorder="1" applyAlignment="1">
      <alignment wrapText="1"/>
    </xf>
    <xf numFmtId="0" fontId="0" fillId="0" borderId="28" xfId="0" applyBorder="1" applyAlignment="1">
      <alignment wrapText="1"/>
    </xf>
    <xf numFmtId="0" fontId="0" fillId="0" borderId="25" xfId="0" applyBorder="1" applyAlignment="1">
      <alignment wrapText="1"/>
    </xf>
    <xf numFmtId="0" fontId="0" fillId="0" borderId="27" xfId="0" applyBorder="1" applyAlignment="1">
      <alignment wrapText="1"/>
    </xf>
    <xf numFmtId="0" fontId="0" fillId="39" borderId="17" xfId="48" applyFont="1" applyBorder="1" applyAlignment="1">
      <alignment horizontal="left"/>
      <protection locked="0"/>
    </xf>
    <xf numFmtId="0" fontId="1" fillId="38" borderId="12" xfId="47" applyFont="1" applyBorder="1" applyAlignment="1">
      <alignment horizontal="left"/>
      <protection locked="0"/>
    </xf>
    <xf numFmtId="0" fontId="1" fillId="38" borderId="13" xfId="47" applyFont="1" applyBorder="1" applyAlignment="1">
      <alignment horizontal="left"/>
      <protection locked="0"/>
    </xf>
    <xf numFmtId="0" fontId="16" fillId="0" borderId="22" xfId="0" applyFont="1" applyBorder="1" applyAlignment="1">
      <alignment horizontal="right"/>
    </xf>
    <xf numFmtId="0" fontId="16" fillId="0" borderId="24" xfId="0" applyFont="1" applyBorder="1" applyAlignment="1">
      <alignment horizontal="right"/>
    </xf>
    <xf numFmtId="0" fontId="16" fillId="0" borderId="10" xfId="0" applyFont="1" applyBorder="1" applyAlignment="1">
      <alignment horizontal="left" vertical="center" indent="10"/>
    </xf>
    <xf numFmtId="0" fontId="16" fillId="0" borderId="10" xfId="0" applyFont="1" applyBorder="1" applyAlignment="1">
      <alignment horizontal="left" indent="10"/>
    </xf>
    <xf numFmtId="0" fontId="24" fillId="34" borderId="62" xfId="63" applyBorder="1" applyAlignment="1">
      <alignment vertical="center"/>
    </xf>
    <xf numFmtId="0" fontId="24" fillId="34" borderId="63" xfId="63" applyBorder="1" applyAlignment="1">
      <alignment vertical="center"/>
    </xf>
    <xf numFmtId="0" fontId="25" fillId="0" borderId="0" xfId="62" applyFont="1" applyAlignment="1">
      <alignment horizontal="center" vertical="center"/>
    </xf>
    <xf numFmtId="0" fontId="25" fillId="0" borderId="0" xfId="62" applyFont="1" applyBorder="1" applyAlignment="1">
      <alignment horizontal="center" vertical="center"/>
    </xf>
    <xf numFmtId="0" fontId="25" fillId="0" borderId="26" xfId="62" applyFont="1" applyBorder="1" applyAlignment="1">
      <alignment horizontal="center" vertical="center"/>
    </xf>
    <xf numFmtId="0" fontId="25" fillId="0" borderId="0" xfId="0" applyFont="1" applyAlignment="1">
      <alignment horizontal="left" vertical="top" wrapText="1"/>
    </xf>
    <xf numFmtId="0" fontId="18" fillId="0" borderId="0" xfId="0" applyFont="1" applyBorder="1" applyAlignment="1">
      <alignment vertical="top" wrapText="1"/>
    </xf>
    <xf numFmtId="0" fontId="18" fillId="0" borderId="26" xfId="0" applyFont="1" applyBorder="1" applyAlignment="1">
      <alignment vertical="top" wrapText="1"/>
    </xf>
    <xf numFmtId="0" fontId="0" fillId="37" borderId="10" xfId="54" applyFont="1" applyBorder="1">
      <alignment horizontal="left" vertical="top" wrapText="1"/>
      <protection locked="0"/>
    </xf>
    <xf numFmtId="0" fontId="0" fillId="37" borderId="32" xfId="54" applyFont="1" applyBorder="1">
      <alignment horizontal="left" vertical="top" wrapText="1"/>
      <protection locked="0"/>
    </xf>
    <xf numFmtId="0" fontId="16" fillId="0" borderId="12" xfId="0" applyFont="1" applyBorder="1" applyAlignment="1">
      <alignment horizontal="left" vertical="center" indent="10"/>
    </xf>
    <xf numFmtId="0" fontId="16" fillId="0" borderId="21" xfId="0" applyFont="1" applyBorder="1" applyAlignment="1">
      <alignment horizontal="left" vertical="center" indent="10"/>
    </xf>
    <xf numFmtId="0" fontId="16" fillId="0" borderId="13" xfId="0" applyFont="1" applyBorder="1" applyAlignment="1">
      <alignment horizontal="left" vertical="center" indent="10"/>
    </xf>
    <xf numFmtId="14" fontId="0" fillId="0" borderId="12" xfId="0" applyNumberFormat="1" applyBorder="1" applyAlignment="1">
      <alignment horizontal="center" vertical="center"/>
    </xf>
    <xf numFmtId="0" fontId="0" fillId="0" borderId="21" xfId="0" applyBorder="1" applyAlignment="1">
      <alignment horizontal="center" vertical="center"/>
    </xf>
    <xf numFmtId="0" fontId="0" fillId="0" borderId="13" xfId="0" applyBorder="1" applyAlignment="1">
      <alignment horizontal="center" vertical="center"/>
    </xf>
    <xf numFmtId="0" fontId="0" fillId="37" borderId="10" xfId="54" applyFont="1">
      <alignment horizontal="left" vertical="top" wrapText="1"/>
      <protection locked="0"/>
    </xf>
    <xf numFmtId="0" fontId="0" fillId="37" borderId="17" xfId="54" applyFont="1" applyBorder="1">
      <alignment horizontal="left" vertical="top" wrapText="1"/>
      <protection locked="0"/>
    </xf>
    <xf numFmtId="0" fontId="18" fillId="0" borderId="0" xfId="0" applyFont="1" applyBorder="1" applyAlignment="1">
      <alignment horizontal="left" vertical="top" wrapText="1"/>
    </xf>
    <xf numFmtId="0" fontId="18" fillId="0" borderId="26" xfId="0" applyFont="1" applyBorder="1" applyAlignment="1">
      <alignment horizontal="left" vertical="top" wrapText="1"/>
    </xf>
    <xf numFmtId="0" fontId="18" fillId="0" borderId="0" xfId="62" applyNumberFormat="1" applyFont="1" applyBorder="1" applyAlignment="1">
      <alignment horizontal="center" vertical="center"/>
    </xf>
    <xf numFmtId="0" fontId="18" fillId="0" borderId="0" xfId="0" applyFont="1" applyBorder="1" applyAlignment="1">
      <alignment horizontal="center" vertical="center"/>
    </xf>
    <xf numFmtId="0" fontId="18" fillId="0" borderId="26" xfId="0" applyFont="1" applyBorder="1" applyAlignment="1">
      <alignment horizontal="center" vertical="center"/>
    </xf>
    <xf numFmtId="0" fontId="18" fillId="0" borderId="0" xfId="0" applyFont="1" applyAlignment="1">
      <alignment horizontal="center" vertical="center"/>
    </xf>
    <xf numFmtId="0" fontId="0" fillId="37" borderId="37" xfId="54" applyFont="1" applyBorder="1">
      <alignment horizontal="left" vertical="top" wrapText="1"/>
      <protection locked="0"/>
    </xf>
    <xf numFmtId="0" fontId="0" fillId="37" borderId="16" xfId="54" applyFont="1" applyBorder="1">
      <alignment horizontal="left" vertical="top" wrapText="1"/>
      <protection locked="0"/>
    </xf>
    <xf numFmtId="0" fontId="25" fillId="0" borderId="0" xfId="0" applyFont="1" applyBorder="1" applyAlignment="1">
      <alignment horizontal="left" vertical="top" wrapText="1"/>
    </xf>
    <xf numFmtId="0" fontId="18" fillId="0" borderId="26" xfId="62" applyNumberFormat="1" applyFont="1" applyBorder="1" applyAlignment="1">
      <alignment horizontal="center" vertical="center"/>
    </xf>
    <xf numFmtId="0" fontId="18" fillId="0" borderId="31" xfId="0" applyFont="1" applyBorder="1" applyAlignment="1">
      <alignment horizontal="center" vertical="center"/>
    </xf>
    <xf numFmtId="49" fontId="16" fillId="0" borderId="0" xfId="0" applyNumberFormat="1" applyFont="1" applyAlignment="1">
      <alignment horizontal="center" textRotation="90"/>
    </xf>
    <xf numFmtId="0" fontId="0" fillId="0" borderId="10" xfId="0" applyBorder="1"/>
    <xf numFmtId="0" fontId="25" fillId="0" borderId="0" xfId="0" applyFont="1" applyBorder="1" applyAlignment="1">
      <alignment horizontal="center" vertical="center"/>
    </xf>
    <xf numFmtId="0" fontId="25" fillId="0" borderId="26" xfId="0" applyFont="1" applyBorder="1" applyAlignment="1">
      <alignment horizontal="center" vertical="center"/>
    </xf>
    <xf numFmtId="0" fontId="18" fillId="0" borderId="0" xfId="0" applyNumberFormat="1" applyFont="1" applyAlignment="1">
      <alignment horizontal="center" vertical="center"/>
    </xf>
    <xf numFmtId="0" fontId="24" fillId="34" borderId="18" xfId="63" applyBorder="1" applyAlignment="1">
      <alignment vertical="center"/>
    </xf>
    <xf numFmtId="0" fontId="24" fillId="34" borderId="18" xfId="63" applyAlignment="1">
      <alignment vertical="center"/>
    </xf>
    <xf numFmtId="0" fontId="25" fillId="0" borderId="23" xfId="0" applyFont="1" applyBorder="1" applyAlignment="1">
      <alignment horizontal="center" vertical="center"/>
    </xf>
    <xf numFmtId="0" fontId="18" fillId="0" borderId="23" xfId="0" applyFont="1" applyBorder="1" applyAlignment="1">
      <alignment horizontal="center" vertical="center"/>
    </xf>
    <xf numFmtId="0" fontId="25" fillId="0" borderId="0" xfId="0" applyNumberFormat="1" applyFont="1" applyBorder="1" applyAlignment="1">
      <alignment horizontal="center" vertical="center"/>
    </xf>
    <xf numFmtId="0" fontId="25" fillId="0" borderId="26" xfId="0" applyNumberFormat="1" applyFont="1" applyBorder="1" applyAlignment="1">
      <alignment horizontal="center" vertical="center"/>
    </xf>
    <xf numFmtId="0" fontId="0" fillId="37" borderId="34" xfId="54" applyFont="1" applyBorder="1">
      <alignment horizontal="left" vertical="top" wrapText="1"/>
      <protection locked="0"/>
    </xf>
    <xf numFmtId="164" fontId="29" fillId="40" borderId="14" xfId="65">
      <alignment horizontal="left" vertical="top" wrapText="1"/>
    </xf>
    <xf numFmtId="0" fontId="18" fillId="0" borderId="0" xfId="0" applyFont="1" applyAlignment="1">
      <alignment horizontal="left" vertical="top" wrapText="1"/>
    </xf>
    <xf numFmtId="0" fontId="18" fillId="0" borderId="31" xfId="0" applyFont="1" applyBorder="1" applyAlignment="1">
      <alignment horizontal="left" vertical="top" wrapText="1"/>
    </xf>
    <xf numFmtId="0" fontId="25" fillId="0" borderId="33" xfId="0" applyFont="1" applyBorder="1" applyAlignment="1">
      <alignment horizontal="left" vertical="top" wrapText="1"/>
    </xf>
    <xf numFmtId="0" fontId="25" fillId="0" borderId="31" xfId="0" applyFont="1" applyBorder="1" applyAlignment="1">
      <alignment horizontal="left" vertical="top" wrapText="1"/>
    </xf>
    <xf numFmtId="0" fontId="18" fillId="0" borderId="0" xfId="62" applyNumberFormat="1" applyFont="1" applyAlignment="1">
      <alignment horizontal="center" vertical="center"/>
    </xf>
    <xf numFmtId="0" fontId="25" fillId="0" borderId="31" xfId="0" applyFont="1" applyBorder="1" applyAlignment="1">
      <alignment horizontal="center" vertical="center"/>
    </xf>
    <xf numFmtId="0" fontId="25" fillId="0" borderId="0" xfId="0" applyFont="1" applyAlignment="1">
      <alignment horizontal="center" vertical="center"/>
    </xf>
    <xf numFmtId="0" fontId="18" fillId="0" borderId="33" xfId="0" applyFont="1" applyBorder="1" applyAlignment="1">
      <alignment horizontal="center" vertical="center"/>
    </xf>
    <xf numFmtId="0" fontId="0" fillId="37" borderId="15" xfId="54" applyFont="1" applyBorder="1">
      <alignment horizontal="left" vertical="top" wrapText="1"/>
      <protection locked="0"/>
    </xf>
    <xf numFmtId="0" fontId="0" fillId="37" borderId="53" xfId="54" applyFont="1" applyBorder="1">
      <alignment horizontal="left" vertical="top" wrapText="1"/>
      <protection locked="0"/>
    </xf>
    <xf numFmtId="0" fontId="24" fillId="34" borderId="19" xfId="63" applyBorder="1" applyAlignment="1">
      <alignment vertical="center"/>
    </xf>
    <xf numFmtId="0" fontId="24" fillId="34" borderId="0" xfId="63" applyBorder="1" applyAlignment="1">
      <alignment vertical="center"/>
    </xf>
    <xf numFmtId="0" fontId="24" fillId="34" borderId="20" xfId="63" applyBorder="1" applyAlignment="1">
      <alignment vertical="center"/>
    </xf>
    <xf numFmtId="0" fontId="26" fillId="0" borderId="0" xfId="0" applyFont="1" applyBorder="1" applyAlignment="1">
      <alignment horizontal="left" vertical="top" wrapText="1"/>
    </xf>
    <xf numFmtId="0" fontId="25" fillId="0" borderId="33" xfId="0" applyFont="1" applyBorder="1" applyAlignment="1">
      <alignment horizontal="center" vertical="center"/>
    </xf>
    <xf numFmtId="0" fontId="61" fillId="0" borderId="23" xfId="57" applyFont="1" applyBorder="1" applyAlignment="1" applyProtection="1">
      <alignment horizontal="center" vertical="center" wrapText="1"/>
      <protection locked="0"/>
    </xf>
    <xf numFmtId="0" fontId="61" fillId="0" borderId="0" xfId="57" applyFont="1" applyBorder="1" applyAlignment="1" applyProtection="1">
      <alignment horizontal="center" vertical="center" wrapText="1"/>
      <protection locked="0"/>
    </xf>
    <xf numFmtId="0" fontId="61" fillId="0" borderId="26" xfId="57" applyFont="1" applyBorder="1" applyAlignment="1" applyProtection="1">
      <alignment horizontal="center" vertical="center" wrapText="1"/>
      <protection locked="0"/>
    </xf>
    <xf numFmtId="0" fontId="61" fillId="0" borderId="0" xfId="57" applyFont="1" applyAlignment="1" applyProtection="1">
      <alignment horizontal="center" vertical="center" wrapText="1"/>
      <protection locked="0"/>
    </xf>
    <xf numFmtId="0" fontId="18" fillId="0" borderId="31" xfId="0" applyFont="1" applyBorder="1" applyAlignment="1">
      <alignment vertical="top" wrapText="1"/>
    </xf>
    <xf numFmtId="164" fontId="29" fillId="40" borderId="14" xfId="65" applyAlignment="1">
      <alignment horizontal="left" vertical="top" wrapText="1"/>
    </xf>
    <xf numFmtId="0" fontId="25" fillId="0" borderId="26" xfId="0" applyFont="1" applyBorder="1" applyAlignment="1">
      <alignment horizontal="left" vertical="top" wrapText="1"/>
    </xf>
    <xf numFmtId="0" fontId="41" fillId="2" borderId="0" xfId="0" applyFont="1" applyFill="1" applyBorder="1" applyAlignment="1">
      <alignment horizontal="center" vertical="center"/>
    </xf>
    <xf numFmtId="0" fontId="41" fillId="2" borderId="26"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26" xfId="0" applyFont="1" applyFill="1" applyBorder="1" applyAlignment="1">
      <alignment horizontal="center" vertical="center" wrapText="1"/>
    </xf>
    <xf numFmtId="0" fontId="18" fillId="0" borderId="23" xfId="0" applyFont="1" applyBorder="1" applyAlignment="1">
      <alignment vertical="top" wrapText="1"/>
    </xf>
    <xf numFmtId="0" fontId="18" fillId="0" borderId="23" xfId="0" applyFont="1" applyBorder="1" applyAlignment="1">
      <alignment horizontal="left" vertical="top" wrapText="1"/>
    </xf>
    <xf numFmtId="164" fontId="29" fillId="40" borderId="47" xfId="65" applyBorder="1" applyAlignment="1">
      <alignment horizontal="left" vertical="top" wrapText="1"/>
    </xf>
    <xf numFmtId="164" fontId="29" fillId="40" borderId="48" xfId="65" applyBorder="1" applyAlignment="1">
      <alignment horizontal="left" vertical="top" wrapText="1"/>
    </xf>
    <xf numFmtId="0" fontId="25" fillId="0" borderId="33" xfId="0" applyFont="1" applyBorder="1" applyAlignment="1">
      <alignment horizontal="center" vertical="center" wrapText="1"/>
    </xf>
    <xf numFmtId="0" fontId="25" fillId="0" borderId="0" xfId="0" applyFont="1" applyBorder="1" applyAlignment="1">
      <alignment horizontal="center" vertical="center" wrapText="1"/>
    </xf>
    <xf numFmtId="0" fontId="41" fillId="2" borderId="0" xfId="0" applyFont="1" applyFill="1" applyAlignment="1">
      <alignment horizontal="center" vertical="center"/>
    </xf>
    <xf numFmtId="0" fontId="41" fillId="2" borderId="33" xfId="0" applyFont="1" applyFill="1" applyBorder="1" applyAlignment="1">
      <alignment horizontal="center" vertical="center"/>
    </xf>
    <xf numFmtId="0" fontId="25" fillId="0" borderId="26" xfId="0" applyFont="1" applyBorder="1" applyAlignment="1">
      <alignment horizontal="center" vertical="center" wrapText="1"/>
    </xf>
    <xf numFmtId="0" fontId="25" fillId="0" borderId="23" xfId="0" applyFont="1" applyBorder="1" applyAlignment="1">
      <alignment horizontal="left" vertical="top" wrapText="1"/>
    </xf>
    <xf numFmtId="0" fontId="25" fillId="0" borderId="0" xfId="0" applyFont="1" applyAlignment="1">
      <alignment horizontal="right" vertical="top" wrapText="1"/>
    </xf>
    <xf numFmtId="164" fontId="29" fillId="40" borderId="49" xfId="65" applyBorder="1" applyAlignment="1">
      <alignment horizontal="left" vertical="top" wrapText="1"/>
    </xf>
    <xf numFmtId="0" fontId="18" fillId="0" borderId="0" xfId="0" applyFont="1" applyAlignment="1">
      <alignment vertical="top" wrapText="1"/>
    </xf>
    <xf numFmtId="0" fontId="25" fillId="0" borderId="0" xfId="0" applyFont="1" applyBorder="1" applyAlignment="1">
      <alignment horizontal="right" vertical="top" wrapText="1"/>
    </xf>
    <xf numFmtId="164" fontId="29" fillId="40" borderId="14" xfId="65" applyBorder="1" applyAlignment="1">
      <alignment horizontal="left" vertical="top" wrapText="1"/>
    </xf>
    <xf numFmtId="164" fontId="29" fillId="40" borderId="50" xfId="65" applyBorder="1" applyAlignment="1">
      <alignment horizontal="left" vertical="top" wrapText="1"/>
    </xf>
    <xf numFmtId="0" fontId="26" fillId="0" borderId="33" xfId="0" applyFont="1" applyBorder="1" applyAlignment="1">
      <alignment horizontal="center" vertical="center" wrapText="1"/>
    </xf>
    <xf numFmtId="0" fontId="26" fillId="0" borderId="0" xfId="0" applyFont="1" applyBorder="1" applyAlignment="1">
      <alignment horizontal="center" vertical="center" wrapText="1"/>
    </xf>
    <xf numFmtId="0" fontId="27" fillId="0" borderId="23" xfId="0" applyFont="1" applyBorder="1" applyAlignment="1">
      <alignment horizontal="left" vertical="top" wrapText="1"/>
    </xf>
    <xf numFmtId="0" fontId="27" fillId="0" borderId="0" xfId="0" applyFont="1" applyBorder="1" applyAlignment="1">
      <alignment horizontal="left" vertical="top" wrapText="1"/>
    </xf>
    <xf numFmtId="0" fontId="25" fillId="0" borderId="0" xfId="0" applyFont="1" applyAlignment="1">
      <alignment horizontal="center" vertical="center" wrapText="1"/>
    </xf>
    <xf numFmtId="0" fontId="0" fillId="0" borderId="0" xfId="0" applyBorder="1" applyAlignment="1">
      <alignment wrapText="1"/>
    </xf>
    <xf numFmtId="0" fontId="26" fillId="0" borderId="0" xfId="0" applyFont="1" applyAlignment="1">
      <alignment horizontal="left" vertical="top" wrapText="1"/>
    </xf>
    <xf numFmtId="0" fontId="0" fillId="37" borderId="10" xfId="54" applyFont="1" applyProtection="1">
      <alignment horizontal="left" vertical="top" wrapText="1"/>
      <protection locked="0"/>
    </xf>
    <xf numFmtId="0" fontId="0" fillId="37" borderId="15" xfId="54" applyFont="1" applyBorder="1" applyProtection="1">
      <alignment horizontal="left" vertical="top" wrapText="1"/>
      <protection locked="0"/>
    </xf>
    <xf numFmtId="0" fontId="0" fillId="37" borderId="16" xfId="54" applyFont="1" applyBorder="1" applyProtection="1">
      <alignment horizontal="left" vertical="top" wrapText="1"/>
      <protection locked="0"/>
    </xf>
    <xf numFmtId="0" fontId="0" fillId="37" borderId="17" xfId="54" applyFont="1" applyBorder="1" applyProtection="1">
      <alignment horizontal="left" vertical="top" wrapText="1"/>
      <protection locked="0"/>
    </xf>
    <xf numFmtId="0" fontId="0" fillId="37" borderId="37" xfId="54" applyFont="1" applyBorder="1" applyProtection="1">
      <alignment horizontal="left" vertical="top" wrapText="1"/>
      <protection locked="0"/>
    </xf>
    <xf numFmtId="0" fontId="0" fillId="37" borderId="10" xfId="54" applyFont="1" applyAlignment="1">
      <alignment horizontal="left" vertical="top" wrapText="1"/>
      <protection locked="0"/>
    </xf>
    <xf numFmtId="0" fontId="0" fillId="37" borderId="15" xfId="54" applyFont="1" applyBorder="1" applyAlignment="1">
      <alignment horizontal="left" vertical="top" wrapText="1"/>
      <protection locked="0"/>
    </xf>
    <xf numFmtId="0" fontId="0" fillId="37" borderId="16" xfId="54" applyFont="1" applyBorder="1" applyAlignment="1">
      <alignment horizontal="left" vertical="top" wrapText="1"/>
      <protection locked="0"/>
    </xf>
    <xf numFmtId="0" fontId="0" fillId="37" borderId="17" xfId="54" applyFont="1" applyBorder="1" applyAlignment="1">
      <alignment horizontal="left" vertical="top" wrapText="1"/>
      <protection locked="0"/>
    </xf>
    <xf numFmtId="0" fontId="26" fillId="0" borderId="0" xfId="0" applyFont="1" applyAlignment="1">
      <alignment horizontal="center" vertical="center" wrapText="1"/>
    </xf>
    <xf numFmtId="0" fontId="41" fillId="2" borderId="23" xfId="0" applyFont="1" applyFill="1" applyBorder="1" applyAlignment="1">
      <alignment horizontal="center" vertical="center"/>
    </xf>
    <xf numFmtId="0" fontId="25" fillId="0" borderId="0" xfId="0" applyFont="1" applyAlignment="1">
      <alignment vertical="top" wrapText="1"/>
    </xf>
    <xf numFmtId="0" fontId="25" fillId="0" borderId="0" xfId="0" applyFont="1" applyBorder="1" applyAlignment="1">
      <alignment vertical="top" wrapText="1"/>
    </xf>
    <xf numFmtId="0" fontId="25" fillId="0" borderId="26" xfId="0" applyFont="1" applyBorder="1" applyAlignment="1">
      <alignment vertical="top" wrapText="1"/>
    </xf>
    <xf numFmtId="0" fontId="27" fillId="0" borderId="26" xfId="0" applyFont="1" applyBorder="1" applyAlignment="1">
      <alignment horizontal="left" vertical="top" wrapText="1"/>
    </xf>
    <xf numFmtId="0" fontId="25" fillId="0" borderId="23" xfId="0" applyFont="1" applyBorder="1" applyAlignment="1">
      <alignment vertical="top" wrapText="1"/>
    </xf>
    <xf numFmtId="164" fontId="29" fillId="40" borderId="14" xfId="65" applyBorder="1">
      <alignment horizontal="left" vertical="top" wrapText="1"/>
    </xf>
    <xf numFmtId="164" fontId="29" fillId="40" borderId="51" xfId="65" applyBorder="1">
      <alignment horizontal="left" vertical="top" wrapText="1"/>
    </xf>
    <xf numFmtId="164" fontId="29" fillId="40" borderId="50" xfId="65" applyBorder="1">
      <alignment horizontal="left" vertical="top" wrapText="1"/>
    </xf>
    <xf numFmtId="0" fontId="44" fillId="0" borderId="0" xfId="0" applyFont="1" applyBorder="1" applyAlignment="1">
      <alignment horizontal="left" vertical="top" wrapText="1"/>
    </xf>
    <xf numFmtId="0" fontId="44" fillId="0" borderId="31" xfId="0" applyFont="1" applyBorder="1" applyAlignment="1">
      <alignment horizontal="left" vertical="top" wrapText="1"/>
    </xf>
    <xf numFmtId="0" fontId="27" fillId="0" borderId="0" xfId="0" applyFont="1" applyAlignment="1">
      <alignment horizontal="justify" vertical="top" wrapText="1"/>
    </xf>
    <xf numFmtId="0" fontId="25" fillId="0" borderId="31" xfId="0" applyFont="1" applyBorder="1" applyAlignment="1">
      <alignment horizontal="right" vertical="top" wrapText="1"/>
    </xf>
    <xf numFmtId="0" fontId="44" fillId="0" borderId="0" xfId="0" applyFont="1" applyAlignment="1">
      <alignment horizontal="left" vertical="top" wrapText="1"/>
    </xf>
    <xf numFmtId="0" fontId="44" fillId="0" borderId="0" xfId="0" applyFont="1" applyBorder="1" applyAlignment="1">
      <alignment vertical="top" wrapText="1"/>
    </xf>
    <xf numFmtId="0" fontId="44" fillId="0" borderId="26" xfId="0" applyFont="1" applyBorder="1" applyAlignment="1">
      <alignment vertical="top" wrapText="1"/>
    </xf>
    <xf numFmtId="0" fontId="18" fillId="0" borderId="0" xfId="0" applyFont="1" applyAlignment="1">
      <alignment horizontal="right" vertical="top" wrapText="1"/>
    </xf>
    <xf numFmtId="0" fontId="25" fillId="36" borderId="33" xfId="52" applyFont="1" applyBorder="1" applyAlignment="1">
      <alignment horizontal="center" vertical="center" wrapText="1"/>
    </xf>
    <xf numFmtId="0" fontId="25" fillId="36" borderId="31" xfId="52" applyFont="1" applyBorder="1" applyAlignment="1">
      <alignment horizontal="center" vertical="center"/>
    </xf>
    <xf numFmtId="0" fontId="25" fillId="36" borderId="23" xfId="52" applyFont="1" applyBorder="1" applyAlignment="1">
      <alignment horizontal="center" vertical="center" wrapText="1"/>
    </xf>
    <xf numFmtId="0" fontId="25" fillId="36" borderId="0" xfId="52" applyFont="1" applyBorder="1" applyAlignment="1">
      <alignment horizontal="center" vertical="center" wrapText="1"/>
    </xf>
    <xf numFmtId="0" fontId="25" fillId="36" borderId="26" xfId="52" applyFont="1" applyBorder="1" applyAlignment="1">
      <alignment horizontal="center" vertical="center" wrapText="1"/>
    </xf>
    <xf numFmtId="0" fontId="41" fillId="2" borderId="31" xfId="0" applyFont="1" applyFill="1" applyBorder="1" applyAlignment="1">
      <alignment horizontal="center" vertical="center"/>
    </xf>
    <xf numFmtId="0" fontId="59" fillId="0" borderId="0" xfId="57" applyFont="1" applyAlignment="1" applyProtection="1">
      <alignment horizontal="center" vertical="center" wrapText="1"/>
      <protection locked="0"/>
    </xf>
    <xf numFmtId="0" fontId="17" fillId="0" borderId="0" xfId="0" applyFont="1" applyAlignment="1">
      <alignment horizontal="center" wrapText="1"/>
    </xf>
    <xf numFmtId="0" fontId="59" fillId="0" borderId="23" xfId="57" applyFont="1" applyBorder="1" applyAlignment="1" applyProtection="1">
      <alignment horizontal="center" vertical="center" wrapText="1"/>
      <protection locked="0"/>
    </xf>
    <xf numFmtId="0" fontId="59" fillId="0" borderId="26" xfId="57" applyFont="1" applyBorder="1" applyAlignment="1" applyProtection="1">
      <alignment horizontal="center" vertical="center" wrapText="1"/>
      <protection locked="0"/>
    </xf>
    <xf numFmtId="0" fontId="25" fillId="0" borderId="23" xfId="0" applyFont="1" applyBorder="1" applyAlignment="1">
      <alignment horizontal="center" vertical="center" wrapText="1"/>
    </xf>
    <xf numFmtId="0" fontId="59" fillId="0" borderId="0" xfId="57" applyFont="1" applyBorder="1" applyAlignment="1" applyProtection="1">
      <alignment horizontal="center" vertical="center" wrapText="1"/>
      <protection locked="0"/>
    </xf>
    <xf numFmtId="0" fontId="0" fillId="0" borderId="0" xfId="0" applyBorder="1" applyAlignment="1">
      <alignment horizontal="center" vertical="center" wrapText="1"/>
    </xf>
    <xf numFmtId="0" fontId="0" fillId="0" borderId="26" xfId="0" applyBorder="1" applyAlignment="1">
      <alignment horizontal="center" vertical="center" wrapText="1"/>
    </xf>
    <xf numFmtId="0" fontId="25" fillId="0" borderId="0" xfId="62" applyFont="1" applyBorder="1">
      <alignment horizontal="center" vertical="center"/>
    </xf>
    <xf numFmtId="0" fontId="25" fillId="0" borderId="26" xfId="62" applyFont="1" applyBorder="1">
      <alignment horizontal="center" vertical="center"/>
    </xf>
    <xf numFmtId="0" fontId="25" fillId="0" borderId="31" xfId="0" applyFont="1" applyBorder="1" applyAlignment="1">
      <alignment horizontal="center" vertical="center" wrapText="1"/>
    </xf>
    <xf numFmtId="0" fontId="26" fillId="0" borderId="0" xfId="0" applyFont="1" applyBorder="1" applyAlignment="1">
      <alignment horizontal="center" vertical="center"/>
    </xf>
    <xf numFmtId="0" fontId="26" fillId="0" borderId="26" xfId="0" applyFont="1" applyBorder="1" applyAlignment="1">
      <alignment horizontal="center" vertical="center"/>
    </xf>
    <xf numFmtId="0" fontId="25" fillId="0" borderId="26" xfId="0" applyFont="1" applyBorder="1" applyAlignment="1">
      <alignment horizontal="right" vertical="top" wrapText="1"/>
    </xf>
    <xf numFmtId="0" fontId="56" fillId="0" borderId="0" xfId="0" applyFont="1" applyBorder="1" applyAlignment="1">
      <alignment horizontal="center" vertical="center" wrapText="1"/>
    </xf>
    <xf numFmtId="0" fontId="56" fillId="0" borderId="26" xfId="0" applyFont="1" applyBorder="1" applyAlignment="1">
      <alignment horizontal="center" vertical="center" wrapText="1"/>
    </xf>
    <xf numFmtId="0" fontId="25" fillId="0" borderId="33" xfId="0" applyFont="1" applyBorder="1" applyAlignment="1">
      <alignment vertical="top" wrapText="1"/>
    </xf>
    <xf numFmtId="0" fontId="25" fillId="0" borderId="31" xfId="0" applyFont="1" applyBorder="1" applyAlignment="1">
      <alignment vertical="top" wrapText="1"/>
    </xf>
    <xf numFmtId="0" fontId="26" fillId="0" borderId="33" xfId="0" applyFont="1" applyBorder="1" applyAlignment="1">
      <alignment vertical="top" wrapText="1"/>
    </xf>
    <xf numFmtId="0" fontId="26" fillId="0" borderId="0" xfId="0" applyFont="1" applyBorder="1" applyAlignment="1">
      <alignment vertical="top" wrapText="1"/>
    </xf>
    <xf numFmtId="0" fontId="26" fillId="0" borderId="0" xfId="0" applyFont="1" applyAlignment="1">
      <alignment horizontal="right" vertical="top" wrapText="1"/>
    </xf>
    <xf numFmtId="164" fontId="29" fillId="40" borderId="47" xfId="65" applyBorder="1">
      <alignment horizontal="left" vertical="top" wrapText="1"/>
    </xf>
    <xf numFmtId="164" fontId="29" fillId="40" borderId="49" xfId="65" applyBorder="1">
      <alignment horizontal="left" vertical="top" wrapText="1"/>
    </xf>
    <xf numFmtId="0" fontId="26" fillId="0" borderId="0" xfId="0" applyFont="1" applyBorder="1" applyAlignment="1">
      <alignment horizontal="right" vertical="top" wrapText="1"/>
    </xf>
    <xf numFmtId="0" fontId="26" fillId="0" borderId="26" xfId="0" applyFont="1" applyBorder="1" applyAlignment="1">
      <alignment horizontal="right" vertical="top" wrapText="1"/>
    </xf>
    <xf numFmtId="0" fontId="18" fillId="38" borderId="0" xfId="0" applyFont="1" applyFill="1" applyAlignment="1">
      <alignment horizontal="center" vertical="center"/>
    </xf>
    <xf numFmtId="0" fontId="41" fillId="2" borderId="31" xfId="0" applyFont="1" applyFill="1" applyBorder="1" applyAlignment="1">
      <alignment horizontal="center" vertical="center" wrapText="1"/>
    </xf>
    <xf numFmtId="0" fontId="0" fillId="0" borderId="0" xfId="0" applyAlignment="1">
      <alignment textRotation="90"/>
    </xf>
    <xf numFmtId="0" fontId="18" fillId="0" borderId="10" xfId="0" applyFont="1" applyBorder="1" applyAlignment="1">
      <alignment horizontal="left" vertical="top"/>
    </xf>
    <xf numFmtId="0" fontId="25" fillId="0" borderId="10" xfId="0" applyFont="1" applyBorder="1" applyAlignment="1">
      <alignment horizontal="left" vertical="top"/>
    </xf>
    <xf numFmtId="0" fontId="71" fillId="0" borderId="10" xfId="0" applyFont="1" applyBorder="1" applyAlignment="1">
      <alignment horizontal="left" vertical="top"/>
    </xf>
    <xf numFmtId="0" fontId="56" fillId="0" borderId="10" xfId="0" applyFont="1" applyBorder="1" applyAlignment="1">
      <alignment horizontal="left" vertical="top"/>
    </xf>
    <xf numFmtId="0" fontId="18" fillId="0" borderId="10" xfId="0" applyFont="1" applyBorder="1" applyAlignment="1">
      <alignment horizontal="left" vertical="top" wrapText="1"/>
    </xf>
    <xf numFmtId="0" fontId="25" fillId="0" borderId="10" xfId="0" applyFont="1" applyBorder="1" applyAlignment="1">
      <alignment horizontal="left" vertical="top" wrapText="1"/>
    </xf>
    <xf numFmtId="0" fontId="71" fillId="0" borderId="10" xfId="0" applyFont="1" applyBorder="1" applyAlignment="1">
      <alignment horizontal="left" vertical="top" wrapText="1"/>
    </xf>
    <xf numFmtId="0" fontId="38" fillId="0" borderId="10" xfId="0" applyFont="1" applyBorder="1" applyAlignment="1">
      <alignment horizontal="left" vertical="top"/>
    </xf>
    <xf numFmtId="0" fontId="59" fillId="0" borderId="10" xfId="57" applyFont="1" applyBorder="1" applyAlignment="1">
      <alignment horizontal="left" vertical="top" wrapText="1"/>
    </xf>
    <xf numFmtId="49" fontId="18" fillId="0" borderId="10" xfId="0" applyNumberFormat="1" applyFont="1" applyBorder="1" applyAlignment="1">
      <alignment horizontal="left" vertical="top" wrapText="1"/>
    </xf>
    <xf numFmtId="0" fontId="18" fillId="0" borderId="23" xfId="0" applyFont="1" applyBorder="1" applyAlignment="1">
      <alignment horizontal="left" wrapText="1"/>
    </xf>
    <xf numFmtId="0" fontId="18" fillId="0" borderId="26" xfId="0" applyFont="1" applyBorder="1" applyAlignment="1">
      <alignment horizontal="left" wrapText="1"/>
    </xf>
    <xf numFmtId="0" fontId="18" fillId="0" borderId="0" xfId="0" applyFont="1" applyAlignment="1">
      <alignment wrapText="1"/>
    </xf>
    <xf numFmtId="0" fontId="18" fillId="0" borderId="0" xfId="0" applyFont="1" applyBorder="1" applyAlignment="1">
      <alignment wrapText="1"/>
    </xf>
    <xf numFmtId="0" fontId="18" fillId="0" borderId="31" xfId="0" applyFont="1" applyBorder="1" applyAlignment="1">
      <alignment wrapText="1"/>
    </xf>
    <xf numFmtId="0" fontId="18" fillId="0" borderId="23" xfId="0" applyFont="1" applyBorder="1" applyAlignment="1">
      <alignment wrapText="1"/>
    </xf>
    <xf numFmtId="0" fontId="18" fillId="0" borderId="26" xfId="0" applyFont="1" applyBorder="1" applyAlignment="1">
      <alignment wrapText="1"/>
    </xf>
    <xf numFmtId="0" fontId="26" fillId="0" borderId="23" xfId="0" applyFont="1" applyBorder="1" applyAlignment="1">
      <alignment horizontal="left" vertical="top" wrapText="1"/>
    </xf>
    <xf numFmtId="0" fontId="75" fillId="0" borderId="0" xfId="0" applyFont="1" applyAlignment="1">
      <alignment horizontal="center" vertical="center" wrapText="1"/>
    </xf>
    <xf numFmtId="0" fontId="18" fillId="0" borderId="0" xfId="0" applyFont="1" applyAlignment="1">
      <alignment horizontal="center" vertical="center" wrapText="1"/>
    </xf>
    <xf numFmtId="0" fontId="0" fillId="41" borderId="0" xfId="0" applyFill="1" applyAlignment="1">
      <alignment textRotation="90"/>
    </xf>
    <xf numFmtId="0" fontId="19" fillId="0" borderId="12" xfId="0" applyFont="1" applyBorder="1" applyAlignment="1">
      <alignment horizontal="center" vertical="center"/>
    </xf>
    <xf numFmtId="0" fontId="19" fillId="0" borderId="21" xfId="0" applyFont="1" applyBorder="1" applyAlignment="1">
      <alignment horizontal="center" vertical="center"/>
    </xf>
    <xf numFmtId="0" fontId="19" fillId="0" borderId="13" xfId="0" applyFont="1" applyBorder="1" applyAlignment="1">
      <alignment horizontal="center" vertical="center"/>
    </xf>
    <xf numFmtId="0" fontId="0" fillId="0" borderId="0" xfId="0" applyAlignment="1">
      <alignment horizontal="center" vertical="center"/>
    </xf>
    <xf numFmtId="0" fontId="16" fillId="0" borderId="10" xfId="0" applyFont="1" applyBorder="1" applyAlignment="1">
      <alignment horizontal="center" wrapText="1"/>
    </xf>
    <xf numFmtId="0" fontId="16" fillId="0" borderId="10" xfId="0" applyFont="1" applyBorder="1" applyAlignment="1">
      <alignment horizontal="center"/>
    </xf>
    <xf numFmtId="0" fontId="0" fillId="38" borderId="10" xfId="47" applyFont="1">
      <protection locked="0"/>
    </xf>
    <xf numFmtId="0" fontId="0" fillId="0" borderId="12" xfId="0" applyBorder="1"/>
    <xf numFmtId="0" fontId="0" fillId="0" borderId="13" xfId="0" applyBorder="1"/>
    <xf numFmtId="0" fontId="0" fillId="0" borderId="10" xfId="0" applyBorder="1" applyProtection="1"/>
    <xf numFmtId="0" fontId="0" fillId="41" borderId="10" xfId="48" applyFont="1" applyFill="1" applyAlignment="1" applyProtection="1">
      <alignment horizontal="left"/>
    </xf>
    <xf numFmtId="0" fontId="16" fillId="0" borderId="28" xfId="0" applyFont="1" applyBorder="1" applyAlignment="1">
      <alignment horizontal="right"/>
    </xf>
    <xf numFmtId="0" fontId="0" fillId="0" borderId="23" xfId="0" applyBorder="1" applyAlignment="1">
      <alignment horizontal="center" vertical="center"/>
    </xf>
    <xf numFmtId="0" fontId="0" fillId="0" borderId="0" xfId="0" applyBorder="1" applyAlignment="1">
      <alignment horizontal="center" vertical="center"/>
    </xf>
    <xf numFmtId="164" fontId="33" fillId="40" borderId="29" xfId="65" applyFont="1" applyBorder="1" applyAlignment="1">
      <alignment horizontal="center" vertical="center" wrapText="1"/>
    </xf>
    <xf numFmtId="164" fontId="33" fillId="40" borderId="0" xfId="65" applyFont="1" applyBorder="1" applyAlignment="1">
      <alignment horizontal="center" vertical="center" wrapText="1"/>
    </xf>
    <xf numFmtId="164" fontId="33" fillId="40" borderId="28" xfId="65" applyFont="1" applyBorder="1" applyAlignment="1">
      <alignment horizontal="center" vertical="center" wrapText="1"/>
    </xf>
    <xf numFmtId="164" fontId="33" fillId="40" borderId="25" xfId="65" applyFont="1" applyBorder="1" applyAlignment="1">
      <alignment horizontal="center" vertical="center" wrapText="1"/>
    </xf>
    <xf numFmtId="164" fontId="33" fillId="40" borderId="26" xfId="65" applyFont="1" applyBorder="1" applyAlignment="1">
      <alignment horizontal="center" vertical="center" wrapText="1"/>
    </xf>
    <xf numFmtId="164" fontId="33" fillId="40" borderId="27" xfId="65" applyFont="1" applyBorder="1" applyAlignment="1">
      <alignment horizontal="center" vertical="center" wrapText="1"/>
    </xf>
    <xf numFmtId="0" fontId="94" fillId="0" borderId="56" xfId="60" applyFont="1" applyBorder="1" applyAlignment="1">
      <alignment horizontal="center" vertical="center"/>
    </xf>
    <xf numFmtId="0" fontId="94" fillId="0" borderId="57" xfId="60" applyFont="1" applyBorder="1" applyAlignment="1">
      <alignment horizontal="center" vertical="center"/>
    </xf>
    <xf numFmtId="0" fontId="94" fillId="0" borderId="58" xfId="60" applyFont="1" applyBorder="1" applyAlignment="1">
      <alignment horizontal="center" vertical="center"/>
    </xf>
    <xf numFmtId="0" fontId="94" fillId="0" borderId="59" xfId="60" applyFont="1" applyBorder="1" applyAlignment="1">
      <alignment horizontal="center" vertical="center"/>
    </xf>
    <xf numFmtId="0" fontId="94" fillId="0" borderId="60" xfId="60" applyFont="1" applyBorder="1" applyAlignment="1">
      <alignment horizontal="center" vertical="center"/>
    </xf>
    <xf numFmtId="0" fontId="94" fillId="0" borderId="61" xfId="60" applyFont="1" applyBorder="1" applyAlignment="1">
      <alignment horizontal="center" vertical="center"/>
    </xf>
    <xf numFmtId="0" fontId="0" fillId="0" borderId="22" xfId="0" applyBorder="1" applyAlignment="1">
      <alignment horizontal="center" vertical="center"/>
    </xf>
    <xf numFmtId="0" fontId="0" fillId="0" borderId="24" xfId="0" applyBorder="1" applyAlignment="1">
      <alignment horizontal="center" vertical="center"/>
    </xf>
    <xf numFmtId="0" fontId="0" fillId="0" borderId="29" xfId="0" applyBorder="1" applyAlignment="1">
      <alignment horizontal="center" vertical="center"/>
    </xf>
    <xf numFmtId="0" fontId="0" fillId="0" borderId="28"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0" fillId="0" borderId="12" xfId="0" applyBorder="1" applyAlignment="1">
      <alignment horizontal="left"/>
    </xf>
    <xf numFmtId="0" fontId="0" fillId="0" borderId="21" xfId="0" applyBorder="1" applyAlignment="1">
      <alignment horizontal="left"/>
    </xf>
    <xf numFmtId="0" fontId="0" fillId="0" borderId="13" xfId="0" applyBorder="1" applyAlignment="1">
      <alignment horizontal="left"/>
    </xf>
    <xf numFmtId="0" fontId="0" fillId="41" borderId="10" xfId="47" applyFont="1" applyFill="1" applyAlignment="1" applyProtection="1">
      <alignment horizontal="left"/>
    </xf>
    <xf numFmtId="0" fontId="99" fillId="0" borderId="0" xfId="60" applyFont="1" applyBorder="1" applyAlignment="1">
      <alignment horizontal="right"/>
    </xf>
    <xf numFmtId="0" fontId="30" fillId="0" borderId="0" xfId="60" applyBorder="1" applyAlignment="1">
      <alignment horizontal="right"/>
    </xf>
    <xf numFmtId="0" fontId="30" fillId="0" borderId="83" xfId="60" applyBorder="1" applyAlignment="1">
      <alignment horizontal="right"/>
    </xf>
    <xf numFmtId="0" fontId="1" fillId="38" borderId="10" xfId="47" applyFont="1" applyAlignment="1">
      <alignment horizontal="left"/>
      <protection locked="0"/>
    </xf>
    <xf numFmtId="0" fontId="0" fillId="41" borderId="10" xfId="47" applyFont="1" applyFill="1" applyBorder="1" applyAlignment="1" applyProtection="1">
      <alignment horizontal="left"/>
    </xf>
    <xf numFmtId="0" fontId="1" fillId="41" borderId="12" xfId="47" applyFont="1" applyFill="1" applyBorder="1" applyAlignment="1" applyProtection="1">
      <alignment horizontal="left"/>
    </xf>
    <xf numFmtId="0" fontId="1" fillId="41" borderId="13" xfId="47" applyFont="1" applyFill="1" applyBorder="1" applyAlignment="1" applyProtection="1">
      <alignment horizontal="left"/>
    </xf>
    <xf numFmtId="0" fontId="0" fillId="0" borderId="26" xfId="0" applyBorder="1" applyAlignment="1" applyProtection="1">
      <alignment horizontal="center"/>
    </xf>
    <xf numFmtId="0" fontId="0" fillId="0" borderId="22" xfId="0" applyBorder="1" applyAlignment="1">
      <alignment horizontal="left" vertical="top" wrapText="1"/>
    </xf>
    <xf numFmtId="0" fontId="0" fillId="0" borderId="23"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26" xfId="0" applyBorder="1" applyAlignment="1">
      <alignment horizontal="left" vertical="top" wrapText="1"/>
    </xf>
    <xf numFmtId="0" fontId="0" fillId="0" borderId="27" xfId="0" applyBorder="1" applyAlignment="1">
      <alignment horizontal="left" vertical="top" wrapText="1"/>
    </xf>
    <xf numFmtId="0" fontId="21" fillId="34" borderId="19" xfId="50" applyBorder="1" applyAlignment="1"/>
    <xf numFmtId="0" fontId="21" fillId="34" borderId="0" xfId="50" applyBorder="1" applyAlignment="1"/>
    <xf numFmtId="0" fontId="21" fillId="34" borderId="20" xfId="50" applyBorder="1" applyAlignment="1"/>
    <xf numFmtId="0" fontId="0" fillId="38" borderId="10" xfId="47" applyFont="1" applyAlignment="1">
      <alignment horizontal="left" vertical="top"/>
      <protection locked="0"/>
    </xf>
    <xf numFmtId="0" fontId="0" fillId="41" borderId="22" xfId="48" applyFont="1" applyFill="1" applyBorder="1" applyAlignment="1" applyProtection="1">
      <alignment horizontal="left" vertical="top" wrapText="1"/>
    </xf>
    <xf numFmtId="0" fontId="0" fillId="41" borderId="23" xfId="48" applyFont="1" applyFill="1" applyBorder="1" applyAlignment="1" applyProtection="1">
      <alignment horizontal="left" vertical="top" wrapText="1"/>
    </xf>
    <xf numFmtId="0" fontId="0" fillId="41" borderId="24" xfId="48" applyFont="1" applyFill="1" applyBorder="1" applyAlignment="1" applyProtection="1">
      <alignment horizontal="left" vertical="top" wrapText="1"/>
    </xf>
    <xf numFmtId="0" fontId="0" fillId="41" borderId="25" xfId="48" applyFont="1" applyFill="1" applyBorder="1" applyAlignment="1" applyProtection="1">
      <alignment horizontal="left" vertical="top" wrapText="1"/>
    </xf>
    <xf numFmtId="0" fontId="0" fillId="41" borderId="26" xfId="48" applyFont="1" applyFill="1" applyBorder="1" applyAlignment="1" applyProtection="1">
      <alignment horizontal="left" vertical="top" wrapText="1"/>
    </xf>
    <xf numFmtId="0" fontId="0" fillId="41" borderId="27" xfId="48" applyFont="1" applyFill="1" applyBorder="1" applyAlignment="1" applyProtection="1">
      <alignment horizontal="left" vertical="top" wrapText="1"/>
    </xf>
    <xf numFmtId="0" fontId="0" fillId="0" borderId="0" xfId="0" applyAlignment="1" applyProtection="1">
      <alignment horizontal="left" wrapText="1"/>
    </xf>
    <xf numFmtId="0" fontId="0" fillId="37" borderId="10" xfId="66" applyFont="1">
      <alignment horizontal="left" vertical="top" wrapText="1"/>
    </xf>
    <xf numFmtId="0" fontId="0" fillId="37" borderId="10" xfId="66" applyFont="1" applyBorder="1">
      <alignment horizontal="left" vertical="top" wrapText="1"/>
    </xf>
    <xf numFmtId="0" fontId="0" fillId="37" borderId="32" xfId="66" applyFont="1" applyBorder="1">
      <alignment horizontal="left" vertical="top" wrapText="1"/>
    </xf>
    <xf numFmtId="0" fontId="0" fillId="37" borderId="17" xfId="66" applyFont="1" applyBorder="1">
      <alignment horizontal="left" vertical="top" wrapText="1"/>
    </xf>
    <xf numFmtId="0" fontId="0" fillId="37" borderId="34" xfId="66" applyFont="1" applyBorder="1">
      <alignment horizontal="left" vertical="top" wrapText="1"/>
    </xf>
    <xf numFmtId="0" fontId="0" fillId="37" borderId="15" xfId="66" applyFont="1" applyBorder="1">
      <alignment horizontal="left" vertical="top" wrapText="1"/>
    </xf>
    <xf numFmtId="0" fontId="0" fillId="0" borderId="33" xfId="0" applyBorder="1" applyAlignment="1">
      <alignment horizontal="center" vertical="center"/>
    </xf>
    <xf numFmtId="0" fontId="0" fillId="0" borderId="31" xfId="0" applyBorder="1" applyAlignment="1">
      <alignment horizontal="center" vertical="center"/>
    </xf>
    <xf numFmtId="0" fontId="0" fillId="37" borderId="37" xfId="66" applyFont="1" applyBorder="1">
      <alignment horizontal="left" vertical="top" wrapText="1"/>
    </xf>
    <xf numFmtId="0" fontId="0" fillId="37" borderId="16" xfId="66" applyFont="1" applyBorder="1">
      <alignment horizontal="left" vertical="top" wrapText="1"/>
    </xf>
    <xf numFmtId="0" fontId="0" fillId="37" borderId="53" xfId="66" applyFont="1" applyBorder="1">
      <alignment horizontal="left" vertical="top" wrapText="1"/>
    </xf>
    <xf numFmtId="0" fontId="0" fillId="0" borderId="0" xfId="62" applyFont="1" applyBorder="1" applyAlignment="1">
      <alignment horizontal="center" vertical="center"/>
    </xf>
    <xf numFmtId="0" fontId="59" fillId="0" borderId="0" xfId="57" applyAlignment="1" applyProtection="1">
      <alignment horizontal="center" vertical="center" wrapText="1"/>
      <protection locked="0"/>
    </xf>
    <xf numFmtId="0" fontId="59" fillId="0" borderId="23" xfId="57" applyBorder="1" applyAlignment="1" applyProtection="1">
      <alignment horizontal="center" vertical="center" wrapText="1"/>
      <protection locked="0"/>
    </xf>
    <xf numFmtId="0" fontId="59" fillId="0" borderId="0" xfId="57" applyBorder="1" applyAlignment="1" applyProtection="1">
      <alignment horizontal="center" vertical="center" wrapText="1"/>
      <protection locked="0"/>
    </xf>
    <xf numFmtId="0" fontId="59" fillId="0" borderId="26" xfId="57" applyBorder="1" applyAlignment="1" applyProtection="1">
      <alignment horizontal="center" vertical="center" wrapText="1"/>
      <protection locked="0"/>
    </xf>
    <xf numFmtId="164" fontId="29" fillId="40" borderId="48" xfId="65" applyBorder="1">
      <alignment horizontal="left" vertical="top" wrapText="1"/>
    </xf>
    <xf numFmtId="0" fontId="16" fillId="0" borderId="33" xfId="0" applyFont="1" applyBorder="1" applyAlignment="1">
      <alignment horizontal="center" vertical="center"/>
    </xf>
    <xf numFmtId="0" fontId="16" fillId="0" borderId="0" xfId="0" applyFont="1" applyBorder="1" applyAlignment="1">
      <alignment horizontal="center" vertical="center"/>
    </xf>
    <xf numFmtId="0" fontId="16" fillId="0" borderId="31" xfId="0" applyFont="1" applyBorder="1" applyAlignment="1">
      <alignment horizontal="center" vertical="center"/>
    </xf>
    <xf numFmtId="0" fontId="16" fillId="0" borderId="0" xfId="0" applyFont="1" applyAlignment="1">
      <alignment horizontal="center" vertical="center"/>
    </xf>
    <xf numFmtId="0" fontId="16" fillId="0" borderId="26" xfId="0" applyFont="1" applyBorder="1" applyAlignment="1">
      <alignment horizontal="center" vertical="center"/>
    </xf>
    <xf numFmtId="0" fontId="16" fillId="0" borderId="0" xfId="0" applyNumberFormat="1" applyFont="1" applyBorder="1" applyAlignment="1">
      <alignment horizontal="center" vertical="center"/>
    </xf>
    <xf numFmtId="0" fontId="16" fillId="0" borderId="26" xfId="0" applyNumberFormat="1" applyFont="1" applyBorder="1" applyAlignment="1">
      <alignment horizontal="center" vertical="center"/>
    </xf>
    <xf numFmtId="0" fontId="16" fillId="0" borderId="23" xfId="0" applyFont="1" applyBorder="1" applyAlignment="1">
      <alignment horizontal="center" vertical="center"/>
    </xf>
    <xf numFmtId="0" fontId="26" fillId="0" borderId="33" xfId="0" applyFont="1" applyBorder="1" applyAlignment="1">
      <alignment horizontal="left" vertical="top" wrapText="1"/>
    </xf>
    <xf numFmtId="0" fontId="16" fillId="0" borderId="10" xfId="0" applyFont="1" applyBorder="1" applyAlignment="1">
      <alignment horizontal="right"/>
    </xf>
    <xf numFmtId="0" fontId="16" fillId="0" borderId="10" xfId="0" applyFont="1" applyFill="1" applyBorder="1" applyAlignment="1">
      <alignment horizontal="right"/>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9" xfId="0" applyBorder="1" applyAlignment="1">
      <alignment horizontal="center"/>
    </xf>
    <xf numFmtId="0" fontId="0" fillId="0" borderId="0" xfId="0" applyBorder="1" applyAlignment="1">
      <alignment horizontal="center"/>
    </xf>
    <xf numFmtId="0" fontId="0" fillId="0" borderId="28"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10" xfId="0" applyFont="1" applyBorder="1" applyAlignment="1">
      <alignment horizontal="center" vertical="center"/>
    </xf>
    <xf numFmtId="0" fontId="0" fillId="0" borderId="10" xfId="0" applyFont="1" applyFill="1" applyBorder="1" applyAlignment="1">
      <alignment horizontal="left"/>
    </xf>
    <xf numFmtId="0" fontId="16" fillId="0" borderId="0" xfId="62" applyFont="1" applyBorder="1">
      <alignment horizontal="center" vertical="center"/>
    </xf>
    <xf numFmtId="0" fontId="16" fillId="0" borderId="26" xfId="62" applyFont="1" applyBorder="1">
      <alignment horizontal="center" vertical="center"/>
    </xf>
    <xf numFmtId="0" fontId="0" fillId="0" borderId="0" xfId="62" applyNumberFormat="1" applyFont="1" applyBorder="1" applyAlignment="1">
      <alignment horizontal="center" vertical="center"/>
    </xf>
    <xf numFmtId="0" fontId="0" fillId="0" borderId="26" xfId="62" applyNumberFormat="1" applyFont="1" applyBorder="1" applyAlignment="1">
      <alignment horizontal="center" vertical="center"/>
    </xf>
    <xf numFmtId="0" fontId="16" fillId="0" borderId="0" xfId="62" applyFont="1">
      <alignment horizontal="center" vertical="center"/>
    </xf>
    <xf numFmtId="0" fontId="0" fillId="0" borderId="0" xfId="62" applyNumberFormat="1" applyFont="1" applyAlignment="1">
      <alignment horizontal="center" vertical="center"/>
    </xf>
    <xf numFmtId="0" fontId="0" fillId="0" borderId="23" xfId="62" applyFont="1" applyBorder="1" applyAlignment="1">
      <alignment horizontal="center" vertical="center"/>
    </xf>
    <xf numFmtId="0" fontId="0" fillId="0" borderId="26" xfId="62" applyFont="1" applyBorder="1" applyAlignment="1">
      <alignment horizontal="center" vertical="center"/>
    </xf>
    <xf numFmtId="0" fontId="18" fillId="0" borderId="16" xfId="0" applyFont="1" applyBorder="1" applyAlignment="1">
      <alignment horizontal="left" vertical="center" wrapText="1"/>
    </xf>
    <xf numFmtId="0" fontId="18" fillId="0" borderId="17" xfId="0" applyFont="1" applyBorder="1" applyAlignment="1">
      <alignment horizontal="left" vertical="center" wrapText="1"/>
    </xf>
    <xf numFmtId="0" fontId="99" fillId="0" borderId="12" xfId="60" applyFont="1" applyBorder="1" applyAlignment="1"/>
    <xf numFmtId="0" fontId="30" fillId="0" borderId="13" xfId="60" applyBorder="1" applyAlignment="1"/>
    <xf numFmtId="0" fontId="24" fillId="34" borderId="18" xfId="63">
      <alignment vertical="center" wrapText="1"/>
    </xf>
    <xf numFmtId="0" fontId="0" fillId="0" borderId="21" xfId="0" applyBorder="1" applyAlignment="1">
      <alignment horizontal="left" vertical="center"/>
    </xf>
    <xf numFmtId="0" fontId="0" fillId="0" borderId="13"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NumberFormat="1" applyAlignment="1">
      <alignment horizontal="center" vertical="center"/>
    </xf>
    <xf numFmtId="0" fontId="0" fillId="36" borderId="10" xfId="52" applyFont="1" applyAlignment="1">
      <alignment horizontal="center" wrapText="1"/>
    </xf>
    <xf numFmtId="0" fontId="0" fillId="41" borderId="0" xfId="0" applyFill="1" applyAlignment="1">
      <alignment horizontal="center" vertical="center" textRotation="90"/>
    </xf>
    <xf numFmtId="0" fontId="0" fillId="41" borderId="28" xfId="0" applyFill="1" applyBorder="1" applyAlignment="1">
      <alignment horizontal="center" vertical="center" textRotation="90"/>
    </xf>
    <xf numFmtId="0" fontId="0" fillId="41" borderId="0" xfId="0" applyNumberFormat="1" applyFill="1" applyAlignment="1">
      <alignment textRotation="90"/>
    </xf>
    <xf numFmtId="0" fontId="0" fillId="37" borderId="10" xfId="66" applyFont="1" applyBorder="1" applyProtection="1">
      <alignment horizontal="left" vertical="top" wrapText="1"/>
      <protection locked="0"/>
    </xf>
    <xf numFmtId="0" fontId="0" fillId="37" borderId="32" xfId="66" applyFont="1" applyBorder="1" applyProtection="1">
      <alignment horizontal="left" vertical="top" wrapText="1"/>
      <protection locked="0"/>
    </xf>
    <xf numFmtId="0" fontId="0" fillId="37" borderId="17" xfId="66" applyFont="1" applyBorder="1" applyProtection="1">
      <alignment horizontal="left" vertical="top" wrapText="1"/>
      <protection locked="0"/>
    </xf>
    <xf numFmtId="0" fontId="0" fillId="37" borderId="10" xfId="66" applyFont="1" applyProtection="1">
      <alignment horizontal="left" vertical="top" wrapText="1"/>
      <protection locked="0"/>
    </xf>
    <xf numFmtId="0" fontId="0" fillId="37" borderId="37" xfId="66" applyFont="1" applyBorder="1" applyProtection="1">
      <alignment horizontal="left" vertical="top" wrapText="1"/>
      <protection locked="0"/>
    </xf>
    <xf numFmtId="0" fontId="0" fillId="37" borderId="16" xfId="66" applyFont="1" applyBorder="1" applyProtection="1">
      <alignment horizontal="left" vertical="top" wrapText="1"/>
      <protection locked="0"/>
    </xf>
    <xf numFmtId="0" fontId="0" fillId="37" borderId="53" xfId="66" applyFont="1" applyBorder="1" applyProtection="1">
      <alignment horizontal="left" vertical="top" wrapText="1"/>
      <protection locked="0"/>
    </xf>
    <xf numFmtId="0" fontId="0" fillId="37" borderId="15" xfId="66" applyFont="1" applyBorder="1" applyProtection="1">
      <alignment horizontal="left" vertical="top" wrapText="1"/>
      <protection locked="0"/>
    </xf>
    <xf numFmtId="0" fontId="0" fillId="37" borderId="34" xfId="66" applyFont="1" applyBorder="1" applyProtection="1">
      <alignment horizontal="left" vertical="top" wrapText="1"/>
      <protection locked="0"/>
    </xf>
    <xf numFmtId="0" fontId="95" fillId="34" borderId="62" xfId="63" applyFont="1" applyBorder="1" applyAlignment="1">
      <alignment horizontal="center" vertical="center"/>
    </xf>
    <xf numFmtId="0" fontId="96" fillId="34" borderId="63" xfId="63" applyFont="1" applyBorder="1" applyAlignment="1">
      <alignment horizontal="center" vertical="center"/>
    </xf>
    <xf numFmtId="0" fontId="62" fillId="0" borderId="15" xfId="0" applyFont="1" applyBorder="1" applyAlignment="1">
      <alignment horizontal="center" vertical="center" wrapText="1"/>
    </xf>
    <xf numFmtId="0" fontId="62" fillId="0" borderId="16" xfId="0" applyFont="1" applyBorder="1" applyAlignment="1">
      <alignment horizontal="center" vertical="center" wrapText="1"/>
    </xf>
    <xf numFmtId="164" fontId="29" fillId="40" borderId="14" xfId="65" applyBorder="1" applyAlignment="1">
      <alignment horizontal="center" vertical="center" wrapText="1"/>
    </xf>
    <xf numFmtId="49" fontId="0" fillId="39" borderId="10" xfId="48" applyNumberFormat="1" applyFont="1">
      <protection locked="0"/>
    </xf>
    <xf numFmtId="0" fontId="69" fillId="37" borderId="10" xfId="66" applyFont="1">
      <alignment horizontal="left" vertical="top" wrapText="1"/>
    </xf>
    <xf numFmtId="0" fontId="0" fillId="39" borderId="10" xfId="48" applyNumberFormat="1" applyFont="1" applyAlignment="1">
      <alignment horizontal="center" vertical="center"/>
      <protection locked="0"/>
    </xf>
    <xf numFmtId="0" fontId="0" fillId="41" borderId="0" xfId="0" applyFill="1" applyBorder="1" applyAlignment="1">
      <alignment horizontal="left" wrapText="1" indent="1"/>
    </xf>
    <xf numFmtId="0" fontId="0" fillId="41" borderId="0" xfId="0" applyFill="1" applyBorder="1" applyAlignment="1">
      <alignment horizontal="left" vertical="center" wrapText="1" indent="1"/>
    </xf>
    <xf numFmtId="0" fontId="16" fillId="0" borderId="0" xfId="0" applyFont="1" applyAlignment="1">
      <alignment horizontal="left"/>
    </xf>
    <xf numFmtId="0" fontId="66" fillId="37" borderId="10" xfId="66" applyFont="1">
      <alignment horizontal="left" vertical="top" wrapText="1"/>
    </xf>
    <xf numFmtId="0" fontId="47" fillId="0" borderId="0" xfId="0" applyFont="1" applyAlignment="1">
      <alignment horizontal="left"/>
    </xf>
    <xf numFmtId="0" fontId="16" fillId="0" borderId="0" xfId="0" applyFont="1" applyBorder="1" applyAlignment="1">
      <alignment horizontal="left"/>
    </xf>
    <xf numFmtId="0" fontId="0" fillId="0" borderId="0" xfId="0" applyAlignment="1">
      <alignment horizontal="left" vertical="top"/>
    </xf>
    <xf numFmtId="0" fontId="67" fillId="0" borderId="0" xfId="0" applyFont="1" applyAlignment="1">
      <alignment horizontal="left" vertical="center"/>
    </xf>
    <xf numFmtId="0" fontId="0" fillId="0" borderId="0" xfId="0" applyAlignment="1">
      <alignment horizontal="left" indent="1"/>
    </xf>
    <xf numFmtId="0" fontId="0" fillId="0" borderId="0" xfId="0" applyAlignment="1">
      <alignment horizontal="center" wrapText="1"/>
    </xf>
    <xf numFmtId="0" fontId="16" fillId="0" borderId="12" xfId="0" applyFont="1" applyBorder="1" applyAlignment="1">
      <alignment horizontal="center"/>
    </xf>
    <xf numFmtId="0" fontId="16" fillId="0" borderId="13" xfId="0" applyFont="1" applyBorder="1" applyAlignment="1">
      <alignment horizontal="center"/>
    </xf>
    <xf numFmtId="49" fontId="0" fillId="39" borderId="10" xfId="48" applyNumberFormat="1" applyFont="1" applyAlignment="1">
      <alignment horizontal="left"/>
      <protection locked="0"/>
    </xf>
    <xf numFmtId="49" fontId="0" fillId="38" borderId="22" xfId="47" applyNumberFormat="1" applyFont="1" applyBorder="1" applyAlignment="1">
      <alignment horizontal="left" vertical="top" wrapText="1"/>
      <protection locked="0"/>
    </xf>
    <xf numFmtId="49" fontId="0" fillId="38" borderId="23" xfId="47" applyNumberFormat="1" applyFont="1" applyBorder="1" applyAlignment="1">
      <alignment horizontal="left" vertical="top" wrapText="1"/>
      <protection locked="0"/>
    </xf>
    <xf numFmtId="49" fontId="0" fillId="38" borderId="24" xfId="47" applyNumberFormat="1" applyFont="1" applyBorder="1" applyAlignment="1">
      <alignment horizontal="left" vertical="top" wrapText="1"/>
      <protection locked="0"/>
    </xf>
    <xf numFmtId="49" fontId="0" fillId="38" borderId="29" xfId="47" applyNumberFormat="1" applyFont="1" applyBorder="1" applyAlignment="1">
      <alignment horizontal="left" vertical="top" wrapText="1"/>
      <protection locked="0"/>
    </xf>
    <xf numFmtId="49" fontId="0" fillId="38" borderId="0" xfId="47" applyNumberFormat="1" applyFont="1" applyBorder="1" applyAlignment="1">
      <alignment horizontal="left" vertical="top" wrapText="1"/>
      <protection locked="0"/>
    </xf>
    <xf numFmtId="49" fontId="0" fillId="38" borderId="28" xfId="47" applyNumberFormat="1" applyFont="1" applyBorder="1" applyAlignment="1">
      <alignment horizontal="left" vertical="top" wrapText="1"/>
      <protection locked="0"/>
    </xf>
    <xf numFmtId="49" fontId="0" fillId="38" borderId="25" xfId="47" applyNumberFormat="1" applyFont="1" applyBorder="1" applyAlignment="1">
      <alignment horizontal="left" vertical="top" wrapText="1"/>
      <protection locked="0"/>
    </xf>
    <xf numFmtId="49" fontId="0" fillId="38" borderId="26" xfId="47" applyNumberFormat="1" applyFont="1" applyBorder="1" applyAlignment="1">
      <alignment horizontal="left" vertical="top" wrapText="1"/>
      <protection locked="0"/>
    </xf>
    <xf numFmtId="49" fontId="0" fillId="38" borderId="27" xfId="47" applyNumberFormat="1" applyFont="1" applyBorder="1" applyAlignment="1">
      <alignment horizontal="left" vertical="top" wrapText="1"/>
      <protection locked="0"/>
    </xf>
    <xf numFmtId="0" fontId="16" fillId="0" borderId="0" xfId="0" applyFont="1" applyAlignment="1">
      <alignment horizontal="right" vertical="center" wrapText="1"/>
    </xf>
    <xf numFmtId="0" fontId="16" fillId="0" borderId="0" xfId="0" applyFont="1" applyAlignment="1">
      <alignment horizontal="right" vertical="center"/>
    </xf>
    <xf numFmtId="49" fontId="0" fillId="38" borderId="22" xfId="47" applyNumberFormat="1" applyFont="1" applyBorder="1" applyAlignment="1">
      <alignment horizontal="left" vertical="top"/>
      <protection locked="0"/>
    </xf>
    <xf numFmtId="49" fontId="0" fillId="38" borderId="24" xfId="47" applyNumberFormat="1" applyFont="1" applyBorder="1" applyAlignment="1">
      <alignment horizontal="left" vertical="top"/>
      <protection locked="0"/>
    </xf>
    <xf numFmtId="49" fontId="0" fillId="38" borderId="25" xfId="47" applyNumberFormat="1" applyFont="1" applyBorder="1" applyAlignment="1">
      <alignment horizontal="left" vertical="top"/>
      <protection locked="0"/>
    </xf>
    <xf numFmtId="49" fontId="0" fillId="38" borderId="27" xfId="47" applyNumberFormat="1" applyFont="1" applyBorder="1" applyAlignment="1">
      <alignment horizontal="left" vertical="top"/>
      <protection locked="0"/>
    </xf>
    <xf numFmtId="0" fontId="16" fillId="0" borderId="0" xfId="0" applyFont="1" applyBorder="1" applyAlignment="1">
      <alignment horizontal="right" vertical="top"/>
    </xf>
    <xf numFmtId="49" fontId="0" fillId="39" borderId="10" xfId="48" applyNumberFormat="1" applyFont="1" applyAlignment="1">
      <alignment horizontal="left" vertical="top" wrapText="1"/>
      <protection locked="0"/>
    </xf>
    <xf numFmtId="0" fontId="99" fillId="0" borderId="0" xfId="60" applyFont="1" applyBorder="1" applyAlignment="1">
      <alignment vertical="center"/>
    </xf>
    <xf numFmtId="0" fontId="30" fillId="0" borderId="0" xfId="60" applyBorder="1" applyAlignment="1">
      <alignment vertical="center"/>
    </xf>
    <xf numFmtId="0" fontId="16" fillId="0" borderId="15" xfId="0" applyFont="1" applyBorder="1" applyAlignment="1">
      <alignment horizontal="center" wrapText="1"/>
    </xf>
    <xf numFmtId="0" fontId="16" fillId="0" borderId="17" xfId="0" applyFont="1" applyBorder="1" applyAlignment="1">
      <alignment horizontal="center" wrapText="1"/>
    </xf>
    <xf numFmtId="0" fontId="0" fillId="0" borderId="0" xfId="0" applyFill="1" applyAlignment="1">
      <alignment horizontal="left" vertical="top"/>
    </xf>
    <xf numFmtId="0" fontId="16" fillId="0" borderId="0" xfId="64" applyFont="1" applyFill="1" applyBorder="1" applyAlignment="1">
      <alignment horizontal="right" wrapText="1"/>
    </xf>
    <xf numFmtId="0" fontId="16" fillId="0" borderId="0" xfId="0" applyFont="1" applyBorder="1" applyAlignment="1">
      <alignment horizontal="right" wrapText="1"/>
    </xf>
    <xf numFmtId="49" fontId="0" fillId="38" borderId="10" xfId="47" applyNumberFormat="1" applyFont="1" applyAlignment="1">
      <alignment horizontal="center"/>
      <protection locked="0"/>
    </xf>
    <xf numFmtId="0" fontId="70" fillId="0" borderId="0" xfId="54" applyFont="1" applyFill="1" applyBorder="1" applyAlignment="1">
      <alignment horizontal="center" vertical="top" wrapText="1"/>
      <protection locked="0"/>
    </xf>
    <xf numFmtId="0" fontId="0" fillId="45" borderId="22" xfId="0" applyFill="1" applyBorder="1" applyAlignment="1" applyProtection="1">
      <alignment wrapText="1"/>
      <protection locked="0"/>
    </xf>
    <xf numFmtId="0" fontId="0" fillId="45" borderId="23" xfId="0" applyFill="1" applyBorder="1" applyAlignment="1" applyProtection="1">
      <alignment wrapText="1"/>
      <protection locked="0"/>
    </xf>
    <xf numFmtId="0" fontId="0" fillId="45" borderId="24" xfId="0" applyFill="1" applyBorder="1" applyAlignment="1" applyProtection="1">
      <alignment wrapText="1"/>
      <protection locked="0"/>
    </xf>
    <xf numFmtId="0" fontId="0" fillId="45" borderId="29" xfId="0" applyFill="1" applyBorder="1" applyAlignment="1" applyProtection="1">
      <alignment wrapText="1"/>
      <protection locked="0"/>
    </xf>
    <xf numFmtId="0" fontId="0" fillId="45" borderId="0" xfId="0" applyFill="1" applyBorder="1" applyAlignment="1" applyProtection="1">
      <alignment wrapText="1"/>
      <protection locked="0"/>
    </xf>
    <xf numFmtId="0" fontId="0" fillId="45" borderId="28" xfId="0" applyFill="1" applyBorder="1" applyAlignment="1" applyProtection="1">
      <alignment wrapText="1"/>
      <protection locked="0"/>
    </xf>
    <xf numFmtId="0" fontId="0" fillId="45" borderId="25" xfId="0" applyFill="1" applyBorder="1" applyAlignment="1" applyProtection="1">
      <alignment wrapText="1"/>
      <protection locked="0"/>
    </xf>
    <xf numFmtId="0" fontId="0" fillId="45" borderId="26" xfId="0" applyFill="1" applyBorder="1" applyAlignment="1" applyProtection="1">
      <alignment wrapText="1"/>
      <protection locked="0"/>
    </xf>
    <xf numFmtId="0" fontId="0" fillId="45" borderId="27" xfId="0" applyFill="1" applyBorder="1" applyAlignment="1" applyProtection="1">
      <alignment wrapText="1"/>
      <protection locked="0"/>
    </xf>
    <xf numFmtId="0" fontId="67" fillId="0" borderId="0" xfId="0" applyFont="1"/>
    <xf numFmtId="0" fontId="16" fillId="0" borderId="0" xfId="0" applyFont="1" applyAlignment="1">
      <alignment horizontal="center" vertical="top" wrapText="1"/>
    </xf>
    <xf numFmtId="0" fontId="16" fillId="0" borderId="0" xfId="0" applyFont="1" applyBorder="1" applyAlignment="1">
      <alignment horizontal="right"/>
    </xf>
    <xf numFmtId="49" fontId="0" fillId="38" borderId="22" xfId="47" applyNumberFormat="1" applyFont="1" applyBorder="1" applyAlignment="1">
      <alignment horizontal="center"/>
      <protection locked="0"/>
    </xf>
    <xf numFmtId="49" fontId="0" fillId="38" borderId="24" xfId="47" applyNumberFormat="1" applyFont="1" applyBorder="1" applyAlignment="1">
      <alignment horizontal="center"/>
      <protection locked="0"/>
    </xf>
    <xf numFmtId="49" fontId="0" fillId="38" borderId="25" xfId="47" applyNumberFormat="1" applyFont="1" applyBorder="1" applyAlignment="1">
      <alignment horizontal="center"/>
      <protection locked="0"/>
    </xf>
    <xf numFmtId="49" fontId="0" fillId="38" borderId="27" xfId="47" applyNumberFormat="1" applyFont="1" applyBorder="1" applyAlignment="1">
      <alignment horizontal="center"/>
      <protection locked="0"/>
    </xf>
    <xf numFmtId="49" fontId="0" fillId="38" borderId="22" xfId="47" applyNumberFormat="1" applyFont="1" applyBorder="1" applyAlignment="1">
      <alignment horizontal="center" wrapText="1"/>
      <protection locked="0"/>
    </xf>
    <xf numFmtId="49" fontId="0" fillId="38" borderId="23" xfId="47" applyNumberFormat="1" applyFont="1" applyBorder="1" applyAlignment="1">
      <alignment horizontal="center" wrapText="1"/>
      <protection locked="0"/>
    </xf>
    <xf numFmtId="49" fontId="0" fillId="38" borderId="24" xfId="47" applyNumberFormat="1" applyFont="1" applyBorder="1" applyAlignment="1">
      <alignment horizontal="center" wrapText="1"/>
      <protection locked="0"/>
    </xf>
    <xf numFmtId="49" fontId="0" fillId="38" borderId="29" xfId="47" applyNumberFormat="1" applyFont="1" applyBorder="1" applyAlignment="1">
      <alignment horizontal="center" wrapText="1"/>
      <protection locked="0"/>
    </xf>
    <xf numFmtId="49" fontId="0" fillId="38" borderId="0" xfId="47" applyNumberFormat="1" applyFont="1" applyBorder="1" applyAlignment="1">
      <alignment horizontal="center" wrapText="1"/>
      <protection locked="0"/>
    </xf>
    <xf numFmtId="49" fontId="0" fillId="38" borderId="28" xfId="47" applyNumberFormat="1" applyFont="1" applyBorder="1" applyAlignment="1">
      <alignment horizontal="center" wrapText="1"/>
      <protection locked="0"/>
    </xf>
    <xf numFmtId="49" fontId="0" fillId="38" borderId="25" xfId="47" applyNumberFormat="1" applyFont="1" applyBorder="1" applyAlignment="1">
      <alignment horizontal="center" wrapText="1"/>
      <protection locked="0"/>
    </xf>
    <xf numFmtId="49" fontId="0" fillId="38" borderId="26" xfId="47" applyNumberFormat="1" applyFont="1" applyBorder="1" applyAlignment="1">
      <alignment horizontal="center" wrapText="1"/>
      <protection locked="0"/>
    </xf>
    <xf numFmtId="49" fontId="0" fillId="38" borderId="27" xfId="47" applyNumberFormat="1" applyFont="1" applyBorder="1" applyAlignment="1">
      <alignment horizontal="center" wrapText="1"/>
      <protection locked="0"/>
    </xf>
    <xf numFmtId="0" fontId="16" fillId="0" borderId="0" xfId="0" applyFont="1" applyBorder="1" applyAlignment="1">
      <alignment horizontal="left" vertical="center"/>
    </xf>
    <xf numFmtId="0" fontId="16" fillId="0" borderId="28" xfId="0" applyFont="1" applyBorder="1" applyAlignment="1">
      <alignment horizontal="right" vertical="center" wrapText="1"/>
    </xf>
    <xf numFmtId="0" fontId="79" fillId="0" borderId="92" xfId="0" applyFont="1" applyBorder="1" applyAlignment="1">
      <alignment horizontal="center" vertical="top" wrapText="1"/>
    </xf>
    <xf numFmtId="0" fontId="79" fillId="0" borderId="91" xfId="0" applyFont="1" applyBorder="1" applyAlignment="1">
      <alignment horizontal="center" vertical="top" wrapText="1"/>
    </xf>
    <xf numFmtId="0" fontId="78" fillId="46" borderId="93" xfId="0" applyFont="1" applyFill="1" applyBorder="1" applyAlignment="1">
      <alignment horizontal="center" vertical="top" wrapText="1"/>
    </xf>
    <xf numFmtId="0" fontId="78" fillId="46" borderId="92" xfId="0" applyFont="1" applyFill="1" applyBorder="1" applyAlignment="1">
      <alignment horizontal="center" vertical="top" wrapText="1"/>
    </xf>
    <xf numFmtId="0" fontId="79" fillId="0" borderId="0" xfId="0" applyFont="1" applyBorder="1" applyAlignment="1">
      <alignment horizontal="justify" vertical="top" wrapText="1"/>
    </xf>
    <xf numFmtId="0" fontId="80" fillId="47" borderId="94" xfId="0" applyFont="1" applyFill="1" applyBorder="1" applyAlignment="1">
      <alignment vertical="center" wrapText="1"/>
    </xf>
    <xf numFmtId="0" fontId="80" fillId="47" borderId="0" xfId="0" applyFont="1" applyFill="1" applyBorder="1" applyAlignment="1">
      <alignment vertical="center" wrapText="1"/>
    </xf>
    <xf numFmtId="0" fontId="79" fillId="0" borderId="0" xfId="0" applyFont="1" applyAlignment="1">
      <alignment horizontal="justify" vertical="center" wrapText="1"/>
    </xf>
    <xf numFmtId="0" fontId="79" fillId="0" borderId="0" xfId="0" applyFont="1" applyAlignment="1">
      <alignment horizontal="center" vertical="top" wrapText="1"/>
    </xf>
    <xf numFmtId="0" fontId="79" fillId="0" borderId="0" xfId="0" applyFont="1" applyBorder="1" applyAlignment="1">
      <alignment horizontal="center" vertical="top" wrapText="1"/>
    </xf>
    <xf numFmtId="0" fontId="78" fillId="0" borderId="0" xfId="0" applyFont="1" applyAlignment="1">
      <alignment horizontal="justify" vertical="center" wrapText="1"/>
    </xf>
    <xf numFmtId="0" fontId="78" fillId="0" borderId="86" xfId="0" applyFont="1" applyBorder="1" applyAlignment="1">
      <alignment horizontal="center" vertical="top" wrapText="1"/>
    </xf>
    <xf numFmtId="0" fontId="78" fillId="0" borderId="85" xfId="0" applyFont="1" applyBorder="1" applyAlignment="1">
      <alignment horizontal="center" vertical="top" wrapText="1"/>
    </xf>
    <xf numFmtId="0" fontId="77" fillId="0" borderId="0" xfId="0" applyFont="1" applyAlignment="1">
      <alignment vertical="center" wrapText="1"/>
    </xf>
    <xf numFmtId="0" fontId="79" fillId="0" borderId="90" xfId="0" applyFont="1" applyBorder="1" applyAlignment="1">
      <alignment horizontal="center" vertical="top" wrapText="1"/>
    </xf>
    <xf numFmtId="0" fontId="79" fillId="0" borderId="34" xfId="0" applyFont="1" applyBorder="1" applyAlignment="1">
      <alignment horizontal="center" vertical="top" wrapText="1"/>
    </xf>
    <xf numFmtId="0" fontId="78" fillId="0" borderId="88" xfId="0" applyFont="1" applyBorder="1" applyAlignment="1">
      <alignment horizontal="center" vertical="top" wrapText="1"/>
    </xf>
    <xf numFmtId="0" fontId="78" fillId="0" borderId="10" xfId="0" applyFont="1" applyBorder="1" applyAlignment="1">
      <alignment horizontal="center" vertical="top" wrapText="1"/>
    </xf>
    <xf numFmtId="0" fontId="79" fillId="0" borderId="93" xfId="0" applyFont="1" applyBorder="1" applyAlignment="1">
      <alignment horizontal="center" vertical="top" wrapText="1"/>
    </xf>
    <xf numFmtId="0" fontId="78" fillId="0" borderId="90" xfId="0" applyFont="1" applyBorder="1" applyAlignment="1">
      <alignment horizontal="center" vertical="top" wrapText="1"/>
    </xf>
    <xf numFmtId="0" fontId="78" fillId="0" borderId="34" xfId="0" applyFont="1" applyBorder="1" applyAlignment="1">
      <alignment horizontal="center" vertical="top" wrapText="1"/>
    </xf>
    <xf numFmtId="0" fontId="79" fillId="0" borderId="89" xfId="0" applyFont="1" applyBorder="1" applyAlignment="1">
      <alignment horizontal="center" vertical="top" wrapText="1"/>
    </xf>
    <xf numFmtId="0" fontId="77" fillId="0" borderId="0" xfId="0" applyFont="1" applyBorder="1" applyAlignment="1">
      <alignment vertical="center" wrapText="1"/>
    </xf>
    <xf numFmtId="0" fontId="78" fillId="0" borderId="0" xfId="0" applyFont="1" applyAlignment="1">
      <alignment vertical="top" wrapText="1"/>
    </xf>
    <xf numFmtId="0" fontId="78" fillId="0" borderId="0" xfId="0" applyFont="1" applyAlignment="1">
      <alignment horizontal="justify" vertical="top" wrapText="1"/>
    </xf>
    <xf numFmtId="0" fontId="79" fillId="0" borderId="98" xfId="0" applyFont="1" applyBorder="1" applyAlignment="1">
      <alignment horizontal="center" vertical="top" wrapText="1"/>
    </xf>
    <xf numFmtId="0" fontId="79" fillId="0" borderId="73" xfId="0" applyFont="1" applyBorder="1" applyAlignment="1">
      <alignment horizontal="center" vertical="top" wrapText="1"/>
    </xf>
    <xf numFmtId="0" fontId="89" fillId="0" borderId="0" xfId="0" applyFont="1" applyAlignment="1">
      <alignment wrapText="1"/>
    </xf>
    <xf numFmtId="0" fontId="78" fillId="0" borderId="94" xfId="0" applyFont="1" applyBorder="1" applyAlignment="1">
      <alignment vertical="top" wrapText="1"/>
    </xf>
    <xf numFmtId="0" fontId="78" fillId="0" borderId="0" xfId="0" applyFont="1" applyBorder="1" applyAlignment="1">
      <alignment vertical="top" wrapText="1"/>
    </xf>
    <xf numFmtId="0" fontId="78" fillId="0" borderId="69" xfId="0" applyFont="1" applyBorder="1" applyAlignment="1">
      <alignment vertical="top" wrapText="1"/>
    </xf>
    <xf numFmtId="0" fontId="78" fillId="0" borderId="75" xfId="0" applyFont="1" applyBorder="1" applyAlignment="1">
      <alignment vertical="top" wrapText="1"/>
    </xf>
    <xf numFmtId="0" fontId="79" fillId="0" borderId="0" xfId="0" applyFont="1" applyAlignment="1">
      <alignment horizontal="justify" vertical="top" wrapText="1"/>
    </xf>
    <xf numFmtId="0" fontId="79" fillId="0" borderId="74" xfId="0" applyFont="1" applyBorder="1" applyAlignment="1">
      <alignment horizontal="center" vertical="top" wrapText="1"/>
    </xf>
    <xf numFmtId="0" fontId="79" fillId="0" borderId="97" xfId="0" applyFont="1" applyBorder="1" applyAlignment="1">
      <alignment horizontal="center" vertical="top" wrapText="1"/>
    </xf>
    <xf numFmtId="0" fontId="79" fillId="0" borderId="31" xfId="0" applyFont="1" applyBorder="1" applyAlignment="1">
      <alignment horizontal="center" vertical="top" wrapText="1"/>
    </xf>
    <xf numFmtId="0" fontId="79" fillId="0" borderId="75" xfId="0" applyFont="1" applyBorder="1" applyAlignment="1">
      <alignment horizontal="center" vertical="top" wrapText="1"/>
    </xf>
    <xf numFmtId="0" fontId="82" fillId="0" borderId="0" xfId="0" applyFont="1" applyAlignment="1">
      <alignment horizontal="left" vertical="top"/>
    </xf>
    <xf numFmtId="0" fontId="84" fillId="0" borderId="0" xfId="0" applyFont="1" applyAlignment="1">
      <alignment vertical="top" wrapText="1"/>
    </xf>
    <xf numFmtId="0" fontId="81" fillId="0" borderId="0" xfId="0" applyFont="1" applyAlignment="1">
      <alignment horizontal="justify" vertical="top" wrapText="1"/>
    </xf>
    <xf numFmtId="0" fontId="78" fillId="0" borderId="0" xfId="0" applyFont="1" applyAlignment="1">
      <alignment horizontal="left" vertical="top" wrapText="1"/>
    </xf>
    <xf numFmtId="0" fontId="78" fillId="0" borderId="94" xfId="0" applyFont="1" applyBorder="1" applyAlignment="1">
      <alignment horizontal="center" vertical="top" wrapText="1"/>
    </xf>
    <xf numFmtId="0" fontId="78" fillId="0" borderId="76" xfId="0" applyFont="1" applyBorder="1" applyAlignment="1">
      <alignment horizontal="center" vertical="top" wrapText="1"/>
    </xf>
    <xf numFmtId="0" fontId="79" fillId="0" borderId="74" xfId="0" applyFont="1" applyBorder="1" applyAlignment="1">
      <alignment horizontal="left" vertical="top" wrapText="1"/>
    </xf>
    <xf numFmtId="0" fontId="79" fillId="0" borderId="73" xfId="0" applyFont="1" applyBorder="1" applyAlignment="1">
      <alignment horizontal="left" vertical="top" wrapText="1"/>
    </xf>
    <xf numFmtId="0" fontId="79" fillId="0" borderId="97" xfId="0" applyFont="1" applyBorder="1" applyAlignment="1">
      <alignment horizontal="left" vertical="top" wrapText="1"/>
    </xf>
    <xf numFmtId="0" fontId="79" fillId="0" borderId="96" xfId="0" applyFont="1" applyBorder="1" applyAlignment="1">
      <alignment horizontal="left" vertical="top" wrapText="1"/>
    </xf>
    <xf numFmtId="0" fontId="79" fillId="0" borderId="72" xfId="0" applyFont="1" applyBorder="1" applyAlignment="1">
      <alignment horizontal="center" vertical="top" wrapText="1"/>
    </xf>
    <xf numFmtId="0" fontId="79" fillId="0" borderId="71" xfId="0" applyFont="1" applyBorder="1" applyAlignment="1">
      <alignment horizontal="center" vertical="top" wrapText="1"/>
    </xf>
    <xf numFmtId="0" fontId="79" fillId="0" borderId="70" xfId="0" applyFont="1" applyBorder="1" applyAlignment="1">
      <alignment horizontal="center" vertical="top" wrapText="1"/>
    </xf>
    <xf numFmtId="0" fontId="78" fillId="0" borderId="69" xfId="0" applyFont="1" applyBorder="1" applyAlignment="1">
      <alignment horizontal="center" vertical="top" wrapText="1"/>
    </xf>
    <xf numFmtId="0" fontId="78" fillId="0" borderId="65" xfId="0" applyFont="1" applyBorder="1" applyAlignment="1">
      <alignment horizontal="center" vertical="top" wrapText="1"/>
    </xf>
    <xf numFmtId="0" fontId="78" fillId="0" borderId="88" xfId="0" applyFont="1" applyBorder="1" applyAlignment="1">
      <alignment vertical="center" wrapText="1"/>
    </xf>
    <xf numFmtId="0" fontId="78" fillId="0" borderId="10" xfId="0" applyFont="1" applyBorder="1" applyAlignment="1">
      <alignment vertical="center" wrapText="1"/>
    </xf>
    <xf numFmtId="0" fontId="79" fillId="0" borderId="0" xfId="0" applyFont="1" applyBorder="1" applyAlignment="1">
      <alignment horizontal="center" vertical="center" wrapText="1"/>
    </xf>
    <xf numFmtId="0" fontId="78" fillId="0" borderId="87" xfId="0" applyFont="1" applyBorder="1" applyAlignment="1">
      <alignment vertical="center" wrapText="1"/>
    </xf>
    <xf numFmtId="0" fontId="78" fillId="0" borderId="108" xfId="0" applyFont="1" applyBorder="1" applyAlignment="1">
      <alignment vertical="center" wrapText="1"/>
    </xf>
    <xf numFmtId="0" fontId="78" fillId="0" borderId="107" xfId="0" applyFont="1" applyBorder="1" applyAlignment="1">
      <alignment vertical="center" wrapText="1"/>
    </xf>
    <xf numFmtId="0" fontId="78" fillId="0" borderId="85" xfId="0" applyFont="1" applyBorder="1" applyAlignment="1">
      <alignment vertical="center" wrapText="1"/>
    </xf>
    <xf numFmtId="0" fontId="78" fillId="0" borderId="84" xfId="0" applyFont="1" applyBorder="1" applyAlignment="1">
      <alignment vertical="center" wrapText="1"/>
    </xf>
    <xf numFmtId="0" fontId="79" fillId="0" borderId="0" xfId="0" applyFont="1" applyBorder="1" applyAlignment="1">
      <alignment horizontal="justify" vertical="center" wrapText="1"/>
    </xf>
    <xf numFmtId="0" fontId="79" fillId="0" borderId="75" xfId="0" applyFont="1" applyBorder="1" applyAlignment="1">
      <alignment horizontal="center" vertical="center" wrapText="1"/>
    </xf>
    <xf numFmtId="0" fontId="78" fillId="0" borderId="0" xfId="0" applyFont="1" applyBorder="1" applyAlignment="1">
      <alignment horizontal="justify" vertical="center" wrapText="1"/>
    </xf>
    <xf numFmtId="0" fontId="79" fillId="0" borderId="74" xfId="0" applyFont="1" applyBorder="1" applyAlignment="1">
      <alignment horizontal="center" vertical="center" wrapText="1"/>
    </xf>
    <xf numFmtId="0" fontId="79" fillId="0" borderId="98" xfId="0" applyFont="1" applyBorder="1" applyAlignment="1">
      <alignment horizontal="center" vertical="center" wrapText="1"/>
    </xf>
    <xf numFmtId="0" fontId="79" fillId="0" borderId="73" xfId="0" applyFont="1" applyBorder="1" applyAlignment="1">
      <alignment horizontal="center" vertical="center" wrapText="1"/>
    </xf>
    <xf numFmtId="0" fontId="79" fillId="0" borderId="69" xfId="0" applyFont="1" applyBorder="1" applyAlignment="1">
      <alignment horizontal="center" vertical="center" wrapText="1"/>
    </xf>
    <xf numFmtId="0" fontId="79" fillId="0" borderId="65" xfId="0" applyFont="1" applyBorder="1" applyAlignment="1">
      <alignment horizontal="center" vertical="center" wrapText="1"/>
    </xf>
    <xf numFmtId="0" fontId="79" fillId="0" borderId="103" xfId="0" applyFont="1" applyBorder="1" applyAlignment="1">
      <alignment horizontal="center" vertical="center" wrapText="1"/>
    </xf>
    <xf numFmtId="0" fontId="79" fillId="0" borderId="102" xfId="0" applyFont="1" applyBorder="1" applyAlignment="1">
      <alignment horizontal="center" vertical="center" wrapText="1"/>
    </xf>
    <xf numFmtId="0" fontId="79" fillId="0" borderId="101" xfId="0" applyFont="1" applyBorder="1" applyAlignment="1">
      <alignment horizontal="center" vertical="center" wrapText="1"/>
    </xf>
    <xf numFmtId="0" fontId="78" fillId="0" borderId="100" xfId="0" applyFont="1" applyBorder="1" applyAlignment="1">
      <alignment vertical="center" wrapText="1"/>
    </xf>
    <xf numFmtId="0" fontId="78" fillId="0" borderId="17" xfId="0" applyFont="1" applyBorder="1" applyAlignment="1">
      <alignment vertical="center" wrapText="1"/>
    </xf>
    <xf numFmtId="0" fontId="78" fillId="0" borderId="86" xfId="0" applyFont="1" applyBorder="1" applyAlignment="1">
      <alignment vertical="center" wrapText="1"/>
    </xf>
    <xf numFmtId="0" fontId="81" fillId="0" borderId="10" xfId="0" applyFont="1" applyBorder="1" applyAlignment="1">
      <alignment vertical="center" wrapText="1"/>
    </xf>
    <xf numFmtId="0" fontId="81" fillId="0" borderId="87" xfId="0" applyFont="1" applyBorder="1" applyAlignment="1">
      <alignment vertical="center" wrapText="1"/>
    </xf>
    <xf numFmtId="0" fontId="74" fillId="0" borderId="10" xfId="67" applyBorder="1" applyAlignment="1">
      <alignment vertical="center" wrapText="1"/>
    </xf>
    <xf numFmtId="0" fontId="74" fillId="0" borderId="87" xfId="67" applyBorder="1" applyAlignment="1">
      <alignment vertical="center" wrapText="1"/>
    </xf>
    <xf numFmtId="0" fontId="81" fillId="0" borderId="17" xfId="0" applyFont="1" applyBorder="1" applyAlignment="1">
      <alignment vertical="center" wrapText="1"/>
    </xf>
    <xf numFmtId="0" fontId="81" fillId="0" borderId="99" xfId="0" applyFont="1" applyBorder="1" applyAlignment="1">
      <alignment vertical="center" wrapText="1"/>
    </xf>
    <xf numFmtId="0" fontId="82" fillId="0" borderId="0" xfId="0" applyFont="1" applyAlignment="1">
      <alignment horizontal="left" vertical="center" wrapText="1"/>
    </xf>
    <xf numFmtId="0" fontId="81" fillId="0" borderId="85" xfId="0" applyFont="1" applyBorder="1" applyAlignment="1">
      <alignment vertical="center" wrapText="1"/>
    </xf>
    <xf numFmtId="0" fontId="81" fillId="0" borderId="84" xfId="0" applyFont="1" applyBorder="1" applyAlignment="1">
      <alignment vertical="center" wrapText="1"/>
    </xf>
    <xf numFmtId="0" fontId="79" fillId="0" borderId="28" xfId="0" applyFont="1" applyBorder="1" applyAlignment="1">
      <alignment horizontal="center" vertical="center" wrapText="1"/>
    </xf>
    <xf numFmtId="0" fontId="79" fillId="0" borderId="16" xfId="0" applyFont="1" applyBorder="1" applyAlignment="1">
      <alignment horizontal="center" vertical="center" wrapText="1"/>
    </xf>
    <xf numFmtId="0" fontId="79" fillId="0" borderId="29" xfId="0" applyFont="1" applyBorder="1" applyAlignment="1">
      <alignment horizontal="center" vertical="center" wrapText="1"/>
    </xf>
    <xf numFmtId="0" fontId="79" fillId="0" borderId="106" xfId="0" applyFont="1" applyBorder="1" applyAlignment="1">
      <alignment horizontal="center" vertical="center" wrapText="1"/>
    </xf>
    <xf numFmtId="0" fontId="79" fillId="0" borderId="105" xfId="0" applyFont="1" applyBorder="1" applyAlignment="1">
      <alignment horizontal="center" vertical="center" wrapText="1"/>
    </xf>
    <xf numFmtId="0" fontId="79" fillId="0" borderId="104" xfId="0" applyFont="1" applyBorder="1" applyAlignment="1">
      <alignment horizontal="center" vertical="center" wrapText="1"/>
    </xf>
    <xf numFmtId="0" fontId="78" fillId="0" borderId="109" xfId="0" applyFont="1" applyBorder="1" applyAlignment="1">
      <alignment vertical="center" wrapText="1"/>
    </xf>
    <xf numFmtId="0" fontId="59" fillId="37" borderId="78" xfId="57" applyFill="1" applyBorder="1" applyAlignment="1" applyProtection="1">
      <alignment horizontal="center"/>
      <protection locked="0"/>
    </xf>
    <xf numFmtId="0" fontId="59" fillId="37" borderId="79" xfId="57" applyFill="1" applyBorder="1" applyAlignment="1" applyProtection="1">
      <alignment horizontal="center"/>
      <protection locked="0"/>
    </xf>
    <xf numFmtId="0" fontId="59" fillId="37" borderId="80" xfId="57" applyFill="1" applyBorder="1" applyAlignment="1" applyProtection="1">
      <alignment horizontal="center"/>
      <protection locked="0"/>
    </xf>
    <xf numFmtId="0" fontId="27" fillId="0" borderId="12" xfId="0" applyFont="1" applyBorder="1" applyAlignment="1">
      <alignment horizontal="center" vertical="center"/>
    </xf>
    <xf numFmtId="0" fontId="27" fillId="0" borderId="13" xfId="0" applyFont="1" applyBorder="1" applyAlignment="1">
      <alignment horizontal="center" vertical="center"/>
    </xf>
    <xf numFmtId="0" fontId="59" fillId="37" borderId="46" xfId="57" applyFill="1" applyBorder="1" applyAlignment="1" applyProtection="1">
      <alignment horizontal="center"/>
      <protection locked="0"/>
    </xf>
    <xf numFmtId="0" fontId="27" fillId="0" borderId="0" xfId="0" applyFont="1" applyAlignment="1">
      <alignment vertical="center" wrapText="1"/>
    </xf>
    <xf numFmtId="0" fontId="26" fillId="0" borderId="0" xfId="0" applyFont="1" applyAlignment="1">
      <alignment horizontal="center" vertical="center"/>
    </xf>
    <xf numFmtId="0" fontId="26" fillId="0" borderId="12"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10" xfId="0" applyFont="1" applyBorder="1" applyAlignment="1">
      <alignment horizontal="center" vertical="center"/>
    </xf>
    <xf numFmtId="0" fontId="27" fillId="0" borderId="10" xfId="0" applyFont="1" applyBorder="1" applyAlignment="1">
      <alignment horizontal="center" vertical="center"/>
    </xf>
    <xf numFmtId="0" fontId="26" fillId="0" borderId="26" xfId="0" applyFont="1" applyBorder="1" applyAlignment="1">
      <alignment horizontal="center" vertical="center" wrapText="1"/>
    </xf>
    <xf numFmtId="0" fontId="59" fillId="0" borderId="0" xfId="57" applyAlignment="1" applyProtection="1">
      <alignment horizontal="left" vertical="top" wrapText="1"/>
      <protection locked="0"/>
    </xf>
    <xf numFmtId="0" fontId="26" fillId="0" borderId="12" xfId="0" applyFont="1" applyBorder="1" applyAlignment="1">
      <alignment horizontal="center" vertical="center"/>
    </xf>
    <xf numFmtId="0" fontId="26" fillId="0" borderId="13" xfId="0" applyFont="1" applyBorder="1" applyAlignment="1">
      <alignment horizontal="center" vertical="center"/>
    </xf>
    <xf numFmtId="0" fontId="46" fillId="43" borderId="12" xfId="0" applyFont="1" applyFill="1" applyBorder="1" applyAlignment="1">
      <alignment horizontal="center" vertical="center" wrapText="1"/>
    </xf>
    <xf numFmtId="0" fontId="46" fillId="43" borderId="21" xfId="0" applyFont="1" applyFill="1" applyBorder="1" applyAlignment="1">
      <alignment horizontal="center" vertical="center" wrapText="1"/>
    </xf>
    <xf numFmtId="0" fontId="46" fillId="43" borderId="13" xfId="0" applyFont="1" applyFill="1" applyBorder="1" applyAlignment="1">
      <alignment horizontal="center" vertical="center" wrapText="1"/>
    </xf>
    <xf numFmtId="0" fontId="46" fillId="43" borderId="21" xfId="0" applyFont="1" applyFill="1" applyBorder="1" applyAlignment="1">
      <alignment horizontal="center" vertical="top" wrapText="1"/>
    </xf>
    <xf numFmtId="0" fontId="26" fillId="0" borderId="15" xfId="0" applyFont="1" applyBorder="1" applyAlignment="1">
      <alignment horizontal="center" vertical="center" wrapText="1"/>
    </xf>
    <xf numFmtId="0" fontId="26" fillId="0" borderId="17" xfId="0" applyFont="1" applyBorder="1" applyAlignment="1">
      <alignment horizontal="center" vertical="center" wrapText="1"/>
    </xf>
    <xf numFmtId="0" fontId="59" fillId="37" borderId="10" xfId="57" applyFill="1" applyBorder="1" applyAlignment="1" applyProtection="1">
      <alignment horizontal="center"/>
      <protection locked="0"/>
    </xf>
    <xf numFmtId="0" fontId="59" fillId="0" borderId="41" xfId="57" applyBorder="1" applyAlignment="1" applyProtection="1">
      <alignment horizontal="center"/>
    </xf>
    <xf numFmtId="0" fontId="59" fillId="0" borderId="0" xfId="57" applyBorder="1" applyAlignment="1" applyProtection="1">
      <alignment horizontal="center"/>
    </xf>
    <xf numFmtId="0" fontId="21" fillId="34" borderId="38" xfId="50" applyBorder="1" applyAlignment="1">
      <alignment vertical="center"/>
    </xf>
    <xf numFmtId="0" fontId="21" fillId="34" borderId="39" xfId="50" applyBorder="1" applyAlignment="1">
      <alignment vertical="center"/>
    </xf>
    <xf numFmtId="0" fontId="21" fillId="34" borderId="40" xfId="50" applyBorder="1" applyAlignment="1">
      <alignment vertical="center"/>
    </xf>
    <xf numFmtId="0" fontId="25" fillId="0" borderId="26" xfId="0" applyFont="1" applyBorder="1" applyAlignment="1">
      <alignment horizontal="center" wrapText="1"/>
    </xf>
    <xf numFmtId="0" fontId="26" fillId="0" borderId="0" xfId="0" applyFont="1" applyAlignment="1">
      <alignment horizontal="center" vertical="top" wrapText="1"/>
    </xf>
    <xf numFmtId="0" fontId="50" fillId="0" borderId="22" xfId="0" applyFont="1" applyBorder="1" applyAlignment="1">
      <alignment horizontal="left" vertical="top" wrapText="1"/>
    </xf>
    <xf numFmtId="0" fontId="50" fillId="0" borderId="23" xfId="0" applyFont="1" applyBorder="1" applyAlignment="1">
      <alignment horizontal="left" vertical="top" wrapText="1"/>
    </xf>
    <xf numFmtId="0" fontId="50" fillId="0" borderId="24" xfId="0" applyFont="1" applyBorder="1" applyAlignment="1">
      <alignment horizontal="left" vertical="top" wrapText="1"/>
    </xf>
    <xf numFmtId="0" fontId="50" fillId="0" borderId="29" xfId="0" applyFont="1" applyBorder="1" applyAlignment="1">
      <alignment horizontal="left" vertical="top" wrapText="1"/>
    </xf>
    <xf numFmtId="0" fontId="50" fillId="0" borderId="0" xfId="0" applyFont="1" applyBorder="1" applyAlignment="1">
      <alignment horizontal="left" vertical="top" wrapText="1"/>
    </xf>
    <xf numFmtId="0" fontId="50" fillId="0" borderId="28" xfId="0" applyFont="1" applyBorder="1" applyAlignment="1">
      <alignment horizontal="left" vertical="top" wrapText="1"/>
    </xf>
    <xf numFmtId="0" fontId="38" fillId="0" borderId="25" xfId="0" applyFont="1" applyBorder="1" applyAlignment="1">
      <alignment horizontal="left" vertical="top" wrapText="1"/>
    </xf>
    <xf numFmtId="0" fontId="38" fillId="0" borderId="26" xfId="0" applyFont="1" applyBorder="1" applyAlignment="1">
      <alignment horizontal="left" vertical="top" wrapText="1"/>
    </xf>
    <xf numFmtId="0" fontId="38" fillId="0" borderId="27" xfId="0" applyFont="1" applyBorder="1" applyAlignment="1">
      <alignment horizontal="left" vertical="top" wrapText="1"/>
    </xf>
    <xf numFmtId="0" fontId="18" fillId="0" borderId="10" xfId="0" applyFont="1" applyBorder="1" applyAlignment="1">
      <alignment horizontal="left" wrapText="1"/>
    </xf>
    <xf numFmtId="0" fontId="18" fillId="0" borderId="12" xfId="0" applyFont="1" applyBorder="1" applyAlignment="1">
      <alignment horizontal="center" vertical="center"/>
    </xf>
    <xf numFmtId="0" fontId="18" fillId="0" borderId="21" xfId="0" applyFont="1" applyBorder="1" applyAlignment="1">
      <alignment horizontal="center" vertical="center"/>
    </xf>
    <xf numFmtId="0" fontId="18" fillId="0" borderId="13" xfId="0" applyFont="1" applyBorder="1" applyAlignment="1">
      <alignment horizontal="center" vertical="center"/>
    </xf>
    <xf numFmtId="0" fontId="18" fillId="0" borderId="22" xfId="0" applyFont="1" applyBorder="1" applyAlignment="1">
      <alignment horizontal="center" vertical="center" wrapText="1"/>
    </xf>
    <xf numFmtId="0" fontId="18" fillId="0" borderId="29" xfId="0" applyFont="1" applyBorder="1" applyAlignment="1">
      <alignment horizontal="center" vertical="center" wrapText="1"/>
    </xf>
    <xf numFmtId="0" fontId="18" fillId="0" borderId="25" xfId="0" applyFont="1" applyBorder="1" applyAlignment="1">
      <alignment horizontal="center" vertical="center" wrapText="1"/>
    </xf>
    <xf numFmtId="0" fontId="45" fillId="43" borderId="12" xfId="0" applyFont="1" applyFill="1" applyBorder="1" applyAlignment="1">
      <alignment horizontal="center"/>
    </xf>
    <xf numFmtId="0" fontId="45" fillId="43" borderId="21" xfId="0" applyFont="1" applyFill="1" applyBorder="1" applyAlignment="1">
      <alignment horizontal="center"/>
    </xf>
    <xf numFmtId="0" fontId="45" fillId="43" borderId="13" xfId="0" applyFont="1" applyFill="1" applyBorder="1" applyAlignment="1">
      <alignment horizontal="center"/>
    </xf>
    <xf numFmtId="0" fontId="18" fillId="0" borderId="10" xfId="0" applyFont="1" applyBorder="1" applyAlignment="1">
      <alignment horizontal="center" vertical="center"/>
    </xf>
    <xf numFmtId="0" fontId="25" fillId="0" borderId="0" xfId="0" applyFont="1" applyAlignment="1">
      <alignment horizontal="center"/>
    </xf>
    <xf numFmtId="0" fontId="25" fillId="0" borderId="22"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25" xfId="0" applyFont="1" applyBorder="1" applyAlignment="1">
      <alignment horizontal="center" vertical="center" wrapText="1"/>
    </xf>
    <xf numFmtId="0" fontId="25" fillId="0" borderId="12" xfId="0" applyFont="1" applyBorder="1" applyAlignment="1">
      <alignment horizontal="center" vertical="center"/>
    </xf>
    <xf numFmtId="0" fontId="25" fillId="0" borderId="21" xfId="0" applyFont="1" applyBorder="1" applyAlignment="1">
      <alignment horizontal="center" vertical="center"/>
    </xf>
    <xf numFmtId="0" fontId="25" fillId="0" borderId="13" xfId="0" applyFont="1" applyBorder="1" applyAlignment="1">
      <alignment horizontal="center" vertical="center"/>
    </xf>
    <xf numFmtId="0" fontId="18" fillId="0" borderId="12" xfId="0" applyNumberFormat="1" applyFont="1" applyBorder="1" applyAlignment="1">
      <alignment horizontal="center" vertical="center" wrapText="1"/>
    </xf>
    <xf numFmtId="0" fontId="18" fillId="0" borderId="13" xfId="0" applyNumberFormat="1" applyFont="1" applyBorder="1" applyAlignment="1">
      <alignment horizontal="center" vertical="center" wrapText="1"/>
    </xf>
    <xf numFmtId="0" fontId="45" fillId="43" borderId="15" xfId="0" applyFont="1" applyFill="1" applyBorder="1" applyAlignment="1">
      <alignment horizontal="center" vertical="center" wrapText="1"/>
    </xf>
    <xf numFmtId="0" fontId="45" fillId="43" borderId="17" xfId="0" applyFont="1" applyFill="1" applyBorder="1" applyAlignment="1">
      <alignment horizontal="center" vertical="center" wrapText="1"/>
    </xf>
    <xf numFmtId="0" fontId="27" fillId="0" borderId="0" xfId="0" applyFont="1" applyAlignment="1">
      <alignment horizontal="left" vertical="top" wrapText="1"/>
    </xf>
    <xf numFmtId="0" fontId="18" fillId="0" borderId="15" xfId="0" applyFont="1" applyBorder="1" applyAlignment="1">
      <alignment horizontal="center" vertical="center" wrapText="1"/>
    </xf>
    <xf numFmtId="0" fontId="18" fillId="0" borderId="17" xfId="0" applyFont="1" applyBorder="1" applyAlignment="1">
      <alignment horizontal="center" vertical="center" wrapText="1"/>
    </xf>
    <xf numFmtId="0" fontId="26" fillId="0" borderId="68" xfId="0" applyFont="1" applyBorder="1" applyAlignment="1">
      <alignment horizontal="center" vertical="center" textRotation="90" wrapText="1"/>
    </xf>
    <xf numFmtId="0" fontId="26" fillId="0" borderId="67" xfId="0" applyFont="1" applyBorder="1" applyAlignment="1">
      <alignment horizontal="center" vertical="center" textRotation="90" wrapText="1"/>
    </xf>
    <xf numFmtId="0" fontId="26" fillId="0" borderId="66" xfId="0" applyFont="1" applyBorder="1" applyAlignment="1">
      <alignment horizontal="center" vertical="center" textRotation="90" wrapText="1"/>
    </xf>
    <xf numFmtId="0" fontId="26" fillId="0" borderId="75" xfId="0" applyFont="1" applyBorder="1" applyAlignment="1">
      <alignment horizontal="center" vertical="center"/>
    </xf>
    <xf numFmtId="0" fontId="26" fillId="44" borderId="74" xfId="0" applyFont="1" applyFill="1" applyBorder="1" applyAlignment="1">
      <alignment horizontal="center" vertical="center"/>
    </xf>
    <xf numFmtId="0" fontId="26" fillId="44" borderId="73" xfId="0" applyFont="1" applyFill="1" applyBorder="1" applyAlignment="1">
      <alignment horizontal="center" vertical="center"/>
    </xf>
    <xf numFmtId="0" fontId="26" fillId="44" borderId="69" xfId="0" applyFont="1" applyFill="1" applyBorder="1" applyAlignment="1">
      <alignment horizontal="center" vertical="center"/>
    </xf>
    <xf numFmtId="0" fontId="26" fillId="44" borderId="65" xfId="0" applyFont="1" applyFill="1" applyBorder="1" applyAlignment="1">
      <alignment horizontal="center" vertical="center"/>
    </xf>
    <xf numFmtId="0" fontId="26" fillId="0" borderId="72" xfId="0" applyFont="1" applyBorder="1" applyAlignment="1">
      <alignment horizontal="center" vertical="center" wrapText="1"/>
    </xf>
    <xf numFmtId="0" fontId="26" fillId="0" borderId="71" xfId="0" applyFont="1" applyBorder="1" applyAlignment="1">
      <alignment horizontal="center" vertical="center" wrapText="1"/>
    </xf>
    <xf numFmtId="0" fontId="26" fillId="0" borderId="70" xfId="0" applyFont="1" applyBorder="1" applyAlignment="1">
      <alignment horizontal="center" vertical="center" wrapText="1"/>
    </xf>
    <xf numFmtId="0" fontId="59" fillId="37" borderId="110" xfId="57" applyFill="1" applyBorder="1" applyAlignment="1" applyProtection="1">
      <alignment horizontal="center"/>
      <protection locked="0"/>
    </xf>
    <xf numFmtId="0" fontId="59" fillId="37" borderId="111" xfId="57" applyFill="1" applyBorder="1" applyAlignment="1" applyProtection="1">
      <alignment horizontal="center"/>
      <protection locked="0"/>
    </xf>
    <xf numFmtId="0" fontId="59" fillId="37" borderId="112" xfId="57" applyFill="1" applyBorder="1" applyAlignment="1" applyProtection="1">
      <alignment horizontal="center"/>
      <protection locked="0"/>
    </xf>
    <xf numFmtId="0" fontId="25" fillId="0" borderId="10" xfId="0" applyFont="1" applyBorder="1" applyAlignment="1">
      <alignment horizontal="center"/>
    </xf>
    <xf numFmtId="0" fontId="25" fillId="0" borderId="26" xfId="0" applyFont="1" applyBorder="1" applyAlignment="1">
      <alignment horizontal="center"/>
    </xf>
    <xf numFmtId="0" fontId="25" fillId="0" borderId="0" xfId="0" applyFont="1" applyBorder="1" applyAlignment="1">
      <alignment horizontal="center"/>
    </xf>
    <xf numFmtId="0" fontId="25" fillId="0" borderId="22"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25" fillId="0" borderId="25" xfId="0" applyFont="1" applyFill="1" applyBorder="1" applyAlignment="1">
      <alignment horizontal="center" vertical="center" wrapText="1"/>
    </xf>
    <xf numFmtId="0" fontId="25" fillId="0" borderId="15"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10" xfId="0" applyFont="1" applyBorder="1" applyAlignment="1">
      <alignment horizontal="center" vertical="center" wrapText="1"/>
    </xf>
    <xf numFmtId="0" fontId="55" fillId="0" borderId="68" xfId="0" applyFont="1" applyBorder="1" applyAlignment="1">
      <alignment horizontal="center" vertical="center" wrapText="1"/>
    </xf>
    <xf numFmtId="0" fontId="55" fillId="0" borderId="66" xfId="0" applyFont="1" applyBorder="1" applyAlignment="1">
      <alignment horizontal="center" vertical="center" wrapText="1"/>
    </xf>
    <xf numFmtId="0" fontId="26" fillId="0" borderId="75" xfId="0" applyFont="1" applyBorder="1" applyAlignment="1">
      <alignment horizontal="center" vertical="center" wrapText="1"/>
    </xf>
    <xf numFmtId="0" fontId="27" fillId="0" borderId="0" xfId="0" applyFont="1" applyAlignment="1">
      <alignment horizontal="left" vertical="center"/>
    </xf>
    <xf numFmtId="0" fontId="58" fillId="0" borderId="0" xfId="0" applyFont="1" applyBorder="1" applyAlignment="1">
      <alignment horizontal="left" vertical="top" wrapText="1"/>
    </xf>
    <xf numFmtId="0" fontId="47" fillId="0" borderId="0" xfId="0" applyFont="1" applyAlignment="1">
      <alignment horizontal="left" vertical="top"/>
    </xf>
    <xf numFmtId="0" fontId="0" fillId="0" borderId="0" xfId="0" applyFill="1" applyAlignment="1">
      <alignment horizontal="left" wrapText="1"/>
    </xf>
  </cellXfs>
  <cellStyles count="68">
    <cellStyle name="20% - Accent1" xfId="24" builtinId="30" hidden="1"/>
    <cellStyle name="20% - Accent2" xfId="28" builtinId="34" hidden="1"/>
    <cellStyle name="20% - Accent3" xfId="32" builtinId="38" hidden="1"/>
    <cellStyle name="20% - Accent4" xfId="36" builtinId="42" hidden="1"/>
    <cellStyle name="20% - Accent5" xfId="40" builtinId="46" hidden="1"/>
    <cellStyle name="20% - Accent6" xfId="44" builtinId="50" hidden="1"/>
    <cellStyle name="40% - Accent1" xfId="25" builtinId="31" hidden="1"/>
    <cellStyle name="40% - Accent2" xfId="29" builtinId="35" hidden="1"/>
    <cellStyle name="40% - Accent3" xfId="33" builtinId="39" hidden="1"/>
    <cellStyle name="40% - Accent4" xfId="37" builtinId="43" hidden="1"/>
    <cellStyle name="40% - Accent5" xfId="41" builtinId="47" hidden="1"/>
    <cellStyle name="40% - Accent6" xfId="45" builtinId="51" hidden="1"/>
    <cellStyle name="60% - Accent1" xfId="26" builtinId="32" hidden="1"/>
    <cellStyle name="60% - Accent2" xfId="30" builtinId="36" hidden="1"/>
    <cellStyle name="60% - Accent3" xfId="34" builtinId="40" hidden="1"/>
    <cellStyle name="60% - Accent4" xfId="38" builtinId="44" hidden="1"/>
    <cellStyle name="60% - Accent5" xfId="42" builtinId="48" hidden="1"/>
    <cellStyle name="60% - Accent6" xfId="46" builtinId="52" hidden="1"/>
    <cellStyle name="Accent1" xfId="23" builtinId="29" hidden="1"/>
    <cellStyle name="Accent2" xfId="27" builtinId="33" hidden="1"/>
    <cellStyle name="Accent3" xfId="31" builtinId="37" hidden="1"/>
    <cellStyle name="Accent4" xfId="35" builtinId="41" hidden="1"/>
    <cellStyle name="Accent5" xfId="39" builtinId="45" hidden="1"/>
    <cellStyle name="Accent6" xfId="43" builtinId="49" hidden="1"/>
    <cellStyle name="Answered" xfId="64" xr:uid="{00000000-0005-0000-0000-000018000000}"/>
    <cellStyle name="Bad" xfId="12" builtinId="27" hidden="1"/>
    <cellStyle name="Calculation" xfId="16" builtinId="22" hidden="1"/>
    <cellStyle name="Calculation" xfId="51" builtinId="22" hidden="1" customBuiltin="1"/>
    <cellStyle name="Check Cell" xfId="18" builtinId="23" hidden="1"/>
    <cellStyle name="Comma" xfId="1" builtinId="3" hidden="1"/>
    <cellStyle name="Comma [0]" xfId="2" builtinId="6" hidden="1"/>
    <cellStyle name="Currency" xfId="3" builtinId="4" hidden="1"/>
    <cellStyle name="Currency [0]" xfId="4" builtinId="7" hidden="1"/>
    <cellStyle name="Explanatory Text" xfId="21" builtinId="53" hidden="1"/>
    <cellStyle name="Followed Hyperlink" xfId="56" builtinId="9" hidden="1"/>
    <cellStyle name="Followed Hyperlink" xfId="58" builtinId="9" hidden="1"/>
    <cellStyle name="Followed Hyperlink" xfId="59" builtinId="9" hidden="1"/>
    <cellStyle name="Followed Hyperlink" xfId="61" builtinId="9" hidden="1"/>
    <cellStyle name="Good" xfId="11" builtinId="26" hidden="1"/>
    <cellStyle name="Heading 1" xfId="7" builtinId="16" hidden="1"/>
    <cellStyle name="Heading 2" xfId="8" builtinId="17" hidden="1"/>
    <cellStyle name="Heading 3" xfId="9" builtinId="18" hidden="1"/>
    <cellStyle name="Heading 4" xfId="10" builtinId="19" hidden="1"/>
    <cellStyle name="Hidden" xfId="60" xr:uid="{00000000-0005-0000-0000-00002B000000}"/>
    <cellStyle name="Hyperlink" xfId="49" builtinId="8" hidden="1"/>
    <cellStyle name="Hyperlink" xfId="55" builtinId="8" hidden="1"/>
    <cellStyle name="Hyperlink" xfId="57" builtinId="8" customBuiltin="1"/>
    <cellStyle name="Hyperlink 2" xfId="67" xr:uid="{00000000-0005-0000-0000-00002F000000}"/>
    <cellStyle name="Input" xfId="14" builtinId="20" hidden="1"/>
    <cellStyle name="Linked Cell" xfId="17" builtinId="24" hidden="1"/>
    <cellStyle name="Main Title" xfId="50" xr:uid="{00000000-0005-0000-0000-000032000000}"/>
    <cellStyle name="Mandatory" xfId="47" xr:uid="{00000000-0005-0000-0000-000033000000}"/>
    <cellStyle name="Neutral" xfId="13" builtinId="28" hidden="1"/>
    <cellStyle name="Normal" xfId="0" builtinId="0"/>
    <cellStyle name="Normal Entry" xfId="48" xr:uid="{00000000-0005-0000-0000-000036000000}"/>
    <cellStyle name="Note" xfId="20" builtinId="10" hidden="1"/>
    <cellStyle name="Note" xfId="53" builtinId="10" hidden="1" customBuiltin="1"/>
    <cellStyle name="Note Entry" xfId="54" xr:uid="{00000000-0005-0000-0000-000039000000}"/>
    <cellStyle name="Note Entry 2" xfId="66" xr:uid="{00000000-0005-0000-0000-00003A000000}"/>
    <cellStyle name="Output" xfId="15" builtinId="21" hidden="1"/>
    <cellStyle name="Percent" xfId="5" builtinId="5" hidden="1"/>
    <cellStyle name="Points" xfId="62" xr:uid="{00000000-0005-0000-0000-00003D000000}"/>
    <cellStyle name="Section Header" xfId="63" xr:uid="{00000000-0005-0000-0000-00003E000000}"/>
    <cellStyle name="Title" xfId="6" builtinId="15" hidden="1"/>
    <cellStyle name="Total" xfId="22" builtinId="25" hidden="1"/>
    <cellStyle name="Warning" xfId="52" xr:uid="{00000000-0005-0000-0000-000041000000}"/>
    <cellStyle name="Warning Text" xfId="19" builtinId="11" hidden="1"/>
    <cellStyle name="Warnings" xfId="65" xr:uid="{00000000-0005-0000-0000-000043000000}"/>
  </cellStyles>
  <dxfs count="4410">
    <dxf>
      <font>
        <b/>
        <i val="0"/>
        <color theme="1"/>
      </font>
      <fill>
        <patternFill>
          <bgColor rgb="FFFF0000"/>
        </patternFill>
      </fill>
    </dxf>
    <dxf>
      <fill>
        <patternFill patternType="lightGray"/>
      </fill>
    </dxf>
    <dxf>
      <fill>
        <patternFill patternType="lightGray"/>
      </fill>
    </dxf>
    <dxf>
      <fill>
        <patternFill patternType="lightGray"/>
      </fill>
    </dxf>
    <dxf>
      <fill>
        <patternFill patternType="lightGray"/>
      </fill>
    </dxf>
    <dxf>
      <fill>
        <patternFill>
          <bgColor rgb="FFFF0000"/>
        </patternFill>
      </fill>
    </dxf>
    <dxf>
      <font>
        <strike/>
      </font>
      <fill>
        <patternFill patternType="none">
          <bgColor auto="1"/>
        </patternFill>
      </fill>
    </dxf>
    <dxf>
      <fill>
        <patternFill>
          <bgColor rgb="FFFFFF99"/>
        </patternFill>
      </fill>
    </dxf>
    <dxf>
      <fill>
        <patternFill>
          <bgColor rgb="FF92D050"/>
        </patternFill>
      </fill>
    </dxf>
    <dxf>
      <fill>
        <patternFill patternType="solid">
          <bgColor rgb="FFFFFF99"/>
        </patternFill>
      </fill>
    </dxf>
    <dxf>
      <font>
        <b/>
        <i val="0"/>
        <color theme="1"/>
      </font>
      <fill>
        <patternFill>
          <bgColor rgb="FFFF000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92D050"/>
        </patternFill>
      </fill>
    </dxf>
    <dxf>
      <font>
        <color rgb="FF92D050"/>
      </font>
      <fill>
        <patternFill>
          <bgColor rgb="FF92D050"/>
        </patternFill>
      </fill>
    </dxf>
    <dxf>
      <fill>
        <patternFill>
          <bgColor rgb="FF92D050"/>
        </patternFill>
      </fill>
    </dxf>
    <dxf>
      <font>
        <b/>
        <i val="0"/>
        <color theme="1"/>
      </font>
      <fill>
        <patternFill>
          <bgColor rgb="FFFF0000"/>
        </patternFill>
      </fill>
    </dxf>
    <dxf>
      <fill>
        <patternFill patternType="lightGray"/>
      </fill>
    </dxf>
    <dxf>
      <fill>
        <patternFill patternType="lightGray"/>
      </fill>
    </dxf>
    <dxf>
      <fill>
        <patternFill patternType="lightGray"/>
      </fill>
    </dxf>
    <dxf>
      <fill>
        <patternFill patternType="lightGray"/>
      </fill>
    </dxf>
    <dxf>
      <fill>
        <patternFill>
          <bgColor rgb="FFFFFF99"/>
        </patternFill>
      </fill>
    </dxf>
    <dxf>
      <fill>
        <patternFill>
          <bgColor rgb="FF92D050"/>
        </patternFill>
      </fill>
    </dxf>
    <dxf>
      <font>
        <b/>
        <i val="0"/>
        <color theme="1"/>
      </font>
      <fill>
        <patternFill>
          <bgColor rgb="FFFF000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92D050"/>
        </patternFill>
      </fill>
    </dxf>
    <dxf>
      <font>
        <color rgb="FF92D050"/>
      </font>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theme="0"/>
      </font>
      <fill>
        <patternFill>
          <bgColor theme="0"/>
        </patternFill>
      </fill>
    </dxf>
    <dxf>
      <font>
        <color rgb="FFFFFF00"/>
      </font>
      <fill>
        <patternFill>
          <bgColor rgb="FFFF0000"/>
        </patternFill>
      </fill>
      <border>
        <left style="thin">
          <color auto="1"/>
        </left>
        <right style="thin">
          <color auto="1"/>
        </right>
        <top style="thin">
          <color auto="1"/>
        </top>
        <bottom style="thin">
          <color auto="1"/>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theme="1"/>
      </font>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92D050"/>
        </patternFill>
      </fill>
    </dxf>
    <dxf>
      <fill>
        <patternFill>
          <bgColor rgb="FF92D050"/>
        </patternFill>
      </fill>
    </dxf>
    <dxf>
      <fill>
        <patternFill>
          <bgColor rgb="FF92D05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theme="1"/>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FF99"/>
        </patternFill>
      </fill>
    </dxf>
    <dxf>
      <font>
        <color theme="0"/>
      </font>
      <fill>
        <patternFill patternType="none">
          <bgColor auto="1"/>
        </patternFill>
      </fill>
    </dxf>
    <dxf>
      <font>
        <color theme="0"/>
      </font>
      <fill>
        <patternFill patternType="none">
          <bgColor auto="1"/>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FF0000"/>
      </font>
      <fill>
        <patternFill>
          <bgColor rgb="FFFFFF00"/>
        </patternFill>
      </fill>
    </dxf>
    <dxf>
      <font>
        <color rgb="FFFF0000"/>
      </font>
      <fill>
        <patternFill>
          <bgColor rgb="FFFFFF00"/>
        </patternFill>
      </fill>
    </dxf>
    <dxf>
      <fill>
        <patternFill>
          <bgColor rgb="FFFFFF99"/>
        </patternFill>
      </fill>
    </dxf>
    <dxf>
      <fill>
        <patternFill>
          <bgColor rgb="FFFFFF99"/>
        </patternFill>
      </fill>
    </dxf>
    <dxf>
      <font>
        <color auto="1"/>
      </font>
      <fill>
        <patternFill>
          <bgColor rgb="FF92D050"/>
        </patternFill>
      </fill>
    </dxf>
    <dxf>
      <fill>
        <patternFill>
          <bgColor rgb="FF92D050"/>
        </patternFill>
      </fill>
    </dxf>
    <dxf>
      <fill>
        <patternFill>
          <bgColor rgb="FF92D050"/>
        </patternFill>
      </fill>
    </dxf>
    <dxf>
      <fill>
        <patternFill>
          <bgColor rgb="FF00B050"/>
        </patternFill>
      </fill>
    </dxf>
    <dxf>
      <fill>
        <patternFill>
          <bgColor rgb="FFCC6600"/>
        </patternFill>
      </fill>
    </dxf>
    <dxf>
      <fill>
        <patternFill>
          <bgColor rgb="FFEAEAEA"/>
        </patternFill>
      </fill>
    </dxf>
    <dxf>
      <fill>
        <patternFill>
          <bgColor rgb="FFFFD700"/>
        </patternFill>
      </fill>
    </dxf>
    <dxf>
      <font>
        <color theme="1"/>
      </font>
      <fill>
        <patternFill>
          <bgColor rgb="FFFF0000"/>
        </patternFill>
      </fill>
    </dxf>
    <dxf>
      <font>
        <color theme="1"/>
      </font>
      <fill>
        <patternFill>
          <bgColor rgb="FFFF0000"/>
        </patternFill>
      </fill>
    </dxf>
    <dxf>
      <fill>
        <patternFill patternType="darkGrid">
          <bgColor theme="0"/>
        </patternFill>
      </fill>
    </dxf>
    <dxf>
      <fill>
        <patternFill patternType="darkGrid">
          <bgColor theme="0"/>
        </patternFill>
      </fill>
    </dxf>
    <dxf>
      <font>
        <color theme="1"/>
      </font>
    </dxf>
    <dxf>
      <font>
        <color theme="1"/>
      </font>
    </dxf>
    <dxf>
      <fill>
        <patternFill patternType="darkGrid"/>
      </fill>
    </dxf>
    <dxf>
      <fill>
        <patternFill>
          <bgColor rgb="FFFFFF99"/>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color rgb="FF92D050"/>
      </font>
      <fill>
        <patternFill>
          <bgColor rgb="FF92D050"/>
        </patternFill>
      </fill>
    </dxf>
    <dxf>
      <font>
        <b/>
        <i val="0"/>
        <color theme="1"/>
      </font>
      <fill>
        <patternFill>
          <bgColor rgb="FFFF0000"/>
        </patternFill>
      </fill>
    </dxf>
    <dxf>
      <fill>
        <patternFill patternType="darkGrid"/>
      </fill>
    </dxf>
    <dxf>
      <fill>
        <patternFill>
          <bgColor rgb="FFFFFF99"/>
        </patternFill>
      </fill>
    </dxf>
    <dxf>
      <fill>
        <patternFill>
          <bgColor rgb="FF92D050"/>
        </patternFill>
      </fill>
    </dxf>
    <dxf>
      <font>
        <color theme="1"/>
      </font>
      <fill>
        <patternFill patternType="lightGray">
          <bgColor auto="1"/>
        </patternFill>
      </fill>
    </dxf>
    <dxf>
      <font>
        <color theme="1"/>
      </font>
      <fill>
        <patternFill patternType="lightGray">
          <bgColor auto="1"/>
        </patternFill>
      </fill>
    </dxf>
    <dxf>
      <font>
        <color theme="1"/>
      </font>
      <fill>
        <patternFill patternType="lightGray">
          <bgColor auto="1"/>
        </patternFill>
      </fill>
    </dxf>
    <dxf>
      <font>
        <color theme="1"/>
      </font>
      <fill>
        <patternFill patternType="lightGray">
          <bgColor auto="1"/>
        </patternFill>
      </fill>
    </dxf>
    <dxf>
      <font>
        <color theme="1"/>
      </font>
      <fill>
        <patternFill>
          <bgColor rgb="FFFF0000"/>
        </patternFill>
      </fill>
    </dxf>
    <dxf>
      <fill>
        <patternFill>
          <bgColor rgb="FF92D050"/>
        </patternFill>
      </fill>
    </dxf>
    <dxf>
      <font>
        <color theme="1"/>
      </font>
      <fill>
        <patternFill>
          <bgColor rgb="FFFF0000"/>
        </patternFill>
      </fill>
    </dxf>
    <dxf>
      <font>
        <color auto="1"/>
      </font>
      <fill>
        <patternFill>
          <bgColor rgb="FF92D05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00B050"/>
        </patternFill>
      </fill>
    </dxf>
    <dxf>
      <fill>
        <patternFill>
          <bgColor rgb="FFCC6600"/>
        </patternFill>
      </fill>
    </dxf>
    <dxf>
      <fill>
        <patternFill>
          <bgColor rgb="FFEAEAEA"/>
        </patternFill>
      </fill>
    </dxf>
    <dxf>
      <fill>
        <patternFill>
          <bgColor rgb="FFFFD700"/>
        </patternFill>
      </fill>
    </dxf>
    <dxf>
      <font>
        <color rgb="FF006100"/>
      </font>
      <fill>
        <patternFill>
          <bgColor rgb="FFC6EFCE"/>
        </patternFill>
      </fill>
    </dxf>
    <dxf>
      <font>
        <color rgb="FF006100"/>
      </font>
      <fill>
        <patternFill>
          <bgColor rgb="FFC6EFCE"/>
        </patternFill>
      </fill>
    </dxf>
    <dxf>
      <font>
        <color rgb="FFFF0000"/>
      </font>
      <fill>
        <patternFill>
          <bgColor rgb="FFFFFF00"/>
        </patternFill>
      </fill>
    </dxf>
    <dxf>
      <font>
        <color theme="1"/>
      </font>
      <fill>
        <patternFill>
          <bgColor rgb="FFFF0000"/>
        </patternFill>
      </fill>
    </dxf>
    <dxf>
      <fill>
        <patternFill>
          <bgColor rgb="FF00B050"/>
        </patternFill>
      </fill>
    </dxf>
    <dxf>
      <fill>
        <patternFill>
          <bgColor rgb="FFCC6600"/>
        </patternFill>
      </fill>
    </dxf>
    <dxf>
      <fill>
        <patternFill>
          <bgColor rgb="FFEAEAEA"/>
        </patternFill>
      </fill>
    </dxf>
    <dxf>
      <fill>
        <patternFill>
          <bgColor rgb="FFFFD7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92D050"/>
        </patternFill>
      </fill>
    </dxf>
    <dxf>
      <fill>
        <patternFill>
          <bgColor rgb="FF92D050"/>
        </patternFill>
      </fill>
    </dxf>
    <dxf>
      <fill>
        <patternFill>
          <bgColor rgb="FF92D05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theme="1"/>
      </font>
      <fill>
        <patternFill>
          <bgColor rgb="FFFF0000"/>
        </patternFill>
      </fill>
    </dxf>
    <dxf>
      <font>
        <color theme="1"/>
      </font>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theme="1"/>
      </font>
      <fill>
        <patternFill>
          <bgColor rgb="FFFF000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theme="1"/>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theme="1"/>
      </font>
      <fill>
        <patternFill>
          <bgColor rgb="FFFF0000"/>
        </patternFill>
      </fill>
    </dxf>
    <dxf>
      <font>
        <color theme="1"/>
      </font>
      <fill>
        <patternFill>
          <bgColor rgb="FFFF0000"/>
        </patternFill>
      </fill>
    </dxf>
    <dxf>
      <font>
        <color theme="0"/>
      </font>
      <fill>
        <patternFill>
          <bgColor theme="0"/>
        </patternFill>
      </fill>
    </dxf>
    <dxf>
      <font>
        <color theme="1"/>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theme="1"/>
      </font>
      <fill>
        <patternFill>
          <bgColor rgb="FFFF0000"/>
        </patternFill>
      </fill>
    </dxf>
    <dxf>
      <fill>
        <patternFill>
          <bgColor rgb="FF00B050"/>
        </patternFill>
      </fill>
    </dxf>
    <dxf>
      <fill>
        <patternFill>
          <bgColor rgb="FFCC6600"/>
        </patternFill>
      </fill>
    </dxf>
    <dxf>
      <fill>
        <patternFill>
          <bgColor rgb="FFEAEAEA"/>
        </patternFill>
      </fill>
    </dxf>
    <dxf>
      <fill>
        <patternFill>
          <bgColor rgb="FFFFD700"/>
        </patternFill>
      </fill>
    </dxf>
    <dxf>
      <fill>
        <patternFill>
          <bgColor rgb="FFFFFF99"/>
        </patternFill>
      </fill>
    </dxf>
    <dxf>
      <fill>
        <patternFill>
          <bgColor rgb="FFFF0000"/>
        </patternFill>
      </fill>
    </dxf>
    <dxf>
      <fill>
        <patternFill patternType="darkGrid">
          <fgColor indexed="64"/>
        </patternFill>
      </fill>
    </dxf>
    <dxf>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92D05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theme="0"/>
      </font>
      <fill>
        <patternFill patternType="none">
          <bgColor auto="1"/>
        </patternFill>
      </fill>
    </dxf>
    <dxf>
      <font>
        <color theme="0"/>
      </font>
      <fill>
        <patternFill patternType="none">
          <bgColor auto="1"/>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theme="1"/>
      </font>
      <fill>
        <patternFill>
          <bgColor rgb="FFFF0000"/>
        </patternFill>
      </fill>
    </dxf>
    <dxf>
      <font>
        <color theme="1"/>
      </font>
      <fill>
        <patternFill>
          <bgColor rgb="FFFF0000"/>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theme="1"/>
      </font>
      <fill>
        <patternFill>
          <bgColor rgb="FFFF0000"/>
        </patternFill>
      </fill>
    </dxf>
    <dxf>
      <fill>
        <patternFill>
          <bgColor rgb="FF00B050"/>
        </patternFill>
      </fill>
    </dxf>
    <dxf>
      <fill>
        <patternFill>
          <bgColor rgb="FFCC6600"/>
        </patternFill>
      </fill>
    </dxf>
    <dxf>
      <fill>
        <patternFill>
          <bgColor rgb="FFEAEAEA"/>
        </patternFill>
      </fill>
    </dxf>
    <dxf>
      <fill>
        <patternFill>
          <bgColor rgb="FFFFD700"/>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auto="1"/>
      </font>
      <fill>
        <patternFill>
          <bgColor rgb="FFFFFF99"/>
        </patternFill>
      </fill>
    </dxf>
    <dxf>
      <fill>
        <patternFill>
          <bgColor rgb="FFFFFF99"/>
        </patternFill>
      </fill>
    </dxf>
    <dxf>
      <fill>
        <patternFill>
          <bgColor rgb="FFFF0000"/>
        </patternFill>
      </fill>
    </dxf>
    <dxf>
      <fill>
        <patternFill>
          <bgColor rgb="FF92D050"/>
        </patternFill>
      </fill>
    </dxf>
    <dxf>
      <fill>
        <patternFill>
          <bgColor rgb="FFFFFF99"/>
        </patternFill>
      </fill>
    </dxf>
    <dxf>
      <fill>
        <patternFill patternType="darkGrid">
          <fgColor indexed="64"/>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ill>
        <patternFill>
          <bgColor rgb="FFFFFF99"/>
        </patternFill>
      </fill>
    </dxf>
    <dxf>
      <font>
        <color auto="1"/>
      </font>
      <fill>
        <patternFill>
          <bgColor rgb="FFFF0000"/>
        </patternFill>
      </fill>
    </dxf>
    <dxf>
      <fill>
        <patternFill patternType="darkGrid">
          <fgColor indexed="64"/>
        </patternFill>
      </fill>
    </dxf>
    <dxf>
      <font>
        <color auto="1"/>
      </font>
      <fill>
        <patternFill>
          <bgColor rgb="FF92D050"/>
        </patternFill>
      </fill>
    </dxf>
    <dxf>
      <font>
        <color rgb="FFFFFF99"/>
      </font>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FF99"/>
        </patternFill>
      </fill>
    </dxf>
    <dxf>
      <font>
        <color rgb="FFFF0000"/>
      </font>
      <fill>
        <patternFill>
          <bgColor rgb="FFFFFF00"/>
        </patternFill>
      </fill>
    </dxf>
    <dxf>
      <font>
        <color rgb="FFFF0000"/>
      </font>
      <fill>
        <patternFill>
          <bgColor rgb="FFFFFF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0000"/>
      </font>
      <fill>
        <patternFill>
          <bgColor rgb="FFFF0000"/>
        </patternFill>
      </fill>
    </dxf>
    <dxf>
      <fill>
        <patternFill patternType="darkGrid">
          <fgColor indexed="64"/>
        </patternFill>
      </fill>
    </dxf>
    <dxf>
      <font>
        <color rgb="FF92D050"/>
      </font>
      <fill>
        <patternFill>
          <bgColor rgb="FF92D050"/>
        </patternFill>
      </fill>
    </dxf>
    <dxf>
      <font>
        <color rgb="FFFFFF99"/>
      </font>
      <fill>
        <patternFill>
          <bgColor rgb="FFFFFF99"/>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ont>
        <color rgb="FFFFFF99"/>
      </font>
      <fill>
        <patternFill>
          <bgColor rgb="FFFFFF99"/>
        </patternFill>
      </fill>
    </dxf>
    <dxf>
      <font>
        <color rgb="FF92D050"/>
      </font>
      <fill>
        <patternFill>
          <bgColor rgb="FF92D050"/>
        </patternFill>
      </fill>
    </dxf>
    <dxf>
      <fill>
        <patternFill patternType="darkGrid">
          <fgColor indexed="64"/>
        </patternFill>
      </fill>
    </dxf>
    <dxf>
      <font>
        <color rgb="FFFF0000"/>
      </font>
      <fill>
        <patternFill>
          <bgColor rgb="FFFF0000"/>
        </patternFill>
      </fill>
    </dxf>
    <dxf>
      <fill>
        <patternFill>
          <bgColor rgb="FFFFFF99"/>
        </patternFill>
      </fill>
    </dxf>
    <dxf>
      <fill>
        <patternFill>
          <bgColor rgb="FFFFFF99"/>
        </patternFill>
      </fill>
    </dxf>
    <dxf>
      <fill>
        <patternFill>
          <bgColor rgb="FFFFFF99"/>
        </patternFill>
      </fill>
    </dxf>
    <dxf>
      <fill>
        <patternFill>
          <bgColor rgb="FF92D050"/>
        </patternFill>
      </fill>
    </dxf>
    <dxf>
      <fill>
        <patternFill patternType="darkTrellis">
          <fgColor indexed="64"/>
        </patternFill>
      </fill>
    </dxf>
    <dxf>
      <fill>
        <patternFill>
          <bgColor rgb="FFFF0000"/>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ill>
        <patternFill>
          <bgColor rgb="FFFF0000"/>
        </patternFill>
      </fill>
    </dxf>
    <dxf>
      <fill>
        <patternFill patternType="darkGrid">
          <fgColor indexed="64"/>
        </patternFill>
      </fill>
    </dxf>
    <dxf>
      <fill>
        <patternFill>
          <bgColor rgb="FF92D050"/>
        </patternFill>
      </fill>
    </dxf>
    <dxf>
      <fill>
        <patternFill>
          <bgColor rgb="FFFFFF99"/>
        </patternFill>
      </fill>
    </dxf>
    <dxf>
      <font>
        <color auto="1"/>
      </font>
      <fill>
        <patternFill>
          <bgColor rgb="FF92D050"/>
        </patternFill>
      </fill>
    </dxf>
    <dxf>
      <fill>
        <patternFill>
          <bgColor rgb="FFFFFF99"/>
        </patternFill>
      </fill>
    </dxf>
    <dxf>
      <fill>
        <patternFill>
          <bgColor rgb="FF92D050"/>
        </patternFill>
      </fill>
    </dxf>
    <dxf>
      <fill>
        <patternFill patternType="darkGrid">
          <fgColor indexed="64"/>
        </patternFill>
      </fill>
    </dxf>
    <dxf>
      <fill>
        <patternFill>
          <bgColor rgb="FFFF0000"/>
        </patternFill>
      </fill>
    </dxf>
    <dxf>
      <font>
        <color theme="1"/>
      </font>
      <fill>
        <patternFill>
          <bgColor rgb="FFFF0000"/>
        </patternFill>
      </fill>
    </dxf>
    <dxf>
      <fill>
        <patternFill>
          <bgColor rgb="FF00B050"/>
        </patternFill>
      </fill>
    </dxf>
    <dxf>
      <fill>
        <patternFill>
          <bgColor rgb="FFCC6600"/>
        </patternFill>
      </fill>
    </dxf>
    <dxf>
      <fill>
        <patternFill>
          <bgColor rgb="FFEAEAEA"/>
        </patternFill>
      </fill>
    </dxf>
    <dxf>
      <fill>
        <patternFill>
          <bgColor rgb="FFFFD700"/>
        </patternFill>
      </fill>
    </dxf>
    <dxf>
      <font>
        <color theme="1"/>
      </font>
      <fill>
        <patternFill>
          <bgColor rgb="FFFF0000"/>
        </patternFill>
      </fill>
    </dxf>
    <dxf>
      <fill>
        <patternFill>
          <bgColor rgb="FF92D050"/>
        </patternFill>
      </fill>
    </dxf>
    <dxf>
      <fill>
        <patternFill patternType="lightGray"/>
      </fill>
    </dxf>
    <dxf>
      <fill>
        <patternFill patternType="lightGray"/>
      </fill>
    </dxf>
    <dxf>
      <font>
        <color theme="1"/>
      </font>
    </dxf>
    <dxf>
      <font>
        <color theme="1"/>
      </font>
    </dxf>
    <dxf>
      <font>
        <color auto="1"/>
      </font>
      <fill>
        <patternFill>
          <bgColor rgb="FFFFFF99"/>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colors>
    <mruColors>
      <color rgb="FF37CBFF"/>
      <color rgb="FF8FE2FF"/>
      <color rgb="FFFFFF99"/>
      <color rgb="FFCC6600"/>
      <color rgb="FFCCFF66"/>
      <color rgb="FFFFD700"/>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ctrlProps/ctrlProp1.xml><?xml version="1.0" encoding="utf-8"?>
<formControlPr xmlns="http://schemas.microsoft.com/office/spreadsheetml/2009/9/main" objectType="CheckBox" fmlaLink="$W$15" lockText="1" noThreeD="1"/>
</file>

<file path=xl/ctrlProps/ctrlProp10.xml><?xml version="1.0" encoding="utf-8"?>
<formControlPr xmlns="http://schemas.microsoft.com/office/spreadsheetml/2009/9/main" objectType="CheckBox" checked="Checked" fmlaLink="$W$45" lockText="1" noThreeD="1"/>
</file>

<file path=xl/ctrlProps/ctrlProp100.xml><?xml version="1.0" encoding="utf-8"?>
<formControlPr xmlns="http://schemas.microsoft.com/office/spreadsheetml/2009/9/main" objectType="CheckBox" fmlaLink="$W$139" lockText="1" noThreeD="1"/>
</file>

<file path=xl/ctrlProps/ctrlProp101.xml><?xml version="1.0" encoding="utf-8"?>
<formControlPr xmlns="http://schemas.microsoft.com/office/spreadsheetml/2009/9/main" objectType="CheckBox" fmlaLink="$W$143" lockText="1" noThreeD="1"/>
</file>

<file path=xl/ctrlProps/ctrlProp102.xml><?xml version="1.0" encoding="utf-8"?>
<formControlPr xmlns="http://schemas.microsoft.com/office/spreadsheetml/2009/9/main" objectType="CheckBox" checked="Checked" fmlaLink="$W$148" lockText="1" noThreeD="1"/>
</file>

<file path=xl/ctrlProps/ctrlProp103.xml><?xml version="1.0" encoding="utf-8"?>
<formControlPr xmlns="http://schemas.microsoft.com/office/spreadsheetml/2009/9/main" objectType="CheckBox" checked="Checked" fmlaLink="$W$153" lockText="1" noThreeD="1"/>
</file>

<file path=xl/ctrlProps/ctrlProp104.xml><?xml version="1.0" encoding="utf-8"?>
<formControlPr xmlns="http://schemas.microsoft.com/office/spreadsheetml/2009/9/main" objectType="CheckBox" fmlaLink="$W$155" lockText="1" noThreeD="1"/>
</file>

<file path=xl/ctrlProps/ctrlProp105.xml><?xml version="1.0" encoding="utf-8"?>
<formControlPr xmlns="http://schemas.microsoft.com/office/spreadsheetml/2009/9/main" objectType="CheckBox" fmlaLink="$W$157" lockText="1" noThreeD="1"/>
</file>

<file path=xl/ctrlProps/ctrlProp106.xml><?xml version="1.0" encoding="utf-8"?>
<formControlPr xmlns="http://schemas.microsoft.com/office/spreadsheetml/2009/9/main" objectType="CheckBox" checked="Checked" fmlaLink="$W$169" lockText="1" noThreeD="1"/>
</file>

<file path=xl/ctrlProps/ctrlProp107.xml><?xml version="1.0" encoding="utf-8"?>
<formControlPr xmlns="http://schemas.microsoft.com/office/spreadsheetml/2009/9/main" objectType="CheckBox" fmlaLink="$W$179" lockText="1" noThreeD="1"/>
</file>

<file path=xl/ctrlProps/ctrlProp108.xml><?xml version="1.0" encoding="utf-8"?>
<formControlPr xmlns="http://schemas.microsoft.com/office/spreadsheetml/2009/9/main" objectType="CheckBox" fmlaLink="$W$182" lockText="1" noThreeD="1"/>
</file>

<file path=xl/ctrlProps/ctrlProp109.xml><?xml version="1.0" encoding="utf-8"?>
<formControlPr xmlns="http://schemas.microsoft.com/office/spreadsheetml/2009/9/main" objectType="CheckBox" fmlaLink="$W$183" lockText="1" noThreeD="1"/>
</file>

<file path=xl/ctrlProps/ctrlProp11.xml><?xml version="1.0" encoding="utf-8"?>
<formControlPr xmlns="http://schemas.microsoft.com/office/spreadsheetml/2009/9/main" objectType="CheckBox" fmlaLink="$W$56" lockText="1" noThreeD="1"/>
</file>

<file path=xl/ctrlProps/ctrlProp110.xml><?xml version="1.0" encoding="utf-8"?>
<formControlPr xmlns="http://schemas.microsoft.com/office/spreadsheetml/2009/9/main" objectType="CheckBox" fmlaLink="$W$193" lockText="1" noThreeD="1"/>
</file>

<file path=xl/ctrlProps/ctrlProp111.xml><?xml version="1.0" encoding="utf-8"?>
<formControlPr xmlns="http://schemas.microsoft.com/office/spreadsheetml/2009/9/main" objectType="CheckBox" fmlaLink="$W$195" lockText="1" noThreeD="1"/>
</file>

<file path=xl/ctrlProps/ctrlProp112.xml><?xml version="1.0" encoding="utf-8"?>
<formControlPr xmlns="http://schemas.microsoft.com/office/spreadsheetml/2009/9/main" objectType="CheckBox" fmlaLink="$W$211" lockText="1" noThreeD="1"/>
</file>

<file path=xl/ctrlProps/ctrlProp113.xml><?xml version="1.0" encoding="utf-8"?>
<formControlPr xmlns="http://schemas.microsoft.com/office/spreadsheetml/2009/9/main" objectType="CheckBox" checked="Checked" fmlaLink="$W$222" lockText="1" noThreeD="1"/>
</file>

<file path=xl/ctrlProps/ctrlProp114.xml><?xml version="1.0" encoding="utf-8"?>
<formControlPr xmlns="http://schemas.microsoft.com/office/spreadsheetml/2009/9/main" objectType="CheckBox" checked="Checked" fmlaLink="$W$223" lockText="1" noThreeD="1"/>
</file>

<file path=xl/ctrlProps/ctrlProp115.xml><?xml version="1.0" encoding="utf-8"?>
<formControlPr xmlns="http://schemas.microsoft.com/office/spreadsheetml/2009/9/main" objectType="CheckBox" fmlaLink="$W$228" lockText="1" noThreeD="1"/>
</file>

<file path=xl/ctrlProps/ctrlProp116.xml><?xml version="1.0" encoding="utf-8"?>
<formControlPr xmlns="http://schemas.microsoft.com/office/spreadsheetml/2009/9/main" objectType="CheckBox" fmlaLink="$W$230" lockText="1" noThreeD="1"/>
</file>

<file path=xl/ctrlProps/ctrlProp117.xml><?xml version="1.0" encoding="utf-8"?>
<formControlPr xmlns="http://schemas.microsoft.com/office/spreadsheetml/2009/9/main" objectType="CheckBox" fmlaLink="$W$231" lockText="1" noThreeD="1"/>
</file>

<file path=xl/ctrlProps/ctrlProp118.xml><?xml version="1.0" encoding="utf-8"?>
<formControlPr xmlns="http://schemas.microsoft.com/office/spreadsheetml/2009/9/main" objectType="CheckBox" checked="Checked" fmlaLink="$W$234" lockText="1" noThreeD="1"/>
</file>

<file path=xl/ctrlProps/ctrlProp119.xml><?xml version="1.0" encoding="utf-8"?>
<formControlPr xmlns="http://schemas.microsoft.com/office/spreadsheetml/2009/9/main" objectType="CheckBox" checked="Checked" fmlaLink="$W$238" lockText="1" noThreeD="1"/>
</file>

<file path=xl/ctrlProps/ctrlProp12.xml><?xml version="1.0" encoding="utf-8"?>
<formControlPr xmlns="http://schemas.microsoft.com/office/spreadsheetml/2009/9/main" objectType="CheckBox" fmlaLink="$W$57" lockText="1" noThreeD="1"/>
</file>

<file path=xl/ctrlProps/ctrlProp120.xml><?xml version="1.0" encoding="utf-8"?>
<formControlPr xmlns="http://schemas.microsoft.com/office/spreadsheetml/2009/9/main" objectType="CheckBox" checked="Checked" fmlaLink="$W$243" lockText="1" noThreeD="1"/>
</file>

<file path=xl/ctrlProps/ctrlProp121.xml><?xml version="1.0" encoding="utf-8"?>
<formControlPr xmlns="http://schemas.microsoft.com/office/spreadsheetml/2009/9/main" objectType="CheckBox" checked="Checked" fmlaLink="$W$245" lockText="1" noThreeD="1"/>
</file>

<file path=xl/ctrlProps/ctrlProp122.xml><?xml version="1.0" encoding="utf-8"?>
<formControlPr xmlns="http://schemas.microsoft.com/office/spreadsheetml/2009/9/main" objectType="CheckBox" fmlaLink="$W$262" lockText="1" noThreeD="1"/>
</file>

<file path=xl/ctrlProps/ctrlProp123.xml><?xml version="1.0" encoding="utf-8"?>
<formControlPr xmlns="http://schemas.microsoft.com/office/spreadsheetml/2009/9/main" objectType="CheckBox" fmlaLink="$W$278" lockText="1" noThreeD="1"/>
</file>

<file path=xl/ctrlProps/ctrlProp124.xml><?xml version="1.0" encoding="utf-8"?>
<formControlPr xmlns="http://schemas.microsoft.com/office/spreadsheetml/2009/9/main" objectType="CheckBox" fmlaLink="$W$291" lockText="1" noThreeD="1"/>
</file>

<file path=xl/ctrlProps/ctrlProp125.xml><?xml version="1.0" encoding="utf-8"?>
<formControlPr xmlns="http://schemas.microsoft.com/office/spreadsheetml/2009/9/main" objectType="CheckBox" fmlaLink="$W$293" lockText="1" noThreeD="1"/>
</file>

<file path=xl/ctrlProps/ctrlProp126.xml><?xml version="1.0" encoding="utf-8"?>
<formControlPr xmlns="http://schemas.microsoft.com/office/spreadsheetml/2009/9/main" objectType="CheckBox" checked="Checked" fmlaLink="$W$306" lockText="1" noThreeD="1"/>
</file>

<file path=xl/ctrlProps/ctrlProp127.xml><?xml version="1.0" encoding="utf-8"?>
<formControlPr xmlns="http://schemas.microsoft.com/office/spreadsheetml/2009/9/main" objectType="CheckBox" checked="Checked" fmlaLink="$W$307" lockText="1" noThreeD="1"/>
</file>

<file path=xl/ctrlProps/ctrlProp128.xml><?xml version="1.0" encoding="utf-8"?>
<formControlPr xmlns="http://schemas.microsoft.com/office/spreadsheetml/2009/9/main" objectType="CheckBox" checked="Checked" fmlaLink="$W$308" lockText="1" noThreeD="1"/>
</file>

<file path=xl/ctrlProps/ctrlProp129.xml><?xml version="1.0" encoding="utf-8"?>
<formControlPr xmlns="http://schemas.microsoft.com/office/spreadsheetml/2009/9/main" objectType="CheckBox" fmlaLink="$W$309" lockText="1" noThreeD="1"/>
</file>

<file path=xl/ctrlProps/ctrlProp13.xml><?xml version="1.0" encoding="utf-8"?>
<formControlPr xmlns="http://schemas.microsoft.com/office/spreadsheetml/2009/9/main" objectType="CheckBox" fmlaLink="$W$59" lockText="1" noThreeD="1"/>
</file>

<file path=xl/ctrlProps/ctrlProp130.xml><?xml version="1.0" encoding="utf-8"?>
<formControlPr xmlns="http://schemas.microsoft.com/office/spreadsheetml/2009/9/main" objectType="CheckBox" fmlaLink="$W$310" lockText="1" noThreeD="1"/>
</file>

<file path=xl/ctrlProps/ctrlProp131.xml><?xml version="1.0" encoding="utf-8"?>
<formControlPr xmlns="http://schemas.microsoft.com/office/spreadsheetml/2009/9/main" objectType="CheckBox" fmlaLink="$W$311" lockText="1" noThreeD="1"/>
</file>

<file path=xl/ctrlProps/ctrlProp132.xml><?xml version="1.0" encoding="utf-8"?>
<formControlPr xmlns="http://schemas.microsoft.com/office/spreadsheetml/2009/9/main" objectType="CheckBox" fmlaLink="$W$312" lockText="1" noThreeD="1"/>
</file>

<file path=xl/ctrlProps/ctrlProp133.xml><?xml version="1.0" encoding="utf-8"?>
<formControlPr xmlns="http://schemas.microsoft.com/office/spreadsheetml/2009/9/main" objectType="CheckBox" fmlaLink="$W$313" lockText="1" noThreeD="1"/>
</file>

<file path=xl/ctrlProps/ctrlProp134.xml><?xml version="1.0" encoding="utf-8"?>
<formControlPr xmlns="http://schemas.microsoft.com/office/spreadsheetml/2009/9/main" objectType="CheckBox" fmlaLink="$W$314" lockText="1" noThreeD="1"/>
</file>

<file path=xl/ctrlProps/ctrlProp135.xml><?xml version="1.0" encoding="utf-8"?>
<formControlPr xmlns="http://schemas.microsoft.com/office/spreadsheetml/2009/9/main" objectType="CheckBox" checked="Checked" fmlaLink="$W$361" lockText="1" noThreeD="1"/>
</file>

<file path=xl/ctrlProps/ctrlProp136.xml><?xml version="1.0" encoding="utf-8"?>
<formControlPr xmlns="http://schemas.microsoft.com/office/spreadsheetml/2009/9/main" objectType="CheckBox" fmlaLink="$W$363" lockText="1" noThreeD="1"/>
</file>

<file path=xl/ctrlProps/ctrlProp137.xml><?xml version="1.0" encoding="utf-8"?>
<formControlPr xmlns="http://schemas.microsoft.com/office/spreadsheetml/2009/9/main" objectType="CheckBox" fmlaLink="$W$364" lockText="1" noThreeD="1"/>
</file>

<file path=xl/ctrlProps/ctrlProp138.xml><?xml version="1.0" encoding="utf-8"?>
<formControlPr xmlns="http://schemas.microsoft.com/office/spreadsheetml/2009/9/main" objectType="CheckBox" fmlaLink="$W$392" lockText="1" noThreeD="1"/>
</file>

<file path=xl/ctrlProps/ctrlProp139.xml><?xml version="1.0" encoding="utf-8"?>
<formControlPr xmlns="http://schemas.microsoft.com/office/spreadsheetml/2009/9/main" objectType="CheckBox" fmlaLink="$W$401" lockText="1" noThreeD="1"/>
</file>

<file path=xl/ctrlProps/ctrlProp14.xml><?xml version="1.0" encoding="utf-8"?>
<formControlPr xmlns="http://schemas.microsoft.com/office/spreadsheetml/2009/9/main" objectType="CheckBox" checked="Checked" fmlaLink="$W$61" lockText="1" noThreeD="1"/>
</file>

<file path=xl/ctrlProps/ctrlProp140.xml><?xml version="1.0" encoding="utf-8"?>
<formControlPr xmlns="http://schemas.microsoft.com/office/spreadsheetml/2009/9/main" objectType="CheckBox" fmlaLink="$W$408" lockText="1" noThreeD="1"/>
</file>

<file path=xl/ctrlProps/ctrlProp141.xml><?xml version="1.0" encoding="utf-8"?>
<formControlPr xmlns="http://schemas.microsoft.com/office/spreadsheetml/2009/9/main" objectType="CheckBox" fmlaLink="$W$464" lockText="1" noThreeD="1"/>
</file>

<file path=xl/ctrlProps/ctrlProp142.xml><?xml version="1.0" encoding="utf-8"?>
<formControlPr xmlns="http://schemas.microsoft.com/office/spreadsheetml/2009/9/main" objectType="CheckBox" fmlaLink="$W$465" lockText="1" noThreeD="1"/>
</file>

<file path=xl/ctrlProps/ctrlProp143.xml><?xml version="1.0" encoding="utf-8"?>
<formControlPr xmlns="http://schemas.microsoft.com/office/spreadsheetml/2009/9/main" objectType="CheckBox" fmlaLink="$W$466" lockText="1" noThreeD="1"/>
</file>

<file path=xl/ctrlProps/ctrlProp144.xml><?xml version="1.0" encoding="utf-8"?>
<formControlPr xmlns="http://schemas.microsoft.com/office/spreadsheetml/2009/9/main" objectType="CheckBox" fmlaLink="$W$467" lockText="1" noThreeD="1"/>
</file>

<file path=xl/ctrlProps/ctrlProp145.xml><?xml version="1.0" encoding="utf-8"?>
<formControlPr xmlns="http://schemas.microsoft.com/office/spreadsheetml/2009/9/main" objectType="CheckBox" fmlaLink="$W$468" lockText="1" noThreeD="1"/>
</file>

<file path=xl/ctrlProps/ctrlProp146.xml><?xml version="1.0" encoding="utf-8"?>
<formControlPr xmlns="http://schemas.microsoft.com/office/spreadsheetml/2009/9/main" objectType="CheckBox" fmlaLink="$W$469" lockText="1" noThreeD="1"/>
</file>

<file path=xl/ctrlProps/ctrlProp147.xml><?xml version="1.0" encoding="utf-8"?>
<formControlPr xmlns="http://schemas.microsoft.com/office/spreadsheetml/2009/9/main" objectType="CheckBox" fmlaLink="$W$470" lockText="1" noThreeD="1"/>
</file>

<file path=xl/ctrlProps/ctrlProp148.xml><?xml version="1.0" encoding="utf-8"?>
<formControlPr xmlns="http://schemas.microsoft.com/office/spreadsheetml/2009/9/main" objectType="CheckBox" fmlaLink="$W$474" lockText="1" noThreeD="1"/>
</file>

<file path=xl/ctrlProps/ctrlProp149.xml><?xml version="1.0" encoding="utf-8"?>
<formControlPr xmlns="http://schemas.microsoft.com/office/spreadsheetml/2009/9/main" objectType="CheckBox" fmlaLink="$W$479" lockText="1" noThreeD="1"/>
</file>

<file path=xl/ctrlProps/ctrlProp15.xml><?xml version="1.0" encoding="utf-8"?>
<formControlPr xmlns="http://schemas.microsoft.com/office/spreadsheetml/2009/9/main" objectType="CheckBox" fmlaLink="$W$62" lockText="1" noThreeD="1"/>
</file>

<file path=xl/ctrlProps/ctrlProp150.xml><?xml version="1.0" encoding="utf-8"?>
<formControlPr xmlns="http://schemas.microsoft.com/office/spreadsheetml/2009/9/main" objectType="CheckBox" fmlaLink="$W$483" lockText="1" noThreeD="1"/>
</file>

<file path=xl/ctrlProps/ctrlProp151.xml><?xml version="1.0" encoding="utf-8"?>
<formControlPr xmlns="http://schemas.microsoft.com/office/spreadsheetml/2009/9/main" objectType="CheckBox" fmlaLink="$W$485" lockText="1" noThreeD="1"/>
</file>

<file path=xl/ctrlProps/ctrlProp152.xml><?xml version="1.0" encoding="utf-8"?>
<formControlPr xmlns="http://schemas.microsoft.com/office/spreadsheetml/2009/9/main" objectType="CheckBox" fmlaLink="$W$487" lockText="1" noThreeD="1"/>
</file>

<file path=xl/ctrlProps/ctrlProp153.xml><?xml version="1.0" encoding="utf-8"?>
<formControlPr xmlns="http://schemas.microsoft.com/office/spreadsheetml/2009/9/main" objectType="CheckBox" fmlaLink="$W$488" lockText="1" noThreeD="1"/>
</file>

<file path=xl/ctrlProps/ctrlProp154.xml><?xml version="1.0" encoding="utf-8"?>
<formControlPr xmlns="http://schemas.microsoft.com/office/spreadsheetml/2009/9/main" objectType="CheckBox" fmlaLink="$W$489" lockText="1" noThreeD="1"/>
</file>

<file path=xl/ctrlProps/ctrlProp155.xml><?xml version="1.0" encoding="utf-8"?>
<formControlPr xmlns="http://schemas.microsoft.com/office/spreadsheetml/2009/9/main" objectType="CheckBox" fmlaLink="$W$493" lockText="1" noThreeD="1"/>
</file>

<file path=xl/ctrlProps/ctrlProp156.xml><?xml version="1.0" encoding="utf-8"?>
<formControlPr xmlns="http://schemas.microsoft.com/office/spreadsheetml/2009/9/main" objectType="CheckBox" checked="Checked" fmlaLink="$W$495" lockText="1" noThreeD="1"/>
</file>

<file path=xl/ctrlProps/ctrlProp157.xml><?xml version="1.0" encoding="utf-8"?>
<formControlPr xmlns="http://schemas.microsoft.com/office/spreadsheetml/2009/9/main" objectType="CheckBox" fmlaLink="$W$32" lockText="1" noThreeD="1"/>
</file>

<file path=xl/ctrlProps/ctrlProp158.xml><?xml version="1.0" encoding="utf-8"?>
<formControlPr xmlns="http://schemas.microsoft.com/office/spreadsheetml/2009/9/main" objectType="CheckBox" fmlaLink="$W$37" lockText="1" noThreeD="1"/>
</file>

<file path=xl/ctrlProps/ctrlProp159.xml><?xml version="1.0" encoding="utf-8"?>
<formControlPr xmlns="http://schemas.microsoft.com/office/spreadsheetml/2009/9/main" objectType="CheckBox" fmlaLink="$W$54" lockText="1" noThreeD="1"/>
</file>

<file path=xl/ctrlProps/ctrlProp16.xml><?xml version="1.0" encoding="utf-8"?>
<formControlPr xmlns="http://schemas.microsoft.com/office/spreadsheetml/2009/9/main" objectType="CheckBox" fmlaLink="$W$63" lockText="1" noThreeD="1"/>
</file>

<file path=xl/ctrlProps/ctrlProp160.xml><?xml version="1.0" encoding="utf-8"?>
<formControlPr xmlns="http://schemas.microsoft.com/office/spreadsheetml/2009/9/main" objectType="CheckBox" fmlaLink="$W$56" lockText="1" noThreeD="1"/>
</file>

<file path=xl/ctrlProps/ctrlProp161.xml><?xml version="1.0" encoding="utf-8"?>
<formControlPr xmlns="http://schemas.microsoft.com/office/spreadsheetml/2009/9/main" objectType="CheckBox" fmlaLink="$W$118" lockText="1" noThreeD="1"/>
</file>

<file path=xl/ctrlProps/ctrlProp162.xml><?xml version="1.0" encoding="utf-8"?>
<formControlPr xmlns="http://schemas.microsoft.com/office/spreadsheetml/2009/9/main" objectType="CheckBox" fmlaLink="$W$132" lockText="1" noThreeD="1"/>
</file>

<file path=xl/ctrlProps/ctrlProp163.xml><?xml version="1.0" encoding="utf-8"?>
<formControlPr xmlns="http://schemas.microsoft.com/office/spreadsheetml/2009/9/main" objectType="CheckBox" fmlaLink="$W$134" lockText="1" noThreeD="1"/>
</file>

<file path=xl/ctrlProps/ctrlProp164.xml><?xml version="1.0" encoding="utf-8"?>
<formControlPr xmlns="http://schemas.microsoft.com/office/spreadsheetml/2009/9/main" objectType="CheckBox" fmlaLink="$W$140" lockText="1" noThreeD="1"/>
</file>

<file path=xl/ctrlProps/ctrlProp165.xml><?xml version="1.0" encoding="utf-8"?>
<formControlPr xmlns="http://schemas.microsoft.com/office/spreadsheetml/2009/9/main" objectType="CheckBox" fmlaLink="$W$46" lockText="1" noThreeD="1"/>
</file>

<file path=xl/ctrlProps/ctrlProp166.xml><?xml version="1.0" encoding="utf-8"?>
<formControlPr xmlns="http://schemas.microsoft.com/office/spreadsheetml/2009/9/main" objectType="CheckBox" fmlaLink="$W$49" lockText="1" noThreeD="1"/>
</file>

<file path=xl/ctrlProps/ctrlProp167.xml><?xml version="1.0" encoding="utf-8"?>
<formControlPr xmlns="http://schemas.microsoft.com/office/spreadsheetml/2009/9/main" objectType="CheckBox" fmlaLink="$W$50" lockText="1" noThreeD="1"/>
</file>

<file path=xl/ctrlProps/ctrlProp168.xml><?xml version="1.0" encoding="utf-8"?>
<formControlPr xmlns="http://schemas.microsoft.com/office/spreadsheetml/2009/9/main" objectType="CheckBox" fmlaLink="$W$88" lockText="1" noThreeD="1"/>
</file>

<file path=xl/ctrlProps/ctrlProp169.xml><?xml version="1.0" encoding="utf-8"?>
<formControlPr xmlns="http://schemas.microsoft.com/office/spreadsheetml/2009/9/main" objectType="CheckBox" fmlaLink="$W$91" lockText="1" noThreeD="1"/>
</file>

<file path=xl/ctrlProps/ctrlProp17.xml><?xml version="1.0" encoding="utf-8"?>
<formControlPr xmlns="http://schemas.microsoft.com/office/spreadsheetml/2009/9/main" objectType="CheckBox" fmlaLink="$W$65" lockText="1" noThreeD="1"/>
</file>

<file path=xl/ctrlProps/ctrlProp170.xml><?xml version="1.0" encoding="utf-8"?>
<formControlPr xmlns="http://schemas.microsoft.com/office/spreadsheetml/2009/9/main" objectType="CheckBox" fmlaLink="$W$135" lockText="1" noThreeD="1"/>
</file>

<file path=xl/ctrlProps/ctrlProp171.xml><?xml version="1.0" encoding="utf-8"?>
<formControlPr xmlns="http://schemas.microsoft.com/office/spreadsheetml/2009/9/main" objectType="CheckBox" fmlaLink="$W$157" lockText="1" noThreeD="1"/>
</file>

<file path=xl/ctrlProps/ctrlProp172.xml><?xml version="1.0" encoding="utf-8"?>
<formControlPr xmlns="http://schemas.microsoft.com/office/spreadsheetml/2009/9/main" objectType="CheckBox" fmlaLink="$W$170" lockText="1" noThreeD="1"/>
</file>

<file path=xl/ctrlProps/ctrlProp173.xml><?xml version="1.0" encoding="utf-8"?>
<formControlPr xmlns="http://schemas.microsoft.com/office/spreadsheetml/2009/9/main" objectType="CheckBox" fmlaLink="$W$173" lockText="1" noThreeD="1"/>
</file>

<file path=xl/ctrlProps/ctrlProp174.xml><?xml version="1.0" encoding="utf-8"?>
<formControlPr xmlns="http://schemas.microsoft.com/office/spreadsheetml/2009/9/main" objectType="CheckBox" fmlaLink="$W$176" lockText="1" noThreeD="1"/>
</file>

<file path=xl/ctrlProps/ctrlProp175.xml><?xml version="1.0" encoding="utf-8"?>
<formControlPr xmlns="http://schemas.microsoft.com/office/spreadsheetml/2009/9/main" objectType="CheckBox" fmlaLink="$W$185" lockText="1" noThreeD="1"/>
</file>

<file path=xl/ctrlProps/ctrlProp176.xml><?xml version="1.0" encoding="utf-8"?>
<formControlPr xmlns="http://schemas.microsoft.com/office/spreadsheetml/2009/9/main" objectType="CheckBox" fmlaLink="$W$565" lockText="1" noThreeD="1"/>
</file>

<file path=xl/ctrlProps/ctrlProp177.xml><?xml version="1.0" encoding="utf-8"?>
<formControlPr xmlns="http://schemas.microsoft.com/office/spreadsheetml/2009/9/main" objectType="CheckBox" fmlaLink="$W$566" lockText="1" noThreeD="1"/>
</file>

<file path=xl/ctrlProps/ctrlProp178.xml><?xml version="1.0" encoding="utf-8"?>
<formControlPr xmlns="http://schemas.microsoft.com/office/spreadsheetml/2009/9/main" objectType="CheckBox" fmlaLink="$W$567" lockText="1" noThreeD="1"/>
</file>

<file path=xl/ctrlProps/ctrlProp179.xml><?xml version="1.0" encoding="utf-8"?>
<formControlPr xmlns="http://schemas.microsoft.com/office/spreadsheetml/2009/9/main" objectType="CheckBox" fmlaLink="$W$568" lockText="1" noThreeD="1"/>
</file>

<file path=xl/ctrlProps/ctrlProp18.xml><?xml version="1.0" encoding="utf-8"?>
<formControlPr xmlns="http://schemas.microsoft.com/office/spreadsheetml/2009/9/main" objectType="CheckBox" fmlaLink="$W$69" lockText="1" noThreeD="1"/>
</file>

<file path=xl/ctrlProps/ctrlProp180.xml><?xml version="1.0" encoding="utf-8"?>
<formControlPr xmlns="http://schemas.microsoft.com/office/spreadsheetml/2009/9/main" objectType="CheckBox" fmlaLink="$W$570" lockText="1" noThreeD="1"/>
</file>

<file path=xl/ctrlProps/ctrlProp181.xml><?xml version="1.0" encoding="utf-8"?>
<formControlPr xmlns="http://schemas.microsoft.com/office/spreadsheetml/2009/9/main" objectType="CheckBox" fmlaLink="$W$573" lockText="1" noThreeD="1"/>
</file>

<file path=xl/ctrlProps/ctrlProp182.xml><?xml version="1.0" encoding="utf-8"?>
<formControlPr xmlns="http://schemas.microsoft.com/office/spreadsheetml/2009/9/main" objectType="CheckBox" fmlaLink="$W$591" lockText="1" noThreeD="1"/>
</file>

<file path=xl/ctrlProps/ctrlProp183.xml><?xml version="1.0" encoding="utf-8"?>
<formControlPr xmlns="http://schemas.microsoft.com/office/spreadsheetml/2009/9/main" objectType="CheckBox" fmlaLink="$W$592" lockText="1" noThreeD="1"/>
</file>

<file path=xl/ctrlProps/ctrlProp184.xml><?xml version="1.0" encoding="utf-8"?>
<formControlPr xmlns="http://schemas.microsoft.com/office/spreadsheetml/2009/9/main" objectType="CheckBox" fmlaLink="$W$593" lockText="1" noThreeD="1"/>
</file>

<file path=xl/ctrlProps/ctrlProp185.xml><?xml version="1.0" encoding="utf-8"?>
<formControlPr xmlns="http://schemas.microsoft.com/office/spreadsheetml/2009/9/main" objectType="CheckBox" fmlaLink="$W$594" lockText="1" noThreeD="1"/>
</file>

<file path=xl/ctrlProps/ctrlProp186.xml><?xml version="1.0" encoding="utf-8"?>
<formControlPr xmlns="http://schemas.microsoft.com/office/spreadsheetml/2009/9/main" objectType="CheckBox" fmlaLink="$W$595" lockText="1" noThreeD="1"/>
</file>

<file path=xl/ctrlProps/ctrlProp187.xml><?xml version="1.0" encoding="utf-8"?>
<formControlPr xmlns="http://schemas.microsoft.com/office/spreadsheetml/2009/9/main" objectType="CheckBox" fmlaLink="$W$596" lockText="1" noThreeD="1"/>
</file>

<file path=xl/ctrlProps/ctrlProp188.xml><?xml version="1.0" encoding="utf-8"?>
<formControlPr xmlns="http://schemas.microsoft.com/office/spreadsheetml/2009/9/main" objectType="CheckBox" fmlaLink="$W$597" lockText="1" noThreeD="1"/>
</file>

<file path=xl/ctrlProps/ctrlProp189.xml><?xml version="1.0" encoding="utf-8"?>
<formControlPr xmlns="http://schemas.microsoft.com/office/spreadsheetml/2009/9/main" objectType="CheckBox" fmlaLink="$W$598" lockText="1" noThreeD="1"/>
</file>

<file path=xl/ctrlProps/ctrlProp19.xml><?xml version="1.0" encoding="utf-8"?>
<formControlPr xmlns="http://schemas.microsoft.com/office/spreadsheetml/2009/9/main" objectType="CheckBox" fmlaLink="$W$70" lockText="1" noThreeD="1"/>
</file>

<file path=xl/ctrlProps/ctrlProp190.xml><?xml version="1.0" encoding="utf-8"?>
<formControlPr xmlns="http://schemas.microsoft.com/office/spreadsheetml/2009/9/main" objectType="CheckBox" fmlaLink="$W$601" lockText="1" noThreeD="1"/>
</file>

<file path=xl/ctrlProps/ctrlProp191.xml><?xml version="1.0" encoding="utf-8"?>
<formControlPr xmlns="http://schemas.microsoft.com/office/spreadsheetml/2009/9/main" objectType="CheckBox" fmlaLink="$W$603" lockText="1" noThreeD="1"/>
</file>

<file path=xl/ctrlProps/ctrlProp192.xml><?xml version="1.0" encoding="utf-8"?>
<formControlPr xmlns="http://schemas.microsoft.com/office/spreadsheetml/2009/9/main" objectType="CheckBox" fmlaLink="$W$605" lockText="1" noThreeD="1"/>
</file>

<file path=xl/ctrlProps/ctrlProp193.xml><?xml version="1.0" encoding="utf-8"?>
<formControlPr xmlns="http://schemas.microsoft.com/office/spreadsheetml/2009/9/main" objectType="CheckBox" fmlaLink="$W$616" lockText="1" noThreeD="1"/>
</file>

<file path=xl/ctrlProps/ctrlProp194.xml><?xml version="1.0" encoding="utf-8"?>
<formControlPr xmlns="http://schemas.microsoft.com/office/spreadsheetml/2009/9/main" objectType="CheckBox" fmlaLink="$W$624" lockText="1" noThreeD="1"/>
</file>

<file path=xl/ctrlProps/ctrlProp195.xml><?xml version="1.0" encoding="utf-8"?>
<formControlPr xmlns="http://schemas.microsoft.com/office/spreadsheetml/2009/9/main" objectType="CheckBox" fmlaLink="$W$620" lockText="1" noThreeD="1"/>
</file>

<file path=xl/ctrlProps/ctrlProp196.xml><?xml version="1.0" encoding="utf-8"?>
<formControlPr xmlns="http://schemas.microsoft.com/office/spreadsheetml/2009/9/main" objectType="CheckBox" fmlaLink="$W$621" lockText="1" noThreeD="1"/>
</file>

<file path=xl/ctrlProps/ctrlProp197.xml><?xml version="1.0" encoding="utf-8"?>
<formControlPr xmlns="http://schemas.microsoft.com/office/spreadsheetml/2009/9/main" objectType="CheckBox" fmlaLink="$W$627" lockText="1" noThreeD="1"/>
</file>

<file path=xl/ctrlProps/ctrlProp198.xml><?xml version="1.0" encoding="utf-8"?>
<formControlPr xmlns="http://schemas.microsoft.com/office/spreadsheetml/2009/9/main" objectType="CheckBox" fmlaLink="$W$467" lockText="1" noThreeD="1"/>
</file>

<file path=xl/ctrlProps/ctrlProp199.xml><?xml version="1.0" encoding="utf-8"?>
<formControlPr xmlns="http://schemas.microsoft.com/office/spreadsheetml/2009/9/main" objectType="CheckBox" fmlaLink="$W$484" lockText="1" noThreeD="1"/>
</file>

<file path=xl/ctrlProps/ctrlProp2.xml><?xml version="1.0" encoding="utf-8"?>
<formControlPr xmlns="http://schemas.microsoft.com/office/spreadsheetml/2009/9/main" objectType="CheckBox" fmlaLink="$W$16" lockText="1" noThreeD="1"/>
</file>

<file path=xl/ctrlProps/ctrlProp20.xml><?xml version="1.0" encoding="utf-8"?>
<formControlPr xmlns="http://schemas.microsoft.com/office/spreadsheetml/2009/9/main" objectType="CheckBox" fmlaLink="$W$77" lockText="1" noThreeD="1"/>
</file>

<file path=xl/ctrlProps/ctrlProp200.xml><?xml version="1.0" encoding="utf-8"?>
<formControlPr xmlns="http://schemas.microsoft.com/office/spreadsheetml/2009/9/main" objectType="CheckBox" fmlaLink="$W$487" lockText="1" noThreeD="1"/>
</file>

<file path=xl/ctrlProps/ctrlProp201.xml><?xml version="1.0" encoding="utf-8"?>
<formControlPr xmlns="http://schemas.microsoft.com/office/spreadsheetml/2009/9/main" objectType="CheckBox" fmlaLink="$W$492" lockText="1" noThreeD="1"/>
</file>

<file path=xl/ctrlProps/ctrlProp202.xml><?xml version="1.0" encoding="utf-8"?>
<formControlPr xmlns="http://schemas.microsoft.com/office/spreadsheetml/2009/9/main" objectType="CheckBox" fmlaLink="$W$493" lockText="1" noThreeD="1"/>
</file>

<file path=xl/ctrlProps/ctrlProp203.xml><?xml version="1.0" encoding="utf-8"?>
<formControlPr xmlns="http://schemas.microsoft.com/office/spreadsheetml/2009/9/main" objectType="CheckBox" fmlaLink="$W$497" lockText="1" noThreeD="1"/>
</file>

<file path=xl/ctrlProps/ctrlProp204.xml><?xml version="1.0" encoding="utf-8"?>
<formControlPr xmlns="http://schemas.microsoft.com/office/spreadsheetml/2009/9/main" objectType="CheckBox" fmlaLink="$W$502" lockText="1" noThreeD="1"/>
</file>

<file path=xl/ctrlProps/ctrlProp205.xml><?xml version="1.0" encoding="utf-8"?>
<formControlPr xmlns="http://schemas.microsoft.com/office/spreadsheetml/2009/9/main" objectType="CheckBox" fmlaLink="$W$525" lockText="1" noThreeD="1"/>
</file>

<file path=xl/ctrlProps/ctrlProp206.xml><?xml version="1.0" encoding="utf-8"?>
<formControlPr xmlns="http://schemas.microsoft.com/office/spreadsheetml/2009/9/main" objectType="CheckBox" fmlaLink="$W$528" lockText="1" noThreeD="1"/>
</file>

<file path=xl/ctrlProps/ctrlProp207.xml><?xml version="1.0" encoding="utf-8"?>
<formControlPr xmlns="http://schemas.microsoft.com/office/spreadsheetml/2009/9/main" objectType="CheckBox" fmlaLink="$W$542" lockText="1" noThreeD="1"/>
</file>

<file path=xl/ctrlProps/ctrlProp208.xml><?xml version="1.0" encoding="utf-8"?>
<formControlPr xmlns="http://schemas.microsoft.com/office/spreadsheetml/2009/9/main" objectType="CheckBox" fmlaLink="$W$554" lockText="1" noThreeD="1"/>
</file>

<file path=xl/ctrlProps/ctrlProp209.xml><?xml version="1.0" encoding="utf-8"?>
<formControlPr xmlns="http://schemas.microsoft.com/office/spreadsheetml/2009/9/main" objectType="CheckBox" fmlaLink="$W$556" lockText="1" noThreeD="1"/>
</file>

<file path=xl/ctrlProps/ctrlProp21.xml><?xml version="1.0" encoding="utf-8"?>
<formControlPr xmlns="http://schemas.microsoft.com/office/spreadsheetml/2009/9/main" objectType="CheckBox" fmlaLink="$W$79" lockText="1" noThreeD="1"/>
</file>

<file path=xl/ctrlProps/ctrlProp210.xml><?xml version="1.0" encoding="utf-8"?>
<formControlPr xmlns="http://schemas.microsoft.com/office/spreadsheetml/2009/9/main" objectType="CheckBox" fmlaLink="$W$558" lockText="1" noThreeD="1"/>
</file>

<file path=xl/ctrlProps/ctrlProp211.xml><?xml version="1.0" encoding="utf-8"?>
<formControlPr xmlns="http://schemas.microsoft.com/office/spreadsheetml/2009/9/main" objectType="CheckBox" fmlaLink="$W$369" lockText="1" noThreeD="1"/>
</file>

<file path=xl/ctrlProps/ctrlProp212.xml><?xml version="1.0" encoding="utf-8"?>
<formControlPr xmlns="http://schemas.microsoft.com/office/spreadsheetml/2009/9/main" objectType="CheckBox" fmlaLink="$W$364" lockText="1" noThreeD="1"/>
</file>

<file path=xl/ctrlProps/ctrlProp213.xml><?xml version="1.0" encoding="utf-8"?>
<formControlPr xmlns="http://schemas.microsoft.com/office/spreadsheetml/2009/9/main" objectType="CheckBox" fmlaLink="$W$365" lockText="1" noThreeD="1"/>
</file>

<file path=xl/ctrlProps/ctrlProp214.xml><?xml version="1.0" encoding="utf-8"?>
<formControlPr xmlns="http://schemas.microsoft.com/office/spreadsheetml/2009/9/main" objectType="CheckBox" fmlaLink="$W$366" lockText="1" noThreeD="1"/>
</file>

<file path=xl/ctrlProps/ctrlProp215.xml><?xml version="1.0" encoding="utf-8"?>
<formControlPr xmlns="http://schemas.microsoft.com/office/spreadsheetml/2009/9/main" objectType="CheckBox" fmlaLink="$W$397" lockText="1" noThreeD="1"/>
</file>

<file path=xl/ctrlProps/ctrlProp216.xml><?xml version="1.0" encoding="utf-8"?>
<formControlPr xmlns="http://schemas.microsoft.com/office/spreadsheetml/2009/9/main" objectType="CheckBox" fmlaLink="$W$405" lockText="1" noThreeD="1"/>
</file>

<file path=xl/ctrlProps/ctrlProp217.xml><?xml version="1.0" encoding="utf-8"?>
<formControlPr xmlns="http://schemas.microsoft.com/office/spreadsheetml/2009/9/main" objectType="CheckBox" fmlaLink="$W$407" lockText="1" noThreeD="1"/>
</file>

<file path=xl/ctrlProps/ctrlProp218.xml><?xml version="1.0" encoding="utf-8"?>
<formControlPr xmlns="http://schemas.microsoft.com/office/spreadsheetml/2009/9/main" objectType="CheckBox" fmlaLink="$W$408" lockText="1" noThreeD="1"/>
</file>

<file path=xl/ctrlProps/ctrlProp219.xml><?xml version="1.0" encoding="utf-8"?>
<formControlPr xmlns="http://schemas.microsoft.com/office/spreadsheetml/2009/9/main" objectType="CheckBox" fmlaLink="$W$409" lockText="1" noThreeD="1"/>
</file>

<file path=xl/ctrlProps/ctrlProp22.xml><?xml version="1.0" encoding="utf-8"?>
<formControlPr xmlns="http://schemas.microsoft.com/office/spreadsheetml/2009/9/main" objectType="CheckBox" fmlaLink="$W$83" lockText="1" noThreeD="1"/>
</file>

<file path=xl/ctrlProps/ctrlProp220.xml><?xml version="1.0" encoding="utf-8"?>
<formControlPr xmlns="http://schemas.microsoft.com/office/spreadsheetml/2009/9/main" objectType="CheckBox" fmlaLink="$W$411" lockText="1" noThreeD="1"/>
</file>

<file path=xl/ctrlProps/ctrlProp221.xml><?xml version="1.0" encoding="utf-8"?>
<formControlPr xmlns="http://schemas.microsoft.com/office/spreadsheetml/2009/9/main" objectType="CheckBox" fmlaLink="$W$414" lockText="1" noThreeD="1"/>
</file>

<file path=xl/ctrlProps/ctrlProp222.xml><?xml version="1.0" encoding="utf-8"?>
<formControlPr xmlns="http://schemas.microsoft.com/office/spreadsheetml/2009/9/main" objectType="CheckBox" fmlaLink="$W$415" lockText="1" noThreeD="1"/>
</file>

<file path=xl/ctrlProps/ctrlProp223.xml><?xml version="1.0" encoding="utf-8"?>
<formControlPr xmlns="http://schemas.microsoft.com/office/spreadsheetml/2009/9/main" objectType="CheckBox" fmlaLink="$W$420" lockText="1" noThreeD="1"/>
</file>

<file path=xl/ctrlProps/ctrlProp224.xml><?xml version="1.0" encoding="utf-8"?>
<formControlPr xmlns="http://schemas.microsoft.com/office/spreadsheetml/2009/9/main" objectType="CheckBox" fmlaLink="$W$422" lockText="1" noThreeD="1"/>
</file>

<file path=xl/ctrlProps/ctrlProp225.xml><?xml version="1.0" encoding="utf-8"?>
<formControlPr xmlns="http://schemas.microsoft.com/office/spreadsheetml/2009/9/main" objectType="CheckBox" fmlaLink="$W$424" lockText="1" noThreeD="1"/>
</file>

<file path=xl/ctrlProps/ctrlProp226.xml><?xml version="1.0" encoding="utf-8"?>
<formControlPr xmlns="http://schemas.microsoft.com/office/spreadsheetml/2009/9/main" objectType="CheckBox" fmlaLink="$W$426" lockText="1" noThreeD="1"/>
</file>

<file path=xl/ctrlProps/ctrlProp227.xml><?xml version="1.0" encoding="utf-8"?>
<formControlPr xmlns="http://schemas.microsoft.com/office/spreadsheetml/2009/9/main" objectType="CheckBox" fmlaLink="$W$357" lockText="1" noThreeD="1"/>
</file>

<file path=xl/ctrlProps/ctrlProp228.xml><?xml version="1.0" encoding="utf-8"?>
<formControlPr xmlns="http://schemas.microsoft.com/office/spreadsheetml/2009/9/main" objectType="CheckBox" fmlaLink="$W$359" lockText="1" noThreeD="1"/>
</file>

<file path=xl/ctrlProps/ctrlProp229.xml><?xml version="1.0" encoding="utf-8"?>
<formControlPr xmlns="http://schemas.microsoft.com/office/spreadsheetml/2009/9/main" objectType="CheckBox" fmlaLink="$W$361" lockText="1" noThreeD="1"/>
</file>

<file path=xl/ctrlProps/ctrlProp23.xml><?xml version="1.0" encoding="utf-8"?>
<formControlPr xmlns="http://schemas.microsoft.com/office/spreadsheetml/2009/9/main" objectType="CheckBox" fmlaLink="$W$87" lockText="1" noThreeD="1"/>
</file>

<file path=xl/ctrlProps/ctrlProp230.xml><?xml version="1.0" encoding="utf-8"?>
<formControlPr xmlns="http://schemas.microsoft.com/office/spreadsheetml/2009/9/main" objectType="CheckBox" fmlaLink="$W$343" lockText="1" noThreeD="1"/>
</file>

<file path=xl/ctrlProps/ctrlProp231.xml><?xml version="1.0" encoding="utf-8"?>
<formControlPr xmlns="http://schemas.microsoft.com/office/spreadsheetml/2009/9/main" objectType="CheckBox" fmlaLink="$W$345" lockText="1" noThreeD="1"/>
</file>

<file path=xl/ctrlProps/ctrlProp232.xml><?xml version="1.0" encoding="utf-8"?>
<formControlPr xmlns="http://schemas.microsoft.com/office/spreadsheetml/2009/9/main" objectType="CheckBox" fmlaLink="$W$341" lockText="1" noThreeD="1"/>
</file>

<file path=xl/ctrlProps/ctrlProp233.xml><?xml version="1.0" encoding="utf-8"?>
<formControlPr xmlns="http://schemas.microsoft.com/office/spreadsheetml/2009/9/main" objectType="CheckBox" fmlaLink="$W$303" lockText="1" noThreeD="1"/>
</file>

<file path=xl/ctrlProps/ctrlProp234.xml><?xml version="1.0" encoding="utf-8"?>
<formControlPr xmlns="http://schemas.microsoft.com/office/spreadsheetml/2009/9/main" objectType="CheckBox" fmlaLink="$W$305" lockText="1" noThreeD="1"/>
</file>

<file path=xl/ctrlProps/ctrlProp235.xml><?xml version="1.0" encoding="utf-8"?>
<formControlPr xmlns="http://schemas.microsoft.com/office/spreadsheetml/2009/9/main" objectType="CheckBox" fmlaLink="$W$308" lockText="1" noThreeD="1"/>
</file>

<file path=xl/ctrlProps/ctrlProp236.xml><?xml version="1.0" encoding="utf-8"?>
<formControlPr xmlns="http://schemas.microsoft.com/office/spreadsheetml/2009/9/main" objectType="CheckBox" fmlaLink="$W$309" lockText="1" noThreeD="1"/>
</file>

<file path=xl/ctrlProps/ctrlProp237.xml><?xml version="1.0" encoding="utf-8"?>
<formControlPr xmlns="http://schemas.microsoft.com/office/spreadsheetml/2009/9/main" objectType="CheckBox" fmlaLink="$W$311" lockText="1" noThreeD="1"/>
</file>

<file path=xl/ctrlProps/ctrlProp238.xml><?xml version="1.0" encoding="utf-8"?>
<formControlPr xmlns="http://schemas.microsoft.com/office/spreadsheetml/2009/9/main" objectType="CheckBox" fmlaLink="$W$297" lockText="1" noThreeD="1"/>
</file>

<file path=xl/ctrlProps/ctrlProp239.xml><?xml version="1.0" encoding="utf-8"?>
<formControlPr xmlns="http://schemas.microsoft.com/office/spreadsheetml/2009/9/main" objectType="CheckBox" fmlaLink="$W$192" lockText="1" noThreeD="1"/>
</file>

<file path=xl/ctrlProps/ctrlProp24.xml><?xml version="1.0" encoding="utf-8"?>
<formControlPr xmlns="http://schemas.microsoft.com/office/spreadsheetml/2009/9/main" objectType="CheckBox" fmlaLink="$W$88" lockText="1" noThreeD="1"/>
</file>

<file path=xl/ctrlProps/ctrlProp240.xml><?xml version="1.0" encoding="utf-8"?>
<formControlPr xmlns="http://schemas.microsoft.com/office/spreadsheetml/2009/9/main" objectType="CheckBox" fmlaLink="$W$237" lockText="1" noThreeD="1"/>
</file>

<file path=xl/ctrlProps/ctrlProp241.xml><?xml version="1.0" encoding="utf-8"?>
<formControlPr xmlns="http://schemas.microsoft.com/office/spreadsheetml/2009/9/main" objectType="CheckBox" fmlaLink="$W$277" lockText="1" noThreeD="1"/>
</file>

<file path=xl/ctrlProps/ctrlProp242.xml><?xml version="1.0" encoding="utf-8"?>
<formControlPr xmlns="http://schemas.microsoft.com/office/spreadsheetml/2009/9/main" objectType="CheckBox" fmlaLink="$W$280" lockText="1" noThreeD="1"/>
</file>

<file path=xl/ctrlProps/ctrlProp243.xml><?xml version="1.0" encoding="utf-8"?>
<formControlPr xmlns="http://schemas.microsoft.com/office/spreadsheetml/2009/9/main" objectType="CheckBox" fmlaLink="$W$290" lockText="1" noThreeD="1"/>
</file>

<file path=xl/ctrlProps/ctrlProp244.xml><?xml version="1.0" encoding="utf-8"?>
<formControlPr xmlns="http://schemas.microsoft.com/office/spreadsheetml/2009/9/main" objectType="CheckBox" fmlaLink="$W$544" lockText="1" noThreeD="1"/>
</file>

<file path=xl/ctrlProps/ctrlProp245.xml><?xml version="1.0" encoding="utf-8"?>
<formControlPr xmlns="http://schemas.microsoft.com/office/spreadsheetml/2009/9/main" objectType="CheckBox" fmlaLink="$W$106" lockText="1" noThreeD="1"/>
</file>

<file path=xl/ctrlProps/ctrlProp246.xml><?xml version="1.0" encoding="utf-8"?>
<formControlPr xmlns="http://schemas.microsoft.com/office/spreadsheetml/2009/9/main" objectType="CheckBox" fmlaLink="$W$107" lockText="1" noThreeD="1"/>
</file>

<file path=xl/ctrlProps/ctrlProp247.xml><?xml version="1.0" encoding="utf-8"?>
<formControlPr xmlns="http://schemas.microsoft.com/office/spreadsheetml/2009/9/main" objectType="CheckBox" fmlaLink="$W$108" lockText="1" noThreeD="1"/>
</file>

<file path=xl/ctrlProps/ctrlProp248.xml><?xml version="1.0" encoding="utf-8"?>
<formControlPr xmlns="http://schemas.microsoft.com/office/spreadsheetml/2009/9/main" objectType="CheckBox" checked="Checked" fmlaLink="$W$46" lockText="1" noThreeD="1"/>
</file>

<file path=xl/ctrlProps/ctrlProp249.xml><?xml version="1.0" encoding="utf-8"?>
<formControlPr xmlns="http://schemas.microsoft.com/office/spreadsheetml/2009/9/main" objectType="CheckBox" fmlaLink="$W$41" lockText="1" noThreeD="1"/>
</file>

<file path=xl/ctrlProps/ctrlProp25.xml><?xml version="1.0" encoding="utf-8"?>
<formControlPr xmlns="http://schemas.microsoft.com/office/spreadsheetml/2009/9/main" objectType="CheckBox" fmlaLink="$W$90" lockText="1" noThreeD="1"/>
</file>

<file path=xl/ctrlProps/ctrlProp250.xml><?xml version="1.0" encoding="utf-8"?>
<formControlPr xmlns="http://schemas.microsoft.com/office/spreadsheetml/2009/9/main" objectType="CheckBox" checked="Checked" fmlaLink="$W$77" lockText="1" noThreeD="1"/>
</file>

<file path=xl/ctrlProps/ctrlProp251.xml><?xml version="1.0" encoding="utf-8"?>
<formControlPr xmlns="http://schemas.microsoft.com/office/spreadsheetml/2009/9/main" objectType="CheckBox" checked="Checked" fmlaLink="$W$91" lockText="1" noThreeD="1"/>
</file>

<file path=xl/ctrlProps/ctrlProp252.xml><?xml version="1.0" encoding="utf-8"?>
<formControlPr xmlns="http://schemas.microsoft.com/office/spreadsheetml/2009/9/main" objectType="CheckBox" fmlaLink="$W$98" lockText="1" noThreeD="1"/>
</file>

<file path=xl/ctrlProps/ctrlProp253.xml><?xml version="1.0" encoding="utf-8"?>
<formControlPr xmlns="http://schemas.microsoft.com/office/spreadsheetml/2009/9/main" objectType="CheckBox" fmlaLink="$W$100" lockText="1" noThreeD="1"/>
</file>

<file path=xl/ctrlProps/ctrlProp254.xml><?xml version="1.0" encoding="utf-8"?>
<formControlPr xmlns="http://schemas.microsoft.com/office/spreadsheetml/2009/9/main" objectType="CheckBox" fmlaLink="$W$102" lockText="1" noThreeD="1"/>
</file>

<file path=xl/ctrlProps/ctrlProp255.xml><?xml version="1.0" encoding="utf-8"?>
<formControlPr xmlns="http://schemas.microsoft.com/office/spreadsheetml/2009/9/main" objectType="CheckBox" fmlaLink="$W$116" lockText="1" noThreeD="1"/>
</file>

<file path=xl/ctrlProps/ctrlProp256.xml><?xml version="1.0" encoding="utf-8"?>
<formControlPr xmlns="http://schemas.microsoft.com/office/spreadsheetml/2009/9/main" objectType="CheckBox" fmlaLink="$W$118" lockText="1" noThreeD="1"/>
</file>

<file path=xl/ctrlProps/ctrlProp257.xml><?xml version="1.0" encoding="utf-8"?>
<formControlPr xmlns="http://schemas.microsoft.com/office/spreadsheetml/2009/9/main" objectType="CheckBox" checked="Checked" fmlaLink="$W$119" lockText="1" noThreeD="1"/>
</file>

<file path=xl/ctrlProps/ctrlProp258.xml><?xml version="1.0" encoding="utf-8"?>
<formControlPr xmlns="http://schemas.microsoft.com/office/spreadsheetml/2009/9/main" objectType="CheckBox" fmlaLink="$W$123" lockText="1" noThreeD="1"/>
</file>

<file path=xl/ctrlProps/ctrlProp259.xml><?xml version="1.0" encoding="utf-8"?>
<formControlPr xmlns="http://schemas.microsoft.com/office/spreadsheetml/2009/9/main" objectType="CheckBox" fmlaLink="$W$144" lockText="1" noThreeD="1"/>
</file>

<file path=xl/ctrlProps/ctrlProp26.xml><?xml version="1.0" encoding="utf-8"?>
<formControlPr xmlns="http://schemas.microsoft.com/office/spreadsheetml/2009/9/main" objectType="CheckBox" fmlaLink="$W$91" lockText="1" noThreeD="1"/>
</file>

<file path=xl/ctrlProps/ctrlProp260.xml><?xml version="1.0" encoding="utf-8"?>
<formControlPr xmlns="http://schemas.microsoft.com/office/spreadsheetml/2009/9/main" objectType="CheckBox" fmlaLink="$W$143" lockText="1" noThreeD="1"/>
</file>

<file path=xl/ctrlProps/ctrlProp261.xml><?xml version="1.0" encoding="utf-8"?>
<formControlPr xmlns="http://schemas.microsoft.com/office/spreadsheetml/2009/9/main" objectType="CheckBox" fmlaLink="$W$167" lockText="1" noThreeD="1"/>
</file>

<file path=xl/ctrlProps/ctrlProp262.xml><?xml version="1.0" encoding="utf-8"?>
<formControlPr xmlns="http://schemas.microsoft.com/office/spreadsheetml/2009/9/main" objectType="CheckBox" fmlaLink="$W$165" lockText="1" noThreeD="1"/>
</file>

<file path=xl/ctrlProps/ctrlProp263.xml><?xml version="1.0" encoding="utf-8"?>
<formControlPr xmlns="http://schemas.microsoft.com/office/spreadsheetml/2009/9/main" objectType="CheckBox" fmlaLink="$W$162" lockText="1" noThreeD="1"/>
</file>

<file path=xl/ctrlProps/ctrlProp264.xml><?xml version="1.0" encoding="utf-8"?>
<formControlPr xmlns="http://schemas.microsoft.com/office/spreadsheetml/2009/9/main" objectType="CheckBox" fmlaLink="$W$160" lockText="1" noThreeD="1"/>
</file>

<file path=xl/ctrlProps/ctrlProp265.xml><?xml version="1.0" encoding="utf-8"?>
<formControlPr xmlns="http://schemas.microsoft.com/office/spreadsheetml/2009/9/main" objectType="CheckBox" fmlaLink="$W$161" lockText="1" noThreeD="1"/>
</file>

<file path=xl/ctrlProps/ctrlProp266.xml><?xml version="1.0" encoding="utf-8"?>
<formControlPr xmlns="http://schemas.microsoft.com/office/spreadsheetml/2009/9/main" objectType="CheckBox" fmlaLink="$W$153" lockText="1" noThreeD="1"/>
</file>

<file path=xl/ctrlProps/ctrlProp267.xml><?xml version="1.0" encoding="utf-8"?>
<formControlPr xmlns="http://schemas.microsoft.com/office/spreadsheetml/2009/9/main" objectType="CheckBox" fmlaLink="$W$12" lockText="1" noThreeD="1"/>
</file>

<file path=xl/ctrlProps/ctrlProp268.xml><?xml version="1.0" encoding="utf-8"?>
<formControlPr xmlns="http://schemas.microsoft.com/office/spreadsheetml/2009/9/main" objectType="CheckBox" checked="Checked" fmlaLink="$W$18" lockText="1" noThreeD="1"/>
</file>

<file path=xl/ctrlProps/ctrlProp269.xml><?xml version="1.0" encoding="utf-8"?>
<formControlPr xmlns="http://schemas.microsoft.com/office/spreadsheetml/2009/9/main" objectType="CheckBox" checked="Checked" fmlaLink="$W$33" lockText="1" noThreeD="1"/>
</file>

<file path=xl/ctrlProps/ctrlProp27.xml><?xml version="1.0" encoding="utf-8"?>
<formControlPr xmlns="http://schemas.microsoft.com/office/spreadsheetml/2009/9/main" objectType="CheckBox" fmlaLink="$W$92" lockText="1" noThreeD="1"/>
</file>

<file path=xl/ctrlProps/ctrlProp270.xml><?xml version="1.0" encoding="utf-8"?>
<formControlPr xmlns="http://schemas.microsoft.com/office/spreadsheetml/2009/9/main" objectType="CheckBox" fmlaLink="$W$54" lockText="1" noThreeD="1"/>
</file>

<file path=xl/ctrlProps/ctrlProp271.xml><?xml version="1.0" encoding="utf-8"?>
<formControlPr xmlns="http://schemas.microsoft.com/office/spreadsheetml/2009/9/main" objectType="CheckBox" fmlaLink="$W$67" lockText="1" noThreeD="1"/>
</file>

<file path=xl/ctrlProps/ctrlProp272.xml><?xml version="1.0" encoding="utf-8"?>
<formControlPr xmlns="http://schemas.microsoft.com/office/spreadsheetml/2009/9/main" objectType="CheckBox" checked="Checked" fmlaLink="$W$61" lockText="1" noThreeD="1"/>
</file>

<file path=xl/ctrlProps/ctrlProp273.xml><?xml version="1.0" encoding="utf-8"?>
<formControlPr xmlns="http://schemas.microsoft.com/office/spreadsheetml/2009/9/main" objectType="CheckBox" fmlaLink="$W$90" lockText="1" noThreeD="1"/>
</file>

<file path=xl/ctrlProps/ctrlProp274.xml><?xml version="1.0" encoding="utf-8"?>
<formControlPr xmlns="http://schemas.microsoft.com/office/spreadsheetml/2009/9/main" objectType="CheckBox" fmlaLink="$W$92" lockText="1" noThreeD="1"/>
</file>

<file path=xl/ctrlProps/ctrlProp275.xml><?xml version="1.0" encoding="utf-8"?>
<formControlPr xmlns="http://schemas.microsoft.com/office/spreadsheetml/2009/9/main" objectType="CheckBox" checked="Checked" fmlaLink="$W$95" lockText="1" noThreeD="1"/>
</file>

<file path=xl/ctrlProps/ctrlProp276.xml><?xml version="1.0" encoding="utf-8"?>
<formControlPr xmlns="http://schemas.microsoft.com/office/spreadsheetml/2009/9/main" objectType="CheckBox" fmlaLink="$W$118" lockText="1" noThreeD="1"/>
</file>

<file path=xl/ctrlProps/ctrlProp277.xml><?xml version="1.0" encoding="utf-8"?>
<formControlPr xmlns="http://schemas.microsoft.com/office/spreadsheetml/2009/9/main" objectType="CheckBox" fmlaLink="$W$129" lockText="1" noThreeD="1"/>
</file>

<file path=xl/ctrlProps/ctrlProp278.xml><?xml version="1.0" encoding="utf-8"?>
<formControlPr xmlns="http://schemas.microsoft.com/office/spreadsheetml/2009/9/main" objectType="CheckBox" fmlaLink="$W$131" lockText="1" noThreeD="1"/>
</file>

<file path=xl/ctrlProps/ctrlProp279.xml><?xml version="1.0" encoding="utf-8"?>
<formControlPr xmlns="http://schemas.microsoft.com/office/spreadsheetml/2009/9/main" objectType="CheckBox" checked="Checked" fmlaLink="$W$132" lockText="1" noThreeD="1"/>
</file>

<file path=xl/ctrlProps/ctrlProp28.xml><?xml version="1.0" encoding="utf-8"?>
<formControlPr xmlns="http://schemas.microsoft.com/office/spreadsheetml/2009/9/main" objectType="CheckBox" fmlaLink="$W$100" lockText="1" noThreeD="1"/>
</file>

<file path=xl/ctrlProps/ctrlProp280.xml><?xml version="1.0" encoding="utf-8"?>
<formControlPr xmlns="http://schemas.microsoft.com/office/spreadsheetml/2009/9/main" objectType="CheckBox" fmlaLink="$W$139" lockText="1" noThreeD="1"/>
</file>

<file path=xl/ctrlProps/ctrlProp281.xml><?xml version="1.0" encoding="utf-8"?>
<formControlPr xmlns="http://schemas.microsoft.com/office/spreadsheetml/2009/9/main" objectType="CheckBox" fmlaLink="$W$148" lockText="1" noThreeD="1"/>
</file>

<file path=xl/ctrlProps/ctrlProp282.xml><?xml version="1.0" encoding="utf-8"?>
<formControlPr xmlns="http://schemas.microsoft.com/office/spreadsheetml/2009/9/main" objectType="CheckBox" fmlaLink="$W$153" lockText="1" noThreeD="1"/>
</file>

<file path=xl/ctrlProps/ctrlProp283.xml><?xml version="1.0" encoding="utf-8"?>
<formControlPr xmlns="http://schemas.microsoft.com/office/spreadsheetml/2009/9/main" objectType="CheckBox" fmlaLink="$W$154" lockText="1" noThreeD="1"/>
</file>

<file path=xl/ctrlProps/ctrlProp284.xml><?xml version="1.0" encoding="utf-8"?>
<formControlPr xmlns="http://schemas.microsoft.com/office/spreadsheetml/2009/9/main" objectType="CheckBox" fmlaLink="$W$158" lockText="1" noThreeD="1"/>
</file>

<file path=xl/ctrlProps/ctrlProp285.xml><?xml version="1.0" encoding="utf-8"?>
<formControlPr xmlns="http://schemas.microsoft.com/office/spreadsheetml/2009/9/main" objectType="CheckBox" fmlaLink="$W$167" lockText="1" noThreeD="1"/>
</file>

<file path=xl/ctrlProps/ctrlProp286.xml><?xml version="1.0" encoding="utf-8"?>
<formControlPr xmlns="http://schemas.microsoft.com/office/spreadsheetml/2009/9/main" objectType="CheckBox" fmlaLink="$W$168" lockText="1" noThreeD="1"/>
</file>

<file path=xl/ctrlProps/ctrlProp287.xml><?xml version="1.0" encoding="utf-8"?>
<formControlPr xmlns="http://schemas.microsoft.com/office/spreadsheetml/2009/9/main" objectType="CheckBox" fmlaLink="$W$171" lockText="1" noThreeD="1"/>
</file>

<file path=xl/ctrlProps/ctrlProp288.xml><?xml version="1.0" encoding="utf-8"?>
<formControlPr xmlns="http://schemas.microsoft.com/office/spreadsheetml/2009/9/main" objectType="CheckBox" fmlaLink="$W$173" lockText="1" noThreeD="1"/>
</file>

<file path=xl/ctrlProps/ctrlProp289.xml><?xml version="1.0" encoding="utf-8"?>
<formControlPr xmlns="http://schemas.microsoft.com/office/spreadsheetml/2009/9/main" objectType="CheckBox" checked="Checked" fmlaLink="$W$179" lockText="1" noThreeD="1"/>
</file>

<file path=xl/ctrlProps/ctrlProp29.xml><?xml version="1.0" encoding="utf-8"?>
<formControlPr xmlns="http://schemas.microsoft.com/office/spreadsheetml/2009/9/main" objectType="CheckBox" checked="Checked" fmlaLink="$W$103" lockText="1" noThreeD="1"/>
</file>

<file path=xl/ctrlProps/ctrlProp290.xml><?xml version="1.0" encoding="utf-8"?>
<formControlPr xmlns="http://schemas.microsoft.com/office/spreadsheetml/2009/9/main" objectType="CheckBox" fmlaLink="$W$181" lockText="1" noThreeD="1"/>
</file>

<file path=xl/ctrlProps/ctrlProp291.xml><?xml version="1.0" encoding="utf-8"?>
<formControlPr xmlns="http://schemas.microsoft.com/office/spreadsheetml/2009/9/main" objectType="CheckBox" checked="Checked" fmlaLink="$W$185" lockText="1" noThreeD="1"/>
</file>

<file path=xl/ctrlProps/ctrlProp292.xml><?xml version="1.0" encoding="utf-8"?>
<formControlPr xmlns="http://schemas.microsoft.com/office/spreadsheetml/2009/9/main" objectType="CheckBox" checked="Checked" fmlaLink="$W$192" lockText="1" noThreeD="1"/>
</file>

<file path=xl/ctrlProps/ctrlProp293.xml><?xml version="1.0" encoding="utf-8"?>
<formControlPr xmlns="http://schemas.microsoft.com/office/spreadsheetml/2009/9/main" objectType="CheckBox" fmlaLink="$W$203" lockText="1" noThreeD="1"/>
</file>

<file path=xl/ctrlProps/ctrlProp294.xml><?xml version="1.0" encoding="utf-8"?>
<formControlPr xmlns="http://schemas.microsoft.com/office/spreadsheetml/2009/9/main" objectType="CheckBox" fmlaLink="$W$205" lockText="1" noThreeD="1"/>
</file>

<file path=xl/ctrlProps/ctrlProp295.xml><?xml version="1.0" encoding="utf-8"?>
<formControlPr xmlns="http://schemas.microsoft.com/office/spreadsheetml/2009/9/main" objectType="CheckBox" fmlaLink="$W$207" lockText="1" noThreeD="1"/>
</file>

<file path=xl/ctrlProps/ctrlProp296.xml><?xml version="1.0" encoding="utf-8"?>
<formControlPr xmlns="http://schemas.microsoft.com/office/spreadsheetml/2009/9/main" objectType="CheckBox" checked="Checked" fmlaLink="$W$220" lockText="1" noThreeD="1"/>
</file>

<file path=xl/ctrlProps/ctrlProp297.xml><?xml version="1.0" encoding="utf-8"?>
<formControlPr xmlns="http://schemas.microsoft.com/office/spreadsheetml/2009/9/main" objectType="CheckBox" checked="Checked" fmlaLink="$W$222" lockText="1" noThreeD="1"/>
</file>

<file path=xl/ctrlProps/ctrlProp298.xml><?xml version="1.0" encoding="utf-8"?>
<formControlPr xmlns="http://schemas.microsoft.com/office/spreadsheetml/2009/9/main" objectType="CheckBox" fmlaLink="$W$225" lockText="1" noThreeD="1"/>
</file>

<file path=xl/ctrlProps/ctrlProp299.xml><?xml version="1.0" encoding="utf-8"?>
<formControlPr xmlns="http://schemas.microsoft.com/office/spreadsheetml/2009/9/main" objectType="CheckBox" fmlaLink="$W$234" lockText="1" noThreeD="1"/>
</file>

<file path=xl/ctrlProps/ctrlProp3.xml><?xml version="1.0" encoding="utf-8"?>
<formControlPr xmlns="http://schemas.microsoft.com/office/spreadsheetml/2009/9/main" objectType="CheckBox" fmlaLink="$W$17" lockText="1" noThreeD="1"/>
</file>

<file path=xl/ctrlProps/ctrlProp30.xml><?xml version="1.0" encoding="utf-8"?>
<formControlPr xmlns="http://schemas.microsoft.com/office/spreadsheetml/2009/9/main" objectType="CheckBox" checked="Checked" fmlaLink="$W$129" lockText="1" noThreeD="1"/>
</file>

<file path=xl/ctrlProps/ctrlProp300.xml><?xml version="1.0" encoding="utf-8"?>
<formControlPr xmlns="http://schemas.microsoft.com/office/spreadsheetml/2009/9/main" objectType="CheckBox" checked="Checked" fmlaLink="$W$237" lockText="1" noThreeD="1"/>
</file>

<file path=xl/ctrlProps/ctrlProp301.xml><?xml version="1.0" encoding="utf-8"?>
<formControlPr xmlns="http://schemas.microsoft.com/office/spreadsheetml/2009/9/main" objectType="CheckBox" checked="Checked" fmlaLink="$W$239" lockText="1" noThreeD="1"/>
</file>

<file path=xl/ctrlProps/ctrlProp302.xml><?xml version="1.0" encoding="utf-8"?>
<formControlPr xmlns="http://schemas.microsoft.com/office/spreadsheetml/2009/9/main" objectType="CheckBox" fmlaLink="$W$242" lockText="1" noThreeD="1"/>
</file>

<file path=xl/ctrlProps/ctrlProp303.xml><?xml version="1.0" encoding="utf-8"?>
<formControlPr xmlns="http://schemas.microsoft.com/office/spreadsheetml/2009/9/main" objectType="CheckBox" checked="Checked" fmlaLink="$W$244" lockText="1" noThreeD="1"/>
</file>

<file path=xl/ctrlProps/ctrlProp304.xml><?xml version="1.0" encoding="utf-8"?>
<formControlPr xmlns="http://schemas.microsoft.com/office/spreadsheetml/2009/9/main" objectType="CheckBox" fmlaLink="$W$258" lockText="1" noThreeD="1"/>
</file>

<file path=xl/ctrlProps/ctrlProp305.xml><?xml version="1.0" encoding="utf-8"?>
<formControlPr xmlns="http://schemas.microsoft.com/office/spreadsheetml/2009/9/main" objectType="CheckBox" checked="Checked" fmlaLink="$W$259" lockText="1" noThreeD="1"/>
</file>

<file path=xl/ctrlProps/ctrlProp306.xml><?xml version="1.0" encoding="utf-8"?>
<formControlPr xmlns="http://schemas.microsoft.com/office/spreadsheetml/2009/9/main" objectType="CheckBox" fmlaLink="$W$264" lockText="1" noThreeD="1"/>
</file>

<file path=xl/ctrlProps/ctrlProp307.xml><?xml version="1.0" encoding="utf-8"?>
<formControlPr xmlns="http://schemas.microsoft.com/office/spreadsheetml/2009/9/main" objectType="CheckBox" fmlaLink="$W$269" lockText="1" noThreeD="1"/>
</file>

<file path=xl/ctrlProps/ctrlProp308.xml><?xml version="1.0" encoding="utf-8"?>
<formControlPr xmlns="http://schemas.microsoft.com/office/spreadsheetml/2009/9/main" objectType="CheckBox" fmlaLink="$W$273" lockText="1" noThreeD="1"/>
</file>

<file path=xl/ctrlProps/ctrlProp309.xml><?xml version="1.0" encoding="utf-8"?>
<formControlPr xmlns="http://schemas.microsoft.com/office/spreadsheetml/2009/9/main" objectType="CheckBox" fmlaLink="$W$278" lockText="1" noThreeD="1"/>
</file>

<file path=xl/ctrlProps/ctrlProp31.xml><?xml version="1.0" encoding="utf-8"?>
<formControlPr xmlns="http://schemas.microsoft.com/office/spreadsheetml/2009/9/main" objectType="CheckBox" fmlaLink="$W$131" lockText="1" noThreeD="1"/>
</file>

<file path=xl/ctrlProps/ctrlProp310.xml><?xml version="1.0" encoding="utf-8"?>
<formControlPr xmlns="http://schemas.microsoft.com/office/spreadsheetml/2009/9/main" objectType="CheckBox" fmlaLink="$W$134" lockText="1" noThreeD="1"/>
</file>

<file path=xl/ctrlProps/ctrlProp311.xml><?xml version="1.0" encoding="utf-8"?>
<formControlPr xmlns="http://schemas.microsoft.com/office/spreadsheetml/2009/9/main" objectType="CheckBox" checked="Checked" fmlaLink="$W$15" lockText="1" noThreeD="1"/>
</file>

<file path=xl/ctrlProps/ctrlProp312.xml><?xml version="1.0" encoding="utf-8"?>
<formControlPr xmlns="http://schemas.microsoft.com/office/spreadsheetml/2009/9/main" objectType="CheckBox" checked="Checked" fmlaLink="$W$16" lockText="1" noThreeD="1"/>
</file>

<file path=xl/ctrlProps/ctrlProp313.xml><?xml version="1.0" encoding="utf-8"?>
<formControlPr xmlns="http://schemas.microsoft.com/office/spreadsheetml/2009/9/main" objectType="CheckBox" checked="Checked" fmlaLink="$W$17" lockText="1" noThreeD="1"/>
</file>

<file path=xl/ctrlProps/ctrlProp314.xml><?xml version="1.0" encoding="utf-8"?>
<formControlPr xmlns="http://schemas.microsoft.com/office/spreadsheetml/2009/9/main" objectType="CheckBox" checked="Checked" fmlaLink="$W$21" lockText="1" noThreeD="1"/>
</file>

<file path=xl/ctrlProps/ctrlProp315.xml><?xml version="1.0" encoding="utf-8"?>
<formControlPr xmlns="http://schemas.microsoft.com/office/spreadsheetml/2009/9/main" objectType="CheckBox" checked="Checked" fmlaLink="$W$22" lockText="1" noThreeD="1"/>
</file>

<file path=xl/ctrlProps/ctrlProp316.xml><?xml version="1.0" encoding="utf-8"?>
<formControlPr xmlns="http://schemas.microsoft.com/office/spreadsheetml/2009/9/main" objectType="CheckBox" checked="Checked" fmlaLink="$W$23" lockText="1" noThreeD="1"/>
</file>

<file path=xl/ctrlProps/ctrlProp317.xml><?xml version="1.0" encoding="utf-8"?>
<formControlPr xmlns="http://schemas.microsoft.com/office/spreadsheetml/2009/9/main" objectType="CheckBox" checked="Checked" fmlaLink="$W$25" lockText="1" noThreeD="1"/>
</file>

<file path=xl/ctrlProps/ctrlProp318.xml><?xml version="1.0" encoding="utf-8"?>
<formControlPr xmlns="http://schemas.microsoft.com/office/spreadsheetml/2009/9/main" objectType="CheckBox" checked="Checked" fmlaLink="$W$27" lockText="1" noThreeD="1"/>
</file>

<file path=xl/ctrlProps/ctrlProp319.xml><?xml version="1.0" encoding="utf-8"?>
<formControlPr xmlns="http://schemas.microsoft.com/office/spreadsheetml/2009/9/main" objectType="CheckBox" checked="Checked" fmlaLink="$W$28" lockText="1" noThreeD="1"/>
</file>

<file path=xl/ctrlProps/ctrlProp32.xml><?xml version="1.0" encoding="utf-8"?>
<formControlPr xmlns="http://schemas.microsoft.com/office/spreadsheetml/2009/9/main" objectType="CheckBox" fmlaLink="$W$133" lockText="1" noThreeD="1"/>
</file>

<file path=xl/ctrlProps/ctrlProp320.xml><?xml version="1.0" encoding="utf-8"?>
<formControlPr xmlns="http://schemas.microsoft.com/office/spreadsheetml/2009/9/main" objectType="CheckBox" checked="Checked" fmlaLink="$W$30" lockText="1" noThreeD="1"/>
</file>

<file path=xl/ctrlProps/ctrlProp321.xml><?xml version="1.0" encoding="utf-8"?>
<formControlPr xmlns="http://schemas.microsoft.com/office/spreadsheetml/2009/9/main" objectType="CheckBox" checked="Checked" fmlaLink="$W$31" lockText="1" noThreeD="1"/>
</file>

<file path=xl/ctrlProps/ctrlProp322.xml><?xml version="1.0" encoding="utf-8"?>
<formControlPr xmlns="http://schemas.microsoft.com/office/spreadsheetml/2009/9/main" objectType="CheckBox" fmlaLink="$W$32" lockText="1" noThreeD="1"/>
</file>

<file path=xl/ctrlProps/ctrlProp323.xml><?xml version="1.0" encoding="utf-8"?>
<formControlPr xmlns="http://schemas.microsoft.com/office/spreadsheetml/2009/9/main" objectType="CheckBox" checked="Checked" fmlaLink="$W$38" lockText="1" noThreeD="1"/>
</file>

<file path=xl/ctrlProps/ctrlProp324.xml><?xml version="1.0" encoding="utf-8"?>
<formControlPr xmlns="http://schemas.microsoft.com/office/spreadsheetml/2009/9/main" objectType="CheckBox" checked="Checked" fmlaLink="$W$42" lockText="1" noThreeD="1"/>
</file>

<file path=xl/ctrlProps/ctrlProp325.xml><?xml version="1.0" encoding="utf-8"?>
<formControlPr xmlns="http://schemas.microsoft.com/office/spreadsheetml/2009/9/main" objectType="CheckBox" checked="Checked" fmlaLink="$W$44" lockText="1" noThreeD="1"/>
</file>

<file path=xl/ctrlProps/ctrlProp326.xml><?xml version="1.0" encoding="utf-8"?>
<formControlPr xmlns="http://schemas.microsoft.com/office/spreadsheetml/2009/9/main" objectType="CheckBox" fmlaLink="$W$46" lockText="1" noThreeD="1"/>
</file>

<file path=xl/ctrlProps/ctrlProp327.xml><?xml version="1.0" encoding="utf-8"?>
<formControlPr xmlns="http://schemas.microsoft.com/office/spreadsheetml/2009/9/main" objectType="CheckBox" checked="Checked" fmlaLink="$W$47" lockText="1" noThreeD="1"/>
</file>

<file path=xl/ctrlProps/ctrlProp328.xml><?xml version="1.0" encoding="utf-8"?>
<formControlPr xmlns="http://schemas.microsoft.com/office/spreadsheetml/2009/9/main" objectType="CheckBox" checked="Checked" fmlaLink="$W$49" lockText="1" noThreeD="1"/>
</file>

<file path=xl/ctrlProps/ctrlProp329.xml><?xml version="1.0" encoding="utf-8"?>
<formControlPr xmlns="http://schemas.microsoft.com/office/spreadsheetml/2009/9/main" objectType="CheckBox" checked="Checked" fmlaLink="$W$51" lockText="1" noThreeD="1"/>
</file>

<file path=xl/ctrlProps/ctrlProp33.xml><?xml version="1.0" encoding="utf-8"?>
<formControlPr xmlns="http://schemas.microsoft.com/office/spreadsheetml/2009/9/main" objectType="CheckBox" checked="Checked" fmlaLink="$W$140" lockText="1" noThreeD="1"/>
</file>

<file path=xl/ctrlProps/ctrlProp330.xml><?xml version="1.0" encoding="utf-8"?>
<formControlPr xmlns="http://schemas.microsoft.com/office/spreadsheetml/2009/9/main" objectType="CheckBox" checked="Checked" fmlaLink="$W$52" lockText="1" noThreeD="1"/>
</file>

<file path=xl/ctrlProps/ctrlProp331.xml><?xml version="1.0" encoding="utf-8"?>
<formControlPr xmlns="http://schemas.microsoft.com/office/spreadsheetml/2009/9/main" objectType="CheckBox" checked="Checked" fmlaLink="$W$54" lockText="1" noThreeD="1"/>
</file>

<file path=xl/ctrlProps/ctrlProp332.xml><?xml version="1.0" encoding="utf-8"?>
<formControlPr xmlns="http://schemas.microsoft.com/office/spreadsheetml/2009/9/main" objectType="CheckBox" fmlaLink="$W$56" lockText="1" noThreeD="1"/>
</file>

<file path=xl/ctrlProps/ctrlProp333.xml><?xml version="1.0" encoding="utf-8"?>
<formControlPr xmlns="http://schemas.microsoft.com/office/spreadsheetml/2009/9/main" objectType="CheckBox" fmlaLink="$W$58" lockText="1" noThreeD="1"/>
</file>

<file path=xl/ctrlProps/ctrlProp334.xml><?xml version="1.0" encoding="utf-8"?>
<formControlPr xmlns="http://schemas.microsoft.com/office/spreadsheetml/2009/9/main" objectType="CheckBox" fmlaLink="$W$59" lockText="1" noThreeD="1"/>
</file>

<file path=xl/ctrlProps/ctrlProp335.xml><?xml version="1.0" encoding="utf-8"?>
<formControlPr xmlns="http://schemas.microsoft.com/office/spreadsheetml/2009/9/main" objectType="CheckBox" checked="Checked" fmlaLink="$W$60" lockText="1" noThreeD="1"/>
</file>

<file path=xl/ctrlProps/ctrlProp336.xml><?xml version="1.0" encoding="utf-8"?>
<formControlPr xmlns="http://schemas.microsoft.com/office/spreadsheetml/2009/9/main" objectType="CheckBox" fmlaLink="$W$81" lockText="1" noThreeD="1"/>
</file>

<file path=xl/ctrlProps/ctrlProp337.xml><?xml version="1.0" encoding="utf-8"?>
<formControlPr xmlns="http://schemas.microsoft.com/office/spreadsheetml/2009/9/main" objectType="CheckBox" fmlaLink="$W$84" lockText="1" noThreeD="1"/>
</file>

<file path=xl/ctrlProps/ctrlProp338.xml><?xml version="1.0" encoding="utf-8"?>
<formControlPr xmlns="http://schemas.microsoft.com/office/spreadsheetml/2009/9/main" objectType="CheckBox" fmlaLink="$W$87" lockText="1" noThreeD="1"/>
</file>

<file path=xl/ctrlProps/ctrlProp339.xml><?xml version="1.0" encoding="utf-8"?>
<formControlPr xmlns="http://schemas.microsoft.com/office/spreadsheetml/2009/9/main" objectType="CheckBox" fmlaLink="$W$89" lockText="1" noThreeD="1"/>
</file>

<file path=xl/ctrlProps/ctrlProp34.xml><?xml version="1.0" encoding="utf-8"?>
<formControlPr xmlns="http://schemas.microsoft.com/office/spreadsheetml/2009/9/main" objectType="CheckBox" fmlaLink="$W$141" lockText="1" noThreeD="1"/>
</file>

<file path=xl/ctrlProps/ctrlProp340.xml><?xml version="1.0" encoding="utf-8"?>
<formControlPr xmlns="http://schemas.microsoft.com/office/spreadsheetml/2009/9/main" objectType="CheckBox" fmlaLink="$W$90" lockText="1" noThreeD="1"/>
</file>

<file path=xl/ctrlProps/ctrlProp341.xml><?xml version="1.0" encoding="utf-8"?>
<formControlPr xmlns="http://schemas.microsoft.com/office/spreadsheetml/2009/9/main" objectType="CheckBox" fmlaLink="$W$92" lockText="1" noThreeD="1"/>
</file>

<file path=xl/ctrlProps/ctrlProp342.xml><?xml version="1.0" encoding="utf-8"?>
<formControlPr xmlns="http://schemas.microsoft.com/office/spreadsheetml/2009/9/main" objectType="CheckBox" fmlaLink="$W$93" lockText="1" noThreeD="1"/>
</file>

<file path=xl/ctrlProps/ctrlProp343.xml><?xml version="1.0" encoding="utf-8"?>
<formControlPr xmlns="http://schemas.microsoft.com/office/spreadsheetml/2009/9/main" objectType="CheckBox" fmlaLink="$W$94" lockText="1" noThreeD="1"/>
</file>

<file path=xl/ctrlProps/ctrlProp344.xml><?xml version="1.0" encoding="utf-8"?>
<formControlPr xmlns="http://schemas.microsoft.com/office/spreadsheetml/2009/9/main" objectType="CheckBox" fmlaLink="$W$100" lockText="1" noThreeD="1"/>
</file>

<file path=xl/ctrlProps/ctrlProp345.xml><?xml version="1.0" encoding="utf-8"?>
<formControlPr xmlns="http://schemas.microsoft.com/office/spreadsheetml/2009/9/main" objectType="CheckBox" fmlaLink="$W$102" lockText="1" noThreeD="1"/>
</file>

<file path=xl/ctrlProps/ctrlProp346.xml><?xml version="1.0" encoding="utf-8"?>
<formControlPr xmlns="http://schemas.microsoft.com/office/spreadsheetml/2009/9/main" objectType="CheckBox" fmlaLink="$W$105" lockText="1" noThreeD="1"/>
</file>

<file path=xl/ctrlProps/ctrlProp347.xml><?xml version="1.0" encoding="utf-8"?>
<formControlPr xmlns="http://schemas.microsoft.com/office/spreadsheetml/2009/9/main" objectType="CheckBox" fmlaLink="$W$107" lockText="1" noThreeD="1"/>
</file>

<file path=xl/ctrlProps/ctrlProp348.xml><?xml version="1.0" encoding="utf-8"?>
<formControlPr xmlns="http://schemas.microsoft.com/office/spreadsheetml/2009/9/main" objectType="CheckBox" fmlaLink="$W$110" lockText="1" noThreeD="1"/>
</file>

<file path=xl/ctrlProps/ctrlProp349.xml><?xml version="1.0" encoding="utf-8"?>
<formControlPr xmlns="http://schemas.microsoft.com/office/spreadsheetml/2009/9/main" objectType="CheckBox" fmlaLink="$W$112" lockText="1" noThreeD="1"/>
</file>

<file path=xl/ctrlProps/ctrlProp35.xml><?xml version="1.0" encoding="utf-8"?>
<formControlPr xmlns="http://schemas.microsoft.com/office/spreadsheetml/2009/9/main" objectType="CheckBox" fmlaLink="$W$146" lockText="1" noThreeD="1"/>
</file>

<file path=xl/ctrlProps/ctrlProp350.xml><?xml version="1.0" encoding="utf-8"?>
<formControlPr xmlns="http://schemas.microsoft.com/office/spreadsheetml/2009/9/main" objectType="CheckBox" fmlaLink="$W$113" lockText="1" noThreeD="1"/>
</file>

<file path=xl/ctrlProps/ctrlProp351.xml><?xml version="1.0" encoding="utf-8"?>
<formControlPr xmlns="http://schemas.microsoft.com/office/spreadsheetml/2009/9/main" objectType="CheckBox" fmlaLink="$W$115" lockText="1" noThreeD="1"/>
</file>

<file path=xl/ctrlProps/ctrlProp352.xml><?xml version="1.0" encoding="utf-8"?>
<formControlPr xmlns="http://schemas.microsoft.com/office/spreadsheetml/2009/9/main" objectType="CheckBox" fmlaLink="$W$117" lockText="1" noThreeD="1"/>
</file>

<file path=xl/ctrlProps/ctrlProp353.xml><?xml version="1.0" encoding="utf-8"?>
<formControlPr xmlns="http://schemas.microsoft.com/office/spreadsheetml/2009/9/main" objectType="CheckBox" fmlaLink="$W$118" lockText="1" noThreeD="1"/>
</file>

<file path=xl/ctrlProps/ctrlProp354.xml><?xml version="1.0" encoding="utf-8"?>
<formControlPr xmlns="http://schemas.microsoft.com/office/spreadsheetml/2009/9/main" objectType="CheckBox" fmlaLink="$W$121" lockText="1" noThreeD="1"/>
</file>

<file path=xl/ctrlProps/ctrlProp355.xml><?xml version="1.0" encoding="utf-8"?>
<formControlPr xmlns="http://schemas.microsoft.com/office/spreadsheetml/2009/9/main" objectType="CheckBox" fmlaLink="$W$127" lockText="1" noThreeD="1"/>
</file>

<file path=xl/ctrlProps/ctrlProp356.xml><?xml version="1.0" encoding="utf-8"?>
<formControlPr xmlns="http://schemas.microsoft.com/office/spreadsheetml/2009/9/main" objectType="CheckBox" fmlaLink="$W$129" lockText="1" noThreeD="1"/>
</file>

<file path=xl/ctrlProps/ctrlProp357.xml><?xml version="1.0" encoding="utf-8"?>
<formControlPr xmlns="http://schemas.microsoft.com/office/spreadsheetml/2009/9/main" objectType="CheckBox" fmlaLink="$W$133" lockText="1" noThreeD="1"/>
</file>

<file path=xl/ctrlProps/ctrlProp358.xml><?xml version="1.0" encoding="utf-8"?>
<formControlPr xmlns="http://schemas.microsoft.com/office/spreadsheetml/2009/9/main" objectType="CheckBox" fmlaLink="$W$140" lockText="1" noThreeD="1"/>
</file>

<file path=xl/ctrlProps/ctrlProp359.xml><?xml version="1.0" encoding="utf-8"?>
<formControlPr xmlns="http://schemas.microsoft.com/office/spreadsheetml/2009/9/main" objectType="CheckBox" fmlaLink="$W$142" lockText="1" noThreeD="1"/>
</file>

<file path=xl/ctrlProps/ctrlProp36.xml><?xml version="1.0" encoding="utf-8"?>
<formControlPr xmlns="http://schemas.microsoft.com/office/spreadsheetml/2009/9/main" objectType="CheckBox" fmlaLink="$W$148" lockText="1" noThreeD="1"/>
</file>

<file path=xl/ctrlProps/ctrlProp360.xml><?xml version="1.0" encoding="utf-8"?>
<formControlPr xmlns="http://schemas.microsoft.com/office/spreadsheetml/2009/9/main" objectType="CheckBox" fmlaLink="$W$143" lockText="1" noThreeD="1"/>
</file>

<file path=xl/ctrlProps/ctrlProp361.xml><?xml version="1.0" encoding="utf-8"?>
<formControlPr xmlns="http://schemas.microsoft.com/office/spreadsheetml/2009/9/main" objectType="CheckBox" fmlaLink="$W$145" lockText="1" noThreeD="1"/>
</file>

<file path=xl/ctrlProps/ctrlProp362.xml><?xml version="1.0" encoding="utf-8"?>
<formControlPr xmlns="http://schemas.microsoft.com/office/spreadsheetml/2009/9/main" objectType="CheckBox" fmlaLink="$W$146" lockText="1" noThreeD="1"/>
</file>

<file path=xl/ctrlProps/ctrlProp363.xml><?xml version="1.0" encoding="utf-8"?>
<formControlPr xmlns="http://schemas.microsoft.com/office/spreadsheetml/2009/9/main" objectType="CheckBox" fmlaLink="$W$147" lockText="1" noThreeD="1"/>
</file>

<file path=xl/ctrlProps/ctrlProp364.xml><?xml version="1.0" encoding="utf-8"?>
<formControlPr xmlns="http://schemas.microsoft.com/office/spreadsheetml/2009/9/main" objectType="CheckBox" fmlaLink="$W$148" lockText="1" noThreeD="1"/>
</file>

<file path=xl/ctrlProps/ctrlProp365.xml><?xml version="1.0" encoding="utf-8"?>
<formControlPr xmlns="http://schemas.microsoft.com/office/spreadsheetml/2009/9/main" objectType="CheckBox" fmlaLink="$W$149" lockText="1" noThreeD="1"/>
</file>

<file path=xl/ctrlProps/ctrlProp366.xml><?xml version="1.0" encoding="utf-8"?>
<formControlPr xmlns="http://schemas.microsoft.com/office/spreadsheetml/2009/9/main" objectType="CheckBox" fmlaLink="$W$166" lockText="1" noThreeD="1"/>
</file>

<file path=xl/ctrlProps/ctrlProp367.xml><?xml version="1.0" encoding="utf-8"?>
<formControlPr xmlns="http://schemas.microsoft.com/office/spreadsheetml/2009/9/main" objectType="CheckBox" fmlaLink="$W$168" lockText="1" noThreeD="1"/>
</file>

<file path=xl/ctrlProps/ctrlProp368.xml><?xml version="1.0" encoding="utf-8"?>
<formControlPr xmlns="http://schemas.microsoft.com/office/spreadsheetml/2009/9/main" objectType="CheckBox" checked="Checked" fmlaLink="$W$171" lockText="1" noThreeD="1"/>
</file>

<file path=xl/ctrlProps/ctrlProp369.xml><?xml version="1.0" encoding="utf-8"?>
<formControlPr xmlns="http://schemas.microsoft.com/office/spreadsheetml/2009/9/main" objectType="CheckBox" fmlaLink="$W$184" lockText="1" noThreeD="1"/>
</file>

<file path=xl/ctrlProps/ctrlProp37.xml><?xml version="1.0" encoding="utf-8"?>
<formControlPr xmlns="http://schemas.microsoft.com/office/spreadsheetml/2009/9/main" objectType="CheckBox" fmlaLink="$W$151" lockText="1" noThreeD="1"/>
</file>

<file path=xl/ctrlProps/ctrlProp370.xml><?xml version="1.0" encoding="utf-8"?>
<formControlPr xmlns="http://schemas.microsoft.com/office/spreadsheetml/2009/9/main" objectType="CheckBox" fmlaLink="$W$186" lockText="1" noThreeD="1"/>
</file>

<file path=xl/ctrlProps/ctrlProp371.xml><?xml version="1.0" encoding="utf-8"?>
<formControlPr xmlns="http://schemas.microsoft.com/office/spreadsheetml/2009/9/main" objectType="CheckBox" fmlaLink="$I$8" lockText="1" noThreeD="1"/>
</file>

<file path=xl/ctrlProps/ctrlProp372.xml><?xml version="1.0" encoding="utf-8"?>
<formControlPr xmlns="http://schemas.microsoft.com/office/spreadsheetml/2009/9/main" objectType="CheckBox" fmlaLink="$I$9" lockText="1" noThreeD="1"/>
</file>

<file path=xl/ctrlProps/ctrlProp373.xml><?xml version="1.0" encoding="utf-8"?>
<formControlPr xmlns="http://schemas.microsoft.com/office/spreadsheetml/2009/9/main" objectType="CheckBox" fmlaLink="$I$10" lockText="1" noThreeD="1"/>
</file>

<file path=xl/ctrlProps/ctrlProp374.xml><?xml version="1.0" encoding="utf-8"?>
<formControlPr xmlns="http://schemas.microsoft.com/office/spreadsheetml/2009/9/main" objectType="CheckBox" fmlaLink="$I$11" lockText="1" noThreeD="1"/>
</file>

<file path=xl/ctrlProps/ctrlProp375.xml><?xml version="1.0" encoding="utf-8"?>
<formControlPr xmlns="http://schemas.microsoft.com/office/spreadsheetml/2009/9/main" objectType="CheckBox" fmlaLink="$I$12" lockText="1" noThreeD="1"/>
</file>

<file path=xl/ctrlProps/ctrlProp376.xml><?xml version="1.0" encoding="utf-8"?>
<formControlPr xmlns="http://schemas.microsoft.com/office/spreadsheetml/2009/9/main" objectType="CheckBox" fmlaLink="$I$13" lockText="1" noThreeD="1"/>
</file>

<file path=xl/ctrlProps/ctrlProp377.xml><?xml version="1.0" encoding="utf-8"?>
<formControlPr xmlns="http://schemas.microsoft.com/office/spreadsheetml/2009/9/main" objectType="CheckBox" fmlaLink="$I$14" lockText="1" noThreeD="1"/>
</file>

<file path=xl/ctrlProps/ctrlProp378.xml><?xml version="1.0" encoding="utf-8"?>
<formControlPr xmlns="http://schemas.microsoft.com/office/spreadsheetml/2009/9/main" objectType="CheckBox" fmlaLink="$I$16" lockText="1" noThreeD="1"/>
</file>

<file path=xl/ctrlProps/ctrlProp379.xml><?xml version="1.0" encoding="utf-8"?>
<formControlPr xmlns="http://schemas.microsoft.com/office/spreadsheetml/2009/9/main" objectType="CheckBox" fmlaLink="$I$17" lockText="1" noThreeD="1"/>
</file>

<file path=xl/ctrlProps/ctrlProp38.xml><?xml version="1.0" encoding="utf-8"?>
<formControlPr xmlns="http://schemas.microsoft.com/office/spreadsheetml/2009/9/main" objectType="CheckBox" fmlaLink="$W$153" lockText="1" noThreeD="1"/>
</file>

<file path=xl/ctrlProps/ctrlProp380.xml><?xml version="1.0" encoding="utf-8"?>
<formControlPr xmlns="http://schemas.microsoft.com/office/spreadsheetml/2009/9/main" objectType="CheckBox" fmlaLink="$I$18" lockText="1" noThreeD="1"/>
</file>

<file path=xl/ctrlProps/ctrlProp381.xml><?xml version="1.0" encoding="utf-8"?>
<formControlPr xmlns="http://schemas.microsoft.com/office/spreadsheetml/2009/9/main" objectType="CheckBox" fmlaLink="$I$20" lockText="1" noThreeD="1"/>
</file>

<file path=xl/ctrlProps/ctrlProp382.xml><?xml version="1.0" encoding="utf-8"?>
<formControlPr xmlns="http://schemas.microsoft.com/office/spreadsheetml/2009/9/main" objectType="CheckBox" fmlaLink="$I$21" lockText="1" noThreeD="1"/>
</file>

<file path=xl/ctrlProps/ctrlProp383.xml><?xml version="1.0" encoding="utf-8"?>
<formControlPr xmlns="http://schemas.microsoft.com/office/spreadsheetml/2009/9/main" objectType="CheckBox" fmlaLink="$I$24" lockText="1" noThreeD="1"/>
</file>

<file path=xl/ctrlProps/ctrlProp384.xml><?xml version="1.0" encoding="utf-8"?>
<formControlPr xmlns="http://schemas.microsoft.com/office/spreadsheetml/2009/9/main" objectType="CheckBox" fmlaLink="$I$26" lockText="1" noThreeD="1"/>
</file>

<file path=xl/ctrlProps/ctrlProp385.xml><?xml version="1.0" encoding="utf-8"?>
<formControlPr xmlns="http://schemas.microsoft.com/office/spreadsheetml/2009/9/main" objectType="CheckBox" fmlaLink="$I$27" lockText="1" noThreeD="1"/>
</file>

<file path=xl/ctrlProps/ctrlProp386.xml><?xml version="1.0" encoding="utf-8"?>
<formControlPr xmlns="http://schemas.microsoft.com/office/spreadsheetml/2009/9/main" objectType="CheckBox" fmlaLink="$I$29" lockText="1" noThreeD="1"/>
</file>

<file path=xl/ctrlProps/ctrlProp387.xml><?xml version="1.0" encoding="utf-8"?>
<formControlPr xmlns="http://schemas.microsoft.com/office/spreadsheetml/2009/9/main" objectType="CheckBox" fmlaLink="$I$30" lockText="1" noThreeD="1"/>
</file>

<file path=xl/ctrlProps/ctrlProp388.xml><?xml version="1.0" encoding="utf-8"?>
<formControlPr xmlns="http://schemas.microsoft.com/office/spreadsheetml/2009/9/main" objectType="CheckBox" fmlaLink="$I$31" lockText="1" noThreeD="1"/>
</file>

<file path=xl/ctrlProps/ctrlProp389.xml><?xml version="1.0" encoding="utf-8"?>
<formControlPr xmlns="http://schemas.microsoft.com/office/spreadsheetml/2009/9/main" objectType="CheckBox" fmlaLink="$I$32" lockText="1" noThreeD="1"/>
</file>

<file path=xl/ctrlProps/ctrlProp39.xml><?xml version="1.0" encoding="utf-8"?>
<formControlPr xmlns="http://schemas.microsoft.com/office/spreadsheetml/2009/9/main" objectType="CheckBox" fmlaLink="$W$155" lockText="1" noThreeD="1"/>
</file>

<file path=xl/ctrlProps/ctrlProp390.xml><?xml version="1.0" encoding="utf-8"?>
<formControlPr xmlns="http://schemas.microsoft.com/office/spreadsheetml/2009/9/main" objectType="CheckBox" fmlaLink="$I$43" lockText="1" noThreeD="1"/>
</file>

<file path=xl/ctrlProps/ctrlProp391.xml><?xml version="1.0" encoding="utf-8"?>
<formControlPr xmlns="http://schemas.microsoft.com/office/spreadsheetml/2009/9/main" objectType="CheckBox" fmlaLink="$I$44" lockText="1" noThreeD="1"/>
</file>

<file path=xl/ctrlProps/ctrlProp392.xml><?xml version="1.0" encoding="utf-8"?>
<formControlPr xmlns="http://schemas.microsoft.com/office/spreadsheetml/2009/9/main" objectType="CheckBox" fmlaLink="$I$45" lockText="1" noThreeD="1"/>
</file>

<file path=xl/ctrlProps/ctrlProp393.xml><?xml version="1.0" encoding="utf-8"?>
<formControlPr xmlns="http://schemas.microsoft.com/office/spreadsheetml/2009/9/main" objectType="CheckBox" fmlaLink="$I$46" lockText="1" noThreeD="1"/>
</file>

<file path=xl/ctrlProps/ctrlProp394.xml><?xml version="1.0" encoding="utf-8"?>
<formControlPr xmlns="http://schemas.microsoft.com/office/spreadsheetml/2009/9/main" objectType="CheckBox" fmlaLink="$I$47" lockText="1" noThreeD="1"/>
</file>

<file path=xl/ctrlProps/ctrlProp395.xml><?xml version="1.0" encoding="utf-8"?>
<formControlPr xmlns="http://schemas.microsoft.com/office/spreadsheetml/2009/9/main" objectType="CheckBox" fmlaLink="$I$50" lockText="1" noThreeD="1"/>
</file>

<file path=xl/ctrlProps/ctrlProp396.xml><?xml version="1.0" encoding="utf-8"?>
<formControlPr xmlns="http://schemas.microsoft.com/office/spreadsheetml/2009/9/main" objectType="CheckBox" fmlaLink="$I$51" lockText="1" noThreeD="1"/>
</file>

<file path=xl/ctrlProps/ctrlProp397.xml><?xml version="1.0" encoding="utf-8"?>
<formControlPr xmlns="http://schemas.microsoft.com/office/spreadsheetml/2009/9/main" objectType="CheckBox" fmlaLink="$I$52" lockText="1" noThreeD="1"/>
</file>

<file path=xl/ctrlProps/ctrlProp398.xml><?xml version="1.0" encoding="utf-8"?>
<formControlPr xmlns="http://schemas.microsoft.com/office/spreadsheetml/2009/9/main" objectType="CheckBox" fmlaLink="$I$53" lockText="1" noThreeD="1"/>
</file>

<file path=xl/ctrlProps/ctrlProp399.xml><?xml version="1.0" encoding="utf-8"?>
<formControlPr xmlns="http://schemas.microsoft.com/office/spreadsheetml/2009/9/main" objectType="CheckBox" fmlaLink="$I$54" lockText="1" noThreeD="1"/>
</file>

<file path=xl/ctrlProps/ctrlProp4.xml><?xml version="1.0" encoding="utf-8"?>
<formControlPr xmlns="http://schemas.microsoft.com/office/spreadsheetml/2009/9/main" objectType="CheckBox" fmlaLink="$W$18" lockText="1" noThreeD="1"/>
</file>

<file path=xl/ctrlProps/ctrlProp40.xml><?xml version="1.0" encoding="utf-8"?>
<formControlPr xmlns="http://schemas.microsoft.com/office/spreadsheetml/2009/9/main" objectType="CheckBox" checked="Checked" fmlaLink="$W$159" lockText="1" noThreeD="1"/>
</file>

<file path=xl/ctrlProps/ctrlProp400.xml><?xml version="1.0" encoding="utf-8"?>
<formControlPr xmlns="http://schemas.microsoft.com/office/spreadsheetml/2009/9/main" objectType="CheckBox" fmlaLink="$I$55" lockText="1" noThreeD="1"/>
</file>

<file path=xl/ctrlProps/ctrlProp401.xml><?xml version="1.0" encoding="utf-8"?>
<formControlPr xmlns="http://schemas.microsoft.com/office/spreadsheetml/2009/9/main" objectType="CheckBox" fmlaLink="$I$57" lockText="1" noThreeD="1"/>
</file>

<file path=xl/ctrlProps/ctrlProp402.xml><?xml version="1.0" encoding="utf-8"?>
<formControlPr xmlns="http://schemas.microsoft.com/office/spreadsheetml/2009/9/main" objectType="CheckBox" fmlaLink="$I$58" lockText="1" noThreeD="1"/>
</file>

<file path=xl/ctrlProps/ctrlProp403.xml><?xml version="1.0" encoding="utf-8"?>
<formControlPr xmlns="http://schemas.microsoft.com/office/spreadsheetml/2009/9/main" objectType="CheckBox" fmlaLink="$I$22" lockText="1" noThreeD="1"/>
</file>

<file path=xl/ctrlProps/ctrlProp404.xml><?xml version="1.0" encoding="utf-8"?>
<formControlPr xmlns="http://schemas.microsoft.com/office/spreadsheetml/2009/9/main" objectType="CheckBox" fmlaLink="$I$33" lockText="1" noThreeD="1"/>
</file>

<file path=xl/ctrlProps/ctrlProp405.xml><?xml version="1.0" encoding="utf-8"?>
<formControlPr xmlns="http://schemas.microsoft.com/office/spreadsheetml/2009/9/main" objectType="CheckBox" fmlaLink="$I$34" lockText="1" noThreeD="1"/>
</file>

<file path=xl/ctrlProps/ctrlProp406.xml><?xml version="1.0" encoding="utf-8"?>
<formControlPr xmlns="http://schemas.microsoft.com/office/spreadsheetml/2009/9/main" objectType="CheckBox" fmlaLink="$I$35" lockText="1" noThreeD="1"/>
</file>

<file path=xl/ctrlProps/ctrlProp407.xml><?xml version="1.0" encoding="utf-8"?>
<formControlPr xmlns="http://schemas.microsoft.com/office/spreadsheetml/2009/9/main" objectType="CheckBox" fmlaLink="$I$36" lockText="1" noThreeD="1"/>
</file>

<file path=xl/ctrlProps/ctrlProp408.xml><?xml version="1.0" encoding="utf-8"?>
<formControlPr xmlns="http://schemas.microsoft.com/office/spreadsheetml/2009/9/main" objectType="CheckBox" fmlaLink="$I$37" lockText="1" noThreeD="1"/>
</file>

<file path=xl/ctrlProps/ctrlProp409.xml><?xml version="1.0" encoding="utf-8"?>
<formControlPr xmlns="http://schemas.microsoft.com/office/spreadsheetml/2009/9/main" objectType="CheckBox" fmlaLink="$I$39" lockText="1" noThreeD="1"/>
</file>

<file path=xl/ctrlProps/ctrlProp41.xml><?xml version="1.0" encoding="utf-8"?>
<formControlPr xmlns="http://schemas.microsoft.com/office/spreadsheetml/2009/9/main" objectType="CheckBox" checked="Checked" fmlaLink="$W$160" lockText="1" noThreeD="1"/>
</file>

<file path=xl/ctrlProps/ctrlProp410.xml><?xml version="1.0" encoding="utf-8"?>
<formControlPr xmlns="http://schemas.microsoft.com/office/spreadsheetml/2009/9/main" objectType="CheckBox" fmlaLink="$I$40" lockText="1" noThreeD="1"/>
</file>

<file path=xl/ctrlProps/ctrlProp411.xml><?xml version="1.0" encoding="utf-8"?>
<formControlPr xmlns="http://schemas.microsoft.com/office/spreadsheetml/2009/9/main" objectType="CheckBox" fmlaLink="$I$41" lockText="1" noThreeD="1"/>
</file>

<file path=xl/ctrlProps/ctrlProp412.xml><?xml version="1.0" encoding="utf-8"?>
<formControlPr xmlns="http://schemas.microsoft.com/office/spreadsheetml/2009/9/main" objectType="CheckBox" fmlaLink="$I$42" lockText="1" noThreeD="1"/>
</file>

<file path=xl/ctrlProps/ctrlProp413.xml><?xml version="1.0" encoding="utf-8"?>
<formControlPr xmlns="http://schemas.microsoft.com/office/spreadsheetml/2009/9/main" objectType="CheckBox" fmlaLink="$W$14" lockText="1" noThreeD="1"/>
</file>

<file path=xl/ctrlProps/ctrlProp414.xml><?xml version="1.0" encoding="utf-8"?>
<formControlPr xmlns="http://schemas.microsoft.com/office/spreadsheetml/2009/9/main" objectType="CheckBox" fmlaLink="$W$15" lockText="1" noThreeD="1"/>
</file>

<file path=xl/ctrlProps/ctrlProp415.xml><?xml version="1.0" encoding="utf-8"?>
<formControlPr xmlns="http://schemas.microsoft.com/office/spreadsheetml/2009/9/main" objectType="CheckBox" fmlaLink="$W$16" lockText="1" noThreeD="1"/>
</file>

<file path=xl/ctrlProps/ctrlProp416.xml><?xml version="1.0" encoding="utf-8"?>
<formControlPr xmlns="http://schemas.microsoft.com/office/spreadsheetml/2009/9/main" objectType="CheckBox" fmlaLink="$W$17" lockText="1" noThreeD="1"/>
</file>

<file path=xl/ctrlProps/ctrlProp417.xml><?xml version="1.0" encoding="utf-8"?>
<formControlPr xmlns="http://schemas.microsoft.com/office/spreadsheetml/2009/9/main" objectType="CheckBox" fmlaLink="$W$20" lockText="1" noThreeD="1"/>
</file>

<file path=xl/ctrlProps/ctrlProp418.xml><?xml version="1.0" encoding="utf-8"?>
<formControlPr xmlns="http://schemas.microsoft.com/office/spreadsheetml/2009/9/main" objectType="CheckBox" fmlaLink="$W$22" lockText="1" noThreeD="1"/>
</file>

<file path=xl/ctrlProps/ctrlProp419.xml><?xml version="1.0" encoding="utf-8"?>
<formControlPr xmlns="http://schemas.microsoft.com/office/spreadsheetml/2009/9/main" objectType="CheckBox" fmlaLink="$W$24" lockText="1" noThreeD="1"/>
</file>

<file path=xl/ctrlProps/ctrlProp42.xml><?xml version="1.0" encoding="utf-8"?>
<formControlPr xmlns="http://schemas.microsoft.com/office/spreadsheetml/2009/9/main" objectType="CheckBox" fmlaLink="$W$161" lockText="1" noThreeD="1"/>
</file>

<file path=xl/ctrlProps/ctrlProp420.xml><?xml version="1.0" encoding="utf-8"?>
<formControlPr xmlns="http://schemas.microsoft.com/office/spreadsheetml/2009/9/main" objectType="CheckBox" fmlaLink="$W$26" lockText="1" noThreeD="1"/>
</file>

<file path=xl/ctrlProps/ctrlProp421.xml><?xml version="1.0" encoding="utf-8"?>
<formControlPr xmlns="http://schemas.microsoft.com/office/spreadsheetml/2009/9/main" objectType="CheckBox" fmlaLink="$W$35" lockText="1" noThreeD="1"/>
</file>

<file path=xl/ctrlProps/ctrlProp422.xml><?xml version="1.0" encoding="utf-8"?>
<formControlPr xmlns="http://schemas.microsoft.com/office/spreadsheetml/2009/9/main" objectType="CheckBox" fmlaLink="$W$44" lockText="1" noThreeD="1"/>
</file>

<file path=xl/ctrlProps/ctrlProp423.xml><?xml version="1.0" encoding="utf-8"?>
<formControlPr xmlns="http://schemas.microsoft.com/office/spreadsheetml/2009/9/main" objectType="CheckBox" fmlaLink="$W$55" lockText="1" noThreeD="1"/>
</file>

<file path=xl/ctrlProps/ctrlProp424.xml><?xml version="1.0" encoding="utf-8"?>
<formControlPr xmlns="http://schemas.microsoft.com/office/spreadsheetml/2009/9/main" objectType="CheckBox" fmlaLink="$W$56" lockText="1" noThreeD="1"/>
</file>

<file path=xl/ctrlProps/ctrlProp425.xml><?xml version="1.0" encoding="utf-8"?>
<formControlPr xmlns="http://schemas.microsoft.com/office/spreadsheetml/2009/9/main" objectType="CheckBox" fmlaLink="$W$58" lockText="1" noThreeD="1"/>
</file>

<file path=xl/ctrlProps/ctrlProp426.xml><?xml version="1.0" encoding="utf-8"?>
<formControlPr xmlns="http://schemas.microsoft.com/office/spreadsheetml/2009/9/main" objectType="CheckBox" fmlaLink="$W$60" lockText="1" noThreeD="1"/>
</file>

<file path=xl/ctrlProps/ctrlProp427.xml><?xml version="1.0" encoding="utf-8"?>
<formControlPr xmlns="http://schemas.microsoft.com/office/spreadsheetml/2009/9/main" objectType="CheckBox" fmlaLink="$W$61" lockText="1" noThreeD="1"/>
</file>

<file path=xl/ctrlProps/ctrlProp428.xml><?xml version="1.0" encoding="utf-8"?>
<formControlPr xmlns="http://schemas.microsoft.com/office/spreadsheetml/2009/9/main" objectType="CheckBox" fmlaLink="$W$62" lockText="1" noThreeD="1"/>
</file>

<file path=xl/ctrlProps/ctrlProp429.xml><?xml version="1.0" encoding="utf-8"?>
<formControlPr xmlns="http://schemas.microsoft.com/office/spreadsheetml/2009/9/main" objectType="CheckBox" fmlaLink="$W$64" lockText="1" noThreeD="1"/>
</file>

<file path=xl/ctrlProps/ctrlProp43.xml><?xml version="1.0" encoding="utf-8"?>
<formControlPr xmlns="http://schemas.microsoft.com/office/spreadsheetml/2009/9/main" objectType="CheckBox" fmlaLink="$W$163" lockText="1" noThreeD="1"/>
</file>

<file path=xl/ctrlProps/ctrlProp430.xml><?xml version="1.0" encoding="utf-8"?>
<formControlPr xmlns="http://schemas.microsoft.com/office/spreadsheetml/2009/9/main" objectType="CheckBox" fmlaLink="$W$68" lockText="1" noThreeD="1"/>
</file>

<file path=xl/ctrlProps/ctrlProp431.xml><?xml version="1.0" encoding="utf-8"?>
<formControlPr xmlns="http://schemas.microsoft.com/office/spreadsheetml/2009/9/main" objectType="CheckBox" fmlaLink="$W$69" lockText="1" noThreeD="1"/>
</file>

<file path=xl/ctrlProps/ctrlProp432.xml><?xml version="1.0" encoding="utf-8"?>
<formControlPr xmlns="http://schemas.microsoft.com/office/spreadsheetml/2009/9/main" objectType="CheckBox" fmlaLink="$W$76" lockText="1" noThreeD="1"/>
</file>

<file path=xl/ctrlProps/ctrlProp433.xml><?xml version="1.0" encoding="utf-8"?>
<formControlPr xmlns="http://schemas.microsoft.com/office/spreadsheetml/2009/9/main" objectType="CheckBox" fmlaLink="$W$78" lockText="1" noThreeD="1"/>
</file>

<file path=xl/ctrlProps/ctrlProp434.xml><?xml version="1.0" encoding="utf-8"?>
<formControlPr xmlns="http://schemas.microsoft.com/office/spreadsheetml/2009/9/main" objectType="CheckBox" fmlaLink="$W$82" lockText="1" noThreeD="1"/>
</file>

<file path=xl/ctrlProps/ctrlProp435.xml><?xml version="1.0" encoding="utf-8"?>
<formControlPr xmlns="http://schemas.microsoft.com/office/spreadsheetml/2009/9/main" objectType="CheckBox" fmlaLink="$W$86" lockText="1" noThreeD="1"/>
</file>

<file path=xl/ctrlProps/ctrlProp436.xml><?xml version="1.0" encoding="utf-8"?>
<formControlPr xmlns="http://schemas.microsoft.com/office/spreadsheetml/2009/9/main" objectType="CheckBox" fmlaLink="$W$87" lockText="1" noThreeD="1"/>
</file>

<file path=xl/ctrlProps/ctrlProp437.xml><?xml version="1.0" encoding="utf-8"?>
<formControlPr xmlns="http://schemas.microsoft.com/office/spreadsheetml/2009/9/main" objectType="CheckBox" fmlaLink="$W$89" lockText="1" noThreeD="1"/>
</file>

<file path=xl/ctrlProps/ctrlProp438.xml><?xml version="1.0" encoding="utf-8"?>
<formControlPr xmlns="http://schemas.microsoft.com/office/spreadsheetml/2009/9/main" objectType="CheckBox" fmlaLink="$W$90" lockText="1" noThreeD="1"/>
</file>

<file path=xl/ctrlProps/ctrlProp439.xml><?xml version="1.0" encoding="utf-8"?>
<formControlPr xmlns="http://schemas.microsoft.com/office/spreadsheetml/2009/9/main" objectType="CheckBox" fmlaLink="$W$91" lockText="1" noThreeD="1"/>
</file>

<file path=xl/ctrlProps/ctrlProp44.xml><?xml version="1.0" encoding="utf-8"?>
<formControlPr xmlns="http://schemas.microsoft.com/office/spreadsheetml/2009/9/main" objectType="CheckBox" fmlaLink="$W$166" lockText="1" noThreeD="1"/>
</file>

<file path=xl/ctrlProps/ctrlProp440.xml><?xml version="1.0" encoding="utf-8"?>
<formControlPr xmlns="http://schemas.microsoft.com/office/spreadsheetml/2009/9/main" objectType="CheckBox" fmlaLink="$W$99" lockText="1" noThreeD="1"/>
</file>

<file path=xl/ctrlProps/ctrlProp441.xml><?xml version="1.0" encoding="utf-8"?>
<formControlPr xmlns="http://schemas.microsoft.com/office/spreadsheetml/2009/9/main" objectType="CheckBox" fmlaLink="$W$102" lockText="1" noThreeD="1"/>
</file>

<file path=xl/ctrlProps/ctrlProp442.xml><?xml version="1.0" encoding="utf-8"?>
<formControlPr xmlns="http://schemas.microsoft.com/office/spreadsheetml/2009/9/main" objectType="CheckBox" fmlaLink="$W$128" lockText="1" noThreeD="1"/>
</file>

<file path=xl/ctrlProps/ctrlProp443.xml><?xml version="1.0" encoding="utf-8"?>
<formControlPr xmlns="http://schemas.microsoft.com/office/spreadsheetml/2009/9/main" objectType="CheckBox" fmlaLink="$W$130" lockText="1" noThreeD="1"/>
</file>

<file path=xl/ctrlProps/ctrlProp444.xml><?xml version="1.0" encoding="utf-8"?>
<formControlPr xmlns="http://schemas.microsoft.com/office/spreadsheetml/2009/9/main" objectType="CheckBox" fmlaLink="$W$132" lockText="1" noThreeD="1"/>
</file>

<file path=xl/ctrlProps/ctrlProp445.xml><?xml version="1.0" encoding="utf-8"?>
<formControlPr xmlns="http://schemas.microsoft.com/office/spreadsheetml/2009/9/main" objectType="CheckBox" fmlaLink="$W$139" lockText="1" noThreeD="1"/>
</file>

<file path=xl/ctrlProps/ctrlProp446.xml><?xml version="1.0" encoding="utf-8"?>
<formControlPr xmlns="http://schemas.microsoft.com/office/spreadsheetml/2009/9/main" objectType="CheckBox" fmlaLink="$W$140" lockText="1" noThreeD="1"/>
</file>

<file path=xl/ctrlProps/ctrlProp447.xml><?xml version="1.0" encoding="utf-8"?>
<formControlPr xmlns="http://schemas.microsoft.com/office/spreadsheetml/2009/9/main" objectType="CheckBox" fmlaLink="$W$145" lockText="1" noThreeD="1"/>
</file>

<file path=xl/ctrlProps/ctrlProp448.xml><?xml version="1.0" encoding="utf-8"?>
<formControlPr xmlns="http://schemas.microsoft.com/office/spreadsheetml/2009/9/main" objectType="CheckBox" fmlaLink="$W$147" lockText="1" noThreeD="1"/>
</file>

<file path=xl/ctrlProps/ctrlProp449.xml><?xml version="1.0" encoding="utf-8"?>
<formControlPr xmlns="http://schemas.microsoft.com/office/spreadsheetml/2009/9/main" objectType="CheckBox" fmlaLink="$W$150" lockText="1" noThreeD="1"/>
</file>

<file path=xl/ctrlProps/ctrlProp45.xml><?xml version="1.0" encoding="utf-8"?>
<formControlPr xmlns="http://schemas.microsoft.com/office/spreadsheetml/2009/9/main" objectType="CheckBox" fmlaLink="$W$168" lockText="1" noThreeD="1"/>
</file>

<file path=xl/ctrlProps/ctrlProp450.xml><?xml version="1.0" encoding="utf-8"?>
<formControlPr xmlns="http://schemas.microsoft.com/office/spreadsheetml/2009/9/main" objectType="CheckBox" fmlaLink="$W$152" lockText="1" noThreeD="1"/>
</file>

<file path=xl/ctrlProps/ctrlProp451.xml><?xml version="1.0" encoding="utf-8"?>
<formControlPr xmlns="http://schemas.microsoft.com/office/spreadsheetml/2009/9/main" objectType="CheckBox" fmlaLink="$W$154" lockText="1" noThreeD="1"/>
</file>

<file path=xl/ctrlProps/ctrlProp452.xml><?xml version="1.0" encoding="utf-8"?>
<formControlPr xmlns="http://schemas.microsoft.com/office/spreadsheetml/2009/9/main" objectType="CheckBox" fmlaLink="$W$158" lockText="1" noThreeD="1"/>
</file>

<file path=xl/ctrlProps/ctrlProp453.xml><?xml version="1.0" encoding="utf-8"?>
<formControlPr xmlns="http://schemas.microsoft.com/office/spreadsheetml/2009/9/main" objectType="CheckBox" fmlaLink="$W$159" lockText="1" noThreeD="1"/>
</file>

<file path=xl/ctrlProps/ctrlProp454.xml><?xml version="1.0" encoding="utf-8"?>
<formControlPr xmlns="http://schemas.microsoft.com/office/spreadsheetml/2009/9/main" objectType="CheckBox" fmlaLink="$W$160" lockText="1" noThreeD="1"/>
</file>

<file path=xl/ctrlProps/ctrlProp455.xml><?xml version="1.0" encoding="utf-8"?>
<formControlPr xmlns="http://schemas.microsoft.com/office/spreadsheetml/2009/9/main" objectType="CheckBox" fmlaLink="$W$162" lockText="1" noThreeD="1"/>
</file>

<file path=xl/ctrlProps/ctrlProp456.xml><?xml version="1.0" encoding="utf-8"?>
<formControlPr xmlns="http://schemas.microsoft.com/office/spreadsheetml/2009/9/main" objectType="CheckBox" fmlaLink="$W$165" lockText="1" noThreeD="1"/>
</file>

<file path=xl/ctrlProps/ctrlProp457.xml><?xml version="1.0" encoding="utf-8"?>
<formControlPr xmlns="http://schemas.microsoft.com/office/spreadsheetml/2009/9/main" objectType="CheckBox" fmlaLink="$W$167" lockText="1" noThreeD="1"/>
</file>

<file path=xl/ctrlProps/ctrlProp458.xml><?xml version="1.0" encoding="utf-8"?>
<formControlPr xmlns="http://schemas.microsoft.com/office/spreadsheetml/2009/9/main" objectType="CheckBox" fmlaLink="$W$177" lockText="1" noThreeD="1"/>
</file>

<file path=xl/ctrlProps/ctrlProp459.xml><?xml version="1.0" encoding="utf-8"?>
<formControlPr xmlns="http://schemas.microsoft.com/office/spreadsheetml/2009/9/main" objectType="CheckBox" fmlaLink="$W$184" lockText="1" noThreeD="1"/>
</file>

<file path=xl/ctrlProps/ctrlProp46.xml><?xml version="1.0" encoding="utf-8"?>
<formControlPr xmlns="http://schemas.microsoft.com/office/spreadsheetml/2009/9/main" objectType="CheckBox" fmlaLink="$W$178" lockText="1" noThreeD="1"/>
</file>

<file path=xl/ctrlProps/ctrlProp460.xml><?xml version="1.0" encoding="utf-8"?>
<formControlPr xmlns="http://schemas.microsoft.com/office/spreadsheetml/2009/9/main" objectType="CheckBox" fmlaLink="$W$185" lockText="1" noThreeD="1"/>
</file>

<file path=xl/ctrlProps/ctrlProp461.xml><?xml version="1.0" encoding="utf-8"?>
<formControlPr xmlns="http://schemas.microsoft.com/office/spreadsheetml/2009/9/main" objectType="CheckBox" fmlaLink="$W$187" lockText="1" noThreeD="1"/>
</file>

<file path=xl/ctrlProps/ctrlProp462.xml><?xml version="1.0" encoding="utf-8"?>
<formControlPr xmlns="http://schemas.microsoft.com/office/spreadsheetml/2009/9/main" objectType="CheckBox" fmlaLink="$W$192" lockText="1" noThreeD="1"/>
</file>

<file path=xl/ctrlProps/ctrlProp463.xml><?xml version="1.0" encoding="utf-8"?>
<formControlPr xmlns="http://schemas.microsoft.com/office/spreadsheetml/2009/9/main" objectType="CheckBox" fmlaLink="$W$194" lockText="1" noThreeD="1"/>
</file>

<file path=xl/ctrlProps/ctrlProp464.xml><?xml version="1.0" encoding="utf-8"?>
<formControlPr xmlns="http://schemas.microsoft.com/office/spreadsheetml/2009/9/main" objectType="CheckBox" fmlaLink="$W$195" lockText="1" noThreeD="1"/>
</file>

<file path=xl/ctrlProps/ctrlProp465.xml><?xml version="1.0" encoding="utf-8"?>
<formControlPr xmlns="http://schemas.microsoft.com/office/spreadsheetml/2009/9/main" objectType="CheckBox" fmlaLink="$W$197" lockText="1" noThreeD="1"/>
</file>

<file path=xl/ctrlProps/ctrlProp466.xml><?xml version="1.0" encoding="utf-8"?>
<formControlPr xmlns="http://schemas.microsoft.com/office/spreadsheetml/2009/9/main" objectType="CheckBox" fmlaLink="$W$199" lockText="1" noThreeD="1"/>
</file>

<file path=xl/ctrlProps/ctrlProp467.xml><?xml version="1.0" encoding="utf-8"?>
<formControlPr xmlns="http://schemas.microsoft.com/office/spreadsheetml/2009/9/main" objectType="CheckBox" fmlaLink="$W$203" lockText="1" noThreeD="1"/>
</file>

<file path=xl/ctrlProps/ctrlProp468.xml><?xml version="1.0" encoding="utf-8"?>
<formControlPr xmlns="http://schemas.microsoft.com/office/spreadsheetml/2009/9/main" objectType="CheckBox" fmlaLink="$W$206" lockText="1" noThreeD="1"/>
</file>

<file path=xl/ctrlProps/ctrlProp469.xml><?xml version="1.0" encoding="utf-8"?>
<formControlPr xmlns="http://schemas.microsoft.com/office/spreadsheetml/2009/9/main" objectType="CheckBox" fmlaLink="$W$208" lockText="1" noThreeD="1"/>
</file>

<file path=xl/ctrlProps/ctrlProp47.xml><?xml version="1.0" encoding="utf-8"?>
<formControlPr xmlns="http://schemas.microsoft.com/office/spreadsheetml/2009/9/main" objectType="CheckBox" fmlaLink="$W$185" lockText="1" noThreeD="1"/>
</file>

<file path=xl/ctrlProps/ctrlProp470.xml><?xml version="1.0" encoding="utf-8"?>
<formControlPr xmlns="http://schemas.microsoft.com/office/spreadsheetml/2009/9/main" objectType="CheckBox" fmlaLink="$W$209" lockText="1" noThreeD="1"/>
</file>

<file path=xl/ctrlProps/ctrlProp471.xml><?xml version="1.0" encoding="utf-8"?>
<formControlPr xmlns="http://schemas.microsoft.com/office/spreadsheetml/2009/9/main" objectType="CheckBox" fmlaLink="$W$210" lockText="1" noThreeD="1"/>
</file>

<file path=xl/ctrlProps/ctrlProp472.xml><?xml version="1.0" encoding="utf-8"?>
<formControlPr xmlns="http://schemas.microsoft.com/office/spreadsheetml/2009/9/main" objectType="CheckBox" fmlaLink="$W$211" lockText="1" noThreeD="1"/>
</file>

<file path=xl/ctrlProps/ctrlProp473.xml><?xml version="1.0" encoding="utf-8"?>
<formControlPr xmlns="http://schemas.microsoft.com/office/spreadsheetml/2009/9/main" objectType="CheckBox" fmlaLink="$W$212" lockText="1" noThreeD="1"/>
</file>

<file path=xl/ctrlProps/ctrlProp474.xml><?xml version="1.0" encoding="utf-8"?>
<formControlPr xmlns="http://schemas.microsoft.com/office/spreadsheetml/2009/9/main" objectType="CheckBox" fmlaLink="$W$213" lockText="1" noThreeD="1"/>
</file>

<file path=xl/ctrlProps/ctrlProp475.xml><?xml version="1.0" encoding="utf-8"?>
<formControlPr xmlns="http://schemas.microsoft.com/office/spreadsheetml/2009/9/main" objectType="CheckBox" fmlaLink="$W$215" lockText="1" noThreeD="1"/>
</file>

<file path=xl/ctrlProps/ctrlProp476.xml><?xml version="1.0" encoding="utf-8"?>
<formControlPr xmlns="http://schemas.microsoft.com/office/spreadsheetml/2009/9/main" objectType="CheckBox" fmlaLink="$W$222" lockText="1" noThreeD="1"/>
</file>

<file path=xl/ctrlProps/ctrlProp477.xml><?xml version="1.0" encoding="utf-8"?>
<formControlPr xmlns="http://schemas.microsoft.com/office/spreadsheetml/2009/9/main" objectType="CheckBox" fmlaLink="$W$224" lockText="1" noThreeD="1"/>
</file>

<file path=xl/ctrlProps/ctrlProp478.xml><?xml version="1.0" encoding="utf-8"?>
<formControlPr xmlns="http://schemas.microsoft.com/office/spreadsheetml/2009/9/main" objectType="CheckBox" fmlaLink="$W$237" lockText="1" noThreeD="1"/>
</file>

<file path=xl/ctrlProps/ctrlProp479.xml><?xml version="1.0" encoding="utf-8"?>
<formControlPr xmlns="http://schemas.microsoft.com/office/spreadsheetml/2009/9/main" objectType="CheckBox" fmlaLink="$W$240" lockText="1" noThreeD="1"/>
</file>

<file path=xl/ctrlProps/ctrlProp48.xml><?xml version="1.0" encoding="utf-8"?>
<formControlPr xmlns="http://schemas.microsoft.com/office/spreadsheetml/2009/9/main" objectType="CheckBox" fmlaLink="$W$186" lockText="1" noThreeD="1"/>
</file>

<file path=xl/ctrlProps/ctrlProp480.xml><?xml version="1.0" encoding="utf-8"?>
<formControlPr xmlns="http://schemas.microsoft.com/office/spreadsheetml/2009/9/main" objectType="CheckBox" fmlaLink="$W$244" lockText="1" noThreeD="1"/>
</file>

<file path=xl/ctrlProps/ctrlProp481.xml><?xml version="1.0" encoding="utf-8"?>
<formControlPr xmlns="http://schemas.microsoft.com/office/spreadsheetml/2009/9/main" objectType="CheckBox" fmlaLink="$W$245" lockText="1" noThreeD="1"/>
</file>

<file path=xl/ctrlProps/ctrlProp482.xml><?xml version="1.0" encoding="utf-8"?>
<formControlPr xmlns="http://schemas.microsoft.com/office/spreadsheetml/2009/9/main" objectType="CheckBox" fmlaLink="$W$254" lockText="1" noThreeD="1"/>
</file>

<file path=xl/ctrlProps/ctrlProp483.xml><?xml version="1.0" encoding="utf-8"?>
<formControlPr xmlns="http://schemas.microsoft.com/office/spreadsheetml/2009/9/main" objectType="CheckBox" fmlaLink="$W$255" lockText="1" noThreeD="1"/>
</file>

<file path=xl/ctrlProps/ctrlProp484.xml><?xml version="1.0" encoding="utf-8"?>
<formControlPr xmlns="http://schemas.microsoft.com/office/spreadsheetml/2009/9/main" objectType="CheckBox" fmlaLink="$W$257" lockText="1" noThreeD="1"/>
</file>

<file path=xl/ctrlProps/ctrlProp485.xml><?xml version="1.0" encoding="utf-8"?>
<formControlPr xmlns="http://schemas.microsoft.com/office/spreadsheetml/2009/9/main" objectType="CheckBox" fmlaLink="$W$283" lockText="1" noThreeD="1"/>
</file>

<file path=xl/ctrlProps/ctrlProp486.xml><?xml version="1.0" encoding="utf-8"?>
<formControlPr xmlns="http://schemas.microsoft.com/office/spreadsheetml/2009/9/main" objectType="CheckBox" fmlaLink="$W$286" lockText="1" noThreeD="1"/>
</file>

<file path=xl/ctrlProps/ctrlProp487.xml><?xml version="1.0" encoding="utf-8"?>
<formControlPr xmlns="http://schemas.microsoft.com/office/spreadsheetml/2009/9/main" objectType="CheckBox" fmlaLink="$W$289" lockText="1" noThreeD="1"/>
</file>

<file path=xl/ctrlProps/ctrlProp488.xml><?xml version="1.0" encoding="utf-8"?>
<formControlPr xmlns="http://schemas.microsoft.com/office/spreadsheetml/2009/9/main" objectType="CheckBox" fmlaLink="$W$293" lockText="1" noThreeD="1"/>
</file>

<file path=xl/ctrlProps/ctrlProp489.xml><?xml version="1.0" encoding="utf-8"?>
<formControlPr xmlns="http://schemas.microsoft.com/office/spreadsheetml/2009/9/main" objectType="CheckBox" fmlaLink="$W$294" lockText="1" noThreeD="1"/>
</file>

<file path=xl/ctrlProps/ctrlProp49.xml><?xml version="1.0" encoding="utf-8"?>
<formControlPr xmlns="http://schemas.microsoft.com/office/spreadsheetml/2009/9/main" objectType="CheckBox" fmlaLink="$W$188" lockText="1" noThreeD="1"/>
</file>

<file path=xl/ctrlProps/ctrlProp490.xml><?xml version="1.0" encoding="utf-8"?>
<formControlPr xmlns="http://schemas.microsoft.com/office/spreadsheetml/2009/9/main" objectType="CheckBox" fmlaLink="$W$295" lockText="1" noThreeD="1"/>
</file>

<file path=xl/ctrlProps/ctrlProp491.xml><?xml version="1.0" encoding="utf-8"?>
<formControlPr xmlns="http://schemas.microsoft.com/office/spreadsheetml/2009/9/main" objectType="CheckBox" fmlaLink="$W$296" lockText="1" noThreeD="1"/>
</file>

<file path=xl/ctrlProps/ctrlProp492.xml><?xml version="1.0" encoding="utf-8"?>
<formControlPr xmlns="http://schemas.microsoft.com/office/spreadsheetml/2009/9/main" objectType="CheckBox" fmlaLink="$W$297" lockText="1" noThreeD="1"/>
</file>

<file path=xl/ctrlProps/ctrlProp493.xml><?xml version="1.0" encoding="utf-8"?>
<formControlPr xmlns="http://schemas.microsoft.com/office/spreadsheetml/2009/9/main" objectType="CheckBox" fmlaLink="$W$298" lockText="1" noThreeD="1"/>
</file>

<file path=xl/ctrlProps/ctrlProp494.xml><?xml version="1.0" encoding="utf-8"?>
<formControlPr xmlns="http://schemas.microsoft.com/office/spreadsheetml/2009/9/main" objectType="CheckBox" fmlaLink="$W$304" lockText="1" noThreeD="1"/>
</file>

<file path=xl/ctrlProps/ctrlProp495.xml><?xml version="1.0" encoding="utf-8"?>
<formControlPr xmlns="http://schemas.microsoft.com/office/spreadsheetml/2009/9/main" objectType="CheckBox" fmlaLink="$W$305" lockText="1" noThreeD="1"/>
</file>

<file path=xl/ctrlProps/ctrlProp496.xml><?xml version="1.0" encoding="utf-8"?>
<formControlPr xmlns="http://schemas.microsoft.com/office/spreadsheetml/2009/9/main" objectType="CheckBox" fmlaLink="$W$306" lockText="1" noThreeD="1"/>
</file>

<file path=xl/ctrlProps/ctrlProp497.xml><?xml version="1.0" encoding="utf-8"?>
<formControlPr xmlns="http://schemas.microsoft.com/office/spreadsheetml/2009/9/main" objectType="CheckBox" fmlaLink="$W$307" lockText="1" noThreeD="1"/>
</file>

<file path=xl/ctrlProps/ctrlProp498.xml><?xml version="1.0" encoding="utf-8"?>
<formControlPr xmlns="http://schemas.microsoft.com/office/spreadsheetml/2009/9/main" objectType="CheckBox" fmlaLink="$W$308" lockText="1" noThreeD="1"/>
</file>

<file path=xl/ctrlProps/ctrlProp499.xml><?xml version="1.0" encoding="utf-8"?>
<formControlPr xmlns="http://schemas.microsoft.com/office/spreadsheetml/2009/9/main" objectType="CheckBox" fmlaLink="$W$332" lockText="1" noThreeD="1"/>
</file>

<file path=xl/ctrlProps/ctrlProp5.xml><?xml version="1.0" encoding="utf-8"?>
<formControlPr xmlns="http://schemas.microsoft.com/office/spreadsheetml/2009/9/main" objectType="CheckBox" fmlaLink="$W$21" lockText="1" noThreeD="1"/>
</file>

<file path=xl/ctrlProps/ctrlProp50.xml><?xml version="1.0" encoding="utf-8"?>
<formControlPr xmlns="http://schemas.microsoft.com/office/spreadsheetml/2009/9/main" objectType="CheckBox" checked="Checked" fmlaLink="$W$193" lockText="1" noThreeD="1"/>
</file>

<file path=xl/ctrlProps/ctrlProp500.xml><?xml version="1.0" encoding="utf-8"?>
<formControlPr xmlns="http://schemas.microsoft.com/office/spreadsheetml/2009/9/main" objectType="CheckBox" fmlaLink="$W$340" lockText="1" noThreeD="1"/>
</file>

<file path=xl/ctrlProps/ctrlProp501.xml><?xml version="1.0" encoding="utf-8"?>
<formControlPr xmlns="http://schemas.microsoft.com/office/spreadsheetml/2009/9/main" objectType="CheckBox" fmlaLink="$W$351" lockText="1" noThreeD="1"/>
</file>

<file path=xl/ctrlProps/ctrlProp502.xml><?xml version="1.0" encoding="utf-8"?>
<formControlPr xmlns="http://schemas.microsoft.com/office/spreadsheetml/2009/9/main" objectType="CheckBox" fmlaLink="$W$354" lockText="1" noThreeD="1"/>
</file>

<file path=xl/ctrlProps/ctrlProp503.xml><?xml version="1.0" encoding="utf-8"?>
<formControlPr xmlns="http://schemas.microsoft.com/office/spreadsheetml/2009/9/main" objectType="CheckBox" fmlaLink="$W$358" lockText="1" noThreeD="1"/>
</file>

<file path=xl/ctrlProps/ctrlProp504.xml><?xml version="1.0" encoding="utf-8"?>
<formControlPr xmlns="http://schemas.microsoft.com/office/spreadsheetml/2009/9/main" objectType="CheckBox" fmlaLink="$W$359" lockText="1" noThreeD="1"/>
</file>

<file path=xl/ctrlProps/ctrlProp505.xml><?xml version="1.0" encoding="utf-8"?>
<formControlPr xmlns="http://schemas.microsoft.com/office/spreadsheetml/2009/9/main" objectType="CheckBox" fmlaLink="$W$361" lockText="1" noThreeD="1"/>
</file>

<file path=xl/ctrlProps/ctrlProp506.xml><?xml version="1.0" encoding="utf-8"?>
<formControlPr xmlns="http://schemas.microsoft.com/office/spreadsheetml/2009/9/main" objectType="CheckBox" fmlaLink="$W$363" lockText="1" noThreeD="1"/>
</file>

<file path=xl/ctrlProps/ctrlProp507.xml><?xml version="1.0" encoding="utf-8"?>
<formControlPr xmlns="http://schemas.microsoft.com/office/spreadsheetml/2009/9/main" objectType="CheckBox" fmlaLink="$W$369" lockText="1" noThreeD="1"/>
</file>

<file path=xl/ctrlProps/ctrlProp508.xml><?xml version="1.0" encoding="utf-8"?>
<formControlPr xmlns="http://schemas.microsoft.com/office/spreadsheetml/2009/9/main" objectType="CheckBox" fmlaLink="$W$375" lockText="1" noThreeD="1"/>
</file>

<file path=xl/ctrlProps/ctrlProp509.xml><?xml version="1.0" encoding="utf-8"?>
<formControlPr xmlns="http://schemas.microsoft.com/office/spreadsheetml/2009/9/main" objectType="CheckBox" fmlaLink="$W$381" lockText="1" noThreeD="1"/>
</file>

<file path=xl/ctrlProps/ctrlProp51.xml><?xml version="1.0" encoding="utf-8"?>
<formControlPr xmlns="http://schemas.microsoft.com/office/spreadsheetml/2009/9/main" objectType="CheckBox" checked="Checked" fmlaLink="$W$195" lockText="1" noThreeD="1"/>
</file>

<file path=xl/ctrlProps/ctrlProp510.xml><?xml version="1.0" encoding="utf-8"?>
<formControlPr xmlns="http://schemas.microsoft.com/office/spreadsheetml/2009/9/main" objectType="CheckBox" fmlaLink="$W$383" lockText="1" noThreeD="1"/>
</file>

<file path=xl/ctrlProps/ctrlProp511.xml><?xml version="1.0" encoding="utf-8"?>
<formControlPr xmlns="http://schemas.microsoft.com/office/spreadsheetml/2009/9/main" objectType="CheckBox" fmlaLink="$W$389" lockText="1" noThreeD="1"/>
</file>

<file path=xl/ctrlProps/ctrlProp512.xml><?xml version="1.0" encoding="utf-8"?>
<formControlPr xmlns="http://schemas.microsoft.com/office/spreadsheetml/2009/9/main" objectType="CheckBox" fmlaLink="$W$393" lockText="1" noThreeD="1"/>
</file>

<file path=xl/ctrlProps/ctrlProp513.xml><?xml version="1.0" encoding="utf-8"?>
<formControlPr xmlns="http://schemas.microsoft.com/office/spreadsheetml/2009/9/main" objectType="CheckBox" fmlaLink="$W$397" lockText="1" noThreeD="1"/>
</file>

<file path=xl/ctrlProps/ctrlProp514.xml><?xml version="1.0" encoding="utf-8"?>
<formControlPr xmlns="http://schemas.microsoft.com/office/spreadsheetml/2009/9/main" objectType="CheckBox" fmlaLink="$W$402" lockText="1" noThreeD="1"/>
</file>

<file path=xl/ctrlProps/ctrlProp515.xml><?xml version="1.0" encoding="utf-8"?>
<formControlPr xmlns="http://schemas.microsoft.com/office/spreadsheetml/2009/9/main" objectType="CheckBox" fmlaLink="$W$407" lockText="1" noThreeD="1"/>
</file>

<file path=xl/ctrlProps/ctrlProp516.xml><?xml version="1.0" encoding="utf-8"?>
<formControlPr xmlns="http://schemas.microsoft.com/office/spreadsheetml/2009/9/main" objectType="CheckBox" fmlaLink="$W$409" lockText="1" noThreeD="1"/>
</file>

<file path=xl/ctrlProps/ctrlProp517.xml><?xml version="1.0" encoding="utf-8"?>
<formControlPr xmlns="http://schemas.microsoft.com/office/spreadsheetml/2009/9/main" objectType="CheckBox" fmlaLink="$W$411" lockText="1" noThreeD="1"/>
</file>

<file path=xl/ctrlProps/ctrlProp518.xml><?xml version="1.0" encoding="utf-8"?>
<formControlPr xmlns="http://schemas.microsoft.com/office/spreadsheetml/2009/9/main" objectType="CheckBox" fmlaLink="$W$423" lockText="1" noThreeD="1"/>
</file>

<file path=xl/ctrlProps/ctrlProp519.xml><?xml version="1.0" encoding="utf-8"?>
<formControlPr xmlns="http://schemas.microsoft.com/office/spreadsheetml/2009/9/main" objectType="CheckBox" fmlaLink="$W$433" lockText="1" noThreeD="1"/>
</file>

<file path=xl/ctrlProps/ctrlProp52.xml><?xml version="1.0" encoding="utf-8"?>
<formControlPr xmlns="http://schemas.microsoft.com/office/spreadsheetml/2009/9/main" objectType="CheckBox" fmlaLink="$W$196" lockText="1" noThreeD="1"/>
</file>

<file path=xl/ctrlProps/ctrlProp520.xml><?xml version="1.0" encoding="utf-8"?>
<formControlPr xmlns="http://schemas.microsoft.com/office/spreadsheetml/2009/9/main" objectType="CheckBox" fmlaLink="$W$436" lockText="1" noThreeD="1"/>
</file>

<file path=xl/ctrlProps/ctrlProp521.xml><?xml version="1.0" encoding="utf-8"?>
<formControlPr xmlns="http://schemas.microsoft.com/office/spreadsheetml/2009/9/main" objectType="CheckBox" fmlaLink="$W$437" lockText="1" noThreeD="1"/>
</file>

<file path=xl/ctrlProps/ctrlProp522.xml><?xml version="1.0" encoding="utf-8"?>
<formControlPr xmlns="http://schemas.microsoft.com/office/spreadsheetml/2009/9/main" objectType="CheckBox" fmlaLink="$W$447" lockText="1" noThreeD="1"/>
</file>

<file path=xl/ctrlProps/ctrlProp523.xml><?xml version="1.0" encoding="utf-8"?>
<formControlPr xmlns="http://schemas.microsoft.com/office/spreadsheetml/2009/9/main" objectType="CheckBox" fmlaLink="$W$449" lockText="1" noThreeD="1"/>
</file>

<file path=xl/ctrlProps/ctrlProp524.xml><?xml version="1.0" encoding="utf-8"?>
<formControlPr xmlns="http://schemas.microsoft.com/office/spreadsheetml/2009/9/main" objectType="CheckBox" fmlaLink="$W$465" lockText="1" noThreeD="1"/>
</file>

<file path=xl/ctrlProps/ctrlProp525.xml><?xml version="1.0" encoding="utf-8"?>
<formControlPr xmlns="http://schemas.microsoft.com/office/spreadsheetml/2009/9/main" objectType="CheckBox" fmlaLink="$W$476" lockText="1" noThreeD="1"/>
</file>

<file path=xl/ctrlProps/ctrlProp526.xml><?xml version="1.0" encoding="utf-8"?>
<formControlPr xmlns="http://schemas.microsoft.com/office/spreadsheetml/2009/9/main" objectType="CheckBox" fmlaLink="$W$477" lockText="1" noThreeD="1"/>
</file>

<file path=xl/ctrlProps/ctrlProp527.xml><?xml version="1.0" encoding="utf-8"?>
<formControlPr xmlns="http://schemas.microsoft.com/office/spreadsheetml/2009/9/main" objectType="CheckBox" fmlaLink="$W$482" lockText="1" noThreeD="1"/>
</file>

<file path=xl/ctrlProps/ctrlProp528.xml><?xml version="1.0" encoding="utf-8"?>
<formControlPr xmlns="http://schemas.microsoft.com/office/spreadsheetml/2009/9/main" objectType="CheckBox" fmlaLink="$W$484" lockText="1" noThreeD="1"/>
</file>

<file path=xl/ctrlProps/ctrlProp529.xml><?xml version="1.0" encoding="utf-8"?>
<formControlPr xmlns="http://schemas.microsoft.com/office/spreadsheetml/2009/9/main" objectType="CheckBox" fmlaLink="$W$485" lockText="1" noThreeD="1"/>
</file>

<file path=xl/ctrlProps/ctrlProp53.xml><?xml version="1.0" encoding="utf-8"?>
<formControlPr xmlns="http://schemas.microsoft.com/office/spreadsheetml/2009/9/main" objectType="CheckBox" fmlaLink="$W$198" lockText="1" noThreeD="1"/>
</file>

<file path=xl/ctrlProps/ctrlProp530.xml><?xml version="1.0" encoding="utf-8"?>
<formControlPr xmlns="http://schemas.microsoft.com/office/spreadsheetml/2009/9/main" objectType="CheckBox" fmlaLink="$W$488" lockText="1" noThreeD="1"/>
</file>

<file path=xl/ctrlProps/ctrlProp531.xml><?xml version="1.0" encoding="utf-8"?>
<formControlPr xmlns="http://schemas.microsoft.com/office/spreadsheetml/2009/9/main" objectType="CheckBox" fmlaLink="$W$492" lockText="1" noThreeD="1"/>
</file>

<file path=xl/ctrlProps/ctrlProp532.xml><?xml version="1.0" encoding="utf-8"?>
<formControlPr xmlns="http://schemas.microsoft.com/office/spreadsheetml/2009/9/main" objectType="CheckBox" fmlaLink="$W$497" lockText="1" noThreeD="1"/>
</file>

<file path=xl/ctrlProps/ctrlProp533.xml><?xml version="1.0" encoding="utf-8"?>
<formControlPr xmlns="http://schemas.microsoft.com/office/spreadsheetml/2009/9/main" objectType="CheckBox" fmlaLink="$W$499" lockText="1" noThreeD="1"/>
</file>

<file path=xl/ctrlProps/ctrlProp534.xml><?xml version="1.0" encoding="utf-8"?>
<formControlPr xmlns="http://schemas.microsoft.com/office/spreadsheetml/2009/9/main" objectType="CheckBox" fmlaLink="$W$516" lockText="1" noThreeD="1"/>
</file>

<file path=xl/ctrlProps/ctrlProp535.xml><?xml version="1.0" encoding="utf-8"?>
<formControlPr xmlns="http://schemas.microsoft.com/office/spreadsheetml/2009/9/main" objectType="CheckBox" fmlaLink="$W$532" lockText="1" noThreeD="1"/>
</file>

<file path=xl/ctrlProps/ctrlProp536.xml><?xml version="1.0" encoding="utf-8"?>
<formControlPr xmlns="http://schemas.microsoft.com/office/spreadsheetml/2009/9/main" objectType="CheckBox" fmlaLink="$W$545" lockText="1" noThreeD="1"/>
</file>

<file path=xl/ctrlProps/ctrlProp537.xml><?xml version="1.0" encoding="utf-8"?>
<formControlPr xmlns="http://schemas.microsoft.com/office/spreadsheetml/2009/9/main" objectType="CheckBox" fmlaLink="$W$547" lockText="1" noThreeD="1"/>
</file>

<file path=xl/ctrlProps/ctrlProp538.xml><?xml version="1.0" encoding="utf-8"?>
<formControlPr xmlns="http://schemas.microsoft.com/office/spreadsheetml/2009/9/main" objectType="CheckBox" fmlaLink="$W$560" lockText="1" noThreeD="1"/>
</file>

<file path=xl/ctrlProps/ctrlProp539.xml><?xml version="1.0" encoding="utf-8"?>
<formControlPr xmlns="http://schemas.microsoft.com/office/spreadsheetml/2009/9/main" objectType="CheckBox" fmlaLink="$W$561" lockText="1" noThreeD="1"/>
</file>

<file path=xl/ctrlProps/ctrlProp54.xml><?xml version="1.0" encoding="utf-8"?>
<formControlPr xmlns="http://schemas.microsoft.com/office/spreadsheetml/2009/9/main" objectType="CheckBox" fmlaLink="$W$200" lockText="1" noThreeD="1"/>
</file>

<file path=xl/ctrlProps/ctrlProp540.xml><?xml version="1.0" encoding="utf-8"?>
<formControlPr xmlns="http://schemas.microsoft.com/office/spreadsheetml/2009/9/main" objectType="CheckBox" fmlaLink="$W$562" lockText="1" noThreeD="1"/>
</file>

<file path=xl/ctrlProps/ctrlProp541.xml><?xml version="1.0" encoding="utf-8"?>
<formControlPr xmlns="http://schemas.microsoft.com/office/spreadsheetml/2009/9/main" objectType="CheckBox" fmlaLink="$W$563" lockText="1" noThreeD="1"/>
</file>

<file path=xl/ctrlProps/ctrlProp542.xml><?xml version="1.0" encoding="utf-8"?>
<formControlPr xmlns="http://schemas.microsoft.com/office/spreadsheetml/2009/9/main" objectType="CheckBox" fmlaLink="$W$564" lockText="1" noThreeD="1"/>
</file>

<file path=xl/ctrlProps/ctrlProp543.xml><?xml version="1.0" encoding="utf-8"?>
<formControlPr xmlns="http://schemas.microsoft.com/office/spreadsheetml/2009/9/main" objectType="CheckBox" fmlaLink="$W$565" lockText="1" noThreeD="1"/>
</file>

<file path=xl/ctrlProps/ctrlProp544.xml><?xml version="1.0" encoding="utf-8"?>
<formControlPr xmlns="http://schemas.microsoft.com/office/spreadsheetml/2009/9/main" objectType="CheckBox" fmlaLink="$W$566" lockText="1" noThreeD="1"/>
</file>

<file path=xl/ctrlProps/ctrlProp545.xml><?xml version="1.0" encoding="utf-8"?>
<formControlPr xmlns="http://schemas.microsoft.com/office/spreadsheetml/2009/9/main" objectType="CheckBox" fmlaLink="$W$567" lockText="1" noThreeD="1"/>
</file>

<file path=xl/ctrlProps/ctrlProp546.xml><?xml version="1.0" encoding="utf-8"?>
<formControlPr xmlns="http://schemas.microsoft.com/office/spreadsheetml/2009/9/main" objectType="CheckBox" fmlaLink="$W$568" lockText="1" noThreeD="1"/>
</file>

<file path=xl/ctrlProps/ctrlProp547.xml><?xml version="1.0" encoding="utf-8"?>
<formControlPr xmlns="http://schemas.microsoft.com/office/spreadsheetml/2009/9/main" objectType="CheckBox" fmlaLink="$W$615" lockText="1" noThreeD="1"/>
</file>

<file path=xl/ctrlProps/ctrlProp548.xml><?xml version="1.0" encoding="utf-8"?>
<formControlPr xmlns="http://schemas.microsoft.com/office/spreadsheetml/2009/9/main" objectType="CheckBox" fmlaLink="$W$617" lockText="1" noThreeD="1"/>
</file>

<file path=xl/ctrlProps/ctrlProp549.xml><?xml version="1.0" encoding="utf-8"?>
<formControlPr xmlns="http://schemas.microsoft.com/office/spreadsheetml/2009/9/main" objectType="CheckBox" fmlaLink="$W$618" lockText="1" noThreeD="1"/>
</file>

<file path=xl/ctrlProps/ctrlProp55.xml><?xml version="1.0" encoding="utf-8"?>
<formControlPr xmlns="http://schemas.microsoft.com/office/spreadsheetml/2009/9/main" objectType="CheckBox" fmlaLink="$W$204" lockText="1" noThreeD="1"/>
</file>

<file path=xl/ctrlProps/ctrlProp550.xml><?xml version="1.0" encoding="utf-8"?>
<formControlPr xmlns="http://schemas.microsoft.com/office/spreadsheetml/2009/9/main" objectType="CheckBox" fmlaLink="$W$646" lockText="1" noThreeD="1"/>
</file>

<file path=xl/ctrlProps/ctrlProp551.xml><?xml version="1.0" encoding="utf-8"?>
<formControlPr xmlns="http://schemas.microsoft.com/office/spreadsheetml/2009/9/main" objectType="CheckBox" fmlaLink="$W$655" lockText="1" noThreeD="1"/>
</file>

<file path=xl/ctrlProps/ctrlProp552.xml><?xml version="1.0" encoding="utf-8"?>
<formControlPr xmlns="http://schemas.microsoft.com/office/spreadsheetml/2009/9/main" objectType="CheckBox" fmlaLink="$W$662" lockText="1" noThreeD="1"/>
</file>

<file path=xl/ctrlProps/ctrlProp553.xml><?xml version="1.0" encoding="utf-8"?>
<formControlPr xmlns="http://schemas.microsoft.com/office/spreadsheetml/2009/9/main" objectType="CheckBox" fmlaLink="$W$718" lockText="1" noThreeD="1"/>
</file>

<file path=xl/ctrlProps/ctrlProp554.xml><?xml version="1.0" encoding="utf-8"?>
<formControlPr xmlns="http://schemas.microsoft.com/office/spreadsheetml/2009/9/main" objectType="CheckBox" fmlaLink="$W$719" lockText="1" noThreeD="1"/>
</file>

<file path=xl/ctrlProps/ctrlProp555.xml><?xml version="1.0" encoding="utf-8"?>
<formControlPr xmlns="http://schemas.microsoft.com/office/spreadsheetml/2009/9/main" objectType="CheckBox" fmlaLink="$W$721" lockText="1" noThreeD="1"/>
</file>

<file path=xl/ctrlProps/ctrlProp556.xml><?xml version="1.0" encoding="utf-8"?>
<formControlPr xmlns="http://schemas.microsoft.com/office/spreadsheetml/2009/9/main" objectType="CheckBox" fmlaLink="$W$720" lockText="1" noThreeD="1"/>
</file>

<file path=xl/ctrlProps/ctrlProp557.xml><?xml version="1.0" encoding="utf-8"?>
<formControlPr xmlns="http://schemas.microsoft.com/office/spreadsheetml/2009/9/main" objectType="CheckBox" fmlaLink="$W$722" lockText="1" noThreeD="1"/>
</file>

<file path=xl/ctrlProps/ctrlProp558.xml><?xml version="1.0" encoding="utf-8"?>
<formControlPr xmlns="http://schemas.microsoft.com/office/spreadsheetml/2009/9/main" objectType="CheckBox" fmlaLink="$W$723" lockText="1" noThreeD="1"/>
</file>

<file path=xl/ctrlProps/ctrlProp559.xml><?xml version="1.0" encoding="utf-8"?>
<formControlPr xmlns="http://schemas.microsoft.com/office/spreadsheetml/2009/9/main" objectType="CheckBox" fmlaLink="$W$724" lockText="1" noThreeD="1"/>
</file>

<file path=xl/ctrlProps/ctrlProp56.xml><?xml version="1.0" encoding="utf-8"?>
<formControlPr xmlns="http://schemas.microsoft.com/office/spreadsheetml/2009/9/main" objectType="CheckBox" fmlaLink="$W$207" lockText="1" noThreeD="1"/>
</file>

<file path=xl/ctrlProps/ctrlProp560.xml><?xml version="1.0" encoding="utf-8"?>
<formControlPr xmlns="http://schemas.microsoft.com/office/spreadsheetml/2009/9/main" objectType="CheckBox" fmlaLink="$W$728" lockText="1" noThreeD="1"/>
</file>

<file path=xl/ctrlProps/ctrlProp561.xml><?xml version="1.0" encoding="utf-8"?>
<formControlPr xmlns="http://schemas.microsoft.com/office/spreadsheetml/2009/9/main" objectType="CheckBox" fmlaLink="$W$733" lockText="1" noThreeD="1"/>
</file>

<file path=xl/ctrlProps/ctrlProp562.xml><?xml version="1.0" encoding="utf-8"?>
<formControlPr xmlns="http://schemas.microsoft.com/office/spreadsheetml/2009/9/main" objectType="CheckBox" fmlaLink="$W$737" lockText="1" noThreeD="1"/>
</file>

<file path=xl/ctrlProps/ctrlProp563.xml><?xml version="1.0" encoding="utf-8"?>
<formControlPr xmlns="http://schemas.microsoft.com/office/spreadsheetml/2009/9/main" objectType="CheckBox" fmlaLink="$W$739" lockText="1" noThreeD="1"/>
</file>

<file path=xl/ctrlProps/ctrlProp564.xml><?xml version="1.0" encoding="utf-8"?>
<formControlPr xmlns="http://schemas.microsoft.com/office/spreadsheetml/2009/9/main" objectType="CheckBox" fmlaLink="$W$741" lockText="1" noThreeD="1"/>
</file>

<file path=xl/ctrlProps/ctrlProp565.xml><?xml version="1.0" encoding="utf-8"?>
<formControlPr xmlns="http://schemas.microsoft.com/office/spreadsheetml/2009/9/main" objectType="CheckBox" fmlaLink="$W$742" lockText="1" noThreeD="1"/>
</file>

<file path=xl/ctrlProps/ctrlProp566.xml><?xml version="1.0" encoding="utf-8"?>
<formControlPr xmlns="http://schemas.microsoft.com/office/spreadsheetml/2009/9/main" objectType="CheckBox" fmlaLink="$W$743" lockText="1" noThreeD="1"/>
</file>

<file path=xl/ctrlProps/ctrlProp567.xml><?xml version="1.0" encoding="utf-8"?>
<formControlPr xmlns="http://schemas.microsoft.com/office/spreadsheetml/2009/9/main" objectType="CheckBox" fmlaLink="$W$747" lockText="1" noThreeD="1"/>
</file>

<file path=xl/ctrlProps/ctrlProp568.xml><?xml version="1.0" encoding="utf-8"?>
<formControlPr xmlns="http://schemas.microsoft.com/office/spreadsheetml/2009/9/main" objectType="CheckBox" fmlaLink="$W$749" lockText="1" noThreeD="1"/>
</file>

<file path=xl/ctrlProps/ctrlProp569.xml><?xml version="1.0" encoding="utf-8"?>
<formControlPr xmlns="http://schemas.microsoft.com/office/spreadsheetml/2009/9/main" objectType="CheckBox" fmlaLink="$W$795" lockText="1" noThreeD="1"/>
</file>

<file path=xl/ctrlProps/ctrlProp57.xml><?xml version="1.0" encoding="utf-8"?>
<formControlPr xmlns="http://schemas.microsoft.com/office/spreadsheetml/2009/9/main" objectType="CheckBox" fmlaLink="$W$209" lockText="1" noThreeD="1"/>
</file>

<file path=xl/ctrlProps/ctrlProp570.xml><?xml version="1.0" encoding="utf-8"?>
<formControlPr xmlns="http://schemas.microsoft.com/office/spreadsheetml/2009/9/main" objectType="CheckBox" fmlaLink="$W$800" lockText="1" noThreeD="1"/>
</file>

<file path=xl/ctrlProps/ctrlProp571.xml><?xml version="1.0" encoding="utf-8"?>
<formControlPr xmlns="http://schemas.microsoft.com/office/spreadsheetml/2009/9/main" objectType="CheckBox" fmlaLink="$W$809" lockText="1" noThreeD="1"/>
</file>

<file path=xl/ctrlProps/ctrlProp572.xml><?xml version="1.0" encoding="utf-8"?>
<formControlPr xmlns="http://schemas.microsoft.com/office/spreadsheetml/2009/9/main" objectType="CheckBox" fmlaLink="$W$812" lockText="1" noThreeD="1"/>
</file>

<file path=xl/ctrlProps/ctrlProp573.xml><?xml version="1.0" encoding="utf-8"?>
<formControlPr xmlns="http://schemas.microsoft.com/office/spreadsheetml/2009/9/main" objectType="CheckBox" fmlaLink="$W$813" lockText="1" noThreeD="1"/>
</file>

<file path=xl/ctrlProps/ctrlProp574.xml><?xml version="1.0" encoding="utf-8"?>
<formControlPr xmlns="http://schemas.microsoft.com/office/spreadsheetml/2009/9/main" objectType="CheckBox" fmlaLink="$W$817" lockText="1" noThreeD="1"/>
</file>

<file path=xl/ctrlProps/ctrlProp575.xml><?xml version="1.0" encoding="utf-8"?>
<formControlPr xmlns="http://schemas.microsoft.com/office/spreadsheetml/2009/9/main" objectType="CheckBox" fmlaLink="$W$819" lockText="1" noThreeD="1"/>
</file>

<file path=xl/ctrlProps/ctrlProp576.xml><?xml version="1.0" encoding="utf-8"?>
<formControlPr xmlns="http://schemas.microsoft.com/office/spreadsheetml/2009/9/main" objectType="CheckBox" fmlaLink="$W$851" lockText="1" noThreeD="1"/>
</file>

<file path=xl/ctrlProps/ctrlProp577.xml><?xml version="1.0" encoding="utf-8"?>
<formControlPr xmlns="http://schemas.microsoft.com/office/spreadsheetml/2009/9/main" objectType="CheckBox" fmlaLink="$W$854" lockText="1" noThreeD="1"/>
</file>

<file path=xl/ctrlProps/ctrlProp578.xml><?xml version="1.0" encoding="utf-8"?>
<formControlPr xmlns="http://schemas.microsoft.com/office/spreadsheetml/2009/9/main" objectType="CheckBox" fmlaLink="$W$881" lockText="1" noThreeD="1"/>
</file>

<file path=xl/ctrlProps/ctrlProp579.xml><?xml version="1.0" encoding="utf-8"?>
<formControlPr xmlns="http://schemas.microsoft.com/office/spreadsheetml/2009/9/main" objectType="CheckBox" fmlaLink="$W$895" lockText="1" noThreeD="1"/>
</file>

<file path=xl/ctrlProps/ctrlProp58.xml><?xml version="1.0" encoding="utf-8"?>
<formControlPr xmlns="http://schemas.microsoft.com/office/spreadsheetml/2009/9/main" objectType="CheckBox" fmlaLink="$W$210" lockText="1" noThreeD="1"/>
</file>

<file path=xl/ctrlProps/ctrlProp580.xml><?xml version="1.0" encoding="utf-8"?>
<formControlPr xmlns="http://schemas.microsoft.com/office/spreadsheetml/2009/9/main" objectType="CheckBox" fmlaLink="$W$897" lockText="1" noThreeD="1"/>
</file>

<file path=xl/ctrlProps/ctrlProp581.xml><?xml version="1.0" encoding="utf-8"?>
<formControlPr xmlns="http://schemas.microsoft.com/office/spreadsheetml/2009/9/main" objectType="CheckBox" fmlaLink="$W$898" lockText="1" noThreeD="1"/>
</file>

<file path=xl/ctrlProps/ctrlProp582.xml><?xml version="1.0" encoding="utf-8"?>
<formControlPr xmlns="http://schemas.microsoft.com/office/spreadsheetml/2009/9/main" objectType="CheckBox" fmlaLink="$W$903" lockText="1" noThreeD="1"/>
</file>

<file path=xl/ctrlProps/ctrlProp583.xml><?xml version="1.0" encoding="utf-8"?>
<formControlPr xmlns="http://schemas.microsoft.com/office/spreadsheetml/2009/9/main" objectType="CheckBox" fmlaLink="$W$920" lockText="1" noThreeD="1"/>
</file>

<file path=xl/ctrlProps/ctrlProp584.xml><?xml version="1.0" encoding="utf-8"?>
<formControlPr xmlns="http://schemas.microsoft.com/office/spreadsheetml/2009/9/main" objectType="CheckBox" fmlaLink="$W$933" lockText="1" noThreeD="1"/>
</file>

<file path=xl/ctrlProps/ctrlProp585.xml><?xml version="1.0" encoding="utf-8"?>
<formControlPr xmlns="http://schemas.microsoft.com/office/spreadsheetml/2009/9/main" objectType="CheckBox" fmlaLink="$W$936" lockText="1" noThreeD="1"/>
</file>

<file path=xl/ctrlProps/ctrlProp586.xml><?xml version="1.0" encoding="utf-8"?>
<formControlPr xmlns="http://schemas.microsoft.com/office/spreadsheetml/2009/9/main" objectType="CheckBox" fmlaLink="$W$939" lockText="1" noThreeD="1"/>
</file>

<file path=xl/ctrlProps/ctrlProp587.xml><?xml version="1.0" encoding="utf-8"?>
<formControlPr xmlns="http://schemas.microsoft.com/office/spreadsheetml/2009/9/main" objectType="CheckBox" fmlaLink="$W$948" lockText="1" noThreeD="1"/>
</file>

<file path=xl/ctrlProps/ctrlProp588.xml><?xml version="1.0" encoding="utf-8"?>
<formControlPr xmlns="http://schemas.microsoft.com/office/spreadsheetml/2009/9/main" objectType="CheckBox" fmlaLink="$W$955" lockText="1" noThreeD="1"/>
</file>

<file path=xl/ctrlProps/ctrlProp589.xml><?xml version="1.0" encoding="utf-8"?>
<formControlPr xmlns="http://schemas.microsoft.com/office/spreadsheetml/2009/9/main" objectType="CheckBox" fmlaLink="$W$1000" lockText="1" noThreeD="1"/>
</file>

<file path=xl/ctrlProps/ctrlProp59.xml><?xml version="1.0" encoding="utf-8"?>
<formControlPr xmlns="http://schemas.microsoft.com/office/spreadsheetml/2009/9/main" objectType="CheckBox" fmlaLink="$W$211" lockText="1" noThreeD="1"/>
</file>

<file path=xl/ctrlProps/ctrlProp590.xml><?xml version="1.0" encoding="utf-8"?>
<formControlPr xmlns="http://schemas.microsoft.com/office/spreadsheetml/2009/9/main" objectType="CheckBox" fmlaLink="$W$1040" lockText="1" noThreeD="1"/>
</file>

<file path=xl/ctrlProps/ctrlProp591.xml><?xml version="1.0" encoding="utf-8"?>
<formControlPr xmlns="http://schemas.microsoft.com/office/spreadsheetml/2009/9/main" objectType="CheckBox" fmlaLink="$W$1043" lockText="1" noThreeD="1"/>
</file>

<file path=xl/ctrlProps/ctrlProp592.xml><?xml version="1.0" encoding="utf-8"?>
<formControlPr xmlns="http://schemas.microsoft.com/office/spreadsheetml/2009/9/main" objectType="CheckBox" fmlaLink="$W$1053" lockText="1" noThreeD="1"/>
</file>

<file path=xl/ctrlProps/ctrlProp593.xml><?xml version="1.0" encoding="utf-8"?>
<formControlPr xmlns="http://schemas.microsoft.com/office/spreadsheetml/2009/9/main" objectType="CheckBox" fmlaLink="$W$1060" lockText="1" noThreeD="1"/>
</file>

<file path=xl/ctrlProps/ctrlProp594.xml><?xml version="1.0" encoding="utf-8"?>
<formControlPr xmlns="http://schemas.microsoft.com/office/spreadsheetml/2009/9/main" objectType="CheckBox" fmlaLink="$W$1066" lockText="1" noThreeD="1"/>
</file>

<file path=xl/ctrlProps/ctrlProp595.xml><?xml version="1.0" encoding="utf-8"?>
<formControlPr xmlns="http://schemas.microsoft.com/office/spreadsheetml/2009/9/main" objectType="CheckBox" fmlaLink="$W$1068" lockText="1" noThreeD="1"/>
</file>

<file path=xl/ctrlProps/ctrlProp596.xml><?xml version="1.0" encoding="utf-8"?>
<formControlPr xmlns="http://schemas.microsoft.com/office/spreadsheetml/2009/9/main" objectType="CheckBox" fmlaLink="$W$1071" lockText="1" noThreeD="1"/>
</file>

<file path=xl/ctrlProps/ctrlProp597.xml><?xml version="1.0" encoding="utf-8"?>
<formControlPr xmlns="http://schemas.microsoft.com/office/spreadsheetml/2009/9/main" objectType="CheckBox" fmlaLink="$W$1072" lockText="1" noThreeD="1"/>
</file>

<file path=xl/ctrlProps/ctrlProp598.xml><?xml version="1.0" encoding="utf-8"?>
<formControlPr xmlns="http://schemas.microsoft.com/office/spreadsheetml/2009/9/main" objectType="CheckBox" fmlaLink="$W$1074" lockText="1" noThreeD="1"/>
</file>

<file path=xl/ctrlProps/ctrlProp599.xml><?xml version="1.0" encoding="utf-8"?>
<formControlPr xmlns="http://schemas.microsoft.com/office/spreadsheetml/2009/9/main" objectType="CheckBox" fmlaLink="$W$1104" lockText="1" noThreeD="1"/>
</file>

<file path=xl/ctrlProps/ctrlProp6.xml><?xml version="1.0" encoding="utf-8"?>
<formControlPr xmlns="http://schemas.microsoft.com/office/spreadsheetml/2009/9/main" objectType="CheckBox" fmlaLink="$W$23" lockText="1" noThreeD="1"/>
</file>

<file path=xl/ctrlProps/ctrlProp60.xml><?xml version="1.0" encoding="utf-8"?>
<formControlPr xmlns="http://schemas.microsoft.com/office/spreadsheetml/2009/9/main" objectType="CheckBox" fmlaLink="$W$212" lockText="1" noThreeD="1"/>
</file>

<file path=xl/ctrlProps/ctrlProp600.xml><?xml version="1.0" encoding="utf-8"?>
<formControlPr xmlns="http://schemas.microsoft.com/office/spreadsheetml/2009/9/main" objectType="CheckBox" fmlaLink="$W$1106" lockText="1" noThreeD="1"/>
</file>

<file path=xl/ctrlProps/ctrlProp601.xml><?xml version="1.0" encoding="utf-8"?>
<formControlPr xmlns="http://schemas.microsoft.com/office/spreadsheetml/2009/9/main" objectType="CheckBox" fmlaLink="$W$1108" lockText="1" noThreeD="1"/>
</file>

<file path=xl/ctrlProps/ctrlProp602.xml><?xml version="1.0" encoding="utf-8"?>
<formControlPr xmlns="http://schemas.microsoft.com/office/spreadsheetml/2009/9/main" objectType="CheckBox" fmlaLink="$W$1120" lockText="1" noThreeD="1"/>
</file>

<file path=xl/ctrlProps/ctrlProp603.xml><?xml version="1.0" encoding="utf-8"?>
<formControlPr xmlns="http://schemas.microsoft.com/office/spreadsheetml/2009/9/main" objectType="CheckBox" fmlaLink="$W$1122" lockText="1" noThreeD="1"/>
</file>

<file path=xl/ctrlProps/ctrlProp604.xml><?xml version="1.0" encoding="utf-8"?>
<formControlPr xmlns="http://schemas.microsoft.com/office/spreadsheetml/2009/9/main" objectType="CheckBox" fmlaLink="$W$1124" lockText="1" noThreeD="1"/>
</file>

<file path=xl/ctrlProps/ctrlProp605.xml><?xml version="1.0" encoding="utf-8"?>
<formControlPr xmlns="http://schemas.microsoft.com/office/spreadsheetml/2009/9/main" objectType="CheckBox" fmlaLink="$W$1127" lockText="1" noThreeD="1"/>
</file>

<file path=xl/ctrlProps/ctrlProp606.xml><?xml version="1.0" encoding="utf-8"?>
<formControlPr xmlns="http://schemas.microsoft.com/office/spreadsheetml/2009/9/main" objectType="CheckBox" fmlaLink="$W$1128" lockText="1" noThreeD="1"/>
</file>

<file path=xl/ctrlProps/ctrlProp607.xml><?xml version="1.0" encoding="utf-8"?>
<formControlPr xmlns="http://schemas.microsoft.com/office/spreadsheetml/2009/9/main" objectType="CheckBox" fmlaLink="$W$1129" lockText="1" noThreeD="1"/>
</file>

<file path=xl/ctrlProps/ctrlProp608.xml><?xml version="1.0" encoding="utf-8"?>
<formControlPr xmlns="http://schemas.microsoft.com/office/spreadsheetml/2009/9/main" objectType="CheckBox" fmlaLink="$W$1132" lockText="1" noThreeD="1"/>
</file>

<file path=xl/ctrlProps/ctrlProp609.xml><?xml version="1.0" encoding="utf-8"?>
<formControlPr xmlns="http://schemas.microsoft.com/office/spreadsheetml/2009/9/main" objectType="CheckBox" fmlaLink="$W$1160" lockText="1" noThreeD="1"/>
</file>

<file path=xl/ctrlProps/ctrlProp61.xml><?xml version="1.0" encoding="utf-8"?>
<formControlPr xmlns="http://schemas.microsoft.com/office/spreadsheetml/2009/9/main" objectType="CheckBox" fmlaLink="$W$213" lockText="1" noThreeD="1"/>
</file>

<file path=xl/ctrlProps/ctrlProp610.xml><?xml version="1.0" encoding="utf-8"?>
<formControlPr xmlns="http://schemas.microsoft.com/office/spreadsheetml/2009/9/main" objectType="CheckBox" fmlaLink="$W$1168" lockText="1" noThreeD="1"/>
</file>

<file path=xl/ctrlProps/ctrlProp611.xml><?xml version="1.0" encoding="utf-8"?>
<formControlPr xmlns="http://schemas.microsoft.com/office/spreadsheetml/2009/9/main" objectType="CheckBox" fmlaLink="$W$1170" lockText="1" noThreeD="1"/>
</file>

<file path=xl/ctrlProps/ctrlProp612.xml><?xml version="1.0" encoding="utf-8"?>
<formControlPr xmlns="http://schemas.microsoft.com/office/spreadsheetml/2009/9/main" objectType="CheckBox" fmlaLink="$W$1171" lockText="1" noThreeD="1"/>
</file>

<file path=xl/ctrlProps/ctrlProp613.xml><?xml version="1.0" encoding="utf-8"?>
<formControlPr xmlns="http://schemas.microsoft.com/office/spreadsheetml/2009/9/main" objectType="CheckBox" fmlaLink="$W$1172" lockText="1" noThreeD="1"/>
</file>

<file path=xl/ctrlProps/ctrlProp614.xml><?xml version="1.0" encoding="utf-8"?>
<formControlPr xmlns="http://schemas.microsoft.com/office/spreadsheetml/2009/9/main" objectType="CheckBox" fmlaLink="$W$1174" lockText="1" noThreeD="1"/>
</file>

<file path=xl/ctrlProps/ctrlProp615.xml><?xml version="1.0" encoding="utf-8"?>
<formControlPr xmlns="http://schemas.microsoft.com/office/spreadsheetml/2009/9/main" objectType="CheckBox" fmlaLink="$W$1177" lockText="1" noThreeD="1"/>
</file>

<file path=xl/ctrlProps/ctrlProp616.xml><?xml version="1.0" encoding="utf-8"?>
<formControlPr xmlns="http://schemas.microsoft.com/office/spreadsheetml/2009/9/main" objectType="CheckBox" fmlaLink="$W$1178" lockText="1" noThreeD="1"/>
</file>

<file path=xl/ctrlProps/ctrlProp617.xml><?xml version="1.0" encoding="utf-8"?>
<formControlPr xmlns="http://schemas.microsoft.com/office/spreadsheetml/2009/9/main" objectType="CheckBox" fmlaLink="$W$1183" lockText="1" noThreeD="1"/>
</file>

<file path=xl/ctrlProps/ctrlProp618.xml><?xml version="1.0" encoding="utf-8"?>
<formControlPr xmlns="http://schemas.microsoft.com/office/spreadsheetml/2009/9/main" objectType="CheckBox" fmlaLink="$W$1185" lockText="1" noThreeD="1"/>
</file>

<file path=xl/ctrlProps/ctrlProp619.xml><?xml version="1.0" encoding="utf-8"?>
<formControlPr xmlns="http://schemas.microsoft.com/office/spreadsheetml/2009/9/main" objectType="CheckBox" fmlaLink="$W$1187" lockText="1" noThreeD="1"/>
</file>

<file path=xl/ctrlProps/ctrlProp62.xml><?xml version="1.0" encoding="utf-8"?>
<formControlPr xmlns="http://schemas.microsoft.com/office/spreadsheetml/2009/9/main" objectType="CheckBox" fmlaLink="$W$214" lockText="1" noThreeD="1"/>
</file>

<file path=xl/ctrlProps/ctrlProp620.xml><?xml version="1.0" encoding="utf-8"?>
<formControlPr xmlns="http://schemas.microsoft.com/office/spreadsheetml/2009/9/main" objectType="CheckBox" fmlaLink="$W$1189" lockText="1" noThreeD="1"/>
</file>

<file path=xl/ctrlProps/ctrlProp621.xml><?xml version="1.0" encoding="utf-8"?>
<formControlPr xmlns="http://schemas.microsoft.com/office/spreadsheetml/2009/9/main" objectType="CheckBox" fmlaLink="$W$1230" lockText="1" noThreeD="1"/>
</file>

<file path=xl/ctrlProps/ctrlProp622.xml><?xml version="1.0" encoding="utf-8"?>
<formControlPr xmlns="http://schemas.microsoft.com/office/spreadsheetml/2009/9/main" objectType="CheckBox" fmlaLink="$W$1247" lockText="1" noThreeD="1"/>
</file>

<file path=xl/ctrlProps/ctrlProp623.xml><?xml version="1.0" encoding="utf-8"?>
<formControlPr xmlns="http://schemas.microsoft.com/office/spreadsheetml/2009/9/main" objectType="CheckBox" fmlaLink="$W$1250" lockText="1" noThreeD="1"/>
</file>

<file path=xl/ctrlProps/ctrlProp624.xml><?xml version="1.0" encoding="utf-8"?>
<formControlPr xmlns="http://schemas.microsoft.com/office/spreadsheetml/2009/9/main" objectType="CheckBox" fmlaLink="$W$1255" lockText="1" noThreeD="1"/>
</file>

<file path=xl/ctrlProps/ctrlProp625.xml><?xml version="1.0" encoding="utf-8"?>
<formControlPr xmlns="http://schemas.microsoft.com/office/spreadsheetml/2009/9/main" objectType="CheckBox" fmlaLink="$W$1256" lockText="1" noThreeD="1"/>
</file>

<file path=xl/ctrlProps/ctrlProp626.xml><?xml version="1.0" encoding="utf-8"?>
<formControlPr xmlns="http://schemas.microsoft.com/office/spreadsheetml/2009/9/main" objectType="CheckBox" fmlaLink="$W$1260" lockText="1" noThreeD="1"/>
</file>

<file path=xl/ctrlProps/ctrlProp627.xml><?xml version="1.0" encoding="utf-8"?>
<formControlPr xmlns="http://schemas.microsoft.com/office/spreadsheetml/2009/9/main" objectType="CheckBox" fmlaLink="$W$1265" lockText="1" noThreeD="1"/>
</file>

<file path=xl/ctrlProps/ctrlProp628.xml><?xml version="1.0" encoding="utf-8"?>
<formControlPr xmlns="http://schemas.microsoft.com/office/spreadsheetml/2009/9/main" objectType="CheckBox" fmlaLink="$W$1288" lockText="1" noThreeD="1"/>
</file>

<file path=xl/ctrlProps/ctrlProp629.xml><?xml version="1.0" encoding="utf-8"?>
<formControlPr xmlns="http://schemas.microsoft.com/office/spreadsheetml/2009/9/main" objectType="CheckBox" fmlaLink="$W$1291" lockText="1" noThreeD="1"/>
</file>

<file path=xl/ctrlProps/ctrlProp63.xml><?xml version="1.0" encoding="utf-8"?>
<formControlPr xmlns="http://schemas.microsoft.com/office/spreadsheetml/2009/9/main" objectType="CheckBox" checked="Checked" fmlaLink="$W$216" lockText="1" noThreeD="1"/>
</file>

<file path=xl/ctrlProps/ctrlProp630.xml><?xml version="1.0" encoding="utf-8"?>
<formControlPr xmlns="http://schemas.microsoft.com/office/spreadsheetml/2009/9/main" objectType="CheckBox" fmlaLink="$W$1305" lockText="1" noThreeD="1"/>
</file>

<file path=xl/ctrlProps/ctrlProp631.xml><?xml version="1.0" encoding="utf-8"?>
<formControlPr xmlns="http://schemas.microsoft.com/office/spreadsheetml/2009/9/main" objectType="CheckBox" fmlaLink="$W$1317" lockText="1" noThreeD="1"/>
</file>

<file path=xl/ctrlProps/ctrlProp632.xml><?xml version="1.0" encoding="utf-8"?>
<formControlPr xmlns="http://schemas.microsoft.com/office/spreadsheetml/2009/9/main" objectType="CheckBox" fmlaLink="$W$1319" lockText="1" noThreeD="1"/>
</file>

<file path=xl/ctrlProps/ctrlProp633.xml><?xml version="1.0" encoding="utf-8"?>
<formControlPr xmlns="http://schemas.microsoft.com/office/spreadsheetml/2009/9/main" objectType="CheckBox" fmlaLink="$W$1321" lockText="1" noThreeD="1"/>
</file>

<file path=xl/ctrlProps/ctrlProp634.xml><?xml version="1.0" encoding="utf-8"?>
<formControlPr xmlns="http://schemas.microsoft.com/office/spreadsheetml/2009/9/main" objectType="CheckBox" fmlaLink="$W$1328" lockText="1" noThreeD="1"/>
</file>

<file path=xl/ctrlProps/ctrlProp635.xml><?xml version="1.0" encoding="utf-8"?>
<formControlPr xmlns="http://schemas.microsoft.com/office/spreadsheetml/2009/9/main" objectType="CheckBox" fmlaLink="$W$1329" lockText="1" noThreeD="1"/>
</file>

<file path=xl/ctrlProps/ctrlProp636.xml><?xml version="1.0" encoding="utf-8"?>
<formControlPr xmlns="http://schemas.microsoft.com/office/spreadsheetml/2009/9/main" objectType="CheckBox" fmlaLink="$W$1330" lockText="1" noThreeD="1"/>
</file>

<file path=xl/ctrlProps/ctrlProp637.xml><?xml version="1.0" encoding="utf-8"?>
<formControlPr xmlns="http://schemas.microsoft.com/office/spreadsheetml/2009/9/main" objectType="CheckBox" fmlaLink="$W$1331" lockText="1" noThreeD="1"/>
</file>

<file path=xl/ctrlProps/ctrlProp638.xml><?xml version="1.0" encoding="utf-8"?>
<formControlPr xmlns="http://schemas.microsoft.com/office/spreadsheetml/2009/9/main" objectType="CheckBox" fmlaLink="$W$1333" lockText="1" noThreeD="1"/>
</file>

<file path=xl/ctrlProps/ctrlProp639.xml><?xml version="1.0" encoding="utf-8"?>
<formControlPr xmlns="http://schemas.microsoft.com/office/spreadsheetml/2009/9/main" objectType="CheckBox" fmlaLink="$W$1336" lockText="1" noThreeD="1"/>
</file>

<file path=xl/ctrlProps/ctrlProp64.xml><?xml version="1.0" encoding="utf-8"?>
<formControlPr xmlns="http://schemas.microsoft.com/office/spreadsheetml/2009/9/main" objectType="CheckBox" fmlaLink="$W$223" lockText="1" noThreeD="1"/>
</file>

<file path=xl/ctrlProps/ctrlProp640.xml><?xml version="1.0" encoding="utf-8"?>
<formControlPr xmlns="http://schemas.microsoft.com/office/spreadsheetml/2009/9/main" objectType="CheckBox" fmlaLink="$W$1354" lockText="1" noThreeD="1"/>
</file>

<file path=xl/ctrlProps/ctrlProp641.xml><?xml version="1.0" encoding="utf-8"?>
<formControlPr xmlns="http://schemas.microsoft.com/office/spreadsheetml/2009/9/main" objectType="CheckBox" fmlaLink="$W$1355" lockText="1" noThreeD="1"/>
</file>

<file path=xl/ctrlProps/ctrlProp642.xml><?xml version="1.0" encoding="utf-8"?>
<formControlPr xmlns="http://schemas.microsoft.com/office/spreadsheetml/2009/9/main" objectType="CheckBox" fmlaLink="$W$1356" lockText="1" noThreeD="1"/>
</file>

<file path=xl/ctrlProps/ctrlProp643.xml><?xml version="1.0" encoding="utf-8"?>
<formControlPr xmlns="http://schemas.microsoft.com/office/spreadsheetml/2009/9/main" objectType="CheckBox" fmlaLink="$W$1357" lockText="1" noThreeD="1"/>
</file>

<file path=xl/ctrlProps/ctrlProp644.xml><?xml version="1.0" encoding="utf-8"?>
<formControlPr xmlns="http://schemas.microsoft.com/office/spreadsheetml/2009/9/main" objectType="CheckBox" fmlaLink="$W$1358" lockText="1" noThreeD="1"/>
</file>

<file path=xl/ctrlProps/ctrlProp645.xml><?xml version="1.0" encoding="utf-8"?>
<formControlPr xmlns="http://schemas.microsoft.com/office/spreadsheetml/2009/9/main" objectType="CheckBox" fmlaLink="$W$1359" lockText="1" noThreeD="1"/>
</file>

<file path=xl/ctrlProps/ctrlProp646.xml><?xml version="1.0" encoding="utf-8"?>
<formControlPr xmlns="http://schemas.microsoft.com/office/spreadsheetml/2009/9/main" objectType="CheckBox" fmlaLink="$W$1360" lockText="1" noThreeD="1"/>
</file>

<file path=xl/ctrlProps/ctrlProp647.xml><?xml version="1.0" encoding="utf-8"?>
<formControlPr xmlns="http://schemas.microsoft.com/office/spreadsheetml/2009/9/main" objectType="CheckBox" fmlaLink="$W$1361" lockText="1" noThreeD="1"/>
</file>

<file path=xl/ctrlProps/ctrlProp648.xml><?xml version="1.0" encoding="utf-8"?>
<formControlPr xmlns="http://schemas.microsoft.com/office/spreadsheetml/2009/9/main" objectType="CheckBox" fmlaLink="$W$1364" lockText="1" noThreeD="1"/>
</file>

<file path=xl/ctrlProps/ctrlProp649.xml><?xml version="1.0" encoding="utf-8"?>
<formControlPr xmlns="http://schemas.microsoft.com/office/spreadsheetml/2009/9/main" objectType="CheckBox" fmlaLink="$W$1366" lockText="1" noThreeD="1"/>
</file>

<file path=xl/ctrlProps/ctrlProp65.xml><?xml version="1.0" encoding="utf-8"?>
<formControlPr xmlns="http://schemas.microsoft.com/office/spreadsheetml/2009/9/main" objectType="CheckBox" fmlaLink="$W$225" lockText="1" noThreeD="1"/>
</file>

<file path=xl/ctrlProps/ctrlProp650.xml><?xml version="1.0" encoding="utf-8"?>
<formControlPr xmlns="http://schemas.microsoft.com/office/spreadsheetml/2009/9/main" objectType="CheckBox" fmlaLink="$W$1368" lockText="1" noThreeD="1"/>
</file>

<file path=xl/ctrlProps/ctrlProp651.xml><?xml version="1.0" encoding="utf-8"?>
<formControlPr xmlns="http://schemas.microsoft.com/office/spreadsheetml/2009/9/main" objectType="CheckBox" fmlaLink="$W$1379" lockText="1" noThreeD="1"/>
</file>

<file path=xl/ctrlProps/ctrlProp652.xml><?xml version="1.0" encoding="utf-8"?>
<formControlPr xmlns="http://schemas.microsoft.com/office/spreadsheetml/2009/9/main" objectType="CheckBox" fmlaLink="$W$1383" lockText="1" noThreeD="1"/>
</file>

<file path=xl/ctrlProps/ctrlProp653.xml><?xml version="1.0" encoding="utf-8"?>
<formControlPr xmlns="http://schemas.microsoft.com/office/spreadsheetml/2009/9/main" objectType="CheckBox" fmlaLink="$W$1384" lockText="1" noThreeD="1"/>
</file>

<file path=xl/ctrlProps/ctrlProp654.xml><?xml version="1.0" encoding="utf-8"?>
<formControlPr xmlns="http://schemas.microsoft.com/office/spreadsheetml/2009/9/main" objectType="CheckBox" fmlaLink="$W$1387" lockText="1" noThreeD="1"/>
</file>

<file path=xl/ctrlProps/ctrlProp655.xml><?xml version="1.0" encoding="utf-8"?>
<formControlPr xmlns="http://schemas.microsoft.com/office/spreadsheetml/2009/9/main" objectType="CheckBox" fmlaLink="$W$1390" lockText="1" noThreeD="1"/>
</file>

<file path=xl/ctrlProps/ctrlProp656.xml><?xml version="1.0" encoding="utf-8"?>
<formControlPr xmlns="http://schemas.microsoft.com/office/spreadsheetml/2009/9/main" objectType="CheckBox" fmlaLink="$W$1427" lockText="1" noThreeD="1"/>
</file>

<file path=xl/ctrlProps/ctrlProp657.xml><?xml version="1.0" encoding="utf-8"?>
<formControlPr xmlns="http://schemas.microsoft.com/office/spreadsheetml/2009/9/main" objectType="CheckBox" fmlaLink="$W$1432" lockText="1" noThreeD="1"/>
</file>

<file path=xl/ctrlProps/ctrlProp658.xml><?xml version="1.0" encoding="utf-8"?>
<formControlPr xmlns="http://schemas.microsoft.com/office/spreadsheetml/2009/9/main" objectType="CheckBox" fmlaLink="$W$1463" lockText="1" noThreeD="1"/>
</file>

<file path=xl/ctrlProps/ctrlProp659.xml><?xml version="1.0" encoding="utf-8"?>
<formControlPr xmlns="http://schemas.microsoft.com/office/spreadsheetml/2009/9/main" objectType="CheckBox" fmlaLink="$W$1477" lockText="1" noThreeD="1"/>
</file>

<file path=xl/ctrlProps/ctrlProp66.xml><?xml version="1.0" encoding="utf-8"?>
<formControlPr xmlns="http://schemas.microsoft.com/office/spreadsheetml/2009/9/main" objectType="CheckBox" fmlaLink="$W$238" lockText="1" noThreeD="1"/>
</file>

<file path=xl/ctrlProps/ctrlProp660.xml><?xml version="1.0" encoding="utf-8"?>
<formControlPr xmlns="http://schemas.microsoft.com/office/spreadsheetml/2009/9/main" objectType="CheckBox" fmlaLink="$W$1484" lockText="1" noThreeD="1"/>
</file>

<file path=xl/ctrlProps/ctrlProp661.xml><?xml version="1.0" encoding="utf-8"?>
<formControlPr xmlns="http://schemas.microsoft.com/office/spreadsheetml/2009/9/main" objectType="CheckBox" fmlaLink="$W$1486" lockText="1" noThreeD="1"/>
</file>

<file path=xl/ctrlProps/ctrlProp662.xml><?xml version="1.0" encoding="utf-8"?>
<formControlPr xmlns="http://schemas.microsoft.com/office/spreadsheetml/2009/9/main" objectType="CheckBox" fmlaLink="$W$1488" lockText="1" noThreeD="1"/>
</file>

<file path=xl/ctrlProps/ctrlProp663.xml><?xml version="1.0" encoding="utf-8"?>
<formControlPr xmlns="http://schemas.microsoft.com/office/spreadsheetml/2009/9/main" objectType="CheckBox" fmlaLink="$W$1492" lockText="1" noThreeD="1"/>
</file>

<file path=xl/ctrlProps/ctrlProp664.xml><?xml version="1.0" encoding="utf-8"?>
<formControlPr xmlns="http://schemas.microsoft.com/office/spreadsheetml/2009/9/main" objectType="CheckBox" fmlaLink="$W$1493" lockText="1" noThreeD="1"/>
</file>

<file path=xl/ctrlProps/ctrlProp665.xml><?xml version="1.0" encoding="utf-8"?>
<formControlPr xmlns="http://schemas.microsoft.com/office/spreadsheetml/2009/9/main" objectType="CheckBox" fmlaLink="$W$1494" lockText="1" noThreeD="1"/>
</file>

<file path=xl/ctrlProps/ctrlProp666.xml><?xml version="1.0" encoding="utf-8"?>
<formControlPr xmlns="http://schemas.microsoft.com/office/spreadsheetml/2009/9/main" objectType="CheckBox" fmlaLink="$W$1502" lockText="1" noThreeD="1"/>
</file>

<file path=xl/ctrlProps/ctrlProp667.xml><?xml version="1.0" encoding="utf-8"?>
<formControlPr xmlns="http://schemas.microsoft.com/office/spreadsheetml/2009/9/main" objectType="CheckBox" fmlaLink="$W$1504" lockText="1" noThreeD="1"/>
</file>

<file path=xl/ctrlProps/ctrlProp668.xml><?xml version="1.0" encoding="utf-8"?>
<formControlPr xmlns="http://schemas.microsoft.com/office/spreadsheetml/2009/9/main" objectType="CheckBox" fmlaLink="$W$1505" lockText="1" noThreeD="1"/>
</file>

<file path=xl/ctrlProps/ctrlProp669.xml><?xml version="1.0" encoding="utf-8"?>
<formControlPr xmlns="http://schemas.microsoft.com/office/spreadsheetml/2009/9/main" objectType="CheckBox" fmlaLink="$W$1509" lockText="1" noThreeD="1"/>
</file>

<file path=xl/ctrlProps/ctrlProp67.xml><?xml version="1.0" encoding="utf-8"?>
<formControlPr xmlns="http://schemas.microsoft.com/office/spreadsheetml/2009/9/main" objectType="CheckBox" checked="Checked" fmlaLink="$W$241" lockText="1" noThreeD="1"/>
</file>

<file path=xl/ctrlProps/ctrlProp670.xml><?xml version="1.0" encoding="utf-8"?>
<formControlPr xmlns="http://schemas.microsoft.com/office/spreadsheetml/2009/9/main" objectType="CheckBox" fmlaLink="$W$1529" lockText="1" noThreeD="1"/>
</file>

<file path=xl/ctrlProps/ctrlProp671.xml><?xml version="1.0" encoding="utf-8"?>
<formControlPr xmlns="http://schemas.microsoft.com/office/spreadsheetml/2009/9/main" objectType="CheckBox" fmlaLink="$W$1530" lockText="1" noThreeD="1"/>
</file>

<file path=xl/ctrlProps/ctrlProp672.xml><?xml version="1.0" encoding="utf-8"?>
<formControlPr xmlns="http://schemas.microsoft.com/office/spreadsheetml/2009/9/main" objectType="CheckBox" fmlaLink="$W$1539" lockText="1" noThreeD="1"/>
</file>

<file path=xl/ctrlProps/ctrlProp673.xml><?xml version="1.0" encoding="utf-8"?>
<formControlPr xmlns="http://schemas.microsoft.com/office/spreadsheetml/2009/9/main" objectType="CheckBox" fmlaLink="$W$1546" lockText="1" noThreeD="1"/>
</file>

<file path=xl/ctrlProps/ctrlProp674.xml><?xml version="1.0" encoding="utf-8"?>
<formControlPr xmlns="http://schemas.microsoft.com/office/spreadsheetml/2009/9/main" objectType="CheckBox" fmlaLink="$W$1547" lockText="1" noThreeD="1"/>
</file>

<file path=xl/ctrlProps/ctrlProp675.xml><?xml version="1.0" encoding="utf-8"?>
<formControlPr xmlns="http://schemas.microsoft.com/office/spreadsheetml/2009/9/main" objectType="CheckBox" fmlaLink="$W$1548" lockText="1" noThreeD="1"/>
</file>

<file path=xl/ctrlProps/ctrlProp676.xml><?xml version="1.0" encoding="utf-8"?>
<formControlPr xmlns="http://schemas.microsoft.com/office/spreadsheetml/2009/9/main" objectType="CheckBox" fmlaLink="$W$1551" lockText="1" noThreeD="1"/>
</file>

<file path=xl/ctrlProps/ctrlProp677.xml><?xml version="1.0" encoding="utf-8"?>
<formControlPr xmlns="http://schemas.microsoft.com/office/spreadsheetml/2009/9/main" objectType="CheckBox" fmlaLink="$W$1553" lockText="1" noThreeD="1"/>
</file>

<file path=xl/ctrlProps/ctrlProp678.xml><?xml version="1.0" encoding="utf-8"?>
<formControlPr xmlns="http://schemas.microsoft.com/office/spreadsheetml/2009/9/main" objectType="CheckBox" fmlaLink="$W$1559" lockText="1" noThreeD="1"/>
</file>

<file path=xl/ctrlProps/ctrlProp679.xml><?xml version="1.0" encoding="utf-8"?>
<formControlPr xmlns="http://schemas.microsoft.com/office/spreadsheetml/2009/9/main" objectType="CheckBox" fmlaLink="$W$1565" lockText="1" noThreeD="1"/>
</file>

<file path=xl/ctrlProps/ctrlProp68.xml><?xml version="1.0" encoding="utf-8"?>
<formControlPr xmlns="http://schemas.microsoft.com/office/spreadsheetml/2009/9/main" objectType="CheckBox" fmlaLink="$W$245" lockText="1" noThreeD="1"/>
</file>

<file path=xl/ctrlProps/ctrlProp680.xml><?xml version="1.0" encoding="utf-8"?>
<formControlPr xmlns="http://schemas.microsoft.com/office/spreadsheetml/2009/9/main" objectType="CheckBox" fmlaLink="$W$1580" lockText="1" noThreeD="1"/>
</file>

<file path=xl/ctrlProps/ctrlProp681.xml><?xml version="1.0" encoding="utf-8"?>
<formControlPr xmlns="http://schemas.microsoft.com/office/spreadsheetml/2009/9/main" objectType="CheckBox" fmlaLink="$W$1608" lockText="1" noThreeD="1"/>
</file>

<file path=xl/ctrlProps/ctrlProp682.xml><?xml version="1.0" encoding="utf-8"?>
<formControlPr xmlns="http://schemas.microsoft.com/office/spreadsheetml/2009/9/main" objectType="CheckBox" fmlaLink="$W$1614" lockText="1" noThreeD="1"/>
</file>

<file path=xl/ctrlProps/ctrlProp683.xml><?xml version="1.0" encoding="utf-8"?>
<formControlPr xmlns="http://schemas.microsoft.com/office/spreadsheetml/2009/9/main" objectType="CheckBox" fmlaLink="$W$1637" lockText="1" noThreeD="1"/>
</file>

<file path=xl/ctrlProps/ctrlProp684.xml><?xml version="1.0" encoding="utf-8"?>
<formControlPr xmlns="http://schemas.microsoft.com/office/spreadsheetml/2009/9/main" objectType="CheckBox" fmlaLink="$W$1639" lockText="1" noThreeD="1"/>
</file>

<file path=xl/ctrlProps/ctrlProp685.xml><?xml version="1.0" encoding="utf-8"?>
<formControlPr xmlns="http://schemas.microsoft.com/office/spreadsheetml/2009/9/main" objectType="CheckBox" fmlaLink="$W$1642" lockText="1" noThreeD="1"/>
</file>

<file path=xl/ctrlProps/ctrlProp686.xml><?xml version="1.0" encoding="utf-8"?>
<formControlPr xmlns="http://schemas.microsoft.com/office/spreadsheetml/2009/9/main" objectType="CheckBox" fmlaLink="$W$1665" lockText="1" noThreeD="1"/>
</file>

<file path=xl/ctrlProps/ctrlProp687.xml><?xml version="1.0" encoding="utf-8"?>
<formControlPr xmlns="http://schemas.microsoft.com/office/spreadsheetml/2009/9/main" objectType="CheckBox" fmlaLink="$W$1676" lockText="1" noThreeD="1"/>
</file>

<file path=xl/ctrlProps/ctrlProp688.xml><?xml version="1.0" encoding="utf-8"?>
<formControlPr xmlns="http://schemas.microsoft.com/office/spreadsheetml/2009/9/main" objectType="CheckBox" fmlaLink="$W$1678" lockText="1" noThreeD="1"/>
</file>

<file path=xl/ctrlProps/ctrlProp689.xml><?xml version="1.0" encoding="utf-8"?>
<formControlPr xmlns="http://schemas.microsoft.com/office/spreadsheetml/2009/9/main" objectType="CheckBox" fmlaLink="$W$1679" lockText="1" noThreeD="1"/>
</file>

<file path=xl/ctrlProps/ctrlProp69.xml><?xml version="1.0" encoding="utf-8"?>
<formControlPr xmlns="http://schemas.microsoft.com/office/spreadsheetml/2009/9/main" objectType="CheckBox" fmlaLink="$W$246" lockText="1" noThreeD="1"/>
</file>

<file path=xl/ctrlProps/ctrlProp690.xml><?xml version="1.0" encoding="utf-8"?>
<formControlPr xmlns="http://schemas.microsoft.com/office/spreadsheetml/2009/9/main" objectType="CheckBox" fmlaLink="$W$1681" lockText="1" noThreeD="1"/>
</file>

<file path=xl/ctrlProps/ctrlProp691.xml><?xml version="1.0" encoding="utf-8"?>
<formControlPr xmlns="http://schemas.microsoft.com/office/spreadsheetml/2009/9/main" objectType="CheckBox" fmlaLink="$W$1686" lockText="1" noThreeD="1"/>
</file>

<file path=xl/ctrlProps/ctrlProp692.xml><?xml version="1.0" encoding="utf-8"?>
<formControlPr xmlns="http://schemas.microsoft.com/office/spreadsheetml/2009/9/main" objectType="CheckBox" fmlaLink="$W$1695" lockText="1" noThreeD="1"/>
</file>

<file path=xl/ctrlProps/ctrlProp693.xml><?xml version="1.0" encoding="utf-8"?>
<formControlPr xmlns="http://schemas.microsoft.com/office/spreadsheetml/2009/9/main" objectType="CheckBox" fmlaLink="$W$1700" lockText="1" noThreeD="1"/>
</file>

<file path=xl/ctrlProps/ctrlProp694.xml><?xml version="1.0" encoding="utf-8"?>
<formControlPr xmlns="http://schemas.microsoft.com/office/spreadsheetml/2009/9/main" objectType="CheckBox" fmlaLink="$W$1701" lockText="1" noThreeD="1"/>
</file>

<file path=xl/ctrlProps/ctrlProp695.xml><?xml version="1.0" encoding="utf-8"?>
<formControlPr xmlns="http://schemas.microsoft.com/office/spreadsheetml/2009/9/main" objectType="CheckBox" fmlaLink="$W$1705" lockText="1" noThreeD="1"/>
</file>

<file path=xl/ctrlProps/ctrlProp696.xml><?xml version="1.0" encoding="utf-8"?>
<formControlPr xmlns="http://schemas.microsoft.com/office/spreadsheetml/2009/9/main" objectType="CheckBox" fmlaLink="$W$1714" lockText="1" noThreeD="1"/>
</file>

<file path=xl/ctrlProps/ctrlProp697.xml><?xml version="1.0" encoding="utf-8"?>
<formControlPr xmlns="http://schemas.microsoft.com/office/spreadsheetml/2009/9/main" objectType="CheckBox" fmlaLink="$W$1715" lockText="1" noThreeD="1"/>
</file>

<file path=xl/ctrlProps/ctrlProp698.xml><?xml version="1.0" encoding="utf-8"?>
<formControlPr xmlns="http://schemas.microsoft.com/office/spreadsheetml/2009/9/main" objectType="CheckBox" fmlaLink="$W$1718" lockText="1" noThreeD="1"/>
</file>

<file path=xl/ctrlProps/ctrlProp699.xml><?xml version="1.0" encoding="utf-8"?>
<formControlPr xmlns="http://schemas.microsoft.com/office/spreadsheetml/2009/9/main" objectType="CheckBox" fmlaLink="$W$1720" lockText="1" noThreeD="1"/>
</file>

<file path=xl/ctrlProps/ctrlProp7.xml><?xml version="1.0" encoding="utf-8"?>
<formControlPr xmlns="http://schemas.microsoft.com/office/spreadsheetml/2009/9/main" objectType="CheckBox" fmlaLink="$W$25" lockText="1" noThreeD="1"/>
</file>

<file path=xl/ctrlProps/ctrlProp70.xml><?xml version="1.0" encoding="utf-8"?>
<formControlPr xmlns="http://schemas.microsoft.com/office/spreadsheetml/2009/9/main" objectType="CheckBox" fmlaLink="$W$255" lockText="1" noThreeD="1"/>
</file>

<file path=xl/ctrlProps/ctrlProp700.xml><?xml version="1.0" encoding="utf-8"?>
<formControlPr xmlns="http://schemas.microsoft.com/office/spreadsheetml/2009/9/main" objectType="CheckBox" fmlaLink="$W$1726" lockText="1" noThreeD="1"/>
</file>

<file path=xl/ctrlProps/ctrlProp701.xml><?xml version="1.0" encoding="utf-8"?>
<formControlPr xmlns="http://schemas.microsoft.com/office/spreadsheetml/2009/9/main" objectType="CheckBox" fmlaLink="$W$1728" lockText="1" noThreeD="1"/>
</file>

<file path=xl/ctrlProps/ctrlProp702.xml><?xml version="1.0" encoding="utf-8"?>
<formControlPr xmlns="http://schemas.microsoft.com/office/spreadsheetml/2009/9/main" objectType="CheckBox" fmlaLink="$W$1732" lockText="1" noThreeD="1"/>
</file>

<file path=xl/ctrlProps/ctrlProp703.xml><?xml version="1.0" encoding="utf-8"?>
<formControlPr xmlns="http://schemas.microsoft.com/office/spreadsheetml/2009/9/main" objectType="CheckBox" fmlaLink="$W$1739" lockText="1" noThreeD="1"/>
</file>

<file path=xl/ctrlProps/ctrlProp704.xml><?xml version="1.0" encoding="utf-8"?>
<formControlPr xmlns="http://schemas.microsoft.com/office/spreadsheetml/2009/9/main" objectType="CheckBox" fmlaLink="$W$1750" lockText="1" noThreeD="1"/>
</file>

<file path=xl/ctrlProps/ctrlProp705.xml><?xml version="1.0" encoding="utf-8"?>
<formControlPr xmlns="http://schemas.microsoft.com/office/spreadsheetml/2009/9/main" objectType="CheckBox" fmlaLink="$W$1752" lockText="1" noThreeD="1"/>
</file>

<file path=xl/ctrlProps/ctrlProp706.xml><?xml version="1.0" encoding="utf-8"?>
<formControlPr xmlns="http://schemas.microsoft.com/office/spreadsheetml/2009/9/main" objectType="CheckBox" fmlaLink="$W$1754" lockText="1" noThreeD="1"/>
</file>

<file path=xl/ctrlProps/ctrlProp707.xml><?xml version="1.0" encoding="utf-8"?>
<formControlPr xmlns="http://schemas.microsoft.com/office/spreadsheetml/2009/9/main" objectType="CheckBox" fmlaLink="$W$1767" lockText="1" noThreeD="1"/>
</file>

<file path=xl/ctrlProps/ctrlProp708.xml><?xml version="1.0" encoding="utf-8"?>
<formControlPr xmlns="http://schemas.microsoft.com/office/spreadsheetml/2009/9/main" objectType="CheckBox" fmlaLink="$W$1769" lockText="1" noThreeD="1"/>
</file>

<file path=xl/ctrlProps/ctrlProp709.xml><?xml version="1.0" encoding="utf-8"?>
<formControlPr xmlns="http://schemas.microsoft.com/office/spreadsheetml/2009/9/main" objectType="CheckBox" fmlaLink="$W$1772" lockText="1" noThreeD="1"/>
</file>

<file path=xl/ctrlProps/ctrlProp71.xml><?xml version="1.0" encoding="utf-8"?>
<formControlPr xmlns="http://schemas.microsoft.com/office/spreadsheetml/2009/9/main" objectType="CheckBox" fmlaLink="$W$256" lockText="1" noThreeD="1"/>
</file>

<file path=xl/ctrlProps/ctrlProp710.xml><?xml version="1.0" encoding="utf-8"?>
<formControlPr xmlns="http://schemas.microsoft.com/office/spreadsheetml/2009/9/main" objectType="CheckBox" fmlaLink="$W$1781" lockText="1" noThreeD="1"/>
</file>

<file path=xl/ctrlProps/ctrlProp711.xml><?xml version="1.0" encoding="utf-8"?>
<formControlPr xmlns="http://schemas.microsoft.com/office/spreadsheetml/2009/9/main" objectType="CheckBox" fmlaLink="$W$1784" lockText="1" noThreeD="1"/>
</file>

<file path=xl/ctrlProps/ctrlProp712.xml><?xml version="1.0" encoding="utf-8"?>
<formControlPr xmlns="http://schemas.microsoft.com/office/spreadsheetml/2009/9/main" objectType="CheckBox" fmlaLink="$W$1786" lockText="1" noThreeD="1"/>
</file>

<file path=xl/ctrlProps/ctrlProp713.xml><?xml version="1.0" encoding="utf-8"?>
<formControlPr xmlns="http://schemas.microsoft.com/office/spreadsheetml/2009/9/main" objectType="CheckBox" fmlaLink="$W$1789" lockText="1" noThreeD="1"/>
</file>

<file path=xl/ctrlProps/ctrlProp714.xml><?xml version="1.0" encoding="utf-8"?>
<formControlPr xmlns="http://schemas.microsoft.com/office/spreadsheetml/2009/9/main" objectType="CheckBox" fmlaLink="$W$1791" lockText="1" noThreeD="1"/>
</file>

<file path=xl/ctrlProps/ctrlProp715.xml><?xml version="1.0" encoding="utf-8"?>
<formControlPr xmlns="http://schemas.microsoft.com/office/spreadsheetml/2009/9/main" objectType="CheckBox" fmlaLink="$W$1805" lockText="1" noThreeD="1"/>
</file>

<file path=xl/ctrlProps/ctrlProp716.xml><?xml version="1.0" encoding="utf-8"?>
<formControlPr xmlns="http://schemas.microsoft.com/office/spreadsheetml/2009/9/main" objectType="CheckBox" fmlaLink="$W$1806" lockText="1" noThreeD="1"/>
</file>

<file path=xl/ctrlProps/ctrlProp717.xml><?xml version="1.0" encoding="utf-8"?>
<formControlPr xmlns="http://schemas.microsoft.com/office/spreadsheetml/2009/9/main" objectType="CheckBox" fmlaLink="$W$1811" lockText="1" noThreeD="1"/>
</file>

<file path=xl/ctrlProps/ctrlProp718.xml><?xml version="1.0" encoding="utf-8"?>
<formControlPr xmlns="http://schemas.microsoft.com/office/spreadsheetml/2009/9/main" objectType="CheckBox" fmlaLink="$W$1816" lockText="1" noThreeD="1"/>
</file>

<file path=xl/ctrlProps/ctrlProp719.xml><?xml version="1.0" encoding="utf-8"?>
<formControlPr xmlns="http://schemas.microsoft.com/office/spreadsheetml/2009/9/main" objectType="CheckBox" fmlaLink="$W$1820" lockText="1" noThreeD="1"/>
</file>

<file path=xl/ctrlProps/ctrlProp72.xml><?xml version="1.0" encoding="utf-8"?>
<formControlPr xmlns="http://schemas.microsoft.com/office/spreadsheetml/2009/9/main" objectType="CheckBox" fmlaLink="$W$258" lockText="1" noThreeD="1"/>
</file>

<file path=xl/ctrlProps/ctrlProp720.xml><?xml version="1.0" encoding="utf-8"?>
<formControlPr xmlns="http://schemas.microsoft.com/office/spreadsheetml/2009/9/main" objectType="CheckBox" fmlaLink="$W$1825" lockText="1" noThreeD="1"/>
</file>

<file path=xl/ctrlProps/ctrlProp721.xml><?xml version="1.0" encoding="utf-8"?>
<formControlPr xmlns="http://schemas.microsoft.com/office/spreadsheetml/2009/9/main" objectType="CheckBox" fmlaLink="$W$1833" lockText="1" noThreeD="1"/>
</file>

<file path=xl/ctrlProps/ctrlProp722.xml><?xml version="1.0" encoding="utf-8"?>
<formControlPr xmlns="http://schemas.microsoft.com/office/spreadsheetml/2009/9/main" objectType="CheckBox" fmlaLink="$W$1834" lockText="1" noThreeD="1"/>
</file>

<file path=xl/ctrlProps/ctrlProp723.xml><?xml version="1.0" encoding="utf-8"?>
<formControlPr xmlns="http://schemas.microsoft.com/office/spreadsheetml/2009/9/main" objectType="CheckBox" fmlaLink="$W$1835" lockText="1" noThreeD="1"/>
</file>

<file path=xl/ctrlProps/ctrlProp724.xml><?xml version="1.0" encoding="utf-8"?>
<formControlPr xmlns="http://schemas.microsoft.com/office/spreadsheetml/2009/9/main" objectType="CheckBox" fmlaLink="$W$1839" lockText="1" noThreeD="1"/>
</file>

<file path=xl/ctrlProps/ctrlProp725.xml><?xml version="1.0" encoding="utf-8"?>
<formControlPr xmlns="http://schemas.microsoft.com/office/spreadsheetml/2009/9/main" objectType="CheckBox" fmlaLink="$W$1840" lockText="1" noThreeD="1"/>
</file>

<file path=xl/ctrlProps/ctrlProp726.xml><?xml version="1.0" encoding="utf-8"?>
<formControlPr xmlns="http://schemas.microsoft.com/office/spreadsheetml/2009/9/main" objectType="CheckBox" fmlaLink="$W$1841" lockText="1" noThreeD="1"/>
</file>

<file path=xl/ctrlProps/ctrlProp727.xml><?xml version="1.0" encoding="utf-8"?>
<formControlPr xmlns="http://schemas.microsoft.com/office/spreadsheetml/2009/9/main" objectType="CheckBox" fmlaLink="$W$1843" lockText="1" noThreeD="1"/>
</file>

<file path=xl/ctrlProps/ctrlProp728.xml><?xml version="1.0" encoding="utf-8"?>
<formControlPr xmlns="http://schemas.microsoft.com/office/spreadsheetml/2009/9/main" objectType="CheckBox" fmlaLink="$W$1845" lockText="1" noThreeD="1"/>
</file>

<file path=xl/ctrlProps/ctrlProp729.xml><?xml version="1.0" encoding="utf-8"?>
<formControlPr xmlns="http://schemas.microsoft.com/office/spreadsheetml/2009/9/main" objectType="CheckBox" fmlaLink="$W$1846" lockText="1" noThreeD="1"/>
</file>

<file path=xl/ctrlProps/ctrlProp73.xml><?xml version="1.0" encoding="utf-8"?>
<formControlPr xmlns="http://schemas.microsoft.com/office/spreadsheetml/2009/9/main" objectType="CheckBox" checked="Checked" fmlaLink="$W$29" lockText="1" noThreeD="1"/>
</file>

<file path=xl/ctrlProps/ctrlProp730.xml><?xml version="1.0" encoding="utf-8"?>
<formControlPr xmlns="http://schemas.microsoft.com/office/spreadsheetml/2009/9/main" objectType="CheckBox" fmlaLink="$W$1848" lockText="1" noThreeD="1"/>
</file>

<file path=xl/ctrlProps/ctrlProp731.xml><?xml version="1.0" encoding="utf-8"?>
<formControlPr xmlns="http://schemas.microsoft.com/office/spreadsheetml/2009/9/main" objectType="CheckBox" fmlaLink="$W$1849" lockText="1" noThreeD="1"/>
</file>

<file path=xl/ctrlProps/ctrlProp732.xml><?xml version="1.0" encoding="utf-8"?>
<formControlPr xmlns="http://schemas.microsoft.com/office/spreadsheetml/2009/9/main" objectType="CheckBox" fmlaLink="$W$1850" lockText="1" noThreeD="1"/>
</file>

<file path=xl/ctrlProps/ctrlProp733.xml><?xml version="1.0" encoding="utf-8"?>
<formControlPr xmlns="http://schemas.microsoft.com/office/spreadsheetml/2009/9/main" objectType="CheckBox" fmlaLink="$W$1856" lockText="1" noThreeD="1"/>
</file>

<file path=xl/ctrlProps/ctrlProp734.xml><?xml version="1.0" encoding="utf-8"?>
<formControlPr xmlns="http://schemas.microsoft.com/office/spreadsheetml/2009/9/main" objectType="CheckBox" fmlaLink="$W$1860" lockText="1" noThreeD="1"/>
</file>

<file path=xl/ctrlProps/ctrlProp735.xml><?xml version="1.0" encoding="utf-8"?>
<formControlPr xmlns="http://schemas.microsoft.com/office/spreadsheetml/2009/9/main" objectType="CheckBox" fmlaLink="$W$1862" lockText="1" noThreeD="1"/>
</file>

<file path=xl/ctrlProps/ctrlProp736.xml><?xml version="1.0" encoding="utf-8"?>
<formControlPr xmlns="http://schemas.microsoft.com/office/spreadsheetml/2009/9/main" objectType="CheckBox" fmlaLink="$W$1864" lockText="1" noThreeD="1"/>
</file>

<file path=xl/ctrlProps/ctrlProp737.xml><?xml version="1.0" encoding="utf-8"?>
<formControlPr xmlns="http://schemas.microsoft.com/office/spreadsheetml/2009/9/main" objectType="CheckBox" fmlaLink="$W$1865" lockText="1" noThreeD="1"/>
</file>

<file path=xl/ctrlProps/ctrlProp738.xml><?xml version="1.0" encoding="utf-8"?>
<formControlPr xmlns="http://schemas.microsoft.com/office/spreadsheetml/2009/9/main" objectType="CheckBox" fmlaLink="$W$1867" lockText="1" noThreeD="1"/>
</file>

<file path=xl/ctrlProps/ctrlProp739.xml><?xml version="1.0" encoding="utf-8"?>
<formControlPr xmlns="http://schemas.microsoft.com/office/spreadsheetml/2009/9/main" objectType="CheckBox" fmlaLink="$W$1869" lockText="1" noThreeD="1"/>
</file>

<file path=xl/ctrlProps/ctrlProp74.xml><?xml version="1.0" encoding="utf-8"?>
<formControlPr xmlns="http://schemas.microsoft.com/office/spreadsheetml/2009/9/main" objectType="CheckBox" fmlaLink="$W$32" lockText="1" noThreeD="1"/>
</file>

<file path=xl/ctrlProps/ctrlProp740.xml><?xml version="1.0" encoding="utf-8"?>
<formControlPr xmlns="http://schemas.microsoft.com/office/spreadsheetml/2009/9/main" objectType="CheckBox" fmlaLink="$W$1870" lockText="1" noThreeD="1"/>
</file>

<file path=xl/ctrlProps/ctrlProp741.xml><?xml version="1.0" encoding="utf-8"?>
<formControlPr xmlns="http://schemas.microsoft.com/office/spreadsheetml/2009/9/main" objectType="CheckBox" fmlaLink="$W$1872" lockText="1" noThreeD="1"/>
</file>

<file path=xl/ctrlProps/ctrlProp742.xml><?xml version="1.0" encoding="utf-8"?>
<formControlPr xmlns="http://schemas.microsoft.com/office/spreadsheetml/2009/9/main" objectType="CheckBox" fmlaLink="$W$1874" lockText="1" noThreeD="1"/>
</file>

<file path=xl/ctrlProps/ctrlProp743.xml><?xml version="1.0" encoding="utf-8"?>
<formControlPr xmlns="http://schemas.microsoft.com/office/spreadsheetml/2009/9/main" objectType="CheckBox" fmlaLink="$W$1876" lockText="1" noThreeD="1"/>
</file>

<file path=xl/ctrlProps/ctrlProp744.xml><?xml version="1.0" encoding="utf-8"?>
<formControlPr xmlns="http://schemas.microsoft.com/office/spreadsheetml/2009/9/main" objectType="CheckBox" fmlaLink="$W$1877" lockText="1" noThreeD="1"/>
</file>

<file path=xl/ctrlProps/ctrlProp745.xml><?xml version="1.0" encoding="utf-8"?>
<formControlPr xmlns="http://schemas.microsoft.com/office/spreadsheetml/2009/9/main" objectType="CheckBox" fmlaLink="$W$1878" lockText="1" noThreeD="1"/>
</file>

<file path=xl/ctrlProps/ctrlProp746.xml><?xml version="1.0" encoding="utf-8"?>
<formControlPr xmlns="http://schemas.microsoft.com/office/spreadsheetml/2009/9/main" objectType="CheckBox" fmlaLink="$W$1899" lockText="1" noThreeD="1"/>
</file>

<file path=xl/ctrlProps/ctrlProp747.xml><?xml version="1.0" encoding="utf-8"?>
<formControlPr xmlns="http://schemas.microsoft.com/office/spreadsheetml/2009/9/main" objectType="CheckBox" fmlaLink="$W$1902" lockText="1" noThreeD="1"/>
</file>

<file path=xl/ctrlProps/ctrlProp748.xml><?xml version="1.0" encoding="utf-8"?>
<formControlPr xmlns="http://schemas.microsoft.com/office/spreadsheetml/2009/9/main" objectType="CheckBox" fmlaLink="$W$1905" lockText="1" noThreeD="1"/>
</file>

<file path=xl/ctrlProps/ctrlProp749.xml><?xml version="1.0" encoding="utf-8"?>
<formControlPr xmlns="http://schemas.microsoft.com/office/spreadsheetml/2009/9/main" objectType="CheckBox" fmlaLink="$W$1907" lockText="1" noThreeD="1"/>
</file>

<file path=xl/ctrlProps/ctrlProp75.xml><?xml version="1.0" encoding="utf-8"?>
<formControlPr xmlns="http://schemas.microsoft.com/office/spreadsheetml/2009/9/main" objectType="CheckBox" fmlaLink="$W$35" lockText="1" noThreeD="1"/>
</file>

<file path=xl/ctrlProps/ctrlProp750.xml><?xml version="1.0" encoding="utf-8"?>
<formControlPr xmlns="http://schemas.microsoft.com/office/spreadsheetml/2009/9/main" objectType="CheckBox" fmlaLink="$W$1908" lockText="1" noThreeD="1"/>
</file>

<file path=xl/ctrlProps/ctrlProp751.xml><?xml version="1.0" encoding="utf-8"?>
<formControlPr xmlns="http://schemas.microsoft.com/office/spreadsheetml/2009/9/main" objectType="CheckBox" fmlaLink="$W$1910" lockText="1" noThreeD="1"/>
</file>

<file path=xl/ctrlProps/ctrlProp752.xml><?xml version="1.0" encoding="utf-8"?>
<formControlPr xmlns="http://schemas.microsoft.com/office/spreadsheetml/2009/9/main" objectType="CheckBox" fmlaLink="$W$1911" lockText="1" noThreeD="1"/>
</file>

<file path=xl/ctrlProps/ctrlProp753.xml><?xml version="1.0" encoding="utf-8"?>
<formControlPr xmlns="http://schemas.microsoft.com/office/spreadsheetml/2009/9/main" objectType="CheckBox" fmlaLink="$W$1912" lockText="1" noThreeD="1"/>
</file>

<file path=xl/ctrlProps/ctrlProp754.xml><?xml version="1.0" encoding="utf-8"?>
<formControlPr xmlns="http://schemas.microsoft.com/office/spreadsheetml/2009/9/main" objectType="CheckBox" fmlaLink="$W$1918" lockText="1" noThreeD="1"/>
</file>

<file path=xl/ctrlProps/ctrlProp755.xml><?xml version="1.0" encoding="utf-8"?>
<formControlPr xmlns="http://schemas.microsoft.com/office/spreadsheetml/2009/9/main" objectType="CheckBox" fmlaLink="$W$1920" lockText="1" noThreeD="1"/>
</file>

<file path=xl/ctrlProps/ctrlProp756.xml><?xml version="1.0" encoding="utf-8"?>
<formControlPr xmlns="http://schemas.microsoft.com/office/spreadsheetml/2009/9/main" objectType="CheckBox" fmlaLink="$W$1923" lockText="1" noThreeD="1"/>
</file>

<file path=xl/ctrlProps/ctrlProp757.xml><?xml version="1.0" encoding="utf-8"?>
<formControlPr xmlns="http://schemas.microsoft.com/office/spreadsheetml/2009/9/main" objectType="CheckBox" fmlaLink="$W$1925" lockText="1" noThreeD="1"/>
</file>

<file path=xl/ctrlProps/ctrlProp758.xml><?xml version="1.0" encoding="utf-8"?>
<formControlPr xmlns="http://schemas.microsoft.com/office/spreadsheetml/2009/9/main" objectType="CheckBox" fmlaLink="$W$1928" lockText="1" noThreeD="1"/>
</file>

<file path=xl/ctrlProps/ctrlProp759.xml><?xml version="1.0" encoding="utf-8"?>
<formControlPr xmlns="http://schemas.microsoft.com/office/spreadsheetml/2009/9/main" objectType="CheckBox" fmlaLink="$W$1930" lockText="1" noThreeD="1"/>
</file>

<file path=xl/ctrlProps/ctrlProp76.xml><?xml version="1.0" encoding="utf-8"?>
<formControlPr xmlns="http://schemas.microsoft.com/office/spreadsheetml/2009/9/main" objectType="CheckBox" fmlaLink="$W$39" lockText="1" noThreeD="1"/>
</file>

<file path=xl/ctrlProps/ctrlProp760.xml><?xml version="1.0" encoding="utf-8"?>
<formControlPr xmlns="http://schemas.microsoft.com/office/spreadsheetml/2009/9/main" objectType="CheckBox" fmlaLink="$W$1931" lockText="1" noThreeD="1"/>
</file>

<file path=xl/ctrlProps/ctrlProp761.xml><?xml version="1.0" encoding="utf-8"?>
<formControlPr xmlns="http://schemas.microsoft.com/office/spreadsheetml/2009/9/main" objectType="CheckBox" fmlaLink="$W$1933" lockText="1" noThreeD="1"/>
</file>

<file path=xl/ctrlProps/ctrlProp762.xml><?xml version="1.0" encoding="utf-8"?>
<formControlPr xmlns="http://schemas.microsoft.com/office/spreadsheetml/2009/9/main" objectType="CheckBox" fmlaLink="$W$1935" lockText="1" noThreeD="1"/>
</file>

<file path=xl/ctrlProps/ctrlProp763.xml><?xml version="1.0" encoding="utf-8"?>
<formControlPr xmlns="http://schemas.microsoft.com/office/spreadsheetml/2009/9/main" objectType="CheckBox" fmlaLink="$W$1936" lockText="1" noThreeD="1"/>
</file>

<file path=xl/ctrlProps/ctrlProp764.xml><?xml version="1.0" encoding="utf-8"?>
<formControlPr xmlns="http://schemas.microsoft.com/office/spreadsheetml/2009/9/main" objectType="CheckBox" fmlaLink="$W$1939" lockText="1" noThreeD="1"/>
</file>

<file path=xl/ctrlProps/ctrlProp765.xml><?xml version="1.0" encoding="utf-8"?>
<formControlPr xmlns="http://schemas.microsoft.com/office/spreadsheetml/2009/9/main" objectType="CheckBox" fmlaLink="$W$1945" lockText="1" noThreeD="1"/>
</file>

<file path=xl/ctrlProps/ctrlProp766.xml><?xml version="1.0" encoding="utf-8"?>
<formControlPr xmlns="http://schemas.microsoft.com/office/spreadsheetml/2009/9/main" objectType="CheckBox" fmlaLink="$W$1947" lockText="1" noThreeD="1"/>
</file>

<file path=xl/ctrlProps/ctrlProp767.xml><?xml version="1.0" encoding="utf-8"?>
<formControlPr xmlns="http://schemas.microsoft.com/office/spreadsheetml/2009/9/main" objectType="CheckBox" fmlaLink="$W$1951" lockText="1" noThreeD="1"/>
</file>

<file path=xl/ctrlProps/ctrlProp768.xml><?xml version="1.0" encoding="utf-8"?>
<formControlPr xmlns="http://schemas.microsoft.com/office/spreadsheetml/2009/9/main" objectType="CheckBox" fmlaLink="$W$1958" lockText="1" noThreeD="1"/>
</file>

<file path=xl/ctrlProps/ctrlProp769.xml><?xml version="1.0" encoding="utf-8"?>
<formControlPr xmlns="http://schemas.microsoft.com/office/spreadsheetml/2009/9/main" objectType="CheckBox" fmlaLink="$W$1960" lockText="1" noThreeD="1"/>
</file>

<file path=xl/ctrlProps/ctrlProp77.xml><?xml version="1.0" encoding="utf-8"?>
<formControlPr xmlns="http://schemas.microsoft.com/office/spreadsheetml/2009/9/main" objectType="CheckBox" fmlaLink="$W$40" lockText="1" noThreeD="1"/>
</file>

<file path=xl/ctrlProps/ctrlProp770.xml><?xml version="1.0" encoding="utf-8"?>
<formControlPr xmlns="http://schemas.microsoft.com/office/spreadsheetml/2009/9/main" objectType="CheckBox" fmlaLink="$W$1961" lockText="1" noThreeD="1"/>
</file>

<file path=xl/ctrlProps/ctrlProp771.xml><?xml version="1.0" encoding="utf-8"?>
<formControlPr xmlns="http://schemas.microsoft.com/office/spreadsheetml/2009/9/main" objectType="CheckBox" fmlaLink="$W$1963" lockText="1" noThreeD="1"/>
</file>

<file path=xl/ctrlProps/ctrlProp772.xml><?xml version="1.0" encoding="utf-8"?>
<formControlPr xmlns="http://schemas.microsoft.com/office/spreadsheetml/2009/9/main" objectType="CheckBox" fmlaLink="$W$1964" lockText="1" noThreeD="1"/>
</file>

<file path=xl/ctrlProps/ctrlProp773.xml><?xml version="1.0" encoding="utf-8"?>
<formControlPr xmlns="http://schemas.microsoft.com/office/spreadsheetml/2009/9/main" objectType="CheckBox" fmlaLink="$W$1965" lockText="1" noThreeD="1"/>
</file>

<file path=xl/ctrlProps/ctrlProp774.xml><?xml version="1.0" encoding="utf-8"?>
<formControlPr xmlns="http://schemas.microsoft.com/office/spreadsheetml/2009/9/main" objectType="CheckBox" fmlaLink="$W$1966" lockText="1" noThreeD="1"/>
</file>

<file path=xl/ctrlProps/ctrlProp775.xml><?xml version="1.0" encoding="utf-8"?>
<formControlPr xmlns="http://schemas.microsoft.com/office/spreadsheetml/2009/9/main" objectType="CheckBox" fmlaLink="$W$1967" lockText="1" noThreeD="1"/>
</file>

<file path=xl/ctrlProps/ctrlProp776.xml><?xml version="1.0" encoding="utf-8"?>
<formControlPr xmlns="http://schemas.microsoft.com/office/spreadsheetml/2009/9/main" objectType="CheckBox" fmlaLink="$W$1984" lockText="1" noThreeD="1"/>
</file>

<file path=xl/ctrlProps/ctrlProp777.xml><?xml version="1.0" encoding="utf-8"?>
<formControlPr xmlns="http://schemas.microsoft.com/office/spreadsheetml/2009/9/main" objectType="CheckBox" fmlaLink="$W$1986" lockText="1" noThreeD="1"/>
</file>

<file path=xl/ctrlProps/ctrlProp778.xml><?xml version="1.0" encoding="utf-8"?>
<formControlPr xmlns="http://schemas.microsoft.com/office/spreadsheetml/2009/9/main" objectType="CheckBox" fmlaLink="$W$1989" lockText="1" noThreeD="1"/>
</file>

<file path=xl/ctrlProps/ctrlProp779.xml><?xml version="1.0" encoding="utf-8"?>
<formControlPr xmlns="http://schemas.microsoft.com/office/spreadsheetml/2009/9/main" objectType="CheckBox" fmlaLink="$W$2002" lockText="1" noThreeD="1"/>
</file>

<file path=xl/ctrlProps/ctrlProp78.xml><?xml version="1.0" encoding="utf-8"?>
<formControlPr xmlns="http://schemas.microsoft.com/office/spreadsheetml/2009/9/main" objectType="CheckBox" fmlaLink="$W$41" lockText="1" noThreeD="1"/>
</file>

<file path=xl/ctrlProps/ctrlProp780.xml><?xml version="1.0" encoding="utf-8"?>
<formControlPr xmlns="http://schemas.microsoft.com/office/spreadsheetml/2009/9/main" objectType="CheckBox" fmlaLink="$W$2004" lockText="1" noThreeD="1"/>
</file>

<file path=xl/ctrlProps/ctrlProp781.xml><?xml version="1.0" encoding="utf-8"?>
<formControlPr xmlns="http://schemas.microsoft.com/office/spreadsheetml/2009/9/main" objectType="CheckBox" fmlaLink="$W$1601" lockText="1" noThreeD="1"/>
</file>

<file path=xl/ctrlProps/ctrlProp782.xml><?xml version="1.0" encoding="utf-8"?>
<formControlPr xmlns="http://schemas.microsoft.com/office/spreadsheetml/2009/9/main" objectType="CheckBox" fmlaLink="$W$1307" lockText="1" noThreeD="1"/>
</file>

<file path=xl/ctrlProps/ctrlProp783.xml><?xml version="1.0" encoding="utf-8"?>
<formControlPr xmlns="http://schemas.microsoft.com/office/spreadsheetml/2009/9/main" objectType="CheckBox" fmlaLink="$G$38" lockText="1" noThreeD="1"/>
</file>

<file path=xl/ctrlProps/ctrlProp784.xml><?xml version="1.0" encoding="utf-8"?>
<formControlPr xmlns="http://schemas.microsoft.com/office/spreadsheetml/2009/9/main" objectType="CheckBox" fmlaLink="$G$38" lockText="1" noThreeD="1"/>
</file>

<file path=xl/ctrlProps/ctrlProp785.xml><?xml version="1.0" encoding="utf-8"?>
<formControlPr xmlns="http://schemas.microsoft.com/office/spreadsheetml/2009/9/main" objectType="CheckBox" fmlaLink="$M$105" lockText="1" noThreeD="1"/>
</file>

<file path=xl/ctrlProps/ctrlProp786.xml><?xml version="1.0" encoding="utf-8"?>
<formControlPr xmlns="http://schemas.microsoft.com/office/spreadsheetml/2009/9/main" objectType="CheckBox" fmlaLink="$M$106" lockText="1" noThreeD="1"/>
</file>

<file path=xl/ctrlProps/ctrlProp787.xml><?xml version="1.0" encoding="utf-8"?>
<formControlPr xmlns="http://schemas.microsoft.com/office/spreadsheetml/2009/9/main" objectType="CheckBox" fmlaLink="$M$107" lockText="1" noThreeD="1"/>
</file>

<file path=xl/ctrlProps/ctrlProp788.xml><?xml version="1.0" encoding="utf-8"?>
<formControlPr xmlns="http://schemas.microsoft.com/office/spreadsheetml/2009/9/main" objectType="CheckBox" fmlaLink="$M$108" lockText="1" noThreeD="1"/>
</file>

<file path=xl/ctrlProps/ctrlProp789.xml><?xml version="1.0" encoding="utf-8"?>
<formControlPr xmlns="http://schemas.microsoft.com/office/spreadsheetml/2009/9/main" objectType="CheckBox" fmlaLink="$M$109" lockText="1" noThreeD="1"/>
</file>

<file path=xl/ctrlProps/ctrlProp79.xml><?xml version="1.0" encoding="utf-8"?>
<formControlPr xmlns="http://schemas.microsoft.com/office/spreadsheetml/2009/9/main" objectType="CheckBox" fmlaLink="$W$42" lockText="1" noThreeD="1"/>
</file>

<file path=xl/ctrlProps/ctrlProp790.xml><?xml version="1.0" encoding="utf-8"?>
<formControlPr xmlns="http://schemas.microsoft.com/office/spreadsheetml/2009/9/main" objectType="CheckBox" fmlaLink="$M$110" lockText="1" noThreeD="1"/>
</file>

<file path=xl/ctrlProps/ctrlProp791.xml><?xml version="1.0" encoding="utf-8"?>
<formControlPr xmlns="http://schemas.microsoft.com/office/spreadsheetml/2009/9/main" objectType="CheckBox" fmlaLink="$M$111" lockText="1" noThreeD="1"/>
</file>

<file path=xl/ctrlProps/ctrlProp792.xml><?xml version="1.0" encoding="utf-8"?>
<formControlPr xmlns="http://schemas.microsoft.com/office/spreadsheetml/2009/9/main" objectType="CheckBox" fmlaLink="$M$112" lockText="1" noThreeD="1"/>
</file>

<file path=xl/ctrlProps/ctrlProp793.xml><?xml version="1.0" encoding="utf-8"?>
<formControlPr xmlns="http://schemas.microsoft.com/office/spreadsheetml/2009/9/main" objectType="CheckBox" fmlaLink="$M$113" lockText="1" noThreeD="1"/>
</file>

<file path=xl/ctrlProps/ctrlProp794.xml><?xml version="1.0" encoding="utf-8"?>
<formControlPr xmlns="http://schemas.microsoft.com/office/spreadsheetml/2009/9/main" objectType="CheckBox" fmlaLink="$M$104" lockText="1" noThreeD="1"/>
</file>

<file path=xl/ctrlProps/ctrlProp8.xml><?xml version="1.0" encoding="utf-8"?>
<formControlPr xmlns="http://schemas.microsoft.com/office/spreadsheetml/2009/9/main" objectType="CheckBox" fmlaLink="$W$27" lockText="1" noThreeD="1"/>
</file>

<file path=xl/ctrlProps/ctrlProp80.xml><?xml version="1.0" encoding="utf-8"?>
<formControlPr xmlns="http://schemas.microsoft.com/office/spreadsheetml/2009/9/main" objectType="CheckBox" fmlaLink="$W$43" lockText="1" noThreeD="1"/>
</file>

<file path=xl/ctrlProps/ctrlProp81.xml><?xml version="1.0" encoding="utf-8"?>
<formControlPr xmlns="http://schemas.microsoft.com/office/spreadsheetml/2009/9/main" objectType="CheckBox" checked="Checked" fmlaLink="$W$44" lockText="1" noThreeD="1"/>
</file>

<file path=xl/ctrlProps/ctrlProp82.xml><?xml version="1.0" encoding="utf-8"?>
<formControlPr xmlns="http://schemas.microsoft.com/office/spreadsheetml/2009/9/main" objectType="CheckBox" checked="Checked" fmlaLink="$W$50" lockText="1" noThreeD="1"/>
</file>

<file path=xl/ctrlProps/ctrlProp83.xml><?xml version="1.0" encoding="utf-8"?>
<formControlPr xmlns="http://schemas.microsoft.com/office/spreadsheetml/2009/9/main" objectType="CheckBox" fmlaLink="$W$51" lockText="1" noThreeD="1"/>
</file>

<file path=xl/ctrlProps/ctrlProp84.xml><?xml version="1.0" encoding="utf-8"?>
<formControlPr xmlns="http://schemas.microsoft.com/office/spreadsheetml/2009/9/main" objectType="CheckBox" fmlaLink="$W$52" lockText="1" noThreeD="1"/>
</file>

<file path=xl/ctrlProps/ctrlProp85.xml><?xml version="1.0" encoding="utf-8"?>
<formControlPr xmlns="http://schemas.microsoft.com/office/spreadsheetml/2009/9/main" objectType="CheckBox" fmlaLink="$W$53" lockText="1" noThreeD="1"/>
</file>

<file path=xl/ctrlProps/ctrlProp86.xml><?xml version="1.0" encoding="utf-8"?>
<formControlPr xmlns="http://schemas.microsoft.com/office/spreadsheetml/2009/9/main" objectType="CheckBox" fmlaLink="$W$54" lockText="1" noThreeD="1"/>
</file>

<file path=xl/ctrlProps/ctrlProp87.xml><?xml version="1.0" encoding="utf-8"?>
<formControlPr xmlns="http://schemas.microsoft.com/office/spreadsheetml/2009/9/main" objectType="CheckBox" fmlaLink="$W$78" lockText="1" noThreeD="1"/>
</file>

<file path=xl/ctrlProps/ctrlProp88.xml><?xml version="1.0" encoding="utf-8"?>
<formControlPr xmlns="http://schemas.microsoft.com/office/spreadsheetml/2009/9/main" objectType="CheckBox" fmlaLink="$W$86" lockText="1" noThreeD="1"/>
</file>

<file path=xl/ctrlProps/ctrlProp89.xml><?xml version="1.0" encoding="utf-8"?>
<formControlPr xmlns="http://schemas.microsoft.com/office/spreadsheetml/2009/9/main" objectType="CheckBox" fmlaLink="$W$97" lockText="1" noThreeD="1"/>
</file>

<file path=xl/ctrlProps/ctrlProp9.xml><?xml version="1.0" encoding="utf-8"?>
<formControlPr xmlns="http://schemas.microsoft.com/office/spreadsheetml/2009/9/main" objectType="CheckBox" fmlaLink="$W$36" lockText="1" noThreeD="1"/>
</file>

<file path=xl/ctrlProps/ctrlProp90.xml><?xml version="1.0" encoding="utf-8"?>
<formControlPr xmlns="http://schemas.microsoft.com/office/spreadsheetml/2009/9/main" objectType="CheckBox" checked="Checked" fmlaLink="$W$100" lockText="1" noThreeD="1"/>
</file>

<file path=xl/ctrlProps/ctrlProp91.xml><?xml version="1.0" encoding="utf-8"?>
<formControlPr xmlns="http://schemas.microsoft.com/office/spreadsheetml/2009/9/main" objectType="CheckBox" fmlaLink="$W$104" lockText="1" noThreeD="1"/>
</file>

<file path=xl/ctrlProps/ctrlProp92.xml><?xml version="1.0" encoding="utf-8"?>
<formControlPr xmlns="http://schemas.microsoft.com/office/spreadsheetml/2009/9/main" objectType="CheckBox" fmlaLink="$W$105" lockText="1" noThreeD="1"/>
</file>

<file path=xl/ctrlProps/ctrlProp93.xml><?xml version="1.0" encoding="utf-8"?>
<formControlPr xmlns="http://schemas.microsoft.com/office/spreadsheetml/2009/9/main" objectType="CheckBox" fmlaLink="$W$107" lockText="1" noThreeD="1"/>
</file>

<file path=xl/ctrlProps/ctrlProp94.xml><?xml version="1.0" encoding="utf-8"?>
<formControlPr xmlns="http://schemas.microsoft.com/office/spreadsheetml/2009/9/main" objectType="CheckBox" checked="Checked" fmlaLink="$W$109" lockText="1" noThreeD="1"/>
</file>

<file path=xl/ctrlProps/ctrlProp95.xml><?xml version="1.0" encoding="utf-8"?>
<formControlPr xmlns="http://schemas.microsoft.com/office/spreadsheetml/2009/9/main" objectType="CheckBox" fmlaLink="$W$115" lockText="1" noThreeD="1"/>
</file>

<file path=xl/ctrlProps/ctrlProp96.xml><?xml version="1.0" encoding="utf-8"?>
<formControlPr xmlns="http://schemas.microsoft.com/office/spreadsheetml/2009/9/main" objectType="CheckBox" fmlaLink="$W$121" lockText="1" noThreeD="1"/>
</file>

<file path=xl/ctrlProps/ctrlProp97.xml><?xml version="1.0" encoding="utf-8"?>
<formControlPr xmlns="http://schemas.microsoft.com/office/spreadsheetml/2009/9/main" objectType="CheckBox" checked="Checked" fmlaLink="$W$127" lockText="1" noThreeD="1"/>
</file>

<file path=xl/ctrlProps/ctrlProp98.xml><?xml version="1.0" encoding="utf-8"?>
<formControlPr xmlns="http://schemas.microsoft.com/office/spreadsheetml/2009/9/main" objectType="CheckBox" fmlaLink="$W$129" lockText="1" noThreeD="1"/>
</file>

<file path=xl/ctrlProps/ctrlProp99.xml><?xml version="1.0" encoding="utf-8"?>
<formControlPr xmlns="http://schemas.microsoft.com/office/spreadsheetml/2009/9/main" objectType="CheckBox" fmlaLink="$W$135"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12" Type="http://schemas.openxmlformats.org/officeDocument/2006/relationships/image" Target="../media/image26.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7.gif"/></Relationships>
</file>

<file path=xl/drawings/_rels/drawing17.xml.rels><?xml version="1.0" encoding="UTF-8" standalone="yes"?>
<Relationships xmlns="http://schemas.openxmlformats.org/package/2006/relationships"><Relationship Id="rId1" Type="http://schemas.openxmlformats.org/officeDocument/2006/relationships/image" Target="../media/image28.gif"/></Relationships>
</file>

<file path=xl/drawings/_rels/drawing18.xml.rels><?xml version="1.0" encoding="UTF-8" standalone="yes"?>
<Relationships xmlns="http://schemas.openxmlformats.org/package/2006/relationships"><Relationship Id="rId1" Type="http://schemas.openxmlformats.org/officeDocument/2006/relationships/image" Target="../media/image29.emf"/></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64770</xdr:rowOff>
    </xdr:from>
    <xdr:to>
      <xdr:col>3</xdr:col>
      <xdr:colOff>0</xdr:colOff>
      <xdr:row>5</xdr:row>
      <xdr:rowOff>135388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4770"/>
          <a:ext cx="1828800" cy="971683"/>
        </a:xfrm>
        <a:prstGeom prst="rect">
          <a:avLst/>
        </a:prstGeom>
      </xdr:spPr>
    </xdr:pic>
    <xdr:clientData/>
  </xdr:twoCellAnchor>
  <xdr:twoCellAnchor editAs="oneCell">
    <xdr:from>
      <xdr:col>8</xdr:col>
      <xdr:colOff>28575</xdr:colOff>
      <xdr:row>20</xdr:row>
      <xdr:rowOff>26670</xdr:rowOff>
    </xdr:from>
    <xdr:to>
      <xdr:col>9</xdr:col>
      <xdr:colOff>502531</xdr:colOff>
      <xdr:row>26</xdr:row>
      <xdr:rowOff>135255</xdr:rowOff>
    </xdr:to>
    <xdr:pic>
      <xdr:nvPicPr>
        <xdr:cNvPr id="6" name="Picture 5">
          <a:extLst>
            <a:ext uri="{FF2B5EF4-FFF2-40B4-BE49-F238E27FC236}">
              <a16:creationId xmlns:a16="http://schemas.microsoft.com/office/drawing/2014/main" id="{DB28BE73-0416-4A34-BD3D-3C1F241DD4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05375" y="3741420"/>
          <a:ext cx="1083556" cy="11944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1019175</xdr:colOff>
      <xdr:row>0</xdr:row>
      <xdr:rowOff>0</xdr:rowOff>
    </xdr:from>
    <xdr:to>
      <xdr:col>2</xdr:col>
      <xdr:colOff>2847975</xdr:colOff>
      <xdr:row>4</xdr:row>
      <xdr:rowOff>141767</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28775" y="0"/>
          <a:ext cx="1828800" cy="9037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4</xdr:row>
      <xdr:rowOff>141767</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0</xdr:colOff>
          <xdr:row>7</xdr:row>
          <xdr:rowOff>0</xdr:rowOff>
        </xdr:from>
        <xdr:to>
          <xdr:col>8</xdr:col>
          <xdr:colOff>182880</xdr:colOff>
          <xdr:row>7</xdr:row>
          <xdr:rowOff>182880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0E00-00002C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8</xdr:col>
          <xdr:colOff>182880</xdr:colOff>
          <xdr:row>8</xdr:row>
          <xdr:rowOff>182880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0E00-00002D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8</xdr:col>
          <xdr:colOff>182880</xdr:colOff>
          <xdr:row>9</xdr:row>
          <xdr:rowOff>182880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0E00-00002E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0</xdr:rowOff>
        </xdr:from>
        <xdr:to>
          <xdr:col>8</xdr:col>
          <xdr:colOff>182880</xdr:colOff>
          <xdr:row>10</xdr:row>
          <xdr:rowOff>182880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0E00-00002F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8</xdr:col>
          <xdr:colOff>182880</xdr:colOff>
          <xdr:row>11</xdr:row>
          <xdr:rowOff>182880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0E00-000030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0</xdr:rowOff>
        </xdr:from>
        <xdr:to>
          <xdr:col>8</xdr:col>
          <xdr:colOff>182880</xdr:colOff>
          <xdr:row>12</xdr:row>
          <xdr:rowOff>182880</xdr:rowOff>
        </xdr:to>
        <xdr:sp macro="" textlink="">
          <xdr:nvSpPr>
            <xdr:cNvPr id="27697" name="Check Box 49" hidden="1">
              <a:extLst>
                <a:ext uri="{63B3BB69-23CF-44E3-9099-C40C66FF867C}">
                  <a14:compatExt spid="_x0000_s27697"/>
                </a:ext>
                <a:ext uri="{FF2B5EF4-FFF2-40B4-BE49-F238E27FC236}">
                  <a16:creationId xmlns:a16="http://schemas.microsoft.com/office/drawing/2014/main" id="{00000000-0008-0000-0E00-000031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8</xdr:col>
          <xdr:colOff>182880</xdr:colOff>
          <xdr:row>13</xdr:row>
          <xdr:rowOff>182880</xdr:rowOff>
        </xdr:to>
        <xdr:sp macro="" textlink="">
          <xdr:nvSpPr>
            <xdr:cNvPr id="27698" name="Check Box 50" hidden="1">
              <a:extLst>
                <a:ext uri="{63B3BB69-23CF-44E3-9099-C40C66FF867C}">
                  <a14:compatExt spid="_x0000_s27698"/>
                </a:ext>
                <a:ext uri="{FF2B5EF4-FFF2-40B4-BE49-F238E27FC236}">
                  <a16:creationId xmlns:a16="http://schemas.microsoft.com/office/drawing/2014/main" id="{00000000-0008-0000-0E00-000032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8</xdr:col>
          <xdr:colOff>182880</xdr:colOff>
          <xdr:row>15</xdr:row>
          <xdr:rowOff>182880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0E00-000033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8</xdr:col>
          <xdr:colOff>182880</xdr:colOff>
          <xdr:row>16</xdr:row>
          <xdr:rowOff>182880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0E00-000034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0</xdr:rowOff>
        </xdr:from>
        <xdr:to>
          <xdr:col>8</xdr:col>
          <xdr:colOff>182880</xdr:colOff>
          <xdr:row>17</xdr:row>
          <xdr:rowOff>182880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0E00-000035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8</xdr:col>
          <xdr:colOff>182880</xdr:colOff>
          <xdr:row>19</xdr:row>
          <xdr:rowOff>182880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0E00-000036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0</xdr:rowOff>
        </xdr:from>
        <xdr:to>
          <xdr:col>8</xdr:col>
          <xdr:colOff>182880</xdr:colOff>
          <xdr:row>20</xdr:row>
          <xdr:rowOff>182880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0E00-000037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8</xdr:col>
          <xdr:colOff>182880</xdr:colOff>
          <xdr:row>23</xdr:row>
          <xdr:rowOff>182880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0E00-000038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0</xdr:rowOff>
        </xdr:from>
        <xdr:to>
          <xdr:col>8</xdr:col>
          <xdr:colOff>182880</xdr:colOff>
          <xdr:row>25</xdr:row>
          <xdr:rowOff>182880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0E00-000039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8</xdr:col>
          <xdr:colOff>182880</xdr:colOff>
          <xdr:row>26</xdr:row>
          <xdr:rowOff>182880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0E00-00003A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0</xdr:rowOff>
        </xdr:from>
        <xdr:to>
          <xdr:col>8</xdr:col>
          <xdr:colOff>182880</xdr:colOff>
          <xdr:row>28</xdr:row>
          <xdr:rowOff>182880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0E00-00003B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8</xdr:col>
          <xdr:colOff>182880</xdr:colOff>
          <xdr:row>29</xdr:row>
          <xdr:rowOff>182880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0E00-00003C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30</xdr:row>
          <xdr:rowOff>0</xdr:rowOff>
        </xdr:from>
        <xdr:to>
          <xdr:col>8</xdr:col>
          <xdr:colOff>182880</xdr:colOff>
          <xdr:row>30</xdr:row>
          <xdr:rowOff>182880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0E00-00003D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31</xdr:row>
          <xdr:rowOff>0</xdr:rowOff>
        </xdr:from>
        <xdr:to>
          <xdr:col>8</xdr:col>
          <xdr:colOff>182880</xdr:colOff>
          <xdr:row>31</xdr:row>
          <xdr:rowOff>182880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0E00-00003E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8</xdr:col>
          <xdr:colOff>182880</xdr:colOff>
          <xdr:row>42</xdr:row>
          <xdr:rowOff>182880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0E00-00003F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0</xdr:rowOff>
        </xdr:from>
        <xdr:to>
          <xdr:col>8</xdr:col>
          <xdr:colOff>182880</xdr:colOff>
          <xdr:row>43</xdr:row>
          <xdr:rowOff>182880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0E00-000040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0</xdr:rowOff>
        </xdr:from>
        <xdr:to>
          <xdr:col>8</xdr:col>
          <xdr:colOff>182880</xdr:colOff>
          <xdr:row>44</xdr:row>
          <xdr:rowOff>182880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0E00-000041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45</xdr:row>
          <xdr:rowOff>0</xdr:rowOff>
        </xdr:from>
        <xdr:to>
          <xdr:col>8</xdr:col>
          <xdr:colOff>182880</xdr:colOff>
          <xdr:row>45</xdr:row>
          <xdr:rowOff>182880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0E00-000042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0</xdr:rowOff>
        </xdr:from>
        <xdr:to>
          <xdr:col>8</xdr:col>
          <xdr:colOff>182880</xdr:colOff>
          <xdr:row>46</xdr:row>
          <xdr:rowOff>182880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0E00-000043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0</xdr:rowOff>
        </xdr:from>
        <xdr:to>
          <xdr:col>8</xdr:col>
          <xdr:colOff>182880</xdr:colOff>
          <xdr:row>49</xdr:row>
          <xdr:rowOff>182880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0E00-000044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8</xdr:col>
          <xdr:colOff>182880</xdr:colOff>
          <xdr:row>50</xdr:row>
          <xdr:rowOff>182880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0E00-000045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8</xdr:col>
          <xdr:colOff>182880</xdr:colOff>
          <xdr:row>51</xdr:row>
          <xdr:rowOff>182880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0E00-000046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0</xdr:rowOff>
        </xdr:from>
        <xdr:to>
          <xdr:col>8</xdr:col>
          <xdr:colOff>182880</xdr:colOff>
          <xdr:row>52</xdr:row>
          <xdr:rowOff>182880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0E00-000047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53</xdr:row>
          <xdr:rowOff>0</xdr:rowOff>
        </xdr:from>
        <xdr:to>
          <xdr:col>8</xdr:col>
          <xdr:colOff>182880</xdr:colOff>
          <xdr:row>53</xdr:row>
          <xdr:rowOff>182880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0E00-000048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0</xdr:rowOff>
        </xdr:from>
        <xdr:to>
          <xdr:col>8</xdr:col>
          <xdr:colOff>182880</xdr:colOff>
          <xdr:row>55</xdr:row>
          <xdr:rowOff>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0E00-000049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56</xdr:row>
          <xdr:rowOff>0</xdr:rowOff>
        </xdr:from>
        <xdr:to>
          <xdr:col>8</xdr:col>
          <xdr:colOff>182880</xdr:colOff>
          <xdr:row>56</xdr:row>
          <xdr:rowOff>182880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0E00-00004A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57</xdr:row>
          <xdr:rowOff>0</xdr:rowOff>
        </xdr:from>
        <xdr:to>
          <xdr:col>8</xdr:col>
          <xdr:colOff>182880</xdr:colOff>
          <xdr:row>57</xdr:row>
          <xdr:rowOff>182880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0E00-00004B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8</xdr:col>
          <xdr:colOff>182880</xdr:colOff>
          <xdr:row>21</xdr:row>
          <xdr:rowOff>182880</xdr:rowOff>
        </xdr:to>
        <xdr:sp macro="" textlink="">
          <xdr:nvSpPr>
            <xdr:cNvPr id="27725" name="Check Box 77" hidden="1">
              <a:extLst>
                <a:ext uri="{63B3BB69-23CF-44E3-9099-C40C66FF867C}">
                  <a14:compatExt spid="_x0000_s27725"/>
                </a:ext>
                <a:ext uri="{FF2B5EF4-FFF2-40B4-BE49-F238E27FC236}">
                  <a16:creationId xmlns:a16="http://schemas.microsoft.com/office/drawing/2014/main" id="{00000000-0008-0000-0E00-00004D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8</xdr:col>
          <xdr:colOff>182880</xdr:colOff>
          <xdr:row>32</xdr:row>
          <xdr:rowOff>182880</xdr:rowOff>
        </xdr:to>
        <xdr:sp macro="" textlink="">
          <xdr:nvSpPr>
            <xdr:cNvPr id="27727" name="Check Box 79" hidden="1">
              <a:extLst>
                <a:ext uri="{63B3BB69-23CF-44E3-9099-C40C66FF867C}">
                  <a14:compatExt spid="_x0000_s27727"/>
                </a:ext>
                <a:ext uri="{FF2B5EF4-FFF2-40B4-BE49-F238E27FC236}">
                  <a16:creationId xmlns:a16="http://schemas.microsoft.com/office/drawing/2014/main" id="{00000000-0008-0000-0E00-00004F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0</xdr:rowOff>
        </xdr:from>
        <xdr:to>
          <xdr:col>8</xdr:col>
          <xdr:colOff>182880</xdr:colOff>
          <xdr:row>33</xdr:row>
          <xdr:rowOff>182880</xdr:rowOff>
        </xdr:to>
        <xdr:sp macro="" textlink="">
          <xdr:nvSpPr>
            <xdr:cNvPr id="27728" name="Check Box 80" hidden="1">
              <a:extLst>
                <a:ext uri="{63B3BB69-23CF-44E3-9099-C40C66FF867C}">
                  <a14:compatExt spid="_x0000_s27728"/>
                </a:ext>
                <a:ext uri="{FF2B5EF4-FFF2-40B4-BE49-F238E27FC236}">
                  <a16:creationId xmlns:a16="http://schemas.microsoft.com/office/drawing/2014/main" id="{00000000-0008-0000-0E00-000050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0</xdr:rowOff>
        </xdr:from>
        <xdr:to>
          <xdr:col>8</xdr:col>
          <xdr:colOff>182880</xdr:colOff>
          <xdr:row>34</xdr:row>
          <xdr:rowOff>182880</xdr:rowOff>
        </xdr:to>
        <xdr:sp macro="" textlink="">
          <xdr:nvSpPr>
            <xdr:cNvPr id="27729" name="Check Box 81" hidden="1">
              <a:extLst>
                <a:ext uri="{63B3BB69-23CF-44E3-9099-C40C66FF867C}">
                  <a14:compatExt spid="_x0000_s27729"/>
                </a:ext>
                <a:ext uri="{FF2B5EF4-FFF2-40B4-BE49-F238E27FC236}">
                  <a16:creationId xmlns:a16="http://schemas.microsoft.com/office/drawing/2014/main" id="{00000000-0008-0000-0E00-000051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0</xdr:rowOff>
        </xdr:from>
        <xdr:to>
          <xdr:col>8</xdr:col>
          <xdr:colOff>182880</xdr:colOff>
          <xdr:row>35</xdr:row>
          <xdr:rowOff>182880</xdr:rowOff>
        </xdr:to>
        <xdr:sp macro="" textlink="">
          <xdr:nvSpPr>
            <xdr:cNvPr id="27730" name="Check Box 82" hidden="1">
              <a:extLst>
                <a:ext uri="{63B3BB69-23CF-44E3-9099-C40C66FF867C}">
                  <a14:compatExt spid="_x0000_s27730"/>
                </a:ext>
                <a:ext uri="{FF2B5EF4-FFF2-40B4-BE49-F238E27FC236}">
                  <a16:creationId xmlns:a16="http://schemas.microsoft.com/office/drawing/2014/main" id="{00000000-0008-0000-0E00-000052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8</xdr:col>
          <xdr:colOff>182880</xdr:colOff>
          <xdr:row>36</xdr:row>
          <xdr:rowOff>182880</xdr:rowOff>
        </xdr:to>
        <xdr:sp macro="" textlink="">
          <xdr:nvSpPr>
            <xdr:cNvPr id="27731" name="Check Box 83" hidden="1">
              <a:extLst>
                <a:ext uri="{63B3BB69-23CF-44E3-9099-C40C66FF867C}">
                  <a14:compatExt spid="_x0000_s27731"/>
                </a:ext>
                <a:ext uri="{FF2B5EF4-FFF2-40B4-BE49-F238E27FC236}">
                  <a16:creationId xmlns:a16="http://schemas.microsoft.com/office/drawing/2014/main" id="{00000000-0008-0000-0E00-000053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0</xdr:rowOff>
        </xdr:from>
        <xdr:to>
          <xdr:col>8</xdr:col>
          <xdr:colOff>182880</xdr:colOff>
          <xdr:row>38</xdr:row>
          <xdr:rowOff>182880</xdr:rowOff>
        </xdr:to>
        <xdr:sp macro="" textlink="">
          <xdr:nvSpPr>
            <xdr:cNvPr id="27733" name="Check Box 85" hidden="1">
              <a:extLst>
                <a:ext uri="{63B3BB69-23CF-44E3-9099-C40C66FF867C}">
                  <a14:compatExt spid="_x0000_s27733"/>
                </a:ext>
                <a:ext uri="{FF2B5EF4-FFF2-40B4-BE49-F238E27FC236}">
                  <a16:creationId xmlns:a16="http://schemas.microsoft.com/office/drawing/2014/main" id="{00000000-0008-0000-0E00-000055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8</xdr:col>
          <xdr:colOff>182880</xdr:colOff>
          <xdr:row>39</xdr:row>
          <xdr:rowOff>182880</xdr:rowOff>
        </xdr:to>
        <xdr:sp macro="" textlink="">
          <xdr:nvSpPr>
            <xdr:cNvPr id="27734" name="Check Box 86" hidden="1">
              <a:extLst>
                <a:ext uri="{63B3BB69-23CF-44E3-9099-C40C66FF867C}">
                  <a14:compatExt spid="_x0000_s27734"/>
                </a:ext>
                <a:ext uri="{FF2B5EF4-FFF2-40B4-BE49-F238E27FC236}">
                  <a16:creationId xmlns:a16="http://schemas.microsoft.com/office/drawing/2014/main" id="{00000000-0008-0000-0E00-000056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8</xdr:col>
          <xdr:colOff>182880</xdr:colOff>
          <xdr:row>40</xdr:row>
          <xdr:rowOff>182880</xdr:rowOff>
        </xdr:to>
        <xdr:sp macro="" textlink="">
          <xdr:nvSpPr>
            <xdr:cNvPr id="27735" name="Check Box 87" hidden="1">
              <a:extLst>
                <a:ext uri="{63B3BB69-23CF-44E3-9099-C40C66FF867C}">
                  <a14:compatExt spid="_x0000_s27735"/>
                </a:ext>
                <a:ext uri="{FF2B5EF4-FFF2-40B4-BE49-F238E27FC236}">
                  <a16:creationId xmlns:a16="http://schemas.microsoft.com/office/drawing/2014/main" id="{00000000-0008-0000-0E00-000057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8</xdr:col>
          <xdr:colOff>182880</xdr:colOff>
          <xdr:row>41</xdr:row>
          <xdr:rowOff>182880</xdr:rowOff>
        </xdr:to>
        <xdr:sp macro="" textlink="">
          <xdr:nvSpPr>
            <xdr:cNvPr id="27736" name="Check Box 88" hidden="1">
              <a:extLst>
                <a:ext uri="{63B3BB69-23CF-44E3-9099-C40C66FF867C}">
                  <a14:compatExt spid="_x0000_s27736"/>
                </a:ext>
                <a:ext uri="{FF2B5EF4-FFF2-40B4-BE49-F238E27FC236}">
                  <a16:creationId xmlns:a16="http://schemas.microsoft.com/office/drawing/2014/main" id="{00000000-0008-0000-0E00-0000586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12</xdr:col>
      <xdr:colOff>38100</xdr:colOff>
      <xdr:row>0</xdr:row>
      <xdr:rowOff>0</xdr:rowOff>
    </xdr:from>
    <xdr:to>
      <xdr:col>14</xdr:col>
      <xdr:colOff>447675</xdr:colOff>
      <xdr:row>4</xdr:row>
      <xdr:rowOff>141767</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29325" y="0"/>
          <a:ext cx="1828800" cy="903767"/>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13</xdr:row>
          <xdr:rowOff>0</xdr:rowOff>
        </xdr:from>
        <xdr:to>
          <xdr:col>22</xdr:col>
          <xdr:colOff>182880</xdr:colOff>
          <xdr:row>13</xdr:row>
          <xdr:rowOff>182880</xdr:rowOff>
        </xdr:to>
        <xdr:sp macro="" textlink="">
          <xdr:nvSpPr>
            <xdr:cNvPr id="15560" name="Check Box 200" hidden="1">
              <a:extLst>
                <a:ext uri="{63B3BB69-23CF-44E3-9099-C40C66FF867C}">
                  <a14:compatExt spid="_x0000_s15560"/>
                </a:ext>
                <a:ext uri="{FF2B5EF4-FFF2-40B4-BE49-F238E27FC236}">
                  <a16:creationId xmlns:a16="http://schemas.microsoft.com/office/drawing/2014/main" id="{00000000-0008-0000-0F00-0000C8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xdr:row>
          <xdr:rowOff>0</xdr:rowOff>
        </xdr:from>
        <xdr:to>
          <xdr:col>22</xdr:col>
          <xdr:colOff>182880</xdr:colOff>
          <xdr:row>14</xdr:row>
          <xdr:rowOff>182880</xdr:rowOff>
        </xdr:to>
        <xdr:sp macro="" textlink="">
          <xdr:nvSpPr>
            <xdr:cNvPr id="15561" name="Check Box 201" hidden="1">
              <a:extLst>
                <a:ext uri="{63B3BB69-23CF-44E3-9099-C40C66FF867C}">
                  <a14:compatExt spid="_x0000_s15561"/>
                </a:ext>
                <a:ext uri="{FF2B5EF4-FFF2-40B4-BE49-F238E27FC236}">
                  <a16:creationId xmlns:a16="http://schemas.microsoft.com/office/drawing/2014/main" id="{00000000-0008-0000-0F00-0000C9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xdr:row>
          <xdr:rowOff>0</xdr:rowOff>
        </xdr:from>
        <xdr:to>
          <xdr:col>22</xdr:col>
          <xdr:colOff>182880</xdr:colOff>
          <xdr:row>15</xdr:row>
          <xdr:rowOff>182880</xdr:rowOff>
        </xdr:to>
        <xdr:sp macro="" textlink="">
          <xdr:nvSpPr>
            <xdr:cNvPr id="15562" name="Check Box 202" hidden="1">
              <a:extLst>
                <a:ext uri="{63B3BB69-23CF-44E3-9099-C40C66FF867C}">
                  <a14:compatExt spid="_x0000_s15562"/>
                </a:ext>
                <a:ext uri="{FF2B5EF4-FFF2-40B4-BE49-F238E27FC236}">
                  <a16:creationId xmlns:a16="http://schemas.microsoft.com/office/drawing/2014/main" id="{00000000-0008-0000-0F00-0000CA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xdr:row>
          <xdr:rowOff>0</xdr:rowOff>
        </xdr:from>
        <xdr:to>
          <xdr:col>22</xdr:col>
          <xdr:colOff>182880</xdr:colOff>
          <xdr:row>16</xdr:row>
          <xdr:rowOff>182880</xdr:rowOff>
        </xdr:to>
        <xdr:sp macro="" textlink="">
          <xdr:nvSpPr>
            <xdr:cNvPr id="15563" name="Check Box 203" hidden="1">
              <a:extLst>
                <a:ext uri="{63B3BB69-23CF-44E3-9099-C40C66FF867C}">
                  <a14:compatExt spid="_x0000_s15563"/>
                </a:ext>
                <a:ext uri="{FF2B5EF4-FFF2-40B4-BE49-F238E27FC236}">
                  <a16:creationId xmlns:a16="http://schemas.microsoft.com/office/drawing/2014/main" id="{00000000-0008-0000-0F00-0000CB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xdr:row>
          <xdr:rowOff>0</xdr:rowOff>
        </xdr:from>
        <xdr:to>
          <xdr:col>22</xdr:col>
          <xdr:colOff>182880</xdr:colOff>
          <xdr:row>19</xdr:row>
          <xdr:rowOff>182880</xdr:rowOff>
        </xdr:to>
        <xdr:sp macro="" textlink="">
          <xdr:nvSpPr>
            <xdr:cNvPr id="15564" name="Check Box 204" hidden="1">
              <a:extLst>
                <a:ext uri="{63B3BB69-23CF-44E3-9099-C40C66FF867C}">
                  <a14:compatExt spid="_x0000_s15564"/>
                </a:ext>
                <a:ext uri="{FF2B5EF4-FFF2-40B4-BE49-F238E27FC236}">
                  <a16:creationId xmlns:a16="http://schemas.microsoft.com/office/drawing/2014/main" id="{00000000-0008-0000-0F00-0000CC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xdr:row>
          <xdr:rowOff>0</xdr:rowOff>
        </xdr:from>
        <xdr:to>
          <xdr:col>22</xdr:col>
          <xdr:colOff>182880</xdr:colOff>
          <xdr:row>21</xdr:row>
          <xdr:rowOff>182880</xdr:rowOff>
        </xdr:to>
        <xdr:sp macro="" textlink="">
          <xdr:nvSpPr>
            <xdr:cNvPr id="15565" name="Check Box 205" hidden="1">
              <a:extLst>
                <a:ext uri="{63B3BB69-23CF-44E3-9099-C40C66FF867C}">
                  <a14:compatExt spid="_x0000_s15565"/>
                </a:ext>
                <a:ext uri="{FF2B5EF4-FFF2-40B4-BE49-F238E27FC236}">
                  <a16:creationId xmlns:a16="http://schemas.microsoft.com/office/drawing/2014/main" id="{00000000-0008-0000-0F00-0000CD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xdr:row>
          <xdr:rowOff>0</xdr:rowOff>
        </xdr:from>
        <xdr:to>
          <xdr:col>22</xdr:col>
          <xdr:colOff>182880</xdr:colOff>
          <xdr:row>23</xdr:row>
          <xdr:rowOff>182880</xdr:rowOff>
        </xdr:to>
        <xdr:sp macro="" textlink="">
          <xdr:nvSpPr>
            <xdr:cNvPr id="15566" name="Check Box 206" hidden="1">
              <a:extLst>
                <a:ext uri="{63B3BB69-23CF-44E3-9099-C40C66FF867C}">
                  <a14:compatExt spid="_x0000_s15566"/>
                </a:ext>
                <a:ext uri="{FF2B5EF4-FFF2-40B4-BE49-F238E27FC236}">
                  <a16:creationId xmlns:a16="http://schemas.microsoft.com/office/drawing/2014/main" id="{00000000-0008-0000-0F00-0000CE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xdr:row>
          <xdr:rowOff>0</xdr:rowOff>
        </xdr:from>
        <xdr:to>
          <xdr:col>22</xdr:col>
          <xdr:colOff>182880</xdr:colOff>
          <xdr:row>25</xdr:row>
          <xdr:rowOff>182880</xdr:rowOff>
        </xdr:to>
        <xdr:sp macro="" textlink="">
          <xdr:nvSpPr>
            <xdr:cNvPr id="15567" name="Check Box 207" hidden="1">
              <a:extLst>
                <a:ext uri="{63B3BB69-23CF-44E3-9099-C40C66FF867C}">
                  <a14:compatExt spid="_x0000_s15567"/>
                </a:ext>
                <a:ext uri="{FF2B5EF4-FFF2-40B4-BE49-F238E27FC236}">
                  <a16:creationId xmlns:a16="http://schemas.microsoft.com/office/drawing/2014/main" id="{00000000-0008-0000-0F00-0000CF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34</xdr:row>
          <xdr:rowOff>0</xdr:rowOff>
        </xdr:from>
        <xdr:to>
          <xdr:col>22</xdr:col>
          <xdr:colOff>182880</xdr:colOff>
          <xdr:row>34</xdr:row>
          <xdr:rowOff>182880</xdr:rowOff>
        </xdr:to>
        <xdr:sp macro="" textlink="">
          <xdr:nvSpPr>
            <xdr:cNvPr id="15568" name="Check Box 208" hidden="1">
              <a:extLst>
                <a:ext uri="{63B3BB69-23CF-44E3-9099-C40C66FF867C}">
                  <a14:compatExt spid="_x0000_s15568"/>
                </a:ext>
                <a:ext uri="{FF2B5EF4-FFF2-40B4-BE49-F238E27FC236}">
                  <a16:creationId xmlns:a16="http://schemas.microsoft.com/office/drawing/2014/main" id="{00000000-0008-0000-0F00-0000D0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43</xdr:row>
          <xdr:rowOff>0</xdr:rowOff>
        </xdr:from>
        <xdr:to>
          <xdr:col>22</xdr:col>
          <xdr:colOff>182880</xdr:colOff>
          <xdr:row>43</xdr:row>
          <xdr:rowOff>182880</xdr:rowOff>
        </xdr:to>
        <xdr:sp macro="" textlink="">
          <xdr:nvSpPr>
            <xdr:cNvPr id="15569" name="Check Box 209" hidden="1">
              <a:extLst>
                <a:ext uri="{63B3BB69-23CF-44E3-9099-C40C66FF867C}">
                  <a14:compatExt spid="_x0000_s15569"/>
                </a:ext>
                <a:ext uri="{FF2B5EF4-FFF2-40B4-BE49-F238E27FC236}">
                  <a16:creationId xmlns:a16="http://schemas.microsoft.com/office/drawing/2014/main" id="{00000000-0008-0000-0F00-0000D1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54</xdr:row>
          <xdr:rowOff>0</xdr:rowOff>
        </xdr:from>
        <xdr:to>
          <xdr:col>22</xdr:col>
          <xdr:colOff>182880</xdr:colOff>
          <xdr:row>54</xdr:row>
          <xdr:rowOff>182880</xdr:rowOff>
        </xdr:to>
        <xdr:sp macro="" textlink="">
          <xdr:nvSpPr>
            <xdr:cNvPr id="15570" name="Check Box 210" hidden="1">
              <a:extLst>
                <a:ext uri="{63B3BB69-23CF-44E3-9099-C40C66FF867C}">
                  <a14:compatExt spid="_x0000_s15570"/>
                </a:ext>
                <a:ext uri="{FF2B5EF4-FFF2-40B4-BE49-F238E27FC236}">
                  <a16:creationId xmlns:a16="http://schemas.microsoft.com/office/drawing/2014/main" id="{00000000-0008-0000-0F00-0000D2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xdr:row>
          <xdr:rowOff>0</xdr:rowOff>
        </xdr:from>
        <xdr:to>
          <xdr:col>22</xdr:col>
          <xdr:colOff>182880</xdr:colOff>
          <xdr:row>55</xdr:row>
          <xdr:rowOff>182880</xdr:rowOff>
        </xdr:to>
        <xdr:sp macro="" textlink="">
          <xdr:nvSpPr>
            <xdr:cNvPr id="15571" name="Check Box 211" hidden="1">
              <a:extLst>
                <a:ext uri="{63B3BB69-23CF-44E3-9099-C40C66FF867C}">
                  <a14:compatExt spid="_x0000_s15571"/>
                </a:ext>
                <a:ext uri="{FF2B5EF4-FFF2-40B4-BE49-F238E27FC236}">
                  <a16:creationId xmlns:a16="http://schemas.microsoft.com/office/drawing/2014/main" id="{00000000-0008-0000-0F00-0000D3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57</xdr:row>
          <xdr:rowOff>0</xdr:rowOff>
        </xdr:from>
        <xdr:to>
          <xdr:col>22</xdr:col>
          <xdr:colOff>182880</xdr:colOff>
          <xdr:row>57</xdr:row>
          <xdr:rowOff>182880</xdr:rowOff>
        </xdr:to>
        <xdr:sp macro="" textlink="">
          <xdr:nvSpPr>
            <xdr:cNvPr id="15572" name="Check Box 212" hidden="1">
              <a:extLst>
                <a:ext uri="{63B3BB69-23CF-44E3-9099-C40C66FF867C}">
                  <a14:compatExt spid="_x0000_s15572"/>
                </a:ext>
                <a:ext uri="{FF2B5EF4-FFF2-40B4-BE49-F238E27FC236}">
                  <a16:creationId xmlns:a16="http://schemas.microsoft.com/office/drawing/2014/main" id="{00000000-0008-0000-0F00-0000D4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xdr:row>
          <xdr:rowOff>0</xdr:rowOff>
        </xdr:from>
        <xdr:to>
          <xdr:col>22</xdr:col>
          <xdr:colOff>182880</xdr:colOff>
          <xdr:row>59</xdr:row>
          <xdr:rowOff>182880</xdr:rowOff>
        </xdr:to>
        <xdr:sp macro="" textlink="">
          <xdr:nvSpPr>
            <xdr:cNvPr id="15573" name="Check Box 213" hidden="1">
              <a:extLst>
                <a:ext uri="{63B3BB69-23CF-44E3-9099-C40C66FF867C}">
                  <a14:compatExt spid="_x0000_s15573"/>
                </a:ext>
                <a:ext uri="{FF2B5EF4-FFF2-40B4-BE49-F238E27FC236}">
                  <a16:creationId xmlns:a16="http://schemas.microsoft.com/office/drawing/2014/main" id="{00000000-0008-0000-0F00-0000D5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60</xdr:row>
          <xdr:rowOff>0</xdr:rowOff>
        </xdr:from>
        <xdr:to>
          <xdr:col>22</xdr:col>
          <xdr:colOff>182880</xdr:colOff>
          <xdr:row>60</xdr:row>
          <xdr:rowOff>182880</xdr:rowOff>
        </xdr:to>
        <xdr:sp macro="" textlink="">
          <xdr:nvSpPr>
            <xdr:cNvPr id="15574" name="Check Box 214" hidden="1">
              <a:extLst>
                <a:ext uri="{63B3BB69-23CF-44E3-9099-C40C66FF867C}">
                  <a14:compatExt spid="_x0000_s15574"/>
                </a:ext>
                <a:ext uri="{FF2B5EF4-FFF2-40B4-BE49-F238E27FC236}">
                  <a16:creationId xmlns:a16="http://schemas.microsoft.com/office/drawing/2014/main" id="{00000000-0008-0000-0F00-0000D6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61</xdr:row>
          <xdr:rowOff>0</xdr:rowOff>
        </xdr:from>
        <xdr:to>
          <xdr:col>22</xdr:col>
          <xdr:colOff>182880</xdr:colOff>
          <xdr:row>61</xdr:row>
          <xdr:rowOff>182880</xdr:rowOff>
        </xdr:to>
        <xdr:sp macro="" textlink="">
          <xdr:nvSpPr>
            <xdr:cNvPr id="15575" name="Check Box 215" hidden="1">
              <a:extLst>
                <a:ext uri="{63B3BB69-23CF-44E3-9099-C40C66FF867C}">
                  <a14:compatExt spid="_x0000_s15575"/>
                </a:ext>
                <a:ext uri="{FF2B5EF4-FFF2-40B4-BE49-F238E27FC236}">
                  <a16:creationId xmlns:a16="http://schemas.microsoft.com/office/drawing/2014/main" id="{00000000-0008-0000-0F00-0000D7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63</xdr:row>
          <xdr:rowOff>0</xdr:rowOff>
        </xdr:from>
        <xdr:to>
          <xdr:col>22</xdr:col>
          <xdr:colOff>182880</xdr:colOff>
          <xdr:row>63</xdr:row>
          <xdr:rowOff>182880</xdr:rowOff>
        </xdr:to>
        <xdr:sp macro="" textlink="">
          <xdr:nvSpPr>
            <xdr:cNvPr id="15576" name="Check Box 216" hidden="1">
              <a:extLst>
                <a:ext uri="{63B3BB69-23CF-44E3-9099-C40C66FF867C}">
                  <a14:compatExt spid="_x0000_s15576"/>
                </a:ext>
                <a:ext uri="{FF2B5EF4-FFF2-40B4-BE49-F238E27FC236}">
                  <a16:creationId xmlns:a16="http://schemas.microsoft.com/office/drawing/2014/main" id="{00000000-0008-0000-0F00-0000D8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67</xdr:row>
          <xdr:rowOff>0</xdr:rowOff>
        </xdr:from>
        <xdr:to>
          <xdr:col>22</xdr:col>
          <xdr:colOff>182880</xdr:colOff>
          <xdr:row>67</xdr:row>
          <xdr:rowOff>182880</xdr:rowOff>
        </xdr:to>
        <xdr:sp macro="" textlink="">
          <xdr:nvSpPr>
            <xdr:cNvPr id="15577" name="Check Box 217" hidden="1">
              <a:extLst>
                <a:ext uri="{63B3BB69-23CF-44E3-9099-C40C66FF867C}">
                  <a14:compatExt spid="_x0000_s15577"/>
                </a:ext>
                <a:ext uri="{FF2B5EF4-FFF2-40B4-BE49-F238E27FC236}">
                  <a16:creationId xmlns:a16="http://schemas.microsoft.com/office/drawing/2014/main" id="{00000000-0008-0000-0F00-0000D9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68</xdr:row>
          <xdr:rowOff>0</xdr:rowOff>
        </xdr:from>
        <xdr:to>
          <xdr:col>22</xdr:col>
          <xdr:colOff>182880</xdr:colOff>
          <xdr:row>68</xdr:row>
          <xdr:rowOff>182880</xdr:rowOff>
        </xdr:to>
        <xdr:sp macro="" textlink="">
          <xdr:nvSpPr>
            <xdr:cNvPr id="15578" name="Check Box 218" hidden="1">
              <a:extLst>
                <a:ext uri="{63B3BB69-23CF-44E3-9099-C40C66FF867C}">
                  <a14:compatExt spid="_x0000_s15578"/>
                </a:ext>
                <a:ext uri="{FF2B5EF4-FFF2-40B4-BE49-F238E27FC236}">
                  <a16:creationId xmlns:a16="http://schemas.microsoft.com/office/drawing/2014/main" id="{00000000-0008-0000-0F00-0000DA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75</xdr:row>
          <xdr:rowOff>0</xdr:rowOff>
        </xdr:from>
        <xdr:to>
          <xdr:col>22</xdr:col>
          <xdr:colOff>182880</xdr:colOff>
          <xdr:row>75</xdr:row>
          <xdr:rowOff>182880</xdr:rowOff>
        </xdr:to>
        <xdr:sp macro="" textlink="">
          <xdr:nvSpPr>
            <xdr:cNvPr id="15579" name="Check Box 219" hidden="1">
              <a:extLst>
                <a:ext uri="{63B3BB69-23CF-44E3-9099-C40C66FF867C}">
                  <a14:compatExt spid="_x0000_s15579"/>
                </a:ext>
                <a:ext uri="{FF2B5EF4-FFF2-40B4-BE49-F238E27FC236}">
                  <a16:creationId xmlns:a16="http://schemas.microsoft.com/office/drawing/2014/main" id="{00000000-0008-0000-0F00-0000DB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77</xdr:row>
          <xdr:rowOff>0</xdr:rowOff>
        </xdr:from>
        <xdr:to>
          <xdr:col>22</xdr:col>
          <xdr:colOff>182880</xdr:colOff>
          <xdr:row>77</xdr:row>
          <xdr:rowOff>182880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F00-0000DC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81</xdr:row>
          <xdr:rowOff>0</xdr:rowOff>
        </xdr:from>
        <xdr:to>
          <xdr:col>22</xdr:col>
          <xdr:colOff>182880</xdr:colOff>
          <xdr:row>81</xdr:row>
          <xdr:rowOff>182880</xdr:rowOff>
        </xdr:to>
        <xdr:sp macro="" textlink="">
          <xdr:nvSpPr>
            <xdr:cNvPr id="15581" name="Check Box 221" hidden="1">
              <a:extLst>
                <a:ext uri="{63B3BB69-23CF-44E3-9099-C40C66FF867C}">
                  <a14:compatExt spid="_x0000_s15581"/>
                </a:ext>
                <a:ext uri="{FF2B5EF4-FFF2-40B4-BE49-F238E27FC236}">
                  <a16:creationId xmlns:a16="http://schemas.microsoft.com/office/drawing/2014/main" id="{00000000-0008-0000-0F00-0000DD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85</xdr:row>
          <xdr:rowOff>0</xdr:rowOff>
        </xdr:from>
        <xdr:to>
          <xdr:col>22</xdr:col>
          <xdr:colOff>182880</xdr:colOff>
          <xdr:row>85</xdr:row>
          <xdr:rowOff>182880</xdr:rowOff>
        </xdr:to>
        <xdr:sp macro="" textlink="">
          <xdr:nvSpPr>
            <xdr:cNvPr id="15582" name="Check Box 222" hidden="1">
              <a:extLst>
                <a:ext uri="{63B3BB69-23CF-44E3-9099-C40C66FF867C}">
                  <a14:compatExt spid="_x0000_s15582"/>
                </a:ext>
                <a:ext uri="{FF2B5EF4-FFF2-40B4-BE49-F238E27FC236}">
                  <a16:creationId xmlns:a16="http://schemas.microsoft.com/office/drawing/2014/main" id="{00000000-0008-0000-0F00-0000DE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86</xdr:row>
          <xdr:rowOff>0</xdr:rowOff>
        </xdr:from>
        <xdr:to>
          <xdr:col>22</xdr:col>
          <xdr:colOff>182880</xdr:colOff>
          <xdr:row>86</xdr:row>
          <xdr:rowOff>182880</xdr:rowOff>
        </xdr:to>
        <xdr:sp macro="" textlink="">
          <xdr:nvSpPr>
            <xdr:cNvPr id="15583" name="Check Box 223" hidden="1">
              <a:extLst>
                <a:ext uri="{63B3BB69-23CF-44E3-9099-C40C66FF867C}">
                  <a14:compatExt spid="_x0000_s15583"/>
                </a:ext>
                <a:ext uri="{FF2B5EF4-FFF2-40B4-BE49-F238E27FC236}">
                  <a16:creationId xmlns:a16="http://schemas.microsoft.com/office/drawing/2014/main" id="{00000000-0008-0000-0F00-0000DF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88</xdr:row>
          <xdr:rowOff>0</xdr:rowOff>
        </xdr:from>
        <xdr:to>
          <xdr:col>22</xdr:col>
          <xdr:colOff>182880</xdr:colOff>
          <xdr:row>88</xdr:row>
          <xdr:rowOff>182880</xdr:rowOff>
        </xdr:to>
        <xdr:sp macro="" textlink="">
          <xdr:nvSpPr>
            <xdr:cNvPr id="15584" name="Check Box 224" hidden="1">
              <a:extLst>
                <a:ext uri="{63B3BB69-23CF-44E3-9099-C40C66FF867C}">
                  <a14:compatExt spid="_x0000_s15584"/>
                </a:ext>
                <a:ext uri="{FF2B5EF4-FFF2-40B4-BE49-F238E27FC236}">
                  <a16:creationId xmlns:a16="http://schemas.microsoft.com/office/drawing/2014/main" id="{00000000-0008-0000-0F00-0000E0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89</xdr:row>
          <xdr:rowOff>0</xdr:rowOff>
        </xdr:from>
        <xdr:to>
          <xdr:col>22</xdr:col>
          <xdr:colOff>182880</xdr:colOff>
          <xdr:row>89</xdr:row>
          <xdr:rowOff>182880</xdr:rowOff>
        </xdr:to>
        <xdr:sp macro="" textlink="">
          <xdr:nvSpPr>
            <xdr:cNvPr id="15585" name="Check Box 225" hidden="1">
              <a:extLst>
                <a:ext uri="{63B3BB69-23CF-44E3-9099-C40C66FF867C}">
                  <a14:compatExt spid="_x0000_s15585"/>
                </a:ext>
                <a:ext uri="{FF2B5EF4-FFF2-40B4-BE49-F238E27FC236}">
                  <a16:creationId xmlns:a16="http://schemas.microsoft.com/office/drawing/2014/main" id="{00000000-0008-0000-0F00-0000E1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90</xdr:row>
          <xdr:rowOff>0</xdr:rowOff>
        </xdr:from>
        <xdr:to>
          <xdr:col>22</xdr:col>
          <xdr:colOff>182880</xdr:colOff>
          <xdr:row>90</xdr:row>
          <xdr:rowOff>182880</xdr:rowOff>
        </xdr:to>
        <xdr:sp macro="" textlink="">
          <xdr:nvSpPr>
            <xdr:cNvPr id="15586" name="Check Box 226" hidden="1">
              <a:extLst>
                <a:ext uri="{63B3BB69-23CF-44E3-9099-C40C66FF867C}">
                  <a14:compatExt spid="_x0000_s15586"/>
                </a:ext>
                <a:ext uri="{FF2B5EF4-FFF2-40B4-BE49-F238E27FC236}">
                  <a16:creationId xmlns:a16="http://schemas.microsoft.com/office/drawing/2014/main" id="{00000000-0008-0000-0F00-0000E2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98</xdr:row>
          <xdr:rowOff>0</xdr:rowOff>
        </xdr:from>
        <xdr:to>
          <xdr:col>22</xdr:col>
          <xdr:colOff>182880</xdr:colOff>
          <xdr:row>98</xdr:row>
          <xdr:rowOff>182880</xdr:rowOff>
        </xdr:to>
        <xdr:sp macro="" textlink="">
          <xdr:nvSpPr>
            <xdr:cNvPr id="15587" name="Check Box 227" hidden="1">
              <a:extLst>
                <a:ext uri="{63B3BB69-23CF-44E3-9099-C40C66FF867C}">
                  <a14:compatExt spid="_x0000_s15587"/>
                </a:ext>
                <a:ext uri="{FF2B5EF4-FFF2-40B4-BE49-F238E27FC236}">
                  <a16:creationId xmlns:a16="http://schemas.microsoft.com/office/drawing/2014/main" id="{00000000-0008-0000-0F00-0000E3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101</xdr:row>
          <xdr:rowOff>0</xdr:rowOff>
        </xdr:from>
        <xdr:to>
          <xdr:col>22</xdr:col>
          <xdr:colOff>182880</xdr:colOff>
          <xdr:row>101</xdr:row>
          <xdr:rowOff>182880</xdr:rowOff>
        </xdr:to>
        <xdr:sp macro="" textlink="">
          <xdr:nvSpPr>
            <xdr:cNvPr id="15588" name="Check Box 228" hidden="1">
              <a:extLst>
                <a:ext uri="{63B3BB69-23CF-44E3-9099-C40C66FF867C}">
                  <a14:compatExt spid="_x0000_s15588"/>
                </a:ext>
                <a:ext uri="{FF2B5EF4-FFF2-40B4-BE49-F238E27FC236}">
                  <a16:creationId xmlns:a16="http://schemas.microsoft.com/office/drawing/2014/main" id="{00000000-0008-0000-0F00-0000E4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127</xdr:row>
          <xdr:rowOff>0</xdr:rowOff>
        </xdr:from>
        <xdr:to>
          <xdr:col>22</xdr:col>
          <xdr:colOff>182880</xdr:colOff>
          <xdr:row>127</xdr:row>
          <xdr:rowOff>182880</xdr:rowOff>
        </xdr:to>
        <xdr:sp macro="" textlink="">
          <xdr:nvSpPr>
            <xdr:cNvPr id="15589" name="Check Box 229" hidden="1">
              <a:extLst>
                <a:ext uri="{63B3BB69-23CF-44E3-9099-C40C66FF867C}">
                  <a14:compatExt spid="_x0000_s15589"/>
                </a:ext>
                <a:ext uri="{FF2B5EF4-FFF2-40B4-BE49-F238E27FC236}">
                  <a16:creationId xmlns:a16="http://schemas.microsoft.com/office/drawing/2014/main" id="{00000000-0008-0000-0F00-0000E5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129</xdr:row>
          <xdr:rowOff>0</xdr:rowOff>
        </xdr:from>
        <xdr:to>
          <xdr:col>22</xdr:col>
          <xdr:colOff>182880</xdr:colOff>
          <xdr:row>129</xdr:row>
          <xdr:rowOff>182880</xdr:rowOff>
        </xdr:to>
        <xdr:sp macro="" textlink="">
          <xdr:nvSpPr>
            <xdr:cNvPr id="15590" name="Check Box 230" hidden="1">
              <a:extLst>
                <a:ext uri="{63B3BB69-23CF-44E3-9099-C40C66FF867C}">
                  <a14:compatExt spid="_x0000_s15590"/>
                </a:ext>
                <a:ext uri="{FF2B5EF4-FFF2-40B4-BE49-F238E27FC236}">
                  <a16:creationId xmlns:a16="http://schemas.microsoft.com/office/drawing/2014/main" id="{00000000-0008-0000-0F00-0000E6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131</xdr:row>
          <xdr:rowOff>0</xdr:rowOff>
        </xdr:from>
        <xdr:to>
          <xdr:col>22</xdr:col>
          <xdr:colOff>182880</xdr:colOff>
          <xdr:row>131</xdr:row>
          <xdr:rowOff>182880</xdr:rowOff>
        </xdr:to>
        <xdr:sp macro="" textlink="">
          <xdr:nvSpPr>
            <xdr:cNvPr id="15591" name="Check Box 231" hidden="1">
              <a:extLst>
                <a:ext uri="{63B3BB69-23CF-44E3-9099-C40C66FF867C}">
                  <a14:compatExt spid="_x0000_s15591"/>
                </a:ext>
                <a:ext uri="{FF2B5EF4-FFF2-40B4-BE49-F238E27FC236}">
                  <a16:creationId xmlns:a16="http://schemas.microsoft.com/office/drawing/2014/main" id="{00000000-0008-0000-0F00-0000E7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138</xdr:row>
          <xdr:rowOff>0</xdr:rowOff>
        </xdr:from>
        <xdr:to>
          <xdr:col>22</xdr:col>
          <xdr:colOff>182880</xdr:colOff>
          <xdr:row>138</xdr:row>
          <xdr:rowOff>182880</xdr:rowOff>
        </xdr:to>
        <xdr:sp macro="" textlink="">
          <xdr:nvSpPr>
            <xdr:cNvPr id="15592" name="Check Box 232" hidden="1">
              <a:extLst>
                <a:ext uri="{63B3BB69-23CF-44E3-9099-C40C66FF867C}">
                  <a14:compatExt spid="_x0000_s15592"/>
                </a:ext>
                <a:ext uri="{FF2B5EF4-FFF2-40B4-BE49-F238E27FC236}">
                  <a16:creationId xmlns:a16="http://schemas.microsoft.com/office/drawing/2014/main" id="{00000000-0008-0000-0F00-0000E8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139</xdr:row>
          <xdr:rowOff>0</xdr:rowOff>
        </xdr:from>
        <xdr:to>
          <xdr:col>22</xdr:col>
          <xdr:colOff>182880</xdr:colOff>
          <xdr:row>139</xdr:row>
          <xdr:rowOff>182880</xdr:rowOff>
        </xdr:to>
        <xdr:sp macro="" textlink="">
          <xdr:nvSpPr>
            <xdr:cNvPr id="15593" name="Check Box 233" hidden="1">
              <a:extLst>
                <a:ext uri="{63B3BB69-23CF-44E3-9099-C40C66FF867C}">
                  <a14:compatExt spid="_x0000_s15593"/>
                </a:ext>
                <a:ext uri="{FF2B5EF4-FFF2-40B4-BE49-F238E27FC236}">
                  <a16:creationId xmlns:a16="http://schemas.microsoft.com/office/drawing/2014/main" id="{00000000-0008-0000-0F00-0000E9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144</xdr:row>
          <xdr:rowOff>0</xdr:rowOff>
        </xdr:from>
        <xdr:to>
          <xdr:col>22</xdr:col>
          <xdr:colOff>182880</xdr:colOff>
          <xdr:row>144</xdr:row>
          <xdr:rowOff>182880</xdr:rowOff>
        </xdr:to>
        <xdr:sp macro="" textlink="">
          <xdr:nvSpPr>
            <xdr:cNvPr id="15594" name="Check Box 234" hidden="1">
              <a:extLst>
                <a:ext uri="{63B3BB69-23CF-44E3-9099-C40C66FF867C}">
                  <a14:compatExt spid="_x0000_s15594"/>
                </a:ext>
                <a:ext uri="{FF2B5EF4-FFF2-40B4-BE49-F238E27FC236}">
                  <a16:creationId xmlns:a16="http://schemas.microsoft.com/office/drawing/2014/main" id="{00000000-0008-0000-0F00-0000EA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146</xdr:row>
          <xdr:rowOff>0</xdr:rowOff>
        </xdr:from>
        <xdr:to>
          <xdr:col>22</xdr:col>
          <xdr:colOff>182880</xdr:colOff>
          <xdr:row>146</xdr:row>
          <xdr:rowOff>182880</xdr:rowOff>
        </xdr:to>
        <xdr:sp macro="" textlink="">
          <xdr:nvSpPr>
            <xdr:cNvPr id="15595" name="Check Box 235" hidden="1">
              <a:extLst>
                <a:ext uri="{63B3BB69-23CF-44E3-9099-C40C66FF867C}">
                  <a14:compatExt spid="_x0000_s15595"/>
                </a:ext>
                <a:ext uri="{FF2B5EF4-FFF2-40B4-BE49-F238E27FC236}">
                  <a16:creationId xmlns:a16="http://schemas.microsoft.com/office/drawing/2014/main" id="{00000000-0008-0000-0F00-0000EB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149</xdr:row>
          <xdr:rowOff>0</xdr:rowOff>
        </xdr:from>
        <xdr:to>
          <xdr:col>22</xdr:col>
          <xdr:colOff>182880</xdr:colOff>
          <xdr:row>149</xdr:row>
          <xdr:rowOff>182880</xdr:rowOff>
        </xdr:to>
        <xdr:sp macro="" textlink="">
          <xdr:nvSpPr>
            <xdr:cNvPr id="15596" name="Check Box 236" hidden="1">
              <a:extLst>
                <a:ext uri="{63B3BB69-23CF-44E3-9099-C40C66FF867C}">
                  <a14:compatExt spid="_x0000_s15596"/>
                </a:ext>
                <a:ext uri="{FF2B5EF4-FFF2-40B4-BE49-F238E27FC236}">
                  <a16:creationId xmlns:a16="http://schemas.microsoft.com/office/drawing/2014/main" id="{00000000-0008-0000-0F00-0000EC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151</xdr:row>
          <xdr:rowOff>0</xdr:rowOff>
        </xdr:from>
        <xdr:to>
          <xdr:col>22</xdr:col>
          <xdr:colOff>182880</xdr:colOff>
          <xdr:row>151</xdr:row>
          <xdr:rowOff>182880</xdr:rowOff>
        </xdr:to>
        <xdr:sp macro="" textlink="">
          <xdr:nvSpPr>
            <xdr:cNvPr id="15597" name="Check Box 237" hidden="1">
              <a:extLst>
                <a:ext uri="{63B3BB69-23CF-44E3-9099-C40C66FF867C}">
                  <a14:compatExt spid="_x0000_s15597"/>
                </a:ext>
                <a:ext uri="{FF2B5EF4-FFF2-40B4-BE49-F238E27FC236}">
                  <a16:creationId xmlns:a16="http://schemas.microsoft.com/office/drawing/2014/main" id="{00000000-0008-0000-0F00-0000ED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153</xdr:row>
          <xdr:rowOff>0</xdr:rowOff>
        </xdr:from>
        <xdr:to>
          <xdr:col>22</xdr:col>
          <xdr:colOff>182880</xdr:colOff>
          <xdr:row>153</xdr:row>
          <xdr:rowOff>182880</xdr:rowOff>
        </xdr:to>
        <xdr:sp macro="" textlink="">
          <xdr:nvSpPr>
            <xdr:cNvPr id="15598" name="Check Box 238" hidden="1">
              <a:extLst>
                <a:ext uri="{63B3BB69-23CF-44E3-9099-C40C66FF867C}">
                  <a14:compatExt spid="_x0000_s15598"/>
                </a:ext>
                <a:ext uri="{FF2B5EF4-FFF2-40B4-BE49-F238E27FC236}">
                  <a16:creationId xmlns:a16="http://schemas.microsoft.com/office/drawing/2014/main" id="{00000000-0008-0000-0F00-0000EE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157</xdr:row>
          <xdr:rowOff>0</xdr:rowOff>
        </xdr:from>
        <xdr:to>
          <xdr:col>22</xdr:col>
          <xdr:colOff>182880</xdr:colOff>
          <xdr:row>157</xdr:row>
          <xdr:rowOff>182880</xdr:rowOff>
        </xdr:to>
        <xdr:sp macro="" textlink="">
          <xdr:nvSpPr>
            <xdr:cNvPr id="15599" name="Check Box 239" hidden="1">
              <a:extLst>
                <a:ext uri="{63B3BB69-23CF-44E3-9099-C40C66FF867C}">
                  <a14:compatExt spid="_x0000_s15599"/>
                </a:ext>
                <a:ext uri="{FF2B5EF4-FFF2-40B4-BE49-F238E27FC236}">
                  <a16:creationId xmlns:a16="http://schemas.microsoft.com/office/drawing/2014/main" id="{00000000-0008-0000-0F00-0000EF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158</xdr:row>
          <xdr:rowOff>0</xdr:rowOff>
        </xdr:from>
        <xdr:to>
          <xdr:col>22</xdr:col>
          <xdr:colOff>182880</xdr:colOff>
          <xdr:row>158</xdr:row>
          <xdr:rowOff>182880</xdr:rowOff>
        </xdr:to>
        <xdr:sp macro="" textlink="">
          <xdr:nvSpPr>
            <xdr:cNvPr id="15600" name="Check Box 240" hidden="1">
              <a:extLst>
                <a:ext uri="{63B3BB69-23CF-44E3-9099-C40C66FF867C}">
                  <a14:compatExt spid="_x0000_s15600"/>
                </a:ext>
                <a:ext uri="{FF2B5EF4-FFF2-40B4-BE49-F238E27FC236}">
                  <a16:creationId xmlns:a16="http://schemas.microsoft.com/office/drawing/2014/main" id="{00000000-0008-0000-0F00-0000F0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159</xdr:row>
          <xdr:rowOff>0</xdr:rowOff>
        </xdr:from>
        <xdr:to>
          <xdr:col>22</xdr:col>
          <xdr:colOff>182880</xdr:colOff>
          <xdr:row>159</xdr:row>
          <xdr:rowOff>182880</xdr:rowOff>
        </xdr:to>
        <xdr:sp macro="" textlink="">
          <xdr:nvSpPr>
            <xdr:cNvPr id="15601" name="Check Box 241" hidden="1">
              <a:extLst>
                <a:ext uri="{63B3BB69-23CF-44E3-9099-C40C66FF867C}">
                  <a14:compatExt spid="_x0000_s15601"/>
                </a:ext>
                <a:ext uri="{FF2B5EF4-FFF2-40B4-BE49-F238E27FC236}">
                  <a16:creationId xmlns:a16="http://schemas.microsoft.com/office/drawing/2014/main" id="{00000000-0008-0000-0F00-0000F1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161</xdr:row>
          <xdr:rowOff>0</xdr:rowOff>
        </xdr:from>
        <xdr:to>
          <xdr:col>22</xdr:col>
          <xdr:colOff>182880</xdr:colOff>
          <xdr:row>161</xdr:row>
          <xdr:rowOff>182880</xdr:rowOff>
        </xdr:to>
        <xdr:sp macro="" textlink="">
          <xdr:nvSpPr>
            <xdr:cNvPr id="15602" name="Check Box 242" hidden="1">
              <a:extLst>
                <a:ext uri="{63B3BB69-23CF-44E3-9099-C40C66FF867C}">
                  <a14:compatExt spid="_x0000_s15602"/>
                </a:ext>
                <a:ext uri="{FF2B5EF4-FFF2-40B4-BE49-F238E27FC236}">
                  <a16:creationId xmlns:a16="http://schemas.microsoft.com/office/drawing/2014/main" id="{00000000-0008-0000-0F00-0000F2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164</xdr:row>
          <xdr:rowOff>0</xdr:rowOff>
        </xdr:from>
        <xdr:to>
          <xdr:col>22</xdr:col>
          <xdr:colOff>182880</xdr:colOff>
          <xdr:row>164</xdr:row>
          <xdr:rowOff>182880</xdr:rowOff>
        </xdr:to>
        <xdr:sp macro="" textlink="">
          <xdr:nvSpPr>
            <xdr:cNvPr id="15603" name="Check Box 243" hidden="1">
              <a:extLst>
                <a:ext uri="{63B3BB69-23CF-44E3-9099-C40C66FF867C}">
                  <a14:compatExt spid="_x0000_s15603"/>
                </a:ext>
                <a:ext uri="{FF2B5EF4-FFF2-40B4-BE49-F238E27FC236}">
                  <a16:creationId xmlns:a16="http://schemas.microsoft.com/office/drawing/2014/main" id="{00000000-0008-0000-0F00-0000F3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166</xdr:row>
          <xdr:rowOff>0</xdr:rowOff>
        </xdr:from>
        <xdr:to>
          <xdr:col>22</xdr:col>
          <xdr:colOff>182880</xdr:colOff>
          <xdr:row>166</xdr:row>
          <xdr:rowOff>182880</xdr:rowOff>
        </xdr:to>
        <xdr:sp macro="" textlink="">
          <xdr:nvSpPr>
            <xdr:cNvPr id="15604" name="Check Box 244" hidden="1">
              <a:extLst>
                <a:ext uri="{63B3BB69-23CF-44E3-9099-C40C66FF867C}">
                  <a14:compatExt spid="_x0000_s15604"/>
                </a:ext>
                <a:ext uri="{FF2B5EF4-FFF2-40B4-BE49-F238E27FC236}">
                  <a16:creationId xmlns:a16="http://schemas.microsoft.com/office/drawing/2014/main" id="{00000000-0008-0000-0F00-0000F4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176</xdr:row>
          <xdr:rowOff>0</xdr:rowOff>
        </xdr:from>
        <xdr:to>
          <xdr:col>22</xdr:col>
          <xdr:colOff>182880</xdr:colOff>
          <xdr:row>176</xdr:row>
          <xdr:rowOff>182880</xdr:rowOff>
        </xdr:to>
        <xdr:sp macro="" textlink="">
          <xdr:nvSpPr>
            <xdr:cNvPr id="15605" name="Check Box 245" hidden="1">
              <a:extLst>
                <a:ext uri="{63B3BB69-23CF-44E3-9099-C40C66FF867C}">
                  <a14:compatExt spid="_x0000_s15605"/>
                </a:ext>
                <a:ext uri="{FF2B5EF4-FFF2-40B4-BE49-F238E27FC236}">
                  <a16:creationId xmlns:a16="http://schemas.microsoft.com/office/drawing/2014/main" id="{00000000-0008-0000-0F00-0000F5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183</xdr:row>
          <xdr:rowOff>0</xdr:rowOff>
        </xdr:from>
        <xdr:to>
          <xdr:col>22</xdr:col>
          <xdr:colOff>182880</xdr:colOff>
          <xdr:row>183</xdr:row>
          <xdr:rowOff>182880</xdr:rowOff>
        </xdr:to>
        <xdr:sp macro="" textlink="">
          <xdr:nvSpPr>
            <xdr:cNvPr id="15606" name="Check Box 246" hidden="1">
              <a:extLst>
                <a:ext uri="{63B3BB69-23CF-44E3-9099-C40C66FF867C}">
                  <a14:compatExt spid="_x0000_s15606"/>
                </a:ext>
                <a:ext uri="{FF2B5EF4-FFF2-40B4-BE49-F238E27FC236}">
                  <a16:creationId xmlns:a16="http://schemas.microsoft.com/office/drawing/2014/main" id="{00000000-0008-0000-0F00-0000F6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xdr:row>
          <xdr:rowOff>0</xdr:rowOff>
        </xdr:from>
        <xdr:to>
          <xdr:col>22</xdr:col>
          <xdr:colOff>182880</xdr:colOff>
          <xdr:row>184</xdr:row>
          <xdr:rowOff>182880</xdr:rowOff>
        </xdr:to>
        <xdr:sp macro="" textlink="">
          <xdr:nvSpPr>
            <xdr:cNvPr id="15607" name="Check Box 247" hidden="1">
              <a:extLst>
                <a:ext uri="{63B3BB69-23CF-44E3-9099-C40C66FF867C}">
                  <a14:compatExt spid="_x0000_s15607"/>
                </a:ext>
                <a:ext uri="{FF2B5EF4-FFF2-40B4-BE49-F238E27FC236}">
                  <a16:creationId xmlns:a16="http://schemas.microsoft.com/office/drawing/2014/main" id="{00000000-0008-0000-0F00-0000F7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186</xdr:row>
          <xdr:rowOff>0</xdr:rowOff>
        </xdr:from>
        <xdr:to>
          <xdr:col>22</xdr:col>
          <xdr:colOff>182880</xdr:colOff>
          <xdr:row>186</xdr:row>
          <xdr:rowOff>182880</xdr:rowOff>
        </xdr:to>
        <xdr:sp macro="" textlink="">
          <xdr:nvSpPr>
            <xdr:cNvPr id="15608" name="Check Box 248" hidden="1">
              <a:extLst>
                <a:ext uri="{63B3BB69-23CF-44E3-9099-C40C66FF867C}">
                  <a14:compatExt spid="_x0000_s15608"/>
                </a:ext>
                <a:ext uri="{FF2B5EF4-FFF2-40B4-BE49-F238E27FC236}">
                  <a16:creationId xmlns:a16="http://schemas.microsoft.com/office/drawing/2014/main" id="{00000000-0008-0000-0F00-0000F8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191</xdr:row>
          <xdr:rowOff>0</xdr:rowOff>
        </xdr:from>
        <xdr:to>
          <xdr:col>22</xdr:col>
          <xdr:colOff>182880</xdr:colOff>
          <xdr:row>191</xdr:row>
          <xdr:rowOff>182880</xdr:rowOff>
        </xdr:to>
        <xdr:sp macro="" textlink="">
          <xdr:nvSpPr>
            <xdr:cNvPr id="15609" name="Check Box 249" hidden="1">
              <a:extLst>
                <a:ext uri="{63B3BB69-23CF-44E3-9099-C40C66FF867C}">
                  <a14:compatExt spid="_x0000_s15609"/>
                </a:ext>
                <a:ext uri="{FF2B5EF4-FFF2-40B4-BE49-F238E27FC236}">
                  <a16:creationId xmlns:a16="http://schemas.microsoft.com/office/drawing/2014/main" id="{00000000-0008-0000-0F00-0000F9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193</xdr:row>
          <xdr:rowOff>0</xdr:rowOff>
        </xdr:from>
        <xdr:to>
          <xdr:col>22</xdr:col>
          <xdr:colOff>182880</xdr:colOff>
          <xdr:row>193</xdr:row>
          <xdr:rowOff>182880</xdr:rowOff>
        </xdr:to>
        <xdr:sp macro="" textlink="">
          <xdr:nvSpPr>
            <xdr:cNvPr id="15610" name="Check Box 250" hidden="1">
              <a:extLst>
                <a:ext uri="{63B3BB69-23CF-44E3-9099-C40C66FF867C}">
                  <a14:compatExt spid="_x0000_s15610"/>
                </a:ext>
                <a:ext uri="{FF2B5EF4-FFF2-40B4-BE49-F238E27FC236}">
                  <a16:creationId xmlns:a16="http://schemas.microsoft.com/office/drawing/2014/main" id="{00000000-0008-0000-0F00-0000FA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194</xdr:row>
          <xdr:rowOff>0</xdr:rowOff>
        </xdr:from>
        <xdr:to>
          <xdr:col>22</xdr:col>
          <xdr:colOff>182880</xdr:colOff>
          <xdr:row>194</xdr:row>
          <xdr:rowOff>182880</xdr:rowOff>
        </xdr:to>
        <xdr:sp macro="" textlink="">
          <xdr:nvSpPr>
            <xdr:cNvPr id="15611" name="Check Box 251" hidden="1">
              <a:extLst>
                <a:ext uri="{63B3BB69-23CF-44E3-9099-C40C66FF867C}">
                  <a14:compatExt spid="_x0000_s15611"/>
                </a:ext>
                <a:ext uri="{FF2B5EF4-FFF2-40B4-BE49-F238E27FC236}">
                  <a16:creationId xmlns:a16="http://schemas.microsoft.com/office/drawing/2014/main" id="{00000000-0008-0000-0F00-0000FB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196</xdr:row>
          <xdr:rowOff>0</xdr:rowOff>
        </xdr:from>
        <xdr:to>
          <xdr:col>22</xdr:col>
          <xdr:colOff>182880</xdr:colOff>
          <xdr:row>196</xdr:row>
          <xdr:rowOff>182880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F00-0000FC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198</xdr:row>
          <xdr:rowOff>0</xdr:rowOff>
        </xdr:from>
        <xdr:to>
          <xdr:col>22</xdr:col>
          <xdr:colOff>182880</xdr:colOff>
          <xdr:row>198</xdr:row>
          <xdr:rowOff>182880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F00-0000FD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202</xdr:row>
          <xdr:rowOff>0</xdr:rowOff>
        </xdr:from>
        <xdr:to>
          <xdr:col>22</xdr:col>
          <xdr:colOff>182880</xdr:colOff>
          <xdr:row>202</xdr:row>
          <xdr:rowOff>182880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F00-0000FE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205</xdr:row>
          <xdr:rowOff>0</xdr:rowOff>
        </xdr:from>
        <xdr:to>
          <xdr:col>22</xdr:col>
          <xdr:colOff>182880</xdr:colOff>
          <xdr:row>205</xdr:row>
          <xdr:rowOff>182880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F00-0000FF3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207</xdr:row>
          <xdr:rowOff>0</xdr:rowOff>
        </xdr:from>
        <xdr:to>
          <xdr:col>22</xdr:col>
          <xdr:colOff>182880</xdr:colOff>
          <xdr:row>207</xdr:row>
          <xdr:rowOff>182880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F00-00000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208</xdr:row>
          <xdr:rowOff>0</xdr:rowOff>
        </xdr:from>
        <xdr:to>
          <xdr:col>22</xdr:col>
          <xdr:colOff>182880</xdr:colOff>
          <xdr:row>208</xdr:row>
          <xdr:rowOff>182880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F00-00000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209</xdr:row>
          <xdr:rowOff>0</xdr:rowOff>
        </xdr:from>
        <xdr:to>
          <xdr:col>22</xdr:col>
          <xdr:colOff>182880</xdr:colOff>
          <xdr:row>209</xdr:row>
          <xdr:rowOff>182880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F00-00000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210</xdr:row>
          <xdr:rowOff>0</xdr:rowOff>
        </xdr:from>
        <xdr:to>
          <xdr:col>22</xdr:col>
          <xdr:colOff>182880</xdr:colOff>
          <xdr:row>210</xdr:row>
          <xdr:rowOff>182880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F00-00000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211</xdr:row>
          <xdr:rowOff>0</xdr:rowOff>
        </xdr:from>
        <xdr:to>
          <xdr:col>22</xdr:col>
          <xdr:colOff>182880</xdr:colOff>
          <xdr:row>211</xdr:row>
          <xdr:rowOff>182880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F00-00000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212</xdr:row>
          <xdr:rowOff>0</xdr:rowOff>
        </xdr:from>
        <xdr:to>
          <xdr:col>22</xdr:col>
          <xdr:colOff>182880</xdr:colOff>
          <xdr:row>212</xdr:row>
          <xdr:rowOff>182880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F00-00000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214</xdr:row>
          <xdr:rowOff>0</xdr:rowOff>
        </xdr:from>
        <xdr:to>
          <xdr:col>22</xdr:col>
          <xdr:colOff>182880</xdr:colOff>
          <xdr:row>214</xdr:row>
          <xdr:rowOff>182880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F00-00000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221</xdr:row>
          <xdr:rowOff>0</xdr:rowOff>
        </xdr:from>
        <xdr:to>
          <xdr:col>22</xdr:col>
          <xdr:colOff>182880</xdr:colOff>
          <xdr:row>221</xdr:row>
          <xdr:rowOff>182880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F00-00000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223</xdr:row>
          <xdr:rowOff>0</xdr:rowOff>
        </xdr:from>
        <xdr:to>
          <xdr:col>22</xdr:col>
          <xdr:colOff>182880</xdr:colOff>
          <xdr:row>223</xdr:row>
          <xdr:rowOff>182880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F00-00000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236</xdr:row>
          <xdr:rowOff>0</xdr:rowOff>
        </xdr:from>
        <xdr:to>
          <xdr:col>22</xdr:col>
          <xdr:colOff>182880</xdr:colOff>
          <xdr:row>236</xdr:row>
          <xdr:rowOff>182880</xdr:rowOff>
        </xdr:to>
        <xdr:sp macro="" textlink="">
          <xdr:nvSpPr>
            <xdr:cNvPr id="15625" name="Check Box 265" hidden="1">
              <a:extLst>
                <a:ext uri="{63B3BB69-23CF-44E3-9099-C40C66FF867C}">
                  <a14:compatExt spid="_x0000_s15625"/>
                </a:ext>
                <a:ext uri="{FF2B5EF4-FFF2-40B4-BE49-F238E27FC236}">
                  <a16:creationId xmlns:a16="http://schemas.microsoft.com/office/drawing/2014/main" id="{00000000-0008-0000-0F00-00000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239</xdr:row>
          <xdr:rowOff>0</xdr:rowOff>
        </xdr:from>
        <xdr:to>
          <xdr:col>22</xdr:col>
          <xdr:colOff>182880</xdr:colOff>
          <xdr:row>239</xdr:row>
          <xdr:rowOff>182880</xdr:rowOff>
        </xdr:to>
        <xdr:sp macro="" textlink="">
          <xdr:nvSpPr>
            <xdr:cNvPr id="15626" name="Check Box 266" hidden="1">
              <a:extLst>
                <a:ext uri="{63B3BB69-23CF-44E3-9099-C40C66FF867C}">
                  <a14:compatExt spid="_x0000_s15626"/>
                </a:ext>
                <a:ext uri="{FF2B5EF4-FFF2-40B4-BE49-F238E27FC236}">
                  <a16:creationId xmlns:a16="http://schemas.microsoft.com/office/drawing/2014/main" id="{00000000-0008-0000-0F00-00000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243</xdr:row>
          <xdr:rowOff>0</xdr:rowOff>
        </xdr:from>
        <xdr:to>
          <xdr:col>22</xdr:col>
          <xdr:colOff>182880</xdr:colOff>
          <xdr:row>243</xdr:row>
          <xdr:rowOff>182880</xdr:rowOff>
        </xdr:to>
        <xdr:sp macro="" textlink="">
          <xdr:nvSpPr>
            <xdr:cNvPr id="15627" name="Check Box 267" hidden="1">
              <a:extLst>
                <a:ext uri="{63B3BB69-23CF-44E3-9099-C40C66FF867C}">
                  <a14:compatExt spid="_x0000_s15627"/>
                </a:ext>
                <a:ext uri="{FF2B5EF4-FFF2-40B4-BE49-F238E27FC236}">
                  <a16:creationId xmlns:a16="http://schemas.microsoft.com/office/drawing/2014/main" id="{00000000-0008-0000-0F00-00000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244</xdr:row>
          <xdr:rowOff>0</xdr:rowOff>
        </xdr:from>
        <xdr:to>
          <xdr:col>22</xdr:col>
          <xdr:colOff>182880</xdr:colOff>
          <xdr:row>244</xdr:row>
          <xdr:rowOff>182880</xdr:rowOff>
        </xdr:to>
        <xdr:sp macro="" textlink="">
          <xdr:nvSpPr>
            <xdr:cNvPr id="15628" name="Check Box 268" hidden="1">
              <a:extLst>
                <a:ext uri="{63B3BB69-23CF-44E3-9099-C40C66FF867C}">
                  <a14:compatExt spid="_x0000_s15628"/>
                </a:ext>
                <a:ext uri="{FF2B5EF4-FFF2-40B4-BE49-F238E27FC236}">
                  <a16:creationId xmlns:a16="http://schemas.microsoft.com/office/drawing/2014/main" id="{00000000-0008-0000-0F00-00000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253</xdr:row>
          <xdr:rowOff>0</xdr:rowOff>
        </xdr:from>
        <xdr:to>
          <xdr:col>22</xdr:col>
          <xdr:colOff>182880</xdr:colOff>
          <xdr:row>253</xdr:row>
          <xdr:rowOff>182880</xdr:rowOff>
        </xdr:to>
        <xdr:sp macro="" textlink="">
          <xdr:nvSpPr>
            <xdr:cNvPr id="15629" name="Check Box 269" hidden="1">
              <a:extLst>
                <a:ext uri="{63B3BB69-23CF-44E3-9099-C40C66FF867C}">
                  <a14:compatExt spid="_x0000_s15629"/>
                </a:ext>
                <a:ext uri="{FF2B5EF4-FFF2-40B4-BE49-F238E27FC236}">
                  <a16:creationId xmlns:a16="http://schemas.microsoft.com/office/drawing/2014/main" id="{00000000-0008-0000-0F00-00000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254</xdr:row>
          <xdr:rowOff>0</xdr:rowOff>
        </xdr:from>
        <xdr:to>
          <xdr:col>22</xdr:col>
          <xdr:colOff>182880</xdr:colOff>
          <xdr:row>254</xdr:row>
          <xdr:rowOff>182880</xdr:rowOff>
        </xdr:to>
        <xdr:sp macro="" textlink="">
          <xdr:nvSpPr>
            <xdr:cNvPr id="15630" name="Check Box 270" hidden="1">
              <a:extLst>
                <a:ext uri="{63B3BB69-23CF-44E3-9099-C40C66FF867C}">
                  <a14:compatExt spid="_x0000_s15630"/>
                </a:ext>
                <a:ext uri="{FF2B5EF4-FFF2-40B4-BE49-F238E27FC236}">
                  <a16:creationId xmlns:a16="http://schemas.microsoft.com/office/drawing/2014/main" id="{00000000-0008-0000-0F00-00000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256</xdr:row>
          <xdr:rowOff>0</xdr:rowOff>
        </xdr:from>
        <xdr:to>
          <xdr:col>22</xdr:col>
          <xdr:colOff>182880</xdr:colOff>
          <xdr:row>256</xdr:row>
          <xdr:rowOff>182880</xdr:rowOff>
        </xdr:to>
        <xdr:sp macro="" textlink="">
          <xdr:nvSpPr>
            <xdr:cNvPr id="15631" name="Check Box 271" hidden="1">
              <a:extLst>
                <a:ext uri="{63B3BB69-23CF-44E3-9099-C40C66FF867C}">
                  <a14:compatExt spid="_x0000_s15631"/>
                </a:ext>
                <a:ext uri="{FF2B5EF4-FFF2-40B4-BE49-F238E27FC236}">
                  <a16:creationId xmlns:a16="http://schemas.microsoft.com/office/drawing/2014/main" id="{00000000-0008-0000-0F00-00000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282</xdr:row>
          <xdr:rowOff>0</xdr:rowOff>
        </xdr:from>
        <xdr:to>
          <xdr:col>22</xdr:col>
          <xdr:colOff>182880</xdr:colOff>
          <xdr:row>282</xdr:row>
          <xdr:rowOff>182880</xdr:rowOff>
        </xdr:to>
        <xdr:sp macro="" textlink="">
          <xdr:nvSpPr>
            <xdr:cNvPr id="15632" name="Check Box 272" hidden="1">
              <a:extLst>
                <a:ext uri="{63B3BB69-23CF-44E3-9099-C40C66FF867C}">
                  <a14:compatExt spid="_x0000_s15632"/>
                </a:ext>
                <a:ext uri="{FF2B5EF4-FFF2-40B4-BE49-F238E27FC236}">
                  <a16:creationId xmlns:a16="http://schemas.microsoft.com/office/drawing/2014/main" id="{00000000-0008-0000-0F00-00001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285</xdr:row>
          <xdr:rowOff>0</xdr:rowOff>
        </xdr:from>
        <xdr:to>
          <xdr:col>22</xdr:col>
          <xdr:colOff>182880</xdr:colOff>
          <xdr:row>285</xdr:row>
          <xdr:rowOff>182880</xdr:rowOff>
        </xdr:to>
        <xdr:sp macro="" textlink="">
          <xdr:nvSpPr>
            <xdr:cNvPr id="15633" name="Check Box 273" hidden="1">
              <a:extLst>
                <a:ext uri="{63B3BB69-23CF-44E3-9099-C40C66FF867C}">
                  <a14:compatExt spid="_x0000_s15633"/>
                </a:ext>
                <a:ext uri="{FF2B5EF4-FFF2-40B4-BE49-F238E27FC236}">
                  <a16:creationId xmlns:a16="http://schemas.microsoft.com/office/drawing/2014/main" id="{00000000-0008-0000-0F00-00001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288</xdr:row>
          <xdr:rowOff>0</xdr:rowOff>
        </xdr:from>
        <xdr:to>
          <xdr:col>22</xdr:col>
          <xdr:colOff>182880</xdr:colOff>
          <xdr:row>288</xdr:row>
          <xdr:rowOff>182880</xdr:rowOff>
        </xdr:to>
        <xdr:sp macro="" textlink="">
          <xdr:nvSpPr>
            <xdr:cNvPr id="15634" name="Check Box 274" hidden="1">
              <a:extLst>
                <a:ext uri="{63B3BB69-23CF-44E3-9099-C40C66FF867C}">
                  <a14:compatExt spid="_x0000_s15634"/>
                </a:ext>
                <a:ext uri="{FF2B5EF4-FFF2-40B4-BE49-F238E27FC236}">
                  <a16:creationId xmlns:a16="http://schemas.microsoft.com/office/drawing/2014/main" id="{00000000-0008-0000-0F00-00001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292</xdr:row>
          <xdr:rowOff>0</xdr:rowOff>
        </xdr:from>
        <xdr:to>
          <xdr:col>22</xdr:col>
          <xdr:colOff>182880</xdr:colOff>
          <xdr:row>292</xdr:row>
          <xdr:rowOff>182880</xdr:rowOff>
        </xdr:to>
        <xdr:sp macro="" textlink="">
          <xdr:nvSpPr>
            <xdr:cNvPr id="15635" name="Check Box 275" hidden="1">
              <a:extLst>
                <a:ext uri="{63B3BB69-23CF-44E3-9099-C40C66FF867C}">
                  <a14:compatExt spid="_x0000_s15635"/>
                </a:ext>
                <a:ext uri="{FF2B5EF4-FFF2-40B4-BE49-F238E27FC236}">
                  <a16:creationId xmlns:a16="http://schemas.microsoft.com/office/drawing/2014/main" id="{00000000-0008-0000-0F00-00001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293</xdr:row>
          <xdr:rowOff>0</xdr:rowOff>
        </xdr:from>
        <xdr:to>
          <xdr:col>22</xdr:col>
          <xdr:colOff>182880</xdr:colOff>
          <xdr:row>293</xdr:row>
          <xdr:rowOff>182880</xdr:rowOff>
        </xdr:to>
        <xdr:sp macro="" textlink="">
          <xdr:nvSpPr>
            <xdr:cNvPr id="15636" name="Check Box 276" hidden="1">
              <a:extLst>
                <a:ext uri="{63B3BB69-23CF-44E3-9099-C40C66FF867C}">
                  <a14:compatExt spid="_x0000_s15636"/>
                </a:ext>
                <a:ext uri="{FF2B5EF4-FFF2-40B4-BE49-F238E27FC236}">
                  <a16:creationId xmlns:a16="http://schemas.microsoft.com/office/drawing/2014/main" id="{00000000-0008-0000-0F00-00001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294</xdr:row>
          <xdr:rowOff>0</xdr:rowOff>
        </xdr:from>
        <xdr:to>
          <xdr:col>22</xdr:col>
          <xdr:colOff>182880</xdr:colOff>
          <xdr:row>294</xdr:row>
          <xdr:rowOff>182880</xdr:rowOff>
        </xdr:to>
        <xdr:sp macro="" textlink="">
          <xdr:nvSpPr>
            <xdr:cNvPr id="15637" name="Check Box 277" hidden="1">
              <a:extLst>
                <a:ext uri="{63B3BB69-23CF-44E3-9099-C40C66FF867C}">
                  <a14:compatExt spid="_x0000_s15637"/>
                </a:ext>
                <a:ext uri="{FF2B5EF4-FFF2-40B4-BE49-F238E27FC236}">
                  <a16:creationId xmlns:a16="http://schemas.microsoft.com/office/drawing/2014/main" id="{00000000-0008-0000-0F00-00001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295</xdr:row>
          <xdr:rowOff>0</xdr:rowOff>
        </xdr:from>
        <xdr:to>
          <xdr:col>22</xdr:col>
          <xdr:colOff>182880</xdr:colOff>
          <xdr:row>295</xdr:row>
          <xdr:rowOff>182880</xdr:rowOff>
        </xdr:to>
        <xdr:sp macro="" textlink="">
          <xdr:nvSpPr>
            <xdr:cNvPr id="15638" name="Check Box 278" hidden="1">
              <a:extLst>
                <a:ext uri="{63B3BB69-23CF-44E3-9099-C40C66FF867C}">
                  <a14:compatExt spid="_x0000_s15638"/>
                </a:ext>
                <a:ext uri="{FF2B5EF4-FFF2-40B4-BE49-F238E27FC236}">
                  <a16:creationId xmlns:a16="http://schemas.microsoft.com/office/drawing/2014/main" id="{00000000-0008-0000-0F00-00001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296</xdr:row>
          <xdr:rowOff>0</xdr:rowOff>
        </xdr:from>
        <xdr:to>
          <xdr:col>22</xdr:col>
          <xdr:colOff>182880</xdr:colOff>
          <xdr:row>296</xdr:row>
          <xdr:rowOff>182880</xdr:rowOff>
        </xdr:to>
        <xdr:sp macro="" textlink="">
          <xdr:nvSpPr>
            <xdr:cNvPr id="15639" name="Check Box 279" hidden="1">
              <a:extLst>
                <a:ext uri="{63B3BB69-23CF-44E3-9099-C40C66FF867C}">
                  <a14:compatExt spid="_x0000_s15639"/>
                </a:ext>
                <a:ext uri="{FF2B5EF4-FFF2-40B4-BE49-F238E27FC236}">
                  <a16:creationId xmlns:a16="http://schemas.microsoft.com/office/drawing/2014/main" id="{00000000-0008-0000-0F00-00001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297</xdr:row>
          <xdr:rowOff>0</xdr:rowOff>
        </xdr:from>
        <xdr:to>
          <xdr:col>22</xdr:col>
          <xdr:colOff>182880</xdr:colOff>
          <xdr:row>297</xdr:row>
          <xdr:rowOff>182880</xdr:rowOff>
        </xdr:to>
        <xdr:sp macro="" textlink="">
          <xdr:nvSpPr>
            <xdr:cNvPr id="15640" name="Check Box 280" hidden="1">
              <a:extLst>
                <a:ext uri="{63B3BB69-23CF-44E3-9099-C40C66FF867C}">
                  <a14:compatExt spid="_x0000_s15640"/>
                </a:ext>
                <a:ext uri="{FF2B5EF4-FFF2-40B4-BE49-F238E27FC236}">
                  <a16:creationId xmlns:a16="http://schemas.microsoft.com/office/drawing/2014/main" id="{00000000-0008-0000-0F00-00001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303</xdr:row>
          <xdr:rowOff>0</xdr:rowOff>
        </xdr:from>
        <xdr:to>
          <xdr:col>22</xdr:col>
          <xdr:colOff>182880</xdr:colOff>
          <xdr:row>303</xdr:row>
          <xdr:rowOff>182880</xdr:rowOff>
        </xdr:to>
        <xdr:sp macro="" textlink="">
          <xdr:nvSpPr>
            <xdr:cNvPr id="15641" name="Check Box 281" hidden="1">
              <a:extLst>
                <a:ext uri="{63B3BB69-23CF-44E3-9099-C40C66FF867C}">
                  <a14:compatExt spid="_x0000_s15641"/>
                </a:ext>
                <a:ext uri="{FF2B5EF4-FFF2-40B4-BE49-F238E27FC236}">
                  <a16:creationId xmlns:a16="http://schemas.microsoft.com/office/drawing/2014/main" id="{00000000-0008-0000-0F00-00001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304</xdr:row>
          <xdr:rowOff>0</xdr:rowOff>
        </xdr:from>
        <xdr:to>
          <xdr:col>22</xdr:col>
          <xdr:colOff>182880</xdr:colOff>
          <xdr:row>304</xdr:row>
          <xdr:rowOff>182880</xdr:rowOff>
        </xdr:to>
        <xdr:sp macro="" textlink="">
          <xdr:nvSpPr>
            <xdr:cNvPr id="15642" name="Check Box 282" hidden="1">
              <a:extLst>
                <a:ext uri="{63B3BB69-23CF-44E3-9099-C40C66FF867C}">
                  <a14:compatExt spid="_x0000_s15642"/>
                </a:ext>
                <a:ext uri="{FF2B5EF4-FFF2-40B4-BE49-F238E27FC236}">
                  <a16:creationId xmlns:a16="http://schemas.microsoft.com/office/drawing/2014/main" id="{00000000-0008-0000-0F00-00001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305</xdr:row>
          <xdr:rowOff>0</xdr:rowOff>
        </xdr:from>
        <xdr:to>
          <xdr:col>22</xdr:col>
          <xdr:colOff>182880</xdr:colOff>
          <xdr:row>305</xdr:row>
          <xdr:rowOff>182880</xdr:rowOff>
        </xdr:to>
        <xdr:sp macro="" textlink="">
          <xdr:nvSpPr>
            <xdr:cNvPr id="15643" name="Check Box 283" hidden="1">
              <a:extLst>
                <a:ext uri="{63B3BB69-23CF-44E3-9099-C40C66FF867C}">
                  <a14:compatExt spid="_x0000_s15643"/>
                </a:ext>
                <a:ext uri="{FF2B5EF4-FFF2-40B4-BE49-F238E27FC236}">
                  <a16:creationId xmlns:a16="http://schemas.microsoft.com/office/drawing/2014/main" id="{00000000-0008-0000-0F00-00001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306</xdr:row>
          <xdr:rowOff>0</xdr:rowOff>
        </xdr:from>
        <xdr:to>
          <xdr:col>22</xdr:col>
          <xdr:colOff>182880</xdr:colOff>
          <xdr:row>306</xdr:row>
          <xdr:rowOff>182880</xdr:rowOff>
        </xdr:to>
        <xdr:sp macro="" textlink="">
          <xdr:nvSpPr>
            <xdr:cNvPr id="15644" name="Check Box 284" hidden="1">
              <a:extLst>
                <a:ext uri="{63B3BB69-23CF-44E3-9099-C40C66FF867C}">
                  <a14:compatExt spid="_x0000_s15644"/>
                </a:ext>
                <a:ext uri="{FF2B5EF4-FFF2-40B4-BE49-F238E27FC236}">
                  <a16:creationId xmlns:a16="http://schemas.microsoft.com/office/drawing/2014/main" id="{00000000-0008-0000-0F00-00001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307</xdr:row>
          <xdr:rowOff>0</xdr:rowOff>
        </xdr:from>
        <xdr:to>
          <xdr:col>22</xdr:col>
          <xdr:colOff>182880</xdr:colOff>
          <xdr:row>307</xdr:row>
          <xdr:rowOff>182880</xdr:rowOff>
        </xdr:to>
        <xdr:sp macro="" textlink="">
          <xdr:nvSpPr>
            <xdr:cNvPr id="15645" name="Check Box 285" hidden="1">
              <a:extLst>
                <a:ext uri="{63B3BB69-23CF-44E3-9099-C40C66FF867C}">
                  <a14:compatExt spid="_x0000_s15645"/>
                </a:ext>
                <a:ext uri="{FF2B5EF4-FFF2-40B4-BE49-F238E27FC236}">
                  <a16:creationId xmlns:a16="http://schemas.microsoft.com/office/drawing/2014/main" id="{00000000-0008-0000-0F00-00001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331</xdr:row>
          <xdr:rowOff>0</xdr:rowOff>
        </xdr:from>
        <xdr:to>
          <xdr:col>22</xdr:col>
          <xdr:colOff>182880</xdr:colOff>
          <xdr:row>331</xdr:row>
          <xdr:rowOff>182880</xdr:rowOff>
        </xdr:to>
        <xdr:sp macro="" textlink="">
          <xdr:nvSpPr>
            <xdr:cNvPr id="15646" name="Check Box 286" hidden="1">
              <a:extLst>
                <a:ext uri="{63B3BB69-23CF-44E3-9099-C40C66FF867C}">
                  <a14:compatExt spid="_x0000_s15646"/>
                </a:ext>
                <a:ext uri="{FF2B5EF4-FFF2-40B4-BE49-F238E27FC236}">
                  <a16:creationId xmlns:a16="http://schemas.microsoft.com/office/drawing/2014/main" id="{00000000-0008-0000-0F00-00001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339</xdr:row>
          <xdr:rowOff>0</xdr:rowOff>
        </xdr:from>
        <xdr:to>
          <xdr:col>22</xdr:col>
          <xdr:colOff>182880</xdr:colOff>
          <xdr:row>339</xdr:row>
          <xdr:rowOff>182880</xdr:rowOff>
        </xdr:to>
        <xdr:sp macro="" textlink="">
          <xdr:nvSpPr>
            <xdr:cNvPr id="15647" name="Check Box 287" hidden="1">
              <a:extLst>
                <a:ext uri="{63B3BB69-23CF-44E3-9099-C40C66FF867C}">
                  <a14:compatExt spid="_x0000_s15647"/>
                </a:ext>
                <a:ext uri="{FF2B5EF4-FFF2-40B4-BE49-F238E27FC236}">
                  <a16:creationId xmlns:a16="http://schemas.microsoft.com/office/drawing/2014/main" id="{00000000-0008-0000-0F00-00001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350</xdr:row>
          <xdr:rowOff>0</xdr:rowOff>
        </xdr:from>
        <xdr:to>
          <xdr:col>22</xdr:col>
          <xdr:colOff>182880</xdr:colOff>
          <xdr:row>350</xdr:row>
          <xdr:rowOff>182880</xdr:rowOff>
        </xdr:to>
        <xdr:sp macro="" textlink="">
          <xdr:nvSpPr>
            <xdr:cNvPr id="15648" name="Check Box 288" hidden="1">
              <a:extLst>
                <a:ext uri="{63B3BB69-23CF-44E3-9099-C40C66FF867C}">
                  <a14:compatExt spid="_x0000_s15648"/>
                </a:ext>
                <a:ext uri="{FF2B5EF4-FFF2-40B4-BE49-F238E27FC236}">
                  <a16:creationId xmlns:a16="http://schemas.microsoft.com/office/drawing/2014/main" id="{00000000-0008-0000-0F00-00002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353</xdr:row>
          <xdr:rowOff>0</xdr:rowOff>
        </xdr:from>
        <xdr:to>
          <xdr:col>22</xdr:col>
          <xdr:colOff>182880</xdr:colOff>
          <xdr:row>353</xdr:row>
          <xdr:rowOff>182880</xdr:rowOff>
        </xdr:to>
        <xdr:sp macro="" textlink="">
          <xdr:nvSpPr>
            <xdr:cNvPr id="15649" name="Check Box 289" hidden="1">
              <a:extLst>
                <a:ext uri="{63B3BB69-23CF-44E3-9099-C40C66FF867C}">
                  <a14:compatExt spid="_x0000_s15649"/>
                </a:ext>
                <a:ext uri="{FF2B5EF4-FFF2-40B4-BE49-F238E27FC236}">
                  <a16:creationId xmlns:a16="http://schemas.microsoft.com/office/drawing/2014/main" id="{00000000-0008-0000-0F00-00002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357</xdr:row>
          <xdr:rowOff>0</xdr:rowOff>
        </xdr:from>
        <xdr:to>
          <xdr:col>22</xdr:col>
          <xdr:colOff>182880</xdr:colOff>
          <xdr:row>357</xdr:row>
          <xdr:rowOff>182880</xdr:rowOff>
        </xdr:to>
        <xdr:sp macro="" textlink="">
          <xdr:nvSpPr>
            <xdr:cNvPr id="15650" name="Check Box 290" hidden="1">
              <a:extLst>
                <a:ext uri="{63B3BB69-23CF-44E3-9099-C40C66FF867C}">
                  <a14:compatExt spid="_x0000_s15650"/>
                </a:ext>
                <a:ext uri="{FF2B5EF4-FFF2-40B4-BE49-F238E27FC236}">
                  <a16:creationId xmlns:a16="http://schemas.microsoft.com/office/drawing/2014/main" id="{00000000-0008-0000-0F00-00002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358</xdr:row>
          <xdr:rowOff>0</xdr:rowOff>
        </xdr:from>
        <xdr:to>
          <xdr:col>22</xdr:col>
          <xdr:colOff>182880</xdr:colOff>
          <xdr:row>358</xdr:row>
          <xdr:rowOff>182880</xdr:rowOff>
        </xdr:to>
        <xdr:sp macro="" textlink="">
          <xdr:nvSpPr>
            <xdr:cNvPr id="15651" name="Check Box 291" hidden="1">
              <a:extLst>
                <a:ext uri="{63B3BB69-23CF-44E3-9099-C40C66FF867C}">
                  <a14:compatExt spid="_x0000_s15651"/>
                </a:ext>
                <a:ext uri="{FF2B5EF4-FFF2-40B4-BE49-F238E27FC236}">
                  <a16:creationId xmlns:a16="http://schemas.microsoft.com/office/drawing/2014/main" id="{00000000-0008-0000-0F00-00002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360</xdr:row>
          <xdr:rowOff>0</xdr:rowOff>
        </xdr:from>
        <xdr:to>
          <xdr:col>22</xdr:col>
          <xdr:colOff>182880</xdr:colOff>
          <xdr:row>360</xdr:row>
          <xdr:rowOff>182880</xdr:rowOff>
        </xdr:to>
        <xdr:sp macro="" textlink="">
          <xdr:nvSpPr>
            <xdr:cNvPr id="15652" name="Check Box 292" hidden="1">
              <a:extLst>
                <a:ext uri="{63B3BB69-23CF-44E3-9099-C40C66FF867C}">
                  <a14:compatExt spid="_x0000_s15652"/>
                </a:ext>
                <a:ext uri="{FF2B5EF4-FFF2-40B4-BE49-F238E27FC236}">
                  <a16:creationId xmlns:a16="http://schemas.microsoft.com/office/drawing/2014/main" id="{00000000-0008-0000-0F00-00002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362</xdr:row>
          <xdr:rowOff>0</xdr:rowOff>
        </xdr:from>
        <xdr:to>
          <xdr:col>22</xdr:col>
          <xdr:colOff>182880</xdr:colOff>
          <xdr:row>362</xdr:row>
          <xdr:rowOff>182880</xdr:rowOff>
        </xdr:to>
        <xdr:sp macro="" textlink="">
          <xdr:nvSpPr>
            <xdr:cNvPr id="15653" name="Check Box 293" hidden="1">
              <a:extLst>
                <a:ext uri="{63B3BB69-23CF-44E3-9099-C40C66FF867C}">
                  <a14:compatExt spid="_x0000_s15653"/>
                </a:ext>
                <a:ext uri="{FF2B5EF4-FFF2-40B4-BE49-F238E27FC236}">
                  <a16:creationId xmlns:a16="http://schemas.microsoft.com/office/drawing/2014/main" id="{00000000-0008-0000-0F00-00002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368</xdr:row>
          <xdr:rowOff>0</xdr:rowOff>
        </xdr:from>
        <xdr:to>
          <xdr:col>22</xdr:col>
          <xdr:colOff>182880</xdr:colOff>
          <xdr:row>368</xdr:row>
          <xdr:rowOff>182880</xdr:rowOff>
        </xdr:to>
        <xdr:sp macro="" textlink="">
          <xdr:nvSpPr>
            <xdr:cNvPr id="15654" name="Check Box 294" hidden="1">
              <a:extLst>
                <a:ext uri="{63B3BB69-23CF-44E3-9099-C40C66FF867C}">
                  <a14:compatExt spid="_x0000_s15654"/>
                </a:ext>
                <a:ext uri="{FF2B5EF4-FFF2-40B4-BE49-F238E27FC236}">
                  <a16:creationId xmlns:a16="http://schemas.microsoft.com/office/drawing/2014/main" id="{00000000-0008-0000-0F00-00002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374</xdr:row>
          <xdr:rowOff>0</xdr:rowOff>
        </xdr:from>
        <xdr:to>
          <xdr:col>22</xdr:col>
          <xdr:colOff>182880</xdr:colOff>
          <xdr:row>374</xdr:row>
          <xdr:rowOff>182880</xdr:rowOff>
        </xdr:to>
        <xdr:sp macro="" textlink="">
          <xdr:nvSpPr>
            <xdr:cNvPr id="15655" name="Check Box 295" hidden="1">
              <a:extLst>
                <a:ext uri="{63B3BB69-23CF-44E3-9099-C40C66FF867C}">
                  <a14:compatExt spid="_x0000_s15655"/>
                </a:ext>
                <a:ext uri="{FF2B5EF4-FFF2-40B4-BE49-F238E27FC236}">
                  <a16:creationId xmlns:a16="http://schemas.microsoft.com/office/drawing/2014/main" id="{00000000-0008-0000-0F00-00002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380</xdr:row>
          <xdr:rowOff>0</xdr:rowOff>
        </xdr:from>
        <xdr:to>
          <xdr:col>22</xdr:col>
          <xdr:colOff>182880</xdr:colOff>
          <xdr:row>380</xdr:row>
          <xdr:rowOff>182880</xdr:rowOff>
        </xdr:to>
        <xdr:sp macro="" textlink="">
          <xdr:nvSpPr>
            <xdr:cNvPr id="15656" name="Check Box 296" hidden="1">
              <a:extLst>
                <a:ext uri="{63B3BB69-23CF-44E3-9099-C40C66FF867C}">
                  <a14:compatExt spid="_x0000_s15656"/>
                </a:ext>
                <a:ext uri="{FF2B5EF4-FFF2-40B4-BE49-F238E27FC236}">
                  <a16:creationId xmlns:a16="http://schemas.microsoft.com/office/drawing/2014/main" id="{00000000-0008-0000-0F00-00002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382</xdr:row>
          <xdr:rowOff>0</xdr:rowOff>
        </xdr:from>
        <xdr:to>
          <xdr:col>22</xdr:col>
          <xdr:colOff>182880</xdr:colOff>
          <xdr:row>382</xdr:row>
          <xdr:rowOff>182880</xdr:rowOff>
        </xdr:to>
        <xdr:sp macro="" textlink="">
          <xdr:nvSpPr>
            <xdr:cNvPr id="15657" name="Check Box 297" hidden="1">
              <a:extLst>
                <a:ext uri="{63B3BB69-23CF-44E3-9099-C40C66FF867C}">
                  <a14:compatExt spid="_x0000_s15657"/>
                </a:ext>
                <a:ext uri="{FF2B5EF4-FFF2-40B4-BE49-F238E27FC236}">
                  <a16:creationId xmlns:a16="http://schemas.microsoft.com/office/drawing/2014/main" id="{00000000-0008-0000-0F00-00002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388</xdr:row>
          <xdr:rowOff>0</xdr:rowOff>
        </xdr:from>
        <xdr:to>
          <xdr:col>22</xdr:col>
          <xdr:colOff>182880</xdr:colOff>
          <xdr:row>388</xdr:row>
          <xdr:rowOff>182880</xdr:rowOff>
        </xdr:to>
        <xdr:sp macro="" textlink="">
          <xdr:nvSpPr>
            <xdr:cNvPr id="15658" name="Check Box 298" hidden="1">
              <a:extLst>
                <a:ext uri="{63B3BB69-23CF-44E3-9099-C40C66FF867C}">
                  <a14:compatExt spid="_x0000_s15658"/>
                </a:ext>
                <a:ext uri="{FF2B5EF4-FFF2-40B4-BE49-F238E27FC236}">
                  <a16:creationId xmlns:a16="http://schemas.microsoft.com/office/drawing/2014/main" id="{00000000-0008-0000-0F00-00002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392</xdr:row>
          <xdr:rowOff>0</xdr:rowOff>
        </xdr:from>
        <xdr:to>
          <xdr:col>22</xdr:col>
          <xdr:colOff>182880</xdr:colOff>
          <xdr:row>392</xdr:row>
          <xdr:rowOff>182880</xdr:rowOff>
        </xdr:to>
        <xdr:sp macro="" textlink="">
          <xdr:nvSpPr>
            <xdr:cNvPr id="15659" name="Check Box 299" hidden="1">
              <a:extLst>
                <a:ext uri="{63B3BB69-23CF-44E3-9099-C40C66FF867C}">
                  <a14:compatExt spid="_x0000_s15659"/>
                </a:ext>
                <a:ext uri="{FF2B5EF4-FFF2-40B4-BE49-F238E27FC236}">
                  <a16:creationId xmlns:a16="http://schemas.microsoft.com/office/drawing/2014/main" id="{00000000-0008-0000-0F00-00002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396</xdr:row>
          <xdr:rowOff>0</xdr:rowOff>
        </xdr:from>
        <xdr:to>
          <xdr:col>22</xdr:col>
          <xdr:colOff>182880</xdr:colOff>
          <xdr:row>396</xdr:row>
          <xdr:rowOff>182880</xdr:rowOff>
        </xdr:to>
        <xdr:sp macro="" textlink="">
          <xdr:nvSpPr>
            <xdr:cNvPr id="15660" name="Check Box 300" hidden="1">
              <a:extLst>
                <a:ext uri="{63B3BB69-23CF-44E3-9099-C40C66FF867C}">
                  <a14:compatExt spid="_x0000_s15660"/>
                </a:ext>
                <a:ext uri="{FF2B5EF4-FFF2-40B4-BE49-F238E27FC236}">
                  <a16:creationId xmlns:a16="http://schemas.microsoft.com/office/drawing/2014/main" id="{00000000-0008-0000-0F00-00002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401</xdr:row>
          <xdr:rowOff>0</xdr:rowOff>
        </xdr:from>
        <xdr:to>
          <xdr:col>22</xdr:col>
          <xdr:colOff>182880</xdr:colOff>
          <xdr:row>401</xdr:row>
          <xdr:rowOff>182880</xdr:rowOff>
        </xdr:to>
        <xdr:sp macro="" textlink="">
          <xdr:nvSpPr>
            <xdr:cNvPr id="15661" name="Check Box 301" hidden="1">
              <a:extLst>
                <a:ext uri="{63B3BB69-23CF-44E3-9099-C40C66FF867C}">
                  <a14:compatExt spid="_x0000_s15661"/>
                </a:ext>
                <a:ext uri="{FF2B5EF4-FFF2-40B4-BE49-F238E27FC236}">
                  <a16:creationId xmlns:a16="http://schemas.microsoft.com/office/drawing/2014/main" id="{00000000-0008-0000-0F00-00002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406</xdr:row>
          <xdr:rowOff>0</xdr:rowOff>
        </xdr:from>
        <xdr:to>
          <xdr:col>22</xdr:col>
          <xdr:colOff>182880</xdr:colOff>
          <xdr:row>406</xdr:row>
          <xdr:rowOff>182880</xdr:rowOff>
        </xdr:to>
        <xdr:sp macro="" textlink="">
          <xdr:nvSpPr>
            <xdr:cNvPr id="15662" name="Check Box 302" hidden="1">
              <a:extLst>
                <a:ext uri="{63B3BB69-23CF-44E3-9099-C40C66FF867C}">
                  <a14:compatExt spid="_x0000_s15662"/>
                </a:ext>
                <a:ext uri="{FF2B5EF4-FFF2-40B4-BE49-F238E27FC236}">
                  <a16:creationId xmlns:a16="http://schemas.microsoft.com/office/drawing/2014/main" id="{00000000-0008-0000-0F00-00002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408</xdr:row>
          <xdr:rowOff>0</xdr:rowOff>
        </xdr:from>
        <xdr:to>
          <xdr:col>22</xdr:col>
          <xdr:colOff>182880</xdr:colOff>
          <xdr:row>408</xdr:row>
          <xdr:rowOff>182880</xdr:rowOff>
        </xdr:to>
        <xdr:sp macro="" textlink="">
          <xdr:nvSpPr>
            <xdr:cNvPr id="15663" name="Check Box 303" hidden="1">
              <a:extLst>
                <a:ext uri="{63B3BB69-23CF-44E3-9099-C40C66FF867C}">
                  <a14:compatExt spid="_x0000_s15663"/>
                </a:ext>
                <a:ext uri="{FF2B5EF4-FFF2-40B4-BE49-F238E27FC236}">
                  <a16:creationId xmlns:a16="http://schemas.microsoft.com/office/drawing/2014/main" id="{00000000-0008-0000-0F00-00002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410</xdr:row>
          <xdr:rowOff>0</xdr:rowOff>
        </xdr:from>
        <xdr:to>
          <xdr:col>22</xdr:col>
          <xdr:colOff>182880</xdr:colOff>
          <xdr:row>410</xdr:row>
          <xdr:rowOff>182880</xdr:rowOff>
        </xdr:to>
        <xdr:sp macro="" textlink="">
          <xdr:nvSpPr>
            <xdr:cNvPr id="15664" name="Check Box 304" hidden="1">
              <a:extLst>
                <a:ext uri="{63B3BB69-23CF-44E3-9099-C40C66FF867C}">
                  <a14:compatExt spid="_x0000_s15664"/>
                </a:ext>
                <a:ext uri="{FF2B5EF4-FFF2-40B4-BE49-F238E27FC236}">
                  <a16:creationId xmlns:a16="http://schemas.microsoft.com/office/drawing/2014/main" id="{00000000-0008-0000-0F00-00003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422</xdr:row>
          <xdr:rowOff>0</xdr:rowOff>
        </xdr:from>
        <xdr:to>
          <xdr:col>22</xdr:col>
          <xdr:colOff>182880</xdr:colOff>
          <xdr:row>422</xdr:row>
          <xdr:rowOff>182880</xdr:rowOff>
        </xdr:to>
        <xdr:sp macro="" textlink="">
          <xdr:nvSpPr>
            <xdr:cNvPr id="15665" name="Check Box 305" hidden="1">
              <a:extLst>
                <a:ext uri="{63B3BB69-23CF-44E3-9099-C40C66FF867C}">
                  <a14:compatExt spid="_x0000_s15665"/>
                </a:ext>
                <a:ext uri="{FF2B5EF4-FFF2-40B4-BE49-F238E27FC236}">
                  <a16:creationId xmlns:a16="http://schemas.microsoft.com/office/drawing/2014/main" id="{00000000-0008-0000-0F00-00003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432</xdr:row>
          <xdr:rowOff>0</xdr:rowOff>
        </xdr:from>
        <xdr:to>
          <xdr:col>22</xdr:col>
          <xdr:colOff>182880</xdr:colOff>
          <xdr:row>432</xdr:row>
          <xdr:rowOff>182880</xdr:rowOff>
        </xdr:to>
        <xdr:sp macro="" textlink="">
          <xdr:nvSpPr>
            <xdr:cNvPr id="15666" name="Check Box 306" hidden="1">
              <a:extLst>
                <a:ext uri="{63B3BB69-23CF-44E3-9099-C40C66FF867C}">
                  <a14:compatExt spid="_x0000_s15666"/>
                </a:ext>
                <a:ext uri="{FF2B5EF4-FFF2-40B4-BE49-F238E27FC236}">
                  <a16:creationId xmlns:a16="http://schemas.microsoft.com/office/drawing/2014/main" id="{00000000-0008-0000-0F00-00003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435</xdr:row>
          <xdr:rowOff>0</xdr:rowOff>
        </xdr:from>
        <xdr:to>
          <xdr:col>22</xdr:col>
          <xdr:colOff>182880</xdr:colOff>
          <xdr:row>435</xdr:row>
          <xdr:rowOff>182880</xdr:rowOff>
        </xdr:to>
        <xdr:sp macro="" textlink="">
          <xdr:nvSpPr>
            <xdr:cNvPr id="15667" name="Check Box 307" hidden="1">
              <a:extLst>
                <a:ext uri="{63B3BB69-23CF-44E3-9099-C40C66FF867C}">
                  <a14:compatExt spid="_x0000_s15667"/>
                </a:ext>
                <a:ext uri="{FF2B5EF4-FFF2-40B4-BE49-F238E27FC236}">
                  <a16:creationId xmlns:a16="http://schemas.microsoft.com/office/drawing/2014/main" id="{00000000-0008-0000-0F00-00003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436</xdr:row>
          <xdr:rowOff>0</xdr:rowOff>
        </xdr:from>
        <xdr:to>
          <xdr:col>22</xdr:col>
          <xdr:colOff>182880</xdr:colOff>
          <xdr:row>436</xdr:row>
          <xdr:rowOff>182880</xdr:rowOff>
        </xdr:to>
        <xdr:sp macro="" textlink="">
          <xdr:nvSpPr>
            <xdr:cNvPr id="15668" name="Check Box 308" hidden="1">
              <a:extLst>
                <a:ext uri="{63B3BB69-23CF-44E3-9099-C40C66FF867C}">
                  <a14:compatExt spid="_x0000_s15668"/>
                </a:ext>
                <a:ext uri="{FF2B5EF4-FFF2-40B4-BE49-F238E27FC236}">
                  <a16:creationId xmlns:a16="http://schemas.microsoft.com/office/drawing/2014/main" id="{00000000-0008-0000-0F00-00003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446</xdr:row>
          <xdr:rowOff>0</xdr:rowOff>
        </xdr:from>
        <xdr:to>
          <xdr:col>22</xdr:col>
          <xdr:colOff>182880</xdr:colOff>
          <xdr:row>446</xdr:row>
          <xdr:rowOff>182880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F00-00003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448</xdr:row>
          <xdr:rowOff>0</xdr:rowOff>
        </xdr:from>
        <xdr:to>
          <xdr:col>22</xdr:col>
          <xdr:colOff>182880</xdr:colOff>
          <xdr:row>448</xdr:row>
          <xdr:rowOff>182880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F00-00003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464</xdr:row>
          <xdr:rowOff>0</xdr:rowOff>
        </xdr:from>
        <xdr:to>
          <xdr:col>22</xdr:col>
          <xdr:colOff>182880</xdr:colOff>
          <xdr:row>464</xdr:row>
          <xdr:rowOff>182880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F00-00003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475</xdr:row>
          <xdr:rowOff>0</xdr:rowOff>
        </xdr:from>
        <xdr:to>
          <xdr:col>22</xdr:col>
          <xdr:colOff>182880</xdr:colOff>
          <xdr:row>475</xdr:row>
          <xdr:rowOff>182880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F00-00003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476</xdr:row>
          <xdr:rowOff>0</xdr:rowOff>
        </xdr:from>
        <xdr:to>
          <xdr:col>22</xdr:col>
          <xdr:colOff>182880</xdr:colOff>
          <xdr:row>476</xdr:row>
          <xdr:rowOff>182880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F00-00003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481</xdr:row>
          <xdr:rowOff>0</xdr:rowOff>
        </xdr:from>
        <xdr:to>
          <xdr:col>22</xdr:col>
          <xdr:colOff>182880</xdr:colOff>
          <xdr:row>481</xdr:row>
          <xdr:rowOff>182880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F00-00003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483</xdr:row>
          <xdr:rowOff>0</xdr:rowOff>
        </xdr:from>
        <xdr:to>
          <xdr:col>22</xdr:col>
          <xdr:colOff>182880</xdr:colOff>
          <xdr:row>483</xdr:row>
          <xdr:rowOff>182880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F00-00003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484</xdr:row>
          <xdr:rowOff>0</xdr:rowOff>
        </xdr:from>
        <xdr:to>
          <xdr:col>22</xdr:col>
          <xdr:colOff>182880</xdr:colOff>
          <xdr:row>484</xdr:row>
          <xdr:rowOff>182880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F00-00003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487</xdr:row>
          <xdr:rowOff>0</xdr:rowOff>
        </xdr:from>
        <xdr:to>
          <xdr:col>22</xdr:col>
          <xdr:colOff>182880</xdr:colOff>
          <xdr:row>487</xdr:row>
          <xdr:rowOff>182880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F00-00003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491</xdr:row>
          <xdr:rowOff>0</xdr:rowOff>
        </xdr:from>
        <xdr:to>
          <xdr:col>22</xdr:col>
          <xdr:colOff>182880</xdr:colOff>
          <xdr:row>491</xdr:row>
          <xdr:rowOff>182880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F00-00003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496</xdr:row>
          <xdr:rowOff>0</xdr:rowOff>
        </xdr:from>
        <xdr:to>
          <xdr:col>22</xdr:col>
          <xdr:colOff>182880</xdr:colOff>
          <xdr:row>496</xdr:row>
          <xdr:rowOff>182880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F00-00003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498</xdr:row>
          <xdr:rowOff>0</xdr:rowOff>
        </xdr:from>
        <xdr:to>
          <xdr:col>22</xdr:col>
          <xdr:colOff>182880</xdr:colOff>
          <xdr:row>498</xdr:row>
          <xdr:rowOff>182880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F00-00004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515</xdr:row>
          <xdr:rowOff>0</xdr:rowOff>
        </xdr:from>
        <xdr:to>
          <xdr:col>22</xdr:col>
          <xdr:colOff>182880</xdr:colOff>
          <xdr:row>515</xdr:row>
          <xdr:rowOff>182880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F00-00004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531</xdr:row>
          <xdr:rowOff>0</xdr:rowOff>
        </xdr:from>
        <xdr:to>
          <xdr:col>22</xdr:col>
          <xdr:colOff>182880</xdr:colOff>
          <xdr:row>531</xdr:row>
          <xdr:rowOff>182880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F00-00004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544</xdr:row>
          <xdr:rowOff>0</xdr:rowOff>
        </xdr:from>
        <xdr:to>
          <xdr:col>22</xdr:col>
          <xdr:colOff>182880</xdr:colOff>
          <xdr:row>544</xdr:row>
          <xdr:rowOff>182880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F00-00004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546</xdr:row>
          <xdr:rowOff>0</xdr:rowOff>
        </xdr:from>
        <xdr:to>
          <xdr:col>22</xdr:col>
          <xdr:colOff>182880</xdr:colOff>
          <xdr:row>546</xdr:row>
          <xdr:rowOff>182880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F00-00004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559</xdr:row>
          <xdr:rowOff>0</xdr:rowOff>
        </xdr:from>
        <xdr:to>
          <xdr:col>22</xdr:col>
          <xdr:colOff>182880</xdr:colOff>
          <xdr:row>559</xdr:row>
          <xdr:rowOff>182880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F00-00004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560</xdr:row>
          <xdr:rowOff>0</xdr:rowOff>
        </xdr:from>
        <xdr:to>
          <xdr:col>22</xdr:col>
          <xdr:colOff>182880</xdr:colOff>
          <xdr:row>560</xdr:row>
          <xdr:rowOff>182880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F00-00004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561</xdr:row>
          <xdr:rowOff>0</xdr:rowOff>
        </xdr:from>
        <xdr:to>
          <xdr:col>22</xdr:col>
          <xdr:colOff>182880</xdr:colOff>
          <xdr:row>561</xdr:row>
          <xdr:rowOff>182880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F00-00004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562</xdr:row>
          <xdr:rowOff>0</xdr:rowOff>
        </xdr:from>
        <xdr:to>
          <xdr:col>22</xdr:col>
          <xdr:colOff>182880</xdr:colOff>
          <xdr:row>562</xdr:row>
          <xdr:rowOff>182880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F00-00004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563</xdr:row>
          <xdr:rowOff>0</xdr:rowOff>
        </xdr:from>
        <xdr:to>
          <xdr:col>22</xdr:col>
          <xdr:colOff>182880</xdr:colOff>
          <xdr:row>563</xdr:row>
          <xdr:rowOff>182880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F00-00004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564</xdr:row>
          <xdr:rowOff>0</xdr:rowOff>
        </xdr:from>
        <xdr:to>
          <xdr:col>22</xdr:col>
          <xdr:colOff>182880</xdr:colOff>
          <xdr:row>564</xdr:row>
          <xdr:rowOff>182880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F00-00004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565</xdr:row>
          <xdr:rowOff>0</xdr:rowOff>
        </xdr:from>
        <xdr:to>
          <xdr:col>22</xdr:col>
          <xdr:colOff>182880</xdr:colOff>
          <xdr:row>565</xdr:row>
          <xdr:rowOff>182880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F00-00004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566</xdr:row>
          <xdr:rowOff>0</xdr:rowOff>
        </xdr:from>
        <xdr:to>
          <xdr:col>22</xdr:col>
          <xdr:colOff>182880</xdr:colOff>
          <xdr:row>566</xdr:row>
          <xdr:rowOff>182880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F00-00004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567</xdr:row>
          <xdr:rowOff>0</xdr:rowOff>
        </xdr:from>
        <xdr:to>
          <xdr:col>22</xdr:col>
          <xdr:colOff>182880</xdr:colOff>
          <xdr:row>567</xdr:row>
          <xdr:rowOff>182880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F00-00004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614</xdr:row>
          <xdr:rowOff>0</xdr:rowOff>
        </xdr:from>
        <xdr:to>
          <xdr:col>22</xdr:col>
          <xdr:colOff>182880</xdr:colOff>
          <xdr:row>614</xdr:row>
          <xdr:rowOff>182880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F00-00004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616</xdr:row>
          <xdr:rowOff>0</xdr:rowOff>
        </xdr:from>
        <xdr:to>
          <xdr:col>22</xdr:col>
          <xdr:colOff>182880</xdr:colOff>
          <xdr:row>616</xdr:row>
          <xdr:rowOff>182880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F00-00004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617</xdr:row>
          <xdr:rowOff>0</xdr:rowOff>
        </xdr:from>
        <xdr:to>
          <xdr:col>22</xdr:col>
          <xdr:colOff>182880</xdr:colOff>
          <xdr:row>617</xdr:row>
          <xdr:rowOff>182880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F00-00005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645</xdr:row>
          <xdr:rowOff>0</xdr:rowOff>
        </xdr:from>
        <xdr:to>
          <xdr:col>22</xdr:col>
          <xdr:colOff>182880</xdr:colOff>
          <xdr:row>645</xdr:row>
          <xdr:rowOff>182880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F00-00005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654</xdr:row>
          <xdr:rowOff>0</xdr:rowOff>
        </xdr:from>
        <xdr:to>
          <xdr:col>22</xdr:col>
          <xdr:colOff>182880</xdr:colOff>
          <xdr:row>654</xdr:row>
          <xdr:rowOff>182880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F00-00005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661</xdr:row>
          <xdr:rowOff>0</xdr:rowOff>
        </xdr:from>
        <xdr:to>
          <xdr:col>22</xdr:col>
          <xdr:colOff>182880</xdr:colOff>
          <xdr:row>661</xdr:row>
          <xdr:rowOff>182880</xdr:rowOff>
        </xdr:to>
        <xdr:sp macro="" textlink="">
          <xdr:nvSpPr>
            <xdr:cNvPr id="15699" name="Check Box 339" hidden="1">
              <a:extLst>
                <a:ext uri="{63B3BB69-23CF-44E3-9099-C40C66FF867C}">
                  <a14:compatExt spid="_x0000_s15699"/>
                </a:ext>
                <a:ext uri="{FF2B5EF4-FFF2-40B4-BE49-F238E27FC236}">
                  <a16:creationId xmlns:a16="http://schemas.microsoft.com/office/drawing/2014/main" id="{00000000-0008-0000-0F00-00005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717</xdr:row>
          <xdr:rowOff>0</xdr:rowOff>
        </xdr:from>
        <xdr:to>
          <xdr:col>22</xdr:col>
          <xdr:colOff>182880</xdr:colOff>
          <xdr:row>717</xdr:row>
          <xdr:rowOff>182880</xdr:rowOff>
        </xdr:to>
        <xdr:sp macro="" textlink="">
          <xdr:nvSpPr>
            <xdr:cNvPr id="15700" name="Check Box 340" hidden="1">
              <a:extLst>
                <a:ext uri="{63B3BB69-23CF-44E3-9099-C40C66FF867C}">
                  <a14:compatExt spid="_x0000_s15700"/>
                </a:ext>
                <a:ext uri="{FF2B5EF4-FFF2-40B4-BE49-F238E27FC236}">
                  <a16:creationId xmlns:a16="http://schemas.microsoft.com/office/drawing/2014/main" id="{00000000-0008-0000-0F00-00005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718</xdr:row>
          <xdr:rowOff>0</xdr:rowOff>
        </xdr:from>
        <xdr:to>
          <xdr:col>22</xdr:col>
          <xdr:colOff>182880</xdr:colOff>
          <xdr:row>718</xdr:row>
          <xdr:rowOff>182880</xdr:rowOff>
        </xdr:to>
        <xdr:sp macro="" textlink="">
          <xdr:nvSpPr>
            <xdr:cNvPr id="15701" name="Check Box 341" hidden="1">
              <a:extLst>
                <a:ext uri="{63B3BB69-23CF-44E3-9099-C40C66FF867C}">
                  <a14:compatExt spid="_x0000_s15701"/>
                </a:ext>
                <a:ext uri="{FF2B5EF4-FFF2-40B4-BE49-F238E27FC236}">
                  <a16:creationId xmlns:a16="http://schemas.microsoft.com/office/drawing/2014/main" id="{00000000-0008-0000-0F00-00005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720</xdr:row>
          <xdr:rowOff>0</xdr:rowOff>
        </xdr:from>
        <xdr:to>
          <xdr:col>22</xdr:col>
          <xdr:colOff>182880</xdr:colOff>
          <xdr:row>720</xdr:row>
          <xdr:rowOff>182880</xdr:rowOff>
        </xdr:to>
        <xdr:sp macro="" textlink="">
          <xdr:nvSpPr>
            <xdr:cNvPr id="15702" name="Check Box 342" hidden="1">
              <a:extLst>
                <a:ext uri="{63B3BB69-23CF-44E3-9099-C40C66FF867C}">
                  <a14:compatExt spid="_x0000_s15702"/>
                </a:ext>
                <a:ext uri="{FF2B5EF4-FFF2-40B4-BE49-F238E27FC236}">
                  <a16:creationId xmlns:a16="http://schemas.microsoft.com/office/drawing/2014/main" id="{00000000-0008-0000-0F00-00005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719</xdr:row>
          <xdr:rowOff>0</xdr:rowOff>
        </xdr:from>
        <xdr:to>
          <xdr:col>22</xdr:col>
          <xdr:colOff>182880</xdr:colOff>
          <xdr:row>719</xdr:row>
          <xdr:rowOff>182880</xdr:rowOff>
        </xdr:to>
        <xdr:sp macro="" textlink="">
          <xdr:nvSpPr>
            <xdr:cNvPr id="15703" name="Check Box 343" hidden="1">
              <a:extLst>
                <a:ext uri="{63B3BB69-23CF-44E3-9099-C40C66FF867C}">
                  <a14:compatExt spid="_x0000_s15703"/>
                </a:ext>
                <a:ext uri="{FF2B5EF4-FFF2-40B4-BE49-F238E27FC236}">
                  <a16:creationId xmlns:a16="http://schemas.microsoft.com/office/drawing/2014/main" id="{00000000-0008-0000-0F00-00005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721</xdr:row>
          <xdr:rowOff>0</xdr:rowOff>
        </xdr:from>
        <xdr:to>
          <xdr:col>22</xdr:col>
          <xdr:colOff>182880</xdr:colOff>
          <xdr:row>721</xdr:row>
          <xdr:rowOff>182880</xdr:rowOff>
        </xdr:to>
        <xdr:sp macro="" textlink="">
          <xdr:nvSpPr>
            <xdr:cNvPr id="15704" name="Check Box 344" hidden="1">
              <a:extLst>
                <a:ext uri="{63B3BB69-23CF-44E3-9099-C40C66FF867C}">
                  <a14:compatExt spid="_x0000_s15704"/>
                </a:ext>
                <a:ext uri="{FF2B5EF4-FFF2-40B4-BE49-F238E27FC236}">
                  <a16:creationId xmlns:a16="http://schemas.microsoft.com/office/drawing/2014/main" id="{00000000-0008-0000-0F00-00005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722</xdr:row>
          <xdr:rowOff>0</xdr:rowOff>
        </xdr:from>
        <xdr:to>
          <xdr:col>22</xdr:col>
          <xdr:colOff>182880</xdr:colOff>
          <xdr:row>722</xdr:row>
          <xdr:rowOff>182880</xdr:rowOff>
        </xdr:to>
        <xdr:sp macro="" textlink="">
          <xdr:nvSpPr>
            <xdr:cNvPr id="15705" name="Check Box 345" hidden="1">
              <a:extLst>
                <a:ext uri="{63B3BB69-23CF-44E3-9099-C40C66FF867C}">
                  <a14:compatExt spid="_x0000_s15705"/>
                </a:ext>
                <a:ext uri="{FF2B5EF4-FFF2-40B4-BE49-F238E27FC236}">
                  <a16:creationId xmlns:a16="http://schemas.microsoft.com/office/drawing/2014/main" id="{00000000-0008-0000-0F00-00005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723</xdr:row>
          <xdr:rowOff>0</xdr:rowOff>
        </xdr:from>
        <xdr:to>
          <xdr:col>22</xdr:col>
          <xdr:colOff>182880</xdr:colOff>
          <xdr:row>723</xdr:row>
          <xdr:rowOff>182880</xdr:rowOff>
        </xdr:to>
        <xdr:sp macro="" textlink="">
          <xdr:nvSpPr>
            <xdr:cNvPr id="15706" name="Check Box 346" hidden="1">
              <a:extLst>
                <a:ext uri="{63B3BB69-23CF-44E3-9099-C40C66FF867C}">
                  <a14:compatExt spid="_x0000_s15706"/>
                </a:ext>
                <a:ext uri="{FF2B5EF4-FFF2-40B4-BE49-F238E27FC236}">
                  <a16:creationId xmlns:a16="http://schemas.microsoft.com/office/drawing/2014/main" id="{00000000-0008-0000-0F00-00005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727</xdr:row>
          <xdr:rowOff>0</xdr:rowOff>
        </xdr:from>
        <xdr:to>
          <xdr:col>22</xdr:col>
          <xdr:colOff>182880</xdr:colOff>
          <xdr:row>727</xdr:row>
          <xdr:rowOff>182880</xdr:rowOff>
        </xdr:to>
        <xdr:sp macro="" textlink="">
          <xdr:nvSpPr>
            <xdr:cNvPr id="15707" name="Check Box 347" hidden="1">
              <a:extLst>
                <a:ext uri="{63B3BB69-23CF-44E3-9099-C40C66FF867C}">
                  <a14:compatExt spid="_x0000_s15707"/>
                </a:ext>
                <a:ext uri="{FF2B5EF4-FFF2-40B4-BE49-F238E27FC236}">
                  <a16:creationId xmlns:a16="http://schemas.microsoft.com/office/drawing/2014/main" id="{00000000-0008-0000-0F00-00005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732</xdr:row>
          <xdr:rowOff>0</xdr:rowOff>
        </xdr:from>
        <xdr:to>
          <xdr:col>22</xdr:col>
          <xdr:colOff>182880</xdr:colOff>
          <xdr:row>732</xdr:row>
          <xdr:rowOff>182880</xdr:rowOff>
        </xdr:to>
        <xdr:sp macro="" textlink="">
          <xdr:nvSpPr>
            <xdr:cNvPr id="15708" name="Check Box 348" hidden="1">
              <a:extLst>
                <a:ext uri="{63B3BB69-23CF-44E3-9099-C40C66FF867C}">
                  <a14:compatExt spid="_x0000_s15708"/>
                </a:ext>
                <a:ext uri="{FF2B5EF4-FFF2-40B4-BE49-F238E27FC236}">
                  <a16:creationId xmlns:a16="http://schemas.microsoft.com/office/drawing/2014/main" id="{00000000-0008-0000-0F00-00005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736</xdr:row>
          <xdr:rowOff>0</xdr:rowOff>
        </xdr:from>
        <xdr:to>
          <xdr:col>22</xdr:col>
          <xdr:colOff>182880</xdr:colOff>
          <xdr:row>736</xdr:row>
          <xdr:rowOff>182880</xdr:rowOff>
        </xdr:to>
        <xdr:sp macro="" textlink="">
          <xdr:nvSpPr>
            <xdr:cNvPr id="15709" name="Check Box 349" hidden="1">
              <a:extLst>
                <a:ext uri="{63B3BB69-23CF-44E3-9099-C40C66FF867C}">
                  <a14:compatExt spid="_x0000_s15709"/>
                </a:ext>
                <a:ext uri="{FF2B5EF4-FFF2-40B4-BE49-F238E27FC236}">
                  <a16:creationId xmlns:a16="http://schemas.microsoft.com/office/drawing/2014/main" id="{00000000-0008-0000-0F00-00005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738</xdr:row>
          <xdr:rowOff>0</xdr:rowOff>
        </xdr:from>
        <xdr:to>
          <xdr:col>22</xdr:col>
          <xdr:colOff>182880</xdr:colOff>
          <xdr:row>738</xdr:row>
          <xdr:rowOff>182880</xdr:rowOff>
        </xdr:to>
        <xdr:sp macro="" textlink="">
          <xdr:nvSpPr>
            <xdr:cNvPr id="15710" name="Check Box 350" hidden="1">
              <a:extLst>
                <a:ext uri="{63B3BB69-23CF-44E3-9099-C40C66FF867C}">
                  <a14:compatExt spid="_x0000_s15710"/>
                </a:ext>
                <a:ext uri="{FF2B5EF4-FFF2-40B4-BE49-F238E27FC236}">
                  <a16:creationId xmlns:a16="http://schemas.microsoft.com/office/drawing/2014/main" id="{00000000-0008-0000-0F00-00005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740</xdr:row>
          <xdr:rowOff>0</xdr:rowOff>
        </xdr:from>
        <xdr:to>
          <xdr:col>22</xdr:col>
          <xdr:colOff>182880</xdr:colOff>
          <xdr:row>740</xdr:row>
          <xdr:rowOff>182880</xdr:rowOff>
        </xdr:to>
        <xdr:sp macro="" textlink="">
          <xdr:nvSpPr>
            <xdr:cNvPr id="15711" name="Check Box 351" hidden="1">
              <a:extLst>
                <a:ext uri="{63B3BB69-23CF-44E3-9099-C40C66FF867C}">
                  <a14:compatExt spid="_x0000_s15711"/>
                </a:ext>
                <a:ext uri="{FF2B5EF4-FFF2-40B4-BE49-F238E27FC236}">
                  <a16:creationId xmlns:a16="http://schemas.microsoft.com/office/drawing/2014/main" id="{00000000-0008-0000-0F00-00005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741</xdr:row>
          <xdr:rowOff>0</xdr:rowOff>
        </xdr:from>
        <xdr:to>
          <xdr:col>22</xdr:col>
          <xdr:colOff>182880</xdr:colOff>
          <xdr:row>741</xdr:row>
          <xdr:rowOff>182880</xdr:rowOff>
        </xdr:to>
        <xdr:sp macro="" textlink="">
          <xdr:nvSpPr>
            <xdr:cNvPr id="15712" name="Check Box 352" hidden="1">
              <a:extLst>
                <a:ext uri="{63B3BB69-23CF-44E3-9099-C40C66FF867C}">
                  <a14:compatExt spid="_x0000_s15712"/>
                </a:ext>
                <a:ext uri="{FF2B5EF4-FFF2-40B4-BE49-F238E27FC236}">
                  <a16:creationId xmlns:a16="http://schemas.microsoft.com/office/drawing/2014/main" id="{00000000-0008-0000-0F00-00006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742</xdr:row>
          <xdr:rowOff>0</xdr:rowOff>
        </xdr:from>
        <xdr:to>
          <xdr:col>22</xdr:col>
          <xdr:colOff>182880</xdr:colOff>
          <xdr:row>742</xdr:row>
          <xdr:rowOff>182880</xdr:rowOff>
        </xdr:to>
        <xdr:sp macro="" textlink="">
          <xdr:nvSpPr>
            <xdr:cNvPr id="15713" name="Check Box 353" hidden="1">
              <a:extLst>
                <a:ext uri="{63B3BB69-23CF-44E3-9099-C40C66FF867C}">
                  <a14:compatExt spid="_x0000_s15713"/>
                </a:ext>
                <a:ext uri="{FF2B5EF4-FFF2-40B4-BE49-F238E27FC236}">
                  <a16:creationId xmlns:a16="http://schemas.microsoft.com/office/drawing/2014/main" id="{00000000-0008-0000-0F00-00006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746</xdr:row>
          <xdr:rowOff>0</xdr:rowOff>
        </xdr:from>
        <xdr:to>
          <xdr:col>22</xdr:col>
          <xdr:colOff>182880</xdr:colOff>
          <xdr:row>746</xdr:row>
          <xdr:rowOff>182880</xdr:rowOff>
        </xdr:to>
        <xdr:sp macro="" textlink="">
          <xdr:nvSpPr>
            <xdr:cNvPr id="15714" name="Check Box 354" hidden="1">
              <a:extLst>
                <a:ext uri="{63B3BB69-23CF-44E3-9099-C40C66FF867C}">
                  <a14:compatExt spid="_x0000_s15714"/>
                </a:ext>
                <a:ext uri="{FF2B5EF4-FFF2-40B4-BE49-F238E27FC236}">
                  <a16:creationId xmlns:a16="http://schemas.microsoft.com/office/drawing/2014/main" id="{00000000-0008-0000-0F00-00006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748</xdr:row>
          <xdr:rowOff>0</xdr:rowOff>
        </xdr:from>
        <xdr:to>
          <xdr:col>22</xdr:col>
          <xdr:colOff>182880</xdr:colOff>
          <xdr:row>748</xdr:row>
          <xdr:rowOff>182880</xdr:rowOff>
        </xdr:to>
        <xdr:sp macro="" textlink="">
          <xdr:nvSpPr>
            <xdr:cNvPr id="15715" name="Check Box 355" hidden="1">
              <a:extLst>
                <a:ext uri="{63B3BB69-23CF-44E3-9099-C40C66FF867C}">
                  <a14:compatExt spid="_x0000_s15715"/>
                </a:ext>
                <a:ext uri="{FF2B5EF4-FFF2-40B4-BE49-F238E27FC236}">
                  <a16:creationId xmlns:a16="http://schemas.microsoft.com/office/drawing/2014/main" id="{00000000-0008-0000-0F00-00006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794</xdr:row>
          <xdr:rowOff>0</xdr:rowOff>
        </xdr:from>
        <xdr:to>
          <xdr:col>22</xdr:col>
          <xdr:colOff>182880</xdr:colOff>
          <xdr:row>794</xdr:row>
          <xdr:rowOff>182880</xdr:rowOff>
        </xdr:to>
        <xdr:sp macro="" textlink="">
          <xdr:nvSpPr>
            <xdr:cNvPr id="15804" name="Check Box 444" hidden="1">
              <a:extLst>
                <a:ext uri="{63B3BB69-23CF-44E3-9099-C40C66FF867C}">
                  <a14:compatExt spid="_x0000_s15804"/>
                </a:ext>
                <a:ext uri="{FF2B5EF4-FFF2-40B4-BE49-F238E27FC236}">
                  <a16:creationId xmlns:a16="http://schemas.microsoft.com/office/drawing/2014/main" id="{00000000-0008-0000-0F00-0000B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799</xdr:row>
          <xdr:rowOff>0</xdr:rowOff>
        </xdr:from>
        <xdr:to>
          <xdr:col>22</xdr:col>
          <xdr:colOff>182880</xdr:colOff>
          <xdr:row>799</xdr:row>
          <xdr:rowOff>182880</xdr:rowOff>
        </xdr:to>
        <xdr:sp macro="" textlink="">
          <xdr:nvSpPr>
            <xdr:cNvPr id="15805" name="Check Box 445" hidden="1">
              <a:extLst>
                <a:ext uri="{63B3BB69-23CF-44E3-9099-C40C66FF867C}">
                  <a14:compatExt spid="_x0000_s15805"/>
                </a:ext>
                <a:ext uri="{FF2B5EF4-FFF2-40B4-BE49-F238E27FC236}">
                  <a16:creationId xmlns:a16="http://schemas.microsoft.com/office/drawing/2014/main" id="{00000000-0008-0000-0F00-0000B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808</xdr:row>
          <xdr:rowOff>0</xdr:rowOff>
        </xdr:from>
        <xdr:to>
          <xdr:col>22</xdr:col>
          <xdr:colOff>182880</xdr:colOff>
          <xdr:row>808</xdr:row>
          <xdr:rowOff>182880</xdr:rowOff>
        </xdr:to>
        <xdr:sp macro="" textlink="">
          <xdr:nvSpPr>
            <xdr:cNvPr id="15806" name="Check Box 446" hidden="1">
              <a:extLst>
                <a:ext uri="{63B3BB69-23CF-44E3-9099-C40C66FF867C}">
                  <a14:compatExt spid="_x0000_s15806"/>
                </a:ext>
                <a:ext uri="{FF2B5EF4-FFF2-40B4-BE49-F238E27FC236}">
                  <a16:creationId xmlns:a16="http://schemas.microsoft.com/office/drawing/2014/main" id="{00000000-0008-0000-0F00-0000B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811</xdr:row>
          <xdr:rowOff>0</xdr:rowOff>
        </xdr:from>
        <xdr:to>
          <xdr:col>22</xdr:col>
          <xdr:colOff>182880</xdr:colOff>
          <xdr:row>811</xdr:row>
          <xdr:rowOff>182880</xdr:rowOff>
        </xdr:to>
        <xdr:sp macro="" textlink="">
          <xdr:nvSpPr>
            <xdr:cNvPr id="15807" name="Check Box 447" hidden="1">
              <a:extLst>
                <a:ext uri="{63B3BB69-23CF-44E3-9099-C40C66FF867C}">
                  <a14:compatExt spid="_x0000_s15807"/>
                </a:ext>
                <a:ext uri="{FF2B5EF4-FFF2-40B4-BE49-F238E27FC236}">
                  <a16:creationId xmlns:a16="http://schemas.microsoft.com/office/drawing/2014/main" id="{00000000-0008-0000-0F00-0000B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812</xdr:row>
          <xdr:rowOff>0</xdr:rowOff>
        </xdr:from>
        <xdr:to>
          <xdr:col>22</xdr:col>
          <xdr:colOff>182880</xdr:colOff>
          <xdr:row>812</xdr:row>
          <xdr:rowOff>182880</xdr:rowOff>
        </xdr:to>
        <xdr:sp macro="" textlink="">
          <xdr:nvSpPr>
            <xdr:cNvPr id="15808" name="Check Box 448" hidden="1">
              <a:extLst>
                <a:ext uri="{63B3BB69-23CF-44E3-9099-C40C66FF867C}">
                  <a14:compatExt spid="_x0000_s15808"/>
                </a:ext>
                <a:ext uri="{FF2B5EF4-FFF2-40B4-BE49-F238E27FC236}">
                  <a16:creationId xmlns:a16="http://schemas.microsoft.com/office/drawing/2014/main" id="{00000000-0008-0000-0F00-0000C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816</xdr:row>
          <xdr:rowOff>0</xdr:rowOff>
        </xdr:from>
        <xdr:to>
          <xdr:col>22</xdr:col>
          <xdr:colOff>182880</xdr:colOff>
          <xdr:row>816</xdr:row>
          <xdr:rowOff>182880</xdr:rowOff>
        </xdr:to>
        <xdr:sp macro="" textlink="">
          <xdr:nvSpPr>
            <xdr:cNvPr id="15809" name="Check Box 449" hidden="1">
              <a:extLst>
                <a:ext uri="{63B3BB69-23CF-44E3-9099-C40C66FF867C}">
                  <a14:compatExt spid="_x0000_s15809"/>
                </a:ext>
                <a:ext uri="{FF2B5EF4-FFF2-40B4-BE49-F238E27FC236}">
                  <a16:creationId xmlns:a16="http://schemas.microsoft.com/office/drawing/2014/main" id="{00000000-0008-0000-0F00-0000C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818</xdr:row>
          <xdr:rowOff>0</xdr:rowOff>
        </xdr:from>
        <xdr:to>
          <xdr:col>22</xdr:col>
          <xdr:colOff>182880</xdr:colOff>
          <xdr:row>818</xdr:row>
          <xdr:rowOff>182880</xdr:rowOff>
        </xdr:to>
        <xdr:sp macro="" textlink="">
          <xdr:nvSpPr>
            <xdr:cNvPr id="15810" name="Check Box 450" hidden="1">
              <a:extLst>
                <a:ext uri="{63B3BB69-23CF-44E3-9099-C40C66FF867C}">
                  <a14:compatExt spid="_x0000_s15810"/>
                </a:ext>
                <a:ext uri="{FF2B5EF4-FFF2-40B4-BE49-F238E27FC236}">
                  <a16:creationId xmlns:a16="http://schemas.microsoft.com/office/drawing/2014/main" id="{00000000-0008-0000-0F00-0000C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850</xdr:row>
          <xdr:rowOff>0</xdr:rowOff>
        </xdr:from>
        <xdr:to>
          <xdr:col>22</xdr:col>
          <xdr:colOff>182880</xdr:colOff>
          <xdr:row>850</xdr:row>
          <xdr:rowOff>182880</xdr:rowOff>
        </xdr:to>
        <xdr:sp macro="" textlink="">
          <xdr:nvSpPr>
            <xdr:cNvPr id="15811" name="Check Box 451" hidden="1">
              <a:extLst>
                <a:ext uri="{63B3BB69-23CF-44E3-9099-C40C66FF867C}">
                  <a14:compatExt spid="_x0000_s15811"/>
                </a:ext>
                <a:ext uri="{FF2B5EF4-FFF2-40B4-BE49-F238E27FC236}">
                  <a16:creationId xmlns:a16="http://schemas.microsoft.com/office/drawing/2014/main" id="{00000000-0008-0000-0F00-0000C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853</xdr:row>
          <xdr:rowOff>0</xdr:rowOff>
        </xdr:from>
        <xdr:to>
          <xdr:col>22</xdr:col>
          <xdr:colOff>182880</xdr:colOff>
          <xdr:row>853</xdr:row>
          <xdr:rowOff>182880</xdr:rowOff>
        </xdr:to>
        <xdr:sp macro="" textlink="">
          <xdr:nvSpPr>
            <xdr:cNvPr id="15812" name="Check Box 452" hidden="1">
              <a:extLst>
                <a:ext uri="{63B3BB69-23CF-44E3-9099-C40C66FF867C}">
                  <a14:compatExt spid="_x0000_s15812"/>
                </a:ext>
                <a:ext uri="{FF2B5EF4-FFF2-40B4-BE49-F238E27FC236}">
                  <a16:creationId xmlns:a16="http://schemas.microsoft.com/office/drawing/2014/main" id="{00000000-0008-0000-0F00-0000C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880</xdr:row>
          <xdr:rowOff>0</xdr:rowOff>
        </xdr:from>
        <xdr:to>
          <xdr:col>22</xdr:col>
          <xdr:colOff>182880</xdr:colOff>
          <xdr:row>880</xdr:row>
          <xdr:rowOff>182880</xdr:rowOff>
        </xdr:to>
        <xdr:sp macro="" textlink="">
          <xdr:nvSpPr>
            <xdr:cNvPr id="15813" name="Check Box 453" hidden="1">
              <a:extLst>
                <a:ext uri="{63B3BB69-23CF-44E3-9099-C40C66FF867C}">
                  <a14:compatExt spid="_x0000_s15813"/>
                </a:ext>
                <a:ext uri="{FF2B5EF4-FFF2-40B4-BE49-F238E27FC236}">
                  <a16:creationId xmlns:a16="http://schemas.microsoft.com/office/drawing/2014/main" id="{00000000-0008-0000-0F00-0000C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894</xdr:row>
          <xdr:rowOff>0</xdr:rowOff>
        </xdr:from>
        <xdr:to>
          <xdr:col>22</xdr:col>
          <xdr:colOff>182880</xdr:colOff>
          <xdr:row>894</xdr:row>
          <xdr:rowOff>182880</xdr:rowOff>
        </xdr:to>
        <xdr:sp macro="" textlink="">
          <xdr:nvSpPr>
            <xdr:cNvPr id="15814" name="Check Box 454" hidden="1">
              <a:extLst>
                <a:ext uri="{63B3BB69-23CF-44E3-9099-C40C66FF867C}">
                  <a14:compatExt spid="_x0000_s15814"/>
                </a:ext>
                <a:ext uri="{FF2B5EF4-FFF2-40B4-BE49-F238E27FC236}">
                  <a16:creationId xmlns:a16="http://schemas.microsoft.com/office/drawing/2014/main" id="{00000000-0008-0000-0F00-0000C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896</xdr:row>
          <xdr:rowOff>0</xdr:rowOff>
        </xdr:from>
        <xdr:to>
          <xdr:col>22</xdr:col>
          <xdr:colOff>182880</xdr:colOff>
          <xdr:row>896</xdr:row>
          <xdr:rowOff>182880</xdr:rowOff>
        </xdr:to>
        <xdr:sp macro="" textlink="">
          <xdr:nvSpPr>
            <xdr:cNvPr id="15815" name="Check Box 455" hidden="1">
              <a:extLst>
                <a:ext uri="{63B3BB69-23CF-44E3-9099-C40C66FF867C}">
                  <a14:compatExt spid="_x0000_s15815"/>
                </a:ext>
                <a:ext uri="{FF2B5EF4-FFF2-40B4-BE49-F238E27FC236}">
                  <a16:creationId xmlns:a16="http://schemas.microsoft.com/office/drawing/2014/main" id="{00000000-0008-0000-0F00-0000C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897</xdr:row>
          <xdr:rowOff>0</xdr:rowOff>
        </xdr:from>
        <xdr:to>
          <xdr:col>22</xdr:col>
          <xdr:colOff>182880</xdr:colOff>
          <xdr:row>897</xdr:row>
          <xdr:rowOff>182880</xdr:rowOff>
        </xdr:to>
        <xdr:sp macro="" textlink="">
          <xdr:nvSpPr>
            <xdr:cNvPr id="15816" name="Check Box 456" hidden="1">
              <a:extLst>
                <a:ext uri="{63B3BB69-23CF-44E3-9099-C40C66FF867C}">
                  <a14:compatExt spid="_x0000_s15816"/>
                </a:ext>
                <a:ext uri="{FF2B5EF4-FFF2-40B4-BE49-F238E27FC236}">
                  <a16:creationId xmlns:a16="http://schemas.microsoft.com/office/drawing/2014/main" id="{00000000-0008-0000-0F00-0000C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902</xdr:row>
          <xdr:rowOff>0</xdr:rowOff>
        </xdr:from>
        <xdr:to>
          <xdr:col>22</xdr:col>
          <xdr:colOff>182880</xdr:colOff>
          <xdr:row>902</xdr:row>
          <xdr:rowOff>182880</xdr:rowOff>
        </xdr:to>
        <xdr:sp macro="" textlink="">
          <xdr:nvSpPr>
            <xdr:cNvPr id="15817" name="Check Box 457" hidden="1">
              <a:extLst>
                <a:ext uri="{63B3BB69-23CF-44E3-9099-C40C66FF867C}">
                  <a14:compatExt spid="_x0000_s15817"/>
                </a:ext>
                <a:ext uri="{FF2B5EF4-FFF2-40B4-BE49-F238E27FC236}">
                  <a16:creationId xmlns:a16="http://schemas.microsoft.com/office/drawing/2014/main" id="{00000000-0008-0000-0F00-0000C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919</xdr:row>
          <xdr:rowOff>0</xdr:rowOff>
        </xdr:from>
        <xdr:to>
          <xdr:col>22</xdr:col>
          <xdr:colOff>182880</xdr:colOff>
          <xdr:row>919</xdr:row>
          <xdr:rowOff>182880</xdr:rowOff>
        </xdr:to>
        <xdr:sp macro="" textlink="">
          <xdr:nvSpPr>
            <xdr:cNvPr id="15818" name="Check Box 458" hidden="1">
              <a:extLst>
                <a:ext uri="{63B3BB69-23CF-44E3-9099-C40C66FF867C}">
                  <a14:compatExt spid="_x0000_s15818"/>
                </a:ext>
                <a:ext uri="{FF2B5EF4-FFF2-40B4-BE49-F238E27FC236}">
                  <a16:creationId xmlns:a16="http://schemas.microsoft.com/office/drawing/2014/main" id="{00000000-0008-0000-0F00-0000C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932</xdr:row>
          <xdr:rowOff>0</xdr:rowOff>
        </xdr:from>
        <xdr:to>
          <xdr:col>22</xdr:col>
          <xdr:colOff>182880</xdr:colOff>
          <xdr:row>932</xdr:row>
          <xdr:rowOff>182880</xdr:rowOff>
        </xdr:to>
        <xdr:sp macro="" textlink="">
          <xdr:nvSpPr>
            <xdr:cNvPr id="15819" name="Check Box 459" hidden="1">
              <a:extLst>
                <a:ext uri="{63B3BB69-23CF-44E3-9099-C40C66FF867C}">
                  <a14:compatExt spid="_x0000_s15819"/>
                </a:ext>
                <a:ext uri="{FF2B5EF4-FFF2-40B4-BE49-F238E27FC236}">
                  <a16:creationId xmlns:a16="http://schemas.microsoft.com/office/drawing/2014/main" id="{00000000-0008-0000-0F00-0000C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935</xdr:row>
          <xdr:rowOff>0</xdr:rowOff>
        </xdr:from>
        <xdr:to>
          <xdr:col>22</xdr:col>
          <xdr:colOff>182880</xdr:colOff>
          <xdr:row>935</xdr:row>
          <xdr:rowOff>182880</xdr:rowOff>
        </xdr:to>
        <xdr:sp macro="" textlink="">
          <xdr:nvSpPr>
            <xdr:cNvPr id="15820" name="Check Box 460" hidden="1">
              <a:extLst>
                <a:ext uri="{63B3BB69-23CF-44E3-9099-C40C66FF867C}">
                  <a14:compatExt spid="_x0000_s15820"/>
                </a:ext>
                <a:ext uri="{FF2B5EF4-FFF2-40B4-BE49-F238E27FC236}">
                  <a16:creationId xmlns:a16="http://schemas.microsoft.com/office/drawing/2014/main" id="{00000000-0008-0000-0F00-0000C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938</xdr:row>
          <xdr:rowOff>0</xdr:rowOff>
        </xdr:from>
        <xdr:to>
          <xdr:col>22</xdr:col>
          <xdr:colOff>182880</xdr:colOff>
          <xdr:row>938</xdr:row>
          <xdr:rowOff>182880</xdr:rowOff>
        </xdr:to>
        <xdr:sp macro="" textlink="">
          <xdr:nvSpPr>
            <xdr:cNvPr id="15821" name="Check Box 461" hidden="1">
              <a:extLst>
                <a:ext uri="{63B3BB69-23CF-44E3-9099-C40C66FF867C}">
                  <a14:compatExt spid="_x0000_s15821"/>
                </a:ext>
                <a:ext uri="{FF2B5EF4-FFF2-40B4-BE49-F238E27FC236}">
                  <a16:creationId xmlns:a16="http://schemas.microsoft.com/office/drawing/2014/main" id="{00000000-0008-0000-0F00-0000C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947</xdr:row>
          <xdr:rowOff>0</xdr:rowOff>
        </xdr:from>
        <xdr:to>
          <xdr:col>22</xdr:col>
          <xdr:colOff>182880</xdr:colOff>
          <xdr:row>947</xdr:row>
          <xdr:rowOff>182880</xdr:rowOff>
        </xdr:to>
        <xdr:sp macro="" textlink="">
          <xdr:nvSpPr>
            <xdr:cNvPr id="15822" name="Check Box 462" hidden="1">
              <a:extLst>
                <a:ext uri="{63B3BB69-23CF-44E3-9099-C40C66FF867C}">
                  <a14:compatExt spid="_x0000_s15822"/>
                </a:ext>
                <a:ext uri="{FF2B5EF4-FFF2-40B4-BE49-F238E27FC236}">
                  <a16:creationId xmlns:a16="http://schemas.microsoft.com/office/drawing/2014/main" id="{00000000-0008-0000-0F00-0000C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954</xdr:row>
          <xdr:rowOff>0</xdr:rowOff>
        </xdr:from>
        <xdr:to>
          <xdr:col>22</xdr:col>
          <xdr:colOff>182880</xdr:colOff>
          <xdr:row>954</xdr:row>
          <xdr:rowOff>182880</xdr:rowOff>
        </xdr:to>
        <xdr:sp macro="" textlink="">
          <xdr:nvSpPr>
            <xdr:cNvPr id="15823" name="Check Box 463" hidden="1">
              <a:extLst>
                <a:ext uri="{63B3BB69-23CF-44E3-9099-C40C66FF867C}">
                  <a14:compatExt spid="_x0000_s15823"/>
                </a:ext>
                <a:ext uri="{FF2B5EF4-FFF2-40B4-BE49-F238E27FC236}">
                  <a16:creationId xmlns:a16="http://schemas.microsoft.com/office/drawing/2014/main" id="{00000000-0008-0000-0F00-0000C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999</xdr:row>
          <xdr:rowOff>0</xdr:rowOff>
        </xdr:from>
        <xdr:to>
          <xdr:col>22</xdr:col>
          <xdr:colOff>182880</xdr:colOff>
          <xdr:row>999</xdr:row>
          <xdr:rowOff>182880</xdr:rowOff>
        </xdr:to>
        <xdr:sp macro="" textlink="">
          <xdr:nvSpPr>
            <xdr:cNvPr id="15824" name="Check Box 464" hidden="1">
              <a:extLst>
                <a:ext uri="{63B3BB69-23CF-44E3-9099-C40C66FF867C}">
                  <a14:compatExt spid="_x0000_s15824"/>
                </a:ext>
                <a:ext uri="{FF2B5EF4-FFF2-40B4-BE49-F238E27FC236}">
                  <a16:creationId xmlns:a16="http://schemas.microsoft.com/office/drawing/2014/main" id="{00000000-0008-0000-0F00-0000D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1039</xdr:row>
          <xdr:rowOff>0</xdr:rowOff>
        </xdr:from>
        <xdr:to>
          <xdr:col>22</xdr:col>
          <xdr:colOff>182880</xdr:colOff>
          <xdr:row>1039</xdr:row>
          <xdr:rowOff>182880</xdr:rowOff>
        </xdr:to>
        <xdr:sp macro="" textlink="">
          <xdr:nvSpPr>
            <xdr:cNvPr id="15825" name="Check Box 465" hidden="1">
              <a:extLst>
                <a:ext uri="{63B3BB69-23CF-44E3-9099-C40C66FF867C}">
                  <a14:compatExt spid="_x0000_s15825"/>
                </a:ext>
                <a:ext uri="{FF2B5EF4-FFF2-40B4-BE49-F238E27FC236}">
                  <a16:creationId xmlns:a16="http://schemas.microsoft.com/office/drawing/2014/main" id="{00000000-0008-0000-0F00-0000D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1042</xdr:row>
          <xdr:rowOff>0</xdr:rowOff>
        </xdr:from>
        <xdr:to>
          <xdr:col>22</xdr:col>
          <xdr:colOff>182880</xdr:colOff>
          <xdr:row>1042</xdr:row>
          <xdr:rowOff>182880</xdr:rowOff>
        </xdr:to>
        <xdr:sp macro="" textlink="">
          <xdr:nvSpPr>
            <xdr:cNvPr id="15826" name="Check Box 466" hidden="1">
              <a:extLst>
                <a:ext uri="{63B3BB69-23CF-44E3-9099-C40C66FF867C}">
                  <a14:compatExt spid="_x0000_s15826"/>
                </a:ext>
                <a:ext uri="{FF2B5EF4-FFF2-40B4-BE49-F238E27FC236}">
                  <a16:creationId xmlns:a16="http://schemas.microsoft.com/office/drawing/2014/main" id="{00000000-0008-0000-0F00-0000D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1052</xdr:row>
          <xdr:rowOff>0</xdr:rowOff>
        </xdr:from>
        <xdr:to>
          <xdr:col>22</xdr:col>
          <xdr:colOff>182880</xdr:colOff>
          <xdr:row>1052</xdr:row>
          <xdr:rowOff>182880</xdr:rowOff>
        </xdr:to>
        <xdr:sp macro="" textlink="">
          <xdr:nvSpPr>
            <xdr:cNvPr id="15827" name="Check Box 467" hidden="1">
              <a:extLst>
                <a:ext uri="{63B3BB69-23CF-44E3-9099-C40C66FF867C}">
                  <a14:compatExt spid="_x0000_s15827"/>
                </a:ext>
                <a:ext uri="{FF2B5EF4-FFF2-40B4-BE49-F238E27FC236}">
                  <a16:creationId xmlns:a16="http://schemas.microsoft.com/office/drawing/2014/main" id="{00000000-0008-0000-0F00-0000D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1059</xdr:row>
          <xdr:rowOff>0</xdr:rowOff>
        </xdr:from>
        <xdr:to>
          <xdr:col>22</xdr:col>
          <xdr:colOff>182880</xdr:colOff>
          <xdr:row>1059</xdr:row>
          <xdr:rowOff>182880</xdr:rowOff>
        </xdr:to>
        <xdr:sp macro="" textlink="">
          <xdr:nvSpPr>
            <xdr:cNvPr id="15828" name="Check Box 468" hidden="1">
              <a:extLst>
                <a:ext uri="{63B3BB69-23CF-44E3-9099-C40C66FF867C}">
                  <a14:compatExt spid="_x0000_s15828"/>
                </a:ext>
                <a:ext uri="{FF2B5EF4-FFF2-40B4-BE49-F238E27FC236}">
                  <a16:creationId xmlns:a16="http://schemas.microsoft.com/office/drawing/2014/main" id="{00000000-0008-0000-0F00-0000D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1065</xdr:row>
          <xdr:rowOff>0</xdr:rowOff>
        </xdr:from>
        <xdr:to>
          <xdr:col>22</xdr:col>
          <xdr:colOff>182880</xdr:colOff>
          <xdr:row>1065</xdr:row>
          <xdr:rowOff>182880</xdr:rowOff>
        </xdr:to>
        <xdr:sp macro="" textlink="">
          <xdr:nvSpPr>
            <xdr:cNvPr id="15829" name="Check Box 469" hidden="1">
              <a:extLst>
                <a:ext uri="{63B3BB69-23CF-44E3-9099-C40C66FF867C}">
                  <a14:compatExt spid="_x0000_s15829"/>
                </a:ext>
                <a:ext uri="{FF2B5EF4-FFF2-40B4-BE49-F238E27FC236}">
                  <a16:creationId xmlns:a16="http://schemas.microsoft.com/office/drawing/2014/main" id="{00000000-0008-0000-0F00-0000D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1067</xdr:row>
          <xdr:rowOff>0</xdr:rowOff>
        </xdr:from>
        <xdr:to>
          <xdr:col>22</xdr:col>
          <xdr:colOff>182880</xdr:colOff>
          <xdr:row>1067</xdr:row>
          <xdr:rowOff>182880</xdr:rowOff>
        </xdr:to>
        <xdr:sp macro="" textlink="">
          <xdr:nvSpPr>
            <xdr:cNvPr id="15830" name="Check Box 470" hidden="1">
              <a:extLst>
                <a:ext uri="{63B3BB69-23CF-44E3-9099-C40C66FF867C}">
                  <a14:compatExt spid="_x0000_s15830"/>
                </a:ext>
                <a:ext uri="{FF2B5EF4-FFF2-40B4-BE49-F238E27FC236}">
                  <a16:creationId xmlns:a16="http://schemas.microsoft.com/office/drawing/2014/main" id="{00000000-0008-0000-0F00-0000D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1070</xdr:row>
          <xdr:rowOff>0</xdr:rowOff>
        </xdr:from>
        <xdr:to>
          <xdr:col>22</xdr:col>
          <xdr:colOff>182880</xdr:colOff>
          <xdr:row>1070</xdr:row>
          <xdr:rowOff>182880</xdr:rowOff>
        </xdr:to>
        <xdr:sp macro="" textlink="">
          <xdr:nvSpPr>
            <xdr:cNvPr id="15831" name="Check Box 471" hidden="1">
              <a:extLst>
                <a:ext uri="{63B3BB69-23CF-44E3-9099-C40C66FF867C}">
                  <a14:compatExt spid="_x0000_s15831"/>
                </a:ext>
                <a:ext uri="{FF2B5EF4-FFF2-40B4-BE49-F238E27FC236}">
                  <a16:creationId xmlns:a16="http://schemas.microsoft.com/office/drawing/2014/main" id="{00000000-0008-0000-0F00-0000D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1071</xdr:row>
          <xdr:rowOff>0</xdr:rowOff>
        </xdr:from>
        <xdr:to>
          <xdr:col>22</xdr:col>
          <xdr:colOff>182880</xdr:colOff>
          <xdr:row>1071</xdr:row>
          <xdr:rowOff>182880</xdr:rowOff>
        </xdr:to>
        <xdr:sp macro="" textlink="">
          <xdr:nvSpPr>
            <xdr:cNvPr id="15832" name="Check Box 472" hidden="1">
              <a:extLst>
                <a:ext uri="{63B3BB69-23CF-44E3-9099-C40C66FF867C}">
                  <a14:compatExt spid="_x0000_s15832"/>
                </a:ext>
                <a:ext uri="{FF2B5EF4-FFF2-40B4-BE49-F238E27FC236}">
                  <a16:creationId xmlns:a16="http://schemas.microsoft.com/office/drawing/2014/main" id="{00000000-0008-0000-0F00-0000D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1073</xdr:row>
          <xdr:rowOff>0</xdr:rowOff>
        </xdr:from>
        <xdr:to>
          <xdr:col>22</xdr:col>
          <xdr:colOff>182880</xdr:colOff>
          <xdr:row>1073</xdr:row>
          <xdr:rowOff>182880</xdr:rowOff>
        </xdr:to>
        <xdr:sp macro="" textlink="">
          <xdr:nvSpPr>
            <xdr:cNvPr id="15833" name="Check Box 473" hidden="1">
              <a:extLst>
                <a:ext uri="{63B3BB69-23CF-44E3-9099-C40C66FF867C}">
                  <a14:compatExt spid="_x0000_s15833"/>
                </a:ext>
                <a:ext uri="{FF2B5EF4-FFF2-40B4-BE49-F238E27FC236}">
                  <a16:creationId xmlns:a16="http://schemas.microsoft.com/office/drawing/2014/main" id="{00000000-0008-0000-0F00-0000D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1103</xdr:row>
          <xdr:rowOff>0</xdr:rowOff>
        </xdr:from>
        <xdr:to>
          <xdr:col>22</xdr:col>
          <xdr:colOff>182880</xdr:colOff>
          <xdr:row>1103</xdr:row>
          <xdr:rowOff>182880</xdr:rowOff>
        </xdr:to>
        <xdr:sp macro="" textlink="">
          <xdr:nvSpPr>
            <xdr:cNvPr id="15834" name="Check Box 474" hidden="1">
              <a:extLst>
                <a:ext uri="{63B3BB69-23CF-44E3-9099-C40C66FF867C}">
                  <a14:compatExt spid="_x0000_s15834"/>
                </a:ext>
                <a:ext uri="{FF2B5EF4-FFF2-40B4-BE49-F238E27FC236}">
                  <a16:creationId xmlns:a16="http://schemas.microsoft.com/office/drawing/2014/main" id="{00000000-0008-0000-0F00-0000D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1105</xdr:row>
          <xdr:rowOff>0</xdr:rowOff>
        </xdr:from>
        <xdr:to>
          <xdr:col>22</xdr:col>
          <xdr:colOff>182880</xdr:colOff>
          <xdr:row>1105</xdr:row>
          <xdr:rowOff>182880</xdr:rowOff>
        </xdr:to>
        <xdr:sp macro="" textlink="">
          <xdr:nvSpPr>
            <xdr:cNvPr id="15835" name="Check Box 475" hidden="1">
              <a:extLst>
                <a:ext uri="{63B3BB69-23CF-44E3-9099-C40C66FF867C}">
                  <a14:compatExt spid="_x0000_s15835"/>
                </a:ext>
                <a:ext uri="{FF2B5EF4-FFF2-40B4-BE49-F238E27FC236}">
                  <a16:creationId xmlns:a16="http://schemas.microsoft.com/office/drawing/2014/main" id="{00000000-0008-0000-0F00-0000D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1107</xdr:row>
          <xdr:rowOff>0</xdr:rowOff>
        </xdr:from>
        <xdr:to>
          <xdr:col>22</xdr:col>
          <xdr:colOff>182880</xdr:colOff>
          <xdr:row>1107</xdr:row>
          <xdr:rowOff>182880</xdr:rowOff>
        </xdr:to>
        <xdr:sp macro="" textlink="">
          <xdr:nvSpPr>
            <xdr:cNvPr id="15836" name="Check Box 476" hidden="1">
              <a:extLst>
                <a:ext uri="{63B3BB69-23CF-44E3-9099-C40C66FF867C}">
                  <a14:compatExt spid="_x0000_s15836"/>
                </a:ext>
                <a:ext uri="{FF2B5EF4-FFF2-40B4-BE49-F238E27FC236}">
                  <a16:creationId xmlns:a16="http://schemas.microsoft.com/office/drawing/2014/main" id="{00000000-0008-0000-0F00-0000D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1119</xdr:row>
          <xdr:rowOff>0</xdr:rowOff>
        </xdr:from>
        <xdr:to>
          <xdr:col>22</xdr:col>
          <xdr:colOff>182880</xdr:colOff>
          <xdr:row>1119</xdr:row>
          <xdr:rowOff>182880</xdr:rowOff>
        </xdr:to>
        <xdr:sp macro="" textlink="">
          <xdr:nvSpPr>
            <xdr:cNvPr id="15837" name="Check Box 477" hidden="1">
              <a:extLst>
                <a:ext uri="{63B3BB69-23CF-44E3-9099-C40C66FF867C}">
                  <a14:compatExt spid="_x0000_s15837"/>
                </a:ext>
                <a:ext uri="{FF2B5EF4-FFF2-40B4-BE49-F238E27FC236}">
                  <a16:creationId xmlns:a16="http://schemas.microsoft.com/office/drawing/2014/main" id="{00000000-0008-0000-0F00-0000D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1121</xdr:row>
          <xdr:rowOff>0</xdr:rowOff>
        </xdr:from>
        <xdr:to>
          <xdr:col>22</xdr:col>
          <xdr:colOff>182880</xdr:colOff>
          <xdr:row>1121</xdr:row>
          <xdr:rowOff>182880</xdr:rowOff>
        </xdr:to>
        <xdr:sp macro="" textlink="">
          <xdr:nvSpPr>
            <xdr:cNvPr id="15838" name="Check Box 478" hidden="1">
              <a:extLst>
                <a:ext uri="{63B3BB69-23CF-44E3-9099-C40C66FF867C}">
                  <a14:compatExt spid="_x0000_s15838"/>
                </a:ext>
                <a:ext uri="{FF2B5EF4-FFF2-40B4-BE49-F238E27FC236}">
                  <a16:creationId xmlns:a16="http://schemas.microsoft.com/office/drawing/2014/main" id="{00000000-0008-0000-0F00-0000D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1123</xdr:row>
          <xdr:rowOff>0</xdr:rowOff>
        </xdr:from>
        <xdr:to>
          <xdr:col>22</xdr:col>
          <xdr:colOff>182880</xdr:colOff>
          <xdr:row>1123</xdr:row>
          <xdr:rowOff>182880</xdr:rowOff>
        </xdr:to>
        <xdr:sp macro="" textlink="">
          <xdr:nvSpPr>
            <xdr:cNvPr id="15839" name="Check Box 479" hidden="1">
              <a:extLst>
                <a:ext uri="{63B3BB69-23CF-44E3-9099-C40C66FF867C}">
                  <a14:compatExt spid="_x0000_s15839"/>
                </a:ext>
                <a:ext uri="{FF2B5EF4-FFF2-40B4-BE49-F238E27FC236}">
                  <a16:creationId xmlns:a16="http://schemas.microsoft.com/office/drawing/2014/main" id="{00000000-0008-0000-0F00-0000D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1126</xdr:row>
          <xdr:rowOff>0</xdr:rowOff>
        </xdr:from>
        <xdr:to>
          <xdr:col>22</xdr:col>
          <xdr:colOff>182880</xdr:colOff>
          <xdr:row>1126</xdr:row>
          <xdr:rowOff>182880</xdr:rowOff>
        </xdr:to>
        <xdr:sp macro="" textlink="">
          <xdr:nvSpPr>
            <xdr:cNvPr id="15840" name="Check Box 480" hidden="1">
              <a:extLst>
                <a:ext uri="{63B3BB69-23CF-44E3-9099-C40C66FF867C}">
                  <a14:compatExt spid="_x0000_s15840"/>
                </a:ext>
                <a:ext uri="{FF2B5EF4-FFF2-40B4-BE49-F238E27FC236}">
                  <a16:creationId xmlns:a16="http://schemas.microsoft.com/office/drawing/2014/main" id="{00000000-0008-0000-0F00-0000E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1127</xdr:row>
          <xdr:rowOff>0</xdr:rowOff>
        </xdr:from>
        <xdr:to>
          <xdr:col>22</xdr:col>
          <xdr:colOff>182880</xdr:colOff>
          <xdr:row>1127</xdr:row>
          <xdr:rowOff>182880</xdr:rowOff>
        </xdr:to>
        <xdr:sp macro="" textlink="">
          <xdr:nvSpPr>
            <xdr:cNvPr id="15841" name="Check Box 481" hidden="1">
              <a:extLst>
                <a:ext uri="{63B3BB69-23CF-44E3-9099-C40C66FF867C}">
                  <a14:compatExt spid="_x0000_s15841"/>
                </a:ext>
                <a:ext uri="{FF2B5EF4-FFF2-40B4-BE49-F238E27FC236}">
                  <a16:creationId xmlns:a16="http://schemas.microsoft.com/office/drawing/2014/main" id="{00000000-0008-0000-0F00-0000E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1128</xdr:row>
          <xdr:rowOff>0</xdr:rowOff>
        </xdr:from>
        <xdr:to>
          <xdr:col>22</xdr:col>
          <xdr:colOff>182880</xdr:colOff>
          <xdr:row>1128</xdr:row>
          <xdr:rowOff>182880</xdr:rowOff>
        </xdr:to>
        <xdr:sp macro="" textlink="">
          <xdr:nvSpPr>
            <xdr:cNvPr id="15842" name="Check Box 482" hidden="1">
              <a:extLst>
                <a:ext uri="{63B3BB69-23CF-44E3-9099-C40C66FF867C}">
                  <a14:compatExt spid="_x0000_s15842"/>
                </a:ext>
                <a:ext uri="{FF2B5EF4-FFF2-40B4-BE49-F238E27FC236}">
                  <a16:creationId xmlns:a16="http://schemas.microsoft.com/office/drawing/2014/main" id="{00000000-0008-0000-0F00-0000E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1131</xdr:row>
          <xdr:rowOff>0</xdr:rowOff>
        </xdr:from>
        <xdr:to>
          <xdr:col>22</xdr:col>
          <xdr:colOff>182880</xdr:colOff>
          <xdr:row>1131</xdr:row>
          <xdr:rowOff>182880</xdr:rowOff>
        </xdr:to>
        <xdr:sp macro="" textlink="">
          <xdr:nvSpPr>
            <xdr:cNvPr id="15843" name="Check Box 483" hidden="1">
              <a:extLst>
                <a:ext uri="{63B3BB69-23CF-44E3-9099-C40C66FF867C}">
                  <a14:compatExt spid="_x0000_s15843"/>
                </a:ext>
                <a:ext uri="{FF2B5EF4-FFF2-40B4-BE49-F238E27FC236}">
                  <a16:creationId xmlns:a16="http://schemas.microsoft.com/office/drawing/2014/main" id="{00000000-0008-0000-0F00-0000E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1159</xdr:row>
          <xdr:rowOff>0</xdr:rowOff>
        </xdr:from>
        <xdr:to>
          <xdr:col>22</xdr:col>
          <xdr:colOff>182880</xdr:colOff>
          <xdr:row>1159</xdr:row>
          <xdr:rowOff>182880</xdr:rowOff>
        </xdr:to>
        <xdr:sp macro="" textlink="">
          <xdr:nvSpPr>
            <xdr:cNvPr id="15844" name="Check Box 484" hidden="1">
              <a:extLst>
                <a:ext uri="{63B3BB69-23CF-44E3-9099-C40C66FF867C}">
                  <a14:compatExt spid="_x0000_s15844"/>
                </a:ext>
                <a:ext uri="{FF2B5EF4-FFF2-40B4-BE49-F238E27FC236}">
                  <a16:creationId xmlns:a16="http://schemas.microsoft.com/office/drawing/2014/main" id="{00000000-0008-0000-0F00-0000E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1167</xdr:row>
          <xdr:rowOff>0</xdr:rowOff>
        </xdr:from>
        <xdr:to>
          <xdr:col>22</xdr:col>
          <xdr:colOff>182880</xdr:colOff>
          <xdr:row>1167</xdr:row>
          <xdr:rowOff>182880</xdr:rowOff>
        </xdr:to>
        <xdr:sp macro="" textlink="">
          <xdr:nvSpPr>
            <xdr:cNvPr id="15845" name="Check Box 485" hidden="1">
              <a:extLst>
                <a:ext uri="{63B3BB69-23CF-44E3-9099-C40C66FF867C}">
                  <a14:compatExt spid="_x0000_s15845"/>
                </a:ext>
                <a:ext uri="{FF2B5EF4-FFF2-40B4-BE49-F238E27FC236}">
                  <a16:creationId xmlns:a16="http://schemas.microsoft.com/office/drawing/2014/main" id="{00000000-0008-0000-0F00-0000E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1169</xdr:row>
          <xdr:rowOff>0</xdr:rowOff>
        </xdr:from>
        <xdr:to>
          <xdr:col>22</xdr:col>
          <xdr:colOff>182880</xdr:colOff>
          <xdr:row>1169</xdr:row>
          <xdr:rowOff>182880</xdr:rowOff>
        </xdr:to>
        <xdr:sp macro="" textlink="">
          <xdr:nvSpPr>
            <xdr:cNvPr id="15846" name="Check Box 486" hidden="1">
              <a:extLst>
                <a:ext uri="{63B3BB69-23CF-44E3-9099-C40C66FF867C}">
                  <a14:compatExt spid="_x0000_s15846"/>
                </a:ext>
                <a:ext uri="{FF2B5EF4-FFF2-40B4-BE49-F238E27FC236}">
                  <a16:creationId xmlns:a16="http://schemas.microsoft.com/office/drawing/2014/main" id="{00000000-0008-0000-0F00-0000E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1170</xdr:row>
          <xdr:rowOff>0</xdr:rowOff>
        </xdr:from>
        <xdr:to>
          <xdr:col>22</xdr:col>
          <xdr:colOff>182880</xdr:colOff>
          <xdr:row>1170</xdr:row>
          <xdr:rowOff>182880</xdr:rowOff>
        </xdr:to>
        <xdr:sp macro="" textlink="">
          <xdr:nvSpPr>
            <xdr:cNvPr id="15847" name="Check Box 487" hidden="1">
              <a:extLst>
                <a:ext uri="{63B3BB69-23CF-44E3-9099-C40C66FF867C}">
                  <a14:compatExt spid="_x0000_s15847"/>
                </a:ext>
                <a:ext uri="{FF2B5EF4-FFF2-40B4-BE49-F238E27FC236}">
                  <a16:creationId xmlns:a16="http://schemas.microsoft.com/office/drawing/2014/main" id="{00000000-0008-0000-0F00-0000E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1171</xdr:row>
          <xdr:rowOff>0</xdr:rowOff>
        </xdr:from>
        <xdr:to>
          <xdr:col>22</xdr:col>
          <xdr:colOff>182880</xdr:colOff>
          <xdr:row>1171</xdr:row>
          <xdr:rowOff>182880</xdr:rowOff>
        </xdr:to>
        <xdr:sp macro="" textlink="">
          <xdr:nvSpPr>
            <xdr:cNvPr id="15848" name="Check Box 488" hidden="1">
              <a:extLst>
                <a:ext uri="{63B3BB69-23CF-44E3-9099-C40C66FF867C}">
                  <a14:compatExt spid="_x0000_s15848"/>
                </a:ext>
                <a:ext uri="{FF2B5EF4-FFF2-40B4-BE49-F238E27FC236}">
                  <a16:creationId xmlns:a16="http://schemas.microsoft.com/office/drawing/2014/main" id="{00000000-0008-0000-0F00-0000E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1173</xdr:row>
          <xdr:rowOff>0</xdr:rowOff>
        </xdr:from>
        <xdr:to>
          <xdr:col>22</xdr:col>
          <xdr:colOff>182880</xdr:colOff>
          <xdr:row>1173</xdr:row>
          <xdr:rowOff>182880</xdr:rowOff>
        </xdr:to>
        <xdr:sp macro="" textlink="">
          <xdr:nvSpPr>
            <xdr:cNvPr id="15849" name="Check Box 489" hidden="1">
              <a:extLst>
                <a:ext uri="{63B3BB69-23CF-44E3-9099-C40C66FF867C}">
                  <a14:compatExt spid="_x0000_s15849"/>
                </a:ext>
                <a:ext uri="{FF2B5EF4-FFF2-40B4-BE49-F238E27FC236}">
                  <a16:creationId xmlns:a16="http://schemas.microsoft.com/office/drawing/2014/main" id="{00000000-0008-0000-0F00-0000E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1176</xdr:row>
          <xdr:rowOff>0</xdr:rowOff>
        </xdr:from>
        <xdr:to>
          <xdr:col>22</xdr:col>
          <xdr:colOff>182880</xdr:colOff>
          <xdr:row>1176</xdr:row>
          <xdr:rowOff>182880</xdr:rowOff>
        </xdr:to>
        <xdr:sp macro="" textlink="">
          <xdr:nvSpPr>
            <xdr:cNvPr id="15850" name="Check Box 490" hidden="1">
              <a:extLst>
                <a:ext uri="{63B3BB69-23CF-44E3-9099-C40C66FF867C}">
                  <a14:compatExt spid="_x0000_s15850"/>
                </a:ext>
                <a:ext uri="{FF2B5EF4-FFF2-40B4-BE49-F238E27FC236}">
                  <a16:creationId xmlns:a16="http://schemas.microsoft.com/office/drawing/2014/main" id="{00000000-0008-0000-0F00-0000E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1177</xdr:row>
          <xdr:rowOff>0</xdr:rowOff>
        </xdr:from>
        <xdr:to>
          <xdr:col>22</xdr:col>
          <xdr:colOff>182880</xdr:colOff>
          <xdr:row>1177</xdr:row>
          <xdr:rowOff>182880</xdr:rowOff>
        </xdr:to>
        <xdr:sp macro="" textlink="">
          <xdr:nvSpPr>
            <xdr:cNvPr id="15851" name="Check Box 491" hidden="1">
              <a:extLst>
                <a:ext uri="{63B3BB69-23CF-44E3-9099-C40C66FF867C}">
                  <a14:compatExt spid="_x0000_s15851"/>
                </a:ext>
                <a:ext uri="{FF2B5EF4-FFF2-40B4-BE49-F238E27FC236}">
                  <a16:creationId xmlns:a16="http://schemas.microsoft.com/office/drawing/2014/main" id="{00000000-0008-0000-0F00-0000E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1182</xdr:row>
          <xdr:rowOff>0</xdr:rowOff>
        </xdr:from>
        <xdr:to>
          <xdr:col>22</xdr:col>
          <xdr:colOff>182880</xdr:colOff>
          <xdr:row>1182</xdr:row>
          <xdr:rowOff>182880</xdr:rowOff>
        </xdr:to>
        <xdr:sp macro="" textlink="">
          <xdr:nvSpPr>
            <xdr:cNvPr id="15852" name="Check Box 492" hidden="1">
              <a:extLst>
                <a:ext uri="{63B3BB69-23CF-44E3-9099-C40C66FF867C}">
                  <a14:compatExt spid="_x0000_s15852"/>
                </a:ext>
                <a:ext uri="{FF2B5EF4-FFF2-40B4-BE49-F238E27FC236}">
                  <a16:creationId xmlns:a16="http://schemas.microsoft.com/office/drawing/2014/main" id="{00000000-0008-0000-0F00-0000E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1184</xdr:row>
          <xdr:rowOff>0</xdr:rowOff>
        </xdr:from>
        <xdr:to>
          <xdr:col>22</xdr:col>
          <xdr:colOff>182880</xdr:colOff>
          <xdr:row>1184</xdr:row>
          <xdr:rowOff>182880</xdr:rowOff>
        </xdr:to>
        <xdr:sp macro="" textlink="">
          <xdr:nvSpPr>
            <xdr:cNvPr id="15853" name="Check Box 493" hidden="1">
              <a:extLst>
                <a:ext uri="{63B3BB69-23CF-44E3-9099-C40C66FF867C}">
                  <a14:compatExt spid="_x0000_s15853"/>
                </a:ext>
                <a:ext uri="{FF2B5EF4-FFF2-40B4-BE49-F238E27FC236}">
                  <a16:creationId xmlns:a16="http://schemas.microsoft.com/office/drawing/2014/main" id="{00000000-0008-0000-0F00-0000E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1186</xdr:row>
          <xdr:rowOff>0</xdr:rowOff>
        </xdr:from>
        <xdr:to>
          <xdr:col>22</xdr:col>
          <xdr:colOff>182880</xdr:colOff>
          <xdr:row>1186</xdr:row>
          <xdr:rowOff>182880</xdr:rowOff>
        </xdr:to>
        <xdr:sp macro="" textlink="">
          <xdr:nvSpPr>
            <xdr:cNvPr id="15854" name="Check Box 494" hidden="1">
              <a:extLst>
                <a:ext uri="{63B3BB69-23CF-44E3-9099-C40C66FF867C}">
                  <a14:compatExt spid="_x0000_s15854"/>
                </a:ext>
                <a:ext uri="{FF2B5EF4-FFF2-40B4-BE49-F238E27FC236}">
                  <a16:creationId xmlns:a16="http://schemas.microsoft.com/office/drawing/2014/main" id="{00000000-0008-0000-0F00-0000E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1188</xdr:row>
          <xdr:rowOff>0</xdr:rowOff>
        </xdr:from>
        <xdr:to>
          <xdr:col>22</xdr:col>
          <xdr:colOff>182880</xdr:colOff>
          <xdr:row>1188</xdr:row>
          <xdr:rowOff>182880</xdr:rowOff>
        </xdr:to>
        <xdr:sp macro="" textlink="">
          <xdr:nvSpPr>
            <xdr:cNvPr id="15855" name="Check Box 495" hidden="1">
              <a:extLst>
                <a:ext uri="{63B3BB69-23CF-44E3-9099-C40C66FF867C}">
                  <a14:compatExt spid="_x0000_s15855"/>
                </a:ext>
                <a:ext uri="{FF2B5EF4-FFF2-40B4-BE49-F238E27FC236}">
                  <a16:creationId xmlns:a16="http://schemas.microsoft.com/office/drawing/2014/main" id="{00000000-0008-0000-0F00-0000E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1229</xdr:row>
          <xdr:rowOff>0</xdr:rowOff>
        </xdr:from>
        <xdr:to>
          <xdr:col>22</xdr:col>
          <xdr:colOff>182880</xdr:colOff>
          <xdr:row>1229</xdr:row>
          <xdr:rowOff>182880</xdr:rowOff>
        </xdr:to>
        <xdr:sp macro="" textlink="">
          <xdr:nvSpPr>
            <xdr:cNvPr id="15856" name="Check Box 496" hidden="1">
              <a:extLst>
                <a:ext uri="{63B3BB69-23CF-44E3-9099-C40C66FF867C}">
                  <a14:compatExt spid="_x0000_s15856"/>
                </a:ext>
                <a:ext uri="{FF2B5EF4-FFF2-40B4-BE49-F238E27FC236}">
                  <a16:creationId xmlns:a16="http://schemas.microsoft.com/office/drawing/2014/main" id="{00000000-0008-0000-0F00-0000F0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1246</xdr:row>
          <xdr:rowOff>0</xdr:rowOff>
        </xdr:from>
        <xdr:to>
          <xdr:col>22</xdr:col>
          <xdr:colOff>182880</xdr:colOff>
          <xdr:row>1246</xdr:row>
          <xdr:rowOff>182880</xdr:rowOff>
        </xdr:to>
        <xdr:sp macro="" textlink="">
          <xdr:nvSpPr>
            <xdr:cNvPr id="15857" name="Check Box 497" hidden="1">
              <a:extLst>
                <a:ext uri="{63B3BB69-23CF-44E3-9099-C40C66FF867C}">
                  <a14:compatExt spid="_x0000_s15857"/>
                </a:ext>
                <a:ext uri="{FF2B5EF4-FFF2-40B4-BE49-F238E27FC236}">
                  <a16:creationId xmlns:a16="http://schemas.microsoft.com/office/drawing/2014/main" id="{00000000-0008-0000-0F00-0000F1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1249</xdr:row>
          <xdr:rowOff>0</xdr:rowOff>
        </xdr:from>
        <xdr:to>
          <xdr:col>22</xdr:col>
          <xdr:colOff>182880</xdr:colOff>
          <xdr:row>1249</xdr:row>
          <xdr:rowOff>182880</xdr:rowOff>
        </xdr:to>
        <xdr:sp macro="" textlink="">
          <xdr:nvSpPr>
            <xdr:cNvPr id="15858" name="Check Box 498" hidden="1">
              <a:extLst>
                <a:ext uri="{63B3BB69-23CF-44E3-9099-C40C66FF867C}">
                  <a14:compatExt spid="_x0000_s15858"/>
                </a:ext>
                <a:ext uri="{FF2B5EF4-FFF2-40B4-BE49-F238E27FC236}">
                  <a16:creationId xmlns:a16="http://schemas.microsoft.com/office/drawing/2014/main" id="{00000000-0008-0000-0F00-0000F2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1254</xdr:row>
          <xdr:rowOff>0</xdr:rowOff>
        </xdr:from>
        <xdr:to>
          <xdr:col>22</xdr:col>
          <xdr:colOff>182880</xdr:colOff>
          <xdr:row>1254</xdr:row>
          <xdr:rowOff>182880</xdr:rowOff>
        </xdr:to>
        <xdr:sp macro="" textlink="">
          <xdr:nvSpPr>
            <xdr:cNvPr id="15859" name="Check Box 499" hidden="1">
              <a:extLst>
                <a:ext uri="{63B3BB69-23CF-44E3-9099-C40C66FF867C}">
                  <a14:compatExt spid="_x0000_s15859"/>
                </a:ext>
                <a:ext uri="{FF2B5EF4-FFF2-40B4-BE49-F238E27FC236}">
                  <a16:creationId xmlns:a16="http://schemas.microsoft.com/office/drawing/2014/main" id="{00000000-0008-0000-0F00-0000F3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1255</xdr:row>
          <xdr:rowOff>0</xdr:rowOff>
        </xdr:from>
        <xdr:to>
          <xdr:col>22</xdr:col>
          <xdr:colOff>182880</xdr:colOff>
          <xdr:row>1255</xdr:row>
          <xdr:rowOff>182880</xdr:rowOff>
        </xdr:to>
        <xdr:sp macro="" textlink="">
          <xdr:nvSpPr>
            <xdr:cNvPr id="15860" name="Check Box 500" hidden="1">
              <a:extLst>
                <a:ext uri="{63B3BB69-23CF-44E3-9099-C40C66FF867C}">
                  <a14:compatExt spid="_x0000_s15860"/>
                </a:ext>
                <a:ext uri="{FF2B5EF4-FFF2-40B4-BE49-F238E27FC236}">
                  <a16:creationId xmlns:a16="http://schemas.microsoft.com/office/drawing/2014/main" id="{00000000-0008-0000-0F00-0000F4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1259</xdr:row>
          <xdr:rowOff>0</xdr:rowOff>
        </xdr:from>
        <xdr:to>
          <xdr:col>22</xdr:col>
          <xdr:colOff>182880</xdr:colOff>
          <xdr:row>1259</xdr:row>
          <xdr:rowOff>182880</xdr:rowOff>
        </xdr:to>
        <xdr:sp macro="" textlink="">
          <xdr:nvSpPr>
            <xdr:cNvPr id="15861" name="Check Box 501" hidden="1">
              <a:extLst>
                <a:ext uri="{63B3BB69-23CF-44E3-9099-C40C66FF867C}">
                  <a14:compatExt spid="_x0000_s15861"/>
                </a:ext>
                <a:ext uri="{FF2B5EF4-FFF2-40B4-BE49-F238E27FC236}">
                  <a16:creationId xmlns:a16="http://schemas.microsoft.com/office/drawing/2014/main" id="{00000000-0008-0000-0F00-0000F5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1264</xdr:row>
          <xdr:rowOff>0</xdr:rowOff>
        </xdr:from>
        <xdr:to>
          <xdr:col>22</xdr:col>
          <xdr:colOff>182880</xdr:colOff>
          <xdr:row>1264</xdr:row>
          <xdr:rowOff>182880</xdr:rowOff>
        </xdr:to>
        <xdr:sp macro="" textlink="">
          <xdr:nvSpPr>
            <xdr:cNvPr id="15862" name="Check Box 502" hidden="1">
              <a:extLst>
                <a:ext uri="{63B3BB69-23CF-44E3-9099-C40C66FF867C}">
                  <a14:compatExt spid="_x0000_s15862"/>
                </a:ext>
                <a:ext uri="{FF2B5EF4-FFF2-40B4-BE49-F238E27FC236}">
                  <a16:creationId xmlns:a16="http://schemas.microsoft.com/office/drawing/2014/main" id="{00000000-0008-0000-0F00-0000F6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1287</xdr:row>
          <xdr:rowOff>0</xdr:rowOff>
        </xdr:from>
        <xdr:to>
          <xdr:col>22</xdr:col>
          <xdr:colOff>182880</xdr:colOff>
          <xdr:row>1287</xdr:row>
          <xdr:rowOff>182880</xdr:rowOff>
        </xdr:to>
        <xdr:sp macro="" textlink="">
          <xdr:nvSpPr>
            <xdr:cNvPr id="15863" name="Check Box 503" hidden="1">
              <a:extLst>
                <a:ext uri="{63B3BB69-23CF-44E3-9099-C40C66FF867C}">
                  <a14:compatExt spid="_x0000_s15863"/>
                </a:ext>
                <a:ext uri="{FF2B5EF4-FFF2-40B4-BE49-F238E27FC236}">
                  <a16:creationId xmlns:a16="http://schemas.microsoft.com/office/drawing/2014/main" id="{00000000-0008-0000-0F00-0000F7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1290</xdr:row>
          <xdr:rowOff>0</xdr:rowOff>
        </xdr:from>
        <xdr:to>
          <xdr:col>22</xdr:col>
          <xdr:colOff>182880</xdr:colOff>
          <xdr:row>1290</xdr:row>
          <xdr:rowOff>182880</xdr:rowOff>
        </xdr:to>
        <xdr:sp macro="" textlink="">
          <xdr:nvSpPr>
            <xdr:cNvPr id="15864" name="Check Box 504" hidden="1">
              <a:extLst>
                <a:ext uri="{63B3BB69-23CF-44E3-9099-C40C66FF867C}">
                  <a14:compatExt spid="_x0000_s15864"/>
                </a:ext>
                <a:ext uri="{FF2B5EF4-FFF2-40B4-BE49-F238E27FC236}">
                  <a16:creationId xmlns:a16="http://schemas.microsoft.com/office/drawing/2014/main" id="{00000000-0008-0000-0F00-0000F8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1304</xdr:row>
          <xdr:rowOff>0</xdr:rowOff>
        </xdr:from>
        <xdr:to>
          <xdr:col>22</xdr:col>
          <xdr:colOff>182880</xdr:colOff>
          <xdr:row>1304</xdr:row>
          <xdr:rowOff>182880</xdr:rowOff>
        </xdr:to>
        <xdr:sp macro="" textlink="">
          <xdr:nvSpPr>
            <xdr:cNvPr id="15865" name="Check Box 505" hidden="1">
              <a:extLst>
                <a:ext uri="{63B3BB69-23CF-44E3-9099-C40C66FF867C}">
                  <a14:compatExt spid="_x0000_s15865"/>
                </a:ext>
                <a:ext uri="{FF2B5EF4-FFF2-40B4-BE49-F238E27FC236}">
                  <a16:creationId xmlns:a16="http://schemas.microsoft.com/office/drawing/2014/main" id="{00000000-0008-0000-0F00-0000F9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1316</xdr:row>
          <xdr:rowOff>0</xdr:rowOff>
        </xdr:from>
        <xdr:to>
          <xdr:col>22</xdr:col>
          <xdr:colOff>182880</xdr:colOff>
          <xdr:row>1316</xdr:row>
          <xdr:rowOff>182880</xdr:rowOff>
        </xdr:to>
        <xdr:sp macro="" textlink="">
          <xdr:nvSpPr>
            <xdr:cNvPr id="15866" name="Check Box 506" hidden="1">
              <a:extLst>
                <a:ext uri="{63B3BB69-23CF-44E3-9099-C40C66FF867C}">
                  <a14:compatExt spid="_x0000_s15866"/>
                </a:ext>
                <a:ext uri="{FF2B5EF4-FFF2-40B4-BE49-F238E27FC236}">
                  <a16:creationId xmlns:a16="http://schemas.microsoft.com/office/drawing/2014/main" id="{00000000-0008-0000-0F00-0000FA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1318</xdr:row>
          <xdr:rowOff>0</xdr:rowOff>
        </xdr:from>
        <xdr:to>
          <xdr:col>22</xdr:col>
          <xdr:colOff>182880</xdr:colOff>
          <xdr:row>1318</xdr:row>
          <xdr:rowOff>182880</xdr:rowOff>
        </xdr:to>
        <xdr:sp macro="" textlink="">
          <xdr:nvSpPr>
            <xdr:cNvPr id="15867" name="Check Box 507" hidden="1">
              <a:extLst>
                <a:ext uri="{63B3BB69-23CF-44E3-9099-C40C66FF867C}">
                  <a14:compatExt spid="_x0000_s15867"/>
                </a:ext>
                <a:ext uri="{FF2B5EF4-FFF2-40B4-BE49-F238E27FC236}">
                  <a16:creationId xmlns:a16="http://schemas.microsoft.com/office/drawing/2014/main" id="{00000000-0008-0000-0F00-0000FB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1320</xdr:row>
          <xdr:rowOff>0</xdr:rowOff>
        </xdr:from>
        <xdr:to>
          <xdr:col>22</xdr:col>
          <xdr:colOff>182880</xdr:colOff>
          <xdr:row>1320</xdr:row>
          <xdr:rowOff>182880</xdr:rowOff>
        </xdr:to>
        <xdr:sp macro="" textlink="">
          <xdr:nvSpPr>
            <xdr:cNvPr id="15868" name="Check Box 508" hidden="1">
              <a:extLst>
                <a:ext uri="{63B3BB69-23CF-44E3-9099-C40C66FF867C}">
                  <a14:compatExt spid="_x0000_s15868"/>
                </a:ext>
                <a:ext uri="{FF2B5EF4-FFF2-40B4-BE49-F238E27FC236}">
                  <a16:creationId xmlns:a16="http://schemas.microsoft.com/office/drawing/2014/main" id="{00000000-0008-0000-0F00-0000FC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1327</xdr:row>
          <xdr:rowOff>0</xdr:rowOff>
        </xdr:from>
        <xdr:to>
          <xdr:col>22</xdr:col>
          <xdr:colOff>182880</xdr:colOff>
          <xdr:row>1327</xdr:row>
          <xdr:rowOff>182880</xdr:rowOff>
        </xdr:to>
        <xdr:sp macro="" textlink="">
          <xdr:nvSpPr>
            <xdr:cNvPr id="15869" name="Check Box 509" hidden="1">
              <a:extLst>
                <a:ext uri="{63B3BB69-23CF-44E3-9099-C40C66FF867C}">
                  <a14:compatExt spid="_x0000_s15869"/>
                </a:ext>
                <a:ext uri="{FF2B5EF4-FFF2-40B4-BE49-F238E27FC236}">
                  <a16:creationId xmlns:a16="http://schemas.microsoft.com/office/drawing/2014/main" id="{00000000-0008-0000-0F00-0000FD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1328</xdr:row>
          <xdr:rowOff>0</xdr:rowOff>
        </xdr:from>
        <xdr:to>
          <xdr:col>22</xdr:col>
          <xdr:colOff>182880</xdr:colOff>
          <xdr:row>1328</xdr:row>
          <xdr:rowOff>182880</xdr:rowOff>
        </xdr:to>
        <xdr:sp macro="" textlink="">
          <xdr:nvSpPr>
            <xdr:cNvPr id="15870" name="Check Box 510" hidden="1">
              <a:extLst>
                <a:ext uri="{63B3BB69-23CF-44E3-9099-C40C66FF867C}">
                  <a14:compatExt spid="_x0000_s15870"/>
                </a:ext>
                <a:ext uri="{FF2B5EF4-FFF2-40B4-BE49-F238E27FC236}">
                  <a16:creationId xmlns:a16="http://schemas.microsoft.com/office/drawing/2014/main" id="{00000000-0008-0000-0F00-0000FE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1329</xdr:row>
          <xdr:rowOff>0</xdr:rowOff>
        </xdr:from>
        <xdr:to>
          <xdr:col>22</xdr:col>
          <xdr:colOff>182880</xdr:colOff>
          <xdr:row>1329</xdr:row>
          <xdr:rowOff>182880</xdr:rowOff>
        </xdr:to>
        <xdr:sp macro="" textlink="">
          <xdr:nvSpPr>
            <xdr:cNvPr id="15871" name="Check Box 511" hidden="1">
              <a:extLst>
                <a:ext uri="{63B3BB69-23CF-44E3-9099-C40C66FF867C}">
                  <a14:compatExt spid="_x0000_s15871"/>
                </a:ext>
                <a:ext uri="{FF2B5EF4-FFF2-40B4-BE49-F238E27FC236}">
                  <a16:creationId xmlns:a16="http://schemas.microsoft.com/office/drawing/2014/main" id="{00000000-0008-0000-0F00-0000FF3D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1330</xdr:row>
          <xdr:rowOff>0</xdr:rowOff>
        </xdr:from>
        <xdr:to>
          <xdr:col>22</xdr:col>
          <xdr:colOff>182880</xdr:colOff>
          <xdr:row>1330</xdr:row>
          <xdr:rowOff>182880</xdr:rowOff>
        </xdr:to>
        <xdr:sp macro="" textlink="">
          <xdr:nvSpPr>
            <xdr:cNvPr id="15872" name="Check Box 512" hidden="1">
              <a:extLst>
                <a:ext uri="{63B3BB69-23CF-44E3-9099-C40C66FF867C}">
                  <a14:compatExt spid="_x0000_s15872"/>
                </a:ext>
                <a:ext uri="{FF2B5EF4-FFF2-40B4-BE49-F238E27FC236}">
                  <a16:creationId xmlns:a16="http://schemas.microsoft.com/office/drawing/2014/main" id="{00000000-0008-0000-0F00-00000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1332</xdr:row>
          <xdr:rowOff>0</xdr:rowOff>
        </xdr:from>
        <xdr:to>
          <xdr:col>22</xdr:col>
          <xdr:colOff>182880</xdr:colOff>
          <xdr:row>1332</xdr:row>
          <xdr:rowOff>182880</xdr:rowOff>
        </xdr:to>
        <xdr:sp macro="" textlink="">
          <xdr:nvSpPr>
            <xdr:cNvPr id="15873" name="Check Box 513" hidden="1">
              <a:extLst>
                <a:ext uri="{63B3BB69-23CF-44E3-9099-C40C66FF867C}">
                  <a14:compatExt spid="_x0000_s15873"/>
                </a:ext>
                <a:ext uri="{FF2B5EF4-FFF2-40B4-BE49-F238E27FC236}">
                  <a16:creationId xmlns:a16="http://schemas.microsoft.com/office/drawing/2014/main" id="{00000000-0008-0000-0F00-00000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1335</xdr:row>
          <xdr:rowOff>0</xdr:rowOff>
        </xdr:from>
        <xdr:to>
          <xdr:col>22</xdr:col>
          <xdr:colOff>182880</xdr:colOff>
          <xdr:row>1335</xdr:row>
          <xdr:rowOff>182880</xdr:rowOff>
        </xdr:to>
        <xdr:sp macro="" textlink="">
          <xdr:nvSpPr>
            <xdr:cNvPr id="15874" name="Check Box 514" hidden="1">
              <a:extLst>
                <a:ext uri="{63B3BB69-23CF-44E3-9099-C40C66FF867C}">
                  <a14:compatExt spid="_x0000_s15874"/>
                </a:ext>
                <a:ext uri="{FF2B5EF4-FFF2-40B4-BE49-F238E27FC236}">
                  <a16:creationId xmlns:a16="http://schemas.microsoft.com/office/drawing/2014/main" id="{00000000-0008-0000-0F00-00000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1353</xdr:row>
          <xdr:rowOff>0</xdr:rowOff>
        </xdr:from>
        <xdr:to>
          <xdr:col>22</xdr:col>
          <xdr:colOff>182880</xdr:colOff>
          <xdr:row>1353</xdr:row>
          <xdr:rowOff>182880</xdr:rowOff>
        </xdr:to>
        <xdr:sp macro="" textlink="">
          <xdr:nvSpPr>
            <xdr:cNvPr id="15875" name="Check Box 515" hidden="1">
              <a:extLst>
                <a:ext uri="{63B3BB69-23CF-44E3-9099-C40C66FF867C}">
                  <a14:compatExt spid="_x0000_s15875"/>
                </a:ext>
                <a:ext uri="{FF2B5EF4-FFF2-40B4-BE49-F238E27FC236}">
                  <a16:creationId xmlns:a16="http://schemas.microsoft.com/office/drawing/2014/main" id="{00000000-0008-0000-0F00-00000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1354</xdr:row>
          <xdr:rowOff>0</xdr:rowOff>
        </xdr:from>
        <xdr:to>
          <xdr:col>22</xdr:col>
          <xdr:colOff>182880</xdr:colOff>
          <xdr:row>1354</xdr:row>
          <xdr:rowOff>182880</xdr:rowOff>
        </xdr:to>
        <xdr:sp macro="" textlink="">
          <xdr:nvSpPr>
            <xdr:cNvPr id="15876" name="Check Box 516" hidden="1">
              <a:extLst>
                <a:ext uri="{63B3BB69-23CF-44E3-9099-C40C66FF867C}">
                  <a14:compatExt spid="_x0000_s15876"/>
                </a:ext>
                <a:ext uri="{FF2B5EF4-FFF2-40B4-BE49-F238E27FC236}">
                  <a16:creationId xmlns:a16="http://schemas.microsoft.com/office/drawing/2014/main" id="{00000000-0008-0000-0F00-00000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1355</xdr:row>
          <xdr:rowOff>0</xdr:rowOff>
        </xdr:from>
        <xdr:to>
          <xdr:col>22</xdr:col>
          <xdr:colOff>182880</xdr:colOff>
          <xdr:row>1355</xdr:row>
          <xdr:rowOff>182880</xdr:rowOff>
        </xdr:to>
        <xdr:sp macro="" textlink="">
          <xdr:nvSpPr>
            <xdr:cNvPr id="15877" name="Check Box 517" hidden="1">
              <a:extLst>
                <a:ext uri="{63B3BB69-23CF-44E3-9099-C40C66FF867C}">
                  <a14:compatExt spid="_x0000_s15877"/>
                </a:ext>
                <a:ext uri="{FF2B5EF4-FFF2-40B4-BE49-F238E27FC236}">
                  <a16:creationId xmlns:a16="http://schemas.microsoft.com/office/drawing/2014/main" id="{00000000-0008-0000-0F00-00000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1356</xdr:row>
          <xdr:rowOff>0</xdr:rowOff>
        </xdr:from>
        <xdr:to>
          <xdr:col>22</xdr:col>
          <xdr:colOff>182880</xdr:colOff>
          <xdr:row>1356</xdr:row>
          <xdr:rowOff>182880</xdr:rowOff>
        </xdr:to>
        <xdr:sp macro="" textlink="">
          <xdr:nvSpPr>
            <xdr:cNvPr id="15878" name="Check Box 518" hidden="1">
              <a:extLst>
                <a:ext uri="{63B3BB69-23CF-44E3-9099-C40C66FF867C}">
                  <a14:compatExt spid="_x0000_s15878"/>
                </a:ext>
                <a:ext uri="{FF2B5EF4-FFF2-40B4-BE49-F238E27FC236}">
                  <a16:creationId xmlns:a16="http://schemas.microsoft.com/office/drawing/2014/main" id="{00000000-0008-0000-0F00-00000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1357</xdr:row>
          <xdr:rowOff>0</xdr:rowOff>
        </xdr:from>
        <xdr:to>
          <xdr:col>22</xdr:col>
          <xdr:colOff>182880</xdr:colOff>
          <xdr:row>1357</xdr:row>
          <xdr:rowOff>182880</xdr:rowOff>
        </xdr:to>
        <xdr:sp macro="" textlink="">
          <xdr:nvSpPr>
            <xdr:cNvPr id="15879" name="Check Box 519" hidden="1">
              <a:extLst>
                <a:ext uri="{63B3BB69-23CF-44E3-9099-C40C66FF867C}">
                  <a14:compatExt spid="_x0000_s15879"/>
                </a:ext>
                <a:ext uri="{FF2B5EF4-FFF2-40B4-BE49-F238E27FC236}">
                  <a16:creationId xmlns:a16="http://schemas.microsoft.com/office/drawing/2014/main" id="{00000000-0008-0000-0F00-00000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1358</xdr:row>
          <xdr:rowOff>0</xdr:rowOff>
        </xdr:from>
        <xdr:to>
          <xdr:col>22</xdr:col>
          <xdr:colOff>182880</xdr:colOff>
          <xdr:row>1358</xdr:row>
          <xdr:rowOff>182880</xdr:rowOff>
        </xdr:to>
        <xdr:sp macro="" textlink="">
          <xdr:nvSpPr>
            <xdr:cNvPr id="15880" name="Check Box 520" hidden="1">
              <a:extLst>
                <a:ext uri="{63B3BB69-23CF-44E3-9099-C40C66FF867C}">
                  <a14:compatExt spid="_x0000_s15880"/>
                </a:ext>
                <a:ext uri="{FF2B5EF4-FFF2-40B4-BE49-F238E27FC236}">
                  <a16:creationId xmlns:a16="http://schemas.microsoft.com/office/drawing/2014/main" id="{00000000-0008-0000-0F00-00000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1359</xdr:row>
          <xdr:rowOff>0</xdr:rowOff>
        </xdr:from>
        <xdr:to>
          <xdr:col>22</xdr:col>
          <xdr:colOff>182880</xdr:colOff>
          <xdr:row>1359</xdr:row>
          <xdr:rowOff>182880</xdr:rowOff>
        </xdr:to>
        <xdr:sp macro="" textlink="">
          <xdr:nvSpPr>
            <xdr:cNvPr id="15881" name="Check Box 521" hidden="1">
              <a:extLst>
                <a:ext uri="{63B3BB69-23CF-44E3-9099-C40C66FF867C}">
                  <a14:compatExt spid="_x0000_s15881"/>
                </a:ext>
                <a:ext uri="{FF2B5EF4-FFF2-40B4-BE49-F238E27FC236}">
                  <a16:creationId xmlns:a16="http://schemas.microsoft.com/office/drawing/2014/main" id="{00000000-0008-0000-0F00-00000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1360</xdr:row>
          <xdr:rowOff>0</xdr:rowOff>
        </xdr:from>
        <xdr:to>
          <xdr:col>22</xdr:col>
          <xdr:colOff>182880</xdr:colOff>
          <xdr:row>1360</xdr:row>
          <xdr:rowOff>182880</xdr:rowOff>
        </xdr:to>
        <xdr:sp macro="" textlink="">
          <xdr:nvSpPr>
            <xdr:cNvPr id="15882" name="Check Box 522" hidden="1">
              <a:extLst>
                <a:ext uri="{63B3BB69-23CF-44E3-9099-C40C66FF867C}">
                  <a14:compatExt spid="_x0000_s15882"/>
                </a:ext>
                <a:ext uri="{FF2B5EF4-FFF2-40B4-BE49-F238E27FC236}">
                  <a16:creationId xmlns:a16="http://schemas.microsoft.com/office/drawing/2014/main" id="{00000000-0008-0000-0F00-00000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1363</xdr:row>
          <xdr:rowOff>0</xdr:rowOff>
        </xdr:from>
        <xdr:to>
          <xdr:col>22</xdr:col>
          <xdr:colOff>182880</xdr:colOff>
          <xdr:row>1363</xdr:row>
          <xdr:rowOff>182880</xdr:rowOff>
        </xdr:to>
        <xdr:sp macro="" textlink="">
          <xdr:nvSpPr>
            <xdr:cNvPr id="15883" name="Check Box 523" hidden="1">
              <a:extLst>
                <a:ext uri="{63B3BB69-23CF-44E3-9099-C40C66FF867C}">
                  <a14:compatExt spid="_x0000_s15883"/>
                </a:ext>
                <a:ext uri="{FF2B5EF4-FFF2-40B4-BE49-F238E27FC236}">
                  <a16:creationId xmlns:a16="http://schemas.microsoft.com/office/drawing/2014/main" id="{00000000-0008-0000-0F00-00000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1365</xdr:row>
          <xdr:rowOff>0</xdr:rowOff>
        </xdr:from>
        <xdr:to>
          <xdr:col>22</xdr:col>
          <xdr:colOff>182880</xdr:colOff>
          <xdr:row>1365</xdr:row>
          <xdr:rowOff>182880</xdr:rowOff>
        </xdr:to>
        <xdr:sp macro="" textlink="">
          <xdr:nvSpPr>
            <xdr:cNvPr id="15884" name="Check Box 524" hidden="1">
              <a:extLst>
                <a:ext uri="{63B3BB69-23CF-44E3-9099-C40C66FF867C}">
                  <a14:compatExt spid="_x0000_s15884"/>
                </a:ext>
                <a:ext uri="{FF2B5EF4-FFF2-40B4-BE49-F238E27FC236}">
                  <a16:creationId xmlns:a16="http://schemas.microsoft.com/office/drawing/2014/main" id="{00000000-0008-0000-0F00-00000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1367</xdr:row>
          <xdr:rowOff>0</xdr:rowOff>
        </xdr:from>
        <xdr:to>
          <xdr:col>22</xdr:col>
          <xdr:colOff>182880</xdr:colOff>
          <xdr:row>1367</xdr:row>
          <xdr:rowOff>182880</xdr:rowOff>
        </xdr:to>
        <xdr:sp macro="" textlink="">
          <xdr:nvSpPr>
            <xdr:cNvPr id="15885" name="Check Box 525" hidden="1">
              <a:extLst>
                <a:ext uri="{63B3BB69-23CF-44E3-9099-C40C66FF867C}">
                  <a14:compatExt spid="_x0000_s15885"/>
                </a:ext>
                <a:ext uri="{FF2B5EF4-FFF2-40B4-BE49-F238E27FC236}">
                  <a16:creationId xmlns:a16="http://schemas.microsoft.com/office/drawing/2014/main" id="{00000000-0008-0000-0F00-00000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1378</xdr:row>
          <xdr:rowOff>0</xdr:rowOff>
        </xdr:from>
        <xdr:to>
          <xdr:col>22</xdr:col>
          <xdr:colOff>182880</xdr:colOff>
          <xdr:row>1378</xdr:row>
          <xdr:rowOff>182880</xdr:rowOff>
        </xdr:to>
        <xdr:sp macro="" textlink="">
          <xdr:nvSpPr>
            <xdr:cNvPr id="15886" name="Check Box 526" hidden="1">
              <a:extLst>
                <a:ext uri="{63B3BB69-23CF-44E3-9099-C40C66FF867C}">
                  <a14:compatExt spid="_x0000_s15886"/>
                </a:ext>
                <a:ext uri="{FF2B5EF4-FFF2-40B4-BE49-F238E27FC236}">
                  <a16:creationId xmlns:a16="http://schemas.microsoft.com/office/drawing/2014/main" id="{00000000-0008-0000-0F00-00000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1382</xdr:row>
          <xdr:rowOff>0</xdr:rowOff>
        </xdr:from>
        <xdr:to>
          <xdr:col>22</xdr:col>
          <xdr:colOff>182880</xdr:colOff>
          <xdr:row>1382</xdr:row>
          <xdr:rowOff>182880</xdr:rowOff>
        </xdr:to>
        <xdr:sp macro="" textlink="">
          <xdr:nvSpPr>
            <xdr:cNvPr id="15887" name="Check Box 527" hidden="1">
              <a:extLst>
                <a:ext uri="{63B3BB69-23CF-44E3-9099-C40C66FF867C}">
                  <a14:compatExt spid="_x0000_s15887"/>
                </a:ext>
                <a:ext uri="{FF2B5EF4-FFF2-40B4-BE49-F238E27FC236}">
                  <a16:creationId xmlns:a16="http://schemas.microsoft.com/office/drawing/2014/main" id="{00000000-0008-0000-0F00-00000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1383</xdr:row>
          <xdr:rowOff>0</xdr:rowOff>
        </xdr:from>
        <xdr:to>
          <xdr:col>22</xdr:col>
          <xdr:colOff>182880</xdr:colOff>
          <xdr:row>1383</xdr:row>
          <xdr:rowOff>182880</xdr:rowOff>
        </xdr:to>
        <xdr:sp macro="" textlink="">
          <xdr:nvSpPr>
            <xdr:cNvPr id="15888" name="Check Box 528" hidden="1">
              <a:extLst>
                <a:ext uri="{63B3BB69-23CF-44E3-9099-C40C66FF867C}">
                  <a14:compatExt spid="_x0000_s15888"/>
                </a:ext>
                <a:ext uri="{FF2B5EF4-FFF2-40B4-BE49-F238E27FC236}">
                  <a16:creationId xmlns:a16="http://schemas.microsoft.com/office/drawing/2014/main" id="{00000000-0008-0000-0F00-00001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1386</xdr:row>
          <xdr:rowOff>0</xdr:rowOff>
        </xdr:from>
        <xdr:to>
          <xdr:col>22</xdr:col>
          <xdr:colOff>182880</xdr:colOff>
          <xdr:row>1386</xdr:row>
          <xdr:rowOff>182880</xdr:rowOff>
        </xdr:to>
        <xdr:sp macro="" textlink="">
          <xdr:nvSpPr>
            <xdr:cNvPr id="15889" name="Check Box 529" hidden="1">
              <a:extLst>
                <a:ext uri="{63B3BB69-23CF-44E3-9099-C40C66FF867C}">
                  <a14:compatExt spid="_x0000_s15889"/>
                </a:ext>
                <a:ext uri="{FF2B5EF4-FFF2-40B4-BE49-F238E27FC236}">
                  <a16:creationId xmlns:a16="http://schemas.microsoft.com/office/drawing/2014/main" id="{00000000-0008-0000-0F00-00001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1389</xdr:row>
          <xdr:rowOff>0</xdr:rowOff>
        </xdr:from>
        <xdr:to>
          <xdr:col>22</xdr:col>
          <xdr:colOff>182880</xdr:colOff>
          <xdr:row>1389</xdr:row>
          <xdr:rowOff>182880</xdr:rowOff>
        </xdr:to>
        <xdr:sp macro="" textlink="">
          <xdr:nvSpPr>
            <xdr:cNvPr id="15890" name="Check Box 530" hidden="1">
              <a:extLst>
                <a:ext uri="{63B3BB69-23CF-44E3-9099-C40C66FF867C}">
                  <a14:compatExt spid="_x0000_s15890"/>
                </a:ext>
                <a:ext uri="{FF2B5EF4-FFF2-40B4-BE49-F238E27FC236}">
                  <a16:creationId xmlns:a16="http://schemas.microsoft.com/office/drawing/2014/main" id="{00000000-0008-0000-0F00-00001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1426</xdr:row>
          <xdr:rowOff>0</xdr:rowOff>
        </xdr:from>
        <xdr:to>
          <xdr:col>22</xdr:col>
          <xdr:colOff>182880</xdr:colOff>
          <xdr:row>1426</xdr:row>
          <xdr:rowOff>182880</xdr:rowOff>
        </xdr:to>
        <xdr:sp macro="" textlink="">
          <xdr:nvSpPr>
            <xdr:cNvPr id="15915" name="Check Box 555" hidden="1">
              <a:extLst>
                <a:ext uri="{63B3BB69-23CF-44E3-9099-C40C66FF867C}">
                  <a14:compatExt spid="_x0000_s15915"/>
                </a:ext>
                <a:ext uri="{FF2B5EF4-FFF2-40B4-BE49-F238E27FC236}">
                  <a16:creationId xmlns:a16="http://schemas.microsoft.com/office/drawing/2014/main" id="{00000000-0008-0000-0F00-00002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1431</xdr:row>
          <xdr:rowOff>0</xdr:rowOff>
        </xdr:from>
        <xdr:to>
          <xdr:col>22</xdr:col>
          <xdr:colOff>182880</xdr:colOff>
          <xdr:row>1431</xdr:row>
          <xdr:rowOff>182880</xdr:rowOff>
        </xdr:to>
        <xdr:sp macro="" textlink="">
          <xdr:nvSpPr>
            <xdr:cNvPr id="15916" name="Check Box 556" hidden="1">
              <a:extLst>
                <a:ext uri="{63B3BB69-23CF-44E3-9099-C40C66FF867C}">
                  <a14:compatExt spid="_x0000_s15916"/>
                </a:ext>
                <a:ext uri="{FF2B5EF4-FFF2-40B4-BE49-F238E27FC236}">
                  <a16:creationId xmlns:a16="http://schemas.microsoft.com/office/drawing/2014/main" id="{00000000-0008-0000-0F00-00002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1462</xdr:row>
          <xdr:rowOff>0</xdr:rowOff>
        </xdr:from>
        <xdr:to>
          <xdr:col>22</xdr:col>
          <xdr:colOff>182880</xdr:colOff>
          <xdr:row>1462</xdr:row>
          <xdr:rowOff>182880</xdr:rowOff>
        </xdr:to>
        <xdr:sp macro="" textlink="">
          <xdr:nvSpPr>
            <xdr:cNvPr id="15917" name="Check Box 557" hidden="1">
              <a:extLst>
                <a:ext uri="{63B3BB69-23CF-44E3-9099-C40C66FF867C}">
                  <a14:compatExt spid="_x0000_s15917"/>
                </a:ext>
                <a:ext uri="{FF2B5EF4-FFF2-40B4-BE49-F238E27FC236}">
                  <a16:creationId xmlns:a16="http://schemas.microsoft.com/office/drawing/2014/main" id="{00000000-0008-0000-0F00-00002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1476</xdr:row>
          <xdr:rowOff>0</xdr:rowOff>
        </xdr:from>
        <xdr:to>
          <xdr:col>22</xdr:col>
          <xdr:colOff>182880</xdr:colOff>
          <xdr:row>1476</xdr:row>
          <xdr:rowOff>182880</xdr:rowOff>
        </xdr:to>
        <xdr:sp macro="" textlink="">
          <xdr:nvSpPr>
            <xdr:cNvPr id="15918" name="Check Box 558" hidden="1">
              <a:extLst>
                <a:ext uri="{63B3BB69-23CF-44E3-9099-C40C66FF867C}">
                  <a14:compatExt spid="_x0000_s15918"/>
                </a:ext>
                <a:ext uri="{FF2B5EF4-FFF2-40B4-BE49-F238E27FC236}">
                  <a16:creationId xmlns:a16="http://schemas.microsoft.com/office/drawing/2014/main" id="{00000000-0008-0000-0F00-00002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1483</xdr:row>
          <xdr:rowOff>0</xdr:rowOff>
        </xdr:from>
        <xdr:to>
          <xdr:col>22</xdr:col>
          <xdr:colOff>182880</xdr:colOff>
          <xdr:row>1483</xdr:row>
          <xdr:rowOff>182880</xdr:rowOff>
        </xdr:to>
        <xdr:sp macro="" textlink="">
          <xdr:nvSpPr>
            <xdr:cNvPr id="15919" name="Check Box 559" hidden="1">
              <a:extLst>
                <a:ext uri="{63B3BB69-23CF-44E3-9099-C40C66FF867C}">
                  <a14:compatExt spid="_x0000_s15919"/>
                </a:ext>
                <a:ext uri="{FF2B5EF4-FFF2-40B4-BE49-F238E27FC236}">
                  <a16:creationId xmlns:a16="http://schemas.microsoft.com/office/drawing/2014/main" id="{00000000-0008-0000-0F00-00002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1485</xdr:row>
          <xdr:rowOff>0</xdr:rowOff>
        </xdr:from>
        <xdr:to>
          <xdr:col>22</xdr:col>
          <xdr:colOff>182880</xdr:colOff>
          <xdr:row>1485</xdr:row>
          <xdr:rowOff>182880</xdr:rowOff>
        </xdr:to>
        <xdr:sp macro="" textlink="">
          <xdr:nvSpPr>
            <xdr:cNvPr id="15920" name="Check Box 560" hidden="1">
              <a:extLst>
                <a:ext uri="{63B3BB69-23CF-44E3-9099-C40C66FF867C}">
                  <a14:compatExt spid="_x0000_s15920"/>
                </a:ext>
                <a:ext uri="{FF2B5EF4-FFF2-40B4-BE49-F238E27FC236}">
                  <a16:creationId xmlns:a16="http://schemas.microsoft.com/office/drawing/2014/main" id="{00000000-0008-0000-0F00-00003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1487</xdr:row>
          <xdr:rowOff>0</xdr:rowOff>
        </xdr:from>
        <xdr:to>
          <xdr:col>22</xdr:col>
          <xdr:colOff>182880</xdr:colOff>
          <xdr:row>1487</xdr:row>
          <xdr:rowOff>182880</xdr:rowOff>
        </xdr:to>
        <xdr:sp macro="" textlink="">
          <xdr:nvSpPr>
            <xdr:cNvPr id="15921" name="Check Box 561" hidden="1">
              <a:extLst>
                <a:ext uri="{63B3BB69-23CF-44E3-9099-C40C66FF867C}">
                  <a14:compatExt spid="_x0000_s15921"/>
                </a:ext>
                <a:ext uri="{FF2B5EF4-FFF2-40B4-BE49-F238E27FC236}">
                  <a16:creationId xmlns:a16="http://schemas.microsoft.com/office/drawing/2014/main" id="{00000000-0008-0000-0F00-00003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1491</xdr:row>
          <xdr:rowOff>0</xdr:rowOff>
        </xdr:from>
        <xdr:to>
          <xdr:col>22</xdr:col>
          <xdr:colOff>182880</xdr:colOff>
          <xdr:row>1491</xdr:row>
          <xdr:rowOff>182880</xdr:rowOff>
        </xdr:to>
        <xdr:sp macro="" textlink="">
          <xdr:nvSpPr>
            <xdr:cNvPr id="15922" name="Check Box 562" hidden="1">
              <a:extLst>
                <a:ext uri="{63B3BB69-23CF-44E3-9099-C40C66FF867C}">
                  <a14:compatExt spid="_x0000_s15922"/>
                </a:ext>
                <a:ext uri="{FF2B5EF4-FFF2-40B4-BE49-F238E27FC236}">
                  <a16:creationId xmlns:a16="http://schemas.microsoft.com/office/drawing/2014/main" id="{00000000-0008-0000-0F00-00003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1492</xdr:row>
          <xdr:rowOff>0</xdr:rowOff>
        </xdr:from>
        <xdr:to>
          <xdr:col>22</xdr:col>
          <xdr:colOff>182880</xdr:colOff>
          <xdr:row>1492</xdr:row>
          <xdr:rowOff>182880</xdr:rowOff>
        </xdr:to>
        <xdr:sp macro="" textlink="">
          <xdr:nvSpPr>
            <xdr:cNvPr id="15923" name="Check Box 563" hidden="1">
              <a:extLst>
                <a:ext uri="{63B3BB69-23CF-44E3-9099-C40C66FF867C}">
                  <a14:compatExt spid="_x0000_s15923"/>
                </a:ext>
                <a:ext uri="{FF2B5EF4-FFF2-40B4-BE49-F238E27FC236}">
                  <a16:creationId xmlns:a16="http://schemas.microsoft.com/office/drawing/2014/main" id="{00000000-0008-0000-0F00-00003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1493</xdr:row>
          <xdr:rowOff>0</xdr:rowOff>
        </xdr:from>
        <xdr:to>
          <xdr:col>22</xdr:col>
          <xdr:colOff>182880</xdr:colOff>
          <xdr:row>1493</xdr:row>
          <xdr:rowOff>182880</xdr:rowOff>
        </xdr:to>
        <xdr:sp macro="" textlink="">
          <xdr:nvSpPr>
            <xdr:cNvPr id="15924" name="Check Box 564" hidden="1">
              <a:extLst>
                <a:ext uri="{63B3BB69-23CF-44E3-9099-C40C66FF867C}">
                  <a14:compatExt spid="_x0000_s15924"/>
                </a:ext>
                <a:ext uri="{FF2B5EF4-FFF2-40B4-BE49-F238E27FC236}">
                  <a16:creationId xmlns:a16="http://schemas.microsoft.com/office/drawing/2014/main" id="{00000000-0008-0000-0F00-00003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1501</xdr:row>
          <xdr:rowOff>0</xdr:rowOff>
        </xdr:from>
        <xdr:to>
          <xdr:col>22</xdr:col>
          <xdr:colOff>182880</xdr:colOff>
          <xdr:row>1501</xdr:row>
          <xdr:rowOff>182880</xdr:rowOff>
        </xdr:to>
        <xdr:sp macro="" textlink="">
          <xdr:nvSpPr>
            <xdr:cNvPr id="15926" name="Check Box 566" hidden="1">
              <a:extLst>
                <a:ext uri="{63B3BB69-23CF-44E3-9099-C40C66FF867C}">
                  <a14:compatExt spid="_x0000_s15926"/>
                </a:ext>
                <a:ext uri="{FF2B5EF4-FFF2-40B4-BE49-F238E27FC236}">
                  <a16:creationId xmlns:a16="http://schemas.microsoft.com/office/drawing/2014/main" id="{00000000-0008-0000-0F00-00003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1503</xdr:row>
          <xdr:rowOff>0</xdr:rowOff>
        </xdr:from>
        <xdr:to>
          <xdr:col>22</xdr:col>
          <xdr:colOff>182880</xdr:colOff>
          <xdr:row>1503</xdr:row>
          <xdr:rowOff>182880</xdr:rowOff>
        </xdr:to>
        <xdr:sp macro="" textlink="">
          <xdr:nvSpPr>
            <xdr:cNvPr id="15927" name="Check Box 567" hidden="1">
              <a:extLst>
                <a:ext uri="{63B3BB69-23CF-44E3-9099-C40C66FF867C}">
                  <a14:compatExt spid="_x0000_s15927"/>
                </a:ext>
                <a:ext uri="{FF2B5EF4-FFF2-40B4-BE49-F238E27FC236}">
                  <a16:creationId xmlns:a16="http://schemas.microsoft.com/office/drawing/2014/main" id="{00000000-0008-0000-0F00-00003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1504</xdr:row>
          <xdr:rowOff>0</xdr:rowOff>
        </xdr:from>
        <xdr:to>
          <xdr:col>22</xdr:col>
          <xdr:colOff>182880</xdr:colOff>
          <xdr:row>1504</xdr:row>
          <xdr:rowOff>182880</xdr:rowOff>
        </xdr:to>
        <xdr:sp macro="" textlink="">
          <xdr:nvSpPr>
            <xdr:cNvPr id="15928" name="Check Box 568" hidden="1">
              <a:extLst>
                <a:ext uri="{63B3BB69-23CF-44E3-9099-C40C66FF867C}">
                  <a14:compatExt spid="_x0000_s15928"/>
                </a:ext>
                <a:ext uri="{FF2B5EF4-FFF2-40B4-BE49-F238E27FC236}">
                  <a16:creationId xmlns:a16="http://schemas.microsoft.com/office/drawing/2014/main" id="{00000000-0008-0000-0F00-00003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1508</xdr:row>
          <xdr:rowOff>0</xdr:rowOff>
        </xdr:from>
        <xdr:to>
          <xdr:col>22</xdr:col>
          <xdr:colOff>182880</xdr:colOff>
          <xdr:row>1508</xdr:row>
          <xdr:rowOff>182880</xdr:rowOff>
        </xdr:to>
        <xdr:sp macro="" textlink="">
          <xdr:nvSpPr>
            <xdr:cNvPr id="15929" name="Check Box 569" hidden="1">
              <a:extLst>
                <a:ext uri="{63B3BB69-23CF-44E3-9099-C40C66FF867C}">
                  <a14:compatExt spid="_x0000_s15929"/>
                </a:ext>
                <a:ext uri="{FF2B5EF4-FFF2-40B4-BE49-F238E27FC236}">
                  <a16:creationId xmlns:a16="http://schemas.microsoft.com/office/drawing/2014/main" id="{00000000-0008-0000-0F00-00003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1528</xdr:row>
          <xdr:rowOff>0</xdr:rowOff>
        </xdr:from>
        <xdr:to>
          <xdr:col>22</xdr:col>
          <xdr:colOff>182880</xdr:colOff>
          <xdr:row>1528</xdr:row>
          <xdr:rowOff>182880</xdr:rowOff>
        </xdr:to>
        <xdr:sp macro="" textlink="">
          <xdr:nvSpPr>
            <xdr:cNvPr id="15930" name="Check Box 570" hidden="1">
              <a:extLst>
                <a:ext uri="{63B3BB69-23CF-44E3-9099-C40C66FF867C}">
                  <a14:compatExt spid="_x0000_s15930"/>
                </a:ext>
                <a:ext uri="{FF2B5EF4-FFF2-40B4-BE49-F238E27FC236}">
                  <a16:creationId xmlns:a16="http://schemas.microsoft.com/office/drawing/2014/main" id="{00000000-0008-0000-0F00-00003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1529</xdr:row>
          <xdr:rowOff>0</xdr:rowOff>
        </xdr:from>
        <xdr:to>
          <xdr:col>22</xdr:col>
          <xdr:colOff>182880</xdr:colOff>
          <xdr:row>1529</xdr:row>
          <xdr:rowOff>182880</xdr:rowOff>
        </xdr:to>
        <xdr:sp macro="" textlink="">
          <xdr:nvSpPr>
            <xdr:cNvPr id="15931" name="Check Box 571" hidden="1">
              <a:extLst>
                <a:ext uri="{63B3BB69-23CF-44E3-9099-C40C66FF867C}">
                  <a14:compatExt spid="_x0000_s15931"/>
                </a:ext>
                <a:ext uri="{FF2B5EF4-FFF2-40B4-BE49-F238E27FC236}">
                  <a16:creationId xmlns:a16="http://schemas.microsoft.com/office/drawing/2014/main" id="{00000000-0008-0000-0F00-00003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1538</xdr:row>
          <xdr:rowOff>0</xdr:rowOff>
        </xdr:from>
        <xdr:to>
          <xdr:col>22</xdr:col>
          <xdr:colOff>182880</xdr:colOff>
          <xdr:row>1538</xdr:row>
          <xdr:rowOff>182880</xdr:rowOff>
        </xdr:to>
        <xdr:sp macro="" textlink="">
          <xdr:nvSpPr>
            <xdr:cNvPr id="15932" name="Check Box 572" hidden="1">
              <a:extLst>
                <a:ext uri="{63B3BB69-23CF-44E3-9099-C40C66FF867C}">
                  <a14:compatExt spid="_x0000_s15932"/>
                </a:ext>
                <a:ext uri="{FF2B5EF4-FFF2-40B4-BE49-F238E27FC236}">
                  <a16:creationId xmlns:a16="http://schemas.microsoft.com/office/drawing/2014/main" id="{00000000-0008-0000-0F00-00003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1545</xdr:row>
          <xdr:rowOff>0</xdr:rowOff>
        </xdr:from>
        <xdr:to>
          <xdr:col>22</xdr:col>
          <xdr:colOff>182880</xdr:colOff>
          <xdr:row>1545</xdr:row>
          <xdr:rowOff>182880</xdr:rowOff>
        </xdr:to>
        <xdr:sp macro="" textlink="">
          <xdr:nvSpPr>
            <xdr:cNvPr id="15933" name="Check Box 573" hidden="1">
              <a:extLst>
                <a:ext uri="{63B3BB69-23CF-44E3-9099-C40C66FF867C}">
                  <a14:compatExt spid="_x0000_s15933"/>
                </a:ext>
                <a:ext uri="{FF2B5EF4-FFF2-40B4-BE49-F238E27FC236}">
                  <a16:creationId xmlns:a16="http://schemas.microsoft.com/office/drawing/2014/main" id="{00000000-0008-0000-0F00-00003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1546</xdr:row>
          <xdr:rowOff>0</xdr:rowOff>
        </xdr:from>
        <xdr:to>
          <xdr:col>22</xdr:col>
          <xdr:colOff>182880</xdr:colOff>
          <xdr:row>1546</xdr:row>
          <xdr:rowOff>182880</xdr:rowOff>
        </xdr:to>
        <xdr:sp macro="" textlink="">
          <xdr:nvSpPr>
            <xdr:cNvPr id="15934" name="Check Box 574" hidden="1">
              <a:extLst>
                <a:ext uri="{63B3BB69-23CF-44E3-9099-C40C66FF867C}">
                  <a14:compatExt spid="_x0000_s15934"/>
                </a:ext>
                <a:ext uri="{FF2B5EF4-FFF2-40B4-BE49-F238E27FC236}">
                  <a16:creationId xmlns:a16="http://schemas.microsoft.com/office/drawing/2014/main" id="{00000000-0008-0000-0F00-00003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1547</xdr:row>
          <xdr:rowOff>0</xdr:rowOff>
        </xdr:from>
        <xdr:to>
          <xdr:col>22</xdr:col>
          <xdr:colOff>182880</xdr:colOff>
          <xdr:row>1547</xdr:row>
          <xdr:rowOff>182880</xdr:rowOff>
        </xdr:to>
        <xdr:sp macro="" textlink="">
          <xdr:nvSpPr>
            <xdr:cNvPr id="15935" name="Check Box 575" hidden="1">
              <a:extLst>
                <a:ext uri="{63B3BB69-23CF-44E3-9099-C40C66FF867C}">
                  <a14:compatExt spid="_x0000_s15935"/>
                </a:ext>
                <a:ext uri="{FF2B5EF4-FFF2-40B4-BE49-F238E27FC236}">
                  <a16:creationId xmlns:a16="http://schemas.microsoft.com/office/drawing/2014/main" id="{00000000-0008-0000-0F00-00003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1550</xdr:row>
          <xdr:rowOff>0</xdr:rowOff>
        </xdr:from>
        <xdr:to>
          <xdr:col>22</xdr:col>
          <xdr:colOff>182880</xdr:colOff>
          <xdr:row>1550</xdr:row>
          <xdr:rowOff>182880</xdr:rowOff>
        </xdr:to>
        <xdr:sp macro="" textlink="">
          <xdr:nvSpPr>
            <xdr:cNvPr id="15936" name="Check Box 576" hidden="1">
              <a:extLst>
                <a:ext uri="{63B3BB69-23CF-44E3-9099-C40C66FF867C}">
                  <a14:compatExt spid="_x0000_s15936"/>
                </a:ext>
                <a:ext uri="{FF2B5EF4-FFF2-40B4-BE49-F238E27FC236}">
                  <a16:creationId xmlns:a16="http://schemas.microsoft.com/office/drawing/2014/main" id="{00000000-0008-0000-0F00-00004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1552</xdr:row>
          <xdr:rowOff>0</xdr:rowOff>
        </xdr:from>
        <xdr:to>
          <xdr:col>22</xdr:col>
          <xdr:colOff>182880</xdr:colOff>
          <xdr:row>1552</xdr:row>
          <xdr:rowOff>182880</xdr:rowOff>
        </xdr:to>
        <xdr:sp macro="" textlink="">
          <xdr:nvSpPr>
            <xdr:cNvPr id="15937" name="Check Box 577" hidden="1">
              <a:extLst>
                <a:ext uri="{63B3BB69-23CF-44E3-9099-C40C66FF867C}">
                  <a14:compatExt spid="_x0000_s15937"/>
                </a:ext>
                <a:ext uri="{FF2B5EF4-FFF2-40B4-BE49-F238E27FC236}">
                  <a16:creationId xmlns:a16="http://schemas.microsoft.com/office/drawing/2014/main" id="{00000000-0008-0000-0F00-00004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1558</xdr:row>
          <xdr:rowOff>0</xdr:rowOff>
        </xdr:from>
        <xdr:to>
          <xdr:col>22</xdr:col>
          <xdr:colOff>182880</xdr:colOff>
          <xdr:row>1558</xdr:row>
          <xdr:rowOff>182880</xdr:rowOff>
        </xdr:to>
        <xdr:sp macro="" textlink="">
          <xdr:nvSpPr>
            <xdr:cNvPr id="15982" name="Check Box 622" hidden="1">
              <a:extLst>
                <a:ext uri="{63B3BB69-23CF-44E3-9099-C40C66FF867C}">
                  <a14:compatExt spid="_x0000_s15982"/>
                </a:ext>
                <a:ext uri="{FF2B5EF4-FFF2-40B4-BE49-F238E27FC236}">
                  <a16:creationId xmlns:a16="http://schemas.microsoft.com/office/drawing/2014/main" id="{00000000-0008-0000-0F00-00006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1564</xdr:row>
          <xdr:rowOff>0</xdr:rowOff>
        </xdr:from>
        <xdr:to>
          <xdr:col>22</xdr:col>
          <xdr:colOff>182880</xdr:colOff>
          <xdr:row>1564</xdr:row>
          <xdr:rowOff>182880</xdr:rowOff>
        </xdr:to>
        <xdr:sp macro="" textlink="">
          <xdr:nvSpPr>
            <xdr:cNvPr id="15983" name="Check Box 623" hidden="1">
              <a:extLst>
                <a:ext uri="{63B3BB69-23CF-44E3-9099-C40C66FF867C}">
                  <a14:compatExt spid="_x0000_s15983"/>
                </a:ext>
                <a:ext uri="{FF2B5EF4-FFF2-40B4-BE49-F238E27FC236}">
                  <a16:creationId xmlns:a16="http://schemas.microsoft.com/office/drawing/2014/main" id="{00000000-0008-0000-0F00-00006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1579</xdr:row>
          <xdr:rowOff>0</xdr:rowOff>
        </xdr:from>
        <xdr:to>
          <xdr:col>22</xdr:col>
          <xdr:colOff>182880</xdr:colOff>
          <xdr:row>1579</xdr:row>
          <xdr:rowOff>182880</xdr:rowOff>
        </xdr:to>
        <xdr:sp macro="" textlink="">
          <xdr:nvSpPr>
            <xdr:cNvPr id="15984" name="Check Box 624" hidden="1">
              <a:extLst>
                <a:ext uri="{63B3BB69-23CF-44E3-9099-C40C66FF867C}">
                  <a14:compatExt spid="_x0000_s15984"/>
                </a:ext>
                <a:ext uri="{FF2B5EF4-FFF2-40B4-BE49-F238E27FC236}">
                  <a16:creationId xmlns:a16="http://schemas.microsoft.com/office/drawing/2014/main" id="{00000000-0008-0000-0F00-00007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1607</xdr:row>
          <xdr:rowOff>0</xdr:rowOff>
        </xdr:from>
        <xdr:to>
          <xdr:col>22</xdr:col>
          <xdr:colOff>182880</xdr:colOff>
          <xdr:row>1607</xdr:row>
          <xdr:rowOff>182880</xdr:rowOff>
        </xdr:to>
        <xdr:sp macro="" textlink="">
          <xdr:nvSpPr>
            <xdr:cNvPr id="15985" name="Check Box 625" hidden="1">
              <a:extLst>
                <a:ext uri="{63B3BB69-23CF-44E3-9099-C40C66FF867C}">
                  <a14:compatExt spid="_x0000_s15985"/>
                </a:ext>
                <a:ext uri="{FF2B5EF4-FFF2-40B4-BE49-F238E27FC236}">
                  <a16:creationId xmlns:a16="http://schemas.microsoft.com/office/drawing/2014/main" id="{00000000-0008-0000-0F00-00007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1613</xdr:row>
          <xdr:rowOff>0</xdr:rowOff>
        </xdr:from>
        <xdr:to>
          <xdr:col>22</xdr:col>
          <xdr:colOff>182880</xdr:colOff>
          <xdr:row>1613</xdr:row>
          <xdr:rowOff>182880</xdr:rowOff>
        </xdr:to>
        <xdr:sp macro="" textlink="">
          <xdr:nvSpPr>
            <xdr:cNvPr id="15986" name="Check Box 626" hidden="1">
              <a:extLst>
                <a:ext uri="{63B3BB69-23CF-44E3-9099-C40C66FF867C}">
                  <a14:compatExt spid="_x0000_s15986"/>
                </a:ext>
                <a:ext uri="{FF2B5EF4-FFF2-40B4-BE49-F238E27FC236}">
                  <a16:creationId xmlns:a16="http://schemas.microsoft.com/office/drawing/2014/main" id="{00000000-0008-0000-0F00-00007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1636</xdr:row>
          <xdr:rowOff>0</xdr:rowOff>
        </xdr:from>
        <xdr:to>
          <xdr:col>22</xdr:col>
          <xdr:colOff>182880</xdr:colOff>
          <xdr:row>1636</xdr:row>
          <xdr:rowOff>182880</xdr:rowOff>
        </xdr:to>
        <xdr:sp macro="" textlink="">
          <xdr:nvSpPr>
            <xdr:cNvPr id="15987" name="Check Box 627" hidden="1">
              <a:extLst>
                <a:ext uri="{63B3BB69-23CF-44E3-9099-C40C66FF867C}">
                  <a14:compatExt spid="_x0000_s15987"/>
                </a:ext>
                <a:ext uri="{FF2B5EF4-FFF2-40B4-BE49-F238E27FC236}">
                  <a16:creationId xmlns:a16="http://schemas.microsoft.com/office/drawing/2014/main" id="{00000000-0008-0000-0F00-00007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1638</xdr:row>
          <xdr:rowOff>0</xdr:rowOff>
        </xdr:from>
        <xdr:to>
          <xdr:col>22</xdr:col>
          <xdr:colOff>182880</xdr:colOff>
          <xdr:row>1638</xdr:row>
          <xdr:rowOff>182880</xdr:rowOff>
        </xdr:to>
        <xdr:sp macro="" textlink="">
          <xdr:nvSpPr>
            <xdr:cNvPr id="15988" name="Check Box 628" hidden="1">
              <a:extLst>
                <a:ext uri="{63B3BB69-23CF-44E3-9099-C40C66FF867C}">
                  <a14:compatExt spid="_x0000_s15988"/>
                </a:ext>
                <a:ext uri="{FF2B5EF4-FFF2-40B4-BE49-F238E27FC236}">
                  <a16:creationId xmlns:a16="http://schemas.microsoft.com/office/drawing/2014/main" id="{00000000-0008-0000-0F00-00007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1641</xdr:row>
          <xdr:rowOff>0</xdr:rowOff>
        </xdr:from>
        <xdr:to>
          <xdr:col>22</xdr:col>
          <xdr:colOff>182880</xdr:colOff>
          <xdr:row>1641</xdr:row>
          <xdr:rowOff>182880</xdr:rowOff>
        </xdr:to>
        <xdr:sp macro="" textlink="">
          <xdr:nvSpPr>
            <xdr:cNvPr id="15989" name="Check Box 629" hidden="1">
              <a:extLst>
                <a:ext uri="{63B3BB69-23CF-44E3-9099-C40C66FF867C}">
                  <a14:compatExt spid="_x0000_s15989"/>
                </a:ext>
                <a:ext uri="{FF2B5EF4-FFF2-40B4-BE49-F238E27FC236}">
                  <a16:creationId xmlns:a16="http://schemas.microsoft.com/office/drawing/2014/main" id="{00000000-0008-0000-0F00-00007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1664</xdr:row>
          <xdr:rowOff>0</xdr:rowOff>
        </xdr:from>
        <xdr:to>
          <xdr:col>22</xdr:col>
          <xdr:colOff>182880</xdr:colOff>
          <xdr:row>1664</xdr:row>
          <xdr:rowOff>182880</xdr:rowOff>
        </xdr:to>
        <xdr:sp macro="" textlink="">
          <xdr:nvSpPr>
            <xdr:cNvPr id="15990" name="Check Box 630" hidden="1">
              <a:extLst>
                <a:ext uri="{63B3BB69-23CF-44E3-9099-C40C66FF867C}">
                  <a14:compatExt spid="_x0000_s15990"/>
                </a:ext>
                <a:ext uri="{FF2B5EF4-FFF2-40B4-BE49-F238E27FC236}">
                  <a16:creationId xmlns:a16="http://schemas.microsoft.com/office/drawing/2014/main" id="{00000000-0008-0000-0F00-00007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1675</xdr:row>
          <xdr:rowOff>0</xdr:rowOff>
        </xdr:from>
        <xdr:to>
          <xdr:col>22</xdr:col>
          <xdr:colOff>182880</xdr:colOff>
          <xdr:row>1675</xdr:row>
          <xdr:rowOff>182880</xdr:rowOff>
        </xdr:to>
        <xdr:sp macro="" textlink="">
          <xdr:nvSpPr>
            <xdr:cNvPr id="15991" name="Check Box 631" hidden="1">
              <a:extLst>
                <a:ext uri="{63B3BB69-23CF-44E3-9099-C40C66FF867C}">
                  <a14:compatExt spid="_x0000_s15991"/>
                </a:ext>
                <a:ext uri="{FF2B5EF4-FFF2-40B4-BE49-F238E27FC236}">
                  <a16:creationId xmlns:a16="http://schemas.microsoft.com/office/drawing/2014/main" id="{00000000-0008-0000-0F00-00007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1677</xdr:row>
          <xdr:rowOff>0</xdr:rowOff>
        </xdr:from>
        <xdr:to>
          <xdr:col>22</xdr:col>
          <xdr:colOff>182880</xdr:colOff>
          <xdr:row>1677</xdr:row>
          <xdr:rowOff>182880</xdr:rowOff>
        </xdr:to>
        <xdr:sp macro="" textlink="">
          <xdr:nvSpPr>
            <xdr:cNvPr id="15992" name="Check Box 632" hidden="1">
              <a:extLst>
                <a:ext uri="{63B3BB69-23CF-44E3-9099-C40C66FF867C}">
                  <a14:compatExt spid="_x0000_s15992"/>
                </a:ext>
                <a:ext uri="{FF2B5EF4-FFF2-40B4-BE49-F238E27FC236}">
                  <a16:creationId xmlns:a16="http://schemas.microsoft.com/office/drawing/2014/main" id="{00000000-0008-0000-0F00-00007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1678</xdr:row>
          <xdr:rowOff>0</xdr:rowOff>
        </xdr:from>
        <xdr:to>
          <xdr:col>22</xdr:col>
          <xdr:colOff>182880</xdr:colOff>
          <xdr:row>1678</xdr:row>
          <xdr:rowOff>182880</xdr:rowOff>
        </xdr:to>
        <xdr:sp macro="" textlink="">
          <xdr:nvSpPr>
            <xdr:cNvPr id="15993" name="Check Box 633" hidden="1">
              <a:extLst>
                <a:ext uri="{63B3BB69-23CF-44E3-9099-C40C66FF867C}">
                  <a14:compatExt spid="_x0000_s15993"/>
                </a:ext>
                <a:ext uri="{FF2B5EF4-FFF2-40B4-BE49-F238E27FC236}">
                  <a16:creationId xmlns:a16="http://schemas.microsoft.com/office/drawing/2014/main" id="{00000000-0008-0000-0F00-00007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1680</xdr:row>
          <xdr:rowOff>0</xdr:rowOff>
        </xdr:from>
        <xdr:to>
          <xdr:col>22</xdr:col>
          <xdr:colOff>182880</xdr:colOff>
          <xdr:row>1680</xdr:row>
          <xdr:rowOff>182880</xdr:rowOff>
        </xdr:to>
        <xdr:sp macro="" textlink="">
          <xdr:nvSpPr>
            <xdr:cNvPr id="15994" name="Check Box 634" hidden="1">
              <a:extLst>
                <a:ext uri="{63B3BB69-23CF-44E3-9099-C40C66FF867C}">
                  <a14:compatExt spid="_x0000_s15994"/>
                </a:ext>
                <a:ext uri="{FF2B5EF4-FFF2-40B4-BE49-F238E27FC236}">
                  <a16:creationId xmlns:a16="http://schemas.microsoft.com/office/drawing/2014/main" id="{00000000-0008-0000-0F00-00007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1685</xdr:row>
          <xdr:rowOff>0</xdr:rowOff>
        </xdr:from>
        <xdr:to>
          <xdr:col>22</xdr:col>
          <xdr:colOff>182880</xdr:colOff>
          <xdr:row>1685</xdr:row>
          <xdr:rowOff>182880</xdr:rowOff>
        </xdr:to>
        <xdr:sp macro="" textlink="">
          <xdr:nvSpPr>
            <xdr:cNvPr id="15995" name="Check Box 635" hidden="1">
              <a:extLst>
                <a:ext uri="{63B3BB69-23CF-44E3-9099-C40C66FF867C}">
                  <a14:compatExt spid="_x0000_s15995"/>
                </a:ext>
                <a:ext uri="{FF2B5EF4-FFF2-40B4-BE49-F238E27FC236}">
                  <a16:creationId xmlns:a16="http://schemas.microsoft.com/office/drawing/2014/main" id="{00000000-0008-0000-0F00-00007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1694</xdr:row>
          <xdr:rowOff>0</xdr:rowOff>
        </xdr:from>
        <xdr:to>
          <xdr:col>22</xdr:col>
          <xdr:colOff>182880</xdr:colOff>
          <xdr:row>1694</xdr:row>
          <xdr:rowOff>182880</xdr:rowOff>
        </xdr:to>
        <xdr:sp macro="" textlink="">
          <xdr:nvSpPr>
            <xdr:cNvPr id="15996" name="Check Box 636" hidden="1">
              <a:extLst>
                <a:ext uri="{63B3BB69-23CF-44E3-9099-C40C66FF867C}">
                  <a14:compatExt spid="_x0000_s15996"/>
                </a:ext>
                <a:ext uri="{FF2B5EF4-FFF2-40B4-BE49-F238E27FC236}">
                  <a16:creationId xmlns:a16="http://schemas.microsoft.com/office/drawing/2014/main" id="{00000000-0008-0000-0F00-00007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1699</xdr:row>
          <xdr:rowOff>0</xdr:rowOff>
        </xdr:from>
        <xdr:to>
          <xdr:col>22</xdr:col>
          <xdr:colOff>182880</xdr:colOff>
          <xdr:row>1699</xdr:row>
          <xdr:rowOff>182880</xdr:rowOff>
        </xdr:to>
        <xdr:sp macro="" textlink="">
          <xdr:nvSpPr>
            <xdr:cNvPr id="15997" name="Check Box 637" hidden="1">
              <a:extLst>
                <a:ext uri="{63B3BB69-23CF-44E3-9099-C40C66FF867C}">
                  <a14:compatExt spid="_x0000_s15997"/>
                </a:ext>
                <a:ext uri="{FF2B5EF4-FFF2-40B4-BE49-F238E27FC236}">
                  <a16:creationId xmlns:a16="http://schemas.microsoft.com/office/drawing/2014/main" id="{00000000-0008-0000-0F00-00007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1700</xdr:row>
          <xdr:rowOff>0</xdr:rowOff>
        </xdr:from>
        <xdr:to>
          <xdr:col>22</xdr:col>
          <xdr:colOff>182880</xdr:colOff>
          <xdr:row>1700</xdr:row>
          <xdr:rowOff>182880</xdr:rowOff>
        </xdr:to>
        <xdr:sp macro="" textlink="">
          <xdr:nvSpPr>
            <xdr:cNvPr id="15998" name="Check Box 638" hidden="1">
              <a:extLst>
                <a:ext uri="{63B3BB69-23CF-44E3-9099-C40C66FF867C}">
                  <a14:compatExt spid="_x0000_s15998"/>
                </a:ext>
                <a:ext uri="{FF2B5EF4-FFF2-40B4-BE49-F238E27FC236}">
                  <a16:creationId xmlns:a16="http://schemas.microsoft.com/office/drawing/2014/main" id="{00000000-0008-0000-0F00-00007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1704</xdr:row>
          <xdr:rowOff>0</xdr:rowOff>
        </xdr:from>
        <xdr:to>
          <xdr:col>22</xdr:col>
          <xdr:colOff>182880</xdr:colOff>
          <xdr:row>1704</xdr:row>
          <xdr:rowOff>182880</xdr:rowOff>
        </xdr:to>
        <xdr:sp macro="" textlink="">
          <xdr:nvSpPr>
            <xdr:cNvPr id="15999" name="Check Box 639" hidden="1">
              <a:extLst>
                <a:ext uri="{63B3BB69-23CF-44E3-9099-C40C66FF867C}">
                  <a14:compatExt spid="_x0000_s15999"/>
                </a:ext>
                <a:ext uri="{FF2B5EF4-FFF2-40B4-BE49-F238E27FC236}">
                  <a16:creationId xmlns:a16="http://schemas.microsoft.com/office/drawing/2014/main" id="{00000000-0008-0000-0F00-00007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1713</xdr:row>
          <xdr:rowOff>0</xdr:rowOff>
        </xdr:from>
        <xdr:to>
          <xdr:col>22</xdr:col>
          <xdr:colOff>182880</xdr:colOff>
          <xdr:row>1713</xdr:row>
          <xdr:rowOff>182880</xdr:rowOff>
        </xdr:to>
        <xdr:sp macro="" textlink="">
          <xdr:nvSpPr>
            <xdr:cNvPr id="16000" name="Check Box 640" hidden="1">
              <a:extLst>
                <a:ext uri="{63B3BB69-23CF-44E3-9099-C40C66FF867C}">
                  <a14:compatExt spid="_x0000_s16000"/>
                </a:ext>
                <a:ext uri="{FF2B5EF4-FFF2-40B4-BE49-F238E27FC236}">
                  <a16:creationId xmlns:a16="http://schemas.microsoft.com/office/drawing/2014/main" id="{00000000-0008-0000-0F00-00008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1714</xdr:row>
          <xdr:rowOff>0</xdr:rowOff>
        </xdr:from>
        <xdr:to>
          <xdr:col>22</xdr:col>
          <xdr:colOff>182880</xdr:colOff>
          <xdr:row>1714</xdr:row>
          <xdr:rowOff>182880</xdr:rowOff>
        </xdr:to>
        <xdr:sp macro="" textlink="">
          <xdr:nvSpPr>
            <xdr:cNvPr id="16001" name="Check Box 641" hidden="1">
              <a:extLst>
                <a:ext uri="{63B3BB69-23CF-44E3-9099-C40C66FF867C}">
                  <a14:compatExt spid="_x0000_s16001"/>
                </a:ext>
                <a:ext uri="{FF2B5EF4-FFF2-40B4-BE49-F238E27FC236}">
                  <a16:creationId xmlns:a16="http://schemas.microsoft.com/office/drawing/2014/main" id="{00000000-0008-0000-0F00-00008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1717</xdr:row>
          <xdr:rowOff>0</xdr:rowOff>
        </xdr:from>
        <xdr:to>
          <xdr:col>22</xdr:col>
          <xdr:colOff>182880</xdr:colOff>
          <xdr:row>1717</xdr:row>
          <xdr:rowOff>182880</xdr:rowOff>
        </xdr:to>
        <xdr:sp macro="" textlink="">
          <xdr:nvSpPr>
            <xdr:cNvPr id="16002" name="Check Box 642" hidden="1">
              <a:extLst>
                <a:ext uri="{63B3BB69-23CF-44E3-9099-C40C66FF867C}">
                  <a14:compatExt spid="_x0000_s16002"/>
                </a:ext>
                <a:ext uri="{FF2B5EF4-FFF2-40B4-BE49-F238E27FC236}">
                  <a16:creationId xmlns:a16="http://schemas.microsoft.com/office/drawing/2014/main" id="{00000000-0008-0000-0F00-00008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1719</xdr:row>
          <xdr:rowOff>0</xdr:rowOff>
        </xdr:from>
        <xdr:to>
          <xdr:col>22</xdr:col>
          <xdr:colOff>182880</xdr:colOff>
          <xdr:row>1719</xdr:row>
          <xdr:rowOff>182880</xdr:rowOff>
        </xdr:to>
        <xdr:sp macro="" textlink="">
          <xdr:nvSpPr>
            <xdr:cNvPr id="16003" name="Check Box 643" hidden="1">
              <a:extLst>
                <a:ext uri="{63B3BB69-23CF-44E3-9099-C40C66FF867C}">
                  <a14:compatExt spid="_x0000_s16003"/>
                </a:ext>
                <a:ext uri="{FF2B5EF4-FFF2-40B4-BE49-F238E27FC236}">
                  <a16:creationId xmlns:a16="http://schemas.microsoft.com/office/drawing/2014/main" id="{00000000-0008-0000-0F00-00008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1725</xdr:row>
          <xdr:rowOff>0</xdr:rowOff>
        </xdr:from>
        <xdr:to>
          <xdr:col>22</xdr:col>
          <xdr:colOff>182880</xdr:colOff>
          <xdr:row>1725</xdr:row>
          <xdr:rowOff>182880</xdr:rowOff>
        </xdr:to>
        <xdr:sp macro="" textlink="">
          <xdr:nvSpPr>
            <xdr:cNvPr id="16004" name="Check Box 644" hidden="1">
              <a:extLst>
                <a:ext uri="{63B3BB69-23CF-44E3-9099-C40C66FF867C}">
                  <a14:compatExt spid="_x0000_s16004"/>
                </a:ext>
                <a:ext uri="{FF2B5EF4-FFF2-40B4-BE49-F238E27FC236}">
                  <a16:creationId xmlns:a16="http://schemas.microsoft.com/office/drawing/2014/main" id="{00000000-0008-0000-0F00-00008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1727</xdr:row>
          <xdr:rowOff>0</xdr:rowOff>
        </xdr:from>
        <xdr:to>
          <xdr:col>22</xdr:col>
          <xdr:colOff>182880</xdr:colOff>
          <xdr:row>1727</xdr:row>
          <xdr:rowOff>182880</xdr:rowOff>
        </xdr:to>
        <xdr:sp macro="" textlink="">
          <xdr:nvSpPr>
            <xdr:cNvPr id="16005" name="Check Box 645" hidden="1">
              <a:extLst>
                <a:ext uri="{63B3BB69-23CF-44E3-9099-C40C66FF867C}">
                  <a14:compatExt spid="_x0000_s16005"/>
                </a:ext>
                <a:ext uri="{FF2B5EF4-FFF2-40B4-BE49-F238E27FC236}">
                  <a16:creationId xmlns:a16="http://schemas.microsoft.com/office/drawing/2014/main" id="{00000000-0008-0000-0F00-00008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1731</xdr:row>
          <xdr:rowOff>0</xdr:rowOff>
        </xdr:from>
        <xdr:to>
          <xdr:col>22</xdr:col>
          <xdr:colOff>182880</xdr:colOff>
          <xdr:row>1731</xdr:row>
          <xdr:rowOff>182880</xdr:rowOff>
        </xdr:to>
        <xdr:sp macro="" textlink="">
          <xdr:nvSpPr>
            <xdr:cNvPr id="16006" name="Check Box 646" hidden="1">
              <a:extLst>
                <a:ext uri="{63B3BB69-23CF-44E3-9099-C40C66FF867C}">
                  <a14:compatExt spid="_x0000_s16006"/>
                </a:ext>
                <a:ext uri="{FF2B5EF4-FFF2-40B4-BE49-F238E27FC236}">
                  <a16:creationId xmlns:a16="http://schemas.microsoft.com/office/drawing/2014/main" id="{00000000-0008-0000-0F00-00008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1738</xdr:row>
          <xdr:rowOff>0</xdr:rowOff>
        </xdr:from>
        <xdr:to>
          <xdr:col>22</xdr:col>
          <xdr:colOff>182880</xdr:colOff>
          <xdr:row>1738</xdr:row>
          <xdr:rowOff>182880</xdr:rowOff>
        </xdr:to>
        <xdr:sp macro="" textlink="">
          <xdr:nvSpPr>
            <xdr:cNvPr id="16007" name="Check Box 647" hidden="1">
              <a:extLst>
                <a:ext uri="{63B3BB69-23CF-44E3-9099-C40C66FF867C}">
                  <a14:compatExt spid="_x0000_s16007"/>
                </a:ext>
                <a:ext uri="{FF2B5EF4-FFF2-40B4-BE49-F238E27FC236}">
                  <a16:creationId xmlns:a16="http://schemas.microsoft.com/office/drawing/2014/main" id="{00000000-0008-0000-0F00-00008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1749</xdr:row>
          <xdr:rowOff>0</xdr:rowOff>
        </xdr:from>
        <xdr:to>
          <xdr:col>22</xdr:col>
          <xdr:colOff>182880</xdr:colOff>
          <xdr:row>1749</xdr:row>
          <xdr:rowOff>182880</xdr:rowOff>
        </xdr:to>
        <xdr:sp macro="" textlink="">
          <xdr:nvSpPr>
            <xdr:cNvPr id="16008" name="Check Box 648" hidden="1">
              <a:extLst>
                <a:ext uri="{63B3BB69-23CF-44E3-9099-C40C66FF867C}">
                  <a14:compatExt spid="_x0000_s16008"/>
                </a:ext>
                <a:ext uri="{FF2B5EF4-FFF2-40B4-BE49-F238E27FC236}">
                  <a16:creationId xmlns:a16="http://schemas.microsoft.com/office/drawing/2014/main" id="{00000000-0008-0000-0F00-00008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1751</xdr:row>
          <xdr:rowOff>0</xdr:rowOff>
        </xdr:from>
        <xdr:to>
          <xdr:col>22</xdr:col>
          <xdr:colOff>182880</xdr:colOff>
          <xdr:row>1751</xdr:row>
          <xdr:rowOff>182880</xdr:rowOff>
        </xdr:to>
        <xdr:sp macro="" textlink="">
          <xdr:nvSpPr>
            <xdr:cNvPr id="16009" name="Check Box 649" hidden="1">
              <a:extLst>
                <a:ext uri="{63B3BB69-23CF-44E3-9099-C40C66FF867C}">
                  <a14:compatExt spid="_x0000_s16009"/>
                </a:ext>
                <a:ext uri="{FF2B5EF4-FFF2-40B4-BE49-F238E27FC236}">
                  <a16:creationId xmlns:a16="http://schemas.microsoft.com/office/drawing/2014/main" id="{00000000-0008-0000-0F00-00008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1753</xdr:row>
          <xdr:rowOff>0</xdr:rowOff>
        </xdr:from>
        <xdr:to>
          <xdr:col>22</xdr:col>
          <xdr:colOff>182880</xdr:colOff>
          <xdr:row>1753</xdr:row>
          <xdr:rowOff>182880</xdr:rowOff>
        </xdr:to>
        <xdr:sp macro="" textlink="">
          <xdr:nvSpPr>
            <xdr:cNvPr id="16010" name="Check Box 650" hidden="1">
              <a:extLst>
                <a:ext uri="{63B3BB69-23CF-44E3-9099-C40C66FF867C}">
                  <a14:compatExt spid="_x0000_s16010"/>
                </a:ext>
                <a:ext uri="{FF2B5EF4-FFF2-40B4-BE49-F238E27FC236}">
                  <a16:creationId xmlns:a16="http://schemas.microsoft.com/office/drawing/2014/main" id="{00000000-0008-0000-0F00-00008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1766</xdr:row>
          <xdr:rowOff>0</xdr:rowOff>
        </xdr:from>
        <xdr:to>
          <xdr:col>22</xdr:col>
          <xdr:colOff>182880</xdr:colOff>
          <xdr:row>1766</xdr:row>
          <xdr:rowOff>182880</xdr:rowOff>
        </xdr:to>
        <xdr:sp macro="" textlink="">
          <xdr:nvSpPr>
            <xdr:cNvPr id="16011" name="Check Box 651" hidden="1">
              <a:extLst>
                <a:ext uri="{63B3BB69-23CF-44E3-9099-C40C66FF867C}">
                  <a14:compatExt spid="_x0000_s16011"/>
                </a:ext>
                <a:ext uri="{FF2B5EF4-FFF2-40B4-BE49-F238E27FC236}">
                  <a16:creationId xmlns:a16="http://schemas.microsoft.com/office/drawing/2014/main" id="{00000000-0008-0000-0F00-00008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1768</xdr:row>
          <xdr:rowOff>0</xdr:rowOff>
        </xdr:from>
        <xdr:to>
          <xdr:col>22</xdr:col>
          <xdr:colOff>182880</xdr:colOff>
          <xdr:row>1768</xdr:row>
          <xdr:rowOff>182880</xdr:rowOff>
        </xdr:to>
        <xdr:sp macro="" textlink="">
          <xdr:nvSpPr>
            <xdr:cNvPr id="16012" name="Check Box 652" hidden="1">
              <a:extLst>
                <a:ext uri="{63B3BB69-23CF-44E3-9099-C40C66FF867C}">
                  <a14:compatExt spid="_x0000_s16012"/>
                </a:ext>
                <a:ext uri="{FF2B5EF4-FFF2-40B4-BE49-F238E27FC236}">
                  <a16:creationId xmlns:a16="http://schemas.microsoft.com/office/drawing/2014/main" id="{00000000-0008-0000-0F00-00008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1771</xdr:row>
          <xdr:rowOff>0</xdr:rowOff>
        </xdr:from>
        <xdr:to>
          <xdr:col>22</xdr:col>
          <xdr:colOff>182880</xdr:colOff>
          <xdr:row>1771</xdr:row>
          <xdr:rowOff>182880</xdr:rowOff>
        </xdr:to>
        <xdr:sp macro="" textlink="">
          <xdr:nvSpPr>
            <xdr:cNvPr id="16013" name="Check Box 653" hidden="1">
              <a:extLst>
                <a:ext uri="{63B3BB69-23CF-44E3-9099-C40C66FF867C}">
                  <a14:compatExt spid="_x0000_s16013"/>
                </a:ext>
                <a:ext uri="{FF2B5EF4-FFF2-40B4-BE49-F238E27FC236}">
                  <a16:creationId xmlns:a16="http://schemas.microsoft.com/office/drawing/2014/main" id="{00000000-0008-0000-0F00-00008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1780</xdr:row>
          <xdr:rowOff>0</xdr:rowOff>
        </xdr:from>
        <xdr:to>
          <xdr:col>22</xdr:col>
          <xdr:colOff>182880</xdr:colOff>
          <xdr:row>1780</xdr:row>
          <xdr:rowOff>182880</xdr:rowOff>
        </xdr:to>
        <xdr:sp macro="" textlink="">
          <xdr:nvSpPr>
            <xdr:cNvPr id="16014" name="Check Box 654" hidden="1">
              <a:extLst>
                <a:ext uri="{63B3BB69-23CF-44E3-9099-C40C66FF867C}">
                  <a14:compatExt spid="_x0000_s16014"/>
                </a:ext>
                <a:ext uri="{FF2B5EF4-FFF2-40B4-BE49-F238E27FC236}">
                  <a16:creationId xmlns:a16="http://schemas.microsoft.com/office/drawing/2014/main" id="{00000000-0008-0000-0F00-00008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1783</xdr:row>
          <xdr:rowOff>0</xdr:rowOff>
        </xdr:from>
        <xdr:to>
          <xdr:col>22</xdr:col>
          <xdr:colOff>182880</xdr:colOff>
          <xdr:row>1783</xdr:row>
          <xdr:rowOff>182880</xdr:rowOff>
        </xdr:to>
        <xdr:sp macro="" textlink="">
          <xdr:nvSpPr>
            <xdr:cNvPr id="16015" name="Check Box 655" hidden="1">
              <a:extLst>
                <a:ext uri="{63B3BB69-23CF-44E3-9099-C40C66FF867C}">
                  <a14:compatExt spid="_x0000_s16015"/>
                </a:ext>
                <a:ext uri="{FF2B5EF4-FFF2-40B4-BE49-F238E27FC236}">
                  <a16:creationId xmlns:a16="http://schemas.microsoft.com/office/drawing/2014/main" id="{00000000-0008-0000-0F00-00008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1785</xdr:row>
          <xdr:rowOff>0</xdr:rowOff>
        </xdr:from>
        <xdr:to>
          <xdr:col>22</xdr:col>
          <xdr:colOff>182880</xdr:colOff>
          <xdr:row>1785</xdr:row>
          <xdr:rowOff>182880</xdr:rowOff>
        </xdr:to>
        <xdr:sp macro="" textlink="">
          <xdr:nvSpPr>
            <xdr:cNvPr id="16016" name="Check Box 656" hidden="1">
              <a:extLst>
                <a:ext uri="{63B3BB69-23CF-44E3-9099-C40C66FF867C}">
                  <a14:compatExt spid="_x0000_s16016"/>
                </a:ext>
                <a:ext uri="{FF2B5EF4-FFF2-40B4-BE49-F238E27FC236}">
                  <a16:creationId xmlns:a16="http://schemas.microsoft.com/office/drawing/2014/main" id="{00000000-0008-0000-0F00-00009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1788</xdr:row>
          <xdr:rowOff>0</xdr:rowOff>
        </xdr:from>
        <xdr:to>
          <xdr:col>22</xdr:col>
          <xdr:colOff>182880</xdr:colOff>
          <xdr:row>1788</xdr:row>
          <xdr:rowOff>182880</xdr:rowOff>
        </xdr:to>
        <xdr:sp macro="" textlink="">
          <xdr:nvSpPr>
            <xdr:cNvPr id="16017" name="Check Box 657" hidden="1">
              <a:extLst>
                <a:ext uri="{63B3BB69-23CF-44E3-9099-C40C66FF867C}">
                  <a14:compatExt spid="_x0000_s16017"/>
                </a:ext>
                <a:ext uri="{FF2B5EF4-FFF2-40B4-BE49-F238E27FC236}">
                  <a16:creationId xmlns:a16="http://schemas.microsoft.com/office/drawing/2014/main" id="{00000000-0008-0000-0F00-00009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1790</xdr:row>
          <xdr:rowOff>0</xdr:rowOff>
        </xdr:from>
        <xdr:to>
          <xdr:col>22</xdr:col>
          <xdr:colOff>182880</xdr:colOff>
          <xdr:row>1790</xdr:row>
          <xdr:rowOff>182880</xdr:rowOff>
        </xdr:to>
        <xdr:sp macro="" textlink="">
          <xdr:nvSpPr>
            <xdr:cNvPr id="16018" name="Check Box 658" hidden="1">
              <a:extLst>
                <a:ext uri="{63B3BB69-23CF-44E3-9099-C40C66FF867C}">
                  <a14:compatExt spid="_x0000_s16018"/>
                </a:ext>
                <a:ext uri="{FF2B5EF4-FFF2-40B4-BE49-F238E27FC236}">
                  <a16:creationId xmlns:a16="http://schemas.microsoft.com/office/drawing/2014/main" id="{00000000-0008-0000-0F00-00009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1804</xdr:row>
          <xdr:rowOff>0</xdr:rowOff>
        </xdr:from>
        <xdr:to>
          <xdr:col>22</xdr:col>
          <xdr:colOff>182880</xdr:colOff>
          <xdr:row>1804</xdr:row>
          <xdr:rowOff>182880</xdr:rowOff>
        </xdr:to>
        <xdr:sp macro="" textlink="">
          <xdr:nvSpPr>
            <xdr:cNvPr id="16019" name="Check Box 659" hidden="1">
              <a:extLst>
                <a:ext uri="{63B3BB69-23CF-44E3-9099-C40C66FF867C}">
                  <a14:compatExt spid="_x0000_s16019"/>
                </a:ext>
                <a:ext uri="{FF2B5EF4-FFF2-40B4-BE49-F238E27FC236}">
                  <a16:creationId xmlns:a16="http://schemas.microsoft.com/office/drawing/2014/main" id="{00000000-0008-0000-0F00-00009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1805</xdr:row>
          <xdr:rowOff>0</xdr:rowOff>
        </xdr:from>
        <xdr:to>
          <xdr:col>22</xdr:col>
          <xdr:colOff>182880</xdr:colOff>
          <xdr:row>1805</xdr:row>
          <xdr:rowOff>182880</xdr:rowOff>
        </xdr:to>
        <xdr:sp macro="" textlink="">
          <xdr:nvSpPr>
            <xdr:cNvPr id="16020" name="Check Box 660" hidden="1">
              <a:extLst>
                <a:ext uri="{63B3BB69-23CF-44E3-9099-C40C66FF867C}">
                  <a14:compatExt spid="_x0000_s16020"/>
                </a:ext>
                <a:ext uri="{FF2B5EF4-FFF2-40B4-BE49-F238E27FC236}">
                  <a16:creationId xmlns:a16="http://schemas.microsoft.com/office/drawing/2014/main" id="{00000000-0008-0000-0F00-00009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1810</xdr:row>
          <xdr:rowOff>0</xdr:rowOff>
        </xdr:from>
        <xdr:to>
          <xdr:col>22</xdr:col>
          <xdr:colOff>182880</xdr:colOff>
          <xdr:row>1810</xdr:row>
          <xdr:rowOff>182880</xdr:rowOff>
        </xdr:to>
        <xdr:sp macro="" textlink="">
          <xdr:nvSpPr>
            <xdr:cNvPr id="16021" name="Check Box 661" hidden="1">
              <a:extLst>
                <a:ext uri="{63B3BB69-23CF-44E3-9099-C40C66FF867C}">
                  <a14:compatExt spid="_x0000_s16021"/>
                </a:ext>
                <a:ext uri="{FF2B5EF4-FFF2-40B4-BE49-F238E27FC236}">
                  <a16:creationId xmlns:a16="http://schemas.microsoft.com/office/drawing/2014/main" id="{00000000-0008-0000-0F00-00009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1815</xdr:row>
          <xdr:rowOff>0</xdr:rowOff>
        </xdr:from>
        <xdr:to>
          <xdr:col>22</xdr:col>
          <xdr:colOff>182880</xdr:colOff>
          <xdr:row>1815</xdr:row>
          <xdr:rowOff>182880</xdr:rowOff>
        </xdr:to>
        <xdr:sp macro="" textlink="">
          <xdr:nvSpPr>
            <xdr:cNvPr id="16022" name="Check Box 662" hidden="1">
              <a:extLst>
                <a:ext uri="{63B3BB69-23CF-44E3-9099-C40C66FF867C}">
                  <a14:compatExt spid="_x0000_s16022"/>
                </a:ext>
                <a:ext uri="{FF2B5EF4-FFF2-40B4-BE49-F238E27FC236}">
                  <a16:creationId xmlns:a16="http://schemas.microsoft.com/office/drawing/2014/main" id="{00000000-0008-0000-0F00-00009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1819</xdr:row>
          <xdr:rowOff>0</xdr:rowOff>
        </xdr:from>
        <xdr:to>
          <xdr:col>22</xdr:col>
          <xdr:colOff>182880</xdr:colOff>
          <xdr:row>1819</xdr:row>
          <xdr:rowOff>182880</xdr:rowOff>
        </xdr:to>
        <xdr:sp macro="" textlink="">
          <xdr:nvSpPr>
            <xdr:cNvPr id="16023" name="Check Box 663" hidden="1">
              <a:extLst>
                <a:ext uri="{63B3BB69-23CF-44E3-9099-C40C66FF867C}">
                  <a14:compatExt spid="_x0000_s16023"/>
                </a:ext>
                <a:ext uri="{FF2B5EF4-FFF2-40B4-BE49-F238E27FC236}">
                  <a16:creationId xmlns:a16="http://schemas.microsoft.com/office/drawing/2014/main" id="{00000000-0008-0000-0F00-00009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1824</xdr:row>
          <xdr:rowOff>0</xdr:rowOff>
        </xdr:from>
        <xdr:to>
          <xdr:col>22</xdr:col>
          <xdr:colOff>182880</xdr:colOff>
          <xdr:row>1824</xdr:row>
          <xdr:rowOff>182880</xdr:rowOff>
        </xdr:to>
        <xdr:sp macro="" textlink="">
          <xdr:nvSpPr>
            <xdr:cNvPr id="16024" name="Check Box 664" hidden="1">
              <a:extLst>
                <a:ext uri="{63B3BB69-23CF-44E3-9099-C40C66FF867C}">
                  <a14:compatExt spid="_x0000_s16024"/>
                </a:ext>
                <a:ext uri="{FF2B5EF4-FFF2-40B4-BE49-F238E27FC236}">
                  <a16:creationId xmlns:a16="http://schemas.microsoft.com/office/drawing/2014/main" id="{00000000-0008-0000-0F00-00009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1832</xdr:row>
          <xdr:rowOff>0</xdr:rowOff>
        </xdr:from>
        <xdr:to>
          <xdr:col>22</xdr:col>
          <xdr:colOff>182880</xdr:colOff>
          <xdr:row>1832</xdr:row>
          <xdr:rowOff>182880</xdr:rowOff>
        </xdr:to>
        <xdr:sp macro="" textlink="">
          <xdr:nvSpPr>
            <xdr:cNvPr id="16086" name="Check Box 726" hidden="1">
              <a:extLst>
                <a:ext uri="{63B3BB69-23CF-44E3-9099-C40C66FF867C}">
                  <a14:compatExt spid="_x0000_s16086"/>
                </a:ext>
                <a:ext uri="{FF2B5EF4-FFF2-40B4-BE49-F238E27FC236}">
                  <a16:creationId xmlns:a16="http://schemas.microsoft.com/office/drawing/2014/main" id="{00000000-0008-0000-0F00-0000D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1833</xdr:row>
          <xdr:rowOff>0</xdr:rowOff>
        </xdr:from>
        <xdr:to>
          <xdr:col>22</xdr:col>
          <xdr:colOff>182880</xdr:colOff>
          <xdr:row>1833</xdr:row>
          <xdr:rowOff>182880</xdr:rowOff>
        </xdr:to>
        <xdr:sp macro="" textlink="">
          <xdr:nvSpPr>
            <xdr:cNvPr id="16087" name="Check Box 727" hidden="1">
              <a:extLst>
                <a:ext uri="{63B3BB69-23CF-44E3-9099-C40C66FF867C}">
                  <a14:compatExt spid="_x0000_s16087"/>
                </a:ext>
                <a:ext uri="{FF2B5EF4-FFF2-40B4-BE49-F238E27FC236}">
                  <a16:creationId xmlns:a16="http://schemas.microsoft.com/office/drawing/2014/main" id="{00000000-0008-0000-0F00-0000D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1834</xdr:row>
          <xdr:rowOff>0</xdr:rowOff>
        </xdr:from>
        <xdr:to>
          <xdr:col>22</xdr:col>
          <xdr:colOff>182880</xdr:colOff>
          <xdr:row>1834</xdr:row>
          <xdr:rowOff>182880</xdr:rowOff>
        </xdr:to>
        <xdr:sp macro="" textlink="">
          <xdr:nvSpPr>
            <xdr:cNvPr id="16088" name="Check Box 728" hidden="1">
              <a:extLst>
                <a:ext uri="{63B3BB69-23CF-44E3-9099-C40C66FF867C}">
                  <a14:compatExt spid="_x0000_s16088"/>
                </a:ext>
                <a:ext uri="{FF2B5EF4-FFF2-40B4-BE49-F238E27FC236}">
                  <a16:creationId xmlns:a16="http://schemas.microsoft.com/office/drawing/2014/main" id="{00000000-0008-0000-0F00-0000D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1838</xdr:row>
          <xdr:rowOff>0</xdr:rowOff>
        </xdr:from>
        <xdr:to>
          <xdr:col>22</xdr:col>
          <xdr:colOff>182880</xdr:colOff>
          <xdr:row>1838</xdr:row>
          <xdr:rowOff>182880</xdr:rowOff>
        </xdr:to>
        <xdr:sp macro="" textlink="">
          <xdr:nvSpPr>
            <xdr:cNvPr id="16089" name="Check Box 729" hidden="1">
              <a:extLst>
                <a:ext uri="{63B3BB69-23CF-44E3-9099-C40C66FF867C}">
                  <a14:compatExt spid="_x0000_s16089"/>
                </a:ext>
                <a:ext uri="{FF2B5EF4-FFF2-40B4-BE49-F238E27FC236}">
                  <a16:creationId xmlns:a16="http://schemas.microsoft.com/office/drawing/2014/main" id="{00000000-0008-0000-0F00-0000D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1839</xdr:row>
          <xdr:rowOff>0</xdr:rowOff>
        </xdr:from>
        <xdr:to>
          <xdr:col>22</xdr:col>
          <xdr:colOff>182880</xdr:colOff>
          <xdr:row>1839</xdr:row>
          <xdr:rowOff>182880</xdr:rowOff>
        </xdr:to>
        <xdr:sp macro="" textlink="">
          <xdr:nvSpPr>
            <xdr:cNvPr id="16090" name="Check Box 730" hidden="1">
              <a:extLst>
                <a:ext uri="{63B3BB69-23CF-44E3-9099-C40C66FF867C}">
                  <a14:compatExt spid="_x0000_s16090"/>
                </a:ext>
                <a:ext uri="{FF2B5EF4-FFF2-40B4-BE49-F238E27FC236}">
                  <a16:creationId xmlns:a16="http://schemas.microsoft.com/office/drawing/2014/main" id="{00000000-0008-0000-0F00-0000D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1840</xdr:row>
          <xdr:rowOff>0</xdr:rowOff>
        </xdr:from>
        <xdr:to>
          <xdr:col>22</xdr:col>
          <xdr:colOff>182880</xdr:colOff>
          <xdr:row>1840</xdr:row>
          <xdr:rowOff>182880</xdr:rowOff>
        </xdr:to>
        <xdr:sp macro="" textlink="">
          <xdr:nvSpPr>
            <xdr:cNvPr id="16091" name="Check Box 731" hidden="1">
              <a:extLst>
                <a:ext uri="{63B3BB69-23CF-44E3-9099-C40C66FF867C}">
                  <a14:compatExt spid="_x0000_s16091"/>
                </a:ext>
                <a:ext uri="{FF2B5EF4-FFF2-40B4-BE49-F238E27FC236}">
                  <a16:creationId xmlns:a16="http://schemas.microsoft.com/office/drawing/2014/main" id="{00000000-0008-0000-0F00-0000D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1842</xdr:row>
          <xdr:rowOff>0</xdr:rowOff>
        </xdr:from>
        <xdr:to>
          <xdr:col>22</xdr:col>
          <xdr:colOff>182880</xdr:colOff>
          <xdr:row>1842</xdr:row>
          <xdr:rowOff>182880</xdr:rowOff>
        </xdr:to>
        <xdr:sp macro="" textlink="">
          <xdr:nvSpPr>
            <xdr:cNvPr id="16092" name="Check Box 732" hidden="1">
              <a:extLst>
                <a:ext uri="{63B3BB69-23CF-44E3-9099-C40C66FF867C}">
                  <a14:compatExt spid="_x0000_s16092"/>
                </a:ext>
                <a:ext uri="{FF2B5EF4-FFF2-40B4-BE49-F238E27FC236}">
                  <a16:creationId xmlns:a16="http://schemas.microsoft.com/office/drawing/2014/main" id="{00000000-0008-0000-0F00-0000D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1844</xdr:row>
          <xdr:rowOff>0</xdr:rowOff>
        </xdr:from>
        <xdr:to>
          <xdr:col>22</xdr:col>
          <xdr:colOff>182880</xdr:colOff>
          <xdr:row>1844</xdr:row>
          <xdr:rowOff>182880</xdr:rowOff>
        </xdr:to>
        <xdr:sp macro="" textlink="">
          <xdr:nvSpPr>
            <xdr:cNvPr id="16093" name="Check Box 733" hidden="1">
              <a:extLst>
                <a:ext uri="{63B3BB69-23CF-44E3-9099-C40C66FF867C}">
                  <a14:compatExt spid="_x0000_s16093"/>
                </a:ext>
                <a:ext uri="{FF2B5EF4-FFF2-40B4-BE49-F238E27FC236}">
                  <a16:creationId xmlns:a16="http://schemas.microsoft.com/office/drawing/2014/main" id="{00000000-0008-0000-0F00-0000D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1845</xdr:row>
          <xdr:rowOff>0</xdr:rowOff>
        </xdr:from>
        <xdr:to>
          <xdr:col>22</xdr:col>
          <xdr:colOff>182880</xdr:colOff>
          <xdr:row>1845</xdr:row>
          <xdr:rowOff>182880</xdr:rowOff>
        </xdr:to>
        <xdr:sp macro="" textlink="">
          <xdr:nvSpPr>
            <xdr:cNvPr id="16094" name="Check Box 734" hidden="1">
              <a:extLst>
                <a:ext uri="{63B3BB69-23CF-44E3-9099-C40C66FF867C}">
                  <a14:compatExt spid="_x0000_s16094"/>
                </a:ext>
                <a:ext uri="{FF2B5EF4-FFF2-40B4-BE49-F238E27FC236}">
                  <a16:creationId xmlns:a16="http://schemas.microsoft.com/office/drawing/2014/main" id="{00000000-0008-0000-0F00-0000D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1847</xdr:row>
          <xdr:rowOff>0</xdr:rowOff>
        </xdr:from>
        <xdr:to>
          <xdr:col>22</xdr:col>
          <xdr:colOff>182880</xdr:colOff>
          <xdr:row>1847</xdr:row>
          <xdr:rowOff>182880</xdr:rowOff>
        </xdr:to>
        <xdr:sp macro="" textlink="">
          <xdr:nvSpPr>
            <xdr:cNvPr id="16095" name="Check Box 735" hidden="1">
              <a:extLst>
                <a:ext uri="{63B3BB69-23CF-44E3-9099-C40C66FF867C}">
                  <a14:compatExt spid="_x0000_s16095"/>
                </a:ext>
                <a:ext uri="{FF2B5EF4-FFF2-40B4-BE49-F238E27FC236}">
                  <a16:creationId xmlns:a16="http://schemas.microsoft.com/office/drawing/2014/main" id="{00000000-0008-0000-0F00-0000D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1848</xdr:row>
          <xdr:rowOff>0</xdr:rowOff>
        </xdr:from>
        <xdr:to>
          <xdr:col>22</xdr:col>
          <xdr:colOff>182880</xdr:colOff>
          <xdr:row>1848</xdr:row>
          <xdr:rowOff>182880</xdr:rowOff>
        </xdr:to>
        <xdr:sp macro="" textlink="">
          <xdr:nvSpPr>
            <xdr:cNvPr id="16096" name="Check Box 736" hidden="1">
              <a:extLst>
                <a:ext uri="{63B3BB69-23CF-44E3-9099-C40C66FF867C}">
                  <a14:compatExt spid="_x0000_s16096"/>
                </a:ext>
                <a:ext uri="{FF2B5EF4-FFF2-40B4-BE49-F238E27FC236}">
                  <a16:creationId xmlns:a16="http://schemas.microsoft.com/office/drawing/2014/main" id="{00000000-0008-0000-0F00-0000E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1849</xdr:row>
          <xdr:rowOff>0</xdr:rowOff>
        </xdr:from>
        <xdr:to>
          <xdr:col>22</xdr:col>
          <xdr:colOff>182880</xdr:colOff>
          <xdr:row>1849</xdr:row>
          <xdr:rowOff>182880</xdr:rowOff>
        </xdr:to>
        <xdr:sp macro="" textlink="">
          <xdr:nvSpPr>
            <xdr:cNvPr id="16097" name="Check Box 737" hidden="1">
              <a:extLst>
                <a:ext uri="{63B3BB69-23CF-44E3-9099-C40C66FF867C}">
                  <a14:compatExt spid="_x0000_s16097"/>
                </a:ext>
                <a:ext uri="{FF2B5EF4-FFF2-40B4-BE49-F238E27FC236}">
                  <a16:creationId xmlns:a16="http://schemas.microsoft.com/office/drawing/2014/main" id="{00000000-0008-0000-0F00-0000E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1855</xdr:row>
          <xdr:rowOff>0</xdr:rowOff>
        </xdr:from>
        <xdr:to>
          <xdr:col>22</xdr:col>
          <xdr:colOff>182880</xdr:colOff>
          <xdr:row>1855</xdr:row>
          <xdr:rowOff>182880</xdr:rowOff>
        </xdr:to>
        <xdr:sp macro="" textlink="">
          <xdr:nvSpPr>
            <xdr:cNvPr id="16098" name="Check Box 738" hidden="1">
              <a:extLst>
                <a:ext uri="{63B3BB69-23CF-44E3-9099-C40C66FF867C}">
                  <a14:compatExt spid="_x0000_s16098"/>
                </a:ext>
                <a:ext uri="{FF2B5EF4-FFF2-40B4-BE49-F238E27FC236}">
                  <a16:creationId xmlns:a16="http://schemas.microsoft.com/office/drawing/2014/main" id="{00000000-0008-0000-0F00-0000E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1859</xdr:row>
          <xdr:rowOff>0</xdr:rowOff>
        </xdr:from>
        <xdr:to>
          <xdr:col>22</xdr:col>
          <xdr:colOff>182880</xdr:colOff>
          <xdr:row>1859</xdr:row>
          <xdr:rowOff>182880</xdr:rowOff>
        </xdr:to>
        <xdr:sp macro="" textlink="">
          <xdr:nvSpPr>
            <xdr:cNvPr id="16099" name="Check Box 739" hidden="1">
              <a:extLst>
                <a:ext uri="{63B3BB69-23CF-44E3-9099-C40C66FF867C}">
                  <a14:compatExt spid="_x0000_s16099"/>
                </a:ext>
                <a:ext uri="{FF2B5EF4-FFF2-40B4-BE49-F238E27FC236}">
                  <a16:creationId xmlns:a16="http://schemas.microsoft.com/office/drawing/2014/main" id="{00000000-0008-0000-0F00-0000E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1861</xdr:row>
          <xdr:rowOff>0</xdr:rowOff>
        </xdr:from>
        <xdr:to>
          <xdr:col>22</xdr:col>
          <xdr:colOff>182880</xdr:colOff>
          <xdr:row>1861</xdr:row>
          <xdr:rowOff>182880</xdr:rowOff>
        </xdr:to>
        <xdr:sp macro="" textlink="">
          <xdr:nvSpPr>
            <xdr:cNvPr id="16100" name="Check Box 740" hidden="1">
              <a:extLst>
                <a:ext uri="{63B3BB69-23CF-44E3-9099-C40C66FF867C}">
                  <a14:compatExt spid="_x0000_s16100"/>
                </a:ext>
                <a:ext uri="{FF2B5EF4-FFF2-40B4-BE49-F238E27FC236}">
                  <a16:creationId xmlns:a16="http://schemas.microsoft.com/office/drawing/2014/main" id="{00000000-0008-0000-0F00-0000E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1863</xdr:row>
          <xdr:rowOff>0</xdr:rowOff>
        </xdr:from>
        <xdr:to>
          <xdr:col>22</xdr:col>
          <xdr:colOff>182880</xdr:colOff>
          <xdr:row>1863</xdr:row>
          <xdr:rowOff>182880</xdr:rowOff>
        </xdr:to>
        <xdr:sp macro="" textlink="">
          <xdr:nvSpPr>
            <xdr:cNvPr id="16101" name="Check Box 741" hidden="1">
              <a:extLst>
                <a:ext uri="{63B3BB69-23CF-44E3-9099-C40C66FF867C}">
                  <a14:compatExt spid="_x0000_s16101"/>
                </a:ext>
                <a:ext uri="{FF2B5EF4-FFF2-40B4-BE49-F238E27FC236}">
                  <a16:creationId xmlns:a16="http://schemas.microsoft.com/office/drawing/2014/main" id="{00000000-0008-0000-0F00-0000E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1864</xdr:row>
          <xdr:rowOff>0</xdr:rowOff>
        </xdr:from>
        <xdr:to>
          <xdr:col>22</xdr:col>
          <xdr:colOff>182880</xdr:colOff>
          <xdr:row>1864</xdr:row>
          <xdr:rowOff>182880</xdr:rowOff>
        </xdr:to>
        <xdr:sp macro="" textlink="">
          <xdr:nvSpPr>
            <xdr:cNvPr id="16102" name="Check Box 742" hidden="1">
              <a:extLst>
                <a:ext uri="{63B3BB69-23CF-44E3-9099-C40C66FF867C}">
                  <a14:compatExt spid="_x0000_s16102"/>
                </a:ext>
                <a:ext uri="{FF2B5EF4-FFF2-40B4-BE49-F238E27FC236}">
                  <a16:creationId xmlns:a16="http://schemas.microsoft.com/office/drawing/2014/main" id="{00000000-0008-0000-0F00-0000E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1866</xdr:row>
          <xdr:rowOff>0</xdr:rowOff>
        </xdr:from>
        <xdr:to>
          <xdr:col>22</xdr:col>
          <xdr:colOff>182880</xdr:colOff>
          <xdr:row>1866</xdr:row>
          <xdr:rowOff>182880</xdr:rowOff>
        </xdr:to>
        <xdr:sp macro="" textlink="">
          <xdr:nvSpPr>
            <xdr:cNvPr id="16103" name="Check Box 743" hidden="1">
              <a:extLst>
                <a:ext uri="{63B3BB69-23CF-44E3-9099-C40C66FF867C}">
                  <a14:compatExt spid="_x0000_s16103"/>
                </a:ext>
                <a:ext uri="{FF2B5EF4-FFF2-40B4-BE49-F238E27FC236}">
                  <a16:creationId xmlns:a16="http://schemas.microsoft.com/office/drawing/2014/main" id="{00000000-0008-0000-0F00-0000E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1868</xdr:row>
          <xdr:rowOff>0</xdr:rowOff>
        </xdr:from>
        <xdr:to>
          <xdr:col>22</xdr:col>
          <xdr:colOff>182880</xdr:colOff>
          <xdr:row>1868</xdr:row>
          <xdr:rowOff>182880</xdr:rowOff>
        </xdr:to>
        <xdr:sp macro="" textlink="">
          <xdr:nvSpPr>
            <xdr:cNvPr id="16104" name="Check Box 744" hidden="1">
              <a:extLst>
                <a:ext uri="{63B3BB69-23CF-44E3-9099-C40C66FF867C}">
                  <a14:compatExt spid="_x0000_s16104"/>
                </a:ext>
                <a:ext uri="{FF2B5EF4-FFF2-40B4-BE49-F238E27FC236}">
                  <a16:creationId xmlns:a16="http://schemas.microsoft.com/office/drawing/2014/main" id="{00000000-0008-0000-0F00-0000E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1869</xdr:row>
          <xdr:rowOff>0</xdr:rowOff>
        </xdr:from>
        <xdr:to>
          <xdr:col>22</xdr:col>
          <xdr:colOff>182880</xdr:colOff>
          <xdr:row>1869</xdr:row>
          <xdr:rowOff>182880</xdr:rowOff>
        </xdr:to>
        <xdr:sp macro="" textlink="">
          <xdr:nvSpPr>
            <xdr:cNvPr id="16105" name="Check Box 745" hidden="1">
              <a:extLst>
                <a:ext uri="{63B3BB69-23CF-44E3-9099-C40C66FF867C}">
                  <a14:compatExt spid="_x0000_s16105"/>
                </a:ext>
                <a:ext uri="{FF2B5EF4-FFF2-40B4-BE49-F238E27FC236}">
                  <a16:creationId xmlns:a16="http://schemas.microsoft.com/office/drawing/2014/main" id="{00000000-0008-0000-0F00-0000E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1871</xdr:row>
          <xdr:rowOff>0</xdr:rowOff>
        </xdr:from>
        <xdr:to>
          <xdr:col>22</xdr:col>
          <xdr:colOff>182880</xdr:colOff>
          <xdr:row>1871</xdr:row>
          <xdr:rowOff>182880</xdr:rowOff>
        </xdr:to>
        <xdr:sp macro="" textlink="">
          <xdr:nvSpPr>
            <xdr:cNvPr id="16106" name="Check Box 746" hidden="1">
              <a:extLst>
                <a:ext uri="{63B3BB69-23CF-44E3-9099-C40C66FF867C}">
                  <a14:compatExt spid="_x0000_s16106"/>
                </a:ext>
                <a:ext uri="{FF2B5EF4-FFF2-40B4-BE49-F238E27FC236}">
                  <a16:creationId xmlns:a16="http://schemas.microsoft.com/office/drawing/2014/main" id="{00000000-0008-0000-0F00-0000E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1873</xdr:row>
          <xdr:rowOff>0</xdr:rowOff>
        </xdr:from>
        <xdr:to>
          <xdr:col>22</xdr:col>
          <xdr:colOff>182880</xdr:colOff>
          <xdr:row>1873</xdr:row>
          <xdr:rowOff>182880</xdr:rowOff>
        </xdr:to>
        <xdr:sp macro="" textlink="">
          <xdr:nvSpPr>
            <xdr:cNvPr id="16107" name="Check Box 747" hidden="1">
              <a:extLst>
                <a:ext uri="{63B3BB69-23CF-44E3-9099-C40C66FF867C}">
                  <a14:compatExt spid="_x0000_s16107"/>
                </a:ext>
                <a:ext uri="{FF2B5EF4-FFF2-40B4-BE49-F238E27FC236}">
                  <a16:creationId xmlns:a16="http://schemas.microsoft.com/office/drawing/2014/main" id="{00000000-0008-0000-0F00-0000E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1875</xdr:row>
          <xdr:rowOff>0</xdr:rowOff>
        </xdr:from>
        <xdr:to>
          <xdr:col>22</xdr:col>
          <xdr:colOff>182880</xdr:colOff>
          <xdr:row>1875</xdr:row>
          <xdr:rowOff>182880</xdr:rowOff>
        </xdr:to>
        <xdr:sp macro="" textlink="">
          <xdr:nvSpPr>
            <xdr:cNvPr id="16108" name="Check Box 748" hidden="1">
              <a:extLst>
                <a:ext uri="{63B3BB69-23CF-44E3-9099-C40C66FF867C}">
                  <a14:compatExt spid="_x0000_s16108"/>
                </a:ext>
                <a:ext uri="{FF2B5EF4-FFF2-40B4-BE49-F238E27FC236}">
                  <a16:creationId xmlns:a16="http://schemas.microsoft.com/office/drawing/2014/main" id="{00000000-0008-0000-0F00-0000E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1876</xdr:row>
          <xdr:rowOff>0</xdr:rowOff>
        </xdr:from>
        <xdr:to>
          <xdr:col>22</xdr:col>
          <xdr:colOff>182880</xdr:colOff>
          <xdr:row>1876</xdr:row>
          <xdr:rowOff>182880</xdr:rowOff>
        </xdr:to>
        <xdr:sp macro="" textlink="">
          <xdr:nvSpPr>
            <xdr:cNvPr id="16109" name="Check Box 749" hidden="1">
              <a:extLst>
                <a:ext uri="{63B3BB69-23CF-44E3-9099-C40C66FF867C}">
                  <a14:compatExt spid="_x0000_s16109"/>
                </a:ext>
                <a:ext uri="{FF2B5EF4-FFF2-40B4-BE49-F238E27FC236}">
                  <a16:creationId xmlns:a16="http://schemas.microsoft.com/office/drawing/2014/main" id="{00000000-0008-0000-0F00-0000E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1877</xdr:row>
          <xdr:rowOff>0</xdr:rowOff>
        </xdr:from>
        <xdr:to>
          <xdr:col>22</xdr:col>
          <xdr:colOff>182880</xdr:colOff>
          <xdr:row>1877</xdr:row>
          <xdr:rowOff>182880</xdr:rowOff>
        </xdr:to>
        <xdr:sp macro="" textlink="">
          <xdr:nvSpPr>
            <xdr:cNvPr id="16110" name="Check Box 750" hidden="1">
              <a:extLst>
                <a:ext uri="{63B3BB69-23CF-44E3-9099-C40C66FF867C}">
                  <a14:compatExt spid="_x0000_s16110"/>
                </a:ext>
                <a:ext uri="{FF2B5EF4-FFF2-40B4-BE49-F238E27FC236}">
                  <a16:creationId xmlns:a16="http://schemas.microsoft.com/office/drawing/2014/main" id="{00000000-0008-0000-0F00-0000E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1898</xdr:row>
          <xdr:rowOff>0</xdr:rowOff>
        </xdr:from>
        <xdr:to>
          <xdr:col>22</xdr:col>
          <xdr:colOff>182880</xdr:colOff>
          <xdr:row>1898</xdr:row>
          <xdr:rowOff>182880</xdr:rowOff>
        </xdr:to>
        <xdr:sp macro="" textlink="">
          <xdr:nvSpPr>
            <xdr:cNvPr id="16111" name="Check Box 751" hidden="1">
              <a:extLst>
                <a:ext uri="{63B3BB69-23CF-44E3-9099-C40C66FF867C}">
                  <a14:compatExt spid="_x0000_s16111"/>
                </a:ext>
                <a:ext uri="{FF2B5EF4-FFF2-40B4-BE49-F238E27FC236}">
                  <a16:creationId xmlns:a16="http://schemas.microsoft.com/office/drawing/2014/main" id="{00000000-0008-0000-0F00-0000E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1901</xdr:row>
          <xdr:rowOff>0</xdr:rowOff>
        </xdr:from>
        <xdr:to>
          <xdr:col>22</xdr:col>
          <xdr:colOff>182880</xdr:colOff>
          <xdr:row>1901</xdr:row>
          <xdr:rowOff>182880</xdr:rowOff>
        </xdr:to>
        <xdr:sp macro="" textlink="">
          <xdr:nvSpPr>
            <xdr:cNvPr id="16112" name="Check Box 752" hidden="1">
              <a:extLst>
                <a:ext uri="{63B3BB69-23CF-44E3-9099-C40C66FF867C}">
                  <a14:compatExt spid="_x0000_s16112"/>
                </a:ext>
                <a:ext uri="{FF2B5EF4-FFF2-40B4-BE49-F238E27FC236}">
                  <a16:creationId xmlns:a16="http://schemas.microsoft.com/office/drawing/2014/main" id="{00000000-0008-0000-0F00-0000F0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1904</xdr:row>
          <xdr:rowOff>0</xdr:rowOff>
        </xdr:from>
        <xdr:to>
          <xdr:col>22</xdr:col>
          <xdr:colOff>182880</xdr:colOff>
          <xdr:row>1904</xdr:row>
          <xdr:rowOff>182880</xdr:rowOff>
        </xdr:to>
        <xdr:sp macro="" textlink="">
          <xdr:nvSpPr>
            <xdr:cNvPr id="16113" name="Check Box 753" hidden="1">
              <a:extLst>
                <a:ext uri="{63B3BB69-23CF-44E3-9099-C40C66FF867C}">
                  <a14:compatExt spid="_x0000_s16113"/>
                </a:ext>
                <a:ext uri="{FF2B5EF4-FFF2-40B4-BE49-F238E27FC236}">
                  <a16:creationId xmlns:a16="http://schemas.microsoft.com/office/drawing/2014/main" id="{00000000-0008-0000-0F00-0000F1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1906</xdr:row>
          <xdr:rowOff>0</xdr:rowOff>
        </xdr:from>
        <xdr:to>
          <xdr:col>22</xdr:col>
          <xdr:colOff>182880</xdr:colOff>
          <xdr:row>1906</xdr:row>
          <xdr:rowOff>182880</xdr:rowOff>
        </xdr:to>
        <xdr:sp macro="" textlink="">
          <xdr:nvSpPr>
            <xdr:cNvPr id="16114" name="Check Box 754" hidden="1">
              <a:extLst>
                <a:ext uri="{63B3BB69-23CF-44E3-9099-C40C66FF867C}">
                  <a14:compatExt spid="_x0000_s16114"/>
                </a:ext>
                <a:ext uri="{FF2B5EF4-FFF2-40B4-BE49-F238E27FC236}">
                  <a16:creationId xmlns:a16="http://schemas.microsoft.com/office/drawing/2014/main" id="{00000000-0008-0000-0F00-0000F2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1907</xdr:row>
          <xdr:rowOff>0</xdr:rowOff>
        </xdr:from>
        <xdr:to>
          <xdr:col>22</xdr:col>
          <xdr:colOff>182880</xdr:colOff>
          <xdr:row>1907</xdr:row>
          <xdr:rowOff>182880</xdr:rowOff>
        </xdr:to>
        <xdr:sp macro="" textlink="">
          <xdr:nvSpPr>
            <xdr:cNvPr id="16115" name="Check Box 755" hidden="1">
              <a:extLst>
                <a:ext uri="{63B3BB69-23CF-44E3-9099-C40C66FF867C}">
                  <a14:compatExt spid="_x0000_s16115"/>
                </a:ext>
                <a:ext uri="{FF2B5EF4-FFF2-40B4-BE49-F238E27FC236}">
                  <a16:creationId xmlns:a16="http://schemas.microsoft.com/office/drawing/2014/main" id="{00000000-0008-0000-0F00-0000F3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1909</xdr:row>
          <xdr:rowOff>0</xdr:rowOff>
        </xdr:from>
        <xdr:to>
          <xdr:col>22</xdr:col>
          <xdr:colOff>182880</xdr:colOff>
          <xdr:row>1909</xdr:row>
          <xdr:rowOff>182880</xdr:rowOff>
        </xdr:to>
        <xdr:sp macro="" textlink="">
          <xdr:nvSpPr>
            <xdr:cNvPr id="16116" name="Check Box 756" hidden="1">
              <a:extLst>
                <a:ext uri="{63B3BB69-23CF-44E3-9099-C40C66FF867C}">
                  <a14:compatExt spid="_x0000_s16116"/>
                </a:ext>
                <a:ext uri="{FF2B5EF4-FFF2-40B4-BE49-F238E27FC236}">
                  <a16:creationId xmlns:a16="http://schemas.microsoft.com/office/drawing/2014/main" id="{00000000-0008-0000-0F00-0000F4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1910</xdr:row>
          <xdr:rowOff>0</xdr:rowOff>
        </xdr:from>
        <xdr:to>
          <xdr:col>22</xdr:col>
          <xdr:colOff>182880</xdr:colOff>
          <xdr:row>1910</xdr:row>
          <xdr:rowOff>182880</xdr:rowOff>
        </xdr:to>
        <xdr:sp macro="" textlink="">
          <xdr:nvSpPr>
            <xdr:cNvPr id="16117" name="Check Box 757" hidden="1">
              <a:extLst>
                <a:ext uri="{63B3BB69-23CF-44E3-9099-C40C66FF867C}">
                  <a14:compatExt spid="_x0000_s16117"/>
                </a:ext>
                <a:ext uri="{FF2B5EF4-FFF2-40B4-BE49-F238E27FC236}">
                  <a16:creationId xmlns:a16="http://schemas.microsoft.com/office/drawing/2014/main" id="{00000000-0008-0000-0F00-0000F5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1911</xdr:row>
          <xdr:rowOff>0</xdr:rowOff>
        </xdr:from>
        <xdr:to>
          <xdr:col>22</xdr:col>
          <xdr:colOff>182880</xdr:colOff>
          <xdr:row>1911</xdr:row>
          <xdr:rowOff>182880</xdr:rowOff>
        </xdr:to>
        <xdr:sp macro="" textlink="">
          <xdr:nvSpPr>
            <xdr:cNvPr id="16118" name="Check Box 758" hidden="1">
              <a:extLst>
                <a:ext uri="{63B3BB69-23CF-44E3-9099-C40C66FF867C}">
                  <a14:compatExt spid="_x0000_s16118"/>
                </a:ext>
                <a:ext uri="{FF2B5EF4-FFF2-40B4-BE49-F238E27FC236}">
                  <a16:creationId xmlns:a16="http://schemas.microsoft.com/office/drawing/2014/main" id="{00000000-0008-0000-0F00-0000F6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1917</xdr:row>
          <xdr:rowOff>0</xdr:rowOff>
        </xdr:from>
        <xdr:to>
          <xdr:col>22</xdr:col>
          <xdr:colOff>182880</xdr:colOff>
          <xdr:row>1917</xdr:row>
          <xdr:rowOff>182880</xdr:rowOff>
        </xdr:to>
        <xdr:sp macro="" textlink="">
          <xdr:nvSpPr>
            <xdr:cNvPr id="16119" name="Check Box 759" hidden="1">
              <a:extLst>
                <a:ext uri="{63B3BB69-23CF-44E3-9099-C40C66FF867C}">
                  <a14:compatExt spid="_x0000_s16119"/>
                </a:ext>
                <a:ext uri="{FF2B5EF4-FFF2-40B4-BE49-F238E27FC236}">
                  <a16:creationId xmlns:a16="http://schemas.microsoft.com/office/drawing/2014/main" id="{00000000-0008-0000-0F00-0000F7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1919</xdr:row>
          <xdr:rowOff>0</xdr:rowOff>
        </xdr:from>
        <xdr:to>
          <xdr:col>22</xdr:col>
          <xdr:colOff>182880</xdr:colOff>
          <xdr:row>1919</xdr:row>
          <xdr:rowOff>182880</xdr:rowOff>
        </xdr:to>
        <xdr:sp macro="" textlink="">
          <xdr:nvSpPr>
            <xdr:cNvPr id="16120" name="Check Box 760" hidden="1">
              <a:extLst>
                <a:ext uri="{63B3BB69-23CF-44E3-9099-C40C66FF867C}">
                  <a14:compatExt spid="_x0000_s16120"/>
                </a:ext>
                <a:ext uri="{FF2B5EF4-FFF2-40B4-BE49-F238E27FC236}">
                  <a16:creationId xmlns:a16="http://schemas.microsoft.com/office/drawing/2014/main" id="{00000000-0008-0000-0F00-0000F8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1922</xdr:row>
          <xdr:rowOff>0</xdr:rowOff>
        </xdr:from>
        <xdr:to>
          <xdr:col>22</xdr:col>
          <xdr:colOff>182880</xdr:colOff>
          <xdr:row>1922</xdr:row>
          <xdr:rowOff>182880</xdr:rowOff>
        </xdr:to>
        <xdr:sp macro="" textlink="">
          <xdr:nvSpPr>
            <xdr:cNvPr id="16121" name="Check Box 761" hidden="1">
              <a:extLst>
                <a:ext uri="{63B3BB69-23CF-44E3-9099-C40C66FF867C}">
                  <a14:compatExt spid="_x0000_s16121"/>
                </a:ext>
                <a:ext uri="{FF2B5EF4-FFF2-40B4-BE49-F238E27FC236}">
                  <a16:creationId xmlns:a16="http://schemas.microsoft.com/office/drawing/2014/main" id="{00000000-0008-0000-0F00-0000F9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1924</xdr:row>
          <xdr:rowOff>0</xdr:rowOff>
        </xdr:from>
        <xdr:to>
          <xdr:col>22</xdr:col>
          <xdr:colOff>182880</xdr:colOff>
          <xdr:row>1924</xdr:row>
          <xdr:rowOff>182880</xdr:rowOff>
        </xdr:to>
        <xdr:sp macro="" textlink="">
          <xdr:nvSpPr>
            <xdr:cNvPr id="16122" name="Check Box 762" hidden="1">
              <a:extLst>
                <a:ext uri="{63B3BB69-23CF-44E3-9099-C40C66FF867C}">
                  <a14:compatExt spid="_x0000_s16122"/>
                </a:ext>
                <a:ext uri="{FF2B5EF4-FFF2-40B4-BE49-F238E27FC236}">
                  <a16:creationId xmlns:a16="http://schemas.microsoft.com/office/drawing/2014/main" id="{00000000-0008-0000-0F00-0000FA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1927</xdr:row>
          <xdr:rowOff>0</xdr:rowOff>
        </xdr:from>
        <xdr:to>
          <xdr:col>22</xdr:col>
          <xdr:colOff>182880</xdr:colOff>
          <xdr:row>1927</xdr:row>
          <xdr:rowOff>182880</xdr:rowOff>
        </xdr:to>
        <xdr:sp macro="" textlink="">
          <xdr:nvSpPr>
            <xdr:cNvPr id="16123" name="Check Box 763" hidden="1">
              <a:extLst>
                <a:ext uri="{63B3BB69-23CF-44E3-9099-C40C66FF867C}">
                  <a14:compatExt spid="_x0000_s16123"/>
                </a:ext>
                <a:ext uri="{FF2B5EF4-FFF2-40B4-BE49-F238E27FC236}">
                  <a16:creationId xmlns:a16="http://schemas.microsoft.com/office/drawing/2014/main" id="{00000000-0008-0000-0F00-0000FB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1929</xdr:row>
          <xdr:rowOff>0</xdr:rowOff>
        </xdr:from>
        <xdr:to>
          <xdr:col>22</xdr:col>
          <xdr:colOff>182880</xdr:colOff>
          <xdr:row>1929</xdr:row>
          <xdr:rowOff>182880</xdr:rowOff>
        </xdr:to>
        <xdr:sp macro="" textlink="">
          <xdr:nvSpPr>
            <xdr:cNvPr id="16124" name="Check Box 764" hidden="1">
              <a:extLst>
                <a:ext uri="{63B3BB69-23CF-44E3-9099-C40C66FF867C}">
                  <a14:compatExt spid="_x0000_s16124"/>
                </a:ext>
                <a:ext uri="{FF2B5EF4-FFF2-40B4-BE49-F238E27FC236}">
                  <a16:creationId xmlns:a16="http://schemas.microsoft.com/office/drawing/2014/main" id="{00000000-0008-0000-0F00-0000FC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1930</xdr:row>
          <xdr:rowOff>0</xdr:rowOff>
        </xdr:from>
        <xdr:to>
          <xdr:col>22</xdr:col>
          <xdr:colOff>182880</xdr:colOff>
          <xdr:row>1930</xdr:row>
          <xdr:rowOff>182880</xdr:rowOff>
        </xdr:to>
        <xdr:sp macro="" textlink="">
          <xdr:nvSpPr>
            <xdr:cNvPr id="16125" name="Check Box 765" hidden="1">
              <a:extLst>
                <a:ext uri="{63B3BB69-23CF-44E3-9099-C40C66FF867C}">
                  <a14:compatExt spid="_x0000_s16125"/>
                </a:ext>
                <a:ext uri="{FF2B5EF4-FFF2-40B4-BE49-F238E27FC236}">
                  <a16:creationId xmlns:a16="http://schemas.microsoft.com/office/drawing/2014/main" id="{00000000-0008-0000-0F00-0000FD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1932</xdr:row>
          <xdr:rowOff>0</xdr:rowOff>
        </xdr:from>
        <xdr:to>
          <xdr:col>22</xdr:col>
          <xdr:colOff>182880</xdr:colOff>
          <xdr:row>1932</xdr:row>
          <xdr:rowOff>182880</xdr:rowOff>
        </xdr:to>
        <xdr:sp macro="" textlink="">
          <xdr:nvSpPr>
            <xdr:cNvPr id="16126" name="Check Box 766" hidden="1">
              <a:extLst>
                <a:ext uri="{63B3BB69-23CF-44E3-9099-C40C66FF867C}">
                  <a14:compatExt spid="_x0000_s16126"/>
                </a:ext>
                <a:ext uri="{FF2B5EF4-FFF2-40B4-BE49-F238E27FC236}">
                  <a16:creationId xmlns:a16="http://schemas.microsoft.com/office/drawing/2014/main" id="{00000000-0008-0000-0F00-0000FE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1934</xdr:row>
          <xdr:rowOff>0</xdr:rowOff>
        </xdr:from>
        <xdr:to>
          <xdr:col>22</xdr:col>
          <xdr:colOff>182880</xdr:colOff>
          <xdr:row>1934</xdr:row>
          <xdr:rowOff>182880</xdr:rowOff>
        </xdr:to>
        <xdr:sp macro="" textlink="">
          <xdr:nvSpPr>
            <xdr:cNvPr id="16127" name="Check Box 767" hidden="1">
              <a:extLst>
                <a:ext uri="{63B3BB69-23CF-44E3-9099-C40C66FF867C}">
                  <a14:compatExt spid="_x0000_s16127"/>
                </a:ext>
                <a:ext uri="{FF2B5EF4-FFF2-40B4-BE49-F238E27FC236}">
                  <a16:creationId xmlns:a16="http://schemas.microsoft.com/office/drawing/2014/main" id="{00000000-0008-0000-0F00-0000FF3E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1935</xdr:row>
          <xdr:rowOff>0</xdr:rowOff>
        </xdr:from>
        <xdr:to>
          <xdr:col>22</xdr:col>
          <xdr:colOff>182880</xdr:colOff>
          <xdr:row>1935</xdr:row>
          <xdr:rowOff>182880</xdr:rowOff>
        </xdr:to>
        <xdr:sp macro="" textlink="">
          <xdr:nvSpPr>
            <xdr:cNvPr id="16128" name="Check Box 768" hidden="1">
              <a:extLst>
                <a:ext uri="{63B3BB69-23CF-44E3-9099-C40C66FF867C}">
                  <a14:compatExt spid="_x0000_s16128"/>
                </a:ext>
                <a:ext uri="{FF2B5EF4-FFF2-40B4-BE49-F238E27FC236}">
                  <a16:creationId xmlns:a16="http://schemas.microsoft.com/office/drawing/2014/main" id="{00000000-0008-0000-0F00-000000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1938</xdr:row>
          <xdr:rowOff>0</xdr:rowOff>
        </xdr:from>
        <xdr:to>
          <xdr:col>22</xdr:col>
          <xdr:colOff>182880</xdr:colOff>
          <xdr:row>1938</xdr:row>
          <xdr:rowOff>182880</xdr:rowOff>
        </xdr:to>
        <xdr:sp macro="" textlink="">
          <xdr:nvSpPr>
            <xdr:cNvPr id="16129" name="Check Box 769" hidden="1">
              <a:extLst>
                <a:ext uri="{63B3BB69-23CF-44E3-9099-C40C66FF867C}">
                  <a14:compatExt spid="_x0000_s16129"/>
                </a:ext>
                <a:ext uri="{FF2B5EF4-FFF2-40B4-BE49-F238E27FC236}">
                  <a16:creationId xmlns:a16="http://schemas.microsoft.com/office/drawing/2014/main" id="{00000000-0008-0000-0F00-000001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1944</xdr:row>
          <xdr:rowOff>0</xdr:rowOff>
        </xdr:from>
        <xdr:to>
          <xdr:col>22</xdr:col>
          <xdr:colOff>182880</xdr:colOff>
          <xdr:row>1944</xdr:row>
          <xdr:rowOff>182880</xdr:rowOff>
        </xdr:to>
        <xdr:sp macro="" textlink="">
          <xdr:nvSpPr>
            <xdr:cNvPr id="16130" name="Check Box 770" hidden="1">
              <a:extLst>
                <a:ext uri="{63B3BB69-23CF-44E3-9099-C40C66FF867C}">
                  <a14:compatExt spid="_x0000_s16130"/>
                </a:ext>
                <a:ext uri="{FF2B5EF4-FFF2-40B4-BE49-F238E27FC236}">
                  <a16:creationId xmlns:a16="http://schemas.microsoft.com/office/drawing/2014/main" id="{00000000-0008-0000-0F00-000002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1946</xdr:row>
          <xdr:rowOff>0</xdr:rowOff>
        </xdr:from>
        <xdr:to>
          <xdr:col>22</xdr:col>
          <xdr:colOff>182880</xdr:colOff>
          <xdr:row>1946</xdr:row>
          <xdr:rowOff>182880</xdr:rowOff>
        </xdr:to>
        <xdr:sp macro="" textlink="">
          <xdr:nvSpPr>
            <xdr:cNvPr id="16131" name="Check Box 771" hidden="1">
              <a:extLst>
                <a:ext uri="{63B3BB69-23CF-44E3-9099-C40C66FF867C}">
                  <a14:compatExt spid="_x0000_s16131"/>
                </a:ext>
                <a:ext uri="{FF2B5EF4-FFF2-40B4-BE49-F238E27FC236}">
                  <a16:creationId xmlns:a16="http://schemas.microsoft.com/office/drawing/2014/main" id="{00000000-0008-0000-0F00-000003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1950</xdr:row>
          <xdr:rowOff>0</xdr:rowOff>
        </xdr:from>
        <xdr:to>
          <xdr:col>22</xdr:col>
          <xdr:colOff>182880</xdr:colOff>
          <xdr:row>1950</xdr:row>
          <xdr:rowOff>182880</xdr:rowOff>
        </xdr:to>
        <xdr:sp macro="" textlink="">
          <xdr:nvSpPr>
            <xdr:cNvPr id="16132" name="Check Box 772" hidden="1">
              <a:extLst>
                <a:ext uri="{63B3BB69-23CF-44E3-9099-C40C66FF867C}">
                  <a14:compatExt spid="_x0000_s16132"/>
                </a:ext>
                <a:ext uri="{FF2B5EF4-FFF2-40B4-BE49-F238E27FC236}">
                  <a16:creationId xmlns:a16="http://schemas.microsoft.com/office/drawing/2014/main" id="{00000000-0008-0000-0F00-000004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1957</xdr:row>
          <xdr:rowOff>0</xdr:rowOff>
        </xdr:from>
        <xdr:to>
          <xdr:col>22</xdr:col>
          <xdr:colOff>182880</xdr:colOff>
          <xdr:row>1957</xdr:row>
          <xdr:rowOff>182880</xdr:rowOff>
        </xdr:to>
        <xdr:sp macro="" textlink="">
          <xdr:nvSpPr>
            <xdr:cNvPr id="16133" name="Check Box 773" hidden="1">
              <a:extLst>
                <a:ext uri="{63B3BB69-23CF-44E3-9099-C40C66FF867C}">
                  <a14:compatExt spid="_x0000_s16133"/>
                </a:ext>
                <a:ext uri="{FF2B5EF4-FFF2-40B4-BE49-F238E27FC236}">
                  <a16:creationId xmlns:a16="http://schemas.microsoft.com/office/drawing/2014/main" id="{00000000-0008-0000-0F00-000005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1959</xdr:row>
          <xdr:rowOff>0</xdr:rowOff>
        </xdr:from>
        <xdr:to>
          <xdr:col>22</xdr:col>
          <xdr:colOff>182880</xdr:colOff>
          <xdr:row>1959</xdr:row>
          <xdr:rowOff>182880</xdr:rowOff>
        </xdr:to>
        <xdr:sp macro="" textlink="">
          <xdr:nvSpPr>
            <xdr:cNvPr id="16134" name="Check Box 774" hidden="1">
              <a:extLst>
                <a:ext uri="{63B3BB69-23CF-44E3-9099-C40C66FF867C}">
                  <a14:compatExt spid="_x0000_s16134"/>
                </a:ext>
                <a:ext uri="{FF2B5EF4-FFF2-40B4-BE49-F238E27FC236}">
                  <a16:creationId xmlns:a16="http://schemas.microsoft.com/office/drawing/2014/main" id="{00000000-0008-0000-0F00-000006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1960</xdr:row>
          <xdr:rowOff>0</xdr:rowOff>
        </xdr:from>
        <xdr:to>
          <xdr:col>22</xdr:col>
          <xdr:colOff>182880</xdr:colOff>
          <xdr:row>1960</xdr:row>
          <xdr:rowOff>182880</xdr:rowOff>
        </xdr:to>
        <xdr:sp macro="" textlink="">
          <xdr:nvSpPr>
            <xdr:cNvPr id="16135" name="Check Box 775" hidden="1">
              <a:extLst>
                <a:ext uri="{63B3BB69-23CF-44E3-9099-C40C66FF867C}">
                  <a14:compatExt spid="_x0000_s16135"/>
                </a:ext>
                <a:ext uri="{FF2B5EF4-FFF2-40B4-BE49-F238E27FC236}">
                  <a16:creationId xmlns:a16="http://schemas.microsoft.com/office/drawing/2014/main" id="{00000000-0008-0000-0F00-000007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1962</xdr:row>
          <xdr:rowOff>0</xdr:rowOff>
        </xdr:from>
        <xdr:to>
          <xdr:col>22</xdr:col>
          <xdr:colOff>182880</xdr:colOff>
          <xdr:row>1962</xdr:row>
          <xdr:rowOff>182880</xdr:rowOff>
        </xdr:to>
        <xdr:sp macro="" textlink="">
          <xdr:nvSpPr>
            <xdr:cNvPr id="16136" name="Check Box 776" hidden="1">
              <a:extLst>
                <a:ext uri="{63B3BB69-23CF-44E3-9099-C40C66FF867C}">
                  <a14:compatExt spid="_x0000_s16136"/>
                </a:ext>
                <a:ext uri="{FF2B5EF4-FFF2-40B4-BE49-F238E27FC236}">
                  <a16:creationId xmlns:a16="http://schemas.microsoft.com/office/drawing/2014/main" id="{00000000-0008-0000-0F00-000008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1963</xdr:row>
          <xdr:rowOff>0</xdr:rowOff>
        </xdr:from>
        <xdr:to>
          <xdr:col>22</xdr:col>
          <xdr:colOff>182880</xdr:colOff>
          <xdr:row>1963</xdr:row>
          <xdr:rowOff>182880</xdr:rowOff>
        </xdr:to>
        <xdr:sp macro="" textlink="">
          <xdr:nvSpPr>
            <xdr:cNvPr id="16137" name="Check Box 777" hidden="1">
              <a:extLst>
                <a:ext uri="{63B3BB69-23CF-44E3-9099-C40C66FF867C}">
                  <a14:compatExt spid="_x0000_s16137"/>
                </a:ext>
                <a:ext uri="{FF2B5EF4-FFF2-40B4-BE49-F238E27FC236}">
                  <a16:creationId xmlns:a16="http://schemas.microsoft.com/office/drawing/2014/main" id="{00000000-0008-0000-0F00-000009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1964</xdr:row>
          <xdr:rowOff>0</xdr:rowOff>
        </xdr:from>
        <xdr:to>
          <xdr:col>22</xdr:col>
          <xdr:colOff>182880</xdr:colOff>
          <xdr:row>1964</xdr:row>
          <xdr:rowOff>182880</xdr:rowOff>
        </xdr:to>
        <xdr:sp macro="" textlink="">
          <xdr:nvSpPr>
            <xdr:cNvPr id="16138" name="Check Box 778" hidden="1">
              <a:extLst>
                <a:ext uri="{63B3BB69-23CF-44E3-9099-C40C66FF867C}">
                  <a14:compatExt spid="_x0000_s16138"/>
                </a:ext>
                <a:ext uri="{FF2B5EF4-FFF2-40B4-BE49-F238E27FC236}">
                  <a16:creationId xmlns:a16="http://schemas.microsoft.com/office/drawing/2014/main" id="{00000000-0008-0000-0F00-00000A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1965</xdr:row>
          <xdr:rowOff>0</xdr:rowOff>
        </xdr:from>
        <xdr:to>
          <xdr:col>22</xdr:col>
          <xdr:colOff>182880</xdr:colOff>
          <xdr:row>1965</xdr:row>
          <xdr:rowOff>182880</xdr:rowOff>
        </xdr:to>
        <xdr:sp macro="" textlink="">
          <xdr:nvSpPr>
            <xdr:cNvPr id="16139" name="Check Box 779" hidden="1">
              <a:extLst>
                <a:ext uri="{63B3BB69-23CF-44E3-9099-C40C66FF867C}">
                  <a14:compatExt spid="_x0000_s16139"/>
                </a:ext>
                <a:ext uri="{FF2B5EF4-FFF2-40B4-BE49-F238E27FC236}">
                  <a16:creationId xmlns:a16="http://schemas.microsoft.com/office/drawing/2014/main" id="{00000000-0008-0000-0F00-00000B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1966</xdr:row>
          <xdr:rowOff>0</xdr:rowOff>
        </xdr:from>
        <xdr:to>
          <xdr:col>22</xdr:col>
          <xdr:colOff>182880</xdr:colOff>
          <xdr:row>1966</xdr:row>
          <xdr:rowOff>182880</xdr:rowOff>
        </xdr:to>
        <xdr:sp macro="" textlink="">
          <xdr:nvSpPr>
            <xdr:cNvPr id="16140" name="Check Box 780" hidden="1">
              <a:extLst>
                <a:ext uri="{63B3BB69-23CF-44E3-9099-C40C66FF867C}">
                  <a14:compatExt spid="_x0000_s16140"/>
                </a:ext>
                <a:ext uri="{FF2B5EF4-FFF2-40B4-BE49-F238E27FC236}">
                  <a16:creationId xmlns:a16="http://schemas.microsoft.com/office/drawing/2014/main" id="{00000000-0008-0000-0F00-00000C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1983</xdr:row>
          <xdr:rowOff>0</xdr:rowOff>
        </xdr:from>
        <xdr:to>
          <xdr:col>22</xdr:col>
          <xdr:colOff>182880</xdr:colOff>
          <xdr:row>1983</xdr:row>
          <xdr:rowOff>182880</xdr:rowOff>
        </xdr:to>
        <xdr:sp macro="" textlink="">
          <xdr:nvSpPr>
            <xdr:cNvPr id="16141" name="Check Box 781" hidden="1">
              <a:extLst>
                <a:ext uri="{63B3BB69-23CF-44E3-9099-C40C66FF867C}">
                  <a14:compatExt spid="_x0000_s16141"/>
                </a:ext>
                <a:ext uri="{FF2B5EF4-FFF2-40B4-BE49-F238E27FC236}">
                  <a16:creationId xmlns:a16="http://schemas.microsoft.com/office/drawing/2014/main" id="{00000000-0008-0000-0F00-00000D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1985</xdr:row>
          <xdr:rowOff>0</xdr:rowOff>
        </xdr:from>
        <xdr:to>
          <xdr:col>22</xdr:col>
          <xdr:colOff>182880</xdr:colOff>
          <xdr:row>1985</xdr:row>
          <xdr:rowOff>182880</xdr:rowOff>
        </xdr:to>
        <xdr:sp macro="" textlink="">
          <xdr:nvSpPr>
            <xdr:cNvPr id="16142" name="Check Box 782" hidden="1">
              <a:extLst>
                <a:ext uri="{63B3BB69-23CF-44E3-9099-C40C66FF867C}">
                  <a14:compatExt spid="_x0000_s16142"/>
                </a:ext>
                <a:ext uri="{FF2B5EF4-FFF2-40B4-BE49-F238E27FC236}">
                  <a16:creationId xmlns:a16="http://schemas.microsoft.com/office/drawing/2014/main" id="{00000000-0008-0000-0F00-00000E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1988</xdr:row>
          <xdr:rowOff>0</xdr:rowOff>
        </xdr:from>
        <xdr:to>
          <xdr:col>22</xdr:col>
          <xdr:colOff>182880</xdr:colOff>
          <xdr:row>1988</xdr:row>
          <xdr:rowOff>182880</xdr:rowOff>
        </xdr:to>
        <xdr:sp macro="" textlink="">
          <xdr:nvSpPr>
            <xdr:cNvPr id="16143" name="Check Box 783" hidden="1">
              <a:extLst>
                <a:ext uri="{63B3BB69-23CF-44E3-9099-C40C66FF867C}">
                  <a14:compatExt spid="_x0000_s16143"/>
                </a:ext>
                <a:ext uri="{FF2B5EF4-FFF2-40B4-BE49-F238E27FC236}">
                  <a16:creationId xmlns:a16="http://schemas.microsoft.com/office/drawing/2014/main" id="{00000000-0008-0000-0F00-00000F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2001</xdr:row>
          <xdr:rowOff>0</xdr:rowOff>
        </xdr:from>
        <xdr:to>
          <xdr:col>22</xdr:col>
          <xdr:colOff>182880</xdr:colOff>
          <xdr:row>2001</xdr:row>
          <xdr:rowOff>182880</xdr:rowOff>
        </xdr:to>
        <xdr:sp macro="" textlink="">
          <xdr:nvSpPr>
            <xdr:cNvPr id="16144" name="Check Box 784" hidden="1">
              <a:extLst>
                <a:ext uri="{63B3BB69-23CF-44E3-9099-C40C66FF867C}">
                  <a14:compatExt spid="_x0000_s16144"/>
                </a:ext>
                <a:ext uri="{FF2B5EF4-FFF2-40B4-BE49-F238E27FC236}">
                  <a16:creationId xmlns:a16="http://schemas.microsoft.com/office/drawing/2014/main" id="{00000000-0008-0000-0F00-000010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2003</xdr:row>
          <xdr:rowOff>0</xdr:rowOff>
        </xdr:from>
        <xdr:to>
          <xdr:col>22</xdr:col>
          <xdr:colOff>182880</xdr:colOff>
          <xdr:row>2003</xdr:row>
          <xdr:rowOff>182880</xdr:rowOff>
        </xdr:to>
        <xdr:sp macro="" textlink="">
          <xdr:nvSpPr>
            <xdr:cNvPr id="16145" name="Check Box 785" hidden="1">
              <a:extLst>
                <a:ext uri="{63B3BB69-23CF-44E3-9099-C40C66FF867C}">
                  <a14:compatExt spid="_x0000_s16145"/>
                </a:ext>
                <a:ext uri="{FF2B5EF4-FFF2-40B4-BE49-F238E27FC236}">
                  <a16:creationId xmlns:a16="http://schemas.microsoft.com/office/drawing/2014/main" id="{00000000-0008-0000-0F00-000011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1600</xdr:row>
          <xdr:rowOff>0</xdr:rowOff>
        </xdr:from>
        <xdr:to>
          <xdr:col>22</xdr:col>
          <xdr:colOff>182880</xdr:colOff>
          <xdr:row>1600</xdr:row>
          <xdr:rowOff>182880</xdr:rowOff>
        </xdr:to>
        <xdr:sp macro="" textlink="">
          <xdr:nvSpPr>
            <xdr:cNvPr id="16148" name="Check Box 788" hidden="1">
              <a:extLst>
                <a:ext uri="{63B3BB69-23CF-44E3-9099-C40C66FF867C}">
                  <a14:compatExt spid="_x0000_s16148"/>
                </a:ext>
                <a:ext uri="{FF2B5EF4-FFF2-40B4-BE49-F238E27FC236}">
                  <a16:creationId xmlns:a16="http://schemas.microsoft.com/office/drawing/2014/main" id="{00000000-0008-0000-0F00-000014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1306</xdr:row>
          <xdr:rowOff>0</xdr:rowOff>
        </xdr:from>
        <xdr:to>
          <xdr:col>22</xdr:col>
          <xdr:colOff>182880</xdr:colOff>
          <xdr:row>1306</xdr:row>
          <xdr:rowOff>182880</xdr:rowOff>
        </xdr:to>
        <xdr:sp macro="" textlink="">
          <xdr:nvSpPr>
            <xdr:cNvPr id="16150" name="Check Box 790" hidden="1">
              <a:extLst>
                <a:ext uri="{63B3BB69-23CF-44E3-9099-C40C66FF867C}">
                  <a14:compatExt spid="_x0000_s16150"/>
                </a:ext>
                <a:ext uri="{FF2B5EF4-FFF2-40B4-BE49-F238E27FC236}">
                  <a16:creationId xmlns:a16="http://schemas.microsoft.com/office/drawing/2014/main" id="{00000000-0008-0000-0F00-0000163F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1828959</xdr:colOff>
      <xdr:row>4</xdr:row>
      <xdr:rowOff>140286</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1"/>
        <a:stretch>
          <a:fillRect/>
        </a:stretch>
      </xdr:blipFill>
      <xdr:spPr>
        <a:xfrm>
          <a:off x="3086100" y="0"/>
          <a:ext cx="1828959" cy="9022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37</xdr:row>
          <xdr:rowOff>0</xdr:rowOff>
        </xdr:from>
        <xdr:to>
          <xdr:col>6</xdr:col>
          <xdr:colOff>182880</xdr:colOff>
          <xdr:row>37</xdr:row>
          <xdr:rowOff>182880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100-0000047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1828959</xdr:colOff>
      <xdr:row>4</xdr:row>
      <xdr:rowOff>140286</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3086100" y="0"/>
          <a:ext cx="1828959" cy="9022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37</xdr:row>
          <xdr:rowOff>0</xdr:rowOff>
        </xdr:from>
        <xdr:to>
          <xdr:col>6</xdr:col>
          <xdr:colOff>182880</xdr:colOff>
          <xdr:row>37</xdr:row>
          <xdr:rowOff>182880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200-000002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104</xdr:row>
          <xdr:rowOff>0</xdr:rowOff>
        </xdr:from>
        <xdr:to>
          <xdr:col>1</xdr:col>
          <xdr:colOff>198120</xdr:colOff>
          <xdr:row>105</xdr:row>
          <xdr:rowOff>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200-000006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105</xdr:row>
          <xdr:rowOff>0</xdr:rowOff>
        </xdr:from>
        <xdr:to>
          <xdr:col>1</xdr:col>
          <xdr:colOff>198120</xdr:colOff>
          <xdr:row>106</xdr:row>
          <xdr:rowOff>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200-000007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106</xdr:row>
          <xdr:rowOff>0</xdr:rowOff>
        </xdr:from>
        <xdr:to>
          <xdr:col>1</xdr:col>
          <xdr:colOff>198120</xdr:colOff>
          <xdr:row>107</xdr:row>
          <xdr:rowOff>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200-000008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107</xdr:row>
          <xdr:rowOff>0</xdr:rowOff>
        </xdr:from>
        <xdr:to>
          <xdr:col>1</xdr:col>
          <xdr:colOff>198120</xdr:colOff>
          <xdr:row>108</xdr:row>
          <xdr:rowOff>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200-000009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108</xdr:row>
          <xdr:rowOff>0</xdr:rowOff>
        </xdr:from>
        <xdr:to>
          <xdr:col>1</xdr:col>
          <xdr:colOff>198120</xdr:colOff>
          <xdr:row>109</xdr:row>
          <xdr:rowOff>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200-00000A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109</xdr:row>
          <xdr:rowOff>0</xdr:rowOff>
        </xdr:from>
        <xdr:to>
          <xdr:col>1</xdr:col>
          <xdr:colOff>198120</xdr:colOff>
          <xdr:row>110</xdr:row>
          <xdr:rowOff>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200-00000B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110</xdr:row>
          <xdr:rowOff>0</xdr:rowOff>
        </xdr:from>
        <xdr:to>
          <xdr:col>1</xdr:col>
          <xdr:colOff>198120</xdr:colOff>
          <xdr:row>111</xdr:row>
          <xdr:rowOff>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200-00000C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111</xdr:row>
          <xdr:rowOff>0</xdr:rowOff>
        </xdr:from>
        <xdr:to>
          <xdr:col>1</xdr:col>
          <xdr:colOff>198120</xdr:colOff>
          <xdr:row>112</xdr:row>
          <xdr:rowOff>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200-00000D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112</xdr:row>
          <xdr:rowOff>0</xdr:rowOff>
        </xdr:from>
        <xdr:to>
          <xdr:col>1</xdr:col>
          <xdr:colOff>198120</xdr:colOff>
          <xdr:row>113</xdr:row>
          <xdr:rowOff>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200-00000E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103</xdr:row>
          <xdr:rowOff>0</xdr:rowOff>
        </xdr:from>
        <xdr:to>
          <xdr:col>1</xdr:col>
          <xdr:colOff>198120</xdr:colOff>
          <xdr:row>104</xdr:row>
          <xdr:rowOff>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200-00000F7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4</xdr:col>
      <xdr:colOff>0</xdr:colOff>
      <xdr:row>55</xdr:row>
      <xdr:rowOff>0</xdr:rowOff>
    </xdr:from>
    <xdr:to>
      <xdr:col>7</xdr:col>
      <xdr:colOff>9525</xdr:colOff>
      <xdr:row>55</xdr:row>
      <xdr:rowOff>161925</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38400" y="10477500"/>
          <a:ext cx="18383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57</xdr:row>
      <xdr:rowOff>0</xdr:rowOff>
    </xdr:from>
    <xdr:to>
      <xdr:col>4</xdr:col>
      <xdr:colOff>257175</xdr:colOff>
      <xdr:row>57</xdr:row>
      <xdr:rowOff>161925</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38400" y="10858500"/>
          <a:ext cx="25717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57</xdr:row>
      <xdr:rowOff>0</xdr:rowOff>
    </xdr:from>
    <xdr:to>
      <xdr:col>5</xdr:col>
      <xdr:colOff>95250</xdr:colOff>
      <xdr:row>57</xdr:row>
      <xdr:rowOff>152400</xdr:rowOff>
    </xdr:to>
    <xdr:pic>
      <xdr:nvPicPr>
        <xdr:cNvPr id="4" name="Picture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48000" y="10858500"/>
          <a:ext cx="9525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58</xdr:row>
      <xdr:rowOff>0</xdr:rowOff>
    </xdr:from>
    <xdr:to>
      <xdr:col>4</xdr:col>
      <xdr:colOff>314325</xdr:colOff>
      <xdr:row>58</xdr:row>
      <xdr:rowOff>161925</xdr:rowOff>
    </xdr:to>
    <xdr:pic>
      <xdr:nvPicPr>
        <xdr:cNvPr id="5" name="Picture 4">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38400" y="11049000"/>
          <a:ext cx="3143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58</xdr:row>
      <xdr:rowOff>0</xdr:rowOff>
    </xdr:from>
    <xdr:to>
      <xdr:col>5</xdr:col>
      <xdr:colOff>95250</xdr:colOff>
      <xdr:row>58</xdr:row>
      <xdr:rowOff>152400</xdr:rowOff>
    </xdr:to>
    <xdr:pic>
      <xdr:nvPicPr>
        <xdr:cNvPr id="6" name="Picture 5">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48000" y="11049000"/>
          <a:ext cx="9525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59</xdr:row>
      <xdr:rowOff>0</xdr:rowOff>
    </xdr:from>
    <xdr:to>
      <xdr:col>4</xdr:col>
      <xdr:colOff>190500</xdr:colOff>
      <xdr:row>59</xdr:row>
      <xdr:rowOff>152400</xdr:rowOff>
    </xdr:to>
    <xdr:pic>
      <xdr:nvPicPr>
        <xdr:cNvPr id="7" name="Picture 6">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38400" y="11239500"/>
          <a:ext cx="1905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59</xdr:row>
      <xdr:rowOff>0</xdr:rowOff>
    </xdr:from>
    <xdr:to>
      <xdr:col>5</xdr:col>
      <xdr:colOff>95250</xdr:colOff>
      <xdr:row>59</xdr:row>
      <xdr:rowOff>152400</xdr:rowOff>
    </xdr:to>
    <xdr:pic>
      <xdr:nvPicPr>
        <xdr:cNvPr id="8" name="Picture 7">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48000" y="11239500"/>
          <a:ext cx="9525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62</xdr:row>
      <xdr:rowOff>0</xdr:rowOff>
    </xdr:from>
    <xdr:to>
      <xdr:col>7</xdr:col>
      <xdr:colOff>9525</xdr:colOff>
      <xdr:row>62</xdr:row>
      <xdr:rowOff>161925</xdr:rowOff>
    </xdr:to>
    <xdr:pic>
      <xdr:nvPicPr>
        <xdr:cNvPr id="9" name="Picture 8">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38400" y="11811000"/>
          <a:ext cx="18383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64</xdr:row>
      <xdr:rowOff>0</xdr:rowOff>
    </xdr:from>
    <xdr:to>
      <xdr:col>4</xdr:col>
      <xdr:colOff>257175</xdr:colOff>
      <xdr:row>64</xdr:row>
      <xdr:rowOff>161925</xdr:rowOff>
    </xdr:to>
    <xdr:pic>
      <xdr:nvPicPr>
        <xdr:cNvPr id="10" name="Picture 9">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38400" y="12192000"/>
          <a:ext cx="25717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64</xdr:row>
      <xdr:rowOff>0</xdr:rowOff>
    </xdr:from>
    <xdr:to>
      <xdr:col>5</xdr:col>
      <xdr:colOff>95250</xdr:colOff>
      <xdr:row>64</xdr:row>
      <xdr:rowOff>152400</xdr:rowOff>
    </xdr:to>
    <xdr:pic>
      <xdr:nvPicPr>
        <xdr:cNvPr id="11" name="Picture 10">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48000" y="12192000"/>
          <a:ext cx="9525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65</xdr:row>
      <xdr:rowOff>0</xdr:rowOff>
    </xdr:from>
    <xdr:to>
      <xdr:col>4</xdr:col>
      <xdr:colOff>314325</xdr:colOff>
      <xdr:row>65</xdr:row>
      <xdr:rowOff>161925</xdr:rowOff>
    </xdr:to>
    <xdr:pic>
      <xdr:nvPicPr>
        <xdr:cNvPr id="12" name="Picture 11">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38400" y="12382500"/>
          <a:ext cx="3143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65</xdr:row>
      <xdr:rowOff>0</xdr:rowOff>
    </xdr:from>
    <xdr:to>
      <xdr:col>5</xdr:col>
      <xdr:colOff>95250</xdr:colOff>
      <xdr:row>65</xdr:row>
      <xdr:rowOff>152400</xdr:rowOff>
    </xdr:to>
    <xdr:pic>
      <xdr:nvPicPr>
        <xdr:cNvPr id="13" name="Picture 12">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48000" y="12382500"/>
          <a:ext cx="9525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66</xdr:row>
      <xdr:rowOff>0</xdr:rowOff>
    </xdr:from>
    <xdr:to>
      <xdr:col>4</xdr:col>
      <xdr:colOff>190500</xdr:colOff>
      <xdr:row>66</xdr:row>
      <xdr:rowOff>152400</xdr:rowOff>
    </xdr:to>
    <xdr:pic>
      <xdr:nvPicPr>
        <xdr:cNvPr id="14" name="Picture 13">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438400" y="12573000"/>
          <a:ext cx="1905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66</xdr:row>
      <xdr:rowOff>0</xdr:rowOff>
    </xdr:from>
    <xdr:to>
      <xdr:col>5</xdr:col>
      <xdr:colOff>95250</xdr:colOff>
      <xdr:row>66</xdr:row>
      <xdr:rowOff>152400</xdr:rowOff>
    </xdr:to>
    <xdr:pic>
      <xdr:nvPicPr>
        <xdr:cNvPr id="15" name="Picture 14">
          <a:extLst>
            <a:ext uri="{FF2B5EF4-FFF2-40B4-BE49-F238E27FC236}">
              <a16:creationId xmlns:a16="http://schemas.microsoft.com/office/drawing/2014/main" id="{00000000-0008-0000-1400-00000F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48000" y="12573000"/>
          <a:ext cx="9525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123</xdr:row>
      <xdr:rowOff>0</xdr:rowOff>
    </xdr:from>
    <xdr:to>
      <xdr:col>3</xdr:col>
      <xdr:colOff>190500</xdr:colOff>
      <xdr:row>123</xdr:row>
      <xdr:rowOff>161925</xdr:rowOff>
    </xdr:to>
    <xdr:pic>
      <xdr:nvPicPr>
        <xdr:cNvPr id="16" name="Picture 15">
          <a:extLst>
            <a:ext uri="{FF2B5EF4-FFF2-40B4-BE49-F238E27FC236}">
              <a16:creationId xmlns:a16="http://schemas.microsoft.com/office/drawing/2014/main" id="{00000000-0008-0000-1400-000010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9200" y="23431500"/>
          <a:ext cx="8001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125</xdr:row>
      <xdr:rowOff>0</xdr:rowOff>
    </xdr:from>
    <xdr:to>
      <xdr:col>2</xdr:col>
      <xdr:colOff>142875</xdr:colOff>
      <xdr:row>125</xdr:row>
      <xdr:rowOff>161925</xdr:rowOff>
    </xdr:to>
    <xdr:pic>
      <xdr:nvPicPr>
        <xdr:cNvPr id="17" name="Picture 16">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9200" y="23812500"/>
          <a:ext cx="14287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126</xdr:row>
      <xdr:rowOff>0</xdr:rowOff>
    </xdr:from>
    <xdr:to>
      <xdr:col>2</xdr:col>
      <xdr:colOff>133350</xdr:colOff>
      <xdr:row>126</xdr:row>
      <xdr:rowOff>152400</xdr:rowOff>
    </xdr:to>
    <xdr:pic>
      <xdr:nvPicPr>
        <xdr:cNvPr id="18" name="Picture 17">
          <a:extLst>
            <a:ext uri="{FF2B5EF4-FFF2-40B4-BE49-F238E27FC236}">
              <a16:creationId xmlns:a16="http://schemas.microsoft.com/office/drawing/2014/main" id="{00000000-0008-0000-1400-000012000000}"/>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9200" y="24003000"/>
          <a:ext cx="13335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129</xdr:row>
      <xdr:rowOff>0</xdr:rowOff>
    </xdr:from>
    <xdr:to>
      <xdr:col>2</xdr:col>
      <xdr:colOff>57150</xdr:colOff>
      <xdr:row>129</xdr:row>
      <xdr:rowOff>152400</xdr:rowOff>
    </xdr:to>
    <xdr:pic>
      <xdr:nvPicPr>
        <xdr:cNvPr id="19" name="Picture 18">
          <a:extLst>
            <a:ext uri="{FF2B5EF4-FFF2-40B4-BE49-F238E27FC236}">
              <a16:creationId xmlns:a16="http://schemas.microsoft.com/office/drawing/2014/main" id="{00000000-0008-0000-1400-000013000000}"/>
            </a:ext>
          </a:extLst>
        </xdr:cNvPr>
        <xdr:cNvPicPr>
          <a:picLocks noChangeAspect="1" noChangeArrowheads="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9200" y="24574500"/>
          <a:ext cx="5715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130</xdr:row>
      <xdr:rowOff>0</xdr:rowOff>
    </xdr:from>
    <xdr:to>
      <xdr:col>2</xdr:col>
      <xdr:colOff>76200</xdr:colOff>
      <xdr:row>130</xdr:row>
      <xdr:rowOff>152400</xdr:rowOff>
    </xdr:to>
    <xdr:pic>
      <xdr:nvPicPr>
        <xdr:cNvPr id="20" name="Picture 19">
          <a:extLst>
            <a:ext uri="{FF2B5EF4-FFF2-40B4-BE49-F238E27FC236}">
              <a16:creationId xmlns:a16="http://schemas.microsoft.com/office/drawing/2014/main" id="{00000000-0008-0000-1400-000014000000}"/>
            </a:ext>
          </a:extLst>
        </xdr:cNvPr>
        <xdr:cNvPicPr>
          <a:picLocks noChangeAspect="1" noChangeArrowheads="1"/>
        </xdr:cNvPicPr>
      </xdr:nvPicPr>
      <xdr:blipFill>
        <a:blip xmlns:r="http://schemas.openxmlformats.org/officeDocument/2006/relationships" r:embed="rId1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19200" y="24765000"/>
          <a:ext cx="762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428625</xdr:colOff>
      <xdr:row>135</xdr:row>
      <xdr:rowOff>161925</xdr:rowOff>
    </xdr:from>
    <xdr:to>
      <xdr:col>3</xdr:col>
      <xdr:colOff>504825</xdr:colOff>
      <xdr:row>136</xdr:row>
      <xdr:rowOff>114300</xdr:rowOff>
    </xdr:to>
    <xdr:pic>
      <xdr:nvPicPr>
        <xdr:cNvPr id="21" name="Picture 20">
          <a:extLst>
            <a:ext uri="{FF2B5EF4-FFF2-40B4-BE49-F238E27FC236}">
              <a16:creationId xmlns:a16="http://schemas.microsoft.com/office/drawing/2014/main" id="{00000000-0008-0000-1400-000015000000}"/>
            </a:ext>
          </a:extLst>
        </xdr:cNvPr>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57425" y="25879425"/>
          <a:ext cx="76200"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5</xdr:row>
      <xdr:rowOff>47625</xdr:rowOff>
    </xdr:from>
    <xdr:to>
      <xdr:col>16</xdr:col>
      <xdr:colOff>433917</xdr:colOff>
      <xdr:row>32</xdr:row>
      <xdr:rowOff>161924</xdr:rowOff>
    </xdr:to>
    <xdr:pic>
      <xdr:nvPicPr>
        <xdr:cNvPr id="8" name="Picture 7" descr="climatezonesbystates.gif">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stretch>
          <a:fillRect/>
        </a:stretch>
      </xdr:blipFill>
      <xdr:spPr>
        <a:xfrm>
          <a:off x="657225" y="1057275"/>
          <a:ext cx="9530292" cy="5257799"/>
        </a:xfrm>
        <a:prstGeom prst="rect">
          <a:avLst/>
        </a:prstGeom>
        <a:effectLst>
          <a:outerShdw blurRad="63500" sx="102000" sy="102000" algn="ctr" rotWithShape="0">
            <a:prstClr val="black">
              <a:alpha val="40000"/>
            </a:prstClr>
          </a:outerShdw>
        </a:effec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247650</xdr:colOff>
      <xdr:row>3</xdr:row>
      <xdr:rowOff>161925</xdr:rowOff>
    </xdr:from>
    <xdr:to>
      <xdr:col>14</xdr:col>
      <xdr:colOff>557742</xdr:colOff>
      <xdr:row>29</xdr:row>
      <xdr:rowOff>85725</xdr:rowOff>
    </xdr:to>
    <xdr:pic>
      <xdr:nvPicPr>
        <xdr:cNvPr id="3" name="Picture 2" descr="Climate Zone Map of the United States">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66850" y="790575"/>
          <a:ext cx="7625292" cy="4876800"/>
        </a:xfrm>
        <a:prstGeom prst="rect">
          <a:avLst/>
        </a:prstGeom>
        <a:noFill/>
        <a:ln w="9525">
          <a:noFill/>
          <a:miter lim="800000"/>
          <a:headEnd/>
          <a:tailEnd/>
        </a:ln>
        <a:effectLst>
          <a:outerShdw blurRad="63500" sx="102000" sy="102000" algn="ctr" rotWithShape="0">
            <a:prstClr val="black">
              <a:alpha val="40000"/>
            </a:prstClr>
          </a:outerShdw>
        </a:effec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600073</xdr:colOff>
      <xdr:row>6</xdr:row>
      <xdr:rowOff>47622</xdr:rowOff>
    </xdr:from>
    <xdr:ext cx="6816196" cy="8256342"/>
    <xdr:pic>
      <xdr:nvPicPr>
        <xdr:cNvPr id="2" name="Picture 1">
          <a:extLst>
            <a:ext uri="{FF2B5EF4-FFF2-40B4-BE49-F238E27FC236}">
              <a16:creationId xmlns:a16="http://schemas.microsoft.com/office/drawing/2014/main" id="{00000000-0008-0000-1C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713" r="2167"/>
        <a:stretch/>
      </xdr:blipFill>
      <xdr:spPr bwMode="auto">
        <a:xfrm>
          <a:off x="600073" y="809622"/>
          <a:ext cx="6816196" cy="8256342"/>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4</xdr:row>
      <xdr:rowOff>132242</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28800" cy="9037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24765</xdr:colOff>
      <xdr:row>0</xdr:row>
      <xdr:rowOff>0</xdr:rowOff>
    </xdr:from>
    <xdr:to>
      <xdr:col>22</xdr:col>
      <xdr:colOff>443865</xdr:colOff>
      <xdr:row>4</xdr:row>
      <xdr:rowOff>136052</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54140" y="0"/>
          <a:ext cx="1876425" cy="859952"/>
        </a:xfrm>
        <a:prstGeom prst="rect">
          <a:avLst/>
        </a:prstGeom>
      </xdr:spPr>
    </xdr:pic>
    <xdr:clientData/>
  </xdr:twoCellAnchor>
  <mc:AlternateContent xmlns:mc="http://schemas.openxmlformats.org/markup-compatibility/2006">
    <mc:Choice xmlns:a14="http://schemas.microsoft.com/office/drawing/2010/main" Requires="a14">
      <xdr:twoCellAnchor>
        <xdr:from>
          <xdr:col>22</xdr:col>
          <xdr:colOff>0</xdr:colOff>
          <xdr:row>14</xdr:row>
          <xdr:rowOff>0</xdr:rowOff>
        </xdr:from>
        <xdr:to>
          <xdr:col>22</xdr:col>
          <xdr:colOff>182880</xdr:colOff>
          <xdr:row>14</xdr:row>
          <xdr:rowOff>182880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300-00009C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xdr:row>
          <xdr:rowOff>0</xdr:rowOff>
        </xdr:from>
        <xdr:to>
          <xdr:col>22</xdr:col>
          <xdr:colOff>182880</xdr:colOff>
          <xdr:row>15</xdr:row>
          <xdr:rowOff>182880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300-00009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xdr:row>
          <xdr:rowOff>0</xdr:rowOff>
        </xdr:from>
        <xdr:to>
          <xdr:col>22</xdr:col>
          <xdr:colOff>182880</xdr:colOff>
          <xdr:row>16</xdr:row>
          <xdr:rowOff>182880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300-00009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xdr:row>
          <xdr:rowOff>0</xdr:rowOff>
        </xdr:from>
        <xdr:to>
          <xdr:col>22</xdr:col>
          <xdr:colOff>182880</xdr:colOff>
          <xdr:row>17</xdr:row>
          <xdr:rowOff>182880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300-00009F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xdr:row>
          <xdr:rowOff>0</xdr:rowOff>
        </xdr:from>
        <xdr:to>
          <xdr:col>22</xdr:col>
          <xdr:colOff>182880</xdr:colOff>
          <xdr:row>20</xdr:row>
          <xdr:rowOff>182880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300-0000A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xdr:row>
          <xdr:rowOff>0</xdr:rowOff>
        </xdr:from>
        <xdr:to>
          <xdr:col>22</xdr:col>
          <xdr:colOff>182880</xdr:colOff>
          <xdr:row>22</xdr:row>
          <xdr:rowOff>182880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300-0000A1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xdr:row>
          <xdr:rowOff>0</xdr:rowOff>
        </xdr:from>
        <xdr:to>
          <xdr:col>22</xdr:col>
          <xdr:colOff>182880</xdr:colOff>
          <xdr:row>24</xdr:row>
          <xdr:rowOff>182880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300-0000A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xdr:row>
          <xdr:rowOff>0</xdr:rowOff>
        </xdr:from>
        <xdr:to>
          <xdr:col>22</xdr:col>
          <xdr:colOff>182880</xdr:colOff>
          <xdr:row>26</xdr:row>
          <xdr:rowOff>182880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300-0000A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xdr:row>
          <xdr:rowOff>0</xdr:rowOff>
        </xdr:from>
        <xdr:to>
          <xdr:col>22</xdr:col>
          <xdr:colOff>182880</xdr:colOff>
          <xdr:row>35</xdr:row>
          <xdr:rowOff>182880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300-0000A4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44</xdr:row>
          <xdr:rowOff>0</xdr:rowOff>
        </xdr:from>
        <xdr:to>
          <xdr:col>22</xdr:col>
          <xdr:colOff>182880</xdr:colOff>
          <xdr:row>44</xdr:row>
          <xdr:rowOff>182880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300-0000A5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xdr:row>
          <xdr:rowOff>0</xdr:rowOff>
        </xdr:from>
        <xdr:to>
          <xdr:col>22</xdr:col>
          <xdr:colOff>182880</xdr:colOff>
          <xdr:row>55</xdr:row>
          <xdr:rowOff>182880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300-0000A6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xdr:row>
          <xdr:rowOff>0</xdr:rowOff>
        </xdr:from>
        <xdr:to>
          <xdr:col>22</xdr:col>
          <xdr:colOff>182880</xdr:colOff>
          <xdr:row>56</xdr:row>
          <xdr:rowOff>182880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300-0000A7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58</xdr:row>
          <xdr:rowOff>0</xdr:rowOff>
        </xdr:from>
        <xdr:to>
          <xdr:col>22</xdr:col>
          <xdr:colOff>182880</xdr:colOff>
          <xdr:row>58</xdr:row>
          <xdr:rowOff>182880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300-0000A8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60</xdr:row>
          <xdr:rowOff>0</xdr:rowOff>
        </xdr:from>
        <xdr:to>
          <xdr:col>22</xdr:col>
          <xdr:colOff>182880</xdr:colOff>
          <xdr:row>60</xdr:row>
          <xdr:rowOff>182880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300-0000A9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61</xdr:row>
          <xdr:rowOff>0</xdr:rowOff>
        </xdr:from>
        <xdr:to>
          <xdr:col>22</xdr:col>
          <xdr:colOff>182880</xdr:colOff>
          <xdr:row>61</xdr:row>
          <xdr:rowOff>182880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300-0000AA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xdr:row>
          <xdr:rowOff>0</xdr:rowOff>
        </xdr:from>
        <xdr:to>
          <xdr:col>22</xdr:col>
          <xdr:colOff>182880</xdr:colOff>
          <xdr:row>62</xdr:row>
          <xdr:rowOff>182880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300-0000AB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64</xdr:row>
          <xdr:rowOff>0</xdr:rowOff>
        </xdr:from>
        <xdr:to>
          <xdr:col>22</xdr:col>
          <xdr:colOff>182880</xdr:colOff>
          <xdr:row>64</xdr:row>
          <xdr:rowOff>182880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300-0000AC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68</xdr:row>
          <xdr:rowOff>0</xdr:rowOff>
        </xdr:from>
        <xdr:to>
          <xdr:col>22</xdr:col>
          <xdr:colOff>182880</xdr:colOff>
          <xdr:row>68</xdr:row>
          <xdr:rowOff>182880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300-0000A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69</xdr:row>
          <xdr:rowOff>0</xdr:rowOff>
        </xdr:from>
        <xdr:to>
          <xdr:col>22</xdr:col>
          <xdr:colOff>182880</xdr:colOff>
          <xdr:row>69</xdr:row>
          <xdr:rowOff>182880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300-0000A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76</xdr:row>
          <xdr:rowOff>0</xdr:rowOff>
        </xdr:from>
        <xdr:to>
          <xdr:col>22</xdr:col>
          <xdr:colOff>182880</xdr:colOff>
          <xdr:row>76</xdr:row>
          <xdr:rowOff>182880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300-0000B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78</xdr:row>
          <xdr:rowOff>0</xdr:rowOff>
        </xdr:from>
        <xdr:to>
          <xdr:col>22</xdr:col>
          <xdr:colOff>182880</xdr:colOff>
          <xdr:row>78</xdr:row>
          <xdr:rowOff>182880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300-0000B1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82</xdr:row>
          <xdr:rowOff>0</xdr:rowOff>
        </xdr:from>
        <xdr:to>
          <xdr:col>22</xdr:col>
          <xdr:colOff>182880</xdr:colOff>
          <xdr:row>82</xdr:row>
          <xdr:rowOff>182880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300-0000B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86</xdr:row>
          <xdr:rowOff>0</xdr:rowOff>
        </xdr:from>
        <xdr:to>
          <xdr:col>22</xdr:col>
          <xdr:colOff>182880</xdr:colOff>
          <xdr:row>86</xdr:row>
          <xdr:rowOff>182880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300-0000B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87</xdr:row>
          <xdr:rowOff>0</xdr:rowOff>
        </xdr:from>
        <xdr:to>
          <xdr:col>22</xdr:col>
          <xdr:colOff>182880</xdr:colOff>
          <xdr:row>87</xdr:row>
          <xdr:rowOff>182880</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300-0000B4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89</xdr:row>
          <xdr:rowOff>0</xdr:rowOff>
        </xdr:from>
        <xdr:to>
          <xdr:col>22</xdr:col>
          <xdr:colOff>182880</xdr:colOff>
          <xdr:row>89</xdr:row>
          <xdr:rowOff>182880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300-0000B5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90</xdr:row>
          <xdr:rowOff>0</xdr:rowOff>
        </xdr:from>
        <xdr:to>
          <xdr:col>22</xdr:col>
          <xdr:colOff>182880</xdr:colOff>
          <xdr:row>90</xdr:row>
          <xdr:rowOff>182880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300-0000B6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91</xdr:row>
          <xdr:rowOff>0</xdr:rowOff>
        </xdr:from>
        <xdr:to>
          <xdr:col>22</xdr:col>
          <xdr:colOff>182880</xdr:colOff>
          <xdr:row>91</xdr:row>
          <xdr:rowOff>182880</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300-0000B7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99</xdr:row>
          <xdr:rowOff>0</xdr:rowOff>
        </xdr:from>
        <xdr:to>
          <xdr:col>22</xdr:col>
          <xdr:colOff>182880</xdr:colOff>
          <xdr:row>99</xdr:row>
          <xdr:rowOff>182880</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300-0000B8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102</xdr:row>
          <xdr:rowOff>0</xdr:rowOff>
        </xdr:from>
        <xdr:to>
          <xdr:col>22</xdr:col>
          <xdr:colOff>182880</xdr:colOff>
          <xdr:row>102</xdr:row>
          <xdr:rowOff>182880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300-0000B9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128</xdr:row>
          <xdr:rowOff>0</xdr:rowOff>
        </xdr:from>
        <xdr:to>
          <xdr:col>22</xdr:col>
          <xdr:colOff>182880</xdr:colOff>
          <xdr:row>128</xdr:row>
          <xdr:rowOff>182880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300-0000BC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130</xdr:row>
          <xdr:rowOff>0</xdr:rowOff>
        </xdr:from>
        <xdr:to>
          <xdr:col>22</xdr:col>
          <xdr:colOff>182880</xdr:colOff>
          <xdr:row>130</xdr:row>
          <xdr:rowOff>182880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300-0000B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132</xdr:row>
          <xdr:rowOff>0</xdr:rowOff>
        </xdr:from>
        <xdr:to>
          <xdr:col>22</xdr:col>
          <xdr:colOff>182880</xdr:colOff>
          <xdr:row>132</xdr:row>
          <xdr:rowOff>182880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300-0000B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139</xdr:row>
          <xdr:rowOff>0</xdr:rowOff>
        </xdr:from>
        <xdr:to>
          <xdr:col>22</xdr:col>
          <xdr:colOff>182880</xdr:colOff>
          <xdr:row>139</xdr:row>
          <xdr:rowOff>182880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300-0000BF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140</xdr:row>
          <xdr:rowOff>0</xdr:rowOff>
        </xdr:from>
        <xdr:to>
          <xdr:col>22</xdr:col>
          <xdr:colOff>182880</xdr:colOff>
          <xdr:row>140</xdr:row>
          <xdr:rowOff>182880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300-0000C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145</xdr:row>
          <xdr:rowOff>0</xdr:rowOff>
        </xdr:from>
        <xdr:to>
          <xdr:col>22</xdr:col>
          <xdr:colOff>182880</xdr:colOff>
          <xdr:row>145</xdr:row>
          <xdr:rowOff>182880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300-0000C1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147</xdr:row>
          <xdr:rowOff>0</xdr:rowOff>
        </xdr:from>
        <xdr:to>
          <xdr:col>22</xdr:col>
          <xdr:colOff>182880</xdr:colOff>
          <xdr:row>147</xdr:row>
          <xdr:rowOff>182880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300-0000C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150</xdr:row>
          <xdr:rowOff>0</xdr:rowOff>
        </xdr:from>
        <xdr:to>
          <xdr:col>22</xdr:col>
          <xdr:colOff>182880</xdr:colOff>
          <xdr:row>150</xdr:row>
          <xdr:rowOff>182880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300-0000C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152</xdr:row>
          <xdr:rowOff>0</xdr:rowOff>
        </xdr:from>
        <xdr:to>
          <xdr:col>22</xdr:col>
          <xdr:colOff>182880</xdr:colOff>
          <xdr:row>152</xdr:row>
          <xdr:rowOff>182880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300-0000C4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154</xdr:row>
          <xdr:rowOff>0</xdr:rowOff>
        </xdr:from>
        <xdr:to>
          <xdr:col>22</xdr:col>
          <xdr:colOff>182880</xdr:colOff>
          <xdr:row>154</xdr:row>
          <xdr:rowOff>182880</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300-0000C5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158</xdr:row>
          <xdr:rowOff>0</xdr:rowOff>
        </xdr:from>
        <xdr:to>
          <xdr:col>22</xdr:col>
          <xdr:colOff>182880</xdr:colOff>
          <xdr:row>158</xdr:row>
          <xdr:rowOff>182880</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300-0000C6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159</xdr:row>
          <xdr:rowOff>0</xdr:rowOff>
        </xdr:from>
        <xdr:to>
          <xdr:col>22</xdr:col>
          <xdr:colOff>182880</xdr:colOff>
          <xdr:row>159</xdr:row>
          <xdr:rowOff>182880</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300-0000C7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160</xdr:row>
          <xdr:rowOff>0</xdr:rowOff>
        </xdr:from>
        <xdr:to>
          <xdr:col>22</xdr:col>
          <xdr:colOff>182880</xdr:colOff>
          <xdr:row>160</xdr:row>
          <xdr:rowOff>182880</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300-0000C8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162</xdr:row>
          <xdr:rowOff>0</xdr:rowOff>
        </xdr:from>
        <xdr:to>
          <xdr:col>22</xdr:col>
          <xdr:colOff>182880</xdr:colOff>
          <xdr:row>162</xdr:row>
          <xdr:rowOff>182880</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300-0000C9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165</xdr:row>
          <xdr:rowOff>0</xdr:rowOff>
        </xdr:from>
        <xdr:to>
          <xdr:col>22</xdr:col>
          <xdr:colOff>182880</xdr:colOff>
          <xdr:row>165</xdr:row>
          <xdr:rowOff>182880</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300-0000CA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167</xdr:row>
          <xdr:rowOff>0</xdr:rowOff>
        </xdr:from>
        <xdr:to>
          <xdr:col>22</xdr:col>
          <xdr:colOff>182880</xdr:colOff>
          <xdr:row>167</xdr:row>
          <xdr:rowOff>182880</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300-0000CB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177</xdr:row>
          <xdr:rowOff>0</xdr:rowOff>
        </xdr:from>
        <xdr:to>
          <xdr:col>22</xdr:col>
          <xdr:colOff>182880</xdr:colOff>
          <xdr:row>177</xdr:row>
          <xdr:rowOff>182880</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300-0000CC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xdr:row>
          <xdr:rowOff>0</xdr:rowOff>
        </xdr:from>
        <xdr:to>
          <xdr:col>22</xdr:col>
          <xdr:colOff>182880</xdr:colOff>
          <xdr:row>184</xdr:row>
          <xdr:rowOff>182880</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300-0000C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xdr:row>
          <xdr:rowOff>0</xdr:rowOff>
        </xdr:from>
        <xdr:to>
          <xdr:col>22</xdr:col>
          <xdr:colOff>182880</xdr:colOff>
          <xdr:row>185</xdr:row>
          <xdr:rowOff>182880</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300-0000C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187</xdr:row>
          <xdr:rowOff>0</xdr:rowOff>
        </xdr:from>
        <xdr:to>
          <xdr:col>22</xdr:col>
          <xdr:colOff>182880</xdr:colOff>
          <xdr:row>187</xdr:row>
          <xdr:rowOff>182880</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300-0000CF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192</xdr:row>
          <xdr:rowOff>0</xdr:rowOff>
        </xdr:from>
        <xdr:to>
          <xdr:col>22</xdr:col>
          <xdr:colOff>182880</xdr:colOff>
          <xdr:row>192</xdr:row>
          <xdr:rowOff>182880</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300-0000D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194</xdr:row>
          <xdr:rowOff>0</xdr:rowOff>
        </xdr:from>
        <xdr:to>
          <xdr:col>22</xdr:col>
          <xdr:colOff>182880</xdr:colOff>
          <xdr:row>194</xdr:row>
          <xdr:rowOff>182880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300-0000D1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195</xdr:row>
          <xdr:rowOff>0</xdr:rowOff>
        </xdr:from>
        <xdr:to>
          <xdr:col>22</xdr:col>
          <xdr:colOff>182880</xdr:colOff>
          <xdr:row>195</xdr:row>
          <xdr:rowOff>182880</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300-0000D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197</xdr:row>
          <xdr:rowOff>0</xdr:rowOff>
        </xdr:from>
        <xdr:to>
          <xdr:col>22</xdr:col>
          <xdr:colOff>182880</xdr:colOff>
          <xdr:row>197</xdr:row>
          <xdr:rowOff>182880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300-0000D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199</xdr:row>
          <xdr:rowOff>0</xdr:rowOff>
        </xdr:from>
        <xdr:to>
          <xdr:col>22</xdr:col>
          <xdr:colOff>182880</xdr:colOff>
          <xdr:row>199</xdr:row>
          <xdr:rowOff>182880</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300-0000D4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203</xdr:row>
          <xdr:rowOff>0</xdr:rowOff>
        </xdr:from>
        <xdr:to>
          <xdr:col>22</xdr:col>
          <xdr:colOff>182880</xdr:colOff>
          <xdr:row>203</xdr:row>
          <xdr:rowOff>182880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300-0000D5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206</xdr:row>
          <xdr:rowOff>0</xdr:rowOff>
        </xdr:from>
        <xdr:to>
          <xdr:col>22</xdr:col>
          <xdr:colOff>182880</xdr:colOff>
          <xdr:row>206</xdr:row>
          <xdr:rowOff>182880</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300-0000D6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208</xdr:row>
          <xdr:rowOff>0</xdr:rowOff>
        </xdr:from>
        <xdr:to>
          <xdr:col>22</xdr:col>
          <xdr:colOff>182880</xdr:colOff>
          <xdr:row>208</xdr:row>
          <xdr:rowOff>182880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300-0000D7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209</xdr:row>
          <xdr:rowOff>0</xdr:rowOff>
        </xdr:from>
        <xdr:to>
          <xdr:col>22</xdr:col>
          <xdr:colOff>182880</xdr:colOff>
          <xdr:row>209</xdr:row>
          <xdr:rowOff>182880</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300-0000D8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210</xdr:row>
          <xdr:rowOff>0</xdr:rowOff>
        </xdr:from>
        <xdr:to>
          <xdr:col>22</xdr:col>
          <xdr:colOff>182880</xdr:colOff>
          <xdr:row>210</xdr:row>
          <xdr:rowOff>182880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300-0000D9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211</xdr:row>
          <xdr:rowOff>0</xdr:rowOff>
        </xdr:from>
        <xdr:to>
          <xdr:col>22</xdr:col>
          <xdr:colOff>182880</xdr:colOff>
          <xdr:row>211</xdr:row>
          <xdr:rowOff>182880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300-0000DA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212</xdr:row>
          <xdr:rowOff>0</xdr:rowOff>
        </xdr:from>
        <xdr:to>
          <xdr:col>22</xdr:col>
          <xdr:colOff>182880</xdr:colOff>
          <xdr:row>212</xdr:row>
          <xdr:rowOff>182880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300-0000DB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213</xdr:row>
          <xdr:rowOff>0</xdr:rowOff>
        </xdr:from>
        <xdr:to>
          <xdr:col>22</xdr:col>
          <xdr:colOff>182880</xdr:colOff>
          <xdr:row>213</xdr:row>
          <xdr:rowOff>182880</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300-0000DC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215</xdr:row>
          <xdr:rowOff>0</xdr:rowOff>
        </xdr:from>
        <xdr:to>
          <xdr:col>22</xdr:col>
          <xdr:colOff>182880</xdr:colOff>
          <xdr:row>215</xdr:row>
          <xdr:rowOff>182880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300-0000DD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222</xdr:row>
          <xdr:rowOff>0</xdr:rowOff>
        </xdr:from>
        <xdr:to>
          <xdr:col>22</xdr:col>
          <xdr:colOff>182880</xdr:colOff>
          <xdr:row>222</xdr:row>
          <xdr:rowOff>182880</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300-0000DE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224</xdr:row>
          <xdr:rowOff>0</xdr:rowOff>
        </xdr:from>
        <xdr:to>
          <xdr:col>22</xdr:col>
          <xdr:colOff>182880</xdr:colOff>
          <xdr:row>224</xdr:row>
          <xdr:rowOff>182880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300-0000DF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237</xdr:row>
          <xdr:rowOff>0</xdr:rowOff>
        </xdr:from>
        <xdr:to>
          <xdr:col>22</xdr:col>
          <xdr:colOff>182880</xdr:colOff>
          <xdr:row>237</xdr:row>
          <xdr:rowOff>182880</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300-0000E0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240</xdr:row>
          <xdr:rowOff>0</xdr:rowOff>
        </xdr:from>
        <xdr:to>
          <xdr:col>22</xdr:col>
          <xdr:colOff>182880</xdr:colOff>
          <xdr:row>240</xdr:row>
          <xdr:rowOff>182880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300-0000E1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244</xdr:row>
          <xdr:rowOff>0</xdr:rowOff>
        </xdr:from>
        <xdr:to>
          <xdr:col>22</xdr:col>
          <xdr:colOff>182880</xdr:colOff>
          <xdr:row>244</xdr:row>
          <xdr:rowOff>182880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300-0000E2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245</xdr:row>
          <xdr:rowOff>0</xdr:rowOff>
        </xdr:from>
        <xdr:to>
          <xdr:col>22</xdr:col>
          <xdr:colOff>182880</xdr:colOff>
          <xdr:row>245</xdr:row>
          <xdr:rowOff>182880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300-0000E3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254</xdr:row>
          <xdr:rowOff>0</xdr:rowOff>
        </xdr:from>
        <xdr:to>
          <xdr:col>22</xdr:col>
          <xdr:colOff>182880</xdr:colOff>
          <xdr:row>254</xdr:row>
          <xdr:rowOff>182880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300-0000E4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255</xdr:row>
          <xdr:rowOff>0</xdr:rowOff>
        </xdr:from>
        <xdr:to>
          <xdr:col>22</xdr:col>
          <xdr:colOff>182880</xdr:colOff>
          <xdr:row>255</xdr:row>
          <xdr:rowOff>182880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300-0000E5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257</xdr:row>
          <xdr:rowOff>0</xdr:rowOff>
        </xdr:from>
        <xdr:to>
          <xdr:col>22</xdr:col>
          <xdr:colOff>182880</xdr:colOff>
          <xdr:row>257</xdr:row>
          <xdr:rowOff>182880</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300-0000E60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twoCellAnchor editAs="oneCell">
    <xdr:from>
      <xdr:col>22</xdr:col>
      <xdr:colOff>552451</xdr:colOff>
      <xdr:row>0</xdr:row>
      <xdr:rowOff>0</xdr:rowOff>
    </xdr:from>
    <xdr:to>
      <xdr:col>22</xdr:col>
      <xdr:colOff>1363628</xdr:colOff>
      <xdr:row>4</xdr:row>
      <xdr:rowOff>173355</xdr:rowOff>
    </xdr:to>
    <xdr:pic>
      <xdr:nvPicPr>
        <xdr:cNvPr id="4" name="Picture 3">
          <a:extLst>
            <a:ext uri="{FF2B5EF4-FFF2-40B4-BE49-F238E27FC236}">
              <a16:creationId xmlns:a16="http://schemas.microsoft.com/office/drawing/2014/main" id="{E016D9E3-9D9E-433F-95AD-4B3C4F7D82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39151" y="0"/>
          <a:ext cx="811177" cy="8972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0</xdr:colOff>
          <xdr:row>28</xdr:row>
          <xdr:rowOff>0</xdr:rowOff>
        </xdr:from>
        <xdr:to>
          <xdr:col>22</xdr:col>
          <xdr:colOff>182880</xdr:colOff>
          <xdr:row>28</xdr:row>
          <xdr:rowOff>182880</xdr:rowOff>
        </xdr:to>
        <xdr:sp macro="" textlink="">
          <xdr:nvSpPr>
            <xdr:cNvPr id="4202" name="Check Box 106" hidden="1">
              <a:extLst>
                <a:ext uri="{63B3BB69-23CF-44E3-9099-C40C66FF867C}">
                  <a14:compatExt spid="_x0000_s4202"/>
                </a:ext>
                <a:ext uri="{FF2B5EF4-FFF2-40B4-BE49-F238E27FC236}">
                  <a16:creationId xmlns:a16="http://schemas.microsoft.com/office/drawing/2014/main" id="{00000000-0008-0000-0400-00006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xdr:row>
          <xdr:rowOff>0</xdr:rowOff>
        </xdr:from>
        <xdr:to>
          <xdr:col>22</xdr:col>
          <xdr:colOff>182880</xdr:colOff>
          <xdr:row>31</xdr:row>
          <xdr:rowOff>182880</xdr:rowOff>
        </xdr:to>
        <xdr:sp macro="" textlink="">
          <xdr:nvSpPr>
            <xdr:cNvPr id="4203" name="Check Box 107" hidden="1">
              <a:extLst>
                <a:ext uri="{63B3BB69-23CF-44E3-9099-C40C66FF867C}">
                  <a14:compatExt spid="_x0000_s4203"/>
                </a:ext>
                <a:ext uri="{FF2B5EF4-FFF2-40B4-BE49-F238E27FC236}">
                  <a16:creationId xmlns:a16="http://schemas.microsoft.com/office/drawing/2014/main" id="{00000000-0008-0000-0400-00006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34</xdr:row>
          <xdr:rowOff>0</xdr:rowOff>
        </xdr:from>
        <xdr:to>
          <xdr:col>22</xdr:col>
          <xdr:colOff>182880</xdr:colOff>
          <xdr:row>34</xdr:row>
          <xdr:rowOff>182880</xdr:rowOff>
        </xdr:to>
        <xdr:sp macro="" textlink="">
          <xdr:nvSpPr>
            <xdr:cNvPr id="4204" name="Check Box 108" hidden="1">
              <a:extLst>
                <a:ext uri="{63B3BB69-23CF-44E3-9099-C40C66FF867C}">
                  <a14:compatExt spid="_x0000_s4204"/>
                </a:ext>
                <a:ext uri="{FF2B5EF4-FFF2-40B4-BE49-F238E27FC236}">
                  <a16:creationId xmlns:a16="http://schemas.microsoft.com/office/drawing/2014/main" id="{00000000-0008-0000-0400-00006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38</xdr:row>
          <xdr:rowOff>0</xdr:rowOff>
        </xdr:from>
        <xdr:to>
          <xdr:col>22</xdr:col>
          <xdr:colOff>182880</xdr:colOff>
          <xdr:row>38</xdr:row>
          <xdr:rowOff>182880</xdr:rowOff>
        </xdr:to>
        <xdr:sp macro="" textlink="">
          <xdr:nvSpPr>
            <xdr:cNvPr id="4205" name="Check Box 109" hidden="1">
              <a:extLst>
                <a:ext uri="{63B3BB69-23CF-44E3-9099-C40C66FF867C}">
                  <a14:compatExt spid="_x0000_s4205"/>
                </a:ext>
                <a:ext uri="{FF2B5EF4-FFF2-40B4-BE49-F238E27FC236}">
                  <a16:creationId xmlns:a16="http://schemas.microsoft.com/office/drawing/2014/main" id="{00000000-0008-0000-0400-00006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39</xdr:row>
          <xdr:rowOff>0</xdr:rowOff>
        </xdr:from>
        <xdr:to>
          <xdr:col>22</xdr:col>
          <xdr:colOff>182880</xdr:colOff>
          <xdr:row>39</xdr:row>
          <xdr:rowOff>182880</xdr:rowOff>
        </xdr:to>
        <xdr:sp macro="" textlink="">
          <xdr:nvSpPr>
            <xdr:cNvPr id="4206" name="Check Box 110" hidden="1">
              <a:extLst>
                <a:ext uri="{63B3BB69-23CF-44E3-9099-C40C66FF867C}">
                  <a14:compatExt spid="_x0000_s4206"/>
                </a:ext>
                <a:ext uri="{FF2B5EF4-FFF2-40B4-BE49-F238E27FC236}">
                  <a16:creationId xmlns:a16="http://schemas.microsoft.com/office/drawing/2014/main" id="{00000000-0008-0000-0400-00006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xdr:row>
          <xdr:rowOff>0</xdr:rowOff>
        </xdr:from>
        <xdr:to>
          <xdr:col>22</xdr:col>
          <xdr:colOff>182880</xdr:colOff>
          <xdr:row>40</xdr:row>
          <xdr:rowOff>182880</xdr:rowOff>
        </xdr:to>
        <xdr:sp macro="" textlink="">
          <xdr:nvSpPr>
            <xdr:cNvPr id="4207" name="Check Box 111" hidden="1">
              <a:extLst>
                <a:ext uri="{63B3BB69-23CF-44E3-9099-C40C66FF867C}">
                  <a14:compatExt spid="_x0000_s4207"/>
                </a:ext>
                <a:ext uri="{FF2B5EF4-FFF2-40B4-BE49-F238E27FC236}">
                  <a16:creationId xmlns:a16="http://schemas.microsoft.com/office/drawing/2014/main" id="{00000000-0008-0000-0400-00006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xdr:row>
          <xdr:rowOff>0</xdr:rowOff>
        </xdr:from>
        <xdr:to>
          <xdr:col>22</xdr:col>
          <xdr:colOff>182880</xdr:colOff>
          <xdr:row>41</xdr:row>
          <xdr:rowOff>182880</xdr:rowOff>
        </xdr:to>
        <xdr:sp macro="" textlink="">
          <xdr:nvSpPr>
            <xdr:cNvPr id="4208" name="Check Box 112" hidden="1">
              <a:extLst>
                <a:ext uri="{63B3BB69-23CF-44E3-9099-C40C66FF867C}">
                  <a14:compatExt spid="_x0000_s4208"/>
                </a:ext>
                <a:ext uri="{FF2B5EF4-FFF2-40B4-BE49-F238E27FC236}">
                  <a16:creationId xmlns:a16="http://schemas.microsoft.com/office/drawing/2014/main" id="{00000000-0008-0000-0400-00007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xdr:row>
          <xdr:rowOff>0</xdr:rowOff>
        </xdr:from>
        <xdr:to>
          <xdr:col>22</xdr:col>
          <xdr:colOff>182880</xdr:colOff>
          <xdr:row>42</xdr:row>
          <xdr:rowOff>182880</xdr:rowOff>
        </xdr:to>
        <xdr:sp macro="" textlink="">
          <xdr:nvSpPr>
            <xdr:cNvPr id="4209" name="Check Box 113" hidden="1">
              <a:extLst>
                <a:ext uri="{63B3BB69-23CF-44E3-9099-C40C66FF867C}">
                  <a14:compatExt spid="_x0000_s4209"/>
                </a:ext>
                <a:ext uri="{FF2B5EF4-FFF2-40B4-BE49-F238E27FC236}">
                  <a16:creationId xmlns:a16="http://schemas.microsoft.com/office/drawing/2014/main" id="{00000000-0008-0000-0400-00007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43</xdr:row>
          <xdr:rowOff>0</xdr:rowOff>
        </xdr:from>
        <xdr:to>
          <xdr:col>22</xdr:col>
          <xdr:colOff>182880</xdr:colOff>
          <xdr:row>43</xdr:row>
          <xdr:rowOff>182880</xdr:rowOff>
        </xdr:to>
        <xdr:sp macro="" textlink="">
          <xdr:nvSpPr>
            <xdr:cNvPr id="4210" name="Check Box 114" hidden="1">
              <a:extLst>
                <a:ext uri="{63B3BB69-23CF-44E3-9099-C40C66FF867C}">
                  <a14:compatExt spid="_x0000_s4210"/>
                </a:ext>
                <a:ext uri="{FF2B5EF4-FFF2-40B4-BE49-F238E27FC236}">
                  <a16:creationId xmlns:a16="http://schemas.microsoft.com/office/drawing/2014/main" id="{00000000-0008-0000-0400-00007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xdr:row>
          <xdr:rowOff>0</xdr:rowOff>
        </xdr:from>
        <xdr:to>
          <xdr:col>22</xdr:col>
          <xdr:colOff>182880</xdr:colOff>
          <xdr:row>49</xdr:row>
          <xdr:rowOff>182880</xdr:rowOff>
        </xdr:to>
        <xdr:sp macro="" textlink="">
          <xdr:nvSpPr>
            <xdr:cNvPr id="4211" name="Check Box 115" hidden="1">
              <a:extLst>
                <a:ext uri="{63B3BB69-23CF-44E3-9099-C40C66FF867C}">
                  <a14:compatExt spid="_x0000_s4211"/>
                </a:ext>
                <a:ext uri="{FF2B5EF4-FFF2-40B4-BE49-F238E27FC236}">
                  <a16:creationId xmlns:a16="http://schemas.microsoft.com/office/drawing/2014/main" id="{00000000-0008-0000-0400-00007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xdr:row>
          <xdr:rowOff>0</xdr:rowOff>
        </xdr:from>
        <xdr:to>
          <xdr:col>22</xdr:col>
          <xdr:colOff>182880</xdr:colOff>
          <xdr:row>50</xdr:row>
          <xdr:rowOff>182880</xdr:rowOff>
        </xdr:to>
        <xdr:sp macro="" textlink="">
          <xdr:nvSpPr>
            <xdr:cNvPr id="4212" name="Check Box 116" hidden="1">
              <a:extLst>
                <a:ext uri="{63B3BB69-23CF-44E3-9099-C40C66FF867C}">
                  <a14:compatExt spid="_x0000_s4212"/>
                </a:ext>
                <a:ext uri="{FF2B5EF4-FFF2-40B4-BE49-F238E27FC236}">
                  <a16:creationId xmlns:a16="http://schemas.microsoft.com/office/drawing/2014/main" id="{00000000-0008-0000-0400-00007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xdr:row>
          <xdr:rowOff>0</xdr:rowOff>
        </xdr:from>
        <xdr:to>
          <xdr:col>22</xdr:col>
          <xdr:colOff>182880</xdr:colOff>
          <xdr:row>51</xdr:row>
          <xdr:rowOff>182880</xdr:rowOff>
        </xdr:to>
        <xdr:sp macro="" textlink="">
          <xdr:nvSpPr>
            <xdr:cNvPr id="4213" name="Check Box 117" hidden="1">
              <a:extLst>
                <a:ext uri="{63B3BB69-23CF-44E3-9099-C40C66FF867C}">
                  <a14:compatExt spid="_x0000_s4213"/>
                </a:ext>
                <a:ext uri="{FF2B5EF4-FFF2-40B4-BE49-F238E27FC236}">
                  <a16:creationId xmlns:a16="http://schemas.microsoft.com/office/drawing/2014/main" id="{00000000-0008-0000-0400-00007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52</xdr:row>
          <xdr:rowOff>0</xdr:rowOff>
        </xdr:from>
        <xdr:to>
          <xdr:col>22</xdr:col>
          <xdr:colOff>182880</xdr:colOff>
          <xdr:row>52</xdr:row>
          <xdr:rowOff>182880</xdr:rowOff>
        </xdr:to>
        <xdr:sp macro="" textlink="">
          <xdr:nvSpPr>
            <xdr:cNvPr id="4214" name="Check Box 118" hidden="1">
              <a:extLst>
                <a:ext uri="{63B3BB69-23CF-44E3-9099-C40C66FF867C}">
                  <a14:compatExt spid="_x0000_s4214"/>
                </a:ext>
                <a:ext uri="{FF2B5EF4-FFF2-40B4-BE49-F238E27FC236}">
                  <a16:creationId xmlns:a16="http://schemas.microsoft.com/office/drawing/2014/main" id="{00000000-0008-0000-0400-00007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xdr:row>
          <xdr:rowOff>0</xdr:rowOff>
        </xdr:from>
        <xdr:to>
          <xdr:col>22</xdr:col>
          <xdr:colOff>182880</xdr:colOff>
          <xdr:row>53</xdr:row>
          <xdr:rowOff>182880</xdr:rowOff>
        </xdr:to>
        <xdr:sp macro="" textlink="">
          <xdr:nvSpPr>
            <xdr:cNvPr id="4215" name="Check Box 119" hidden="1">
              <a:extLst>
                <a:ext uri="{63B3BB69-23CF-44E3-9099-C40C66FF867C}">
                  <a14:compatExt spid="_x0000_s4215"/>
                </a:ext>
                <a:ext uri="{FF2B5EF4-FFF2-40B4-BE49-F238E27FC236}">
                  <a16:creationId xmlns:a16="http://schemas.microsoft.com/office/drawing/2014/main" id="{00000000-0008-0000-0400-00007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77</xdr:row>
          <xdr:rowOff>0</xdr:rowOff>
        </xdr:from>
        <xdr:to>
          <xdr:col>22</xdr:col>
          <xdr:colOff>182880</xdr:colOff>
          <xdr:row>77</xdr:row>
          <xdr:rowOff>182880</xdr:rowOff>
        </xdr:to>
        <xdr:sp macro="" textlink="">
          <xdr:nvSpPr>
            <xdr:cNvPr id="4216" name="Check Box 120" hidden="1">
              <a:extLst>
                <a:ext uri="{63B3BB69-23CF-44E3-9099-C40C66FF867C}">
                  <a14:compatExt spid="_x0000_s4216"/>
                </a:ext>
                <a:ext uri="{FF2B5EF4-FFF2-40B4-BE49-F238E27FC236}">
                  <a16:creationId xmlns:a16="http://schemas.microsoft.com/office/drawing/2014/main" id="{00000000-0008-0000-0400-00007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85</xdr:row>
          <xdr:rowOff>0</xdr:rowOff>
        </xdr:from>
        <xdr:to>
          <xdr:col>22</xdr:col>
          <xdr:colOff>182880</xdr:colOff>
          <xdr:row>85</xdr:row>
          <xdr:rowOff>182880</xdr:rowOff>
        </xdr:to>
        <xdr:sp macro="" textlink="">
          <xdr:nvSpPr>
            <xdr:cNvPr id="4217" name="Check Box 121" hidden="1">
              <a:extLst>
                <a:ext uri="{63B3BB69-23CF-44E3-9099-C40C66FF867C}">
                  <a14:compatExt spid="_x0000_s4217"/>
                </a:ext>
                <a:ext uri="{FF2B5EF4-FFF2-40B4-BE49-F238E27FC236}">
                  <a16:creationId xmlns:a16="http://schemas.microsoft.com/office/drawing/2014/main" id="{00000000-0008-0000-0400-000079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96</xdr:row>
          <xdr:rowOff>0</xdr:rowOff>
        </xdr:from>
        <xdr:to>
          <xdr:col>22</xdr:col>
          <xdr:colOff>182880</xdr:colOff>
          <xdr:row>96</xdr:row>
          <xdr:rowOff>182880</xdr:rowOff>
        </xdr:to>
        <xdr:sp macro="" textlink="">
          <xdr:nvSpPr>
            <xdr:cNvPr id="4218" name="Check Box 122" hidden="1">
              <a:extLst>
                <a:ext uri="{63B3BB69-23CF-44E3-9099-C40C66FF867C}">
                  <a14:compatExt spid="_x0000_s4218"/>
                </a:ext>
                <a:ext uri="{FF2B5EF4-FFF2-40B4-BE49-F238E27FC236}">
                  <a16:creationId xmlns:a16="http://schemas.microsoft.com/office/drawing/2014/main" id="{00000000-0008-0000-0400-00007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99</xdr:row>
          <xdr:rowOff>0</xdr:rowOff>
        </xdr:from>
        <xdr:to>
          <xdr:col>22</xdr:col>
          <xdr:colOff>182880</xdr:colOff>
          <xdr:row>99</xdr:row>
          <xdr:rowOff>182880</xdr:rowOff>
        </xdr:to>
        <xdr:sp macro="" textlink="">
          <xdr:nvSpPr>
            <xdr:cNvPr id="4219" name="Check Box 123" hidden="1">
              <a:extLst>
                <a:ext uri="{63B3BB69-23CF-44E3-9099-C40C66FF867C}">
                  <a14:compatExt spid="_x0000_s4219"/>
                </a:ext>
                <a:ext uri="{FF2B5EF4-FFF2-40B4-BE49-F238E27FC236}">
                  <a16:creationId xmlns:a16="http://schemas.microsoft.com/office/drawing/2014/main" id="{00000000-0008-0000-0400-00007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103</xdr:row>
          <xdr:rowOff>0</xdr:rowOff>
        </xdr:from>
        <xdr:to>
          <xdr:col>22</xdr:col>
          <xdr:colOff>182880</xdr:colOff>
          <xdr:row>103</xdr:row>
          <xdr:rowOff>182880</xdr:rowOff>
        </xdr:to>
        <xdr:sp macro="" textlink="">
          <xdr:nvSpPr>
            <xdr:cNvPr id="4220" name="Check Box 124" hidden="1">
              <a:extLst>
                <a:ext uri="{63B3BB69-23CF-44E3-9099-C40C66FF867C}">
                  <a14:compatExt spid="_x0000_s4220"/>
                </a:ext>
                <a:ext uri="{FF2B5EF4-FFF2-40B4-BE49-F238E27FC236}">
                  <a16:creationId xmlns:a16="http://schemas.microsoft.com/office/drawing/2014/main" id="{00000000-0008-0000-0400-00007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104</xdr:row>
          <xdr:rowOff>0</xdr:rowOff>
        </xdr:from>
        <xdr:to>
          <xdr:col>22</xdr:col>
          <xdr:colOff>182880</xdr:colOff>
          <xdr:row>104</xdr:row>
          <xdr:rowOff>182880</xdr:rowOff>
        </xdr:to>
        <xdr:sp macro="" textlink="">
          <xdr:nvSpPr>
            <xdr:cNvPr id="4221" name="Check Box 125" hidden="1">
              <a:extLst>
                <a:ext uri="{63B3BB69-23CF-44E3-9099-C40C66FF867C}">
                  <a14:compatExt spid="_x0000_s4221"/>
                </a:ext>
                <a:ext uri="{FF2B5EF4-FFF2-40B4-BE49-F238E27FC236}">
                  <a16:creationId xmlns:a16="http://schemas.microsoft.com/office/drawing/2014/main" id="{00000000-0008-0000-0400-00007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106</xdr:row>
          <xdr:rowOff>0</xdr:rowOff>
        </xdr:from>
        <xdr:to>
          <xdr:col>22</xdr:col>
          <xdr:colOff>182880</xdr:colOff>
          <xdr:row>106</xdr:row>
          <xdr:rowOff>182880</xdr:rowOff>
        </xdr:to>
        <xdr:sp macro="" textlink="">
          <xdr:nvSpPr>
            <xdr:cNvPr id="4222" name="Check Box 126" hidden="1">
              <a:extLst>
                <a:ext uri="{63B3BB69-23CF-44E3-9099-C40C66FF867C}">
                  <a14:compatExt spid="_x0000_s4222"/>
                </a:ext>
                <a:ext uri="{FF2B5EF4-FFF2-40B4-BE49-F238E27FC236}">
                  <a16:creationId xmlns:a16="http://schemas.microsoft.com/office/drawing/2014/main" id="{00000000-0008-0000-0400-00007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108</xdr:row>
          <xdr:rowOff>0</xdr:rowOff>
        </xdr:from>
        <xdr:to>
          <xdr:col>22</xdr:col>
          <xdr:colOff>182880</xdr:colOff>
          <xdr:row>108</xdr:row>
          <xdr:rowOff>182880</xdr:rowOff>
        </xdr:to>
        <xdr:sp macro="" textlink="">
          <xdr:nvSpPr>
            <xdr:cNvPr id="4223" name="Check Box 127" hidden="1">
              <a:extLst>
                <a:ext uri="{63B3BB69-23CF-44E3-9099-C40C66FF867C}">
                  <a14:compatExt spid="_x0000_s4223"/>
                </a:ext>
                <a:ext uri="{FF2B5EF4-FFF2-40B4-BE49-F238E27FC236}">
                  <a16:creationId xmlns:a16="http://schemas.microsoft.com/office/drawing/2014/main" id="{00000000-0008-0000-0400-00007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114</xdr:row>
          <xdr:rowOff>0</xdr:rowOff>
        </xdr:from>
        <xdr:to>
          <xdr:col>22</xdr:col>
          <xdr:colOff>182880</xdr:colOff>
          <xdr:row>114</xdr:row>
          <xdr:rowOff>182880</xdr:rowOff>
        </xdr:to>
        <xdr:sp macro="" textlink="">
          <xdr:nvSpPr>
            <xdr:cNvPr id="4224" name="Check Box 128" hidden="1">
              <a:extLst>
                <a:ext uri="{63B3BB69-23CF-44E3-9099-C40C66FF867C}">
                  <a14:compatExt spid="_x0000_s4224"/>
                </a:ext>
                <a:ext uri="{FF2B5EF4-FFF2-40B4-BE49-F238E27FC236}">
                  <a16:creationId xmlns:a16="http://schemas.microsoft.com/office/drawing/2014/main" id="{00000000-0008-0000-0400-00008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120</xdr:row>
          <xdr:rowOff>0</xdr:rowOff>
        </xdr:from>
        <xdr:to>
          <xdr:col>22</xdr:col>
          <xdr:colOff>182880</xdr:colOff>
          <xdr:row>120</xdr:row>
          <xdr:rowOff>182880</xdr:rowOff>
        </xdr:to>
        <xdr:sp macro="" textlink="">
          <xdr:nvSpPr>
            <xdr:cNvPr id="4225" name="Check Box 129" hidden="1">
              <a:extLst>
                <a:ext uri="{63B3BB69-23CF-44E3-9099-C40C66FF867C}">
                  <a14:compatExt spid="_x0000_s4225"/>
                </a:ext>
                <a:ext uri="{FF2B5EF4-FFF2-40B4-BE49-F238E27FC236}">
                  <a16:creationId xmlns:a16="http://schemas.microsoft.com/office/drawing/2014/main" id="{00000000-0008-0000-0400-00008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126</xdr:row>
          <xdr:rowOff>0</xdr:rowOff>
        </xdr:from>
        <xdr:to>
          <xdr:col>22</xdr:col>
          <xdr:colOff>182880</xdr:colOff>
          <xdr:row>126</xdr:row>
          <xdr:rowOff>182880</xdr:rowOff>
        </xdr:to>
        <xdr:sp macro="" textlink="">
          <xdr:nvSpPr>
            <xdr:cNvPr id="4226" name="Check Box 130" hidden="1">
              <a:extLst>
                <a:ext uri="{63B3BB69-23CF-44E3-9099-C40C66FF867C}">
                  <a14:compatExt spid="_x0000_s4226"/>
                </a:ext>
                <a:ext uri="{FF2B5EF4-FFF2-40B4-BE49-F238E27FC236}">
                  <a16:creationId xmlns:a16="http://schemas.microsoft.com/office/drawing/2014/main" id="{00000000-0008-0000-0400-00008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128</xdr:row>
          <xdr:rowOff>0</xdr:rowOff>
        </xdr:from>
        <xdr:to>
          <xdr:col>22</xdr:col>
          <xdr:colOff>182880</xdr:colOff>
          <xdr:row>128</xdr:row>
          <xdr:rowOff>182880</xdr:rowOff>
        </xdr:to>
        <xdr:sp macro="" textlink="">
          <xdr:nvSpPr>
            <xdr:cNvPr id="4227" name="Check Box 131" hidden="1">
              <a:extLst>
                <a:ext uri="{63B3BB69-23CF-44E3-9099-C40C66FF867C}">
                  <a14:compatExt spid="_x0000_s4227"/>
                </a:ext>
                <a:ext uri="{FF2B5EF4-FFF2-40B4-BE49-F238E27FC236}">
                  <a16:creationId xmlns:a16="http://schemas.microsoft.com/office/drawing/2014/main" id="{00000000-0008-0000-0400-00008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134</xdr:row>
          <xdr:rowOff>0</xdr:rowOff>
        </xdr:from>
        <xdr:to>
          <xdr:col>22</xdr:col>
          <xdr:colOff>182880</xdr:colOff>
          <xdr:row>134</xdr:row>
          <xdr:rowOff>182880</xdr:rowOff>
        </xdr:to>
        <xdr:sp macro="" textlink="">
          <xdr:nvSpPr>
            <xdr:cNvPr id="4228" name="Check Box 132" hidden="1">
              <a:extLst>
                <a:ext uri="{63B3BB69-23CF-44E3-9099-C40C66FF867C}">
                  <a14:compatExt spid="_x0000_s4228"/>
                </a:ext>
                <a:ext uri="{FF2B5EF4-FFF2-40B4-BE49-F238E27FC236}">
                  <a16:creationId xmlns:a16="http://schemas.microsoft.com/office/drawing/2014/main" id="{00000000-0008-0000-0400-00008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138</xdr:row>
          <xdr:rowOff>0</xdr:rowOff>
        </xdr:from>
        <xdr:to>
          <xdr:col>22</xdr:col>
          <xdr:colOff>182880</xdr:colOff>
          <xdr:row>138</xdr:row>
          <xdr:rowOff>182880</xdr:rowOff>
        </xdr:to>
        <xdr:sp macro="" textlink="">
          <xdr:nvSpPr>
            <xdr:cNvPr id="4229" name="Check Box 133" hidden="1">
              <a:extLst>
                <a:ext uri="{63B3BB69-23CF-44E3-9099-C40C66FF867C}">
                  <a14:compatExt spid="_x0000_s4229"/>
                </a:ext>
                <a:ext uri="{FF2B5EF4-FFF2-40B4-BE49-F238E27FC236}">
                  <a16:creationId xmlns:a16="http://schemas.microsoft.com/office/drawing/2014/main" id="{00000000-0008-0000-0400-00008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142</xdr:row>
          <xdr:rowOff>0</xdr:rowOff>
        </xdr:from>
        <xdr:to>
          <xdr:col>22</xdr:col>
          <xdr:colOff>182880</xdr:colOff>
          <xdr:row>142</xdr:row>
          <xdr:rowOff>182880</xdr:rowOff>
        </xdr:to>
        <xdr:sp macro="" textlink="">
          <xdr:nvSpPr>
            <xdr:cNvPr id="4230" name="Check Box 134" hidden="1">
              <a:extLst>
                <a:ext uri="{63B3BB69-23CF-44E3-9099-C40C66FF867C}">
                  <a14:compatExt spid="_x0000_s4230"/>
                </a:ext>
                <a:ext uri="{FF2B5EF4-FFF2-40B4-BE49-F238E27FC236}">
                  <a16:creationId xmlns:a16="http://schemas.microsoft.com/office/drawing/2014/main" id="{00000000-0008-0000-0400-00008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147</xdr:row>
          <xdr:rowOff>0</xdr:rowOff>
        </xdr:from>
        <xdr:to>
          <xdr:col>22</xdr:col>
          <xdr:colOff>182880</xdr:colOff>
          <xdr:row>147</xdr:row>
          <xdr:rowOff>182880</xdr:rowOff>
        </xdr:to>
        <xdr:sp macro="" textlink="">
          <xdr:nvSpPr>
            <xdr:cNvPr id="4231" name="Check Box 135" hidden="1">
              <a:extLst>
                <a:ext uri="{63B3BB69-23CF-44E3-9099-C40C66FF867C}">
                  <a14:compatExt spid="_x0000_s4231"/>
                </a:ext>
                <a:ext uri="{FF2B5EF4-FFF2-40B4-BE49-F238E27FC236}">
                  <a16:creationId xmlns:a16="http://schemas.microsoft.com/office/drawing/2014/main" id="{00000000-0008-0000-0400-00008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152</xdr:row>
          <xdr:rowOff>0</xdr:rowOff>
        </xdr:from>
        <xdr:to>
          <xdr:col>22</xdr:col>
          <xdr:colOff>182880</xdr:colOff>
          <xdr:row>152</xdr:row>
          <xdr:rowOff>182880</xdr:rowOff>
        </xdr:to>
        <xdr:sp macro="" textlink="">
          <xdr:nvSpPr>
            <xdr:cNvPr id="4232" name="Check Box 136" hidden="1">
              <a:extLst>
                <a:ext uri="{63B3BB69-23CF-44E3-9099-C40C66FF867C}">
                  <a14:compatExt spid="_x0000_s4232"/>
                </a:ext>
                <a:ext uri="{FF2B5EF4-FFF2-40B4-BE49-F238E27FC236}">
                  <a16:creationId xmlns:a16="http://schemas.microsoft.com/office/drawing/2014/main" id="{00000000-0008-0000-0400-00008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154</xdr:row>
          <xdr:rowOff>0</xdr:rowOff>
        </xdr:from>
        <xdr:to>
          <xdr:col>22</xdr:col>
          <xdr:colOff>182880</xdr:colOff>
          <xdr:row>154</xdr:row>
          <xdr:rowOff>182880</xdr:rowOff>
        </xdr:to>
        <xdr:sp macro="" textlink="">
          <xdr:nvSpPr>
            <xdr:cNvPr id="4233" name="Check Box 137" hidden="1">
              <a:extLst>
                <a:ext uri="{63B3BB69-23CF-44E3-9099-C40C66FF867C}">
                  <a14:compatExt spid="_x0000_s4233"/>
                </a:ext>
                <a:ext uri="{FF2B5EF4-FFF2-40B4-BE49-F238E27FC236}">
                  <a16:creationId xmlns:a16="http://schemas.microsoft.com/office/drawing/2014/main" id="{00000000-0008-0000-0400-000089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xdr:row>
          <xdr:rowOff>0</xdr:rowOff>
        </xdr:from>
        <xdr:to>
          <xdr:col>22</xdr:col>
          <xdr:colOff>182880</xdr:colOff>
          <xdr:row>156</xdr:row>
          <xdr:rowOff>182880</xdr:rowOff>
        </xdr:to>
        <xdr:sp macro="" textlink="">
          <xdr:nvSpPr>
            <xdr:cNvPr id="4234" name="Check Box 138" hidden="1">
              <a:extLst>
                <a:ext uri="{63B3BB69-23CF-44E3-9099-C40C66FF867C}">
                  <a14:compatExt spid="_x0000_s4234"/>
                </a:ext>
                <a:ext uri="{FF2B5EF4-FFF2-40B4-BE49-F238E27FC236}">
                  <a16:creationId xmlns:a16="http://schemas.microsoft.com/office/drawing/2014/main" id="{00000000-0008-0000-0400-00008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168</xdr:row>
          <xdr:rowOff>0</xdr:rowOff>
        </xdr:from>
        <xdr:to>
          <xdr:col>22</xdr:col>
          <xdr:colOff>182880</xdr:colOff>
          <xdr:row>168</xdr:row>
          <xdr:rowOff>182880</xdr:rowOff>
        </xdr:to>
        <xdr:sp macro="" textlink="">
          <xdr:nvSpPr>
            <xdr:cNvPr id="4235" name="Check Box 139" hidden="1">
              <a:extLst>
                <a:ext uri="{63B3BB69-23CF-44E3-9099-C40C66FF867C}">
                  <a14:compatExt spid="_x0000_s4235"/>
                </a:ext>
                <a:ext uri="{FF2B5EF4-FFF2-40B4-BE49-F238E27FC236}">
                  <a16:creationId xmlns:a16="http://schemas.microsoft.com/office/drawing/2014/main" id="{00000000-0008-0000-0400-00008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178</xdr:row>
          <xdr:rowOff>0</xdr:rowOff>
        </xdr:from>
        <xdr:to>
          <xdr:col>22</xdr:col>
          <xdr:colOff>182880</xdr:colOff>
          <xdr:row>178</xdr:row>
          <xdr:rowOff>182880</xdr:rowOff>
        </xdr:to>
        <xdr:sp macro="" textlink="">
          <xdr:nvSpPr>
            <xdr:cNvPr id="4236" name="Check Box 140" hidden="1">
              <a:extLst>
                <a:ext uri="{63B3BB69-23CF-44E3-9099-C40C66FF867C}">
                  <a14:compatExt spid="_x0000_s4236"/>
                </a:ext>
                <a:ext uri="{FF2B5EF4-FFF2-40B4-BE49-F238E27FC236}">
                  <a16:creationId xmlns:a16="http://schemas.microsoft.com/office/drawing/2014/main" id="{00000000-0008-0000-0400-00008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181</xdr:row>
          <xdr:rowOff>0</xdr:rowOff>
        </xdr:from>
        <xdr:to>
          <xdr:col>22</xdr:col>
          <xdr:colOff>182880</xdr:colOff>
          <xdr:row>181</xdr:row>
          <xdr:rowOff>182880</xdr:rowOff>
        </xdr:to>
        <xdr:sp macro="" textlink="">
          <xdr:nvSpPr>
            <xdr:cNvPr id="4237" name="Check Box 141" hidden="1">
              <a:extLst>
                <a:ext uri="{63B3BB69-23CF-44E3-9099-C40C66FF867C}">
                  <a14:compatExt spid="_x0000_s4237"/>
                </a:ext>
                <a:ext uri="{FF2B5EF4-FFF2-40B4-BE49-F238E27FC236}">
                  <a16:creationId xmlns:a16="http://schemas.microsoft.com/office/drawing/2014/main" id="{00000000-0008-0000-0400-00008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182</xdr:row>
          <xdr:rowOff>0</xdr:rowOff>
        </xdr:from>
        <xdr:to>
          <xdr:col>22</xdr:col>
          <xdr:colOff>182880</xdr:colOff>
          <xdr:row>182</xdr:row>
          <xdr:rowOff>182880</xdr:rowOff>
        </xdr:to>
        <xdr:sp macro="" textlink="">
          <xdr:nvSpPr>
            <xdr:cNvPr id="4238" name="Check Box 142" hidden="1">
              <a:extLst>
                <a:ext uri="{63B3BB69-23CF-44E3-9099-C40C66FF867C}">
                  <a14:compatExt spid="_x0000_s4238"/>
                </a:ext>
                <a:ext uri="{FF2B5EF4-FFF2-40B4-BE49-F238E27FC236}">
                  <a16:creationId xmlns:a16="http://schemas.microsoft.com/office/drawing/2014/main" id="{00000000-0008-0000-0400-00008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192</xdr:row>
          <xdr:rowOff>0</xdr:rowOff>
        </xdr:from>
        <xdr:to>
          <xdr:col>22</xdr:col>
          <xdr:colOff>182880</xdr:colOff>
          <xdr:row>192</xdr:row>
          <xdr:rowOff>182880</xdr:rowOff>
        </xdr:to>
        <xdr:sp macro="" textlink="">
          <xdr:nvSpPr>
            <xdr:cNvPr id="4239" name="Check Box 143" hidden="1">
              <a:extLst>
                <a:ext uri="{63B3BB69-23CF-44E3-9099-C40C66FF867C}">
                  <a14:compatExt spid="_x0000_s4239"/>
                </a:ext>
                <a:ext uri="{FF2B5EF4-FFF2-40B4-BE49-F238E27FC236}">
                  <a16:creationId xmlns:a16="http://schemas.microsoft.com/office/drawing/2014/main" id="{00000000-0008-0000-0400-00008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194</xdr:row>
          <xdr:rowOff>0</xdr:rowOff>
        </xdr:from>
        <xdr:to>
          <xdr:col>22</xdr:col>
          <xdr:colOff>182880</xdr:colOff>
          <xdr:row>194</xdr:row>
          <xdr:rowOff>182880</xdr:rowOff>
        </xdr:to>
        <xdr:sp macro="" textlink="">
          <xdr:nvSpPr>
            <xdr:cNvPr id="4240" name="Check Box 144" hidden="1">
              <a:extLst>
                <a:ext uri="{63B3BB69-23CF-44E3-9099-C40C66FF867C}">
                  <a14:compatExt spid="_x0000_s4240"/>
                </a:ext>
                <a:ext uri="{FF2B5EF4-FFF2-40B4-BE49-F238E27FC236}">
                  <a16:creationId xmlns:a16="http://schemas.microsoft.com/office/drawing/2014/main" id="{00000000-0008-0000-0400-00009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210</xdr:row>
          <xdr:rowOff>0</xdr:rowOff>
        </xdr:from>
        <xdr:to>
          <xdr:col>22</xdr:col>
          <xdr:colOff>182880</xdr:colOff>
          <xdr:row>210</xdr:row>
          <xdr:rowOff>182880</xdr:rowOff>
        </xdr:to>
        <xdr:sp macro="" textlink="">
          <xdr:nvSpPr>
            <xdr:cNvPr id="4241" name="Check Box 145" hidden="1">
              <a:extLst>
                <a:ext uri="{63B3BB69-23CF-44E3-9099-C40C66FF867C}">
                  <a14:compatExt spid="_x0000_s4241"/>
                </a:ext>
                <a:ext uri="{FF2B5EF4-FFF2-40B4-BE49-F238E27FC236}">
                  <a16:creationId xmlns:a16="http://schemas.microsoft.com/office/drawing/2014/main" id="{00000000-0008-0000-0400-00009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221</xdr:row>
          <xdr:rowOff>0</xdr:rowOff>
        </xdr:from>
        <xdr:to>
          <xdr:col>22</xdr:col>
          <xdr:colOff>182880</xdr:colOff>
          <xdr:row>221</xdr:row>
          <xdr:rowOff>182880</xdr:rowOff>
        </xdr:to>
        <xdr:sp macro="" textlink="">
          <xdr:nvSpPr>
            <xdr:cNvPr id="4242" name="Check Box 146" hidden="1">
              <a:extLst>
                <a:ext uri="{63B3BB69-23CF-44E3-9099-C40C66FF867C}">
                  <a14:compatExt spid="_x0000_s4242"/>
                </a:ext>
                <a:ext uri="{FF2B5EF4-FFF2-40B4-BE49-F238E27FC236}">
                  <a16:creationId xmlns:a16="http://schemas.microsoft.com/office/drawing/2014/main" id="{00000000-0008-0000-0400-00009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222</xdr:row>
          <xdr:rowOff>0</xdr:rowOff>
        </xdr:from>
        <xdr:to>
          <xdr:col>22</xdr:col>
          <xdr:colOff>182880</xdr:colOff>
          <xdr:row>222</xdr:row>
          <xdr:rowOff>182880</xdr:rowOff>
        </xdr:to>
        <xdr:sp macro="" textlink="">
          <xdr:nvSpPr>
            <xdr:cNvPr id="4243" name="Check Box 147" hidden="1">
              <a:extLst>
                <a:ext uri="{63B3BB69-23CF-44E3-9099-C40C66FF867C}">
                  <a14:compatExt spid="_x0000_s4243"/>
                </a:ext>
                <a:ext uri="{FF2B5EF4-FFF2-40B4-BE49-F238E27FC236}">
                  <a16:creationId xmlns:a16="http://schemas.microsoft.com/office/drawing/2014/main" id="{00000000-0008-0000-0400-00009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227</xdr:row>
          <xdr:rowOff>0</xdr:rowOff>
        </xdr:from>
        <xdr:to>
          <xdr:col>22</xdr:col>
          <xdr:colOff>182880</xdr:colOff>
          <xdr:row>227</xdr:row>
          <xdr:rowOff>182880</xdr:rowOff>
        </xdr:to>
        <xdr:sp macro="" textlink="">
          <xdr:nvSpPr>
            <xdr:cNvPr id="4244" name="Check Box 148" hidden="1">
              <a:extLst>
                <a:ext uri="{63B3BB69-23CF-44E3-9099-C40C66FF867C}">
                  <a14:compatExt spid="_x0000_s4244"/>
                </a:ext>
                <a:ext uri="{FF2B5EF4-FFF2-40B4-BE49-F238E27FC236}">
                  <a16:creationId xmlns:a16="http://schemas.microsoft.com/office/drawing/2014/main" id="{00000000-0008-0000-0400-00009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229</xdr:row>
          <xdr:rowOff>0</xdr:rowOff>
        </xdr:from>
        <xdr:to>
          <xdr:col>22</xdr:col>
          <xdr:colOff>182880</xdr:colOff>
          <xdr:row>229</xdr:row>
          <xdr:rowOff>182880</xdr:rowOff>
        </xdr:to>
        <xdr:sp macro="" textlink="">
          <xdr:nvSpPr>
            <xdr:cNvPr id="4245" name="Check Box 149" hidden="1">
              <a:extLst>
                <a:ext uri="{63B3BB69-23CF-44E3-9099-C40C66FF867C}">
                  <a14:compatExt spid="_x0000_s4245"/>
                </a:ext>
                <a:ext uri="{FF2B5EF4-FFF2-40B4-BE49-F238E27FC236}">
                  <a16:creationId xmlns:a16="http://schemas.microsoft.com/office/drawing/2014/main" id="{00000000-0008-0000-0400-00009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230</xdr:row>
          <xdr:rowOff>0</xdr:rowOff>
        </xdr:from>
        <xdr:to>
          <xdr:col>22</xdr:col>
          <xdr:colOff>182880</xdr:colOff>
          <xdr:row>230</xdr:row>
          <xdr:rowOff>182880</xdr:rowOff>
        </xdr:to>
        <xdr:sp macro="" textlink="">
          <xdr:nvSpPr>
            <xdr:cNvPr id="4246" name="Check Box 150" hidden="1">
              <a:extLst>
                <a:ext uri="{63B3BB69-23CF-44E3-9099-C40C66FF867C}">
                  <a14:compatExt spid="_x0000_s4246"/>
                </a:ext>
                <a:ext uri="{FF2B5EF4-FFF2-40B4-BE49-F238E27FC236}">
                  <a16:creationId xmlns:a16="http://schemas.microsoft.com/office/drawing/2014/main" id="{00000000-0008-0000-0400-00009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233</xdr:row>
          <xdr:rowOff>0</xdr:rowOff>
        </xdr:from>
        <xdr:to>
          <xdr:col>22</xdr:col>
          <xdr:colOff>182880</xdr:colOff>
          <xdr:row>233</xdr:row>
          <xdr:rowOff>182880</xdr:rowOff>
        </xdr:to>
        <xdr:sp macro="" textlink="">
          <xdr:nvSpPr>
            <xdr:cNvPr id="4247" name="Check Box 151" hidden="1">
              <a:extLst>
                <a:ext uri="{63B3BB69-23CF-44E3-9099-C40C66FF867C}">
                  <a14:compatExt spid="_x0000_s4247"/>
                </a:ext>
                <a:ext uri="{FF2B5EF4-FFF2-40B4-BE49-F238E27FC236}">
                  <a16:creationId xmlns:a16="http://schemas.microsoft.com/office/drawing/2014/main" id="{00000000-0008-0000-0400-00009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237</xdr:row>
          <xdr:rowOff>0</xdr:rowOff>
        </xdr:from>
        <xdr:to>
          <xdr:col>22</xdr:col>
          <xdr:colOff>182880</xdr:colOff>
          <xdr:row>237</xdr:row>
          <xdr:rowOff>182880</xdr:rowOff>
        </xdr:to>
        <xdr:sp macro="" textlink="">
          <xdr:nvSpPr>
            <xdr:cNvPr id="4248" name="Check Box 152" hidden="1">
              <a:extLst>
                <a:ext uri="{63B3BB69-23CF-44E3-9099-C40C66FF867C}">
                  <a14:compatExt spid="_x0000_s4248"/>
                </a:ext>
                <a:ext uri="{FF2B5EF4-FFF2-40B4-BE49-F238E27FC236}">
                  <a16:creationId xmlns:a16="http://schemas.microsoft.com/office/drawing/2014/main" id="{00000000-0008-0000-0400-00009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242</xdr:row>
          <xdr:rowOff>0</xdr:rowOff>
        </xdr:from>
        <xdr:to>
          <xdr:col>22</xdr:col>
          <xdr:colOff>182880</xdr:colOff>
          <xdr:row>242</xdr:row>
          <xdr:rowOff>182880</xdr:rowOff>
        </xdr:to>
        <xdr:sp macro="" textlink="">
          <xdr:nvSpPr>
            <xdr:cNvPr id="4249" name="Check Box 153" hidden="1">
              <a:extLst>
                <a:ext uri="{63B3BB69-23CF-44E3-9099-C40C66FF867C}">
                  <a14:compatExt spid="_x0000_s4249"/>
                </a:ext>
                <a:ext uri="{FF2B5EF4-FFF2-40B4-BE49-F238E27FC236}">
                  <a16:creationId xmlns:a16="http://schemas.microsoft.com/office/drawing/2014/main" id="{00000000-0008-0000-0400-000099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244</xdr:row>
          <xdr:rowOff>0</xdr:rowOff>
        </xdr:from>
        <xdr:to>
          <xdr:col>22</xdr:col>
          <xdr:colOff>182880</xdr:colOff>
          <xdr:row>244</xdr:row>
          <xdr:rowOff>182880</xdr:rowOff>
        </xdr:to>
        <xdr:sp macro="" textlink="">
          <xdr:nvSpPr>
            <xdr:cNvPr id="4250" name="Check Box 154" hidden="1">
              <a:extLst>
                <a:ext uri="{63B3BB69-23CF-44E3-9099-C40C66FF867C}">
                  <a14:compatExt spid="_x0000_s4250"/>
                </a:ext>
                <a:ext uri="{FF2B5EF4-FFF2-40B4-BE49-F238E27FC236}">
                  <a16:creationId xmlns:a16="http://schemas.microsoft.com/office/drawing/2014/main" id="{00000000-0008-0000-0400-00009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261</xdr:row>
          <xdr:rowOff>0</xdr:rowOff>
        </xdr:from>
        <xdr:to>
          <xdr:col>22</xdr:col>
          <xdr:colOff>182880</xdr:colOff>
          <xdr:row>261</xdr:row>
          <xdr:rowOff>182880</xdr:rowOff>
        </xdr:to>
        <xdr:sp macro="" textlink="">
          <xdr:nvSpPr>
            <xdr:cNvPr id="4251" name="Check Box 155" hidden="1">
              <a:extLst>
                <a:ext uri="{63B3BB69-23CF-44E3-9099-C40C66FF867C}">
                  <a14:compatExt spid="_x0000_s4251"/>
                </a:ext>
                <a:ext uri="{FF2B5EF4-FFF2-40B4-BE49-F238E27FC236}">
                  <a16:creationId xmlns:a16="http://schemas.microsoft.com/office/drawing/2014/main" id="{00000000-0008-0000-0400-00009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277</xdr:row>
          <xdr:rowOff>0</xdr:rowOff>
        </xdr:from>
        <xdr:to>
          <xdr:col>22</xdr:col>
          <xdr:colOff>182880</xdr:colOff>
          <xdr:row>277</xdr:row>
          <xdr:rowOff>182880</xdr:rowOff>
        </xdr:to>
        <xdr:sp macro="" textlink="">
          <xdr:nvSpPr>
            <xdr:cNvPr id="4252" name="Check Box 156" hidden="1">
              <a:extLst>
                <a:ext uri="{63B3BB69-23CF-44E3-9099-C40C66FF867C}">
                  <a14:compatExt spid="_x0000_s4252"/>
                </a:ext>
                <a:ext uri="{FF2B5EF4-FFF2-40B4-BE49-F238E27FC236}">
                  <a16:creationId xmlns:a16="http://schemas.microsoft.com/office/drawing/2014/main" id="{00000000-0008-0000-0400-00009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290</xdr:row>
          <xdr:rowOff>0</xdr:rowOff>
        </xdr:from>
        <xdr:to>
          <xdr:col>22</xdr:col>
          <xdr:colOff>182880</xdr:colOff>
          <xdr:row>290</xdr:row>
          <xdr:rowOff>182880</xdr:rowOff>
        </xdr:to>
        <xdr:sp macro="" textlink="">
          <xdr:nvSpPr>
            <xdr:cNvPr id="4253" name="Check Box 157" hidden="1">
              <a:extLst>
                <a:ext uri="{63B3BB69-23CF-44E3-9099-C40C66FF867C}">
                  <a14:compatExt spid="_x0000_s4253"/>
                </a:ext>
                <a:ext uri="{FF2B5EF4-FFF2-40B4-BE49-F238E27FC236}">
                  <a16:creationId xmlns:a16="http://schemas.microsoft.com/office/drawing/2014/main" id="{00000000-0008-0000-0400-00009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292</xdr:row>
          <xdr:rowOff>0</xdr:rowOff>
        </xdr:from>
        <xdr:to>
          <xdr:col>22</xdr:col>
          <xdr:colOff>182880</xdr:colOff>
          <xdr:row>292</xdr:row>
          <xdr:rowOff>182880</xdr:rowOff>
        </xdr:to>
        <xdr:sp macro="" textlink="">
          <xdr:nvSpPr>
            <xdr:cNvPr id="4254" name="Check Box 158" hidden="1">
              <a:extLst>
                <a:ext uri="{63B3BB69-23CF-44E3-9099-C40C66FF867C}">
                  <a14:compatExt spid="_x0000_s4254"/>
                </a:ext>
                <a:ext uri="{FF2B5EF4-FFF2-40B4-BE49-F238E27FC236}">
                  <a16:creationId xmlns:a16="http://schemas.microsoft.com/office/drawing/2014/main" id="{00000000-0008-0000-0400-00009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305</xdr:row>
          <xdr:rowOff>0</xdr:rowOff>
        </xdr:from>
        <xdr:to>
          <xdr:col>22</xdr:col>
          <xdr:colOff>182880</xdr:colOff>
          <xdr:row>305</xdr:row>
          <xdr:rowOff>182880</xdr:rowOff>
        </xdr:to>
        <xdr:sp macro="" textlink="">
          <xdr:nvSpPr>
            <xdr:cNvPr id="4255" name="Check Box 159" hidden="1">
              <a:extLst>
                <a:ext uri="{63B3BB69-23CF-44E3-9099-C40C66FF867C}">
                  <a14:compatExt spid="_x0000_s4255"/>
                </a:ext>
                <a:ext uri="{FF2B5EF4-FFF2-40B4-BE49-F238E27FC236}">
                  <a16:creationId xmlns:a16="http://schemas.microsoft.com/office/drawing/2014/main" id="{00000000-0008-0000-0400-00009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306</xdr:row>
          <xdr:rowOff>0</xdr:rowOff>
        </xdr:from>
        <xdr:to>
          <xdr:col>22</xdr:col>
          <xdr:colOff>182880</xdr:colOff>
          <xdr:row>306</xdr:row>
          <xdr:rowOff>182880</xdr:rowOff>
        </xdr:to>
        <xdr:sp macro="" textlink="">
          <xdr:nvSpPr>
            <xdr:cNvPr id="4256" name="Check Box 160" hidden="1">
              <a:extLst>
                <a:ext uri="{63B3BB69-23CF-44E3-9099-C40C66FF867C}">
                  <a14:compatExt spid="_x0000_s4256"/>
                </a:ext>
                <a:ext uri="{FF2B5EF4-FFF2-40B4-BE49-F238E27FC236}">
                  <a16:creationId xmlns:a16="http://schemas.microsoft.com/office/drawing/2014/main" id="{00000000-0008-0000-0400-0000A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307</xdr:row>
          <xdr:rowOff>0</xdr:rowOff>
        </xdr:from>
        <xdr:to>
          <xdr:col>22</xdr:col>
          <xdr:colOff>182880</xdr:colOff>
          <xdr:row>307</xdr:row>
          <xdr:rowOff>182880</xdr:rowOff>
        </xdr:to>
        <xdr:sp macro="" textlink="">
          <xdr:nvSpPr>
            <xdr:cNvPr id="4257" name="Check Box 161" hidden="1">
              <a:extLst>
                <a:ext uri="{63B3BB69-23CF-44E3-9099-C40C66FF867C}">
                  <a14:compatExt spid="_x0000_s4257"/>
                </a:ext>
                <a:ext uri="{FF2B5EF4-FFF2-40B4-BE49-F238E27FC236}">
                  <a16:creationId xmlns:a16="http://schemas.microsoft.com/office/drawing/2014/main" id="{00000000-0008-0000-0400-0000A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308</xdr:row>
          <xdr:rowOff>0</xdr:rowOff>
        </xdr:from>
        <xdr:to>
          <xdr:col>22</xdr:col>
          <xdr:colOff>182880</xdr:colOff>
          <xdr:row>308</xdr:row>
          <xdr:rowOff>182880</xdr:rowOff>
        </xdr:to>
        <xdr:sp macro="" textlink="">
          <xdr:nvSpPr>
            <xdr:cNvPr id="4258" name="Check Box 162" hidden="1">
              <a:extLst>
                <a:ext uri="{63B3BB69-23CF-44E3-9099-C40C66FF867C}">
                  <a14:compatExt spid="_x0000_s4258"/>
                </a:ext>
                <a:ext uri="{FF2B5EF4-FFF2-40B4-BE49-F238E27FC236}">
                  <a16:creationId xmlns:a16="http://schemas.microsoft.com/office/drawing/2014/main" id="{00000000-0008-0000-0400-0000A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309</xdr:row>
          <xdr:rowOff>0</xdr:rowOff>
        </xdr:from>
        <xdr:to>
          <xdr:col>22</xdr:col>
          <xdr:colOff>182880</xdr:colOff>
          <xdr:row>309</xdr:row>
          <xdr:rowOff>182880</xdr:rowOff>
        </xdr:to>
        <xdr:sp macro="" textlink="">
          <xdr:nvSpPr>
            <xdr:cNvPr id="4259" name="Check Box 163" hidden="1">
              <a:extLst>
                <a:ext uri="{63B3BB69-23CF-44E3-9099-C40C66FF867C}">
                  <a14:compatExt spid="_x0000_s4259"/>
                </a:ext>
                <a:ext uri="{FF2B5EF4-FFF2-40B4-BE49-F238E27FC236}">
                  <a16:creationId xmlns:a16="http://schemas.microsoft.com/office/drawing/2014/main" id="{00000000-0008-0000-0400-0000A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310</xdr:row>
          <xdr:rowOff>0</xdr:rowOff>
        </xdr:from>
        <xdr:to>
          <xdr:col>22</xdr:col>
          <xdr:colOff>182880</xdr:colOff>
          <xdr:row>310</xdr:row>
          <xdr:rowOff>182880</xdr:rowOff>
        </xdr:to>
        <xdr:sp macro="" textlink="">
          <xdr:nvSpPr>
            <xdr:cNvPr id="4260" name="Check Box 164" hidden="1">
              <a:extLst>
                <a:ext uri="{63B3BB69-23CF-44E3-9099-C40C66FF867C}">
                  <a14:compatExt spid="_x0000_s4260"/>
                </a:ext>
                <a:ext uri="{FF2B5EF4-FFF2-40B4-BE49-F238E27FC236}">
                  <a16:creationId xmlns:a16="http://schemas.microsoft.com/office/drawing/2014/main" id="{00000000-0008-0000-0400-0000A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311</xdr:row>
          <xdr:rowOff>0</xdr:rowOff>
        </xdr:from>
        <xdr:to>
          <xdr:col>22</xdr:col>
          <xdr:colOff>182880</xdr:colOff>
          <xdr:row>311</xdr:row>
          <xdr:rowOff>182880</xdr:rowOff>
        </xdr:to>
        <xdr:sp macro="" textlink="">
          <xdr:nvSpPr>
            <xdr:cNvPr id="4261" name="Check Box 165" hidden="1">
              <a:extLst>
                <a:ext uri="{63B3BB69-23CF-44E3-9099-C40C66FF867C}">
                  <a14:compatExt spid="_x0000_s4261"/>
                </a:ext>
                <a:ext uri="{FF2B5EF4-FFF2-40B4-BE49-F238E27FC236}">
                  <a16:creationId xmlns:a16="http://schemas.microsoft.com/office/drawing/2014/main" id="{00000000-0008-0000-0400-0000A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312</xdr:row>
          <xdr:rowOff>0</xdr:rowOff>
        </xdr:from>
        <xdr:to>
          <xdr:col>22</xdr:col>
          <xdr:colOff>182880</xdr:colOff>
          <xdr:row>312</xdr:row>
          <xdr:rowOff>182880</xdr:rowOff>
        </xdr:to>
        <xdr:sp macro="" textlink="">
          <xdr:nvSpPr>
            <xdr:cNvPr id="4262" name="Check Box 166" hidden="1">
              <a:extLst>
                <a:ext uri="{63B3BB69-23CF-44E3-9099-C40C66FF867C}">
                  <a14:compatExt spid="_x0000_s4262"/>
                </a:ext>
                <a:ext uri="{FF2B5EF4-FFF2-40B4-BE49-F238E27FC236}">
                  <a16:creationId xmlns:a16="http://schemas.microsoft.com/office/drawing/2014/main" id="{00000000-0008-0000-0400-0000A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313</xdr:row>
          <xdr:rowOff>0</xdr:rowOff>
        </xdr:from>
        <xdr:to>
          <xdr:col>22</xdr:col>
          <xdr:colOff>182880</xdr:colOff>
          <xdr:row>313</xdr:row>
          <xdr:rowOff>182880</xdr:rowOff>
        </xdr:to>
        <xdr:sp macro="" textlink="">
          <xdr:nvSpPr>
            <xdr:cNvPr id="4263" name="Check Box 167" hidden="1">
              <a:extLst>
                <a:ext uri="{63B3BB69-23CF-44E3-9099-C40C66FF867C}">
                  <a14:compatExt spid="_x0000_s4263"/>
                </a:ext>
                <a:ext uri="{FF2B5EF4-FFF2-40B4-BE49-F238E27FC236}">
                  <a16:creationId xmlns:a16="http://schemas.microsoft.com/office/drawing/2014/main" id="{00000000-0008-0000-0400-0000A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360</xdr:row>
          <xdr:rowOff>0</xdr:rowOff>
        </xdr:from>
        <xdr:to>
          <xdr:col>22</xdr:col>
          <xdr:colOff>182880</xdr:colOff>
          <xdr:row>360</xdr:row>
          <xdr:rowOff>182880</xdr:rowOff>
        </xdr:to>
        <xdr:sp macro="" textlink="">
          <xdr:nvSpPr>
            <xdr:cNvPr id="4264" name="Check Box 168" hidden="1">
              <a:extLst>
                <a:ext uri="{63B3BB69-23CF-44E3-9099-C40C66FF867C}">
                  <a14:compatExt spid="_x0000_s4264"/>
                </a:ext>
                <a:ext uri="{FF2B5EF4-FFF2-40B4-BE49-F238E27FC236}">
                  <a16:creationId xmlns:a16="http://schemas.microsoft.com/office/drawing/2014/main" id="{00000000-0008-0000-0400-0000A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362</xdr:row>
          <xdr:rowOff>0</xdr:rowOff>
        </xdr:from>
        <xdr:to>
          <xdr:col>22</xdr:col>
          <xdr:colOff>182880</xdr:colOff>
          <xdr:row>362</xdr:row>
          <xdr:rowOff>182880</xdr:rowOff>
        </xdr:to>
        <xdr:sp macro="" textlink="">
          <xdr:nvSpPr>
            <xdr:cNvPr id="4265" name="Check Box 169" hidden="1">
              <a:extLst>
                <a:ext uri="{63B3BB69-23CF-44E3-9099-C40C66FF867C}">
                  <a14:compatExt spid="_x0000_s4265"/>
                </a:ext>
                <a:ext uri="{FF2B5EF4-FFF2-40B4-BE49-F238E27FC236}">
                  <a16:creationId xmlns:a16="http://schemas.microsoft.com/office/drawing/2014/main" id="{00000000-0008-0000-0400-0000A9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363</xdr:row>
          <xdr:rowOff>0</xdr:rowOff>
        </xdr:from>
        <xdr:to>
          <xdr:col>22</xdr:col>
          <xdr:colOff>182880</xdr:colOff>
          <xdr:row>363</xdr:row>
          <xdr:rowOff>182880</xdr:rowOff>
        </xdr:to>
        <xdr:sp macro="" textlink="">
          <xdr:nvSpPr>
            <xdr:cNvPr id="4266" name="Check Box 170" hidden="1">
              <a:extLst>
                <a:ext uri="{63B3BB69-23CF-44E3-9099-C40C66FF867C}">
                  <a14:compatExt spid="_x0000_s4266"/>
                </a:ext>
                <a:ext uri="{FF2B5EF4-FFF2-40B4-BE49-F238E27FC236}">
                  <a16:creationId xmlns:a16="http://schemas.microsoft.com/office/drawing/2014/main" id="{00000000-0008-0000-0400-0000A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391</xdr:row>
          <xdr:rowOff>0</xdr:rowOff>
        </xdr:from>
        <xdr:to>
          <xdr:col>22</xdr:col>
          <xdr:colOff>182880</xdr:colOff>
          <xdr:row>391</xdr:row>
          <xdr:rowOff>182880</xdr:rowOff>
        </xdr:to>
        <xdr:sp macro="" textlink="">
          <xdr:nvSpPr>
            <xdr:cNvPr id="4267" name="Check Box 171" hidden="1">
              <a:extLst>
                <a:ext uri="{63B3BB69-23CF-44E3-9099-C40C66FF867C}">
                  <a14:compatExt spid="_x0000_s4267"/>
                </a:ext>
                <a:ext uri="{FF2B5EF4-FFF2-40B4-BE49-F238E27FC236}">
                  <a16:creationId xmlns:a16="http://schemas.microsoft.com/office/drawing/2014/main" id="{00000000-0008-0000-0400-0000A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400</xdr:row>
          <xdr:rowOff>0</xdr:rowOff>
        </xdr:from>
        <xdr:to>
          <xdr:col>22</xdr:col>
          <xdr:colOff>182880</xdr:colOff>
          <xdr:row>400</xdr:row>
          <xdr:rowOff>182880</xdr:rowOff>
        </xdr:to>
        <xdr:sp macro="" textlink="">
          <xdr:nvSpPr>
            <xdr:cNvPr id="4268" name="Check Box 172" hidden="1">
              <a:extLst>
                <a:ext uri="{63B3BB69-23CF-44E3-9099-C40C66FF867C}">
                  <a14:compatExt spid="_x0000_s4268"/>
                </a:ext>
                <a:ext uri="{FF2B5EF4-FFF2-40B4-BE49-F238E27FC236}">
                  <a16:creationId xmlns:a16="http://schemas.microsoft.com/office/drawing/2014/main" id="{00000000-0008-0000-0400-0000A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407</xdr:row>
          <xdr:rowOff>0</xdr:rowOff>
        </xdr:from>
        <xdr:to>
          <xdr:col>22</xdr:col>
          <xdr:colOff>182880</xdr:colOff>
          <xdr:row>407</xdr:row>
          <xdr:rowOff>182880</xdr:rowOff>
        </xdr:to>
        <xdr:sp macro="" textlink="">
          <xdr:nvSpPr>
            <xdr:cNvPr id="4269" name="Check Box 173" hidden="1">
              <a:extLst>
                <a:ext uri="{63B3BB69-23CF-44E3-9099-C40C66FF867C}">
                  <a14:compatExt spid="_x0000_s4269"/>
                </a:ext>
                <a:ext uri="{FF2B5EF4-FFF2-40B4-BE49-F238E27FC236}">
                  <a16:creationId xmlns:a16="http://schemas.microsoft.com/office/drawing/2014/main" id="{00000000-0008-0000-0400-0000A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463</xdr:row>
          <xdr:rowOff>0</xdr:rowOff>
        </xdr:from>
        <xdr:to>
          <xdr:col>22</xdr:col>
          <xdr:colOff>182880</xdr:colOff>
          <xdr:row>463</xdr:row>
          <xdr:rowOff>182880</xdr:rowOff>
        </xdr:to>
        <xdr:sp macro="" textlink="">
          <xdr:nvSpPr>
            <xdr:cNvPr id="4270" name="Check Box 174" hidden="1">
              <a:extLst>
                <a:ext uri="{63B3BB69-23CF-44E3-9099-C40C66FF867C}">
                  <a14:compatExt spid="_x0000_s4270"/>
                </a:ext>
                <a:ext uri="{FF2B5EF4-FFF2-40B4-BE49-F238E27FC236}">
                  <a16:creationId xmlns:a16="http://schemas.microsoft.com/office/drawing/2014/main" id="{00000000-0008-0000-0400-0000AE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464</xdr:row>
          <xdr:rowOff>0</xdr:rowOff>
        </xdr:from>
        <xdr:to>
          <xdr:col>22</xdr:col>
          <xdr:colOff>182880</xdr:colOff>
          <xdr:row>464</xdr:row>
          <xdr:rowOff>182880</xdr:rowOff>
        </xdr:to>
        <xdr:sp macro="" textlink="">
          <xdr:nvSpPr>
            <xdr:cNvPr id="4271" name="Check Box 175" hidden="1">
              <a:extLst>
                <a:ext uri="{63B3BB69-23CF-44E3-9099-C40C66FF867C}">
                  <a14:compatExt spid="_x0000_s4271"/>
                </a:ext>
                <a:ext uri="{FF2B5EF4-FFF2-40B4-BE49-F238E27FC236}">
                  <a16:creationId xmlns:a16="http://schemas.microsoft.com/office/drawing/2014/main" id="{00000000-0008-0000-0400-0000AF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465</xdr:row>
          <xdr:rowOff>0</xdr:rowOff>
        </xdr:from>
        <xdr:to>
          <xdr:col>22</xdr:col>
          <xdr:colOff>182880</xdr:colOff>
          <xdr:row>465</xdr:row>
          <xdr:rowOff>182880</xdr:rowOff>
        </xdr:to>
        <xdr:sp macro="" textlink="">
          <xdr:nvSpPr>
            <xdr:cNvPr id="4272" name="Check Box 176" hidden="1">
              <a:extLst>
                <a:ext uri="{63B3BB69-23CF-44E3-9099-C40C66FF867C}">
                  <a14:compatExt spid="_x0000_s4272"/>
                </a:ext>
                <a:ext uri="{FF2B5EF4-FFF2-40B4-BE49-F238E27FC236}">
                  <a16:creationId xmlns:a16="http://schemas.microsoft.com/office/drawing/2014/main" id="{00000000-0008-0000-0400-0000B0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466</xdr:row>
          <xdr:rowOff>0</xdr:rowOff>
        </xdr:from>
        <xdr:to>
          <xdr:col>22</xdr:col>
          <xdr:colOff>182880</xdr:colOff>
          <xdr:row>466</xdr:row>
          <xdr:rowOff>182880</xdr:rowOff>
        </xdr:to>
        <xdr:sp macro="" textlink="">
          <xdr:nvSpPr>
            <xdr:cNvPr id="4273" name="Check Box 177" hidden="1">
              <a:extLst>
                <a:ext uri="{63B3BB69-23CF-44E3-9099-C40C66FF867C}">
                  <a14:compatExt spid="_x0000_s4273"/>
                </a:ext>
                <a:ext uri="{FF2B5EF4-FFF2-40B4-BE49-F238E27FC236}">
                  <a16:creationId xmlns:a16="http://schemas.microsoft.com/office/drawing/2014/main" id="{00000000-0008-0000-0400-0000B1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467</xdr:row>
          <xdr:rowOff>0</xdr:rowOff>
        </xdr:from>
        <xdr:to>
          <xdr:col>22</xdr:col>
          <xdr:colOff>182880</xdr:colOff>
          <xdr:row>467</xdr:row>
          <xdr:rowOff>182880</xdr:rowOff>
        </xdr:to>
        <xdr:sp macro="" textlink="">
          <xdr:nvSpPr>
            <xdr:cNvPr id="4274" name="Check Box 178" hidden="1">
              <a:extLst>
                <a:ext uri="{63B3BB69-23CF-44E3-9099-C40C66FF867C}">
                  <a14:compatExt spid="_x0000_s4274"/>
                </a:ext>
                <a:ext uri="{FF2B5EF4-FFF2-40B4-BE49-F238E27FC236}">
                  <a16:creationId xmlns:a16="http://schemas.microsoft.com/office/drawing/2014/main" id="{00000000-0008-0000-0400-0000B2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468</xdr:row>
          <xdr:rowOff>0</xdr:rowOff>
        </xdr:from>
        <xdr:to>
          <xdr:col>22</xdr:col>
          <xdr:colOff>182880</xdr:colOff>
          <xdr:row>468</xdr:row>
          <xdr:rowOff>182880</xdr:rowOff>
        </xdr:to>
        <xdr:sp macro="" textlink="">
          <xdr:nvSpPr>
            <xdr:cNvPr id="4275" name="Check Box 179" hidden="1">
              <a:extLst>
                <a:ext uri="{63B3BB69-23CF-44E3-9099-C40C66FF867C}">
                  <a14:compatExt spid="_x0000_s4275"/>
                </a:ext>
                <a:ext uri="{FF2B5EF4-FFF2-40B4-BE49-F238E27FC236}">
                  <a16:creationId xmlns:a16="http://schemas.microsoft.com/office/drawing/2014/main" id="{00000000-0008-0000-0400-0000B3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469</xdr:row>
          <xdr:rowOff>0</xdr:rowOff>
        </xdr:from>
        <xdr:to>
          <xdr:col>22</xdr:col>
          <xdr:colOff>182880</xdr:colOff>
          <xdr:row>469</xdr:row>
          <xdr:rowOff>182880</xdr:rowOff>
        </xdr:to>
        <xdr:sp macro="" textlink="">
          <xdr:nvSpPr>
            <xdr:cNvPr id="4276" name="Check Box 180" hidden="1">
              <a:extLst>
                <a:ext uri="{63B3BB69-23CF-44E3-9099-C40C66FF867C}">
                  <a14:compatExt spid="_x0000_s4276"/>
                </a:ext>
                <a:ext uri="{FF2B5EF4-FFF2-40B4-BE49-F238E27FC236}">
                  <a16:creationId xmlns:a16="http://schemas.microsoft.com/office/drawing/2014/main" id="{00000000-0008-0000-0400-0000B4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473</xdr:row>
          <xdr:rowOff>0</xdr:rowOff>
        </xdr:from>
        <xdr:to>
          <xdr:col>22</xdr:col>
          <xdr:colOff>182880</xdr:colOff>
          <xdr:row>473</xdr:row>
          <xdr:rowOff>182880</xdr:rowOff>
        </xdr:to>
        <xdr:sp macro="" textlink="">
          <xdr:nvSpPr>
            <xdr:cNvPr id="4277" name="Check Box 181" hidden="1">
              <a:extLst>
                <a:ext uri="{63B3BB69-23CF-44E3-9099-C40C66FF867C}">
                  <a14:compatExt spid="_x0000_s4277"/>
                </a:ext>
                <a:ext uri="{FF2B5EF4-FFF2-40B4-BE49-F238E27FC236}">
                  <a16:creationId xmlns:a16="http://schemas.microsoft.com/office/drawing/2014/main" id="{00000000-0008-0000-0400-0000B5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478</xdr:row>
          <xdr:rowOff>0</xdr:rowOff>
        </xdr:from>
        <xdr:to>
          <xdr:col>22</xdr:col>
          <xdr:colOff>182880</xdr:colOff>
          <xdr:row>478</xdr:row>
          <xdr:rowOff>182880</xdr:rowOff>
        </xdr:to>
        <xdr:sp macro="" textlink="">
          <xdr:nvSpPr>
            <xdr:cNvPr id="4278" name="Check Box 182" hidden="1">
              <a:extLst>
                <a:ext uri="{63B3BB69-23CF-44E3-9099-C40C66FF867C}">
                  <a14:compatExt spid="_x0000_s4278"/>
                </a:ext>
                <a:ext uri="{FF2B5EF4-FFF2-40B4-BE49-F238E27FC236}">
                  <a16:creationId xmlns:a16="http://schemas.microsoft.com/office/drawing/2014/main" id="{00000000-0008-0000-0400-0000B6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482</xdr:row>
          <xdr:rowOff>0</xdr:rowOff>
        </xdr:from>
        <xdr:to>
          <xdr:col>22</xdr:col>
          <xdr:colOff>182880</xdr:colOff>
          <xdr:row>482</xdr:row>
          <xdr:rowOff>182880</xdr:rowOff>
        </xdr:to>
        <xdr:sp macro="" textlink="">
          <xdr:nvSpPr>
            <xdr:cNvPr id="4279" name="Check Box 183" hidden="1">
              <a:extLst>
                <a:ext uri="{63B3BB69-23CF-44E3-9099-C40C66FF867C}">
                  <a14:compatExt spid="_x0000_s4279"/>
                </a:ext>
                <a:ext uri="{FF2B5EF4-FFF2-40B4-BE49-F238E27FC236}">
                  <a16:creationId xmlns:a16="http://schemas.microsoft.com/office/drawing/2014/main" id="{00000000-0008-0000-0400-0000B7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484</xdr:row>
          <xdr:rowOff>0</xdr:rowOff>
        </xdr:from>
        <xdr:to>
          <xdr:col>22</xdr:col>
          <xdr:colOff>182880</xdr:colOff>
          <xdr:row>484</xdr:row>
          <xdr:rowOff>182880</xdr:rowOff>
        </xdr:to>
        <xdr:sp macro="" textlink="">
          <xdr:nvSpPr>
            <xdr:cNvPr id="4280" name="Check Box 184" hidden="1">
              <a:extLst>
                <a:ext uri="{63B3BB69-23CF-44E3-9099-C40C66FF867C}">
                  <a14:compatExt spid="_x0000_s4280"/>
                </a:ext>
                <a:ext uri="{FF2B5EF4-FFF2-40B4-BE49-F238E27FC236}">
                  <a16:creationId xmlns:a16="http://schemas.microsoft.com/office/drawing/2014/main" id="{00000000-0008-0000-0400-0000B8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486</xdr:row>
          <xdr:rowOff>0</xdr:rowOff>
        </xdr:from>
        <xdr:to>
          <xdr:col>22</xdr:col>
          <xdr:colOff>182880</xdr:colOff>
          <xdr:row>486</xdr:row>
          <xdr:rowOff>182880</xdr:rowOff>
        </xdr:to>
        <xdr:sp macro="" textlink="">
          <xdr:nvSpPr>
            <xdr:cNvPr id="4281" name="Check Box 185" hidden="1">
              <a:extLst>
                <a:ext uri="{63B3BB69-23CF-44E3-9099-C40C66FF867C}">
                  <a14:compatExt spid="_x0000_s4281"/>
                </a:ext>
                <a:ext uri="{FF2B5EF4-FFF2-40B4-BE49-F238E27FC236}">
                  <a16:creationId xmlns:a16="http://schemas.microsoft.com/office/drawing/2014/main" id="{00000000-0008-0000-0400-0000B9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487</xdr:row>
          <xdr:rowOff>0</xdr:rowOff>
        </xdr:from>
        <xdr:to>
          <xdr:col>22</xdr:col>
          <xdr:colOff>182880</xdr:colOff>
          <xdr:row>487</xdr:row>
          <xdr:rowOff>182880</xdr:rowOff>
        </xdr:to>
        <xdr:sp macro="" textlink="">
          <xdr:nvSpPr>
            <xdr:cNvPr id="4282" name="Check Box 186" hidden="1">
              <a:extLst>
                <a:ext uri="{63B3BB69-23CF-44E3-9099-C40C66FF867C}">
                  <a14:compatExt spid="_x0000_s4282"/>
                </a:ext>
                <a:ext uri="{FF2B5EF4-FFF2-40B4-BE49-F238E27FC236}">
                  <a16:creationId xmlns:a16="http://schemas.microsoft.com/office/drawing/2014/main" id="{00000000-0008-0000-0400-0000BA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488</xdr:row>
          <xdr:rowOff>0</xdr:rowOff>
        </xdr:from>
        <xdr:to>
          <xdr:col>22</xdr:col>
          <xdr:colOff>182880</xdr:colOff>
          <xdr:row>488</xdr:row>
          <xdr:rowOff>182880</xdr:rowOff>
        </xdr:to>
        <xdr:sp macro="" textlink="">
          <xdr:nvSpPr>
            <xdr:cNvPr id="4283" name="Check Box 187" hidden="1">
              <a:extLst>
                <a:ext uri="{63B3BB69-23CF-44E3-9099-C40C66FF867C}">
                  <a14:compatExt spid="_x0000_s4283"/>
                </a:ext>
                <a:ext uri="{FF2B5EF4-FFF2-40B4-BE49-F238E27FC236}">
                  <a16:creationId xmlns:a16="http://schemas.microsoft.com/office/drawing/2014/main" id="{00000000-0008-0000-0400-0000BB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492</xdr:row>
          <xdr:rowOff>0</xdr:rowOff>
        </xdr:from>
        <xdr:to>
          <xdr:col>22</xdr:col>
          <xdr:colOff>182880</xdr:colOff>
          <xdr:row>492</xdr:row>
          <xdr:rowOff>182880</xdr:rowOff>
        </xdr:to>
        <xdr:sp macro="" textlink="">
          <xdr:nvSpPr>
            <xdr:cNvPr id="4284" name="Check Box 188" hidden="1">
              <a:extLst>
                <a:ext uri="{63B3BB69-23CF-44E3-9099-C40C66FF867C}">
                  <a14:compatExt spid="_x0000_s4284"/>
                </a:ext>
                <a:ext uri="{FF2B5EF4-FFF2-40B4-BE49-F238E27FC236}">
                  <a16:creationId xmlns:a16="http://schemas.microsoft.com/office/drawing/2014/main" id="{00000000-0008-0000-0400-0000BC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494</xdr:row>
          <xdr:rowOff>0</xdr:rowOff>
        </xdr:from>
        <xdr:to>
          <xdr:col>22</xdr:col>
          <xdr:colOff>182880</xdr:colOff>
          <xdr:row>494</xdr:row>
          <xdr:rowOff>182880</xdr:rowOff>
        </xdr:to>
        <xdr:sp macro="" textlink="">
          <xdr:nvSpPr>
            <xdr:cNvPr id="4285" name="Check Box 189" hidden="1">
              <a:extLst>
                <a:ext uri="{63B3BB69-23CF-44E3-9099-C40C66FF867C}">
                  <a14:compatExt spid="_x0000_s4285"/>
                </a:ext>
                <a:ext uri="{FF2B5EF4-FFF2-40B4-BE49-F238E27FC236}">
                  <a16:creationId xmlns:a16="http://schemas.microsoft.com/office/drawing/2014/main" id="{00000000-0008-0000-0400-0000BD1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twoCellAnchor editAs="oneCell">
    <xdr:from>
      <xdr:col>12</xdr:col>
      <xdr:colOff>38100</xdr:colOff>
      <xdr:row>0</xdr:row>
      <xdr:rowOff>0</xdr:rowOff>
    </xdr:from>
    <xdr:to>
      <xdr:col>22</xdr:col>
      <xdr:colOff>459105</xdr:colOff>
      <xdr:row>4</xdr:row>
      <xdr:rowOff>132242</xdr:rowOff>
    </xdr:to>
    <xdr:pic>
      <xdr:nvPicPr>
        <xdr:cNvPr id="87" name="Picture 86">
          <a:extLst>
            <a:ext uri="{FF2B5EF4-FFF2-40B4-BE49-F238E27FC236}">
              <a16:creationId xmlns:a16="http://schemas.microsoft.com/office/drawing/2014/main" id="{981236D8-CFA1-4B43-A9DB-61709429C4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67475" y="0"/>
          <a:ext cx="1878330" cy="856142"/>
        </a:xfrm>
        <a:prstGeom prst="rect">
          <a:avLst/>
        </a:prstGeom>
      </xdr:spPr>
    </xdr:pic>
    <xdr:clientData/>
  </xdr:twoCellAnchor>
  <xdr:twoCellAnchor editAs="oneCell">
    <xdr:from>
      <xdr:col>22</xdr:col>
      <xdr:colOff>567691</xdr:colOff>
      <xdr:row>0</xdr:row>
      <xdr:rowOff>0</xdr:rowOff>
    </xdr:from>
    <xdr:to>
      <xdr:col>22</xdr:col>
      <xdr:colOff>1384583</xdr:colOff>
      <xdr:row>4</xdr:row>
      <xdr:rowOff>169545</xdr:rowOff>
    </xdr:to>
    <xdr:pic>
      <xdr:nvPicPr>
        <xdr:cNvPr id="88" name="Picture 87">
          <a:extLst>
            <a:ext uri="{FF2B5EF4-FFF2-40B4-BE49-F238E27FC236}">
              <a16:creationId xmlns:a16="http://schemas.microsoft.com/office/drawing/2014/main" id="{933DC925-1D6F-4327-A8F8-027912B8BC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54391" y="0"/>
          <a:ext cx="816892" cy="8934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0</xdr:colOff>
          <xdr:row>31</xdr:row>
          <xdr:rowOff>0</xdr:rowOff>
        </xdr:from>
        <xdr:to>
          <xdr:col>22</xdr:col>
          <xdr:colOff>182880</xdr:colOff>
          <xdr:row>31</xdr:row>
          <xdr:rowOff>182880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xdr:row>
          <xdr:rowOff>0</xdr:rowOff>
        </xdr:from>
        <xdr:to>
          <xdr:col>22</xdr:col>
          <xdr:colOff>182880</xdr:colOff>
          <xdr:row>36</xdr:row>
          <xdr:rowOff>182880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500-00000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xdr:row>
          <xdr:rowOff>0</xdr:rowOff>
        </xdr:from>
        <xdr:to>
          <xdr:col>22</xdr:col>
          <xdr:colOff>182880</xdr:colOff>
          <xdr:row>53</xdr:row>
          <xdr:rowOff>182880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500-00000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xdr:row>
          <xdr:rowOff>0</xdr:rowOff>
        </xdr:from>
        <xdr:to>
          <xdr:col>22</xdr:col>
          <xdr:colOff>182880</xdr:colOff>
          <xdr:row>55</xdr:row>
          <xdr:rowOff>182880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500-00000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117</xdr:row>
          <xdr:rowOff>0</xdr:rowOff>
        </xdr:from>
        <xdr:to>
          <xdr:col>22</xdr:col>
          <xdr:colOff>182880</xdr:colOff>
          <xdr:row>117</xdr:row>
          <xdr:rowOff>182880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500-00000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131</xdr:row>
          <xdr:rowOff>0</xdr:rowOff>
        </xdr:from>
        <xdr:to>
          <xdr:col>22</xdr:col>
          <xdr:colOff>182880</xdr:colOff>
          <xdr:row>131</xdr:row>
          <xdr:rowOff>182880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500-00000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133</xdr:row>
          <xdr:rowOff>0</xdr:rowOff>
        </xdr:from>
        <xdr:to>
          <xdr:col>22</xdr:col>
          <xdr:colOff>182880</xdr:colOff>
          <xdr:row>133</xdr:row>
          <xdr:rowOff>182880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500-00000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139</xdr:row>
          <xdr:rowOff>0</xdr:rowOff>
        </xdr:from>
        <xdr:to>
          <xdr:col>22</xdr:col>
          <xdr:colOff>182880</xdr:colOff>
          <xdr:row>139</xdr:row>
          <xdr:rowOff>182880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500-00000F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xdr:row>
          <xdr:rowOff>0</xdr:rowOff>
        </xdr:from>
        <xdr:to>
          <xdr:col>22</xdr:col>
          <xdr:colOff>182880</xdr:colOff>
          <xdr:row>45</xdr:row>
          <xdr:rowOff>182880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500-00001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xdr:row>
          <xdr:rowOff>0</xdr:rowOff>
        </xdr:from>
        <xdr:to>
          <xdr:col>22</xdr:col>
          <xdr:colOff>182880</xdr:colOff>
          <xdr:row>48</xdr:row>
          <xdr:rowOff>182880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500-00001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xdr:row>
          <xdr:rowOff>0</xdr:rowOff>
        </xdr:from>
        <xdr:to>
          <xdr:col>22</xdr:col>
          <xdr:colOff>182880</xdr:colOff>
          <xdr:row>49</xdr:row>
          <xdr:rowOff>182880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500-00001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87</xdr:row>
          <xdr:rowOff>0</xdr:rowOff>
        </xdr:from>
        <xdr:to>
          <xdr:col>22</xdr:col>
          <xdr:colOff>182880</xdr:colOff>
          <xdr:row>87</xdr:row>
          <xdr:rowOff>182880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500-00001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90</xdr:row>
          <xdr:rowOff>0</xdr:rowOff>
        </xdr:from>
        <xdr:to>
          <xdr:col>22</xdr:col>
          <xdr:colOff>182880</xdr:colOff>
          <xdr:row>90</xdr:row>
          <xdr:rowOff>182880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500-00001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134</xdr:row>
          <xdr:rowOff>0</xdr:rowOff>
        </xdr:from>
        <xdr:to>
          <xdr:col>22</xdr:col>
          <xdr:colOff>182880</xdr:colOff>
          <xdr:row>134</xdr:row>
          <xdr:rowOff>182880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500-00001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156</xdr:row>
          <xdr:rowOff>0</xdr:rowOff>
        </xdr:from>
        <xdr:to>
          <xdr:col>22</xdr:col>
          <xdr:colOff>182880</xdr:colOff>
          <xdr:row>156</xdr:row>
          <xdr:rowOff>182880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500-000020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169</xdr:row>
          <xdr:rowOff>0</xdr:rowOff>
        </xdr:from>
        <xdr:to>
          <xdr:col>22</xdr:col>
          <xdr:colOff>182880</xdr:colOff>
          <xdr:row>169</xdr:row>
          <xdr:rowOff>182880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500-00002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172</xdr:row>
          <xdr:rowOff>0</xdr:rowOff>
        </xdr:from>
        <xdr:to>
          <xdr:col>22</xdr:col>
          <xdr:colOff>182880</xdr:colOff>
          <xdr:row>172</xdr:row>
          <xdr:rowOff>182880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500-00002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175</xdr:row>
          <xdr:rowOff>0</xdr:rowOff>
        </xdr:from>
        <xdr:to>
          <xdr:col>22</xdr:col>
          <xdr:colOff>182880</xdr:colOff>
          <xdr:row>175</xdr:row>
          <xdr:rowOff>182880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500-000024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xdr:row>
          <xdr:rowOff>0</xdr:rowOff>
        </xdr:from>
        <xdr:to>
          <xdr:col>22</xdr:col>
          <xdr:colOff>182880</xdr:colOff>
          <xdr:row>184</xdr:row>
          <xdr:rowOff>182880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500-00002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564</xdr:row>
          <xdr:rowOff>0</xdr:rowOff>
        </xdr:from>
        <xdr:to>
          <xdr:col>22</xdr:col>
          <xdr:colOff>182880</xdr:colOff>
          <xdr:row>564</xdr:row>
          <xdr:rowOff>182880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500-00002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565</xdr:row>
          <xdr:rowOff>0</xdr:rowOff>
        </xdr:from>
        <xdr:to>
          <xdr:col>22</xdr:col>
          <xdr:colOff>182880</xdr:colOff>
          <xdr:row>565</xdr:row>
          <xdr:rowOff>182880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500-00002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566</xdr:row>
          <xdr:rowOff>0</xdr:rowOff>
        </xdr:from>
        <xdr:to>
          <xdr:col>22</xdr:col>
          <xdr:colOff>182880</xdr:colOff>
          <xdr:row>566</xdr:row>
          <xdr:rowOff>182880</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500-00002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567</xdr:row>
          <xdr:rowOff>0</xdr:rowOff>
        </xdr:from>
        <xdr:to>
          <xdr:col>22</xdr:col>
          <xdr:colOff>182880</xdr:colOff>
          <xdr:row>567</xdr:row>
          <xdr:rowOff>182880</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500-00002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569</xdr:row>
          <xdr:rowOff>0</xdr:rowOff>
        </xdr:from>
        <xdr:to>
          <xdr:col>22</xdr:col>
          <xdr:colOff>182880</xdr:colOff>
          <xdr:row>569</xdr:row>
          <xdr:rowOff>182880</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500-00002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572</xdr:row>
          <xdr:rowOff>0</xdr:rowOff>
        </xdr:from>
        <xdr:to>
          <xdr:col>22</xdr:col>
          <xdr:colOff>182880</xdr:colOff>
          <xdr:row>572</xdr:row>
          <xdr:rowOff>182880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500-00002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590</xdr:row>
          <xdr:rowOff>0</xdr:rowOff>
        </xdr:from>
        <xdr:to>
          <xdr:col>22</xdr:col>
          <xdr:colOff>182880</xdr:colOff>
          <xdr:row>590</xdr:row>
          <xdr:rowOff>182880</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500-000030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591</xdr:row>
          <xdr:rowOff>0</xdr:rowOff>
        </xdr:from>
        <xdr:to>
          <xdr:col>22</xdr:col>
          <xdr:colOff>182880</xdr:colOff>
          <xdr:row>591</xdr:row>
          <xdr:rowOff>182880</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500-00003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592</xdr:row>
          <xdr:rowOff>0</xdr:rowOff>
        </xdr:from>
        <xdr:to>
          <xdr:col>22</xdr:col>
          <xdr:colOff>182880</xdr:colOff>
          <xdr:row>592</xdr:row>
          <xdr:rowOff>182880</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500-00003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593</xdr:row>
          <xdr:rowOff>0</xdr:rowOff>
        </xdr:from>
        <xdr:to>
          <xdr:col>22</xdr:col>
          <xdr:colOff>182880</xdr:colOff>
          <xdr:row>593</xdr:row>
          <xdr:rowOff>182880</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500-00003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594</xdr:row>
          <xdr:rowOff>0</xdr:rowOff>
        </xdr:from>
        <xdr:to>
          <xdr:col>22</xdr:col>
          <xdr:colOff>182880</xdr:colOff>
          <xdr:row>594</xdr:row>
          <xdr:rowOff>182880</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500-000034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595</xdr:row>
          <xdr:rowOff>0</xdr:rowOff>
        </xdr:from>
        <xdr:to>
          <xdr:col>22</xdr:col>
          <xdr:colOff>182880</xdr:colOff>
          <xdr:row>595</xdr:row>
          <xdr:rowOff>182880</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500-00003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596</xdr:row>
          <xdr:rowOff>0</xdr:rowOff>
        </xdr:from>
        <xdr:to>
          <xdr:col>22</xdr:col>
          <xdr:colOff>182880</xdr:colOff>
          <xdr:row>596</xdr:row>
          <xdr:rowOff>182880</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500-00003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597</xdr:row>
          <xdr:rowOff>0</xdr:rowOff>
        </xdr:from>
        <xdr:to>
          <xdr:col>22</xdr:col>
          <xdr:colOff>182880</xdr:colOff>
          <xdr:row>597</xdr:row>
          <xdr:rowOff>182880</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500-000037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600</xdr:row>
          <xdr:rowOff>0</xdr:rowOff>
        </xdr:from>
        <xdr:to>
          <xdr:col>22</xdr:col>
          <xdr:colOff>182880</xdr:colOff>
          <xdr:row>600</xdr:row>
          <xdr:rowOff>182880</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500-00003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602</xdr:row>
          <xdr:rowOff>0</xdr:rowOff>
        </xdr:from>
        <xdr:to>
          <xdr:col>22</xdr:col>
          <xdr:colOff>182880</xdr:colOff>
          <xdr:row>602</xdr:row>
          <xdr:rowOff>182880</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500-00003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604</xdr:row>
          <xdr:rowOff>0</xdr:rowOff>
        </xdr:from>
        <xdr:to>
          <xdr:col>22</xdr:col>
          <xdr:colOff>182880</xdr:colOff>
          <xdr:row>604</xdr:row>
          <xdr:rowOff>182880</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500-00003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615</xdr:row>
          <xdr:rowOff>0</xdr:rowOff>
        </xdr:from>
        <xdr:to>
          <xdr:col>22</xdr:col>
          <xdr:colOff>182880</xdr:colOff>
          <xdr:row>615</xdr:row>
          <xdr:rowOff>182880</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500-00003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623</xdr:row>
          <xdr:rowOff>0</xdr:rowOff>
        </xdr:from>
        <xdr:to>
          <xdr:col>22</xdr:col>
          <xdr:colOff>182880</xdr:colOff>
          <xdr:row>623</xdr:row>
          <xdr:rowOff>182880</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500-00003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619</xdr:row>
          <xdr:rowOff>0</xdr:rowOff>
        </xdr:from>
        <xdr:to>
          <xdr:col>22</xdr:col>
          <xdr:colOff>182880</xdr:colOff>
          <xdr:row>619</xdr:row>
          <xdr:rowOff>182880</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500-00004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620</xdr:row>
          <xdr:rowOff>0</xdr:rowOff>
        </xdr:from>
        <xdr:to>
          <xdr:col>22</xdr:col>
          <xdr:colOff>182880</xdr:colOff>
          <xdr:row>620</xdr:row>
          <xdr:rowOff>182880</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500-00004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626</xdr:row>
          <xdr:rowOff>0</xdr:rowOff>
        </xdr:from>
        <xdr:to>
          <xdr:col>22</xdr:col>
          <xdr:colOff>182880</xdr:colOff>
          <xdr:row>626</xdr:row>
          <xdr:rowOff>182880</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500-00004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466</xdr:row>
          <xdr:rowOff>0</xdr:rowOff>
        </xdr:from>
        <xdr:to>
          <xdr:col>22</xdr:col>
          <xdr:colOff>182880</xdr:colOff>
          <xdr:row>466</xdr:row>
          <xdr:rowOff>182880</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500-00004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483</xdr:row>
          <xdr:rowOff>0</xdr:rowOff>
        </xdr:from>
        <xdr:to>
          <xdr:col>22</xdr:col>
          <xdr:colOff>182880</xdr:colOff>
          <xdr:row>483</xdr:row>
          <xdr:rowOff>182880</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0500-00004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486</xdr:row>
          <xdr:rowOff>0</xdr:rowOff>
        </xdr:from>
        <xdr:to>
          <xdr:col>22</xdr:col>
          <xdr:colOff>182880</xdr:colOff>
          <xdr:row>486</xdr:row>
          <xdr:rowOff>182880</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0500-00004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491</xdr:row>
          <xdr:rowOff>0</xdr:rowOff>
        </xdr:from>
        <xdr:to>
          <xdr:col>22</xdr:col>
          <xdr:colOff>182880</xdr:colOff>
          <xdr:row>491</xdr:row>
          <xdr:rowOff>182880</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0500-00004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492</xdr:row>
          <xdr:rowOff>0</xdr:rowOff>
        </xdr:from>
        <xdr:to>
          <xdr:col>22</xdr:col>
          <xdr:colOff>182880</xdr:colOff>
          <xdr:row>492</xdr:row>
          <xdr:rowOff>182880</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0500-00004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496</xdr:row>
          <xdr:rowOff>0</xdr:rowOff>
        </xdr:from>
        <xdr:to>
          <xdr:col>22</xdr:col>
          <xdr:colOff>182880</xdr:colOff>
          <xdr:row>496</xdr:row>
          <xdr:rowOff>182880</xdr:rowOff>
        </xdr:to>
        <xdr:sp macro="" textlink="">
          <xdr:nvSpPr>
            <xdr:cNvPr id="5197" name="Check Box 77" hidden="1">
              <a:extLst>
                <a:ext uri="{63B3BB69-23CF-44E3-9099-C40C66FF867C}">
                  <a14:compatExt spid="_x0000_s5197"/>
                </a:ext>
                <a:ext uri="{FF2B5EF4-FFF2-40B4-BE49-F238E27FC236}">
                  <a16:creationId xmlns:a16="http://schemas.microsoft.com/office/drawing/2014/main" id="{00000000-0008-0000-0500-00004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501</xdr:row>
          <xdr:rowOff>0</xdr:rowOff>
        </xdr:from>
        <xdr:to>
          <xdr:col>22</xdr:col>
          <xdr:colOff>182880</xdr:colOff>
          <xdr:row>501</xdr:row>
          <xdr:rowOff>182880</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00000000-0008-0000-0500-00004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524</xdr:row>
          <xdr:rowOff>0</xdr:rowOff>
        </xdr:from>
        <xdr:to>
          <xdr:col>22</xdr:col>
          <xdr:colOff>182880</xdr:colOff>
          <xdr:row>524</xdr:row>
          <xdr:rowOff>182880</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0500-00005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527</xdr:row>
          <xdr:rowOff>0</xdr:rowOff>
        </xdr:from>
        <xdr:to>
          <xdr:col>22</xdr:col>
          <xdr:colOff>182880</xdr:colOff>
          <xdr:row>527</xdr:row>
          <xdr:rowOff>182880</xdr:rowOff>
        </xdr:to>
        <xdr:sp macro="" textlink="">
          <xdr:nvSpPr>
            <xdr:cNvPr id="5203" name="Check Box 83" hidden="1">
              <a:extLst>
                <a:ext uri="{63B3BB69-23CF-44E3-9099-C40C66FF867C}">
                  <a14:compatExt spid="_x0000_s5203"/>
                </a:ext>
                <a:ext uri="{FF2B5EF4-FFF2-40B4-BE49-F238E27FC236}">
                  <a16:creationId xmlns:a16="http://schemas.microsoft.com/office/drawing/2014/main" id="{00000000-0008-0000-0500-00005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541</xdr:row>
          <xdr:rowOff>0</xdr:rowOff>
        </xdr:from>
        <xdr:to>
          <xdr:col>22</xdr:col>
          <xdr:colOff>182880</xdr:colOff>
          <xdr:row>541</xdr:row>
          <xdr:rowOff>182880</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500-00005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553</xdr:row>
          <xdr:rowOff>0</xdr:rowOff>
        </xdr:from>
        <xdr:to>
          <xdr:col>22</xdr:col>
          <xdr:colOff>182880</xdr:colOff>
          <xdr:row>553</xdr:row>
          <xdr:rowOff>182880</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0500-00005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555</xdr:row>
          <xdr:rowOff>0</xdr:rowOff>
        </xdr:from>
        <xdr:to>
          <xdr:col>22</xdr:col>
          <xdr:colOff>182880</xdr:colOff>
          <xdr:row>555</xdr:row>
          <xdr:rowOff>182880</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0500-000057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557</xdr:row>
          <xdr:rowOff>0</xdr:rowOff>
        </xdr:from>
        <xdr:to>
          <xdr:col>22</xdr:col>
          <xdr:colOff>182880</xdr:colOff>
          <xdr:row>557</xdr:row>
          <xdr:rowOff>182880</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0500-00005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368</xdr:row>
          <xdr:rowOff>0</xdr:rowOff>
        </xdr:from>
        <xdr:to>
          <xdr:col>22</xdr:col>
          <xdr:colOff>182880</xdr:colOff>
          <xdr:row>368</xdr:row>
          <xdr:rowOff>182880</xdr:rowOff>
        </xdr:to>
        <xdr:sp macro="" textlink="">
          <xdr:nvSpPr>
            <xdr:cNvPr id="5210" name="Check Box 90" hidden="1">
              <a:extLst>
                <a:ext uri="{63B3BB69-23CF-44E3-9099-C40C66FF867C}">
                  <a14:compatExt spid="_x0000_s5210"/>
                </a:ext>
                <a:ext uri="{FF2B5EF4-FFF2-40B4-BE49-F238E27FC236}">
                  <a16:creationId xmlns:a16="http://schemas.microsoft.com/office/drawing/2014/main" id="{00000000-0008-0000-0500-00005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363</xdr:row>
          <xdr:rowOff>0</xdr:rowOff>
        </xdr:from>
        <xdr:to>
          <xdr:col>22</xdr:col>
          <xdr:colOff>182880</xdr:colOff>
          <xdr:row>363</xdr:row>
          <xdr:rowOff>182880</xdr:rowOff>
        </xdr:to>
        <xdr:sp macro="" textlink="">
          <xdr:nvSpPr>
            <xdr:cNvPr id="5211" name="Check Box 91" hidden="1">
              <a:extLst>
                <a:ext uri="{63B3BB69-23CF-44E3-9099-C40C66FF867C}">
                  <a14:compatExt spid="_x0000_s5211"/>
                </a:ext>
                <a:ext uri="{FF2B5EF4-FFF2-40B4-BE49-F238E27FC236}">
                  <a16:creationId xmlns:a16="http://schemas.microsoft.com/office/drawing/2014/main" id="{00000000-0008-0000-0500-00005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364</xdr:row>
          <xdr:rowOff>0</xdr:rowOff>
        </xdr:from>
        <xdr:to>
          <xdr:col>22</xdr:col>
          <xdr:colOff>182880</xdr:colOff>
          <xdr:row>364</xdr:row>
          <xdr:rowOff>182880</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00000000-0008-0000-0500-00005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365</xdr:row>
          <xdr:rowOff>0</xdr:rowOff>
        </xdr:from>
        <xdr:to>
          <xdr:col>22</xdr:col>
          <xdr:colOff>182880</xdr:colOff>
          <xdr:row>365</xdr:row>
          <xdr:rowOff>182880</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0500-00005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396</xdr:row>
          <xdr:rowOff>0</xdr:rowOff>
        </xdr:from>
        <xdr:to>
          <xdr:col>22</xdr:col>
          <xdr:colOff>182880</xdr:colOff>
          <xdr:row>396</xdr:row>
          <xdr:rowOff>182880</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00000000-0008-0000-0500-00005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404</xdr:row>
          <xdr:rowOff>0</xdr:rowOff>
        </xdr:from>
        <xdr:to>
          <xdr:col>22</xdr:col>
          <xdr:colOff>182880</xdr:colOff>
          <xdr:row>404</xdr:row>
          <xdr:rowOff>182880</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0500-000060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406</xdr:row>
          <xdr:rowOff>0</xdr:rowOff>
        </xdr:from>
        <xdr:to>
          <xdr:col>22</xdr:col>
          <xdr:colOff>182880</xdr:colOff>
          <xdr:row>406</xdr:row>
          <xdr:rowOff>182880</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0500-00006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407</xdr:row>
          <xdr:rowOff>0</xdr:rowOff>
        </xdr:from>
        <xdr:to>
          <xdr:col>22</xdr:col>
          <xdr:colOff>182880</xdr:colOff>
          <xdr:row>407</xdr:row>
          <xdr:rowOff>182880</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0500-00006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408</xdr:row>
          <xdr:rowOff>0</xdr:rowOff>
        </xdr:from>
        <xdr:to>
          <xdr:col>22</xdr:col>
          <xdr:colOff>182880</xdr:colOff>
          <xdr:row>408</xdr:row>
          <xdr:rowOff>182880</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500-000063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410</xdr:row>
          <xdr:rowOff>0</xdr:rowOff>
        </xdr:from>
        <xdr:to>
          <xdr:col>22</xdr:col>
          <xdr:colOff>182880</xdr:colOff>
          <xdr:row>410</xdr:row>
          <xdr:rowOff>182880</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0500-000064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413</xdr:row>
          <xdr:rowOff>0</xdr:rowOff>
        </xdr:from>
        <xdr:to>
          <xdr:col>22</xdr:col>
          <xdr:colOff>182880</xdr:colOff>
          <xdr:row>413</xdr:row>
          <xdr:rowOff>182880</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0500-000065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414</xdr:row>
          <xdr:rowOff>0</xdr:rowOff>
        </xdr:from>
        <xdr:to>
          <xdr:col>22</xdr:col>
          <xdr:colOff>182880</xdr:colOff>
          <xdr:row>414</xdr:row>
          <xdr:rowOff>182880</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0500-00006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419</xdr:row>
          <xdr:rowOff>0</xdr:rowOff>
        </xdr:from>
        <xdr:to>
          <xdr:col>22</xdr:col>
          <xdr:colOff>182880</xdr:colOff>
          <xdr:row>419</xdr:row>
          <xdr:rowOff>182880</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0500-000067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421</xdr:row>
          <xdr:rowOff>0</xdr:rowOff>
        </xdr:from>
        <xdr:to>
          <xdr:col>22</xdr:col>
          <xdr:colOff>182880</xdr:colOff>
          <xdr:row>421</xdr:row>
          <xdr:rowOff>182880</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0500-00006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423</xdr:row>
          <xdr:rowOff>0</xdr:rowOff>
        </xdr:from>
        <xdr:to>
          <xdr:col>22</xdr:col>
          <xdr:colOff>182880</xdr:colOff>
          <xdr:row>423</xdr:row>
          <xdr:rowOff>182880</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0500-00006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425</xdr:row>
          <xdr:rowOff>0</xdr:rowOff>
        </xdr:from>
        <xdr:to>
          <xdr:col>22</xdr:col>
          <xdr:colOff>182880</xdr:colOff>
          <xdr:row>425</xdr:row>
          <xdr:rowOff>182880</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0500-00006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356</xdr:row>
          <xdr:rowOff>0</xdr:rowOff>
        </xdr:from>
        <xdr:to>
          <xdr:col>22</xdr:col>
          <xdr:colOff>182880</xdr:colOff>
          <xdr:row>356</xdr:row>
          <xdr:rowOff>182880</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0500-00006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358</xdr:row>
          <xdr:rowOff>0</xdr:rowOff>
        </xdr:from>
        <xdr:to>
          <xdr:col>22</xdr:col>
          <xdr:colOff>182880</xdr:colOff>
          <xdr:row>358</xdr:row>
          <xdr:rowOff>182880</xdr:rowOff>
        </xdr:to>
        <xdr:sp macro="" textlink="">
          <xdr:nvSpPr>
            <xdr:cNvPr id="5229" name="Check Box 109" hidden="1">
              <a:extLst>
                <a:ext uri="{63B3BB69-23CF-44E3-9099-C40C66FF867C}">
                  <a14:compatExt spid="_x0000_s5229"/>
                </a:ext>
                <a:ext uri="{FF2B5EF4-FFF2-40B4-BE49-F238E27FC236}">
                  <a16:creationId xmlns:a16="http://schemas.microsoft.com/office/drawing/2014/main" id="{00000000-0008-0000-0500-00006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360</xdr:row>
          <xdr:rowOff>0</xdr:rowOff>
        </xdr:from>
        <xdr:to>
          <xdr:col>22</xdr:col>
          <xdr:colOff>182880</xdr:colOff>
          <xdr:row>360</xdr:row>
          <xdr:rowOff>182880</xdr:rowOff>
        </xdr:to>
        <xdr:sp macro="" textlink="">
          <xdr:nvSpPr>
            <xdr:cNvPr id="5230" name="Check Box 110" hidden="1">
              <a:extLst>
                <a:ext uri="{63B3BB69-23CF-44E3-9099-C40C66FF867C}">
                  <a14:compatExt spid="_x0000_s5230"/>
                </a:ext>
                <a:ext uri="{FF2B5EF4-FFF2-40B4-BE49-F238E27FC236}">
                  <a16:creationId xmlns:a16="http://schemas.microsoft.com/office/drawing/2014/main" id="{00000000-0008-0000-0500-00006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342</xdr:row>
          <xdr:rowOff>0</xdr:rowOff>
        </xdr:from>
        <xdr:to>
          <xdr:col>22</xdr:col>
          <xdr:colOff>182880</xdr:colOff>
          <xdr:row>342</xdr:row>
          <xdr:rowOff>182880</xdr:rowOff>
        </xdr:to>
        <xdr:sp macro="" textlink="">
          <xdr:nvSpPr>
            <xdr:cNvPr id="5232" name="Check Box 112" hidden="1">
              <a:extLst>
                <a:ext uri="{63B3BB69-23CF-44E3-9099-C40C66FF867C}">
                  <a14:compatExt spid="_x0000_s5232"/>
                </a:ext>
                <a:ext uri="{FF2B5EF4-FFF2-40B4-BE49-F238E27FC236}">
                  <a16:creationId xmlns:a16="http://schemas.microsoft.com/office/drawing/2014/main" id="{00000000-0008-0000-0500-000070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344</xdr:row>
          <xdr:rowOff>0</xdr:rowOff>
        </xdr:from>
        <xdr:to>
          <xdr:col>22</xdr:col>
          <xdr:colOff>182880</xdr:colOff>
          <xdr:row>344</xdr:row>
          <xdr:rowOff>182880</xdr:rowOff>
        </xdr:to>
        <xdr:sp macro="" textlink="">
          <xdr:nvSpPr>
            <xdr:cNvPr id="5233" name="Check Box 113" hidden="1">
              <a:extLst>
                <a:ext uri="{63B3BB69-23CF-44E3-9099-C40C66FF867C}">
                  <a14:compatExt spid="_x0000_s5233"/>
                </a:ext>
                <a:ext uri="{FF2B5EF4-FFF2-40B4-BE49-F238E27FC236}">
                  <a16:creationId xmlns:a16="http://schemas.microsoft.com/office/drawing/2014/main" id="{00000000-0008-0000-0500-000071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340</xdr:row>
          <xdr:rowOff>0</xdr:rowOff>
        </xdr:from>
        <xdr:to>
          <xdr:col>22</xdr:col>
          <xdr:colOff>182880</xdr:colOff>
          <xdr:row>340</xdr:row>
          <xdr:rowOff>182880</xdr:rowOff>
        </xdr:to>
        <xdr:sp macro="" textlink="">
          <xdr:nvSpPr>
            <xdr:cNvPr id="5234" name="Check Box 114" hidden="1">
              <a:extLst>
                <a:ext uri="{63B3BB69-23CF-44E3-9099-C40C66FF867C}">
                  <a14:compatExt spid="_x0000_s5234"/>
                </a:ext>
                <a:ext uri="{FF2B5EF4-FFF2-40B4-BE49-F238E27FC236}">
                  <a16:creationId xmlns:a16="http://schemas.microsoft.com/office/drawing/2014/main" id="{00000000-0008-0000-0500-00007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302</xdr:row>
          <xdr:rowOff>0</xdr:rowOff>
        </xdr:from>
        <xdr:to>
          <xdr:col>22</xdr:col>
          <xdr:colOff>182880</xdr:colOff>
          <xdr:row>302</xdr:row>
          <xdr:rowOff>182880</xdr:rowOff>
        </xdr:to>
        <xdr:sp macro="" textlink="">
          <xdr:nvSpPr>
            <xdr:cNvPr id="5240" name="Check Box 120" hidden="1">
              <a:extLst>
                <a:ext uri="{63B3BB69-23CF-44E3-9099-C40C66FF867C}">
                  <a14:compatExt spid="_x0000_s5240"/>
                </a:ext>
                <a:ext uri="{FF2B5EF4-FFF2-40B4-BE49-F238E27FC236}">
                  <a16:creationId xmlns:a16="http://schemas.microsoft.com/office/drawing/2014/main" id="{00000000-0008-0000-0500-000078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304</xdr:row>
          <xdr:rowOff>0</xdr:rowOff>
        </xdr:from>
        <xdr:to>
          <xdr:col>22</xdr:col>
          <xdr:colOff>182880</xdr:colOff>
          <xdr:row>304</xdr:row>
          <xdr:rowOff>182880</xdr:rowOff>
        </xdr:to>
        <xdr:sp macro="" textlink="">
          <xdr:nvSpPr>
            <xdr:cNvPr id="5241" name="Check Box 121" hidden="1">
              <a:extLst>
                <a:ext uri="{63B3BB69-23CF-44E3-9099-C40C66FF867C}">
                  <a14:compatExt spid="_x0000_s5241"/>
                </a:ext>
                <a:ext uri="{FF2B5EF4-FFF2-40B4-BE49-F238E27FC236}">
                  <a16:creationId xmlns:a16="http://schemas.microsoft.com/office/drawing/2014/main" id="{00000000-0008-0000-0500-00007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307</xdr:row>
          <xdr:rowOff>0</xdr:rowOff>
        </xdr:from>
        <xdr:to>
          <xdr:col>22</xdr:col>
          <xdr:colOff>182880</xdr:colOff>
          <xdr:row>307</xdr:row>
          <xdr:rowOff>182880</xdr:rowOff>
        </xdr:to>
        <xdr:sp macro="" textlink="">
          <xdr:nvSpPr>
            <xdr:cNvPr id="5242" name="Check Box 122" hidden="1">
              <a:extLst>
                <a:ext uri="{63B3BB69-23CF-44E3-9099-C40C66FF867C}">
                  <a14:compatExt spid="_x0000_s5242"/>
                </a:ext>
                <a:ext uri="{FF2B5EF4-FFF2-40B4-BE49-F238E27FC236}">
                  <a16:creationId xmlns:a16="http://schemas.microsoft.com/office/drawing/2014/main" id="{00000000-0008-0000-0500-00007A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308</xdr:row>
          <xdr:rowOff>0</xdr:rowOff>
        </xdr:from>
        <xdr:to>
          <xdr:col>22</xdr:col>
          <xdr:colOff>182880</xdr:colOff>
          <xdr:row>308</xdr:row>
          <xdr:rowOff>182880</xdr:rowOff>
        </xdr:to>
        <xdr:sp macro="" textlink="">
          <xdr:nvSpPr>
            <xdr:cNvPr id="5243" name="Check Box 123" hidden="1">
              <a:extLst>
                <a:ext uri="{63B3BB69-23CF-44E3-9099-C40C66FF867C}">
                  <a14:compatExt spid="_x0000_s5243"/>
                </a:ext>
                <a:ext uri="{FF2B5EF4-FFF2-40B4-BE49-F238E27FC236}">
                  <a16:creationId xmlns:a16="http://schemas.microsoft.com/office/drawing/2014/main" id="{00000000-0008-0000-0500-00007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310</xdr:row>
          <xdr:rowOff>0</xdr:rowOff>
        </xdr:from>
        <xdr:to>
          <xdr:col>22</xdr:col>
          <xdr:colOff>182880</xdr:colOff>
          <xdr:row>310</xdr:row>
          <xdr:rowOff>182880</xdr:rowOff>
        </xdr:to>
        <xdr:sp macro="" textlink="">
          <xdr:nvSpPr>
            <xdr:cNvPr id="5244" name="Check Box 124" hidden="1">
              <a:extLst>
                <a:ext uri="{63B3BB69-23CF-44E3-9099-C40C66FF867C}">
                  <a14:compatExt spid="_x0000_s5244"/>
                </a:ext>
                <a:ext uri="{FF2B5EF4-FFF2-40B4-BE49-F238E27FC236}">
                  <a16:creationId xmlns:a16="http://schemas.microsoft.com/office/drawing/2014/main" id="{00000000-0008-0000-0500-00007C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296</xdr:row>
          <xdr:rowOff>0</xdr:rowOff>
        </xdr:from>
        <xdr:to>
          <xdr:col>22</xdr:col>
          <xdr:colOff>182880</xdr:colOff>
          <xdr:row>296</xdr:row>
          <xdr:rowOff>182880</xdr:rowOff>
        </xdr:to>
        <xdr:sp macro="" textlink="">
          <xdr:nvSpPr>
            <xdr:cNvPr id="5246" name="Check Box 126" hidden="1">
              <a:extLst>
                <a:ext uri="{63B3BB69-23CF-44E3-9099-C40C66FF867C}">
                  <a14:compatExt spid="_x0000_s5246"/>
                </a:ext>
                <a:ext uri="{FF2B5EF4-FFF2-40B4-BE49-F238E27FC236}">
                  <a16:creationId xmlns:a16="http://schemas.microsoft.com/office/drawing/2014/main" id="{00000000-0008-0000-0500-00007E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191</xdr:row>
          <xdr:rowOff>0</xdr:rowOff>
        </xdr:from>
        <xdr:to>
          <xdr:col>22</xdr:col>
          <xdr:colOff>182880</xdr:colOff>
          <xdr:row>191</xdr:row>
          <xdr:rowOff>182880</xdr:rowOff>
        </xdr:to>
        <xdr:sp macro="" textlink="">
          <xdr:nvSpPr>
            <xdr:cNvPr id="5250" name="Check Box 130" hidden="1">
              <a:extLst>
                <a:ext uri="{63B3BB69-23CF-44E3-9099-C40C66FF867C}">
                  <a14:compatExt spid="_x0000_s5250"/>
                </a:ext>
                <a:ext uri="{FF2B5EF4-FFF2-40B4-BE49-F238E27FC236}">
                  <a16:creationId xmlns:a16="http://schemas.microsoft.com/office/drawing/2014/main" id="{00000000-0008-0000-0500-000082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236</xdr:row>
          <xdr:rowOff>0</xdr:rowOff>
        </xdr:from>
        <xdr:to>
          <xdr:col>22</xdr:col>
          <xdr:colOff>182880</xdr:colOff>
          <xdr:row>236</xdr:row>
          <xdr:rowOff>182880</xdr:rowOff>
        </xdr:to>
        <xdr:sp macro="" textlink="">
          <xdr:nvSpPr>
            <xdr:cNvPr id="5254" name="Check Box 134" hidden="1">
              <a:extLst>
                <a:ext uri="{63B3BB69-23CF-44E3-9099-C40C66FF867C}">
                  <a14:compatExt spid="_x0000_s5254"/>
                </a:ext>
                <a:ext uri="{FF2B5EF4-FFF2-40B4-BE49-F238E27FC236}">
                  <a16:creationId xmlns:a16="http://schemas.microsoft.com/office/drawing/2014/main" id="{00000000-0008-0000-0500-000086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276</xdr:row>
          <xdr:rowOff>0</xdr:rowOff>
        </xdr:from>
        <xdr:to>
          <xdr:col>22</xdr:col>
          <xdr:colOff>182880</xdr:colOff>
          <xdr:row>276</xdr:row>
          <xdr:rowOff>182880</xdr:rowOff>
        </xdr:to>
        <xdr:sp macro="" textlink="">
          <xdr:nvSpPr>
            <xdr:cNvPr id="5257" name="Check Box 137" hidden="1">
              <a:extLst>
                <a:ext uri="{63B3BB69-23CF-44E3-9099-C40C66FF867C}">
                  <a14:compatExt spid="_x0000_s5257"/>
                </a:ext>
                <a:ext uri="{FF2B5EF4-FFF2-40B4-BE49-F238E27FC236}">
                  <a16:creationId xmlns:a16="http://schemas.microsoft.com/office/drawing/2014/main" id="{00000000-0008-0000-0500-000089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279</xdr:row>
          <xdr:rowOff>0</xdr:rowOff>
        </xdr:from>
        <xdr:to>
          <xdr:col>22</xdr:col>
          <xdr:colOff>182880</xdr:colOff>
          <xdr:row>279</xdr:row>
          <xdr:rowOff>182880</xdr:rowOff>
        </xdr:to>
        <xdr:sp macro="" textlink="">
          <xdr:nvSpPr>
            <xdr:cNvPr id="5259" name="Check Box 139" hidden="1">
              <a:extLst>
                <a:ext uri="{63B3BB69-23CF-44E3-9099-C40C66FF867C}">
                  <a14:compatExt spid="_x0000_s5259"/>
                </a:ext>
                <a:ext uri="{FF2B5EF4-FFF2-40B4-BE49-F238E27FC236}">
                  <a16:creationId xmlns:a16="http://schemas.microsoft.com/office/drawing/2014/main" id="{00000000-0008-0000-0500-00008B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289</xdr:row>
          <xdr:rowOff>0</xdr:rowOff>
        </xdr:from>
        <xdr:to>
          <xdr:col>22</xdr:col>
          <xdr:colOff>182880</xdr:colOff>
          <xdr:row>289</xdr:row>
          <xdr:rowOff>182880</xdr:rowOff>
        </xdr:to>
        <xdr:sp macro="" textlink="">
          <xdr:nvSpPr>
            <xdr:cNvPr id="5261" name="Check Box 141" hidden="1">
              <a:extLst>
                <a:ext uri="{63B3BB69-23CF-44E3-9099-C40C66FF867C}">
                  <a14:compatExt spid="_x0000_s5261"/>
                </a:ext>
                <a:ext uri="{FF2B5EF4-FFF2-40B4-BE49-F238E27FC236}">
                  <a16:creationId xmlns:a16="http://schemas.microsoft.com/office/drawing/2014/main" id="{00000000-0008-0000-0500-00008D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543</xdr:row>
          <xdr:rowOff>0</xdr:rowOff>
        </xdr:from>
        <xdr:to>
          <xdr:col>22</xdr:col>
          <xdr:colOff>182880</xdr:colOff>
          <xdr:row>543</xdr:row>
          <xdr:rowOff>182880</xdr:rowOff>
        </xdr:to>
        <xdr:sp macro="" textlink="">
          <xdr:nvSpPr>
            <xdr:cNvPr id="5263" name="Check Box 143" hidden="1">
              <a:extLst>
                <a:ext uri="{63B3BB69-23CF-44E3-9099-C40C66FF867C}">
                  <a14:compatExt spid="_x0000_s5263"/>
                </a:ext>
                <a:ext uri="{FF2B5EF4-FFF2-40B4-BE49-F238E27FC236}">
                  <a16:creationId xmlns:a16="http://schemas.microsoft.com/office/drawing/2014/main" id="{00000000-0008-0000-0500-00008F1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twoCellAnchor editAs="oneCell">
    <xdr:from>
      <xdr:col>12</xdr:col>
      <xdr:colOff>38100</xdr:colOff>
      <xdr:row>0</xdr:row>
      <xdr:rowOff>0</xdr:rowOff>
    </xdr:from>
    <xdr:to>
      <xdr:col>22</xdr:col>
      <xdr:colOff>459105</xdr:colOff>
      <xdr:row>4</xdr:row>
      <xdr:rowOff>130337</xdr:rowOff>
    </xdr:to>
    <xdr:pic>
      <xdr:nvPicPr>
        <xdr:cNvPr id="91" name="Picture 90">
          <a:extLst>
            <a:ext uri="{FF2B5EF4-FFF2-40B4-BE49-F238E27FC236}">
              <a16:creationId xmlns:a16="http://schemas.microsoft.com/office/drawing/2014/main" id="{54DB45DC-A895-442F-8DE0-7191D8D5CB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67475" y="0"/>
          <a:ext cx="1878330" cy="854237"/>
        </a:xfrm>
        <a:prstGeom prst="rect">
          <a:avLst/>
        </a:prstGeom>
      </xdr:spPr>
    </xdr:pic>
    <xdr:clientData/>
  </xdr:twoCellAnchor>
  <xdr:twoCellAnchor editAs="oneCell">
    <xdr:from>
      <xdr:col>22</xdr:col>
      <xdr:colOff>567691</xdr:colOff>
      <xdr:row>0</xdr:row>
      <xdr:rowOff>0</xdr:rowOff>
    </xdr:from>
    <xdr:to>
      <xdr:col>22</xdr:col>
      <xdr:colOff>1384583</xdr:colOff>
      <xdr:row>4</xdr:row>
      <xdr:rowOff>167640</xdr:rowOff>
    </xdr:to>
    <xdr:pic>
      <xdr:nvPicPr>
        <xdr:cNvPr id="92" name="Picture 91">
          <a:extLst>
            <a:ext uri="{FF2B5EF4-FFF2-40B4-BE49-F238E27FC236}">
              <a16:creationId xmlns:a16="http://schemas.microsoft.com/office/drawing/2014/main" id="{F7730877-303E-404D-B506-757FFE63AC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54391" y="0"/>
          <a:ext cx="816892" cy="891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0</xdr:colOff>
          <xdr:row>105</xdr:row>
          <xdr:rowOff>0</xdr:rowOff>
        </xdr:from>
        <xdr:to>
          <xdr:col>22</xdr:col>
          <xdr:colOff>182880</xdr:colOff>
          <xdr:row>105</xdr:row>
          <xdr:rowOff>182880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600-000007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106</xdr:row>
          <xdr:rowOff>0</xdr:rowOff>
        </xdr:from>
        <xdr:to>
          <xdr:col>22</xdr:col>
          <xdr:colOff>182880</xdr:colOff>
          <xdr:row>106</xdr:row>
          <xdr:rowOff>182880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600-000008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107</xdr:row>
          <xdr:rowOff>0</xdr:rowOff>
        </xdr:from>
        <xdr:to>
          <xdr:col>22</xdr:col>
          <xdr:colOff>182880</xdr:colOff>
          <xdr:row>107</xdr:row>
          <xdr:rowOff>182880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600-000009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xdr:row>
          <xdr:rowOff>0</xdr:rowOff>
        </xdr:from>
        <xdr:to>
          <xdr:col>22</xdr:col>
          <xdr:colOff>182880</xdr:colOff>
          <xdr:row>45</xdr:row>
          <xdr:rowOff>182880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600-00000A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40</xdr:row>
          <xdr:rowOff>0</xdr:rowOff>
        </xdr:from>
        <xdr:to>
          <xdr:col>22</xdr:col>
          <xdr:colOff>182880</xdr:colOff>
          <xdr:row>40</xdr:row>
          <xdr:rowOff>182880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600-00000C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76</xdr:row>
          <xdr:rowOff>0</xdr:rowOff>
        </xdr:from>
        <xdr:to>
          <xdr:col>22</xdr:col>
          <xdr:colOff>182880</xdr:colOff>
          <xdr:row>76</xdr:row>
          <xdr:rowOff>182880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600-000010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90</xdr:row>
          <xdr:rowOff>0</xdr:rowOff>
        </xdr:from>
        <xdr:to>
          <xdr:col>22</xdr:col>
          <xdr:colOff>182880</xdr:colOff>
          <xdr:row>90</xdr:row>
          <xdr:rowOff>182880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600-000013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97</xdr:row>
          <xdr:rowOff>0</xdr:rowOff>
        </xdr:from>
        <xdr:to>
          <xdr:col>22</xdr:col>
          <xdr:colOff>182880</xdr:colOff>
          <xdr:row>97</xdr:row>
          <xdr:rowOff>182880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600-000014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99</xdr:row>
          <xdr:rowOff>0</xdr:rowOff>
        </xdr:from>
        <xdr:to>
          <xdr:col>22</xdr:col>
          <xdr:colOff>182880</xdr:colOff>
          <xdr:row>99</xdr:row>
          <xdr:rowOff>182880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600-000015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101</xdr:row>
          <xdr:rowOff>0</xdr:rowOff>
        </xdr:from>
        <xdr:to>
          <xdr:col>22</xdr:col>
          <xdr:colOff>182880</xdr:colOff>
          <xdr:row>101</xdr:row>
          <xdr:rowOff>182880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600-000019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115</xdr:row>
          <xdr:rowOff>0</xdr:rowOff>
        </xdr:from>
        <xdr:to>
          <xdr:col>22</xdr:col>
          <xdr:colOff>182880</xdr:colOff>
          <xdr:row>115</xdr:row>
          <xdr:rowOff>182880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600-00001B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117</xdr:row>
          <xdr:rowOff>0</xdr:rowOff>
        </xdr:from>
        <xdr:to>
          <xdr:col>22</xdr:col>
          <xdr:colOff>182880</xdr:colOff>
          <xdr:row>117</xdr:row>
          <xdr:rowOff>182880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600-00001C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118</xdr:row>
          <xdr:rowOff>0</xdr:rowOff>
        </xdr:from>
        <xdr:to>
          <xdr:col>22</xdr:col>
          <xdr:colOff>182880</xdr:colOff>
          <xdr:row>118</xdr:row>
          <xdr:rowOff>182880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600-00001D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122</xdr:row>
          <xdr:rowOff>0</xdr:rowOff>
        </xdr:from>
        <xdr:to>
          <xdr:col>22</xdr:col>
          <xdr:colOff>182880</xdr:colOff>
          <xdr:row>122</xdr:row>
          <xdr:rowOff>182880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600-00001F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143</xdr:row>
          <xdr:rowOff>0</xdr:rowOff>
        </xdr:from>
        <xdr:to>
          <xdr:col>22</xdr:col>
          <xdr:colOff>182880</xdr:colOff>
          <xdr:row>143</xdr:row>
          <xdr:rowOff>182880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600-000021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142</xdr:row>
          <xdr:rowOff>0</xdr:rowOff>
        </xdr:from>
        <xdr:to>
          <xdr:col>22</xdr:col>
          <xdr:colOff>182880</xdr:colOff>
          <xdr:row>142</xdr:row>
          <xdr:rowOff>182880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600-000022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166</xdr:row>
          <xdr:rowOff>0</xdr:rowOff>
        </xdr:from>
        <xdr:to>
          <xdr:col>22</xdr:col>
          <xdr:colOff>182880</xdr:colOff>
          <xdr:row>166</xdr:row>
          <xdr:rowOff>182880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600-000024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164</xdr:row>
          <xdr:rowOff>0</xdr:rowOff>
        </xdr:from>
        <xdr:to>
          <xdr:col>22</xdr:col>
          <xdr:colOff>182880</xdr:colOff>
          <xdr:row>164</xdr:row>
          <xdr:rowOff>182880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600-000025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161</xdr:row>
          <xdr:rowOff>0</xdr:rowOff>
        </xdr:from>
        <xdr:to>
          <xdr:col>22</xdr:col>
          <xdr:colOff>182880</xdr:colOff>
          <xdr:row>161</xdr:row>
          <xdr:rowOff>182880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600-000026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159</xdr:row>
          <xdr:rowOff>0</xdr:rowOff>
        </xdr:from>
        <xdr:to>
          <xdr:col>22</xdr:col>
          <xdr:colOff>182880</xdr:colOff>
          <xdr:row>159</xdr:row>
          <xdr:rowOff>182880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600-000028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160</xdr:row>
          <xdr:rowOff>0</xdr:rowOff>
        </xdr:from>
        <xdr:to>
          <xdr:col>22</xdr:col>
          <xdr:colOff>182880</xdr:colOff>
          <xdr:row>160</xdr:row>
          <xdr:rowOff>182880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600-000029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152</xdr:row>
          <xdr:rowOff>0</xdr:rowOff>
        </xdr:from>
        <xdr:to>
          <xdr:col>22</xdr:col>
          <xdr:colOff>182880</xdr:colOff>
          <xdr:row>152</xdr:row>
          <xdr:rowOff>182880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600-00002A18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twoCellAnchor editAs="oneCell">
    <xdr:from>
      <xdr:col>12</xdr:col>
      <xdr:colOff>47625</xdr:colOff>
      <xdr:row>0</xdr:row>
      <xdr:rowOff>0</xdr:rowOff>
    </xdr:from>
    <xdr:to>
      <xdr:col>22</xdr:col>
      <xdr:colOff>468630</xdr:colOff>
      <xdr:row>4</xdr:row>
      <xdr:rowOff>132242</xdr:rowOff>
    </xdr:to>
    <xdr:pic>
      <xdr:nvPicPr>
        <xdr:cNvPr id="25" name="Picture 24">
          <a:extLst>
            <a:ext uri="{FF2B5EF4-FFF2-40B4-BE49-F238E27FC236}">
              <a16:creationId xmlns:a16="http://schemas.microsoft.com/office/drawing/2014/main" id="{908095BA-06E6-4401-B7AE-BD55859334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7000" y="0"/>
          <a:ext cx="1878330" cy="856142"/>
        </a:xfrm>
        <a:prstGeom prst="rect">
          <a:avLst/>
        </a:prstGeom>
      </xdr:spPr>
    </xdr:pic>
    <xdr:clientData/>
  </xdr:twoCellAnchor>
  <xdr:twoCellAnchor editAs="oneCell">
    <xdr:from>
      <xdr:col>22</xdr:col>
      <xdr:colOff>577216</xdr:colOff>
      <xdr:row>0</xdr:row>
      <xdr:rowOff>0</xdr:rowOff>
    </xdr:from>
    <xdr:to>
      <xdr:col>22</xdr:col>
      <xdr:colOff>1394108</xdr:colOff>
      <xdr:row>4</xdr:row>
      <xdr:rowOff>169545</xdr:rowOff>
    </xdr:to>
    <xdr:pic>
      <xdr:nvPicPr>
        <xdr:cNvPr id="26" name="Picture 25">
          <a:extLst>
            <a:ext uri="{FF2B5EF4-FFF2-40B4-BE49-F238E27FC236}">
              <a16:creationId xmlns:a16="http://schemas.microsoft.com/office/drawing/2014/main" id="{F2C87E92-2A4C-4621-8C41-99B11CA0F5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63916" y="0"/>
          <a:ext cx="816892" cy="8934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0</xdr:colOff>
          <xdr:row>11</xdr:row>
          <xdr:rowOff>0</xdr:rowOff>
        </xdr:from>
        <xdr:to>
          <xdr:col>22</xdr:col>
          <xdr:colOff>182880</xdr:colOff>
          <xdr:row>11</xdr:row>
          <xdr:rowOff>182880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xdr:row>
          <xdr:rowOff>0</xdr:rowOff>
        </xdr:from>
        <xdr:to>
          <xdr:col>22</xdr:col>
          <xdr:colOff>182880</xdr:colOff>
          <xdr:row>17</xdr:row>
          <xdr:rowOff>182880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32</xdr:row>
          <xdr:rowOff>0</xdr:rowOff>
        </xdr:from>
        <xdr:to>
          <xdr:col>22</xdr:col>
          <xdr:colOff>182880</xdr:colOff>
          <xdr:row>32</xdr:row>
          <xdr:rowOff>182880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700-000006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xdr:row>
          <xdr:rowOff>0</xdr:rowOff>
        </xdr:from>
        <xdr:to>
          <xdr:col>22</xdr:col>
          <xdr:colOff>182880</xdr:colOff>
          <xdr:row>53</xdr:row>
          <xdr:rowOff>182880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700-000009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66</xdr:row>
          <xdr:rowOff>0</xdr:rowOff>
        </xdr:from>
        <xdr:to>
          <xdr:col>22</xdr:col>
          <xdr:colOff>182880</xdr:colOff>
          <xdr:row>66</xdr:row>
          <xdr:rowOff>182880</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60</xdr:row>
          <xdr:rowOff>0</xdr:rowOff>
        </xdr:from>
        <xdr:to>
          <xdr:col>22</xdr:col>
          <xdr:colOff>182880</xdr:colOff>
          <xdr:row>60</xdr:row>
          <xdr:rowOff>182880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700-000010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89</xdr:row>
          <xdr:rowOff>0</xdr:rowOff>
        </xdr:from>
        <xdr:to>
          <xdr:col>22</xdr:col>
          <xdr:colOff>182880</xdr:colOff>
          <xdr:row>89</xdr:row>
          <xdr:rowOff>182880</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700-000013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91</xdr:row>
          <xdr:rowOff>0</xdr:rowOff>
        </xdr:from>
        <xdr:to>
          <xdr:col>22</xdr:col>
          <xdr:colOff>182880</xdr:colOff>
          <xdr:row>91</xdr:row>
          <xdr:rowOff>182880</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700-000014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94</xdr:row>
          <xdr:rowOff>0</xdr:rowOff>
        </xdr:from>
        <xdr:to>
          <xdr:col>22</xdr:col>
          <xdr:colOff>182880</xdr:colOff>
          <xdr:row>94</xdr:row>
          <xdr:rowOff>182880</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700-000015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117</xdr:row>
          <xdr:rowOff>0</xdr:rowOff>
        </xdr:from>
        <xdr:to>
          <xdr:col>22</xdr:col>
          <xdr:colOff>182880</xdr:colOff>
          <xdr:row>117</xdr:row>
          <xdr:rowOff>182880</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700-000017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128</xdr:row>
          <xdr:rowOff>0</xdr:rowOff>
        </xdr:from>
        <xdr:to>
          <xdr:col>22</xdr:col>
          <xdr:colOff>182880</xdr:colOff>
          <xdr:row>128</xdr:row>
          <xdr:rowOff>182880</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700-000018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130</xdr:row>
          <xdr:rowOff>0</xdr:rowOff>
        </xdr:from>
        <xdr:to>
          <xdr:col>22</xdr:col>
          <xdr:colOff>182880</xdr:colOff>
          <xdr:row>130</xdr:row>
          <xdr:rowOff>182880</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700-000019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131</xdr:row>
          <xdr:rowOff>0</xdr:rowOff>
        </xdr:from>
        <xdr:to>
          <xdr:col>22</xdr:col>
          <xdr:colOff>182880</xdr:colOff>
          <xdr:row>131</xdr:row>
          <xdr:rowOff>182880</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700-00001A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138</xdr:row>
          <xdr:rowOff>0</xdr:rowOff>
        </xdr:from>
        <xdr:to>
          <xdr:col>22</xdr:col>
          <xdr:colOff>182880</xdr:colOff>
          <xdr:row>138</xdr:row>
          <xdr:rowOff>182880</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700-00001B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147</xdr:row>
          <xdr:rowOff>0</xdr:rowOff>
        </xdr:from>
        <xdr:to>
          <xdr:col>22</xdr:col>
          <xdr:colOff>182880</xdr:colOff>
          <xdr:row>147</xdr:row>
          <xdr:rowOff>182880</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700-00001C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152</xdr:row>
          <xdr:rowOff>0</xdr:rowOff>
        </xdr:from>
        <xdr:to>
          <xdr:col>22</xdr:col>
          <xdr:colOff>182880</xdr:colOff>
          <xdr:row>152</xdr:row>
          <xdr:rowOff>182880</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700-00001D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153</xdr:row>
          <xdr:rowOff>0</xdr:rowOff>
        </xdr:from>
        <xdr:to>
          <xdr:col>22</xdr:col>
          <xdr:colOff>182880</xdr:colOff>
          <xdr:row>153</xdr:row>
          <xdr:rowOff>182880</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700-00001E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157</xdr:row>
          <xdr:rowOff>0</xdr:rowOff>
        </xdr:from>
        <xdr:to>
          <xdr:col>22</xdr:col>
          <xdr:colOff>182880</xdr:colOff>
          <xdr:row>157</xdr:row>
          <xdr:rowOff>182880</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700-00001F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166</xdr:row>
          <xdr:rowOff>0</xdr:rowOff>
        </xdr:from>
        <xdr:to>
          <xdr:col>22</xdr:col>
          <xdr:colOff>182880</xdr:colOff>
          <xdr:row>166</xdr:row>
          <xdr:rowOff>182880</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700-000021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167</xdr:row>
          <xdr:rowOff>0</xdr:rowOff>
        </xdr:from>
        <xdr:to>
          <xdr:col>22</xdr:col>
          <xdr:colOff>182880</xdr:colOff>
          <xdr:row>167</xdr:row>
          <xdr:rowOff>182880</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700-00002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170</xdr:row>
          <xdr:rowOff>0</xdr:rowOff>
        </xdr:from>
        <xdr:to>
          <xdr:col>22</xdr:col>
          <xdr:colOff>182880</xdr:colOff>
          <xdr:row>170</xdr:row>
          <xdr:rowOff>182880</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700-000023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172</xdr:row>
          <xdr:rowOff>0</xdr:rowOff>
        </xdr:from>
        <xdr:to>
          <xdr:col>22</xdr:col>
          <xdr:colOff>182880</xdr:colOff>
          <xdr:row>172</xdr:row>
          <xdr:rowOff>182880</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700-000024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178</xdr:row>
          <xdr:rowOff>0</xdr:rowOff>
        </xdr:from>
        <xdr:to>
          <xdr:col>22</xdr:col>
          <xdr:colOff>182880</xdr:colOff>
          <xdr:row>178</xdr:row>
          <xdr:rowOff>182880</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700-000025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180</xdr:row>
          <xdr:rowOff>0</xdr:rowOff>
        </xdr:from>
        <xdr:to>
          <xdr:col>22</xdr:col>
          <xdr:colOff>182880</xdr:colOff>
          <xdr:row>180</xdr:row>
          <xdr:rowOff>182880</xdr:rowOff>
        </xdr:to>
        <xdr:sp macro="" textlink="">
          <xdr:nvSpPr>
            <xdr:cNvPr id="7206" name="Check Box 38" hidden="1">
              <a:extLst>
                <a:ext uri="{63B3BB69-23CF-44E3-9099-C40C66FF867C}">
                  <a14:compatExt spid="_x0000_s7206"/>
                </a:ext>
                <a:ext uri="{FF2B5EF4-FFF2-40B4-BE49-F238E27FC236}">
                  <a16:creationId xmlns:a16="http://schemas.microsoft.com/office/drawing/2014/main" id="{00000000-0008-0000-0700-000026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184</xdr:row>
          <xdr:rowOff>0</xdr:rowOff>
        </xdr:from>
        <xdr:to>
          <xdr:col>22</xdr:col>
          <xdr:colOff>182880</xdr:colOff>
          <xdr:row>184</xdr:row>
          <xdr:rowOff>182880</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700-000027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191</xdr:row>
          <xdr:rowOff>0</xdr:rowOff>
        </xdr:from>
        <xdr:to>
          <xdr:col>22</xdr:col>
          <xdr:colOff>182880</xdr:colOff>
          <xdr:row>191</xdr:row>
          <xdr:rowOff>182880</xdr:rowOff>
        </xdr:to>
        <xdr:sp macro="" textlink="">
          <xdr:nvSpPr>
            <xdr:cNvPr id="7208" name="Check Box 40" hidden="1">
              <a:extLst>
                <a:ext uri="{63B3BB69-23CF-44E3-9099-C40C66FF867C}">
                  <a14:compatExt spid="_x0000_s7208"/>
                </a:ext>
                <a:ext uri="{FF2B5EF4-FFF2-40B4-BE49-F238E27FC236}">
                  <a16:creationId xmlns:a16="http://schemas.microsoft.com/office/drawing/2014/main" id="{00000000-0008-0000-0700-000028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202</xdr:row>
          <xdr:rowOff>0</xdr:rowOff>
        </xdr:from>
        <xdr:to>
          <xdr:col>22</xdr:col>
          <xdr:colOff>182880</xdr:colOff>
          <xdr:row>202</xdr:row>
          <xdr:rowOff>182880</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700-000029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204</xdr:row>
          <xdr:rowOff>0</xdr:rowOff>
        </xdr:from>
        <xdr:to>
          <xdr:col>22</xdr:col>
          <xdr:colOff>182880</xdr:colOff>
          <xdr:row>204</xdr:row>
          <xdr:rowOff>182880</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700-00002A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206</xdr:row>
          <xdr:rowOff>0</xdr:rowOff>
        </xdr:from>
        <xdr:to>
          <xdr:col>22</xdr:col>
          <xdr:colOff>182880</xdr:colOff>
          <xdr:row>206</xdr:row>
          <xdr:rowOff>182880</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700-00002B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219</xdr:row>
          <xdr:rowOff>0</xdr:rowOff>
        </xdr:from>
        <xdr:to>
          <xdr:col>22</xdr:col>
          <xdr:colOff>182880</xdr:colOff>
          <xdr:row>219</xdr:row>
          <xdr:rowOff>182880</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700-00002C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221</xdr:row>
          <xdr:rowOff>0</xdr:rowOff>
        </xdr:from>
        <xdr:to>
          <xdr:col>22</xdr:col>
          <xdr:colOff>182880</xdr:colOff>
          <xdr:row>221</xdr:row>
          <xdr:rowOff>182880</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700-00002D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224</xdr:row>
          <xdr:rowOff>0</xdr:rowOff>
        </xdr:from>
        <xdr:to>
          <xdr:col>22</xdr:col>
          <xdr:colOff>182880</xdr:colOff>
          <xdr:row>224</xdr:row>
          <xdr:rowOff>182880</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700-00002E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233</xdr:row>
          <xdr:rowOff>0</xdr:rowOff>
        </xdr:from>
        <xdr:to>
          <xdr:col>22</xdr:col>
          <xdr:colOff>182880</xdr:colOff>
          <xdr:row>233</xdr:row>
          <xdr:rowOff>182880</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700-00002F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236</xdr:row>
          <xdr:rowOff>0</xdr:rowOff>
        </xdr:from>
        <xdr:to>
          <xdr:col>22</xdr:col>
          <xdr:colOff>182880</xdr:colOff>
          <xdr:row>236</xdr:row>
          <xdr:rowOff>182880</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700-000030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238</xdr:row>
          <xdr:rowOff>0</xdr:rowOff>
        </xdr:from>
        <xdr:to>
          <xdr:col>22</xdr:col>
          <xdr:colOff>182880</xdr:colOff>
          <xdr:row>238</xdr:row>
          <xdr:rowOff>182880</xdr:rowOff>
        </xdr:to>
        <xdr:sp macro="" textlink="">
          <xdr:nvSpPr>
            <xdr:cNvPr id="7217" name="Check Box 49" hidden="1">
              <a:extLst>
                <a:ext uri="{63B3BB69-23CF-44E3-9099-C40C66FF867C}">
                  <a14:compatExt spid="_x0000_s7217"/>
                </a:ext>
                <a:ext uri="{FF2B5EF4-FFF2-40B4-BE49-F238E27FC236}">
                  <a16:creationId xmlns:a16="http://schemas.microsoft.com/office/drawing/2014/main" id="{00000000-0008-0000-0700-000031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241</xdr:row>
          <xdr:rowOff>0</xdr:rowOff>
        </xdr:from>
        <xdr:to>
          <xdr:col>22</xdr:col>
          <xdr:colOff>182880</xdr:colOff>
          <xdr:row>241</xdr:row>
          <xdr:rowOff>182880</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700-000032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243</xdr:row>
          <xdr:rowOff>0</xdr:rowOff>
        </xdr:from>
        <xdr:to>
          <xdr:col>22</xdr:col>
          <xdr:colOff>182880</xdr:colOff>
          <xdr:row>243</xdr:row>
          <xdr:rowOff>182880</xdr:rowOff>
        </xdr:to>
        <xdr:sp macro="" textlink="">
          <xdr:nvSpPr>
            <xdr:cNvPr id="7219" name="Check Box 51" hidden="1">
              <a:extLst>
                <a:ext uri="{63B3BB69-23CF-44E3-9099-C40C66FF867C}">
                  <a14:compatExt spid="_x0000_s7219"/>
                </a:ext>
                <a:ext uri="{FF2B5EF4-FFF2-40B4-BE49-F238E27FC236}">
                  <a16:creationId xmlns:a16="http://schemas.microsoft.com/office/drawing/2014/main" id="{00000000-0008-0000-0700-000033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257</xdr:row>
          <xdr:rowOff>0</xdr:rowOff>
        </xdr:from>
        <xdr:to>
          <xdr:col>22</xdr:col>
          <xdr:colOff>182880</xdr:colOff>
          <xdr:row>257</xdr:row>
          <xdr:rowOff>182880</xdr:rowOff>
        </xdr:to>
        <xdr:sp macro="" textlink="">
          <xdr:nvSpPr>
            <xdr:cNvPr id="7221" name="Check Box 53" hidden="1">
              <a:extLst>
                <a:ext uri="{63B3BB69-23CF-44E3-9099-C40C66FF867C}">
                  <a14:compatExt spid="_x0000_s7221"/>
                </a:ext>
                <a:ext uri="{FF2B5EF4-FFF2-40B4-BE49-F238E27FC236}">
                  <a16:creationId xmlns:a16="http://schemas.microsoft.com/office/drawing/2014/main" id="{00000000-0008-0000-0700-000035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258</xdr:row>
          <xdr:rowOff>0</xdr:rowOff>
        </xdr:from>
        <xdr:to>
          <xdr:col>22</xdr:col>
          <xdr:colOff>182880</xdr:colOff>
          <xdr:row>258</xdr:row>
          <xdr:rowOff>182880</xdr:rowOff>
        </xdr:to>
        <xdr:sp macro="" textlink="">
          <xdr:nvSpPr>
            <xdr:cNvPr id="7222" name="Check Box 54" hidden="1">
              <a:extLst>
                <a:ext uri="{63B3BB69-23CF-44E3-9099-C40C66FF867C}">
                  <a14:compatExt spid="_x0000_s7222"/>
                </a:ext>
                <a:ext uri="{FF2B5EF4-FFF2-40B4-BE49-F238E27FC236}">
                  <a16:creationId xmlns:a16="http://schemas.microsoft.com/office/drawing/2014/main" id="{00000000-0008-0000-0700-000036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263</xdr:row>
          <xdr:rowOff>0</xdr:rowOff>
        </xdr:from>
        <xdr:to>
          <xdr:col>22</xdr:col>
          <xdr:colOff>182880</xdr:colOff>
          <xdr:row>263</xdr:row>
          <xdr:rowOff>182880</xdr:rowOff>
        </xdr:to>
        <xdr:sp macro="" textlink="">
          <xdr:nvSpPr>
            <xdr:cNvPr id="7223" name="Check Box 55" hidden="1">
              <a:extLst>
                <a:ext uri="{63B3BB69-23CF-44E3-9099-C40C66FF867C}">
                  <a14:compatExt spid="_x0000_s7223"/>
                </a:ext>
                <a:ext uri="{FF2B5EF4-FFF2-40B4-BE49-F238E27FC236}">
                  <a16:creationId xmlns:a16="http://schemas.microsoft.com/office/drawing/2014/main" id="{00000000-0008-0000-0700-000037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268</xdr:row>
          <xdr:rowOff>0</xdr:rowOff>
        </xdr:from>
        <xdr:to>
          <xdr:col>22</xdr:col>
          <xdr:colOff>182880</xdr:colOff>
          <xdr:row>268</xdr:row>
          <xdr:rowOff>182880</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700-000038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272</xdr:row>
          <xdr:rowOff>0</xdr:rowOff>
        </xdr:from>
        <xdr:to>
          <xdr:col>22</xdr:col>
          <xdr:colOff>182880</xdr:colOff>
          <xdr:row>272</xdr:row>
          <xdr:rowOff>182880</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700-000039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277</xdr:row>
          <xdr:rowOff>0</xdr:rowOff>
        </xdr:from>
        <xdr:to>
          <xdr:col>22</xdr:col>
          <xdr:colOff>182880</xdr:colOff>
          <xdr:row>277</xdr:row>
          <xdr:rowOff>182880</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700-00003A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133</xdr:row>
          <xdr:rowOff>0</xdr:rowOff>
        </xdr:from>
        <xdr:to>
          <xdr:col>22</xdr:col>
          <xdr:colOff>182880</xdr:colOff>
          <xdr:row>133</xdr:row>
          <xdr:rowOff>182880</xdr:rowOff>
        </xdr:to>
        <xdr:sp macro="" textlink="">
          <xdr:nvSpPr>
            <xdr:cNvPr id="7230" name="Check Box 62" hidden="1">
              <a:extLst>
                <a:ext uri="{63B3BB69-23CF-44E3-9099-C40C66FF867C}">
                  <a14:compatExt spid="_x0000_s7230"/>
                </a:ext>
                <a:ext uri="{FF2B5EF4-FFF2-40B4-BE49-F238E27FC236}">
                  <a16:creationId xmlns:a16="http://schemas.microsoft.com/office/drawing/2014/main" id="{00000000-0008-0000-0700-00003E1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twoCellAnchor editAs="oneCell">
    <xdr:from>
      <xdr:col>12</xdr:col>
      <xdr:colOff>58238</xdr:colOff>
      <xdr:row>0</xdr:row>
      <xdr:rowOff>0</xdr:rowOff>
    </xdr:from>
    <xdr:to>
      <xdr:col>22</xdr:col>
      <xdr:colOff>457472</xdr:colOff>
      <xdr:row>4</xdr:row>
      <xdr:rowOff>137141</xdr:rowOff>
    </xdr:to>
    <xdr:pic>
      <xdr:nvPicPr>
        <xdr:cNvPr id="49" name="Picture 48">
          <a:extLst>
            <a:ext uri="{FF2B5EF4-FFF2-40B4-BE49-F238E27FC236}">
              <a16:creationId xmlns:a16="http://schemas.microsoft.com/office/drawing/2014/main" id="{ED5512DF-00A3-42CB-97C2-D86CF531AC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87613" y="0"/>
          <a:ext cx="1856559" cy="857231"/>
        </a:xfrm>
        <a:prstGeom prst="rect">
          <a:avLst/>
        </a:prstGeom>
      </xdr:spPr>
    </xdr:pic>
    <xdr:clientData/>
  </xdr:twoCellAnchor>
  <xdr:twoCellAnchor editAs="oneCell">
    <xdr:from>
      <xdr:col>22</xdr:col>
      <xdr:colOff>571773</xdr:colOff>
      <xdr:row>0</xdr:row>
      <xdr:rowOff>0</xdr:rowOff>
    </xdr:from>
    <xdr:to>
      <xdr:col>22</xdr:col>
      <xdr:colOff>1392475</xdr:colOff>
      <xdr:row>4</xdr:row>
      <xdr:rowOff>197576</xdr:rowOff>
    </xdr:to>
    <xdr:pic>
      <xdr:nvPicPr>
        <xdr:cNvPr id="50" name="Picture 49">
          <a:extLst>
            <a:ext uri="{FF2B5EF4-FFF2-40B4-BE49-F238E27FC236}">
              <a16:creationId xmlns:a16="http://schemas.microsoft.com/office/drawing/2014/main" id="{8680B58A-2B1A-4950-B3DC-0ABD0B07D1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58473" y="0"/>
          <a:ext cx="816892" cy="9252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0</xdr:colOff>
          <xdr:row>14</xdr:row>
          <xdr:rowOff>0</xdr:rowOff>
        </xdr:from>
        <xdr:to>
          <xdr:col>22</xdr:col>
          <xdr:colOff>182880</xdr:colOff>
          <xdr:row>14</xdr:row>
          <xdr:rowOff>182880</xdr:rowOff>
        </xdr:to>
        <xdr:sp macro="" textlink="">
          <xdr:nvSpPr>
            <xdr:cNvPr id="8316" name="Check Box 124" hidden="1">
              <a:extLst>
                <a:ext uri="{63B3BB69-23CF-44E3-9099-C40C66FF867C}">
                  <a14:compatExt spid="_x0000_s8316"/>
                </a:ext>
                <a:ext uri="{FF2B5EF4-FFF2-40B4-BE49-F238E27FC236}">
                  <a16:creationId xmlns:a16="http://schemas.microsoft.com/office/drawing/2014/main" id="{00000000-0008-0000-0800-00007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15</xdr:row>
          <xdr:rowOff>0</xdr:rowOff>
        </xdr:from>
        <xdr:to>
          <xdr:col>22</xdr:col>
          <xdr:colOff>182880</xdr:colOff>
          <xdr:row>15</xdr:row>
          <xdr:rowOff>182880</xdr:rowOff>
        </xdr:to>
        <xdr:sp macro="" textlink="">
          <xdr:nvSpPr>
            <xdr:cNvPr id="8317" name="Check Box 125" hidden="1">
              <a:extLst>
                <a:ext uri="{63B3BB69-23CF-44E3-9099-C40C66FF867C}">
                  <a14:compatExt spid="_x0000_s8317"/>
                </a:ext>
                <a:ext uri="{FF2B5EF4-FFF2-40B4-BE49-F238E27FC236}">
                  <a16:creationId xmlns:a16="http://schemas.microsoft.com/office/drawing/2014/main" id="{00000000-0008-0000-0800-00007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xdr:row>
          <xdr:rowOff>0</xdr:rowOff>
        </xdr:from>
        <xdr:to>
          <xdr:col>22</xdr:col>
          <xdr:colOff>182880</xdr:colOff>
          <xdr:row>16</xdr:row>
          <xdr:rowOff>182880</xdr:rowOff>
        </xdr:to>
        <xdr:sp macro="" textlink="">
          <xdr:nvSpPr>
            <xdr:cNvPr id="8318" name="Check Box 126" hidden="1">
              <a:extLst>
                <a:ext uri="{63B3BB69-23CF-44E3-9099-C40C66FF867C}">
                  <a14:compatExt spid="_x0000_s8318"/>
                </a:ext>
                <a:ext uri="{FF2B5EF4-FFF2-40B4-BE49-F238E27FC236}">
                  <a16:creationId xmlns:a16="http://schemas.microsoft.com/office/drawing/2014/main" id="{00000000-0008-0000-0800-00007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20</xdr:row>
          <xdr:rowOff>0</xdr:rowOff>
        </xdr:from>
        <xdr:to>
          <xdr:col>22</xdr:col>
          <xdr:colOff>182880</xdr:colOff>
          <xdr:row>20</xdr:row>
          <xdr:rowOff>182880</xdr:rowOff>
        </xdr:to>
        <xdr:sp macro="" textlink="">
          <xdr:nvSpPr>
            <xdr:cNvPr id="8319" name="Check Box 127" hidden="1">
              <a:extLst>
                <a:ext uri="{63B3BB69-23CF-44E3-9099-C40C66FF867C}">
                  <a14:compatExt spid="_x0000_s8319"/>
                </a:ext>
                <a:ext uri="{FF2B5EF4-FFF2-40B4-BE49-F238E27FC236}">
                  <a16:creationId xmlns:a16="http://schemas.microsoft.com/office/drawing/2014/main" id="{00000000-0008-0000-0800-00007F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21</xdr:row>
          <xdr:rowOff>0</xdr:rowOff>
        </xdr:from>
        <xdr:to>
          <xdr:col>22</xdr:col>
          <xdr:colOff>182880</xdr:colOff>
          <xdr:row>21</xdr:row>
          <xdr:rowOff>182880</xdr:rowOff>
        </xdr:to>
        <xdr:sp macro="" textlink="">
          <xdr:nvSpPr>
            <xdr:cNvPr id="8320" name="Check Box 128" hidden="1">
              <a:extLst>
                <a:ext uri="{63B3BB69-23CF-44E3-9099-C40C66FF867C}">
                  <a14:compatExt spid="_x0000_s8320"/>
                </a:ext>
                <a:ext uri="{FF2B5EF4-FFF2-40B4-BE49-F238E27FC236}">
                  <a16:creationId xmlns:a16="http://schemas.microsoft.com/office/drawing/2014/main" id="{00000000-0008-0000-0800-000080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22</xdr:row>
          <xdr:rowOff>0</xdr:rowOff>
        </xdr:from>
        <xdr:to>
          <xdr:col>22</xdr:col>
          <xdr:colOff>182880</xdr:colOff>
          <xdr:row>22</xdr:row>
          <xdr:rowOff>182880</xdr:rowOff>
        </xdr:to>
        <xdr:sp macro="" textlink="">
          <xdr:nvSpPr>
            <xdr:cNvPr id="8321" name="Check Box 129" hidden="1">
              <a:extLst>
                <a:ext uri="{63B3BB69-23CF-44E3-9099-C40C66FF867C}">
                  <a14:compatExt spid="_x0000_s8321"/>
                </a:ext>
                <a:ext uri="{FF2B5EF4-FFF2-40B4-BE49-F238E27FC236}">
                  <a16:creationId xmlns:a16="http://schemas.microsoft.com/office/drawing/2014/main" id="{00000000-0008-0000-0800-00008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24</xdr:row>
          <xdr:rowOff>0</xdr:rowOff>
        </xdr:from>
        <xdr:to>
          <xdr:col>22</xdr:col>
          <xdr:colOff>182880</xdr:colOff>
          <xdr:row>24</xdr:row>
          <xdr:rowOff>182880</xdr:rowOff>
        </xdr:to>
        <xdr:sp macro="" textlink="">
          <xdr:nvSpPr>
            <xdr:cNvPr id="8322" name="Check Box 130" hidden="1">
              <a:extLst>
                <a:ext uri="{63B3BB69-23CF-44E3-9099-C40C66FF867C}">
                  <a14:compatExt spid="_x0000_s8322"/>
                </a:ext>
                <a:ext uri="{FF2B5EF4-FFF2-40B4-BE49-F238E27FC236}">
                  <a16:creationId xmlns:a16="http://schemas.microsoft.com/office/drawing/2014/main" id="{00000000-0008-0000-0800-00008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26</xdr:row>
          <xdr:rowOff>0</xdr:rowOff>
        </xdr:from>
        <xdr:to>
          <xdr:col>22</xdr:col>
          <xdr:colOff>182880</xdr:colOff>
          <xdr:row>26</xdr:row>
          <xdr:rowOff>182880</xdr:rowOff>
        </xdr:to>
        <xdr:sp macro="" textlink="">
          <xdr:nvSpPr>
            <xdr:cNvPr id="8323" name="Check Box 131" hidden="1">
              <a:extLst>
                <a:ext uri="{63B3BB69-23CF-44E3-9099-C40C66FF867C}">
                  <a14:compatExt spid="_x0000_s8323"/>
                </a:ext>
                <a:ext uri="{FF2B5EF4-FFF2-40B4-BE49-F238E27FC236}">
                  <a16:creationId xmlns:a16="http://schemas.microsoft.com/office/drawing/2014/main" id="{00000000-0008-0000-0800-00008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27</xdr:row>
          <xdr:rowOff>0</xdr:rowOff>
        </xdr:from>
        <xdr:to>
          <xdr:col>22</xdr:col>
          <xdr:colOff>182880</xdr:colOff>
          <xdr:row>27</xdr:row>
          <xdr:rowOff>182880</xdr:rowOff>
        </xdr:to>
        <xdr:sp macro="" textlink="">
          <xdr:nvSpPr>
            <xdr:cNvPr id="8324" name="Check Box 132" hidden="1">
              <a:extLst>
                <a:ext uri="{63B3BB69-23CF-44E3-9099-C40C66FF867C}">
                  <a14:compatExt spid="_x0000_s8324"/>
                </a:ext>
                <a:ext uri="{FF2B5EF4-FFF2-40B4-BE49-F238E27FC236}">
                  <a16:creationId xmlns:a16="http://schemas.microsoft.com/office/drawing/2014/main" id="{00000000-0008-0000-0800-00008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29</xdr:row>
          <xdr:rowOff>0</xdr:rowOff>
        </xdr:from>
        <xdr:to>
          <xdr:col>22</xdr:col>
          <xdr:colOff>182880</xdr:colOff>
          <xdr:row>29</xdr:row>
          <xdr:rowOff>182880</xdr:rowOff>
        </xdr:to>
        <xdr:sp macro="" textlink="">
          <xdr:nvSpPr>
            <xdr:cNvPr id="8325" name="Check Box 133" hidden="1">
              <a:extLst>
                <a:ext uri="{63B3BB69-23CF-44E3-9099-C40C66FF867C}">
                  <a14:compatExt spid="_x0000_s8325"/>
                </a:ext>
                <a:ext uri="{FF2B5EF4-FFF2-40B4-BE49-F238E27FC236}">
                  <a16:creationId xmlns:a16="http://schemas.microsoft.com/office/drawing/2014/main" id="{00000000-0008-0000-0800-00008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30</xdr:row>
          <xdr:rowOff>0</xdr:rowOff>
        </xdr:from>
        <xdr:to>
          <xdr:col>22</xdr:col>
          <xdr:colOff>182880</xdr:colOff>
          <xdr:row>30</xdr:row>
          <xdr:rowOff>182880</xdr:rowOff>
        </xdr:to>
        <xdr:sp macro="" textlink="">
          <xdr:nvSpPr>
            <xdr:cNvPr id="8326" name="Check Box 134" hidden="1">
              <a:extLst>
                <a:ext uri="{63B3BB69-23CF-44E3-9099-C40C66FF867C}">
                  <a14:compatExt spid="_x0000_s8326"/>
                </a:ext>
                <a:ext uri="{FF2B5EF4-FFF2-40B4-BE49-F238E27FC236}">
                  <a16:creationId xmlns:a16="http://schemas.microsoft.com/office/drawing/2014/main" id="{00000000-0008-0000-0800-00008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31</xdr:row>
          <xdr:rowOff>0</xdr:rowOff>
        </xdr:from>
        <xdr:to>
          <xdr:col>22</xdr:col>
          <xdr:colOff>182880</xdr:colOff>
          <xdr:row>31</xdr:row>
          <xdr:rowOff>182880</xdr:rowOff>
        </xdr:to>
        <xdr:sp macro="" textlink="">
          <xdr:nvSpPr>
            <xdr:cNvPr id="8327" name="Check Box 135" hidden="1">
              <a:extLst>
                <a:ext uri="{63B3BB69-23CF-44E3-9099-C40C66FF867C}">
                  <a14:compatExt spid="_x0000_s8327"/>
                </a:ext>
                <a:ext uri="{FF2B5EF4-FFF2-40B4-BE49-F238E27FC236}">
                  <a16:creationId xmlns:a16="http://schemas.microsoft.com/office/drawing/2014/main" id="{00000000-0008-0000-0800-00008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37</xdr:row>
          <xdr:rowOff>0</xdr:rowOff>
        </xdr:from>
        <xdr:to>
          <xdr:col>22</xdr:col>
          <xdr:colOff>182880</xdr:colOff>
          <xdr:row>37</xdr:row>
          <xdr:rowOff>182880</xdr:rowOff>
        </xdr:to>
        <xdr:sp macro="" textlink="">
          <xdr:nvSpPr>
            <xdr:cNvPr id="8328" name="Check Box 136" hidden="1">
              <a:extLst>
                <a:ext uri="{63B3BB69-23CF-44E3-9099-C40C66FF867C}">
                  <a14:compatExt spid="_x0000_s8328"/>
                </a:ext>
                <a:ext uri="{FF2B5EF4-FFF2-40B4-BE49-F238E27FC236}">
                  <a16:creationId xmlns:a16="http://schemas.microsoft.com/office/drawing/2014/main" id="{00000000-0008-0000-0800-000088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41</xdr:row>
          <xdr:rowOff>0</xdr:rowOff>
        </xdr:from>
        <xdr:to>
          <xdr:col>22</xdr:col>
          <xdr:colOff>182880</xdr:colOff>
          <xdr:row>41</xdr:row>
          <xdr:rowOff>182880</xdr:rowOff>
        </xdr:to>
        <xdr:sp macro="" textlink="">
          <xdr:nvSpPr>
            <xdr:cNvPr id="8329" name="Check Box 137" hidden="1">
              <a:extLst>
                <a:ext uri="{63B3BB69-23CF-44E3-9099-C40C66FF867C}">
                  <a14:compatExt spid="_x0000_s8329"/>
                </a:ext>
                <a:ext uri="{FF2B5EF4-FFF2-40B4-BE49-F238E27FC236}">
                  <a16:creationId xmlns:a16="http://schemas.microsoft.com/office/drawing/2014/main" id="{00000000-0008-0000-0800-000089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43</xdr:row>
          <xdr:rowOff>0</xdr:rowOff>
        </xdr:from>
        <xdr:to>
          <xdr:col>22</xdr:col>
          <xdr:colOff>182880</xdr:colOff>
          <xdr:row>43</xdr:row>
          <xdr:rowOff>182880</xdr:rowOff>
        </xdr:to>
        <xdr:sp macro="" textlink="">
          <xdr:nvSpPr>
            <xdr:cNvPr id="8330" name="Check Box 138" hidden="1">
              <a:extLst>
                <a:ext uri="{63B3BB69-23CF-44E3-9099-C40C66FF867C}">
                  <a14:compatExt spid="_x0000_s8330"/>
                </a:ext>
                <a:ext uri="{FF2B5EF4-FFF2-40B4-BE49-F238E27FC236}">
                  <a16:creationId xmlns:a16="http://schemas.microsoft.com/office/drawing/2014/main" id="{00000000-0008-0000-0800-00008A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45</xdr:row>
          <xdr:rowOff>0</xdr:rowOff>
        </xdr:from>
        <xdr:to>
          <xdr:col>22</xdr:col>
          <xdr:colOff>182880</xdr:colOff>
          <xdr:row>45</xdr:row>
          <xdr:rowOff>182880</xdr:rowOff>
        </xdr:to>
        <xdr:sp macro="" textlink="">
          <xdr:nvSpPr>
            <xdr:cNvPr id="8331" name="Check Box 139" hidden="1">
              <a:extLst>
                <a:ext uri="{63B3BB69-23CF-44E3-9099-C40C66FF867C}">
                  <a14:compatExt spid="_x0000_s8331"/>
                </a:ext>
                <a:ext uri="{FF2B5EF4-FFF2-40B4-BE49-F238E27FC236}">
                  <a16:creationId xmlns:a16="http://schemas.microsoft.com/office/drawing/2014/main" id="{00000000-0008-0000-0800-00008B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46</xdr:row>
          <xdr:rowOff>0</xdr:rowOff>
        </xdr:from>
        <xdr:to>
          <xdr:col>22</xdr:col>
          <xdr:colOff>182880</xdr:colOff>
          <xdr:row>46</xdr:row>
          <xdr:rowOff>182880</xdr:rowOff>
        </xdr:to>
        <xdr:sp macro="" textlink="">
          <xdr:nvSpPr>
            <xdr:cNvPr id="8332" name="Check Box 140" hidden="1">
              <a:extLst>
                <a:ext uri="{63B3BB69-23CF-44E3-9099-C40C66FF867C}">
                  <a14:compatExt spid="_x0000_s8332"/>
                </a:ext>
                <a:ext uri="{FF2B5EF4-FFF2-40B4-BE49-F238E27FC236}">
                  <a16:creationId xmlns:a16="http://schemas.microsoft.com/office/drawing/2014/main" id="{00000000-0008-0000-0800-00008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48</xdr:row>
          <xdr:rowOff>0</xdr:rowOff>
        </xdr:from>
        <xdr:to>
          <xdr:col>22</xdr:col>
          <xdr:colOff>182880</xdr:colOff>
          <xdr:row>48</xdr:row>
          <xdr:rowOff>182880</xdr:rowOff>
        </xdr:to>
        <xdr:sp macro="" textlink="">
          <xdr:nvSpPr>
            <xdr:cNvPr id="8333" name="Check Box 141" hidden="1">
              <a:extLst>
                <a:ext uri="{63B3BB69-23CF-44E3-9099-C40C66FF867C}">
                  <a14:compatExt spid="_x0000_s8333"/>
                </a:ext>
                <a:ext uri="{FF2B5EF4-FFF2-40B4-BE49-F238E27FC236}">
                  <a16:creationId xmlns:a16="http://schemas.microsoft.com/office/drawing/2014/main" id="{00000000-0008-0000-0800-00008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50</xdr:row>
          <xdr:rowOff>0</xdr:rowOff>
        </xdr:from>
        <xdr:to>
          <xdr:col>22</xdr:col>
          <xdr:colOff>182880</xdr:colOff>
          <xdr:row>50</xdr:row>
          <xdr:rowOff>182880</xdr:rowOff>
        </xdr:to>
        <xdr:sp macro="" textlink="">
          <xdr:nvSpPr>
            <xdr:cNvPr id="8334" name="Check Box 142" hidden="1">
              <a:extLst>
                <a:ext uri="{63B3BB69-23CF-44E3-9099-C40C66FF867C}">
                  <a14:compatExt spid="_x0000_s8334"/>
                </a:ext>
                <a:ext uri="{FF2B5EF4-FFF2-40B4-BE49-F238E27FC236}">
                  <a16:creationId xmlns:a16="http://schemas.microsoft.com/office/drawing/2014/main" id="{00000000-0008-0000-0800-00008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51</xdr:row>
          <xdr:rowOff>0</xdr:rowOff>
        </xdr:from>
        <xdr:to>
          <xdr:col>22</xdr:col>
          <xdr:colOff>182880</xdr:colOff>
          <xdr:row>51</xdr:row>
          <xdr:rowOff>182880</xdr:rowOff>
        </xdr:to>
        <xdr:sp macro="" textlink="">
          <xdr:nvSpPr>
            <xdr:cNvPr id="8335" name="Check Box 143" hidden="1">
              <a:extLst>
                <a:ext uri="{63B3BB69-23CF-44E3-9099-C40C66FF867C}">
                  <a14:compatExt spid="_x0000_s8335"/>
                </a:ext>
                <a:ext uri="{FF2B5EF4-FFF2-40B4-BE49-F238E27FC236}">
                  <a16:creationId xmlns:a16="http://schemas.microsoft.com/office/drawing/2014/main" id="{00000000-0008-0000-0800-00008F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53</xdr:row>
          <xdr:rowOff>0</xdr:rowOff>
        </xdr:from>
        <xdr:to>
          <xdr:col>22</xdr:col>
          <xdr:colOff>182880</xdr:colOff>
          <xdr:row>53</xdr:row>
          <xdr:rowOff>182880</xdr:rowOff>
        </xdr:to>
        <xdr:sp macro="" textlink="">
          <xdr:nvSpPr>
            <xdr:cNvPr id="8336" name="Check Box 144" hidden="1">
              <a:extLst>
                <a:ext uri="{63B3BB69-23CF-44E3-9099-C40C66FF867C}">
                  <a14:compatExt spid="_x0000_s8336"/>
                </a:ext>
                <a:ext uri="{FF2B5EF4-FFF2-40B4-BE49-F238E27FC236}">
                  <a16:creationId xmlns:a16="http://schemas.microsoft.com/office/drawing/2014/main" id="{00000000-0008-0000-0800-000090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55</xdr:row>
          <xdr:rowOff>0</xdr:rowOff>
        </xdr:from>
        <xdr:to>
          <xdr:col>22</xdr:col>
          <xdr:colOff>182880</xdr:colOff>
          <xdr:row>55</xdr:row>
          <xdr:rowOff>182880</xdr:rowOff>
        </xdr:to>
        <xdr:sp macro="" textlink="">
          <xdr:nvSpPr>
            <xdr:cNvPr id="8337" name="Check Box 145" hidden="1">
              <a:extLst>
                <a:ext uri="{63B3BB69-23CF-44E3-9099-C40C66FF867C}">
                  <a14:compatExt spid="_x0000_s8337"/>
                </a:ext>
                <a:ext uri="{FF2B5EF4-FFF2-40B4-BE49-F238E27FC236}">
                  <a16:creationId xmlns:a16="http://schemas.microsoft.com/office/drawing/2014/main" id="{00000000-0008-0000-0800-00009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57</xdr:row>
          <xdr:rowOff>0</xdr:rowOff>
        </xdr:from>
        <xdr:to>
          <xdr:col>22</xdr:col>
          <xdr:colOff>182880</xdr:colOff>
          <xdr:row>57</xdr:row>
          <xdr:rowOff>182880</xdr:rowOff>
        </xdr:to>
        <xdr:sp macro="" textlink="">
          <xdr:nvSpPr>
            <xdr:cNvPr id="8338" name="Check Box 146" hidden="1">
              <a:extLst>
                <a:ext uri="{63B3BB69-23CF-44E3-9099-C40C66FF867C}">
                  <a14:compatExt spid="_x0000_s8338"/>
                </a:ext>
                <a:ext uri="{FF2B5EF4-FFF2-40B4-BE49-F238E27FC236}">
                  <a16:creationId xmlns:a16="http://schemas.microsoft.com/office/drawing/2014/main" id="{00000000-0008-0000-0800-00009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58</xdr:row>
          <xdr:rowOff>0</xdr:rowOff>
        </xdr:from>
        <xdr:to>
          <xdr:col>22</xdr:col>
          <xdr:colOff>182880</xdr:colOff>
          <xdr:row>58</xdr:row>
          <xdr:rowOff>182880</xdr:rowOff>
        </xdr:to>
        <xdr:sp macro="" textlink="">
          <xdr:nvSpPr>
            <xdr:cNvPr id="8339" name="Check Box 147" hidden="1">
              <a:extLst>
                <a:ext uri="{63B3BB69-23CF-44E3-9099-C40C66FF867C}">
                  <a14:compatExt spid="_x0000_s8339"/>
                </a:ext>
                <a:ext uri="{FF2B5EF4-FFF2-40B4-BE49-F238E27FC236}">
                  <a16:creationId xmlns:a16="http://schemas.microsoft.com/office/drawing/2014/main" id="{00000000-0008-0000-0800-00009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59</xdr:row>
          <xdr:rowOff>0</xdr:rowOff>
        </xdr:from>
        <xdr:to>
          <xdr:col>22</xdr:col>
          <xdr:colOff>182880</xdr:colOff>
          <xdr:row>59</xdr:row>
          <xdr:rowOff>182880</xdr:rowOff>
        </xdr:to>
        <xdr:sp macro="" textlink="">
          <xdr:nvSpPr>
            <xdr:cNvPr id="8340" name="Check Box 148" hidden="1">
              <a:extLst>
                <a:ext uri="{63B3BB69-23CF-44E3-9099-C40C66FF867C}">
                  <a14:compatExt spid="_x0000_s8340"/>
                </a:ext>
                <a:ext uri="{FF2B5EF4-FFF2-40B4-BE49-F238E27FC236}">
                  <a16:creationId xmlns:a16="http://schemas.microsoft.com/office/drawing/2014/main" id="{00000000-0008-0000-0800-00009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80</xdr:row>
          <xdr:rowOff>0</xdr:rowOff>
        </xdr:from>
        <xdr:to>
          <xdr:col>22</xdr:col>
          <xdr:colOff>182880</xdr:colOff>
          <xdr:row>80</xdr:row>
          <xdr:rowOff>182880</xdr:rowOff>
        </xdr:to>
        <xdr:sp macro="" textlink="">
          <xdr:nvSpPr>
            <xdr:cNvPr id="8341" name="Check Box 149" hidden="1">
              <a:extLst>
                <a:ext uri="{63B3BB69-23CF-44E3-9099-C40C66FF867C}">
                  <a14:compatExt spid="_x0000_s8341"/>
                </a:ext>
                <a:ext uri="{FF2B5EF4-FFF2-40B4-BE49-F238E27FC236}">
                  <a16:creationId xmlns:a16="http://schemas.microsoft.com/office/drawing/2014/main" id="{00000000-0008-0000-0800-00009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83</xdr:row>
          <xdr:rowOff>0</xdr:rowOff>
        </xdr:from>
        <xdr:to>
          <xdr:col>22</xdr:col>
          <xdr:colOff>182880</xdr:colOff>
          <xdr:row>83</xdr:row>
          <xdr:rowOff>182880</xdr:rowOff>
        </xdr:to>
        <xdr:sp macro="" textlink="">
          <xdr:nvSpPr>
            <xdr:cNvPr id="8342" name="Check Box 150" hidden="1">
              <a:extLst>
                <a:ext uri="{63B3BB69-23CF-44E3-9099-C40C66FF867C}">
                  <a14:compatExt spid="_x0000_s8342"/>
                </a:ext>
                <a:ext uri="{FF2B5EF4-FFF2-40B4-BE49-F238E27FC236}">
                  <a16:creationId xmlns:a16="http://schemas.microsoft.com/office/drawing/2014/main" id="{00000000-0008-0000-0800-00009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86</xdr:row>
          <xdr:rowOff>0</xdr:rowOff>
        </xdr:from>
        <xdr:to>
          <xdr:col>22</xdr:col>
          <xdr:colOff>182880</xdr:colOff>
          <xdr:row>86</xdr:row>
          <xdr:rowOff>182880</xdr:rowOff>
        </xdr:to>
        <xdr:sp macro="" textlink="">
          <xdr:nvSpPr>
            <xdr:cNvPr id="8343" name="Check Box 151" hidden="1">
              <a:extLst>
                <a:ext uri="{63B3BB69-23CF-44E3-9099-C40C66FF867C}">
                  <a14:compatExt spid="_x0000_s8343"/>
                </a:ext>
                <a:ext uri="{FF2B5EF4-FFF2-40B4-BE49-F238E27FC236}">
                  <a16:creationId xmlns:a16="http://schemas.microsoft.com/office/drawing/2014/main" id="{00000000-0008-0000-0800-00009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88</xdr:row>
          <xdr:rowOff>0</xdr:rowOff>
        </xdr:from>
        <xdr:to>
          <xdr:col>22</xdr:col>
          <xdr:colOff>182880</xdr:colOff>
          <xdr:row>88</xdr:row>
          <xdr:rowOff>182880</xdr:rowOff>
        </xdr:to>
        <xdr:sp macro="" textlink="">
          <xdr:nvSpPr>
            <xdr:cNvPr id="8344" name="Check Box 152" hidden="1">
              <a:extLst>
                <a:ext uri="{63B3BB69-23CF-44E3-9099-C40C66FF867C}">
                  <a14:compatExt spid="_x0000_s8344"/>
                </a:ext>
                <a:ext uri="{FF2B5EF4-FFF2-40B4-BE49-F238E27FC236}">
                  <a16:creationId xmlns:a16="http://schemas.microsoft.com/office/drawing/2014/main" id="{00000000-0008-0000-0800-000098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89</xdr:row>
          <xdr:rowOff>0</xdr:rowOff>
        </xdr:from>
        <xdr:to>
          <xdr:col>22</xdr:col>
          <xdr:colOff>182880</xdr:colOff>
          <xdr:row>89</xdr:row>
          <xdr:rowOff>182880</xdr:rowOff>
        </xdr:to>
        <xdr:sp macro="" textlink="">
          <xdr:nvSpPr>
            <xdr:cNvPr id="8345" name="Check Box 153" hidden="1">
              <a:extLst>
                <a:ext uri="{63B3BB69-23CF-44E3-9099-C40C66FF867C}">
                  <a14:compatExt spid="_x0000_s8345"/>
                </a:ext>
                <a:ext uri="{FF2B5EF4-FFF2-40B4-BE49-F238E27FC236}">
                  <a16:creationId xmlns:a16="http://schemas.microsoft.com/office/drawing/2014/main" id="{00000000-0008-0000-0800-000099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91</xdr:row>
          <xdr:rowOff>0</xdr:rowOff>
        </xdr:from>
        <xdr:to>
          <xdr:col>22</xdr:col>
          <xdr:colOff>182880</xdr:colOff>
          <xdr:row>91</xdr:row>
          <xdr:rowOff>182880</xdr:rowOff>
        </xdr:to>
        <xdr:sp macro="" textlink="">
          <xdr:nvSpPr>
            <xdr:cNvPr id="8346" name="Check Box 154" hidden="1">
              <a:extLst>
                <a:ext uri="{63B3BB69-23CF-44E3-9099-C40C66FF867C}">
                  <a14:compatExt spid="_x0000_s8346"/>
                </a:ext>
                <a:ext uri="{FF2B5EF4-FFF2-40B4-BE49-F238E27FC236}">
                  <a16:creationId xmlns:a16="http://schemas.microsoft.com/office/drawing/2014/main" id="{00000000-0008-0000-0800-00009A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92</xdr:row>
          <xdr:rowOff>0</xdr:rowOff>
        </xdr:from>
        <xdr:to>
          <xdr:col>22</xdr:col>
          <xdr:colOff>182880</xdr:colOff>
          <xdr:row>92</xdr:row>
          <xdr:rowOff>182880</xdr:rowOff>
        </xdr:to>
        <xdr:sp macro="" textlink="">
          <xdr:nvSpPr>
            <xdr:cNvPr id="8347" name="Check Box 155" hidden="1">
              <a:extLst>
                <a:ext uri="{63B3BB69-23CF-44E3-9099-C40C66FF867C}">
                  <a14:compatExt spid="_x0000_s8347"/>
                </a:ext>
                <a:ext uri="{FF2B5EF4-FFF2-40B4-BE49-F238E27FC236}">
                  <a16:creationId xmlns:a16="http://schemas.microsoft.com/office/drawing/2014/main" id="{00000000-0008-0000-0800-00009B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93</xdr:row>
          <xdr:rowOff>0</xdr:rowOff>
        </xdr:from>
        <xdr:to>
          <xdr:col>22</xdr:col>
          <xdr:colOff>182880</xdr:colOff>
          <xdr:row>93</xdr:row>
          <xdr:rowOff>182880</xdr:rowOff>
        </xdr:to>
        <xdr:sp macro="" textlink="">
          <xdr:nvSpPr>
            <xdr:cNvPr id="8348" name="Check Box 156" hidden="1">
              <a:extLst>
                <a:ext uri="{63B3BB69-23CF-44E3-9099-C40C66FF867C}">
                  <a14:compatExt spid="_x0000_s8348"/>
                </a:ext>
                <a:ext uri="{FF2B5EF4-FFF2-40B4-BE49-F238E27FC236}">
                  <a16:creationId xmlns:a16="http://schemas.microsoft.com/office/drawing/2014/main" id="{00000000-0008-0000-0800-00009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99</xdr:row>
          <xdr:rowOff>0</xdr:rowOff>
        </xdr:from>
        <xdr:to>
          <xdr:col>22</xdr:col>
          <xdr:colOff>182880</xdr:colOff>
          <xdr:row>99</xdr:row>
          <xdr:rowOff>182880</xdr:rowOff>
        </xdr:to>
        <xdr:sp macro="" textlink="">
          <xdr:nvSpPr>
            <xdr:cNvPr id="8349" name="Check Box 157" hidden="1">
              <a:extLst>
                <a:ext uri="{63B3BB69-23CF-44E3-9099-C40C66FF867C}">
                  <a14:compatExt spid="_x0000_s8349"/>
                </a:ext>
                <a:ext uri="{FF2B5EF4-FFF2-40B4-BE49-F238E27FC236}">
                  <a16:creationId xmlns:a16="http://schemas.microsoft.com/office/drawing/2014/main" id="{00000000-0008-0000-0800-00009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101</xdr:row>
          <xdr:rowOff>0</xdr:rowOff>
        </xdr:from>
        <xdr:to>
          <xdr:col>22</xdr:col>
          <xdr:colOff>182880</xdr:colOff>
          <xdr:row>101</xdr:row>
          <xdr:rowOff>182880</xdr:rowOff>
        </xdr:to>
        <xdr:sp macro="" textlink="">
          <xdr:nvSpPr>
            <xdr:cNvPr id="8350" name="Check Box 158" hidden="1">
              <a:extLst>
                <a:ext uri="{63B3BB69-23CF-44E3-9099-C40C66FF867C}">
                  <a14:compatExt spid="_x0000_s8350"/>
                </a:ext>
                <a:ext uri="{FF2B5EF4-FFF2-40B4-BE49-F238E27FC236}">
                  <a16:creationId xmlns:a16="http://schemas.microsoft.com/office/drawing/2014/main" id="{00000000-0008-0000-0800-00009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104</xdr:row>
          <xdr:rowOff>0</xdr:rowOff>
        </xdr:from>
        <xdr:to>
          <xdr:col>22</xdr:col>
          <xdr:colOff>182880</xdr:colOff>
          <xdr:row>104</xdr:row>
          <xdr:rowOff>182880</xdr:rowOff>
        </xdr:to>
        <xdr:sp macro="" textlink="">
          <xdr:nvSpPr>
            <xdr:cNvPr id="8351" name="Check Box 159" hidden="1">
              <a:extLst>
                <a:ext uri="{63B3BB69-23CF-44E3-9099-C40C66FF867C}">
                  <a14:compatExt spid="_x0000_s8351"/>
                </a:ext>
                <a:ext uri="{FF2B5EF4-FFF2-40B4-BE49-F238E27FC236}">
                  <a16:creationId xmlns:a16="http://schemas.microsoft.com/office/drawing/2014/main" id="{00000000-0008-0000-0800-00009F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106</xdr:row>
          <xdr:rowOff>0</xdr:rowOff>
        </xdr:from>
        <xdr:to>
          <xdr:col>22</xdr:col>
          <xdr:colOff>182880</xdr:colOff>
          <xdr:row>106</xdr:row>
          <xdr:rowOff>182880</xdr:rowOff>
        </xdr:to>
        <xdr:sp macro="" textlink="">
          <xdr:nvSpPr>
            <xdr:cNvPr id="8352" name="Check Box 160" hidden="1">
              <a:extLst>
                <a:ext uri="{63B3BB69-23CF-44E3-9099-C40C66FF867C}">
                  <a14:compatExt spid="_x0000_s8352"/>
                </a:ext>
                <a:ext uri="{FF2B5EF4-FFF2-40B4-BE49-F238E27FC236}">
                  <a16:creationId xmlns:a16="http://schemas.microsoft.com/office/drawing/2014/main" id="{00000000-0008-0000-0800-0000A0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109</xdr:row>
          <xdr:rowOff>0</xdr:rowOff>
        </xdr:from>
        <xdr:to>
          <xdr:col>22</xdr:col>
          <xdr:colOff>182880</xdr:colOff>
          <xdr:row>109</xdr:row>
          <xdr:rowOff>182880</xdr:rowOff>
        </xdr:to>
        <xdr:sp macro="" textlink="">
          <xdr:nvSpPr>
            <xdr:cNvPr id="8353" name="Check Box 161" hidden="1">
              <a:extLst>
                <a:ext uri="{63B3BB69-23CF-44E3-9099-C40C66FF867C}">
                  <a14:compatExt spid="_x0000_s8353"/>
                </a:ext>
                <a:ext uri="{FF2B5EF4-FFF2-40B4-BE49-F238E27FC236}">
                  <a16:creationId xmlns:a16="http://schemas.microsoft.com/office/drawing/2014/main" id="{00000000-0008-0000-0800-0000A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111</xdr:row>
          <xdr:rowOff>0</xdr:rowOff>
        </xdr:from>
        <xdr:to>
          <xdr:col>22</xdr:col>
          <xdr:colOff>182880</xdr:colOff>
          <xdr:row>111</xdr:row>
          <xdr:rowOff>182880</xdr:rowOff>
        </xdr:to>
        <xdr:sp macro="" textlink="">
          <xdr:nvSpPr>
            <xdr:cNvPr id="8354" name="Check Box 162" hidden="1">
              <a:extLst>
                <a:ext uri="{63B3BB69-23CF-44E3-9099-C40C66FF867C}">
                  <a14:compatExt spid="_x0000_s8354"/>
                </a:ext>
                <a:ext uri="{FF2B5EF4-FFF2-40B4-BE49-F238E27FC236}">
                  <a16:creationId xmlns:a16="http://schemas.microsoft.com/office/drawing/2014/main" id="{00000000-0008-0000-0800-0000A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112</xdr:row>
          <xdr:rowOff>0</xdr:rowOff>
        </xdr:from>
        <xdr:to>
          <xdr:col>22</xdr:col>
          <xdr:colOff>182880</xdr:colOff>
          <xdr:row>112</xdr:row>
          <xdr:rowOff>182880</xdr:rowOff>
        </xdr:to>
        <xdr:sp macro="" textlink="">
          <xdr:nvSpPr>
            <xdr:cNvPr id="8355" name="Check Box 163" hidden="1">
              <a:extLst>
                <a:ext uri="{63B3BB69-23CF-44E3-9099-C40C66FF867C}">
                  <a14:compatExt spid="_x0000_s8355"/>
                </a:ext>
                <a:ext uri="{FF2B5EF4-FFF2-40B4-BE49-F238E27FC236}">
                  <a16:creationId xmlns:a16="http://schemas.microsoft.com/office/drawing/2014/main" id="{00000000-0008-0000-0800-0000A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114</xdr:row>
          <xdr:rowOff>0</xdr:rowOff>
        </xdr:from>
        <xdr:to>
          <xdr:col>22</xdr:col>
          <xdr:colOff>182880</xdr:colOff>
          <xdr:row>114</xdr:row>
          <xdr:rowOff>182880</xdr:rowOff>
        </xdr:to>
        <xdr:sp macro="" textlink="">
          <xdr:nvSpPr>
            <xdr:cNvPr id="8356" name="Check Box 164" hidden="1">
              <a:extLst>
                <a:ext uri="{63B3BB69-23CF-44E3-9099-C40C66FF867C}">
                  <a14:compatExt spid="_x0000_s8356"/>
                </a:ext>
                <a:ext uri="{FF2B5EF4-FFF2-40B4-BE49-F238E27FC236}">
                  <a16:creationId xmlns:a16="http://schemas.microsoft.com/office/drawing/2014/main" id="{00000000-0008-0000-0800-0000A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116</xdr:row>
          <xdr:rowOff>0</xdr:rowOff>
        </xdr:from>
        <xdr:to>
          <xdr:col>22</xdr:col>
          <xdr:colOff>182880</xdr:colOff>
          <xdr:row>116</xdr:row>
          <xdr:rowOff>182880</xdr:rowOff>
        </xdr:to>
        <xdr:sp macro="" textlink="">
          <xdr:nvSpPr>
            <xdr:cNvPr id="8357" name="Check Box 165" hidden="1">
              <a:extLst>
                <a:ext uri="{63B3BB69-23CF-44E3-9099-C40C66FF867C}">
                  <a14:compatExt spid="_x0000_s8357"/>
                </a:ext>
                <a:ext uri="{FF2B5EF4-FFF2-40B4-BE49-F238E27FC236}">
                  <a16:creationId xmlns:a16="http://schemas.microsoft.com/office/drawing/2014/main" id="{00000000-0008-0000-0800-0000A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117</xdr:row>
          <xdr:rowOff>0</xdr:rowOff>
        </xdr:from>
        <xdr:to>
          <xdr:col>22</xdr:col>
          <xdr:colOff>182880</xdr:colOff>
          <xdr:row>117</xdr:row>
          <xdr:rowOff>182880</xdr:rowOff>
        </xdr:to>
        <xdr:sp macro="" textlink="">
          <xdr:nvSpPr>
            <xdr:cNvPr id="8358" name="Check Box 166" hidden="1">
              <a:extLst>
                <a:ext uri="{63B3BB69-23CF-44E3-9099-C40C66FF867C}">
                  <a14:compatExt spid="_x0000_s8358"/>
                </a:ext>
                <a:ext uri="{FF2B5EF4-FFF2-40B4-BE49-F238E27FC236}">
                  <a16:creationId xmlns:a16="http://schemas.microsoft.com/office/drawing/2014/main" id="{00000000-0008-0000-0800-0000A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120</xdr:row>
          <xdr:rowOff>0</xdr:rowOff>
        </xdr:from>
        <xdr:to>
          <xdr:col>22</xdr:col>
          <xdr:colOff>182880</xdr:colOff>
          <xdr:row>120</xdr:row>
          <xdr:rowOff>182880</xdr:rowOff>
        </xdr:to>
        <xdr:sp macro="" textlink="">
          <xdr:nvSpPr>
            <xdr:cNvPr id="8359" name="Check Box 167" hidden="1">
              <a:extLst>
                <a:ext uri="{63B3BB69-23CF-44E3-9099-C40C66FF867C}">
                  <a14:compatExt spid="_x0000_s8359"/>
                </a:ext>
                <a:ext uri="{FF2B5EF4-FFF2-40B4-BE49-F238E27FC236}">
                  <a16:creationId xmlns:a16="http://schemas.microsoft.com/office/drawing/2014/main" id="{00000000-0008-0000-0800-0000A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126</xdr:row>
          <xdr:rowOff>0</xdr:rowOff>
        </xdr:from>
        <xdr:to>
          <xdr:col>22</xdr:col>
          <xdr:colOff>182880</xdr:colOff>
          <xdr:row>126</xdr:row>
          <xdr:rowOff>182880</xdr:rowOff>
        </xdr:to>
        <xdr:sp macro="" textlink="">
          <xdr:nvSpPr>
            <xdr:cNvPr id="8360" name="Check Box 168" hidden="1">
              <a:extLst>
                <a:ext uri="{63B3BB69-23CF-44E3-9099-C40C66FF867C}">
                  <a14:compatExt spid="_x0000_s8360"/>
                </a:ext>
                <a:ext uri="{FF2B5EF4-FFF2-40B4-BE49-F238E27FC236}">
                  <a16:creationId xmlns:a16="http://schemas.microsoft.com/office/drawing/2014/main" id="{00000000-0008-0000-0800-0000A8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128</xdr:row>
          <xdr:rowOff>0</xdr:rowOff>
        </xdr:from>
        <xdr:to>
          <xdr:col>22</xdr:col>
          <xdr:colOff>182880</xdr:colOff>
          <xdr:row>128</xdr:row>
          <xdr:rowOff>182880</xdr:rowOff>
        </xdr:to>
        <xdr:sp macro="" textlink="">
          <xdr:nvSpPr>
            <xdr:cNvPr id="8361" name="Check Box 169" hidden="1">
              <a:extLst>
                <a:ext uri="{63B3BB69-23CF-44E3-9099-C40C66FF867C}">
                  <a14:compatExt spid="_x0000_s8361"/>
                </a:ext>
                <a:ext uri="{FF2B5EF4-FFF2-40B4-BE49-F238E27FC236}">
                  <a16:creationId xmlns:a16="http://schemas.microsoft.com/office/drawing/2014/main" id="{00000000-0008-0000-0800-0000A9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132</xdr:row>
          <xdr:rowOff>0</xdr:rowOff>
        </xdr:from>
        <xdr:to>
          <xdr:col>22</xdr:col>
          <xdr:colOff>182880</xdr:colOff>
          <xdr:row>132</xdr:row>
          <xdr:rowOff>182880</xdr:rowOff>
        </xdr:to>
        <xdr:sp macro="" textlink="">
          <xdr:nvSpPr>
            <xdr:cNvPr id="8362" name="Check Box 170" hidden="1">
              <a:extLst>
                <a:ext uri="{63B3BB69-23CF-44E3-9099-C40C66FF867C}">
                  <a14:compatExt spid="_x0000_s8362"/>
                </a:ext>
                <a:ext uri="{FF2B5EF4-FFF2-40B4-BE49-F238E27FC236}">
                  <a16:creationId xmlns:a16="http://schemas.microsoft.com/office/drawing/2014/main" id="{00000000-0008-0000-0800-0000AA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139</xdr:row>
          <xdr:rowOff>0</xdr:rowOff>
        </xdr:from>
        <xdr:to>
          <xdr:col>22</xdr:col>
          <xdr:colOff>182880</xdr:colOff>
          <xdr:row>139</xdr:row>
          <xdr:rowOff>182880</xdr:rowOff>
        </xdr:to>
        <xdr:sp macro="" textlink="">
          <xdr:nvSpPr>
            <xdr:cNvPr id="8363" name="Check Box 171" hidden="1">
              <a:extLst>
                <a:ext uri="{63B3BB69-23CF-44E3-9099-C40C66FF867C}">
                  <a14:compatExt spid="_x0000_s8363"/>
                </a:ext>
                <a:ext uri="{FF2B5EF4-FFF2-40B4-BE49-F238E27FC236}">
                  <a16:creationId xmlns:a16="http://schemas.microsoft.com/office/drawing/2014/main" id="{00000000-0008-0000-0800-0000AB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141</xdr:row>
          <xdr:rowOff>0</xdr:rowOff>
        </xdr:from>
        <xdr:to>
          <xdr:col>22</xdr:col>
          <xdr:colOff>182880</xdr:colOff>
          <xdr:row>141</xdr:row>
          <xdr:rowOff>182880</xdr:rowOff>
        </xdr:to>
        <xdr:sp macro="" textlink="">
          <xdr:nvSpPr>
            <xdr:cNvPr id="8364" name="Check Box 172" hidden="1">
              <a:extLst>
                <a:ext uri="{63B3BB69-23CF-44E3-9099-C40C66FF867C}">
                  <a14:compatExt spid="_x0000_s8364"/>
                </a:ext>
                <a:ext uri="{FF2B5EF4-FFF2-40B4-BE49-F238E27FC236}">
                  <a16:creationId xmlns:a16="http://schemas.microsoft.com/office/drawing/2014/main" id="{00000000-0008-0000-0800-0000AC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142</xdr:row>
          <xdr:rowOff>0</xdr:rowOff>
        </xdr:from>
        <xdr:to>
          <xdr:col>22</xdr:col>
          <xdr:colOff>182880</xdr:colOff>
          <xdr:row>142</xdr:row>
          <xdr:rowOff>182880</xdr:rowOff>
        </xdr:to>
        <xdr:sp macro="" textlink="">
          <xdr:nvSpPr>
            <xdr:cNvPr id="8365" name="Check Box 173" hidden="1">
              <a:extLst>
                <a:ext uri="{63B3BB69-23CF-44E3-9099-C40C66FF867C}">
                  <a14:compatExt spid="_x0000_s8365"/>
                </a:ext>
                <a:ext uri="{FF2B5EF4-FFF2-40B4-BE49-F238E27FC236}">
                  <a16:creationId xmlns:a16="http://schemas.microsoft.com/office/drawing/2014/main" id="{00000000-0008-0000-0800-0000AD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144</xdr:row>
          <xdr:rowOff>0</xdr:rowOff>
        </xdr:from>
        <xdr:to>
          <xdr:col>22</xdr:col>
          <xdr:colOff>182880</xdr:colOff>
          <xdr:row>144</xdr:row>
          <xdr:rowOff>182880</xdr:rowOff>
        </xdr:to>
        <xdr:sp macro="" textlink="">
          <xdr:nvSpPr>
            <xdr:cNvPr id="8366" name="Check Box 174" hidden="1">
              <a:extLst>
                <a:ext uri="{63B3BB69-23CF-44E3-9099-C40C66FF867C}">
                  <a14:compatExt spid="_x0000_s8366"/>
                </a:ext>
                <a:ext uri="{FF2B5EF4-FFF2-40B4-BE49-F238E27FC236}">
                  <a16:creationId xmlns:a16="http://schemas.microsoft.com/office/drawing/2014/main" id="{00000000-0008-0000-0800-0000AE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145</xdr:row>
          <xdr:rowOff>0</xdr:rowOff>
        </xdr:from>
        <xdr:to>
          <xdr:col>22</xdr:col>
          <xdr:colOff>182880</xdr:colOff>
          <xdr:row>145</xdr:row>
          <xdr:rowOff>182880</xdr:rowOff>
        </xdr:to>
        <xdr:sp macro="" textlink="">
          <xdr:nvSpPr>
            <xdr:cNvPr id="8367" name="Check Box 175" hidden="1">
              <a:extLst>
                <a:ext uri="{63B3BB69-23CF-44E3-9099-C40C66FF867C}">
                  <a14:compatExt spid="_x0000_s8367"/>
                </a:ext>
                <a:ext uri="{FF2B5EF4-FFF2-40B4-BE49-F238E27FC236}">
                  <a16:creationId xmlns:a16="http://schemas.microsoft.com/office/drawing/2014/main" id="{00000000-0008-0000-0800-0000AF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146</xdr:row>
          <xdr:rowOff>0</xdr:rowOff>
        </xdr:from>
        <xdr:to>
          <xdr:col>22</xdr:col>
          <xdr:colOff>182880</xdr:colOff>
          <xdr:row>146</xdr:row>
          <xdr:rowOff>182880</xdr:rowOff>
        </xdr:to>
        <xdr:sp macro="" textlink="">
          <xdr:nvSpPr>
            <xdr:cNvPr id="8368" name="Check Box 176" hidden="1">
              <a:extLst>
                <a:ext uri="{63B3BB69-23CF-44E3-9099-C40C66FF867C}">
                  <a14:compatExt spid="_x0000_s8368"/>
                </a:ext>
                <a:ext uri="{FF2B5EF4-FFF2-40B4-BE49-F238E27FC236}">
                  <a16:creationId xmlns:a16="http://schemas.microsoft.com/office/drawing/2014/main" id="{00000000-0008-0000-0800-0000B0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147</xdr:row>
          <xdr:rowOff>0</xdr:rowOff>
        </xdr:from>
        <xdr:to>
          <xdr:col>22</xdr:col>
          <xdr:colOff>182880</xdr:colOff>
          <xdr:row>147</xdr:row>
          <xdr:rowOff>182880</xdr:rowOff>
        </xdr:to>
        <xdr:sp macro="" textlink="">
          <xdr:nvSpPr>
            <xdr:cNvPr id="8369" name="Check Box 177" hidden="1">
              <a:extLst>
                <a:ext uri="{63B3BB69-23CF-44E3-9099-C40C66FF867C}">
                  <a14:compatExt spid="_x0000_s8369"/>
                </a:ext>
                <a:ext uri="{FF2B5EF4-FFF2-40B4-BE49-F238E27FC236}">
                  <a16:creationId xmlns:a16="http://schemas.microsoft.com/office/drawing/2014/main" id="{00000000-0008-0000-0800-0000B1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148</xdr:row>
          <xdr:rowOff>0</xdr:rowOff>
        </xdr:from>
        <xdr:to>
          <xdr:col>22</xdr:col>
          <xdr:colOff>182880</xdr:colOff>
          <xdr:row>148</xdr:row>
          <xdr:rowOff>182880</xdr:rowOff>
        </xdr:to>
        <xdr:sp macro="" textlink="">
          <xdr:nvSpPr>
            <xdr:cNvPr id="8370" name="Check Box 178" hidden="1">
              <a:extLst>
                <a:ext uri="{63B3BB69-23CF-44E3-9099-C40C66FF867C}">
                  <a14:compatExt spid="_x0000_s8370"/>
                </a:ext>
                <a:ext uri="{FF2B5EF4-FFF2-40B4-BE49-F238E27FC236}">
                  <a16:creationId xmlns:a16="http://schemas.microsoft.com/office/drawing/2014/main" id="{00000000-0008-0000-0800-0000B2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165</xdr:row>
          <xdr:rowOff>0</xdr:rowOff>
        </xdr:from>
        <xdr:to>
          <xdr:col>22</xdr:col>
          <xdr:colOff>182880</xdr:colOff>
          <xdr:row>165</xdr:row>
          <xdr:rowOff>182880</xdr:rowOff>
        </xdr:to>
        <xdr:sp macro="" textlink="">
          <xdr:nvSpPr>
            <xdr:cNvPr id="8371" name="Check Box 179" hidden="1">
              <a:extLst>
                <a:ext uri="{63B3BB69-23CF-44E3-9099-C40C66FF867C}">
                  <a14:compatExt spid="_x0000_s8371"/>
                </a:ext>
                <a:ext uri="{FF2B5EF4-FFF2-40B4-BE49-F238E27FC236}">
                  <a16:creationId xmlns:a16="http://schemas.microsoft.com/office/drawing/2014/main" id="{00000000-0008-0000-0800-0000B3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167</xdr:row>
          <xdr:rowOff>0</xdr:rowOff>
        </xdr:from>
        <xdr:to>
          <xdr:col>22</xdr:col>
          <xdr:colOff>182880</xdr:colOff>
          <xdr:row>167</xdr:row>
          <xdr:rowOff>182880</xdr:rowOff>
        </xdr:to>
        <xdr:sp macro="" textlink="">
          <xdr:nvSpPr>
            <xdr:cNvPr id="8372" name="Check Box 180" hidden="1">
              <a:extLst>
                <a:ext uri="{63B3BB69-23CF-44E3-9099-C40C66FF867C}">
                  <a14:compatExt spid="_x0000_s8372"/>
                </a:ext>
                <a:ext uri="{FF2B5EF4-FFF2-40B4-BE49-F238E27FC236}">
                  <a16:creationId xmlns:a16="http://schemas.microsoft.com/office/drawing/2014/main" id="{00000000-0008-0000-0800-0000B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170</xdr:row>
          <xdr:rowOff>0</xdr:rowOff>
        </xdr:from>
        <xdr:to>
          <xdr:col>22</xdr:col>
          <xdr:colOff>182880</xdr:colOff>
          <xdr:row>170</xdr:row>
          <xdr:rowOff>182880</xdr:rowOff>
        </xdr:to>
        <xdr:sp macro="" textlink="">
          <xdr:nvSpPr>
            <xdr:cNvPr id="8373" name="Check Box 181" hidden="1">
              <a:extLst>
                <a:ext uri="{63B3BB69-23CF-44E3-9099-C40C66FF867C}">
                  <a14:compatExt spid="_x0000_s8373"/>
                </a:ext>
                <a:ext uri="{FF2B5EF4-FFF2-40B4-BE49-F238E27FC236}">
                  <a16:creationId xmlns:a16="http://schemas.microsoft.com/office/drawing/2014/main" id="{00000000-0008-0000-0800-0000B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183</xdr:row>
          <xdr:rowOff>0</xdr:rowOff>
        </xdr:from>
        <xdr:to>
          <xdr:col>22</xdr:col>
          <xdr:colOff>182880</xdr:colOff>
          <xdr:row>183</xdr:row>
          <xdr:rowOff>182880</xdr:rowOff>
        </xdr:to>
        <xdr:sp macro="" textlink="">
          <xdr:nvSpPr>
            <xdr:cNvPr id="8374" name="Check Box 182" hidden="1">
              <a:extLst>
                <a:ext uri="{63B3BB69-23CF-44E3-9099-C40C66FF867C}">
                  <a14:compatExt spid="_x0000_s8374"/>
                </a:ext>
                <a:ext uri="{FF2B5EF4-FFF2-40B4-BE49-F238E27FC236}">
                  <a16:creationId xmlns:a16="http://schemas.microsoft.com/office/drawing/2014/main" id="{00000000-0008-0000-0800-0000B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22</xdr:col>
          <xdr:colOff>0</xdr:colOff>
          <xdr:row>185</xdr:row>
          <xdr:rowOff>0</xdr:rowOff>
        </xdr:from>
        <xdr:to>
          <xdr:col>22</xdr:col>
          <xdr:colOff>182880</xdr:colOff>
          <xdr:row>185</xdr:row>
          <xdr:rowOff>182880</xdr:rowOff>
        </xdr:to>
        <xdr:sp macro="" textlink="">
          <xdr:nvSpPr>
            <xdr:cNvPr id="8375" name="Check Box 183" hidden="1">
              <a:extLst>
                <a:ext uri="{63B3BB69-23CF-44E3-9099-C40C66FF867C}">
                  <a14:compatExt spid="_x0000_s8375"/>
                </a:ext>
                <a:ext uri="{FF2B5EF4-FFF2-40B4-BE49-F238E27FC236}">
                  <a16:creationId xmlns:a16="http://schemas.microsoft.com/office/drawing/2014/main" id="{00000000-0008-0000-0800-0000B7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FFFFFF" mc:Ignorable="a14" a14:legacySpreadsheetColorIndex="65"/>
                  </a:solidFill>
                  <a:miter lim="800000"/>
                  <a:headEnd/>
                  <a:tailEnd/>
                </a14:hiddenLine>
              </a:ext>
            </a:extLst>
          </xdr:spPr>
        </xdr:sp>
        <xdr:clientData fLocksWithSheet="0"/>
      </xdr:twoCellAnchor>
    </mc:Choice>
    <mc:Fallback/>
  </mc:AlternateContent>
  <xdr:twoCellAnchor editAs="oneCell">
    <xdr:from>
      <xdr:col>12</xdr:col>
      <xdr:colOff>38100</xdr:colOff>
      <xdr:row>0</xdr:row>
      <xdr:rowOff>0</xdr:rowOff>
    </xdr:from>
    <xdr:to>
      <xdr:col>22</xdr:col>
      <xdr:colOff>457200</xdr:colOff>
      <xdr:row>4</xdr:row>
      <xdr:rowOff>142856</xdr:rowOff>
    </xdr:to>
    <xdr:pic>
      <xdr:nvPicPr>
        <xdr:cNvPr id="63" name="Picture 62">
          <a:extLst>
            <a:ext uri="{FF2B5EF4-FFF2-40B4-BE49-F238E27FC236}">
              <a16:creationId xmlns:a16="http://schemas.microsoft.com/office/drawing/2014/main" id="{B566B225-49FC-469C-A0A3-FAE96F9894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67475" y="0"/>
          <a:ext cx="1876425" cy="868661"/>
        </a:xfrm>
        <a:prstGeom prst="rect">
          <a:avLst/>
        </a:prstGeom>
      </xdr:spPr>
    </xdr:pic>
    <xdr:clientData/>
  </xdr:twoCellAnchor>
  <xdr:twoCellAnchor editAs="oneCell">
    <xdr:from>
      <xdr:col>22</xdr:col>
      <xdr:colOff>563881</xdr:colOff>
      <xdr:row>0</xdr:row>
      <xdr:rowOff>0</xdr:rowOff>
    </xdr:from>
    <xdr:to>
      <xdr:col>22</xdr:col>
      <xdr:colOff>1382678</xdr:colOff>
      <xdr:row>4</xdr:row>
      <xdr:rowOff>197576</xdr:rowOff>
    </xdr:to>
    <xdr:pic>
      <xdr:nvPicPr>
        <xdr:cNvPr id="64" name="Picture 63">
          <a:extLst>
            <a:ext uri="{FF2B5EF4-FFF2-40B4-BE49-F238E27FC236}">
              <a16:creationId xmlns:a16="http://schemas.microsoft.com/office/drawing/2014/main" id="{3AF67B70-6054-46F1-A55B-156CFDB0A3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50581" y="0"/>
          <a:ext cx="816892" cy="91766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2924175</xdr:colOff>
      <xdr:row>0</xdr:row>
      <xdr:rowOff>0</xdr:rowOff>
    </xdr:from>
    <xdr:to>
      <xdr:col>6</xdr:col>
      <xdr:colOff>4752975</xdr:colOff>
      <xdr:row>4</xdr:row>
      <xdr:rowOff>141767</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19600" y="0"/>
          <a:ext cx="1828800" cy="9037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homeinnovation.com/FindNGBSverifier" TargetMode="External"/><Relationship Id="rId1" Type="http://schemas.openxmlformats.org/officeDocument/2006/relationships/hyperlink" Target="http://www.homeinnovation.com/greenscoring"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ngbs.com/"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75.xml"/><Relationship Id="rId13" Type="http://schemas.openxmlformats.org/officeDocument/2006/relationships/ctrlProp" Target="../ctrlProps/ctrlProp380.xml"/><Relationship Id="rId18" Type="http://schemas.openxmlformats.org/officeDocument/2006/relationships/ctrlProp" Target="../ctrlProps/ctrlProp385.xml"/><Relationship Id="rId26" Type="http://schemas.openxmlformats.org/officeDocument/2006/relationships/ctrlProp" Target="../ctrlProps/ctrlProp393.xml"/><Relationship Id="rId39" Type="http://schemas.openxmlformats.org/officeDocument/2006/relationships/ctrlProp" Target="../ctrlProps/ctrlProp406.xml"/><Relationship Id="rId3" Type="http://schemas.openxmlformats.org/officeDocument/2006/relationships/vmlDrawing" Target="../drawings/vmlDrawing7.vml"/><Relationship Id="rId21" Type="http://schemas.openxmlformats.org/officeDocument/2006/relationships/ctrlProp" Target="../ctrlProps/ctrlProp388.xml"/><Relationship Id="rId34" Type="http://schemas.openxmlformats.org/officeDocument/2006/relationships/ctrlProp" Target="../ctrlProps/ctrlProp401.xml"/><Relationship Id="rId42" Type="http://schemas.openxmlformats.org/officeDocument/2006/relationships/ctrlProp" Target="../ctrlProps/ctrlProp409.xml"/><Relationship Id="rId7" Type="http://schemas.openxmlformats.org/officeDocument/2006/relationships/ctrlProp" Target="../ctrlProps/ctrlProp374.xml"/><Relationship Id="rId12" Type="http://schemas.openxmlformats.org/officeDocument/2006/relationships/ctrlProp" Target="../ctrlProps/ctrlProp379.xml"/><Relationship Id="rId17" Type="http://schemas.openxmlformats.org/officeDocument/2006/relationships/ctrlProp" Target="../ctrlProps/ctrlProp384.xml"/><Relationship Id="rId25" Type="http://schemas.openxmlformats.org/officeDocument/2006/relationships/ctrlProp" Target="../ctrlProps/ctrlProp392.xml"/><Relationship Id="rId33" Type="http://schemas.openxmlformats.org/officeDocument/2006/relationships/ctrlProp" Target="../ctrlProps/ctrlProp400.xml"/><Relationship Id="rId38" Type="http://schemas.openxmlformats.org/officeDocument/2006/relationships/ctrlProp" Target="../ctrlProps/ctrlProp405.xml"/><Relationship Id="rId2" Type="http://schemas.openxmlformats.org/officeDocument/2006/relationships/drawing" Target="../drawings/drawing11.xml"/><Relationship Id="rId16" Type="http://schemas.openxmlformats.org/officeDocument/2006/relationships/ctrlProp" Target="../ctrlProps/ctrlProp383.xml"/><Relationship Id="rId20" Type="http://schemas.openxmlformats.org/officeDocument/2006/relationships/ctrlProp" Target="../ctrlProps/ctrlProp387.xml"/><Relationship Id="rId29" Type="http://schemas.openxmlformats.org/officeDocument/2006/relationships/ctrlProp" Target="../ctrlProps/ctrlProp396.xml"/><Relationship Id="rId41" Type="http://schemas.openxmlformats.org/officeDocument/2006/relationships/ctrlProp" Target="../ctrlProps/ctrlProp408.xml"/><Relationship Id="rId1" Type="http://schemas.openxmlformats.org/officeDocument/2006/relationships/printerSettings" Target="../printerSettings/printerSettings14.bin"/><Relationship Id="rId6" Type="http://schemas.openxmlformats.org/officeDocument/2006/relationships/ctrlProp" Target="../ctrlProps/ctrlProp373.xml"/><Relationship Id="rId11" Type="http://schemas.openxmlformats.org/officeDocument/2006/relationships/ctrlProp" Target="../ctrlProps/ctrlProp378.xml"/><Relationship Id="rId24" Type="http://schemas.openxmlformats.org/officeDocument/2006/relationships/ctrlProp" Target="../ctrlProps/ctrlProp391.xml"/><Relationship Id="rId32" Type="http://schemas.openxmlformats.org/officeDocument/2006/relationships/ctrlProp" Target="../ctrlProps/ctrlProp399.xml"/><Relationship Id="rId37" Type="http://schemas.openxmlformats.org/officeDocument/2006/relationships/ctrlProp" Target="../ctrlProps/ctrlProp404.xml"/><Relationship Id="rId40" Type="http://schemas.openxmlformats.org/officeDocument/2006/relationships/ctrlProp" Target="../ctrlProps/ctrlProp407.xml"/><Relationship Id="rId45" Type="http://schemas.openxmlformats.org/officeDocument/2006/relationships/ctrlProp" Target="../ctrlProps/ctrlProp412.xml"/><Relationship Id="rId5" Type="http://schemas.openxmlformats.org/officeDocument/2006/relationships/ctrlProp" Target="../ctrlProps/ctrlProp372.xml"/><Relationship Id="rId15" Type="http://schemas.openxmlformats.org/officeDocument/2006/relationships/ctrlProp" Target="../ctrlProps/ctrlProp382.xml"/><Relationship Id="rId23" Type="http://schemas.openxmlformats.org/officeDocument/2006/relationships/ctrlProp" Target="../ctrlProps/ctrlProp390.xml"/><Relationship Id="rId28" Type="http://schemas.openxmlformats.org/officeDocument/2006/relationships/ctrlProp" Target="../ctrlProps/ctrlProp395.xml"/><Relationship Id="rId36" Type="http://schemas.openxmlformats.org/officeDocument/2006/relationships/ctrlProp" Target="../ctrlProps/ctrlProp403.xml"/><Relationship Id="rId10" Type="http://schemas.openxmlformats.org/officeDocument/2006/relationships/ctrlProp" Target="../ctrlProps/ctrlProp377.xml"/><Relationship Id="rId19" Type="http://schemas.openxmlformats.org/officeDocument/2006/relationships/ctrlProp" Target="../ctrlProps/ctrlProp386.xml"/><Relationship Id="rId31" Type="http://schemas.openxmlformats.org/officeDocument/2006/relationships/ctrlProp" Target="../ctrlProps/ctrlProp398.xml"/><Relationship Id="rId44" Type="http://schemas.openxmlformats.org/officeDocument/2006/relationships/ctrlProp" Target="../ctrlProps/ctrlProp411.xml"/><Relationship Id="rId4" Type="http://schemas.openxmlformats.org/officeDocument/2006/relationships/ctrlProp" Target="../ctrlProps/ctrlProp371.xml"/><Relationship Id="rId9" Type="http://schemas.openxmlformats.org/officeDocument/2006/relationships/ctrlProp" Target="../ctrlProps/ctrlProp376.xml"/><Relationship Id="rId14" Type="http://schemas.openxmlformats.org/officeDocument/2006/relationships/ctrlProp" Target="../ctrlProps/ctrlProp381.xml"/><Relationship Id="rId22" Type="http://schemas.openxmlformats.org/officeDocument/2006/relationships/ctrlProp" Target="../ctrlProps/ctrlProp389.xml"/><Relationship Id="rId27" Type="http://schemas.openxmlformats.org/officeDocument/2006/relationships/ctrlProp" Target="../ctrlProps/ctrlProp394.xml"/><Relationship Id="rId30" Type="http://schemas.openxmlformats.org/officeDocument/2006/relationships/ctrlProp" Target="../ctrlProps/ctrlProp397.xml"/><Relationship Id="rId35" Type="http://schemas.openxmlformats.org/officeDocument/2006/relationships/ctrlProp" Target="../ctrlProps/ctrlProp402.xml"/><Relationship Id="rId43" Type="http://schemas.openxmlformats.org/officeDocument/2006/relationships/ctrlProp" Target="../ctrlProps/ctrlProp410.xml"/></Relationships>
</file>

<file path=xl/worksheets/_rels/sheet16.xml.rels><?xml version="1.0" encoding="UTF-8" standalone="yes"?>
<Relationships xmlns="http://schemas.openxmlformats.org/package/2006/relationships"><Relationship Id="rId117" Type="http://schemas.openxmlformats.org/officeDocument/2006/relationships/ctrlProp" Target="../ctrlProps/ctrlProp526.xml"/><Relationship Id="rId299" Type="http://schemas.openxmlformats.org/officeDocument/2006/relationships/ctrlProp" Target="../ctrlProps/ctrlProp708.xml"/><Relationship Id="rId303" Type="http://schemas.openxmlformats.org/officeDocument/2006/relationships/ctrlProp" Target="../ctrlProps/ctrlProp712.xml"/><Relationship Id="rId21" Type="http://schemas.openxmlformats.org/officeDocument/2006/relationships/ctrlProp" Target="../ctrlProps/ctrlProp430.xml"/><Relationship Id="rId42" Type="http://schemas.openxmlformats.org/officeDocument/2006/relationships/ctrlProp" Target="../ctrlProps/ctrlProp451.xml"/><Relationship Id="rId63" Type="http://schemas.openxmlformats.org/officeDocument/2006/relationships/ctrlProp" Target="../ctrlProps/ctrlProp472.xml"/><Relationship Id="rId84" Type="http://schemas.openxmlformats.org/officeDocument/2006/relationships/ctrlProp" Target="../ctrlProps/ctrlProp493.xml"/><Relationship Id="rId138" Type="http://schemas.openxmlformats.org/officeDocument/2006/relationships/ctrlProp" Target="../ctrlProps/ctrlProp547.xml"/><Relationship Id="rId159" Type="http://schemas.openxmlformats.org/officeDocument/2006/relationships/ctrlProp" Target="../ctrlProps/ctrlProp568.xml"/><Relationship Id="rId324" Type="http://schemas.openxmlformats.org/officeDocument/2006/relationships/ctrlProp" Target="../ctrlProps/ctrlProp733.xml"/><Relationship Id="rId345" Type="http://schemas.openxmlformats.org/officeDocument/2006/relationships/ctrlProp" Target="../ctrlProps/ctrlProp754.xml"/><Relationship Id="rId366" Type="http://schemas.openxmlformats.org/officeDocument/2006/relationships/ctrlProp" Target="../ctrlProps/ctrlProp775.xml"/><Relationship Id="rId170" Type="http://schemas.openxmlformats.org/officeDocument/2006/relationships/ctrlProp" Target="../ctrlProps/ctrlProp579.xml"/><Relationship Id="rId191" Type="http://schemas.openxmlformats.org/officeDocument/2006/relationships/ctrlProp" Target="../ctrlProps/ctrlProp600.xml"/><Relationship Id="rId205" Type="http://schemas.openxmlformats.org/officeDocument/2006/relationships/ctrlProp" Target="../ctrlProps/ctrlProp614.xml"/><Relationship Id="rId226" Type="http://schemas.openxmlformats.org/officeDocument/2006/relationships/ctrlProp" Target="../ctrlProps/ctrlProp635.xml"/><Relationship Id="rId247" Type="http://schemas.openxmlformats.org/officeDocument/2006/relationships/ctrlProp" Target="../ctrlProps/ctrlProp656.xml"/><Relationship Id="rId107" Type="http://schemas.openxmlformats.org/officeDocument/2006/relationships/ctrlProp" Target="../ctrlProps/ctrlProp516.xml"/><Relationship Id="rId268" Type="http://schemas.openxmlformats.org/officeDocument/2006/relationships/ctrlProp" Target="../ctrlProps/ctrlProp677.xml"/><Relationship Id="rId289" Type="http://schemas.openxmlformats.org/officeDocument/2006/relationships/ctrlProp" Target="../ctrlProps/ctrlProp698.xml"/><Relationship Id="rId11" Type="http://schemas.openxmlformats.org/officeDocument/2006/relationships/ctrlProp" Target="../ctrlProps/ctrlProp420.xml"/><Relationship Id="rId32" Type="http://schemas.openxmlformats.org/officeDocument/2006/relationships/ctrlProp" Target="../ctrlProps/ctrlProp441.xml"/><Relationship Id="rId53" Type="http://schemas.openxmlformats.org/officeDocument/2006/relationships/ctrlProp" Target="../ctrlProps/ctrlProp462.xml"/><Relationship Id="rId74" Type="http://schemas.openxmlformats.org/officeDocument/2006/relationships/ctrlProp" Target="../ctrlProps/ctrlProp483.xml"/><Relationship Id="rId128" Type="http://schemas.openxmlformats.org/officeDocument/2006/relationships/ctrlProp" Target="../ctrlProps/ctrlProp537.xml"/><Relationship Id="rId149" Type="http://schemas.openxmlformats.org/officeDocument/2006/relationships/ctrlProp" Target="../ctrlProps/ctrlProp558.xml"/><Relationship Id="rId314" Type="http://schemas.openxmlformats.org/officeDocument/2006/relationships/ctrlProp" Target="../ctrlProps/ctrlProp723.xml"/><Relationship Id="rId335" Type="http://schemas.openxmlformats.org/officeDocument/2006/relationships/ctrlProp" Target="../ctrlProps/ctrlProp744.xml"/><Relationship Id="rId356" Type="http://schemas.openxmlformats.org/officeDocument/2006/relationships/ctrlProp" Target="../ctrlProps/ctrlProp765.xml"/><Relationship Id="rId5" Type="http://schemas.openxmlformats.org/officeDocument/2006/relationships/ctrlProp" Target="../ctrlProps/ctrlProp414.xml"/><Relationship Id="rId95" Type="http://schemas.openxmlformats.org/officeDocument/2006/relationships/ctrlProp" Target="../ctrlProps/ctrlProp504.xml"/><Relationship Id="rId160" Type="http://schemas.openxmlformats.org/officeDocument/2006/relationships/ctrlProp" Target="../ctrlProps/ctrlProp569.xml"/><Relationship Id="rId181" Type="http://schemas.openxmlformats.org/officeDocument/2006/relationships/ctrlProp" Target="../ctrlProps/ctrlProp590.xml"/><Relationship Id="rId216" Type="http://schemas.openxmlformats.org/officeDocument/2006/relationships/ctrlProp" Target="../ctrlProps/ctrlProp625.xml"/><Relationship Id="rId237" Type="http://schemas.openxmlformats.org/officeDocument/2006/relationships/ctrlProp" Target="../ctrlProps/ctrlProp646.xml"/><Relationship Id="rId258" Type="http://schemas.openxmlformats.org/officeDocument/2006/relationships/ctrlProp" Target="../ctrlProps/ctrlProp667.xml"/><Relationship Id="rId279" Type="http://schemas.openxmlformats.org/officeDocument/2006/relationships/ctrlProp" Target="../ctrlProps/ctrlProp688.xml"/><Relationship Id="rId22" Type="http://schemas.openxmlformats.org/officeDocument/2006/relationships/ctrlProp" Target="../ctrlProps/ctrlProp431.xml"/><Relationship Id="rId43" Type="http://schemas.openxmlformats.org/officeDocument/2006/relationships/ctrlProp" Target="../ctrlProps/ctrlProp452.xml"/><Relationship Id="rId64" Type="http://schemas.openxmlformats.org/officeDocument/2006/relationships/ctrlProp" Target="../ctrlProps/ctrlProp473.xml"/><Relationship Id="rId118" Type="http://schemas.openxmlformats.org/officeDocument/2006/relationships/ctrlProp" Target="../ctrlProps/ctrlProp527.xml"/><Relationship Id="rId139" Type="http://schemas.openxmlformats.org/officeDocument/2006/relationships/ctrlProp" Target="../ctrlProps/ctrlProp548.xml"/><Relationship Id="rId290" Type="http://schemas.openxmlformats.org/officeDocument/2006/relationships/ctrlProp" Target="../ctrlProps/ctrlProp699.xml"/><Relationship Id="rId304" Type="http://schemas.openxmlformats.org/officeDocument/2006/relationships/ctrlProp" Target="../ctrlProps/ctrlProp713.xml"/><Relationship Id="rId325" Type="http://schemas.openxmlformats.org/officeDocument/2006/relationships/ctrlProp" Target="../ctrlProps/ctrlProp734.xml"/><Relationship Id="rId346" Type="http://schemas.openxmlformats.org/officeDocument/2006/relationships/ctrlProp" Target="../ctrlProps/ctrlProp755.xml"/><Relationship Id="rId367" Type="http://schemas.openxmlformats.org/officeDocument/2006/relationships/ctrlProp" Target="../ctrlProps/ctrlProp776.xml"/><Relationship Id="rId85" Type="http://schemas.openxmlformats.org/officeDocument/2006/relationships/ctrlProp" Target="../ctrlProps/ctrlProp494.xml"/><Relationship Id="rId150" Type="http://schemas.openxmlformats.org/officeDocument/2006/relationships/ctrlProp" Target="../ctrlProps/ctrlProp559.xml"/><Relationship Id="rId171" Type="http://schemas.openxmlformats.org/officeDocument/2006/relationships/ctrlProp" Target="../ctrlProps/ctrlProp580.xml"/><Relationship Id="rId192" Type="http://schemas.openxmlformats.org/officeDocument/2006/relationships/ctrlProp" Target="../ctrlProps/ctrlProp601.xml"/><Relationship Id="rId206" Type="http://schemas.openxmlformats.org/officeDocument/2006/relationships/ctrlProp" Target="../ctrlProps/ctrlProp615.xml"/><Relationship Id="rId227" Type="http://schemas.openxmlformats.org/officeDocument/2006/relationships/ctrlProp" Target="../ctrlProps/ctrlProp636.xml"/><Relationship Id="rId248" Type="http://schemas.openxmlformats.org/officeDocument/2006/relationships/ctrlProp" Target="../ctrlProps/ctrlProp657.xml"/><Relationship Id="rId269" Type="http://schemas.openxmlformats.org/officeDocument/2006/relationships/ctrlProp" Target="../ctrlProps/ctrlProp678.xml"/><Relationship Id="rId12" Type="http://schemas.openxmlformats.org/officeDocument/2006/relationships/ctrlProp" Target="../ctrlProps/ctrlProp421.xml"/><Relationship Id="rId33" Type="http://schemas.openxmlformats.org/officeDocument/2006/relationships/ctrlProp" Target="../ctrlProps/ctrlProp442.xml"/><Relationship Id="rId108" Type="http://schemas.openxmlformats.org/officeDocument/2006/relationships/ctrlProp" Target="../ctrlProps/ctrlProp517.xml"/><Relationship Id="rId129" Type="http://schemas.openxmlformats.org/officeDocument/2006/relationships/ctrlProp" Target="../ctrlProps/ctrlProp538.xml"/><Relationship Id="rId280" Type="http://schemas.openxmlformats.org/officeDocument/2006/relationships/ctrlProp" Target="../ctrlProps/ctrlProp689.xml"/><Relationship Id="rId315" Type="http://schemas.openxmlformats.org/officeDocument/2006/relationships/ctrlProp" Target="../ctrlProps/ctrlProp724.xml"/><Relationship Id="rId336" Type="http://schemas.openxmlformats.org/officeDocument/2006/relationships/ctrlProp" Target="../ctrlProps/ctrlProp745.xml"/><Relationship Id="rId357" Type="http://schemas.openxmlformats.org/officeDocument/2006/relationships/ctrlProp" Target="../ctrlProps/ctrlProp766.xml"/><Relationship Id="rId54" Type="http://schemas.openxmlformats.org/officeDocument/2006/relationships/ctrlProp" Target="../ctrlProps/ctrlProp463.xml"/><Relationship Id="rId75" Type="http://schemas.openxmlformats.org/officeDocument/2006/relationships/ctrlProp" Target="../ctrlProps/ctrlProp484.xml"/><Relationship Id="rId96" Type="http://schemas.openxmlformats.org/officeDocument/2006/relationships/ctrlProp" Target="../ctrlProps/ctrlProp505.xml"/><Relationship Id="rId140" Type="http://schemas.openxmlformats.org/officeDocument/2006/relationships/ctrlProp" Target="../ctrlProps/ctrlProp549.xml"/><Relationship Id="rId161" Type="http://schemas.openxmlformats.org/officeDocument/2006/relationships/ctrlProp" Target="../ctrlProps/ctrlProp570.xml"/><Relationship Id="rId182" Type="http://schemas.openxmlformats.org/officeDocument/2006/relationships/ctrlProp" Target="../ctrlProps/ctrlProp591.xml"/><Relationship Id="rId217" Type="http://schemas.openxmlformats.org/officeDocument/2006/relationships/ctrlProp" Target="../ctrlProps/ctrlProp626.xml"/><Relationship Id="rId6" Type="http://schemas.openxmlformats.org/officeDocument/2006/relationships/ctrlProp" Target="../ctrlProps/ctrlProp415.xml"/><Relationship Id="rId238" Type="http://schemas.openxmlformats.org/officeDocument/2006/relationships/ctrlProp" Target="../ctrlProps/ctrlProp647.xml"/><Relationship Id="rId259" Type="http://schemas.openxmlformats.org/officeDocument/2006/relationships/ctrlProp" Target="../ctrlProps/ctrlProp668.xml"/><Relationship Id="rId23" Type="http://schemas.openxmlformats.org/officeDocument/2006/relationships/ctrlProp" Target="../ctrlProps/ctrlProp432.xml"/><Relationship Id="rId119" Type="http://schemas.openxmlformats.org/officeDocument/2006/relationships/ctrlProp" Target="../ctrlProps/ctrlProp528.xml"/><Relationship Id="rId270" Type="http://schemas.openxmlformats.org/officeDocument/2006/relationships/ctrlProp" Target="../ctrlProps/ctrlProp679.xml"/><Relationship Id="rId291" Type="http://schemas.openxmlformats.org/officeDocument/2006/relationships/ctrlProp" Target="../ctrlProps/ctrlProp700.xml"/><Relationship Id="rId305" Type="http://schemas.openxmlformats.org/officeDocument/2006/relationships/ctrlProp" Target="../ctrlProps/ctrlProp714.xml"/><Relationship Id="rId326" Type="http://schemas.openxmlformats.org/officeDocument/2006/relationships/ctrlProp" Target="../ctrlProps/ctrlProp735.xml"/><Relationship Id="rId347" Type="http://schemas.openxmlformats.org/officeDocument/2006/relationships/ctrlProp" Target="../ctrlProps/ctrlProp756.xml"/><Relationship Id="rId44" Type="http://schemas.openxmlformats.org/officeDocument/2006/relationships/ctrlProp" Target="../ctrlProps/ctrlProp453.xml"/><Relationship Id="rId65" Type="http://schemas.openxmlformats.org/officeDocument/2006/relationships/ctrlProp" Target="../ctrlProps/ctrlProp474.xml"/><Relationship Id="rId86" Type="http://schemas.openxmlformats.org/officeDocument/2006/relationships/ctrlProp" Target="../ctrlProps/ctrlProp495.xml"/><Relationship Id="rId130" Type="http://schemas.openxmlformats.org/officeDocument/2006/relationships/ctrlProp" Target="../ctrlProps/ctrlProp539.xml"/><Relationship Id="rId151" Type="http://schemas.openxmlformats.org/officeDocument/2006/relationships/ctrlProp" Target="../ctrlProps/ctrlProp560.xml"/><Relationship Id="rId368" Type="http://schemas.openxmlformats.org/officeDocument/2006/relationships/ctrlProp" Target="../ctrlProps/ctrlProp777.xml"/><Relationship Id="rId172" Type="http://schemas.openxmlformats.org/officeDocument/2006/relationships/ctrlProp" Target="../ctrlProps/ctrlProp581.xml"/><Relationship Id="rId193" Type="http://schemas.openxmlformats.org/officeDocument/2006/relationships/ctrlProp" Target="../ctrlProps/ctrlProp602.xml"/><Relationship Id="rId207" Type="http://schemas.openxmlformats.org/officeDocument/2006/relationships/ctrlProp" Target="../ctrlProps/ctrlProp616.xml"/><Relationship Id="rId228" Type="http://schemas.openxmlformats.org/officeDocument/2006/relationships/ctrlProp" Target="../ctrlProps/ctrlProp637.xml"/><Relationship Id="rId249" Type="http://schemas.openxmlformats.org/officeDocument/2006/relationships/ctrlProp" Target="../ctrlProps/ctrlProp658.xml"/><Relationship Id="rId13" Type="http://schemas.openxmlformats.org/officeDocument/2006/relationships/ctrlProp" Target="../ctrlProps/ctrlProp422.xml"/><Relationship Id="rId109" Type="http://schemas.openxmlformats.org/officeDocument/2006/relationships/ctrlProp" Target="../ctrlProps/ctrlProp518.xml"/><Relationship Id="rId260" Type="http://schemas.openxmlformats.org/officeDocument/2006/relationships/ctrlProp" Target="../ctrlProps/ctrlProp669.xml"/><Relationship Id="rId281" Type="http://schemas.openxmlformats.org/officeDocument/2006/relationships/ctrlProp" Target="../ctrlProps/ctrlProp690.xml"/><Relationship Id="rId316" Type="http://schemas.openxmlformats.org/officeDocument/2006/relationships/ctrlProp" Target="../ctrlProps/ctrlProp725.xml"/><Relationship Id="rId337" Type="http://schemas.openxmlformats.org/officeDocument/2006/relationships/ctrlProp" Target="../ctrlProps/ctrlProp746.xml"/><Relationship Id="rId34" Type="http://schemas.openxmlformats.org/officeDocument/2006/relationships/ctrlProp" Target="../ctrlProps/ctrlProp443.xml"/><Relationship Id="rId55" Type="http://schemas.openxmlformats.org/officeDocument/2006/relationships/ctrlProp" Target="../ctrlProps/ctrlProp464.xml"/><Relationship Id="rId76" Type="http://schemas.openxmlformats.org/officeDocument/2006/relationships/ctrlProp" Target="../ctrlProps/ctrlProp485.xml"/><Relationship Id="rId97" Type="http://schemas.openxmlformats.org/officeDocument/2006/relationships/ctrlProp" Target="../ctrlProps/ctrlProp506.xml"/><Relationship Id="rId120" Type="http://schemas.openxmlformats.org/officeDocument/2006/relationships/ctrlProp" Target="../ctrlProps/ctrlProp529.xml"/><Relationship Id="rId141" Type="http://schemas.openxmlformats.org/officeDocument/2006/relationships/ctrlProp" Target="../ctrlProps/ctrlProp550.xml"/><Relationship Id="rId358" Type="http://schemas.openxmlformats.org/officeDocument/2006/relationships/ctrlProp" Target="../ctrlProps/ctrlProp767.xml"/><Relationship Id="rId7" Type="http://schemas.openxmlformats.org/officeDocument/2006/relationships/ctrlProp" Target="../ctrlProps/ctrlProp416.xml"/><Relationship Id="rId162" Type="http://schemas.openxmlformats.org/officeDocument/2006/relationships/ctrlProp" Target="../ctrlProps/ctrlProp571.xml"/><Relationship Id="rId183" Type="http://schemas.openxmlformats.org/officeDocument/2006/relationships/ctrlProp" Target="../ctrlProps/ctrlProp592.xml"/><Relationship Id="rId218" Type="http://schemas.openxmlformats.org/officeDocument/2006/relationships/ctrlProp" Target="../ctrlProps/ctrlProp627.xml"/><Relationship Id="rId239" Type="http://schemas.openxmlformats.org/officeDocument/2006/relationships/ctrlProp" Target="../ctrlProps/ctrlProp648.xml"/><Relationship Id="rId250" Type="http://schemas.openxmlformats.org/officeDocument/2006/relationships/ctrlProp" Target="../ctrlProps/ctrlProp659.xml"/><Relationship Id="rId271" Type="http://schemas.openxmlformats.org/officeDocument/2006/relationships/ctrlProp" Target="../ctrlProps/ctrlProp680.xml"/><Relationship Id="rId292" Type="http://schemas.openxmlformats.org/officeDocument/2006/relationships/ctrlProp" Target="../ctrlProps/ctrlProp701.xml"/><Relationship Id="rId306" Type="http://schemas.openxmlformats.org/officeDocument/2006/relationships/ctrlProp" Target="../ctrlProps/ctrlProp715.xml"/><Relationship Id="rId24" Type="http://schemas.openxmlformats.org/officeDocument/2006/relationships/ctrlProp" Target="../ctrlProps/ctrlProp433.xml"/><Relationship Id="rId45" Type="http://schemas.openxmlformats.org/officeDocument/2006/relationships/ctrlProp" Target="../ctrlProps/ctrlProp454.xml"/><Relationship Id="rId66" Type="http://schemas.openxmlformats.org/officeDocument/2006/relationships/ctrlProp" Target="../ctrlProps/ctrlProp475.xml"/><Relationship Id="rId87" Type="http://schemas.openxmlformats.org/officeDocument/2006/relationships/ctrlProp" Target="../ctrlProps/ctrlProp496.xml"/><Relationship Id="rId110" Type="http://schemas.openxmlformats.org/officeDocument/2006/relationships/ctrlProp" Target="../ctrlProps/ctrlProp519.xml"/><Relationship Id="rId131" Type="http://schemas.openxmlformats.org/officeDocument/2006/relationships/ctrlProp" Target="../ctrlProps/ctrlProp540.xml"/><Relationship Id="rId327" Type="http://schemas.openxmlformats.org/officeDocument/2006/relationships/ctrlProp" Target="../ctrlProps/ctrlProp736.xml"/><Relationship Id="rId348" Type="http://schemas.openxmlformats.org/officeDocument/2006/relationships/ctrlProp" Target="../ctrlProps/ctrlProp757.xml"/><Relationship Id="rId369" Type="http://schemas.openxmlformats.org/officeDocument/2006/relationships/ctrlProp" Target="../ctrlProps/ctrlProp778.xml"/><Relationship Id="rId152" Type="http://schemas.openxmlformats.org/officeDocument/2006/relationships/ctrlProp" Target="../ctrlProps/ctrlProp561.xml"/><Relationship Id="rId173" Type="http://schemas.openxmlformats.org/officeDocument/2006/relationships/ctrlProp" Target="../ctrlProps/ctrlProp582.xml"/><Relationship Id="rId194" Type="http://schemas.openxmlformats.org/officeDocument/2006/relationships/ctrlProp" Target="../ctrlProps/ctrlProp603.xml"/><Relationship Id="rId208" Type="http://schemas.openxmlformats.org/officeDocument/2006/relationships/ctrlProp" Target="../ctrlProps/ctrlProp617.xml"/><Relationship Id="rId229" Type="http://schemas.openxmlformats.org/officeDocument/2006/relationships/ctrlProp" Target="../ctrlProps/ctrlProp638.xml"/><Relationship Id="rId240" Type="http://schemas.openxmlformats.org/officeDocument/2006/relationships/ctrlProp" Target="../ctrlProps/ctrlProp649.xml"/><Relationship Id="rId261" Type="http://schemas.openxmlformats.org/officeDocument/2006/relationships/ctrlProp" Target="../ctrlProps/ctrlProp670.xml"/><Relationship Id="rId14" Type="http://schemas.openxmlformats.org/officeDocument/2006/relationships/ctrlProp" Target="../ctrlProps/ctrlProp423.xml"/><Relationship Id="rId35" Type="http://schemas.openxmlformats.org/officeDocument/2006/relationships/ctrlProp" Target="../ctrlProps/ctrlProp444.xml"/><Relationship Id="rId56" Type="http://schemas.openxmlformats.org/officeDocument/2006/relationships/ctrlProp" Target="../ctrlProps/ctrlProp465.xml"/><Relationship Id="rId77" Type="http://schemas.openxmlformats.org/officeDocument/2006/relationships/ctrlProp" Target="../ctrlProps/ctrlProp486.xml"/><Relationship Id="rId100" Type="http://schemas.openxmlformats.org/officeDocument/2006/relationships/ctrlProp" Target="../ctrlProps/ctrlProp509.xml"/><Relationship Id="rId282" Type="http://schemas.openxmlformats.org/officeDocument/2006/relationships/ctrlProp" Target="../ctrlProps/ctrlProp691.xml"/><Relationship Id="rId317" Type="http://schemas.openxmlformats.org/officeDocument/2006/relationships/ctrlProp" Target="../ctrlProps/ctrlProp726.xml"/><Relationship Id="rId338" Type="http://schemas.openxmlformats.org/officeDocument/2006/relationships/ctrlProp" Target="../ctrlProps/ctrlProp747.xml"/><Relationship Id="rId359" Type="http://schemas.openxmlformats.org/officeDocument/2006/relationships/ctrlProp" Target="../ctrlProps/ctrlProp768.xml"/><Relationship Id="rId8" Type="http://schemas.openxmlformats.org/officeDocument/2006/relationships/ctrlProp" Target="../ctrlProps/ctrlProp417.xml"/><Relationship Id="rId98" Type="http://schemas.openxmlformats.org/officeDocument/2006/relationships/ctrlProp" Target="../ctrlProps/ctrlProp507.xml"/><Relationship Id="rId121" Type="http://schemas.openxmlformats.org/officeDocument/2006/relationships/ctrlProp" Target="../ctrlProps/ctrlProp530.xml"/><Relationship Id="rId142" Type="http://schemas.openxmlformats.org/officeDocument/2006/relationships/ctrlProp" Target="../ctrlProps/ctrlProp551.xml"/><Relationship Id="rId163" Type="http://schemas.openxmlformats.org/officeDocument/2006/relationships/ctrlProp" Target="../ctrlProps/ctrlProp572.xml"/><Relationship Id="rId184" Type="http://schemas.openxmlformats.org/officeDocument/2006/relationships/ctrlProp" Target="../ctrlProps/ctrlProp593.xml"/><Relationship Id="rId219" Type="http://schemas.openxmlformats.org/officeDocument/2006/relationships/ctrlProp" Target="../ctrlProps/ctrlProp628.xml"/><Relationship Id="rId370" Type="http://schemas.openxmlformats.org/officeDocument/2006/relationships/ctrlProp" Target="../ctrlProps/ctrlProp779.xml"/><Relationship Id="rId230" Type="http://schemas.openxmlformats.org/officeDocument/2006/relationships/ctrlProp" Target="../ctrlProps/ctrlProp639.xml"/><Relationship Id="rId251" Type="http://schemas.openxmlformats.org/officeDocument/2006/relationships/ctrlProp" Target="../ctrlProps/ctrlProp660.xml"/><Relationship Id="rId25" Type="http://schemas.openxmlformats.org/officeDocument/2006/relationships/ctrlProp" Target="../ctrlProps/ctrlProp434.xml"/><Relationship Id="rId46" Type="http://schemas.openxmlformats.org/officeDocument/2006/relationships/ctrlProp" Target="../ctrlProps/ctrlProp455.xml"/><Relationship Id="rId67" Type="http://schemas.openxmlformats.org/officeDocument/2006/relationships/ctrlProp" Target="../ctrlProps/ctrlProp476.xml"/><Relationship Id="rId272" Type="http://schemas.openxmlformats.org/officeDocument/2006/relationships/ctrlProp" Target="../ctrlProps/ctrlProp681.xml"/><Relationship Id="rId293" Type="http://schemas.openxmlformats.org/officeDocument/2006/relationships/ctrlProp" Target="../ctrlProps/ctrlProp702.xml"/><Relationship Id="rId307" Type="http://schemas.openxmlformats.org/officeDocument/2006/relationships/ctrlProp" Target="../ctrlProps/ctrlProp716.xml"/><Relationship Id="rId328" Type="http://schemas.openxmlformats.org/officeDocument/2006/relationships/ctrlProp" Target="../ctrlProps/ctrlProp737.xml"/><Relationship Id="rId349" Type="http://schemas.openxmlformats.org/officeDocument/2006/relationships/ctrlProp" Target="../ctrlProps/ctrlProp758.xml"/><Relationship Id="rId88" Type="http://schemas.openxmlformats.org/officeDocument/2006/relationships/ctrlProp" Target="../ctrlProps/ctrlProp497.xml"/><Relationship Id="rId111" Type="http://schemas.openxmlformats.org/officeDocument/2006/relationships/ctrlProp" Target="../ctrlProps/ctrlProp520.xml"/><Relationship Id="rId132" Type="http://schemas.openxmlformats.org/officeDocument/2006/relationships/ctrlProp" Target="../ctrlProps/ctrlProp541.xml"/><Relationship Id="rId153" Type="http://schemas.openxmlformats.org/officeDocument/2006/relationships/ctrlProp" Target="../ctrlProps/ctrlProp562.xml"/><Relationship Id="rId174" Type="http://schemas.openxmlformats.org/officeDocument/2006/relationships/ctrlProp" Target="../ctrlProps/ctrlProp583.xml"/><Relationship Id="rId195" Type="http://schemas.openxmlformats.org/officeDocument/2006/relationships/ctrlProp" Target="../ctrlProps/ctrlProp604.xml"/><Relationship Id="rId209" Type="http://schemas.openxmlformats.org/officeDocument/2006/relationships/ctrlProp" Target="../ctrlProps/ctrlProp618.xml"/><Relationship Id="rId360" Type="http://schemas.openxmlformats.org/officeDocument/2006/relationships/ctrlProp" Target="../ctrlProps/ctrlProp769.xml"/><Relationship Id="rId220" Type="http://schemas.openxmlformats.org/officeDocument/2006/relationships/ctrlProp" Target="../ctrlProps/ctrlProp629.xml"/><Relationship Id="rId241" Type="http://schemas.openxmlformats.org/officeDocument/2006/relationships/ctrlProp" Target="../ctrlProps/ctrlProp650.xml"/><Relationship Id="rId15" Type="http://schemas.openxmlformats.org/officeDocument/2006/relationships/ctrlProp" Target="../ctrlProps/ctrlProp424.xml"/><Relationship Id="rId36" Type="http://schemas.openxmlformats.org/officeDocument/2006/relationships/ctrlProp" Target="../ctrlProps/ctrlProp445.xml"/><Relationship Id="rId57" Type="http://schemas.openxmlformats.org/officeDocument/2006/relationships/ctrlProp" Target="../ctrlProps/ctrlProp466.xml"/><Relationship Id="rId262" Type="http://schemas.openxmlformats.org/officeDocument/2006/relationships/ctrlProp" Target="../ctrlProps/ctrlProp671.xml"/><Relationship Id="rId283" Type="http://schemas.openxmlformats.org/officeDocument/2006/relationships/ctrlProp" Target="../ctrlProps/ctrlProp692.xml"/><Relationship Id="rId318" Type="http://schemas.openxmlformats.org/officeDocument/2006/relationships/ctrlProp" Target="../ctrlProps/ctrlProp727.xml"/><Relationship Id="rId339" Type="http://schemas.openxmlformats.org/officeDocument/2006/relationships/ctrlProp" Target="../ctrlProps/ctrlProp748.xml"/><Relationship Id="rId78" Type="http://schemas.openxmlformats.org/officeDocument/2006/relationships/ctrlProp" Target="../ctrlProps/ctrlProp487.xml"/><Relationship Id="rId99" Type="http://schemas.openxmlformats.org/officeDocument/2006/relationships/ctrlProp" Target="../ctrlProps/ctrlProp508.xml"/><Relationship Id="rId101" Type="http://schemas.openxmlformats.org/officeDocument/2006/relationships/ctrlProp" Target="../ctrlProps/ctrlProp510.xml"/><Relationship Id="rId122" Type="http://schemas.openxmlformats.org/officeDocument/2006/relationships/ctrlProp" Target="../ctrlProps/ctrlProp531.xml"/><Relationship Id="rId143" Type="http://schemas.openxmlformats.org/officeDocument/2006/relationships/ctrlProp" Target="../ctrlProps/ctrlProp552.xml"/><Relationship Id="rId164" Type="http://schemas.openxmlformats.org/officeDocument/2006/relationships/ctrlProp" Target="../ctrlProps/ctrlProp573.xml"/><Relationship Id="rId185" Type="http://schemas.openxmlformats.org/officeDocument/2006/relationships/ctrlProp" Target="../ctrlProps/ctrlProp594.xml"/><Relationship Id="rId350" Type="http://schemas.openxmlformats.org/officeDocument/2006/relationships/ctrlProp" Target="../ctrlProps/ctrlProp759.xml"/><Relationship Id="rId371" Type="http://schemas.openxmlformats.org/officeDocument/2006/relationships/ctrlProp" Target="../ctrlProps/ctrlProp780.xml"/><Relationship Id="rId4" Type="http://schemas.openxmlformats.org/officeDocument/2006/relationships/ctrlProp" Target="../ctrlProps/ctrlProp413.xml"/><Relationship Id="rId9" Type="http://schemas.openxmlformats.org/officeDocument/2006/relationships/ctrlProp" Target="../ctrlProps/ctrlProp418.xml"/><Relationship Id="rId180" Type="http://schemas.openxmlformats.org/officeDocument/2006/relationships/ctrlProp" Target="../ctrlProps/ctrlProp589.xml"/><Relationship Id="rId210" Type="http://schemas.openxmlformats.org/officeDocument/2006/relationships/ctrlProp" Target="../ctrlProps/ctrlProp619.xml"/><Relationship Id="rId215" Type="http://schemas.openxmlformats.org/officeDocument/2006/relationships/ctrlProp" Target="../ctrlProps/ctrlProp624.xml"/><Relationship Id="rId236" Type="http://schemas.openxmlformats.org/officeDocument/2006/relationships/ctrlProp" Target="../ctrlProps/ctrlProp645.xml"/><Relationship Id="rId257" Type="http://schemas.openxmlformats.org/officeDocument/2006/relationships/ctrlProp" Target="../ctrlProps/ctrlProp666.xml"/><Relationship Id="rId278" Type="http://schemas.openxmlformats.org/officeDocument/2006/relationships/ctrlProp" Target="../ctrlProps/ctrlProp687.xml"/><Relationship Id="rId26" Type="http://schemas.openxmlformats.org/officeDocument/2006/relationships/ctrlProp" Target="../ctrlProps/ctrlProp435.xml"/><Relationship Id="rId231" Type="http://schemas.openxmlformats.org/officeDocument/2006/relationships/ctrlProp" Target="../ctrlProps/ctrlProp640.xml"/><Relationship Id="rId252" Type="http://schemas.openxmlformats.org/officeDocument/2006/relationships/ctrlProp" Target="../ctrlProps/ctrlProp661.xml"/><Relationship Id="rId273" Type="http://schemas.openxmlformats.org/officeDocument/2006/relationships/ctrlProp" Target="../ctrlProps/ctrlProp682.xml"/><Relationship Id="rId294" Type="http://schemas.openxmlformats.org/officeDocument/2006/relationships/ctrlProp" Target="../ctrlProps/ctrlProp703.xml"/><Relationship Id="rId308" Type="http://schemas.openxmlformats.org/officeDocument/2006/relationships/ctrlProp" Target="../ctrlProps/ctrlProp717.xml"/><Relationship Id="rId329" Type="http://schemas.openxmlformats.org/officeDocument/2006/relationships/ctrlProp" Target="../ctrlProps/ctrlProp738.xml"/><Relationship Id="rId47" Type="http://schemas.openxmlformats.org/officeDocument/2006/relationships/ctrlProp" Target="../ctrlProps/ctrlProp456.xml"/><Relationship Id="rId68" Type="http://schemas.openxmlformats.org/officeDocument/2006/relationships/ctrlProp" Target="../ctrlProps/ctrlProp477.xml"/><Relationship Id="rId89" Type="http://schemas.openxmlformats.org/officeDocument/2006/relationships/ctrlProp" Target="../ctrlProps/ctrlProp498.xml"/><Relationship Id="rId112" Type="http://schemas.openxmlformats.org/officeDocument/2006/relationships/ctrlProp" Target="../ctrlProps/ctrlProp521.xml"/><Relationship Id="rId133" Type="http://schemas.openxmlformats.org/officeDocument/2006/relationships/ctrlProp" Target="../ctrlProps/ctrlProp542.xml"/><Relationship Id="rId154" Type="http://schemas.openxmlformats.org/officeDocument/2006/relationships/ctrlProp" Target="../ctrlProps/ctrlProp563.xml"/><Relationship Id="rId175" Type="http://schemas.openxmlformats.org/officeDocument/2006/relationships/ctrlProp" Target="../ctrlProps/ctrlProp584.xml"/><Relationship Id="rId340" Type="http://schemas.openxmlformats.org/officeDocument/2006/relationships/ctrlProp" Target="../ctrlProps/ctrlProp749.xml"/><Relationship Id="rId361" Type="http://schemas.openxmlformats.org/officeDocument/2006/relationships/ctrlProp" Target="../ctrlProps/ctrlProp770.xml"/><Relationship Id="rId196" Type="http://schemas.openxmlformats.org/officeDocument/2006/relationships/ctrlProp" Target="../ctrlProps/ctrlProp605.xml"/><Relationship Id="rId200" Type="http://schemas.openxmlformats.org/officeDocument/2006/relationships/ctrlProp" Target="../ctrlProps/ctrlProp609.xml"/><Relationship Id="rId16" Type="http://schemas.openxmlformats.org/officeDocument/2006/relationships/ctrlProp" Target="../ctrlProps/ctrlProp425.xml"/><Relationship Id="rId221" Type="http://schemas.openxmlformats.org/officeDocument/2006/relationships/ctrlProp" Target="../ctrlProps/ctrlProp630.xml"/><Relationship Id="rId242" Type="http://schemas.openxmlformats.org/officeDocument/2006/relationships/ctrlProp" Target="../ctrlProps/ctrlProp651.xml"/><Relationship Id="rId263" Type="http://schemas.openxmlformats.org/officeDocument/2006/relationships/ctrlProp" Target="../ctrlProps/ctrlProp672.xml"/><Relationship Id="rId284" Type="http://schemas.openxmlformats.org/officeDocument/2006/relationships/ctrlProp" Target="../ctrlProps/ctrlProp693.xml"/><Relationship Id="rId319" Type="http://schemas.openxmlformats.org/officeDocument/2006/relationships/ctrlProp" Target="../ctrlProps/ctrlProp728.xml"/><Relationship Id="rId37" Type="http://schemas.openxmlformats.org/officeDocument/2006/relationships/ctrlProp" Target="../ctrlProps/ctrlProp446.xml"/><Relationship Id="rId58" Type="http://schemas.openxmlformats.org/officeDocument/2006/relationships/ctrlProp" Target="../ctrlProps/ctrlProp467.xml"/><Relationship Id="rId79" Type="http://schemas.openxmlformats.org/officeDocument/2006/relationships/ctrlProp" Target="../ctrlProps/ctrlProp488.xml"/><Relationship Id="rId102" Type="http://schemas.openxmlformats.org/officeDocument/2006/relationships/ctrlProp" Target="../ctrlProps/ctrlProp511.xml"/><Relationship Id="rId123" Type="http://schemas.openxmlformats.org/officeDocument/2006/relationships/ctrlProp" Target="../ctrlProps/ctrlProp532.xml"/><Relationship Id="rId144" Type="http://schemas.openxmlformats.org/officeDocument/2006/relationships/ctrlProp" Target="../ctrlProps/ctrlProp553.xml"/><Relationship Id="rId330" Type="http://schemas.openxmlformats.org/officeDocument/2006/relationships/ctrlProp" Target="../ctrlProps/ctrlProp739.xml"/><Relationship Id="rId90" Type="http://schemas.openxmlformats.org/officeDocument/2006/relationships/ctrlProp" Target="../ctrlProps/ctrlProp499.xml"/><Relationship Id="rId165" Type="http://schemas.openxmlformats.org/officeDocument/2006/relationships/ctrlProp" Target="../ctrlProps/ctrlProp574.xml"/><Relationship Id="rId186" Type="http://schemas.openxmlformats.org/officeDocument/2006/relationships/ctrlProp" Target="../ctrlProps/ctrlProp595.xml"/><Relationship Id="rId351" Type="http://schemas.openxmlformats.org/officeDocument/2006/relationships/ctrlProp" Target="../ctrlProps/ctrlProp760.xml"/><Relationship Id="rId372" Type="http://schemas.openxmlformats.org/officeDocument/2006/relationships/ctrlProp" Target="../ctrlProps/ctrlProp781.xml"/><Relationship Id="rId211" Type="http://schemas.openxmlformats.org/officeDocument/2006/relationships/ctrlProp" Target="../ctrlProps/ctrlProp620.xml"/><Relationship Id="rId232" Type="http://schemas.openxmlformats.org/officeDocument/2006/relationships/ctrlProp" Target="../ctrlProps/ctrlProp641.xml"/><Relationship Id="rId253" Type="http://schemas.openxmlformats.org/officeDocument/2006/relationships/ctrlProp" Target="../ctrlProps/ctrlProp662.xml"/><Relationship Id="rId274" Type="http://schemas.openxmlformats.org/officeDocument/2006/relationships/ctrlProp" Target="../ctrlProps/ctrlProp683.xml"/><Relationship Id="rId295" Type="http://schemas.openxmlformats.org/officeDocument/2006/relationships/ctrlProp" Target="../ctrlProps/ctrlProp704.xml"/><Relationship Id="rId309" Type="http://schemas.openxmlformats.org/officeDocument/2006/relationships/ctrlProp" Target="../ctrlProps/ctrlProp718.xml"/><Relationship Id="rId27" Type="http://schemas.openxmlformats.org/officeDocument/2006/relationships/ctrlProp" Target="../ctrlProps/ctrlProp436.xml"/><Relationship Id="rId48" Type="http://schemas.openxmlformats.org/officeDocument/2006/relationships/ctrlProp" Target="../ctrlProps/ctrlProp457.xml"/><Relationship Id="rId69" Type="http://schemas.openxmlformats.org/officeDocument/2006/relationships/ctrlProp" Target="../ctrlProps/ctrlProp478.xml"/><Relationship Id="rId113" Type="http://schemas.openxmlformats.org/officeDocument/2006/relationships/ctrlProp" Target="../ctrlProps/ctrlProp522.xml"/><Relationship Id="rId134" Type="http://schemas.openxmlformats.org/officeDocument/2006/relationships/ctrlProp" Target="../ctrlProps/ctrlProp543.xml"/><Relationship Id="rId320" Type="http://schemas.openxmlformats.org/officeDocument/2006/relationships/ctrlProp" Target="../ctrlProps/ctrlProp729.xml"/><Relationship Id="rId80" Type="http://schemas.openxmlformats.org/officeDocument/2006/relationships/ctrlProp" Target="../ctrlProps/ctrlProp489.xml"/><Relationship Id="rId155" Type="http://schemas.openxmlformats.org/officeDocument/2006/relationships/ctrlProp" Target="../ctrlProps/ctrlProp564.xml"/><Relationship Id="rId176" Type="http://schemas.openxmlformats.org/officeDocument/2006/relationships/ctrlProp" Target="../ctrlProps/ctrlProp585.xml"/><Relationship Id="rId197" Type="http://schemas.openxmlformats.org/officeDocument/2006/relationships/ctrlProp" Target="../ctrlProps/ctrlProp606.xml"/><Relationship Id="rId341" Type="http://schemas.openxmlformats.org/officeDocument/2006/relationships/ctrlProp" Target="../ctrlProps/ctrlProp750.xml"/><Relationship Id="rId362" Type="http://schemas.openxmlformats.org/officeDocument/2006/relationships/ctrlProp" Target="../ctrlProps/ctrlProp771.xml"/><Relationship Id="rId201" Type="http://schemas.openxmlformats.org/officeDocument/2006/relationships/ctrlProp" Target="../ctrlProps/ctrlProp610.xml"/><Relationship Id="rId222" Type="http://schemas.openxmlformats.org/officeDocument/2006/relationships/ctrlProp" Target="../ctrlProps/ctrlProp631.xml"/><Relationship Id="rId243" Type="http://schemas.openxmlformats.org/officeDocument/2006/relationships/ctrlProp" Target="../ctrlProps/ctrlProp652.xml"/><Relationship Id="rId264" Type="http://schemas.openxmlformats.org/officeDocument/2006/relationships/ctrlProp" Target="../ctrlProps/ctrlProp673.xml"/><Relationship Id="rId285" Type="http://schemas.openxmlformats.org/officeDocument/2006/relationships/ctrlProp" Target="../ctrlProps/ctrlProp694.xml"/><Relationship Id="rId17" Type="http://schemas.openxmlformats.org/officeDocument/2006/relationships/ctrlProp" Target="../ctrlProps/ctrlProp426.xml"/><Relationship Id="rId38" Type="http://schemas.openxmlformats.org/officeDocument/2006/relationships/ctrlProp" Target="../ctrlProps/ctrlProp447.xml"/><Relationship Id="rId59" Type="http://schemas.openxmlformats.org/officeDocument/2006/relationships/ctrlProp" Target="../ctrlProps/ctrlProp468.xml"/><Relationship Id="rId103" Type="http://schemas.openxmlformats.org/officeDocument/2006/relationships/ctrlProp" Target="../ctrlProps/ctrlProp512.xml"/><Relationship Id="rId124" Type="http://schemas.openxmlformats.org/officeDocument/2006/relationships/ctrlProp" Target="../ctrlProps/ctrlProp533.xml"/><Relationship Id="rId310" Type="http://schemas.openxmlformats.org/officeDocument/2006/relationships/ctrlProp" Target="../ctrlProps/ctrlProp719.xml"/><Relationship Id="rId70" Type="http://schemas.openxmlformats.org/officeDocument/2006/relationships/ctrlProp" Target="../ctrlProps/ctrlProp479.xml"/><Relationship Id="rId91" Type="http://schemas.openxmlformats.org/officeDocument/2006/relationships/ctrlProp" Target="../ctrlProps/ctrlProp500.xml"/><Relationship Id="rId145" Type="http://schemas.openxmlformats.org/officeDocument/2006/relationships/ctrlProp" Target="../ctrlProps/ctrlProp554.xml"/><Relationship Id="rId166" Type="http://schemas.openxmlformats.org/officeDocument/2006/relationships/ctrlProp" Target="../ctrlProps/ctrlProp575.xml"/><Relationship Id="rId187" Type="http://schemas.openxmlformats.org/officeDocument/2006/relationships/ctrlProp" Target="../ctrlProps/ctrlProp596.xml"/><Relationship Id="rId331" Type="http://schemas.openxmlformats.org/officeDocument/2006/relationships/ctrlProp" Target="../ctrlProps/ctrlProp740.xml"/><Relationship Id="rId352" Type="http://schemas.openxmlformats.org/officeDocument/2006/relationships/ctrlProp" Target="../ctrlProps/ctrlProp761.xml"/><Relationship Id="rId373" Type="http://schemas.openxmlformats.org/officeDocument/2006/relationships/ctrlProp" Target="../ctrlProps/ctrlProp782.xml"/><Relationship Id="rId1" Type="http://schemas.openxmlformats.org/officeDocument/2006/relationships/printerSettings" Target="../printerSettings/printerSettings15.bin"/><Relationship Id="rId212" Type="http://schemas.openxmlformats.org/officeDocument/2006/relationships/ctrlProp" Target="../ctrlProps/ctrlProp621.xml"/><Relationship Id="rId233" Type="http://schemas.openxmlformats.org/officeDocument/2006/relationships/ctrlProp" Target="../ctrlProps/ctrlProp642.xml"/><Relationship Id="rId254" Type="http://schemas.openxmlformats.org/officeDocument/2006/relationships/ctrlProp" Target="../ctrlProps/ctrlProp663.xml"/><Relationship Id="rId28" Type="http://schemas.openxmlformats.org/officeDocument/2006/relationships/ctrlProp" Target="../ctrlProps/ctrlProp437.xml"/><Relationship Id="rId49" Type="http://schemas.openxmlformats.org/officeDocument/2006/relationships/ctrlProp" Target="../ctrlProps/ctrlProp458.xml"/><Relationship Id="rId114" Type="http://schemas.openxmlformats.org/officeDocument/2006/relationships/ctrlProp" Target="../ctrlProps/ctrlProp523.xml"/><Relationship Id="rId275" Type="http://schemas.openxmlformats.org/officeDocument/2006/relationships/ctrlProp" Target="../ctrlProps/ctrlProp684.xml"/><Relationship Id="rId296" Type="http://schemas.openxmlformats.org/officeDocument/2006/relationships/ctrlProp" Target="../ctrlProps/ctrlProp705.xml"/><Relationship Id="rId300" Type="http://schemas.openxmlformats.org/officeDocument/2006/relationships/ctrlProp" Target="../ctrlProps/ctrlProp709.xml"/><Relationship Id="rId60" Type="http://schemas.openxmlformats.org/officeDocument/2006/relationships/ctrlProp" Target="../ctrlProps/ctrlProp469.xml"/><Relationship Id="rId81" Type="http://schemas.openxmlformats.org/officeDocument/2006/relationships/ctrlProp" Target="../ctrlProps/ctrlProp490.xml"/><Relationship Id="rId135" Type="http://schemas.openxmlformats.org/officeDocument/2006/relationships/ctrlProp" Target="../ctrlProps/ctrlProp544.xml"/><Relationship Id="rId156" Type="http://schemas.openxmlformats.org/officeDocument/2006/relationships/ctrlProp" Target="../ctrlProps/ctrlProp565.xml"/><Relationship Id="rId177" Type="http://schemas.openxmlformats.org/officeDocument/2006/relationships/ctrlProp" Target="../ctrlProps/ctrlProp586.xml"/><Relationship Id="rId198" Type="http://schemas.openxmlformats.org/officeDocument/2006/relationships/ctrlProp" Target="../ctrlProps/ctrlProp607.xml"/><Relationship Id="rId321" Type="http://schemas.openxmlformats.org/officeDocument/2006/relationships/ctrlProp" Target="../ctrlProps/ctrlProp730.xml"/><Relationship Id="rId342" Type="http://schemas.openxmlformats.org/officeDocument/2006/relationships/ctrlProp" Target="../ctrlProps/ctrlProp751.xml"/><Relationship Id="rId363" Type="http://schemas.openxmlformats.org/officeDocument/2006/relationships/ctrlProp" Target="../ctrlProps/ctrlProp772.xml"/><Relationship Id="rId202" Type="http://schemas.openxmlformats.org/officeDocument/2006/relationships/ctrlProp" Target="../ctrlProps/ctrlProp611.xml"/><Relationship Id="rId223" Type="http://schemas.openxmlformats.org/officeDocument/2006/relationships/ctrlProp" Target="../ctrlProps/ctrlProp632.xml"/><Relationship Id="rId244" Type="http://schemas.openxmlformats.org/officeDocument/2006/relationships/ctrlProp" Target="../ctrlProps/ctrlProp653.xml"/><Relationship Id="rId18" Type="http://schemas.openxmlformats.org/officeDocument/2006/relationships/ctrlProp" Target="../ctrlProps/ctrlProp427.xml"/><Relationship Id="rId39" Type="http://schemas.openxmlformats.org/officeDocument/2006/relationships/ctrlProp" Target="../ctrlProps/ctrlProp448.xml"/><Relationship Id="rId265" Type="http://schemas.openxmlformats.org/officeDocument/2006/relationships/ctrlProp" Target="../ctrlProps/ctrlProp674.xml"/><Relationship Id="rId286" Type="http://schemas.openxmlformats.org/officeDocument/2006/relationships/ctrlProp" Target="../ctrlProps/ctrlProp695.xml"/><Relationship Id="rId50" Type="http://schemas.openxmlformats.org/officeDocument/2006/relationships/ctrlProp" Target="../ctrlProps/ctrlProp459.xml"/><Relationship Id="rId104" Type="http://schemas.openxmlformats.org/officeDocument/2006/relationships/ctrlProp" Target="../ctrlProps/ctrlProp513.xml"/><Relationship Id="rId125" Type="http://schemas.openxmlformats.org/officeDocument/2006/relationships/ctrlProp" Target="../ctrlProps/ctrlProp534.xml"/><Relationship Id="rId146" Type="http://schemas.openxmlformats.org/officeDocument/2006/relationships/ctrlProp" Target="../ctrlProps/ctrlProp555.xml"/><Relationship Id="rId167" Type="http://schemas.openxmlformats.org/officeDocument/2006/relationships/ctrlProp" Target="../ctrlProps/ctrlProp576.xml"/><Relationship Id="rId188" Type="http://schemas.openxmlformats.org/officeDocument/2006/relationships/ctrlProp" Target="../ctrlProps/ctrlProp597.xml"/><Relationship Id="rId311" Type="http://schemas.openxmlformats.org/officeDocument/2006/relationships/ctrlProp" Target="../ctrlProps/ctrlProp720.xml"/><Relationship Id="rId332" Type="http://schemas.openxmlformats.org/officeDocument/2006/relationships/ctrlProp" Target="../ctrlProps/ctrlProp741.xml"/><Relationship Id="rId353" Type="http://schemas.openxmlformats.org/officeDocument/2006/relationships/ctrlProp" Target="../ctrlProps/ctrlProp762.xml"/><Relationship Id="rId71" Type="http://schemas.openxmlformats.org/officeDocument/2006/relationships/ctrlProp" Target="../ctrlProps/ctrlProp480.xml"/><Relationship Id="rId92" Type="http://schemas.openxmlformats.org/officeDocument/2006/relationships/ctrlProp" Target="../ctrlProps/ctrlProp501.xml"/><Relationship Id="rId213" Type="http://schemas.openxmlformats.org/officeDocument/2006/relationships/ctrlProp" Target="../ctrlProps/ctrlProp622.xml"/><Relationship Id="rId234" Type="http://schemas.openxmlformats.org/officeDocument/2006/relationships/ctrlProp" Target="../ctrlProps/ctrlProp643.xml"/><Relationship Id="rId2" Type="http://schemas.openxmlformats.org/officeDocument/2006/relationships/drawing" Target="../drawings/drawing12.xml"/><Relationship Id="rId29" Type="http://schemas.openxmlformats.org/officeDocument/2006/relationships/ctrlProp" Target="../ctrlProps/ctrlProp438.xml"/><Relationship Id="rId255" Type="http://schemas.openxmlformats.org/officeDocument/2006/relationships/ctrlProp" Target="../ctrlProps/ctrlProp664.xml"/><Relationship Id="rId276" Type="http://schemas.openxmlformats.org/officeDocument/2006/relationships/ctrlProp" Target="../ctrlProps/ctrlProp685.xml"/><Relationship Id="rId297" Type="http://schemas.openxmlformats.org/officeDocument/2006/relationships/ctrlProp" Target="../ctrlProps/ctrlProp706.xml"/><Relationship Id="rId40" Type="http://schemas.openxmlformats.org/officeDocument/2006/relationships/ctrlProp" Target="../ctrlProps/ctrlProp449.xml"/><Relationship Id="rId115" Type="http://schemas.openxmlformats.org/officeDocument/2006/relationships/ctrlProp" Target="../ctrlProps/ctrlProp524.xml"/><Relationship Id="rId136" Type="http://schemas.openxmlformats.org/officeDocument/2006/relationships/ctrlProp" Target="../ctrlProps/ctrlProp545.xml"/><Relationship Id="rId157" Type="http://schemas.openxmlformats.org/officeDocument/2006/relationships/ctrlProp" Target="../ctrlProps/ctrlProp566.xml"/><Relationship Id="rId178" Type="http://schemas.openxmlformats.org/officeDocument/2006/relationships/ctrlProp" Target="../ctrlProps/ctrlProp587.xml"/><Relationship Id="rId301" Type="http://schemas.openxmlformats.org/officeDocument/2006/relationships/ctrlProp" Target="../ctrlProps/ctrlProp710.xml"/><Relationship Id="rId322" Type="http://schemas.openxmlformats.org/officeDocument/2006/relationships/ctrlProp" Target="../ctrlProps/ctrlProp731.xml"/><Relationship Id="rId343" Type="http://schemas.openxmlformats.org/officeDocument/2006/relationships/ctrlProp" Target="../ctrlProps/ctrlProp752.xml"/><Relationship Id="rId364" Type="http://schemas.openxmlformats.org/officeDocument/2006/relationships/ctrlProp" Target="../ctrlProps/ctrlProp773.xml"/><Relationship Id="rId61" Type="http://schemas.openxmlformats.org/officeDocument/2006/relationships/ctrlProp" Target="../ctrlProps/ctrlProp470.xml"/><Relationship Id="rId82" Type="http://schemas.openxmlformats.org/officeDocument/2006/relationships/ctrlProp" Target="../ctrlProps/ctrlProp491.xml"/><Relationship Id="rId199" Type="http://schemas.openxmlformats.org/officeDocument/2006/relationships/ctrlProp" Target="../ctrlProps/ctrlProp608.xml"/><Relationship Id="rId203" Type="http://schemas.openxmlformats.org/officeDocument/2006/relationships/ctrlProp" Target="../ctrlProps/ctrlProp612.xml"/><Relationship Id="rId19" Type="http://schemas.openxmlformats.org/officeDocument/2006/relationships/ctrlProp" Target="../ctrlProps/ctrlProp428.xml"/><Relationship Id="rId224" Type="http://schemas.openxmlformats.org/officeDocument/2006/relationships/ctrlProp" Target="../ctrlProps/ctrlProp633.xml"/><Relationship Id="rId245" Type="http://schemas.openxmlformats.org/officeDocument/2006/relationships/ctrlProp" Target="../ctrlProps/ctrlProp654.xml"/><Relationship Id="rId266" Type="http://schemas.openxmlformats.org/officeDocument/2006/relationships/ctrlProp" Target="../ctrlProps/ctrlProp675.xml"/><Relationship Id="rId287" Type="http://schemas.openxmlformats.org/officeDocument/2006/relationships/ctrlProp" Target="../ctrlProps/ctrlProp696.xml"/><Relationship Id="rId30" Type="http://schemas.openxmlformats.org/officeDocument/2006/relationships/ctrlProp" Target="../ctrlProps/ctrlProp439.xml"/><Relationship Id="rId105" Type="http://schemas.openxmlformats.org/officeDocument/2006/relationships/ctrlProp" Target="../ctrlProps/ctrlProp514.xml"/><Relationship Id="rId126" Type="http://schemas.openxmlformats.org/officeDocument/2006/relationships/ctrlProp" Target="../ctrlProps/ctrlProp535.xml"/><Relationship Id="rId147" Type="http://schemas.openxmlformats.org/officeDocument/2006/relationships/ctrlProp" Target="../ctrlProps/ctrlProp556.xml"/><Relationship Id="rId168" Type="http://schemas.openxmlformats.org/officeDocument/2006/relationships/ctrlProp" Target="../ctrlProps/ctrlProp577.xml"/><Relationship Id="rId312" Type="http://schemas.openxmlformats.org/officeDocument/2006/relationships/ctrlProp" Target="../ctrlProps/ctrlProp721.xml"/><Relationship Id="rId333" Type="http://schemas.openxmlformats.org/officeDocument/2006/relationships/ctrlProp" Target="../ctrlProps/ctrlProp742.xml"/><Relationship Id="rId354" Type="http://schemas.openxmlformats.org/officeDocument/2006/relationships/ctrlProp" Target="../ctrlProps/ctrlProp763.xml"/><Relationship Id="rId51" Type="http://schemas.openxmlformats.org/officeDocument/2006/relationships/ctrlProp" Target="../ctrlProps/ctrlProp460.xml"/><Relationship Id="rId72" Type="http://schemas.openxmlformats.org/officeDocument/2006/relationships/ctrlProp" Target="../ctrlProps/ctrlProp481.xml"/><Relationship Id="rId93" Type="http://schemas.openxmlformats.org/officeDocument/2006/relationships/ctrlProp" Target="../ctrlProps/ctrlProp502.xml"/><Relationship Id="rId189" Type="http://schemas.openxmlformats.org/officeDocument/2006/relationships/ctrlProp" Target="../ctrlProps/ctrlProp598.xml"/><Relationship Id="rId3" Type="http://schemas.openxmlformats.org/officeDocument/2006/relationships/vmlDrawing" Target="../drawings/vmlDrawing8.vml"/><Relationship Id="rId214" Type="http://schemas.openxmlformats.org/officeDocument/2006/relationships/ctrlProp" Target="../ctrlProps/ctrlProp623.xml"/><Relationship Id="rId235" Type="http://schemas.openxmlformats.org/officeDocument/2006/relationships/ctrlProp" Target="../ctrlProps/ctrlProp644.xml"/><Relationship Id="rId256" Type="http://schemas.openxmlformats.org/officeDocument/2006/relationships/ctrlProp" Target="../ctrlProps/ctrlProp665.xml"/><Relationship Id="rId277" Type="http://schemas.openxmlformats.org/officeDocument/2006/relationships/ctrlProp" Target="../ctrlProps/ctrlProp686.xml"/><Relationship Id="rId298" Type="http://schemas.openxmlformats.org/officeDocument/2006/relationships/ctrlProp" Target="../ctrlProps/ctrlProp707.xml"/><Relationship Id="rId116" Type="http://schemas.openxmlformats.org/officeDocument/2006/relationships/ctrlProp" Target="../ctrlProps/ctrlProp525.xml"/><Relationship Id="rId137" Type="http://schemas.openxmlformats.org/officeDocument/2006/relationships/ctrlProp" Target="../ctrlProps/ctrlProp546.xml"/><Relationship Id="rId158" Type="http://schemas.openxmlformats.org/officeDocument/2006/relationships/ctrlProp" Target="../ctrlProps/ctrlProp567.xml"/><Relationship Id="rId302" Type="http://schemas.openxmlformats.org/officeDocument/2006/relationships/ctrlProp" Target="../ctrlProps/ctrlProp711.xml"/><Relationship Id="rId323" Type="http://schemas.openxmlformats.org/officeDocument/2006/relationships/ctrlProp" Target="../ctrlProps/ctrlProp732.xml"/><Relationship Id="rId344" Type="http://schemas.openxmlformats.org/officeDocument/2006/relationships/ctrlProp" Target="../ctrlProps/ctrlProp753.xml"/><Relationship Id="rId20" Type="http://schemas.openxmlformats.org/officeDocument/2006/relationships/ctrlProp" Target="../ctrlProps/ctrlProp429.xml"/><Relationship Id="rId41" Type="http://schemas.openxmlformats.org/officeDocument/2006/relationships/ctrlProp" Target="../ctrlProps/ctrlProp450.xml"/><Relationship Id="rId62" Type="http://schemas.openxmlformats.org/officeDocument/2006/relationships/ctrlProp" Target="../ctrlProps/ctrlProp471.xml"/><Relationship Id="rId83" Type="http://schemas.openxmlformats.org/officeDocument/2006/relationships/ctrlProp" Target="../ctrlProps/ctrlProp492.xml"/><Relationship Id="rId179" Type="http://schemas.openxmlformats.org/officeDocument/2006/relationships/ctrlProp" Target="../ctrlProps/ctrlProp588.xml"/><Relationship Id="rId365" Type="http://schemas.openxmlformats.org/officeDocument/2006/relationships/ctrlProp" Target="../ctrlProps/ctrlProp774.xml"/><Relationship Id="rId190" Type="http://schemas.openxmlformats.org/officeDocument/2006/relationships/ctrlProp" Target="../ctrlProps/ctrlProp599.xml"/><Relationship Id="rId204" Type="http://schemas.openxmlformats.org/officeDocument/2006/relationships/ctrlProp" Target="../ctrlProps/ctrlProp613.xml"/><Relationship Id="rId225" Type="http://schemas.openxmlformats.org/officeDocument/2006/relationships/ctrlProp" Target="../ctrlProps/ctrlProp634.xml"/><Relationship Id="rId246" Type="http://schemas.openxmlformats.org/officeDocument/2006/relationships/ctrlProp" Target="../ctrlProps/ctrlProp655.xml"/><Relationship Id="rId267" Type="http://schemas.openxmlformats.org/officeDocument/2006/relationships/ctrlProp" Target="../ctrlProps/ctrlProp676.xml"/><Relationship Id="rId288" Type="http://schemas.openxmlformats.org/officeDocument/2006/relationships/ctrlProp" Target="../ctrlProps/ctrlProp697.xml"/><Relationship Id="rId106" Type="http://schemas.openxmlformats.org/officeDocument/2006/relationships/ctrlProp" Target="../ctrlProps/ctrlProp515.xml"/><Relationship Id="rId127" Type="http://schemas.openxmlformats.org/officeDocument/2006/relationships/ctrlProp" Target="../ctrlProps/ctrlProp536.xml"/><Relationship Id="rId313" Type="http://schemas.openxmlformats.org/officeDocument/2006/relationships/ctrlProp" Target="../ctrlProps/ctrlProp722.xml"/><Relationship Id="rId10" Type="http://schemas.openxmlformats.org/officeDocument/2006/relationships/ctrlProp" Target="../ctrlProps/ctrlProp419.xml"/><Relationship Id="rId31" Type="http://schemas.openxmlformats.org/officeDocument/2006/relationships/ctrlProp" Target="../ctrlProps/ctrlProp440.xml"/><Relationship Id="rId52" Type="http://schemas.openxmlformats.org/officeDocument/2006/relationships/ctrlProp" Target="../ctrlProps/ctrlProp461.xml"/><Relationship Id="rId73" Type="http://schemas.openxmlformats.org/officeDocument/2006/relationships/ctrlProp" Target="../ctrlProps/ctrlProp482.xml"/><Relationship Id="rId94" Type="http://schemas.openxmlformats.org/officeDocument/2006/relationships/ctrlProp" Target="../ctrlProps/ctrlProp503.xml"/><Relationship Id="rId148" Type="http://schemas.openxmlformats.org/officeDocument/2006/relationships/ctrlProp" Target="../ctrlProps/ctrlProp557.xml"/><Relationship Id="rId169" Type="http://schemas.openxmlformats.org/officeDocument/2006/relationships/ctrlProp" Target="../ctrlProps/ctrlProp578.xml"/><Relationship Id="rId334" Type="http://schemas.openxmlformats.org/officeDocument/2006/relationships/ctrlProp" Target="../ctrlProps/ctrlProp743.xml"/><Relationship Id="rId355" Type="http://schemas.openxmlformats.org/officeDocument/2006/relationships/ctrlProp" Target="../ctrlProps/ctrlProp76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trlProp" Target="../ctrlProps/ctrlProp783.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788.xml"/><Relationship Id="rId13" Type="http://schemas.openxmlformats.org/officeDocument/2006/relationships/ctrlProp" Target="../ctrlProps/ctrlProp793.xml"/><Relationship Id="rId3" Type="http://schemas.openxmlformats.org/officeDocument/2006/relationships/vmlDrawing" Target="../drawings/vmlDrawing10.vml"/><Relationship Id="rId7" Type="http://schemas.openxmlformats.org/officeDocument/2006/relationships/ctrlProp" Target="../ctrlProps/ctrlProp787.xml"/><Relationship Id="rId12" Type="http://schemas.openxmlformats.org/officeDocument/2006/relationships/ctrlProp" Target="../ctrlProps/ctrlProp792.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786.xml"/><Relationship Id="rId11" Type="http://schemas.openxmlformats.org/officeDocument/2006/relationships/ctrlProp" Target="../ctrlProps/ctrlProp791.xml"/><Relationship Id="rId5" Type="http://schemas.openxmlformats.org/officeDocument/2006/relationships/ctrlProp" Target="../ctrlProps/ctrlProp785.xml"/><Relationship Id="rId10" Type="http://schemas.openxmlformats.org/officeDocument/2006/relationships/ctrlProp" Target="../ctrlProps/ctrlProp790.xml"/><Relationship Id="rId4" Type="http://schemas.openxmlformats.org/officeDocument/2006/relationships/ctrlProp" Target="../ctrlProps/ctrlProp784.xml"/><Relationship Id="rId9" Type="http://schemas.openxmlformats.org/officeDocument/2006/relationships/ctrlProp" Target="../ctrlProps/ctrlProp789.xml"/><Relationship Id="rId14" Type="http://schemas.openxmlformats.org/officeDocument/2006/relationships/ctrlProp" Target="../ctrlProps/ctrlProp79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hyperlink" Target="http://www.ul.com/" TargetMode="External"/><Relationship Id="rId7" Type="http://schemas.openxmlformats.org/officeDocument/2006/relationships/hyperlink" Target="http://www.ul.com/" TargetMode="External"/><Relationship Id="rId2" Type="http://schemas.openxmlformats.org/officeDocument/2006/relationships/hyperlink" Target="http://www.carpet-rug.org/" TargetMode="External"/><Relationship Id="rId1" Type="http://schemas.openxmlformats.org/officeDocument/2006/relationships/hyperlink" Target="http://www.kcma.org/" TargetMode="External"/><Relationship Id="rId6" Type="http://schemas.openxmlformats.org/officeDocument/2006/relationships/hyperlink" Target="http://www.greenseal.org/" TargetMode="External"/><Relationship Id="rId5" Type="http://schemas.openxmlformats.org/officeDocument/2006/relationships/hyperlink" Target="http://www.scscertified.com/" TargetMode="External"/><Relationship Id="rId4" Type="http://schemas.openxmlformats.org/officeDocument/2006/relationships/hyperlink" Target="http://www.rfci.com/"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1.bin"/><Relationship Id="rId1" Type="http://schemas.openxmlformats.org/officeDocument/2006/relationships/hyperlink" Target="http://www.nationalatlas.gov/"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2.bin"/><Relationship Id="rId1" Type="http://schemas.openxmlformats.org/officeDocument/2006/relationships/hyperlink" Target="http://www.iccsafe.org/"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71" Type="http://schemas.openxmlformats.org/officeDocument/2006/relationships/ctrlProp" Target="../ctrlProps/ctrlProp68.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1" Type="http://schemas.openxmlformats.org/officeDocument/2006/relationships/printerSettings" Target="../printerSettings/printerSettings4.bin"/><Relationship Id="rId6" Type="http://schemas.openxmlformats.org/officeDocument/2006/relationships/ctrlProp" Target="../ctrlProps/ctrlProp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82.xml"/><Relationship Id="rId18" Type="http://schemas.openxmlformats.org/officeDocument/2006/relationships/ctrlProp" Target="../ctrlProps/ctrlProp87.xml"/><Relationship Id="rId26" Type="http://schemas.openxmlformats.org/officeDocument/2006/relationships/ctrlProp" Target="../ctrlProps/ctrlProp95.xml"/><Relationship Id="rId39" Type="http://schemas.openxmlformats.org/officeDocument/2006/relationships/ctrlProp" Target="../ctrlProps/ctrlProp108.xml"/><Relationship Id="rId21" Type="http://schemas.openxmlformats.org/officeDocument/2006/relationships/ctrlProp" Target="../ctrlProps/ctrlProp90.xml"/><Relationship Id="rId34" Type="http://schemas.openxmlformats.org/officeDocument/2006/relationships/ctrlProp" Target="../ctrlProps/ctrlProp103.xml"/><Relationship Id="rId42" Type="http://schemas.openxmlformats.org/officeDocument/2006/relationships/ctrlProp" Target="../ctrlProps/ctrlProp111.xml"/><Relationship Id="rId47" Type="http://schemas.openxmlformats.org/officeDocument/2006/relationships/ctrlProp" Target="../ctrlProps/ctrlProp116.xml"/><Relationship Id="rId50" Type="http://schemas.openxmlformats.org/officeDocument/2006/relationships/ctrlProp" Target="../ctrlProps/ctrlProp119.xml"/><Relationship Id="rId55" Type="http://schemas.openxmlformats.org/officeDocument/2006/relationships/ctrlProp" Target="../ctrlProps/ctrlProp124.xml"/><Relationship Id="rId63" Type="http://schemas.openxmlformats.org/officeDocument/2006/relationships/ctrlProp" Target="../ctrlProps/ctrlProp132.xml"/><Relationship Id="rId68" Type="http://schemas.openxmlformats.org/officeDocument/2006/relationships/ctrlProp" Target="../ctrlProps/ctrlProp137.xml"/><Relationship Id="rId76" Type="http://schemas.openxmlformats.org/officeDocument/2006/relationships/ctrlProp" Target="../ctrlProps/ctrlProp145.xml"/><Relationship Id="rId84" Type="http://schemas.openxmlformats.org/officeDocument/2006/relationships/ctrlProp" Target="../ctrlProps/ctrlProp153.xml"/><Relationship Id="rId7" Type="http://schemas.openxmlformats.org/officeDocument/2006/relationships/ctrlProp" Target="../ctrlProps/ctrlProp76.xml"/><Relationship Id="rId71" Type="http://schemas.openxmlformats.org/officeDocument/2006/relationships/ctrlProp" Target="../ctrlProps/ctrlProp140.xml"/><Relationship Id="rId2" Type="http://schemas.openxmlformats.org/officeDocument/2006/relationships/drawing" Target="../drawings/drawing4.xml"/><Relationship Id="rId16" Type="http://schemas.openxmlformats.org/officeDocument/2006/relationships/ctrlProp" Target="../ctrlProps/ctrlProp85.xml"/><Relationship Id="rId29" Type="http://schemas.openxmlformats.org/officeDocument/2006/relationships/ctrlProp" Target="../ctrlProps/ctrlProp98.xml"/><Relationship Id="rId11" Type="http://schemas.openxmlformats.org/officeDocument/2006/relationships/ctrlProp" Target="../ctrlProps/ctrlProp80.xml"/><Relationship Id="rId24" Type="http://schemas.openxmlformats.org/officeDocument/2006/relationships/ctrlProp" Target="../ctrlProps/ctrlProp93.xml"/><Relationship Id="rId32" Type="http://schemas.openxmlformats.org/officeDocument/2006/relationships/ctrlProp" Target="../ctrlProps/ctrlProp101.xml"/><Relationship Id="rId37" Type="http://schemas.openxmlformats.org/officeDocument/2006/relationships/ctrlProp" Target="../ctrlProps/ctrlProp106.xml"/><Relationship Id="rId40" Type="http://schemas.openxmlformats.org/officeDocument/2006/relationships/ctrlProp" Target="../ctrlProps/ctrlProp109.xml"/><Relationship Id="rId45" Type="http://schemas.openxmlformats.org/officeDocument/2006/relationships/ctrlProp" Target="../ctrlProps/ctrlProp114.xml"/><Relationship Id="rId53" Type="http://schemas.openxmlformats.org/officeDocument/2006/relationships/ctrlProp" Target="../ctrlProps/ctrlProp122.xml"/><Relationship Id="rId58" Type="http://schemas.openxmlformats.org/officeDocument/2006/relationships/ctrlProp" Target="../ctrlProps/ctrlProp127.xml"/><Relationship Id="rId66" Type="http://schemas.openxmlformats.org/officeDocument/2006/relationships/ctrlProp" Target="../ctrlProps/ctrlProp135.xml"/><Relationship Id="rId74" Type="http://schemas.openxmlformats.org/officeDocument/2006/relationships/ctrlProp" Target="../ctrlProps/ctrlProp143.xml"/><Relationship Id="rId79" Type="http://schemas.openxmlformats.org/officeDocument/2006/relationships/ctrlProp" Target="../ctrlProps/ctrlProp148.xml"/><Relationship Id="rId87" Type="http://schemas.openxmlformats.org/officeDocument/2006/relationships/ctrlProp" Target="../ctrlProps/ctrlProp156.xml"/><Relationship Id="rId5" Type="http://schemas.openxmlformats.org/officeDocument/2006/relationships/ctrlProp" Target="../ctrlProps/ctrlProp74.xml"/><Relationship Id="rId61" Type="http://schemas.openxmlformats.org/officeDocument/2006/relationships/ctrlProp" Target="../ctrlProps/ctrlProp130.xml"/><Relationship Id="rId82" Type="http://schemas.openxmlformats.org/officeDocument/2006/relationships/ctrlProp" Target="../ctrlProps/ctrlProp151.xml"/><Relationship Id="rId19" Type="http://schemas.openxmlformats.org/officeDocument/2006/relationships/ctrlProp" Target="../ctrlProps/ctrlProp88.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 Id="rId22" Type="http://schemas.openxmlformats.org/officeDocument/2006/relationships/ctrlProp" Target="../ctrlProps/ctrlProp91.xml"/><Relationship Id="rId27" Type="http://schemas.openxmlformats.org/officeDocument/2006/relationships/ctrlProp" Target="../ctrlProps/ctrlProp96.xml"/><Relationship Id="rId30" Type="http://schemas.openxmlformats.org/officeDocument/2006/relationships/ctrlProp" Target="../ctrlProps/ctrlProp99.xml"/><Relationship Id="rId35" Type="http://schemas.openxmlformats.org/officeDocument/2006/relationships/ctrlProp" Target="../ctrlProps/ctrlProp104.xml"/><Relationship Id="rId43" Type="http://schemas.openxmlformats.org/officeDocument/2006/relationships/ctrlProp" Target="../ctrlProps/ctrlProp112.xml"/><Relationship Id="rId48" Type="http://schemas.openxmlformats.org/officeDocument/2006/relationships/ctrlProp" Target="../ctrlProps/ctrlProp117.xml"/><Relationship Id="rId56" Type="http://schemas.openxmlformats.org/officeDocument/2006/relationships/ctrlProp" Target="../ctrlProps/ctrlProp125.xml"/><Relationship Id="rId64" Type="http://schemas.openxmlformats.org/officeDocument/2006/relationships/ctrlProp" Target="../ctrlProps/ctrlProp133.xml"/><Relationship Id="rId69" Type="http://schemas.openxmlformats.org/officeDocument/2006/relationships/ctrlProp" Target="../ctrlProps/ctrlProp138.xml"/><Relationship Id="rId77" Type="http://schemas.openxmlformats.org/officeDocument/2006/relationships/ctrlProp" Target="../ctrlProps/ctrlProp146.xml"/><Relationship Id="rId8" Type="http://schemas.openxmlformats.org/officeDocument/2006/relationships/ctrlProp" Target="../ctrlProps/ctrlProp77.xml"/><Relationship Id="rId51" Type="http://schemas.openxmlformats.org/officeDocument/2006/relationships/ctrlProp" Target="../ctrlProps/ctrlProp120.xml"/><Relationship Id="rId72" Type="http://schemas.openxmlformats.org/officeDocument/2006/relationships/ctrlProp" Target="../ctrlProps/ctrlProp141.xml"/><Relationship Id="rId80" Type="http://schemas.openxmlformats.org/officeDocument/2006/relationships/ctrlProp" Target="../ctrlProps/ctrlProp149.xml"/><Relationship Id="rId85" Type="http://schemas.openxmlformats.org/officeDocument/2006/relationships/ctrlProp" Target="../ctrlProps/ctrlProp154.xml"/><Relationship Id="rId3" Type="http://schemas.openxmlformats.org/officeDocument/2006/relationships/vmlDrawing" Target="../drawings/vmlDrawing2.vml"/><Relationship Id="rId12" Type="http://schemas.openxmlformats.org/officeDocument/2006/relationships/ctrlProp" Target="../ctrlProps/ctrlProp81.xml"/><Relationship Id="rId17" Type="http://schemas.openxmlformats.org/officeDocument/2006/relationships/ctrlProp" Target="../ctrlProps/ctrlProp86.xml"/><Relationship Id="rId25" Type="http://schemas.openxmlformats.org/officeDocument/2006/relationships/ctrlProp" Target="../ctrlProps/ctrlProp94.xml"/><Relationship Id="rId33" Type="http://schemas.openxmlformats.org/officeDocument/2006/relationships/ctrlProp" Target="../ctrlProps/ctrlProp102.xml"/><Relationship Id="rId38" Type="http://schemas.openxmlformats.org/officeDocument/2006/relationships/ctrlProp" Target="../ctrlProps/ctrlProp107.xml"/><Relationship Id="rId46" Type="http://schemas.openxmlformats.org/officeDocument/2006/relationships/ctrlProp" Target="../ctrlProps/ctrlProp115.xml"/><Relationship Id="rId59" Type="http://schemas.openxmlformats.org/officeDocument/2006/relationships/ctrlProp" Target="../ctrlProps/ctrlProp128.xml"/><Relationship Id="rId67" Type="http://schemas.openxmlformats.org/officeDocument/2006/relationships/ctrlProp" Target="../ctrlProps/ctrlProp136.xml"/><Relationship Id="rId20" Type="http://schemas.openxmlformats.org/officeDocument/2006/relationships/ctrlProp" Target="../ctrlProps/ctrlProp89.xml"/><Relationship Id="rId41" Type="http://schemas.openxmlformats.org/officeDocument/2006/relationships/ctrlProp" Target="../ctrlProps/ctrlProp110.xml"/><Relationship Id="rId54" Type="http://schemas.openxmlformats.org/officeDocument/2006/relationships/ctrlProp" Target="../ctrlProps/ctrlProp123.xml"/><Relationship Id="rId62" Type="http://schemas.openxmlformats.org/officeDocument/2006/relationships/ctrlProp" Target="../ctrlProps/ctrlProp131.xml"/><Relationship Id="rId70" Type="http://schemas.openxmlformats.org/officeDocument/2006/relationships/ctrlProp" Target="../ctrlProps/ctrlProp139.xml"/><Relationship Id="rId75" Type="http://schemas.openxmlformats.org/officeDocument/2006/relationships/ctrlProp" Target="../ctrlProps/ctrlProp144.xml"/><Relationship Id="rId83" Type="http://schemas.openxmlformats.org/officeDocument/2006/relationships/ctrlProp" Target="../ctrlProps/ctrlProp152.xml"/><Relationship Id="rId1" Type="http://schemas.openxmlformats.org/officeDocument/2006/relationships/printerSettings" Target="../printerSettings/printerSettings5.bin"/><Relationship Id="rId6" Type="http://schemas.openxmlformats.org/officeDocument/2006/relationships/ctrlProp" Target="../ctrlProps/ctrlProp75.xml"/><Relationship Id="rId15" Type="http://schemas.openxmlformats.org/officeDocument/2006/relationships/ctrlProp" Target="../ctrlProps/ctrlProp84.xml"/><Relationship Id="rId23" Type="http://schemas.openxmlformats.org/officeDocument/2006/relationships/ctrlProp" Target="../ctrlProps/ctrlProp92.xml"/><Relationship Id="rId28" Type="http://schemas.openxmlformats.org/officeDocument/2006/relationships/ctrlProp" Target="../ctrlProps/ctrlProp97.xml"/><Relationship Id="rId36" Type="http://schemas.openxmlformats.org/officeDocument/2006/relationships/ctrlProp" Target="../ctrlProps/ctrlProp105.xml"/><Relationship Id="rId49" Type="http://schemas.openxmlformats.org/officeDocument/2006/relationships/ctrlProp" Target="../ctrlProps/ctrlProp118.xml"/><Relationship Id="rId57" Type="http://schemas.openxmlformats.org/officeDocument/2006/relationships/ctrlProp" Target="../ctrlProps/ctrlProp126.xml"/><Relationship Id="rId10" Type="http://schemas.openxmlformats.org/officeDocument/2006/relationships/ctrlProp" Target="../ctrlProps/ctrlProp79.xml"/><Relationship Id="rId31" Type="http://schemas.openxmlformats.org/officeDocument/2006/relationships/ctrlProp" Target="../ctrlProps/ctrlProp100.xml"/><Relationship Id="rId44" Type="http://schemas.openxmlformats.org/officeDocument/2006/relationships/ctrlProp" Target="../ctrlProps/ctrlProp113.xml"/><Relationship Id="rId52" Type="http://schemas.openxmlformats.org/officeDocument/2006/relationships/ctrlProp" Target="../ctrlProps/ctrlProp121.xml"/><Relationship Id="rId60" Type="http://schemas.openxmlformats.org/officeDocument/2006/relationships/ctrlProp" Target="../ctrlProps/ctrlProp129.xml"/><Relationship Id="rId65" Type="http://schemas.openxmlformats.org/officeDocument/2006/relationships/ctrlProp" Target="../ctrlProps/ctrlProp134.xml"/><Relationship Id="rId73" Type="http://schemas.openxmlformats.org/officeDocument/2006/relationships/ctrlProp" Target="../ctrlProps/ctrlProp142.xml"/><Relationship Id="rId78" Type="http://schemas.openxmlformats.org/officeDocument/2006/relationships/ctrlProp" Target="../ctrlProps/ctrlProp147.xml"/><Relationship Id="rId81" Type="http://schemas.openxmlformats.org/officeDocument/2006/relationships/ctrlProp" Target="../ctrlProps/ctrlProp150.xml"/><Relationship Id="rId86" Type="http://schemas.openxmlformats.org/officeDocument/2006/relationships/ctrlProp" Target="../ctrlProps/ctrlProp15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66.xml"/><Relationship Id="rId18" Type="http://schemas.openxmlformats.org/officeDocument/2006/relationships/ctrlProp" Target="../ctrlProps/ctrlProp171.xml"/><Relationship Id="rId26" Type="http://schemas.openxmlformats.org/officeDocument/2006/relationships/ctrlProp" Target="../ctrlProps/ctrlProp179.xml"/><Relationship Id="rId39" Type="http://schemas.openxmlformats.org/officeDocument/2006/relationships/ctrlProp" Target="../ctrlProps/ctrlProp192.xml"/><Relationship Id="rId21" Type="http://schemas.openxmlformats.org/officeDocument/2006/relationships/ctrlProp" Target="../ctrlProps/ctrlProp174.xml"/><Relationship Id="rId34" Type="http://schemas.openxmlformats.org/officeDocument/2006/relationships/ctrlProp" Target="../ctrlProps/ctrlProp187.xml"/><Relationship Id="rId42" Type="http://schemas.openxmlformats.org/officeDocument/2006/relationships/ctrlProp" Target="../ctrlProps/ctrlProp195.xml"/><Relationship Id="rId47" Type="http://schemas.openxmlformats.org/officeDocument/2006/relationships/ctrlProp" Target="../ctrlProps/ctrlProp200.xml"/><Relationship Id="rId50" Type="http://schemas.openxmlformats.org/officeDocument/2006/relationships/ctrlProp" Target="../ctrlProps/ctrlProp203.xml"/><Relationship Id="rId55" Type="http://schemas.openxmlformats.org/officeDocument/2006/relationships/ctrlProp" Target="../ctrlProps/ctrlProp208.xml"/><Relationship Id="rId63" Type="http://schemas.openxmlformats.org/officeDocument/2006/relationships/ctrlProp" Target="../ctrlProps/ctrlProp216.xml"/><Relationship Id="rId68" Type="http://schemas.openxmlformats.org/officeDocument/2006/relationships/ctrlProp" Target="../ctrlProps/ctrlProp221.xml"/><Relationship Id="rId76" Type="http://schemas.openxmlformats.org/officeDocument/2006/relationships/ctrlProp" Target="../ctrlProps/ctrlProp229.xml"/><Relationship Id="rId84" Type="http://schemas.openxmlformats.org/officeDocument/2006/relationships/ctrlProp" Target="../ctrlProps/ctrlProp237.xml"/><Relationship Id="rId89" Type="http://schemas.openxmlformats.org/officeDocument/2006/relationships/ctrlProp" Target="../ctrlProps/ctrlProp242.xml"/><Relationship Id="rId7" Type="http://schemas.openxmlformats.org/officeDocument/2006/relationships/ctrlProp" Target="../ctrlProps/ctrlProp160.xml"/><Relationship Id="rId71" Type="http://schemas.openxmlformats.org/officeDocument/2006/relationships/ctrlProp" Target="../ctrlProps/ctrlProp224.xml"/><Relationship Id="rId2" Type="http://schemas.openxmlformats.org/officeDocument/2006/relationships/drawing" Target="../drawings/drawing5.xml"/><Relationship Id="rId16" Type="http://schemas.openxmlformats.org/officeDocument/2006/relationships/ctrlProp" Target="../ctrlProps/ctrlProp169.xml"/><Relationship Id="rId29" Type="http://schemas.openxmlformats.org/officeDocument/2006/relationships/ctrlProp" Target="../ctrlProps/ctrlProp182.xml"/><Relationship Id="rId11" Type="http://schemas.openxmlformats.org/officeDocument/2006/relationships/ctrlProp" Target="../ctrlProps/ctrlProp164.xml"/><Relationship Id="rId24" Type="http://schemas.openxmlformats.org/officeDocument/2006/relationships/ctrlProp" Target="../ctrlProps/ctrlProp177.xml"/><Relationship Id="rId32" Type="http://schemas.openxmlformats.org/officeDocument/2006/relationships/ctrlProp" Target="../ctrlProps/ctrlProp185.xml"/><Relationship Id="rId37" Type="http://schemas.openxmlformats.org/officeDocument/2006/relationships/ctrlProp" Target="../ctrlProps/ctrlProp190.xml"/><Relationship Id="rId40" Type="http://schemas.openxmlformats.org/officeDocument/2006/relationships/ctrlProp" Target="../ctrlProps/ctrlProp193.xml"/><Relationship Id="rId45" Type="http://schemas.openxmlformats.org/officeDocument/2006/relationships/ctrlProp" Target="../ctrlProps/ctrlProp198.xml"/><Relationship Id="rId53" Type="http://schemas.openxmlformats.org/officeDocument/2006/relationships/ctrlProp" Target="../ctrlProps/ctrlProp206.xml"/><Relationship Id="rId58" Type="http://schemas.openxmlformats.org/officeDocument/2006/relationships/ctrlProp" Target="../ctrlProps/ctrlProp211.xml"/><Relationship Id="rId66" Type="http://schemas.openxmlformats.org/officeDocument/2006/relationships/ctrlProp" Target="../ctrlProps/ctrlProp219.xml"/><Relationship Id="rId74" Type="http://schemas.openxmlformats.org/officeDocument/2006/relationships/ctrlProp" Target="../ctrlProps/ctrlProp227.xml"/><Relationship Id="rId79" Type="http://schemas.openxmlformats.org/officeDocument/2006/relationships/ctrlProp" Target="../ctrlProps/ctrlProp232.xml"/><Relationship Id="rId87" Type="http://schemas.openxmlformats.org/officeDocument/2006/relationships/ctrlProp" Target="../ctrlProps/ctrlProp240.xml"/><Relationship Id="rId5" Type="http://schemas.openxmlformats.org/officeDocument/2006/relationships/ctrlProp" Target="../ctrlProps/ctrlProp158.xml"/><Relationship Id="rId61" Type="http://schemas.openxmlformats.org/officeDocument/2006/relationships/ctrlProp" Target="../ctrlProps/ctrlProp214.xml"/><Relationship Id="rId82" Type="http://schemas.openxmlformats.org/officeDocument/2006/relationships/ctrlProp" Target="../ctrlProps/ctrlProp235.xml"/><Relationship Id="rId90" Type="http://schemas.openxmlformats.org/officeDocument/2006/relationships/ctrlProp" Target="../ctrlProps/ctrlProp243.xml"/><Relationship Id="rId19" Type="http://schemas.openxmlformats.org/officeDocument/2006/relationships/ctrlProp" Target="../ctrlProps/ctrlProp172.xml"/><Relationship Id="rId14" Type="http://schemas.openxmlformats.org/officeDocument/2006/relationships/ctrlProp" Target="../ctrlProps/ctrlProp167.xml"/><Relationship Id="rId22" Type="http://schemas.openxmlformats.org/officeDocument/2006/relationships/ctrlProp" Target="../ctrlProps/ctrlProp175.xml"/><Relationship Id="rId27" Type="http://schemas.openxmlformats.org/officeDocument/2006/relationships/ctrlProp" Target="../ctrlProps/ctrlProp180.xml"/><Relationship Id="rId30" Type="http://schemas.openxmlformats.org/officeDocument/2006/relationships/ctrlProp" Target="../ctrlProps/ctrlProp183.xml"/><Relationship Id="rId35" Type="http://schemas.openxmlformats.org/officeDocument/2006/relationships/ctrlProp" Target="../ctrlProps/ctrlProp188.xml"/><Relationship Id="rId43" Type="http://schemas.openxmlformats.org/officeDocument/2006/relationships/ctrlProp" Target="../ctrlProps/ctrlProp196.xml"/><Relationship Id="rId48" Type="http://schemas.openxmlformats.org/officeDocument/2006/relationships/ctrlProp" Target="../ctrlProps/ctrlProp201.xml"/><Relationship Id="rId56" Type="http://schemas.openxmlformats.org/officeDocument/2006/relationships/ctrlProp" Target="../ctrlProps/ctrlProp209.xml"/><Relationship Id="rId64" Type="http://schemas.openxmlformats.org/officeDocument/2006/relationships/ctrlProp" Target="../ctrlProps/ctrlProp217.xml"/><Relationship Id="rId69" Type="http://schemas.openxmlformats.org/officeDocument/2006/relationships/ctrlProp" Target="../ctrlProps/ctrlProp222.xml"/><Relationship Id="rId77" Type="http://schemas.openxmlformats.org/officeDocument/2006/relationships/ctrlProp" Target="../ctrlProps/ctrlProp230.xml"/><Relationship Id="rId8" Type="http://schemas.openxmlformats.org/officeDocument/2006/relationships/ctrlProp" Target="../ctrlProps/ctrlProp161.xml"/><Relationship Id="rId51" Type="http://schemas.openxmlformats.org/officeDocument/2006/relationships/ctrlProp" Target="../ctrlProps/ctrlProp204.xml"/><Relationship Id="rId72" Type="http://schemas.openxmlformats.org/officeDocument/2006/relationships/ctrlProp" Target="../ctrlProps/ctrlProp225.xml"/><Relationship Id="rId80" Type="http://schemas.openxmlformats.org/officeDocument/2006/relationships/ctrlProp" Target="../ctrlProps/ctrlProp233.xml"/><Relationship Id="rId85" Type="http://schemas.openxmlformats.org/officeDocument/2006/relationships/ctrlProp" Target="../ctrlProps/ctrlProp238.xml"/><Relationship Id="rId3" Type="http://schemas.openxmlformats.org/officeDocument/2006/relationships/vmlDrawing" Target="../drawings/vmlDrawing3.vml"/><Relationship Id="rId12" Type="http://schemas.openxmlformats.org/officeDocument/2006/relationships/ctrlProp" Target="../ctrlProps/ctrlProp165.xml"/><Relationship Id="rId17" Type="http://schemas.openxmlformats.org/officeDocument/2006/relationships/ctrlProp" Target="../ctrlProps/ctrlProp170.xml"/><Relationship Id="rId25" Type="http://schemas.openxmlformats.org/officeDocument/2006/relationships/ctrlProp" Target="../ctrlProps/ctrlProp178.xml"/><Relationship Id="rId33" Type="http://schemas.openxmlformats.org/officeDocument/2006/relationships/ctrlProp" Target="../ctrlProps/ctrlProp186.xml"/><Relationship Id="rId38" Type="http://schemas.openxmlformats.org/officeDocument/2006/relationships/ctrlProp" Target="../ctrlProps/ctrlProp191.xml"/><Relationship Id="rId46" Type="http://schemas.openxmlformats.org/officeDocument/2006/relationships/ctrlProp" Target="../ctrlProps/ctrlProp199.xml"/><Relationship Id="rId59" Type="http://schemas.openxmlformats.org/officeDocument/2006/relationships/ctrlProp" Target="../ctrlProps/ctrlProp212.xml"/><Relationship Id="rId67" Type="http://schemas.openxmlformats.org/officeDocument/2006/relationships/ctrlProp" Target="../ctrlProps/ctrlProp220.xml"/><Relationship Id="rId20" Type="http://schemas.openxmlformats.org/officeDocument/2006/relationships/ctrlProp" Target="../ctrlProps/ctrlProp173.xml"/><Relationship Id="rId41" Type="http://schemas.openxmlformats.org/officeDocument/2006/relationships/ctrlProp" Target="../ctrlProps/ctrlProp194.xml"/><Relationship Id="rId54" Type="http://schemas.openxmlformats.org/officeDocument/2006/relationships/ctrlProp" Target="../ctrlProps/ctrlProp207.xml"/><Relationship Id="rId62" Type="http://schemas.openxmlformats.org/officeDocument/2006/relationships/ctrlProp" Target="../ctrlProps/ctrlProp215.xml"/><Relationship Id="rId70" Type="http://schemas.openxmlformats.org/officeDocument/2006/relationships/ctrlProp" Target="../ctrlProps/ctrlProp223.xml"/><Relationship Id="rId75" Type="http://schemas.openxmlformats.org/officeDocument/2006/relationships/ctrlProp" Target="../ctrlProps/ctrlProp228.xml"/><Relationship Id="rId83" Type="http://schemas.openxmlformats.org/officeDocument/2006/relationships/ctrlProp" Target="../ctrlProps/ctrlProp236.xml"/><Relationship Id="rId88" Type="http://schemas.openxmlformats.org/officeDocument/2006/relationships/ctrlProp" Target="../ctrlProps/ctrlProp241.xml"/><Relationship Id="rId91" Type="http://schemas.openxmlformats.org/officeDocument/2006/relationships/ctrlProp" Target="../ctrlProps/ctrlProp244.xml"/><Relationship Id="rId1" Type="http://schemas.openxmlformats.org/officeDocument/2006/relationships/printerSettings" Target="../printerSettings/printerSettings6.bin"/><Relationship Id="rId6" Type="http://schemas.openxmlformats.org/officeDocument/2006/relationships/ctrlProp" Target="../ctrlProps/ctrlProp159.xml"/><Relationship Id="rId15" Type="http://schemas.openxmlformats.org/officeDocument/2006/relationships/ctrlProp" Target="../ctrlProps/ctrlProp168.xml"/><Relationship Id="rId23" Type="http://schemas.openxmlformats.org/officeDocument/2006/relationships/ctrlProp" Target="../ctrlProps/ctrlProp176.xml"/><Relationship Id="rId28" Type="http://schemas.openxmlformats.org/officeDocument/2006/relationships/ctrlProp" Target="../ctrlProps/ctrlProp181.xml"/><Relationship Id="rId36" Type="http://schemas.openxmlformats.org/officeDocument/2006/relationships/ctrlProp" Target="../ctrlProps/ctrlProp189.xml"/><Relationship Id="rId49" Type="http://schemas.openxmlformats.org/officeDocument/2006/relationships/ctrlProp" Target="../ctrlProps/ctrlProp202.xml"/><Relationship Id="rId57" Type="http://schemas.openxmlformats.org/officeDocument/2006/relationships/ctrlProp" Target="../ctrlProps/ctrlProp210.xml"/><Relationship Id="rId10" Type="http://schemas.openxmlformats.org/officeDocument/2006/relationships/ctrlProp" Target="../ctrlProps/ctrlProp163.xml"/><Relationship Id="rId31" Type="http://schemas.openxmlformats.org/officeDocument/2006/relationships/ctrlProp" Target="../ctrlProps/ctrlProp184.xml"/><Relationship Id="rId44" Type="http://schemas.openxmlformats.org/officeDocument/2006/relationships/ctrlProp" Target="../ctrlProps/ctrlProp197.xml"/><Relationship Id="rId52" Type="http://schemas.openxmlformats.org/officeDocument/2006/relationships/ctrlProp" Target="../ctrlProps/ctrlProp205.xml"/><Relationship Id="rId60" Type="http://schemas.openxmlformats.org/officeDocument/2006/relationships/ctrlProp" Target="../ctrlProps/ctrlProp213.xml"/><Relationship Id="rId65" Type="http://schemas.openxmlformats.org/officeDocument/2006/relationships/ctrlProp" Target="../ctrlProps/ctrlProp218.xml"/><Relationship Id="rId73" Type="http://schemas.openxmlformats.org/officeDocument/2006/relationships/ctrlProp" Target="../ctrlProps/ctrlProp226.xml"/><Relationship Id="rId78" Type="http://schemas.openxmlformats.org/officeDocument/2006/relationships/ctrlProp" Target="../ctrlProps/ctrlProp231.xml"/><Relationship Id="rId81" Type="http://schemas.openxmlformats.org/officeDocument/2006/relationships/ctrlProp" Target="../ctrlProps/ctrlProp234.xml"/><Relationship Id="rId86" Type="http://schemas.openxmlformats.org/officeDocument/2006/relationships/ctrlProp" Target="../ctrlProps/ctrlProp239.xml"/><Relationship Id="rId4" Type="http://schemas.openxmlformats.org/officeDocument/2006/relationships/ctrlProp" Target="../ctrlProps/ctrlProp157.xml"/><Relationship Id="rId9" Type="http://schemas.openxmlformats.org/officeDocument/2006/relationships/ctrlProp" Target="../ctrlProps/ctrlProp162.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49.xml"/><Relationship Id="rId13" Type="http://schemas.openxmlformats.org/officeDocument/2006/relationships/ctrlProp" Target="../ctrlProps/ctrlProp254.xml"/><Relationship Id="rId18" Type="http://schemas.openxmlformats.org/officeDocument/2006/relationships/ctrlProp" Target="../ctrlProps/ctrlProp259.xml"/><Relationship Id="rId3" Type="http://schemas.openxmlformats.org/officeDocument/2006/relationships/vmlDrawing" Target="../drawings/vmlDrawing4.vml"/><Relationship Id="rId21" Type="http://schemas.openxmlformats.org/officeDocument/2006/relationships/ctrlProp" Target="../ctrlProps/ctrlProp262.xml"/><Relationship Id="rId7" Type="http://schemas.openxmlformats.org/officeDocument/2006/relationships/ctrlProp" Target="../ctrlProps/ctrlProp248.xml"/><Relationship Id="rId12" Type="http://schemas.openxmlformats.org/officeDocument/2006/relationships/ctrlProp" Target="../ctrlProps/ctrlProp253.xml"/><Relationship Id="rId17" Type="http://schemas.openxmlformats.org/officeDocument/2006/relationships/ctrlProp" Target="../ctrlProps/ctrlProp258.xml"/><Relationship Id="rId25" Type="http://schemas.openxmlformats.org/officeDocument/2006/relationships/ctrlProp" Target="../ctrlProps/ctrlProp266.xml"/><Relationship Id="rId2" Type="http://schemas.openxmlformats.org/officeDocument/2006/relationships/drawing" Target="../drawings/drawing6.xml"/><Relationship Id="rId16" Type="http://schemas.openxmlformats.org/officeDocument/2006/relationships/ctrlProp" Target="../ctrlProps/ctrlProp257.xml"/><Relationship Id="rId20" Type="http://schemas.openxmlformats.org/officeDocument/2006/relationships/ctrlProp" Target="../ctrlProps/ctrlProp261.xml"/><Relationship Id="rId1" Type="http://schemas.openxmlformats.org/officeDocument/2006/relationships/printerSettings" Target="../printerSettings/printerSettings7.bin"/><Relationship Id="rId6" Type="http://schemas.openxmlformats.org/officeDocument/2006/relationships/ctrlProp" Target="../ctrlProps/ctrlProp247.xml"/><Relationship Id="rId11" Type="http://schemas.openxmlformats.org/officeDocument/2006/relationships/ctrlProp" Target="../ctrlProps/ctrlProp252.xml"/><Relationship Id="rId24" Type="http://schemas.openxmlformats.org/officeDocument/2006/relationships/ctrlProp" Target="../ctrlProps/ctrlProp265.xml"/><Relationship Id="rId5" Type="http://schemas.openxmlformats.org/officeDocument/2006/relationships/ctrlProp" Target="../ctrlProps/ctrlProp246.xml"/><Relationship Id="rId15" Type="http://schemas.openxmlformats.org/officeDocument/2006/relationships/ctrlProp" Target="../ctrlProps/ctrlProp256.xml"/><Relationship Id="rId23" Type="http://schemas.openxmlformats.org/officeDocument/2006/relationships/ctrlProp" Target="../ctrlProps/ctrlProp264.xml"/><Relationship Id="rId10" Type="http://schemas.openxmlformats.org/officeDocument/2006/relationships/ctrlProp" Target="../ctrlProps/ctrlProp251.xml"/><Relationship Id="rId19" Type="http://schemas.openxmlformats.org/officeDocument/2006/relationships/ctrlProp" Target="../ctrlProps/ctrlProp260.xml"/><Relationship Id="rId4" Type="http://schemas.openxmlformats.org/officeDocument/2006/relationships/ctrlProp" Target="../ctrlProps/ctrlProp245.xml"/><Relationship Id="rId9" Type="http://schemas.openxmlformats.org/officeDocument/2006/relationships/ctrlProp" Target="../ctrlProps/ctrlProp250.xml"/><Relationship Id="rId14" Type="http://schemas.openxmlformats.org/officeDocument/2006/relationships/ctrlProp" Target="../ctrlProps/ctrlProp255.xml"/><Relationship Id="rId22" Type="http://schemas.openxmlformats.org/officeDocument/2006/relationships/ctrlProp" Target="../ctrlProps/ctrlProp26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71.xml"/><Relationship Id="rId13" Type="http://schemas.openxmlformats.org/officeDocument/2006/relationships/ctrlProp" Target="../ctrlProps/ctrlProp276.xml"/><Relationship Id="rId18" Type="http://schemas.openxmlformats.org/officeDocument/2006/relationships/ctrlProp" Target="../ctrlProps/ctrlProp281.xml"/><Relationship Id="rId26" Type="http://schemas.openxmlformats.org/officeDocument/2006/relationships/ctrlProp" Target="../ctrlProps/ctrlProp289.xml"/><Relationship Id="rId39" Type="http://schemas.openxmlformats.org/officeDocument/2006/relationships/ctrlProp" Target="../ctrlProps/ctrlProp302.xml"/><Relationship Id="rId3" Type="http://schemas.openxmlformats.org/officeDocument/2006/relationships/vmlDrawing" Target="../drawings/vmlDrawing5.vml"/><Relationship Id="rId21" Type="http://schemas.openxmlformats.org/officeDocument/2006/relationships/ctrlProp" Target="../ctrlProps/ctrlProp284.xml"/><Relationship Id="rId34" Type="http://schemas.openxmlformats.org/officeDocument/2006/relationships/ctrlProp" Target="../ctrlProps/ctrlProp297.xml"/><Relationship Id="rId42" Type="http://schemas.openxmlformats.org/officeDocument/2006/relationships/ctrlProp" Target="../ctrlProps/ctrlProp305.xml"/><Relationship Id="rId47" Type="http://schemas.openxmlformats.org/officeDocument/2006/relationships/ctrlProp" Target="../ctrlProps/ctrlProp310.xml"/><Relationship Id="rId7" Type="http://schemas.openxmlformats.org/officeDocument/2006/relationships/ctrlProp" Target="../ctrlProps/ctrlProp270.xml"/><Relationship Id="rId12" Type="http://schemas.openxmlformats.org/officeDocument/2006/relationships/ctrlProp" Target="../ctrlProps/ctrlProp275.xml"/><Relationship Id="rId17" Type="http://schemas.openxmlformats.org/officeDocument/2006/relationships/ctrlProp" Target="../ctrlProps/ctrlProp280.xml"/><Relationship Id="rId25" Type="http://schemas.openxmlformats.org/officeDocument/2006/relationships/ctrlProp" Target="../ctrlProps/ctrlProp288.xml"/><Relationship Id="rId33" Type="http://schemas.openxmlformats.org/officeDocument/2006/relationships/ctrlProp" Target="../ctrlProps/ctrlProp296.xml"/><Relationship Id="rId38" Type="http://schemas.openxmlformats.org/officeDocument/2006/relationships/ctrlProp" Target="../ctrlProps/ctrlProp301.xml"/><Relationship Id="rId46" Type="http://schemas.openxmlformats.org/officeDocument/2006/relationships/ctrlProp" Target="../ctrlProps/ctrlProp309.xml"/><Relationship Id="rId2" Type="http://schemas.openxmlformats.org/officeDocument/2006/relationships/drawing" Target="../drawings/drawing7.xml"/><Relationship Id="rId16" Type="http://schemas.openxmlformats.org/officeDocument/2006/relationships/ctrlProp" Target="../ctrlProps/ctrlProp279.xml"/><Relationship Id="rId20" Type="http://schemas.openxmlformats.org/officeDocument/2006/relationships/ctrlProp" Target="../ctrlProps/ctrlProp283.xml"/><Relationship Id="rId29" Type="http://schemas.openxmlformats.org/officeDocument/2006/relationships/ctrlProp" Target="../ctrlProps/ctrlProp292.xml"/><Relationship Id="rId41" Type="http://schemas.openxmlformats.org/officeDocument/2006/relationships/ctrlProp" Target="../ctrlProps/ctrlProp304.xml"/><Relationship Id="rId1" Type="http://schemas.openxmlformats.org/officeDocument/2006/relationships/printerSettings" Target="../printerSettings/printerSettings8.bin"/><Relationship Id="rId6" Type="http://schemas.openxmlformats.org/officeDocument/2006/relationships/ctrlProp" Target="../ctrlProps/ctrlProp269.xml"/><Relationship Id="rId11" Type="http://schemas.openxmlformats.org/officeDocument/2006/relationships/ctrlProp" Target="../ctrlProps/ctrlProp274.xml"/><Relationship Id="rId24" Type="http://schemas.openxmlformats.org/officeDocument/2006/relationships/ctrlProp" Target="../ctrlProps/ctrlProp287.xml"/><Relationship Id="rId32" Type="http://schemas.openxmlformats.org/officeDocument/2006/relationships/ctrlProp" Target="../ctrlProps/ctrlProp295.xml"/><Relationship Id="rId37" Type="http://schemas.openxmlformats.org/officeDocument/2006/relationships/ctrlProp" Target="../ctrlProps/ctrlProp300.xml"/><Relationship Id="rId40" Type="http://schemas.openxmlformats.org/officeDocument/2006/relationships/ctrlProp" Target="../ctrlProps/ctrlProp303.xml"/><Relationship Id="rId45" Type="http://schemas.openxmlformats.org/officeDocument/2006/relationships/ctrlProp" Target="../ctrlProps/ctrlProp308.xml"/><Relationship Id="rId5" Type="http://schemas.openxmlformats.org/officeDocument/2006/relationships/ctrlProp" Target="../ctrlProps/ctrlProp268.xml"/><Relationship Id="rId15" Type="http://schemas.openxmlformats.org/officeDocument/2006/relationships/ctrlProp" Target="../ctrlProps/ctrlProp278.xml"/><Relationship Id="rId23" Type="http://schemas.openxmlformats.org/officeDocument/2006/relationships/ctrlProp" Target="../ctrlProps/ctrlProp286.xml"/><Relationship Id="rId28" Type="http://schemas.openxmlformats.org/officeDocument/2006/relationships/ctrlProp" Target="../ctrlProps/ctrlProp291.xml"/><Relationship Id="rId36" Type="http://schemas.openxmlformats.org/officeDocument/2006/relationships/ctrlProp" Target="../ctrlProps/ctrlProp299.xml"/><Relationship Id="rId10" Type="http://schemas.openxmlformats.org/officeDocument/2006/relationships/ctrlProp" Target="../ctrlProps/ctrlProp273.xml"/><Relationship Id="rId19" Type="http://schemas.openxmlformats.org/officeDocument/2006/relationships/ctrlProp" Target="../ctrlProps/ctrlProp282.xml"/><Relationship Id="rId31" Type="http://schemas.openxmlformats.org/officeDocument/2006/relationships/ctrlProp" Target="../ctrlProps/ctrlProp294.xml"/><Relationship Id="rId44" Type="http://schemas.openxmlformats.org/officeDocument/2006/relationships/ctrlProp" Target="../ctrlProps/ctrlProp307.xml"/><Relationship Id="rId4" Type="http://schemas.openxmlformats.org/officeDocument/2006/relationships/ctrlProp" Target="../ctrlProps/ctrlProp267.xml"/><Relationship Id="rId9" Type="http://schemas.openxmlformats.org/officeDocument/2006/relationships/ctrlProp" Target="../ctrlProps/ctrlProp272.xml"/><Relationship Id="rId14" Type="http://schemas.openxmlformats.org/officeDocument/2006/relationships/ctrlProp" Target="../ctrlProps/ctrlProp277.xml"/><Relationship Id="rId22" Type="http://schemas.openxmlformats.org/officeDocument/2006/relationships/ctrlProp" Target="../ctrlProps/ctrlProp285.xml"/><Relationship Id="rId27" Type="http://schemas.openxmlformats.org/officeDocument/2006/relationships/ctrlProp" Target="../ctrlProps/ctrlProp290.xml"/><Relationship Id="rId30" Type="http://schemas.openxmlformats.org/officeDocument/2006/relationships/ctrlProp" Target="../ctrlProps/ctrlProp293.xml"/><Relationship Id="rId35" Type="http://schemas.openxmlformats.org/officeDocument/2006/relationships/ctrlProp" Target="../ctrlProps/ctrlProp298.xml"/><Relationship Id="rId43" Type="http://schemas.openxmlformats.org/officeDocument/2006/relationships/ctrlProp" Target="../ctrlProps/ctrlProp306.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320.xml"/><Relationship Id="rId18" Type="http://schemas.openxmlformats.org/officeDocument/2006/relationships/ctrlProp" Target="../ctrlProps/ctrlProp325.xml"/><Relationship Id="rId26" Type="http://schemas.openxmlformats.org/officeDocument/2006/relationships/ctrlProp" Target="../ctrlProps/ctrlProp333.xml"/><Relationship Id="rId39" Type="http://schemas.openxmlformats.org/officeDocument/2006/relationships/ctrlProp" Target="../ctrlProps/ctrlProp346.xml"/><Relationship Id="rId21" Type="http://schemas.openxmlformats.org/officeDocument/2006/relationships/ctrlProp" Target="../ctrlProps/ctrlProp328.xml"/><Relationship Id="rId34" Type="http://schemas.openxmlformats.org/officeDocument/2006/relationships/ctrlProp" Target="../ctrlProps/ctrlProp341.xml"/><Relationship Id="rId42" Type="http://schemas.openxmlformats.org/officeDocument/2006/relationships/ctrlProp" Target="../ctrlProps/ctrlProp349.xml"/><Relationship Id="rId47" Type="http://schemas.openxmlformats.org/officeDocument/2006/relationships/ctrlProp" Target="../ctrlProps/ctrlProp354.xml"/><Relationship Id="rId50" Type="http://schemas.openxmlformats.org/officeDocument/2006/relationships/ctrlProp" Target="../ctrlProps/ctrlProp357.xml"/><Relationship Id="rId55" Type="http://schemas.openxmlformats.org/officeDocument/2006/relationships/ctrlProp" Target="../ctrlProps/ctrlProp362.xml"/><Relationship Id="rId63" Type="http://schemas.openxmlformats.org/officeDocument/2006/relationships/ctrlProp" Target="../ctrlProps/ctrlProp370.xml"/><Relationship Id="rId7" Type="http://schemas.openxmlformats.org/officeDocument/2006/relationships/ctrlProp" Target="../ctrlProps/ctrlProp314.xml"/><Relationship Id="rId2" Type="http://schemas.openxmlformats.org/officeDocument/2006/relationships/drawing" Target="../drawings/drawing8.xml"/><Relationship Id="rId16" Type="http://schemas.openxmlformats.org/officeDocument/2006/relationships/ctrlProp" Target="../ctrlProps/ctrlProp323.xml"/><Relationship Id="rId20" Type="http://schemas.openxmlformats.org/officeDocument/2006/relationships/ctrlProp" Target="../ctrlProps/ctrlProp327.xml"/><Relationship Id="rId29" Type="http://schemas.openxmlformats.org/officeDocument/2006/relationships/ctrlProp" Target="../ctrlProps/ctrlProp336.xml"/><Relationship Id="rId41" Type="http://schemas.openxmlformats.org/officeDocument/2006/relationships/ctrlProp" Target="../ctrlProps/ctrlProp348.xml"/><Relationship Id="rId54" Type="http://schemas.openxmlformats.org/officeDocument/2006/relationships/ctrlProp" Target="../ctrlProps/ctrlProp361.xml"/><Relationship Id="rId62" Type="http://schemas.openxmlformats.org/officeDocument/2006/relationships/ctrlProp" Target="../ctrlProps/ctrlProp369.xml"/><Relationship Id="rId1" Type="http://schemas.openxmlformats.org/officeDocument/2006/relationships/printerSettings" Target="../printerSettings/printerSettings9.bin"/><Relationship Id="rId6" Type="http://schemas.openxmlformats.org/officeDocument/2006/relationships/ctrlProp" Target="../ctrlProps/ctrlProp313.xml"/><Relationship Id="rId11" Type="http://schemas.openxmlformats.org/officeDocument/2006/relationships/ctrlProp" Target="../ctrlProps/ctrlProp318.xml"/><Relationship Id="rId24" Type="http://schemas.openxmlformats.org/officeDocument/2006/relationships/ctrlProp" Target="../ctrlProps/ctrlProp331.xml"/><Relationship Id="rId32" Type="http://schemas.openxmlformats.org/officeDocument/2006/relationships/ctrlProp" Target="../ctrlProps/ctrlProp339.xml"/><Relationship Id="rId37" Type="http://schemas.openxmlformats.org/officeDocument/2006/relationships/ctrlProp" Target="../ctrlProps/ctrlProp344.xml"/><Relationship Id="rId40" Type="http://schemas.openxmlformats.org/officeDocument/2006/relationships/ctrlProp" Target="../ctrlProps/ctrlProp347.xml"/><Relationship Id="rId45" Type="http://schemas.openxmlformats.org/officeDocument/2006/relationships/ctrlProp" Target="../ctrlProps/ctrlProp352.xml"/><Relationship Id="rId53" Type="http://schemas.openxmlformats.org/officeDocument/2006/relationships/ctrlProp" Target="../ctrlProps/ctrlProp360.xml"/><Relationship Id="rId58" Type="http://schemas.openxmlformats.org/officeDocument/2006/relationships/ctrlProp" Target="../ctrlProps/ctrlProp365.xml"/><Relationship Id="rId5" Type="http://schemas.openxmlformats.org/officeDocument/2006/relationships/ctrlProp" Target="../ctrlProps/ctrlProp312.xml"/><Relationship Id="rId15" Type="http://schemas.openxmlformats.org/officeDocument/2006/relationships/ctrlProp" Target="../ctrlProps/ctrlProp322.xml"/><Relationship Id="rId23" Type="http://schemas.openxmlformats.org/officeDocument/2006/relationships/ctrlProp" Target="../ctrlProps/ctrlProp330.xml"/><Relationship Id="rId28" Type="http://schemas.openxmlformats.org/officeDocument/2006/relationships/ctrlProp" Target="../ctrlProps/ctrlProp335.xml"/><Relationship Id="rId36" Type="http://schemas.openxmlformats.org/officeDocument/2006/relationships/ctrlProp" Target="../ctrlProps/ctrlProp343.xml"/><Relationship Id="rId49" Type="http://schemas.openxmlformats.org/officeDocument/2006/relationships/ctrlProp" Target="../ctrlProps/ctrlProp356.xml"/><Relationship Id="rId57" Type="http://schemas.openxmlformats.org/officeDocument/2006/relationships/ctrlProp" Target="../ctrlProps/ctrlProp364.xml"/><Relationship Id="rId61" Type="http://schemas.openxmlformats.org/officeDocument/2006/relationships/ctrlProp" Target="../ctrlProps/ctrlProp368.xml"/><Relationship Id="rId10" Type="http://schemas.openxmlformats.org/officeDocument/2006/relationships/ctrlProp" Target="../ctrlProps/ctrlProp317.xml"/><Relationship Id="rId19" Type="http://schemas.openxmlformats.org/officeDocument/2006/relationships/ctrlProp" Target="../ctrlProps/ctrlProp326.xml"/><Relationship Id="rId31" Type="http://schemas.openxmlformats.org/officeDocument/2006/relationships/ctrlProp" Target="../ctrlProps/ctrlProp338.xml"/><Relationship Id="rId44" Type="http://schemas.openxmlformats.org/officeDocument/2006/relationships/ctrlProp" Target="../ctrlProps/ctrlProp351.xml"/><Relationship Id="rId52" Type="http://schemas.openxmlformats.org/officeDocument/2006/relationships/ctrlProp" Target="../ctrlProps/ctrlProp359.xml"/><Relationship Id="rId60" Type="http://schemas.openxmlformats.org/officeDocument/2006/relationships/ctrlProp" Target="../ctrlProps/ctrlProp367.xml"/><Relationship Id="rId4" Type="http://schemas.openxmlformats.org/officeDocument/2006/relationships/ctrlProp" Target="../ctrlProps/ctrlProp311.xml"/><Relationship Id="rId9" Type="http://schemas.openxmlformats.org/officeDocument/2006/relationships/ctrlProp" Target="../ctrlProps/ctrlProp316.xml"/><Relationship Id="rId14" Type="http://schemas.openxmlformats.org/officeDocument/2006/relationships/ctrlProp" Target="../ctrlProps/ctrlProp321.xml"/><Relationship Id="rId22" Type="http://schemas.openxmlformats.org/officeDocument/2006/relationships/ctrlProp" Target="../ctrlProps/ctrlProp329.xml"/><Relationship Id="rId27" Type="http://schemas.openxmlformats.org/officeDocument/2006/relationships/ctrlProp" Target="../ctrlProps/ctrlProp334.xml"/><Relationship Id="rId30" Type="http://schemas.openxmlformats.org/officeDocument/2006/relationships/ctrlProp" Target="../ctrlProps/ctrlProp337.xml"/><Relationship Id="rId35" Type="http://schemas.openxmlformats.org/officeDocument/2006/relationships/ctrlProp" Target="../ctrlProps/ctrlProp342.xml"/><Relationship Id="rId43" Type="http://schemas.openxmlformats.org/officeDocument/2006/relationships/ctrlProp" Target="../ctrlProps/ctrlProp350.xml"/><Relationship Id="rId48" Type="http://schemas.openxmlformats.org/officeDocument/2006/relationships/ctrlProp" Target="../ctrlProps/ctrlProp355.xml"/><Relationship Id="rId56" Type="http://schemas.openxmlformats.org/officeDocument/2006/relationships/ctrlProp" Target="../ctrlProps/ctrlProp363.xml"/><Relationship Id="rId8" Type="http://schemas.openxmlformats.org/officeDocument/2006/relationships/ctrlProp" Target="../ctrlProps/ctrlProp315.xml"/><Relationship Id="rId51" Type="http://schemas.openxmlformats.org/officeDocument/2006/relationships/ctrlProp" Target="../ctrlProps/ctrlProp358.xml"/><Relationship Id="rId3" Type="http://schemas.openxmlformats.org/officeDocument/2006/relationships/vmlDrawing" Target="../drawings/vmlDrawing6.vml"/><Relationship Id="rId12" Type="http://schemas.openxmlformats.org/officeDocument/2006/relationships/ctrlProp" Target="../ctrlProps/ctrlProp319.xml"/><Relationship Id="rId17" Type="http://schemas.openxmlformats.org/officeDocument/2006/relationships/ctrlProp" Target="../ctrlProps/ctrlProp324.xml"/><Relationship Id="rId25" Type="http://schemas.openxmlformats.org/officeDocument/2006/relationships/ctrlProp" Target="../ctrlProps/ctrlProp332.xml"/><Relationship Id="rId33" Type="http://schemas.openxmlformats.org/officeDocument/2006/relationships/ctrlProp" Target="../ctrlProps/ctrlProp340.xml"/><Relationship Id="rId38" Type="http://schemas.openxmlformats.org/officeDocument/2006/relationships/ctrlProp" Target="../ctrlProps/ctrlProp345.xml"/><Relationship Id="rId46" Type="http://schemas.openxmlformats.org/officeDocument/2006/relationships/ctrlProp" Target="../ctrlProps/ctrlProp353.xml"/><Relationship Id="rId59" Type="http://schemas.openxmlformats.org/officeDocument/2006/relationships/ctrlProp" Target="../ctrlProps/ctrlProp36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S105"/>
  <sheetViews>
    <sheetView showGridLines="0" tabSelected="1" zoomScaleNormal="100" workbookViewId="0">
      <selection activeCell="B59" sqref="B59:R59"/>
    </sheetView>
  </sheetViews>
  <sheetFormatPr defaultRowHeight="14.4" x14ac:dyDescent="0.3"/>
  <sheetData>
    <row r="1" spans="1:19" ht="14.4" customHeight="1" x14ac:dyDescent="0.3">
      <c r="A1" s="1231"/>
      <c r="B1" s="1231"/>
      <c r="C1" s="1231"/>
      <c r="D1" s="1232" t="s">
        <v>4425</v>
      </c>
      <c r="E1" s="1232"/>
      <c r="F1" s="1232"/>
      <c r="G1" s="1232"/>
      <c r="H1" s="1232"/>
      <c r="I1" s="1232"/>
      <c r="J1" s="1232"/>
      <c r="K1" s="1232"/>
      <c r="L1" s="1232"/>
      <c r="M1" s="1232"/>
      <c r="N1" s="1232"/>
      <c r="O1" s="1232"/>
      <c r="P1" s="1232"/>
      <c r="Q1" s="1232"/>
      <c r="R1" s="1232"/>
      <c r="S1" s="1232"/>
    </row>
    <row r="2" spans="1:19" ht="14.4" customHeight="1" x14ac:dyDescent="0.3">
      <c r="A2" s="1231"/>
      <c r="B2" s="1231"/>
      <c r="C2" s="1231"/>
      <c r="D2" s="1232"/>
      <c r="E2" s="1232"/>
      <c r="F2" s="1232"/>
      <c r="G2" s="1232"/>
      <c r="H2" s="1232"/>
      <c r="I2" s="1232"/>
      <c r="J2" s="1232"/>
      <c r="K2" s="1232"/>
      <c r="L2" s="1232"/>
      <c r="M2" s="1232"/>
      <c r="N2" s="1232"/>
      <c r="O2" s="1232"/>
      <c r="P2" s="1232"/>
      <c r="Q2" s="1232"/>
      <c r="R2" s="1232"/>
      <c r="S2" s="1232"/>
    </row>
    <row r="3" spans="1:19" ht="14.4" customHeight="1" x14ac:dyDescent="0.3">
      <c r="A3" s="1231"/>
      <c r="B3" s="1231"/>
      <c r="C3" s="1231"/>
      <c r="D3" s="1232"/>
      <c r="E3" s="1232"/>
      <c r="F3" s="1232"/>
      <c r="G3" s="1232"/>
      <c r="H3" s="1232"/>
      <c r="I3" s="1232"/>
      <c r="J3" s="1232"/>
      <c r="K3" s="1232"/>
      <c r="L3" s="1232"/>
      <c r="M3" s="1232"/>
      <c r="N3" s="1232"/>
      <c r="O3" s="1232"/>
      <c r="P3" s="1232"/>
      <c r="Q3" s="1232"/>
      <c r="R3" s="1232"/>
      <c r="S3" s="1232"/>
    </row>
    <row r="4" spans="1:19" ht="14.4" customHeight="1" x14ac:dyDescent="0.3">
      <c r="A4" s="1231"/>
      <c r="B4" s="1231"/>
      <c r="C4" s="1231"/>
      <c r="D4" s="1233" t="s">
        <v>4721</v>
      </c>
      <c r="E4" s="1233"/>
      <c r="F4" s="1233"/>
      <c r="G4" s="1233"/>
      <c r="H4" s="1233"/>
      <c r="I4" s="1233"/>
      <c r="J4" s="1233"/>
      <c r="K4" s="1233"/>
      <c r="L4" s="1233"/>
      <c r="M4" s="1233"/>
      <c r="N4" s="1233"/>
      <c r="O4" s="1233"/>
      <c r="P4" s="1233"/>
      <c r="Q4" s="1233"/>
      <c r="R4" s="1233"/>
      <c r="S4" s="1233"/>
    </row>
    <row r="5" spans="1:19" x14ac:dyDescent="0.3">
      <c r="A5" s="1231"/>
      <c r="B5" s="1231"/>
      <c r="C5" s="1231"/>
      <c r="D5" s="1233"/>
      <c r="E5" s="1233"/>
      <c r="F5" s="1233"/>
      <c r="G5" s="1233"/>
      <c r="H5" s="1233"/>
      <c r="I5" s="1233"/>
      <c r="J5" s="1233"/>
      <c r="K5" s="1233"/>
      <c r="L5" s="1233"/>
      <c r="M5" s="1233"/>
      <c r="N5" s="1233"/>
      <c r="O5" s="1233"/>
      <c r="P5" s="1233"/>
      <c r="Q5" s="1233"/>
      <c r="R5" s="1233"/>
      <c r="S5" s="1233"/>
    </row>
    <row r="6" spans="1:19" x14ac:dyDescent="0.3">
      <c r="A6" s="1231"/>
      <c r="B6" s="1231"/>
      <c r="C6" s="1231"/>
      <c r="D6" s="1233"/>
      <c r="E6" s="1233"/>
      <c r="F6" s="1233"/>
      <c r="G6" s="1233"/>
      <c r="H6" s="1233"/>
      <c r="I6" s="1233"/>
      <c r="J6" s="1233"/>
      <c r="K6" s="1233"/>
      <c r="L6" s="1233"/>
      <c r="M6" s="1233"/>
      <c r="N6" s="1233"/>
      <c r="O6" s="1233"/>
      <c r="P6" s="1233"/>
      <c r="Q6" s="1233"/>
      <c r="R6" s="1233"/>
      <c r="S6" s="1233"/>
    </row>
    <row r="7" spans="1:19" ht="18" x14ac:dyDescent="0.35">
      <c r="A7" s="905" t="s">
        <v>254</v>
      </c>
      <c r="B7" s="1054" t="s">
        <v>4775</v>
      </c>
      <c r="C7" s="1235" t="s">
        <v>259</v>
      </c>
      <c r="D7" s="1235"/>
      <c r="E7" s="1236">
        <v>43657.664875462964</v>
      </c>
      <c r="F7" s="1236"/>
      <c r="G7" s="905"/>
      <c r="H7" s="905"/>
      <c r="I7" s="905"/>
      <c r="J7" s="905"/>
      <c r="K7" s="905"/>
      <c r="L7" s="905"/>
      <c r="M7" s="905"/>
      <c r="N7" s="905"/>
      <c r="O7" s="905"/>
      <c r="P7" s="905"/>
      <c r="Q7" s="905"/>
      <c r="R7" s="905"/>
      <c r="S7" s="905"/>
    </row>
    <row r="8" spans="1:19" s="16" customFormat="1" x14ac:dyDescent="0.3">
      <c r="A8" s="1234"/>
      <c r="B8" s="1234"/>
      <c r="C8" s="1234"/>
      <c r="D8" s="1234"/>
      <c r="E8" s="1234"/>
      <c r="F8" s="1234"/>
      <c r="G8" s="1234"/>
      <c r="H8" s="1234"/>
      <c r="I8" s="1234"/>
      <c r="J8" s="1234"/>
      <c r="K8" s="1234"/>
      <c r="L8" s="1234"/>
      <c r="M8" s="1234"/>
      <c r="N8" s="1234"/>
      <c r="O8" s="1234"/>
      <c r="P8" s="1234"/>
      <c r="Q8" s="1234"/>
      <c r="R8" s="1234"/>
      <c r="S8" s="1234"/>
    </row>
    <row r="9" spans="1:19" x14ac:dyDescent="0.3">
      <c r="A9" s="906"/>
      <c r="B9" s="1238" t="s">
        <v>4426</v>
      </c>
      <c r="C9" s="1238"/>
      <c r="D9" s="1238"/>
      <c r="E9" s="1238"/>
      <c r="F9" s="1238"/>
      <c r="G9" s="1238"/>
      <c r="H9" s="1238"/>
      <c r="I9" s="1238"/>
      <c r="J9" s="1238"/>
      <c r="K9" s="1238"/>
      <c r="L9" s="1238"/>
      <c r="M9" s="1238"/>
      <c r="N9" s="1238"/>
      <c r="O9" s="1238"/>
      <c r="P9" s="1238"/>
      <c r="Q9" s="1238"/>
      <c r="R9" s="1238"/>
      <c r="S9" s="906"/>
    </row>
    <row r="10" spans="1:19" x14ac:dyDescent="0.3">
      <c r="A10" s="906"/>
      <c r="B10" s="1239" t="s">
        <v>258</v>
      </c>
      <c r="C10" s="1239"/>
      <c r="D10" s="1239"/>
      <c r="E10" s="1239"/>
      <c r="F10" s="1239"/>
      <c r="G10" s="1239"/>
      <c r="H10" s="1239"/>
      <c r="I10" s="1239"/>
      <c r="J10" s="1239"/>
      <c r="K10" s="1239"/>
      <c r="L10" s="1239"/>
      <c r="M10" s="1239"/>
      <c r="N10" s="1239"/>
      <c r="O10" s="1239"/>
      <c r="P10" s="1239"/>
      <c r="Q10" s="1239"/>
      <c r="R10" s="1239"/>
      <c r="S10" s="906"/>
    </row>
    <row r="11" spans="1:19" s="16" customFormat="1" x14ac:dyDescent="0.3">
      <c r="A11" s="1234"/>
      <c r="B11" s="1234"/>
      <c r="C11" s="1234"/>
      <c r="D11" s="1234"/>
      <c r="E11" s="1234"/>
      <c r="F11" s="1234"/>
      <c r="G11" s="1234"/>
      <c r="H11" s="1234"/>
      <c r="I11" s="1234"/>
      <c r="J11" s="1234"/>
      <c r="K11" s="1234"/>
      <c r="L11" s="1234"/>
      <c r="M11" s="1234"/>
      <c r="N11" s="1234"/>
      <c r="O11" s="1234"/>
      <c r="P11" s="1234"/>
      <c r="Q11" s="1234"/>
      <c r="R11" s="1234"/>
      <c r="S11" s="1234"/>
    </row>
    <row r="12" spans="1:19" s="13" customFormat="1" ht="18" x14ac:dyDescent="0.35">
      <c r="A12" s="1230" t="s">
        <v>257</v>
      </c>
      <c r="B12" s="1230"/>
      <c r="C12" s="1230"/>
      <c r="D12" s="1230"/>
      <c r="E12" s="1230"/>
      <c r="F12" s="1230"/>
      <c r="G12" s="1230"/>
      <c r="H12" s="1230"/>
      <c r="I12" s="1230"/>
      <c r="J12" s="1230"/>
      <c r="K12" s="1230"/>
      <c r="L12" s="1230"/>
      <c r="M12" s="1230"/>
      <c r="N12" s="1230"/>
      <c r="O12" s="1230"/>
      <c r="P12" s="1230"/>
      <c r="Q12" s="1230"/>
      <c r="R12" s="1230"/>
      <c r="S12" s="1230"/>
    </row>
    <row r="13" spans="1:19" s="16" customFormat="1" x14ac:dyDescent="0.3">
      <c r="A13" s="1234"/>
      <c r="B13" s="1234"/>
      <c r="C13" s="1234"/>
      <c r="D13" s="1234"/>
      <c r="E13" s="1234"/>
      <c r="F13" s="1234"/>
      <c r="G13" s="1234"/>
      <c r="H13" s="1234"/>
      <c r="I13" s="1234"/>
      <c r="J13" s="1234"/>
      <c r="K13" s="1234"/>
      <c r="L13" s="1234"/>
      <c r="M13" s="1234"/>
      <c r="N13" s="1234"/>
      <c r="O13" s="1234"/>
      <c r="P13" s="1234"/>
      <c r="Q13" s="1234"/>
      <c r="R13" s="1234"/>
      <c r="S13" s="1234"/>
    </row>
    <row r="14" spans="1:19" s="13" customFormat="1" ht="14.4" customHeight="1" x14ac:dyDescent="0.3">
      <c r="A14" s="906"/>
      <c r="B14" s="1237" t="s">
        <v>4685</v>
      </c>
      <c r="C14" s="1237"/>
      <c r="D14" s="1237"/>
      <c r="E14" s="1237"/>
      <c r="F14" s="1237"/>
      <c r="G14" s="1237"/>
      <c r="H14" s="1237"/>
      <c r="I14" s="1237"/>
      <c r="J14" s="1237"/>
      <c r="K14" s="1237"/>
      <c r="L14" s="1237"/>
      <c r="M14" s="1237"/>
      <c r="N14" s="1237"/>
      <c r="O14" s="1237"/>
      <c r="P14" s="1237"/>
      <c r="Q14" s="1237"/>
      <c r="R14" s="1237"/>
      <c r="S14" s="906"/>
    </row>
    <row r="15" spans="1:19" s="13" customFormat="1" x14ac:dyDescent="0.3">
      <c r="A15" s="906"/>
      <c r="B15" s="1237"/>
      <c r="C15" s="1237"/>
      <c r="D15" s="1237"/>
      <c r="E15" s="1237"/>
      <c r="F15" s="1237"/>
      <c r="G15" s="1237"/>
      <c r="H15" s="1237"/>
      <c r="I15" s="1237"/>
      <c r="J15" s="1237"/>
      <c r="K15" s="1237"/>
      <c r="L15" s="1237"/>
      <c r="M15" s="1237"/>
      <c r="N15" s="1237"/>
      <c r="O15" s="1237"/>
      <c r="P15" s="1237"/>
      <c r="Q15" s="1237"/>
      <c r="R15" s="1237"/>
      <c r="S15" s="906"/>
    </row>
    <row r="16" spans="1:19" s="13" customFormat="1" x14ac:dyDescent="0.3">
      <c r="A16" s="906"/>
      <c r="B16" s="1237"/>
      <c r="C16" s="1237"/>
      <c r="D16" s="1237"/>
      <c r="E16" s="1237"/>
      <c r="F16" s="1237"/>
      <c r="G16" s="1237"/>
      <c r="H16" s="1237"/>
      <c r="I16" s="1237"/>
      <c r="J16" s="1237"/>
      <c r="K16" s="1237"/>
      <c r="L16" s="1237"/>
      <c r="M16" s="1237"/>
      <c r="N16" s="1237"/>
      <c r="O16" s="1237"/>
      <c r="P16" s="1237"/>
      <c r="Q16" s="1237"/>
      <c r="R16" s="1237"/>
      <c r="S16" s="906"/>
    </row>
    <row r="17" spans="1:19" s="1227" customFormat="1" x14ac:dyDescent="0.3">
      <c r="B17" s="1226"/>
      <c r="C17" s="1226"/>
      <c r="D17" s="1226"/>
      <c r="E17" s="1226"/>
      <c r="F17" s="1226"/>
      <c r="G17" s="1226"/>
      <c r="H17" s="1226"/>
      <c r="I17" s="1226"/>
      <c r="J17" s="1226"/>
      <c r="K17" s="1226"/>
      <c r="L17" s="1226"/>
      <c r="M17" s="1226"/>
      <c r="N17" s="1226"/>
      <c r="O17" s="1226"/>
      <c r="P17" s="1226"/>
      <c r="Q17" s="1226"/>
      <c r="R17" s="1226"/>
    </row>
    <row r="18" spans="1:19" s="1227" customFormat="1" x14ac:dyDescent="0.3">
      <c r="B18" s="1850" t="s">
        <v>4819</v>
      </c>
      <c r="C18" s="1850"/>
      <c r="D18" s="1850"/>
      <c r="E18" s="1850"/>
      <c r="F18" s="1850"/>
      <c r="G18" s="1850"/>
      <c r="H18" s="1850"/>
      <c r="I18" s="1850"/>
      <c r="J18" s="1850"/>
      <c r="K18" s="1850"/>
      <c r="L18" s="1850"/>
      <c r="M18" s="1850"/>
      <c r="N18" s="1850"/>
      <c r="O18" s="1850"/>
      <c r="P18" s="1850"/>
      <c r="Q18" s="1850"/>
      <c r="R18" s="1850"/>
    </row>
    <row r="19" spans="1:19" s="1227" customFormat="1" x14ac:dyDescent="0.3">
      <c r="B19" s="1850"/>
      <c r="C19" s="1850"/>
      <c r="D19" s="1850"/>
      <c r="E19" s="1850"/>
      <c r="F19" s="1850"/>
      <c r="G19" s="1850"/>
      <c r="H19" s="1850"/>
      <c r="I19" s="1850"/>
      <c r="J19" s="1850"/>
      <c r="K19" s="1850"/>
      <c r="L19" s="1850"/>
      <c r="M19" s="1850"/>
      <c r="N19" s="1850"/>
      <c r="O19" s="1850"/>
      <c r="P19" s="1850"/>
      <c r="Q19" s="1850"/>
      <c r="R19" s="1850"/>
    </row>
    <row r="20" spans="1:19" s="1227" customFormat="1" x14ac:dyDescent="0.3">
      <c r="B20" s="1850"/>
      <c r="C20" s="1850"/>
      <c r="D20" s="1850"/>
      <c r="E20" s="1850"/>
      <c r="F20" s="1850"/>
      <c r="G20" s="1850"/>
      <c r="H20" s="1850"/>
      <c r="I20" s="1850"/>
      <c r="J20" s="1850"/>
      <c r="K20" s="1850"/>
      <c r="L20" s="1850"/>
      <c r="M20" s="1850"/>
      <c r="N20" s="1850"/>
      <c r="O20" s="1850"/>
      <c r="P20" s="1850"/>
      <c r="Q20" s="1850"/>
      <c r="R20" s="1850"/>
    </row>
    <row r="21" spans="1:19" s="1227" customFormat="1" x14ac:dyDescent="0.3">
      <c r="B21" s="1226"/>
      <c r="C21" s="1226"/>
      <c r="D21" s="1226"/>
      <c r="E21" s="1226"/>
      <c r="F21" s="1226"/>
      <c r="G21" s="1226"/>
      <c r="H21" s="1226"/>
      <c r="I21" s="1226"/>
      <c r="J21" s="1226"/>
      <c r="K21" s="1226"/>
      <c r="L21" s="1226"/>
      <c r="M21" s="1226"/>
      <c r="N21" s="1226"/>
      <c r="O21" s="1226"/>
      <c r="P21" s="1226"/>
      <c r="Q21" s="1226"/>
      <c r="R21" s="1226"/>
    </row>
    <row r="22" spans="1:19" s="1227" customFormat="1" x14ac:dyDescent="0.3">
      <c r="B22" s="1226"/>
      <c r="C22" s="1226"/>
      <c r="D22" s="1226"/>
      <c r="E22" s="1226"/>
      <c r="F22" s="1226"/>
      <c r="G22" s="1226"/>
      <c r="H22" s="1226"/>
      <c r="I22" s="1226"/>
      <c r="J22" s="1226"/>
      <c r="K22" s="1226"/>
      <c r="L22" s="1226"/>
      <c r="M22" s="1226"/>
      <c r="N22" s="1226"/>
      <c r="O22" s="1226"/>
      <c r="P22" s="1226"/>
      <c r="Q22" s="1226"/>
      <c r="R22" s="1226"/>
    </row>
    <row r="23" spans="1:19" s="1227" customFormat="1" x14ac:dyDescent="0.3">
      <c r="B23" s="1226"/>
      <c r="C23" s="1226"/>
      <c r="D23" s="1226"/>
      <c r="E23" s="1226"/>
      <c r="F23" s="1226"/>
      <c r="G23" s="1226"/>
      <c r="H23" s="1226"/>
      <c r="I23" s="1226"/>
      <c r="J23" s="1226"/>
      <c r="K23" s="1226"/>
      <c r="L23" s="1226"/>
      <c r="M23" s="1226"/>
      <c r="N23" s="1226"/>
      <c r="O23" s="1226"/>
      <c r="P23" s="1226"/>
      <c r="Q23" s="1226"/>
      <c r="R23" s="1226"/>
    </row>
    <row r="24" spans="1:19" s="1227" customFormat="1" x14ac:dyDescent="0.3">
      <c r="B24" s="1226"/>
      <c r="C24" s="1226"/>
      <c r="D24" s="1226"/>
      <c r="E24" s="1226"/>
      <c r="F24" s="1226"/>
      <c r="G24" s="1226"/>
      <c r="H24" s="1226"/>
      <c r="I24" s="1226"/>
      <c r="J24" s="1226"/>
      <c r="K24" s="1226"/>
      <c r="L24" s="1226"/>
      <c r="M24" s="1226"/>
      <c r="N24" s="1226"/>
      <c r="O24" s="1226"/>
      <c r="P24" s="1226"/>
      <c r="Q24" s="1226"/>
      <c r="R24" s="1226"/>
    </row>
    <row r="25" spans="1:19" s="1227" customFormat="1" x14ac:dyDescent="0.3">
      <c r="B25" s="1226"/>
      <c r="C25" s="1226"/>
      <c r="D25" s="1226"/>
      <c r="E25" s="1226"/>
      <c r="F25" s="1226"/>
      <c r="G25" s="1226"/>
      <c r="H25" s="1226"/>
      <c r="I25" s="1226"/>
      <c r="J25" s="1226"/>
      <c r="K25" s="1226"/>
      <c r="L25" s="1226"/>
      <c r="M25" s="1226"/>
      <c r="N25" s="1226"/>
      <c r="O25" s="1226"/>
      <c r="P25" s="1226"/>
      <c r="Q25" s="1226"/>
      <c r="R25" s="1226"/>
    </row>
    <row r="26" spans="1:19" s="1227" customFormat="1" x14ac:dyDescent="0.3">
      <c r="B26" s="1226"/>
      <c r="C26" s="1226"/>
      <c r="D26" s="1226"/>
      <c r="E26" s="1226"/>
      <c r="F26" s="1226"/>
      <c r="G26" s="1226"/>
      <c r="H26" s="1226"/>
      <c r="I26" s="1226"/>
      <c r="J26" s="1226"/>
      <c r="K26" s="1226"/>
      <c r="L26" s="1226"/>
      <c r="M26" s="1226"/>
      <c r="N26" s="1226"/>
      <c r="O26" s="1226"/>
      <c r="P26" s="1226"/>
      <c r="Q26" s="1226"/>
      <c r="R26" s="1226"/>
    </row>
    <row r="27" spans="1:19" s="1227" customFormat="1" x14ac:dyDescent="0.3">
      <c r="B27" s="1226"/>
      <c r="C27" s="1226"/>
      <c r="D27" s="1226"/>
      <c r="E27" s="1226"/>
      <c r="F27" s="1226"/>
      <c r="G27" s="1226"/>
      <c r="H27" s="1226"/>
      <c r="I27" s="1226"/>
      <c r="J27" s="1226"/>
      <c r="K27" s="1226"/>
      <c r="L27" s="1226"/>
      <c r="M27" s="1226"/>
      <c r="N27" s="1226"/>
      <c r="O27" s="1226"/>
      <c r="P27" s="1226"/>
      <c r="Q27" s="1226"/>
      <c r="R27" s="1226"/>
    </row>
    <row r="28" spans="1:19" s="16" customFormat="1" x14ac:dyDescent="0.3">
      <c r="A28" s="1234"/>
      <c r="B28" s="1234"/>
      <c r="C28" s="1234"/>
      <c r="D28" s="1234"/>
      <c r="E28" s="1234"/>
      <c r="F28" s="1234"/>
      <c r="G28" s="1234"/>
      <c r="H28" s="1234"/>
      <c r="I28" s="1234"/>
      <c r="J28" s="1234"/>
      <c r="K28" s="1234"/>
      <c r="L28" s="1234"/>
      <c r="M28" s="1234"/>
      <c r="N28" s="1234"/>
      <c r="O28" s="1234"/>
      <c r="P28" s="1234"/>
      <c r="Q28" s="1234"/>
      <c r="R28" s="1234"/>
      <c r="S28" s="1234"/>
    </row>
    <row r="29" spans="1:19" s="776" customFormat="1" ht="18" x14ac:dyDescent="0.35">
      <c r="A29" s="1230" t="s">
        <v>4369</v>
      </c>
      <c r="B29" s="1230"/>
      <c r="C29" s="1230"/>
      <c r="D29" s="1230"/>
      <c r="E29" s="1230"/>
      <c r="F29" s="1230"/>
      <c r="G29" s="1230"/>
      <c r="H29" s="1230"/>
      <c r="I29" s="1230"/>
      <c r="J29" s="1230"/>
      <c r="K29" s="1230"/>
      <c r="L29" s="1230"/>
      <c r="M29" s="1230"/>
      <c r="N29" s="1230"/>
      <c r="O29" s="1230"/>
      <c r="P29" s="1230"/>
      <c r="Q29" s="1230"/>
      <c r="R29" s="1230"/>
      <c r="S29" s="1230"/>
    </row>
    <row r="30" spans="1:19" s="776" customFormat="1" x14ac:dyDescent="0.3">
      <c r="A30" s="906"/>
      <c r="B30" s="906"/>
      <c r="C30" s="906"/>
      <c r="D30" s="906"/>
      <c r="E30" s="906"/>
      <c r="F30" s="906"/>
      <c r="G30" s="906"/>
      <c r="H30" s="906"/>
      <c r="I30" s="906"/>
      <c r="J30" s="906"/>
      <c r="K30" s="906"/>
      <c r="L30" s="906"/>
      <c r="M30" s="906"/>
      <c r="N30" s="906"/>
      <c r="O30" s="906"/>
      <c r="P30" s="906"/>
      <c r="Q30" s="906"/>
      <c r="R30" s="906"/>
      <c r="S30" s="906"/>
    </row>
    <row r="31" spans="1:19" s="776" customFormat="1" x14ac:dyDescent="0.3">
      <c r="A31" s="906"/>
      <c r="B31" s="1241" t="s">
        <v>3727</v>
      </c>
      <c r="C31" s="1241"/>
      <c r="D31" s="1241"/>
      <c r="E31" s="1241"/>
      <c r="F31" s="1241"/>
      <c r="G31" s="1241"/>
      <c r="H31" s="1241"/>
      <c r="I31" s="1241"/>
      <c r="J31" s="1241"/>
      <c r="K31" s="1241"/>
      <c r="L31" s="1241"/>
      <c r="M31" s="1241"/>
      <c r="N31" s="1241"/>
      <c r="O31" s="1241"/>
      <c r="P31" s="1241"/>
      <c r="Q31" s="1241"/>
      <c r="R31" s="1241"/>
      <c r="S31" s="906"/>
    </row>
    <row r="32" spans="1:19" s="776" customFormat="1" x14ac:dyDescent="0.3">
      <c r="A32" s="906"/>
      <c r="B32" s="906"/>
      <c r="C32" s="906"/>
      <c r="D32" s="906"/>
      <c r="E32" s="906"/>
      <c r="F32" s="906"/>
      <c r="G32" s="906"/>
      <c r="H32" s="906"/>
      <c r="I32" s="906"/>
      <c r="J32" s="906"/>
      <c r="K32" s="906"/>
      <c r="L32" s="906"/>
      <c r="M32" s="906"/>
      <c r="N32" s="906"/>
      <c r="O32" s="906"/>
      <c r="P32" s="906"/>
      <c r="Q32" s="906"/>
      <c r="R32" s="906"/>
      <c r="S32" s="906"/>
    </row>
    <row r="33" spans="1:19" s="776" customFormat="1" ht="15" customHeight="1" x14ac:dyDescent="0.3">
      <c r="A33" s="906"/>
      <c r="B33" s="1242" t="s">
        <v>4427</v>
      </c>
      <c r="C33" s="1242"/>
      <c r="D33" s="1242"/>
      <c r="E33" s="1242"/>
      <c r="F33" s="1242"/>
      <c r="G33" s="1242"/>
      <c r="H33" s="1242"/>
      <c r="I33" s="1242"/>
      <c r="J33" s="1242"/>
      <c r="K33" s="1242"/>
      <c r="L33" s="1242"/>
      <c r="M33" s="1242"/>
      <c r="N33" s="1242"/>
      <c r="O33" s="1242"/>
      <c r="P33" s="1242"/>
      <c r="Q33" s="1242"/>
      <c r="R33" s="1242"/>
      <c r="S33" s="906"/>
    </row>
    <row r="34" spans="1:19" s="776" customFormat="1" x14ac:dyDescent="0.3">
      <c r="A34" s="906"/>
      <c r="B34" s="1242"/>
      <c r="C34" s="1242"/>
      <c r="D34" s="1242"/>
      <c r="E34" s="1242"/>
      <c r="F34" s="1242"/>
      <c r="G34" s="1242"/>
      <c r="H34" s="1242"/>
      <c r="I34" s="1242"/>
      <c r="J34" s="1242"/>
      <c r="K34" s="1242"/>
      <c r="L34" s="1242"/>
      <c r="M34" s="1242"/>
      <c r="N34" s="1242"/>
      <c r="O34" s="1242"/>
      <c r="P34" s="1242"/>
      <c r="Q34" s="1242"/>
      <c r="R34" s="1242"/>
      <c r="S34" s="906"/>
    </row>
    <row r="35" spans="1:19" s="776" customFormat="1" x14ac:dyDescent="0.3">
      <c r="A35" s="906"/>
      <c r="B35" s="906"/>
      <c r="C35" s="906"/>
      <c r="D35" s="906"/>
      <c r="E35" s="906"/>
      <c r="F35" s="906"/>
      <c r="G35" s="906"/>
      <c r="H35" s="906"/>
      <c r="I35" s="906"/>
      <c r="J35" s="906"/>
      <c r="K35" s="906"/>
      <c r="L35" s="906"/>
      <c r="M35" s="906"/>
      <c r="N35" s="906"/>
      <c r="O35" s="906"/>
      <c r="P35" s="906"/>
      <c r="Q35" s="906"/>
      <c r="R35" s="906"/>
      <c r="S35" s="906"/>
    </row>
    <row r="36" spans="1:19" ht="18" x14ac:dyDescent="0.35">
      <c r="A36" s="1230" t="s">
        <v>255</v>
      </c>
      <c r="B36" s="1230"/>
      <c r="C36" s="1230"/>
      <c r="D36" s="1230"/>
      <c r="E36" s="1230"/>
      <c r="F36" s="1230"/>
      <c r="G36" s="1230"/>
      <c r="H36" s="1230"/>
      <c r="I36" s="1230"/>
      <c r="J36" s="1230"/>
      <c r="K36" s="1230"/>
      <c r="L36" s="1230"/>
      <c r="M36" s="1230"/>
      <c r="N36" s="1230"/>
      <c r="O36" s="1230"/>
      <c r="P36" s="1230"/>
      <c r="Q36" s="1230"/>
      <c r="R36" s="1230"/>
      <c r="S36" s="1230"/>
    </row>
    <row r="37" spans="1:19" x14ac:dyDescent="0.3">
      <c r="A37" s="906"/>
      <c r="B37" s="906"/>
      <c r="C37" s="906"/>
      <c r="D37" s="906"/>
      <c r="E37" s="906"/>
      <c r="F37" s="906"/>
      <c r="G37" s="906"/>
      <c r="H37" s="906"/>
      <c r="I37" s="906"/>
      <c r="J37" s="906"/>
      <c r="K37" s="906"/>
      <c r="L37" s="906"/>
      <c r="M37" s="906"/>
      <c r="N37" s="906"/>
      <c r="O37" s="906"/>
      <c r="P37" s="906"/>
      <c r="Q37" s="906"/>
      <c r="R37" s="906"/>
      <c r="S37" s="906"/>
    </row>
    <row r="38" spans="1:19" s="776" customFormat="1" ht="15" customHeight="1" x14ac:dyDescent="0.3">
      <c r="A38" s="906"/>
      <c r="B38" s="1237" t="s">
        <v>4428</v>
      </c>
      <c r="C38" s="1237"/>
      <c r="D38" s="1237"/>
      <c r="E38" s="1237"/>
      <c r="F38" s="1237"/>
      <c r="G38" s="1237"/>
      <c r="H38" s="1237"/>
      <c r="I38" s="1237"/>
      <c r="J38" s="1237"/>
      <c r="K38" s="1237"/>
      <c r="L38" s="1237"/>
      <c r="M38" s="1237"/>
      <c r="N38" s="1237"/>
      <c r="O38" s="1237"/>
      <c r="P38" s="1237"/>
      <c r="Q38" s="1237"/>
      <c r="R38" s="1237"/>
      <c r="S38" s="906"/>
    </row>
    <row r="39" spans="1:19" s="776" customFormat="1" x14ac:dyDescent="0.3">
      <c r="A39" s="906"/>
      <c r="B39" s="1237"/>
      <c r="C39" s="1237"/>
      <c r="D39" s="1237"/>
      <c r="E39" s="1237"/>
      <c r="F39" s="1237"/>
      <c r="G39" s="1237"/>
      <c r="H39" s="1237"/>
      <c r="I39" s="1237"/>
      <c r="J39" s="1237"/>
      <c r="K39" s="1237"/>
      <c r="L39" s="1237"/>
      <c r="M39" s="1237"/>
      <c r="N39" s="1237"/>
      <c r="O39" s="1237"/>
      <c r="P39" s="1237"/>
      <c r="Q39" s="1237"/>
      <c r="R39" s="1237"/>
      <c r="S39" s="906"/>
    </row>
    <row r="40" spans="1:19" s="776" customFormat="1" x14ac:dyDescent="0.3">
      <c r="A40" s="906"/>
      <c r="B40" s="1237"/>
      <c r="C40" s="1237"/>
      <c r="D40" s="1237"/>
      <c r="E40" s="1237"/>
      <c r="F40" s="1237"/>
      <c r="G40" s="1237"/>
      <c r="H40" s="1237"/>
      <c r="I40" s="1237"/>
      <c r="J40" s="1237"/>
      <c r="K40" s="1237"/>
      <c r="L40" s="1237"/>
      <c r="M40" s="1237"/>
      <c r="N40" s="1237"/>
      <c r="O40" s="1237"/>
      <c r="P40" s="1237"/>
      <c r="Q40" s="1237"/>
      <c r="R40" s="1237"/>
      <c r="S40" s="906"/>
    </row>
    <row r="41" spans="1:19" s="13" customFormat="1" x14ac:dyDescent="0.3">
      <c r="A41" s="906"/>
      <c r="B41" s="904"/>
      <c r="C41" s="904"/>
      <c r="D41" s="904"/>
      <c r="E41" s="904"/>
      <c r="F41" s="904"/>
      <c r="G41" s="904"/>
      <c r="H41" s="904"/>
      <c r="I41" s="904"/>
      <c r="J41" s="904"/>
      <c r="K41" s="904"/>
      <c r="L41" s="904"/>
      <c r="M41" s="904"/>
      <c r="N41" s="904"/>
      <c r="O41" s="904"/>
      <c r="P41" s="904"/>
      <c r="Q41" s="904"/>
      <c r="R41" s="904"/>
      <c r="S41" s="906"/>
    </row>
    <row r="42" spans="1:19" s="776" customFormat="1" ht="15" customHeight="1" x14ac:dyDescent="0.3">
      <c r="A42" s="906"/>
      <c r="B42" s="1243" t="s">
        <v>4371</v>
      </c>
      <c r="C42" s="1243"/>
      <c r="D42" s="1243"/>
      <c r="E42" s="1243"/>
      <c r="F42" s="1243"/>
      <c r="G42" s="1243"/>
      <c r="H42" s="1243"/>
      <c r="I42" s="1243"/>
      <c r="J42" s="1243"/>
      <c r="K42" s="1243"/>
      <c r="L42" s="1243"/>
      <c r="M42" s="1243"/>
      <c r="N42" s="1243"/>
      <c r="O42" s="1243"/>
      <c r="P42" s="1243"/>
      <c r="Q42" s="1243"/>
      <c r="R42" s="1243"/>
      <c r="S42" s="906"/>
    </row>
    <row r="43" spans="1:19" s="776" customFormat="1" x14ac:dyDescent="0.3">
      <c r="A43" s="906"/>
      <c r="B43" s="904"/>
      <c r="C43" s="904"/>
      <c r="D43" s="904"/>
      <c r="E43" s="904"/>
      <c r="F43" s="904"/>
      <c r="G43" s="904"/>
      <c r="H43" s="904"/>
      <c r="I43" s="904"/>
      <c r="J43" s="904"/>
      <c r="K43" s="904"/>
      <c r="L43" s="904"/>
      <c r="M43" s="904"/>
      <c r="N43" s="904"/>
      <c r="O43" s="904"/>
      <c r="P43" s="904"/>
      <c r="Q43" s="904"/>
      <c r="R43" s="904"/>
      <c r="S43" s="906"/>
    </row>
    <row r="44" spans="1:19" s="776" customFormat="1" ht="15" customHeight="1" x14ac:dyDescent="0.3">
      <c r="A44" s="906"/>
      <c r="B44" s="1237" t="s">
        <v>4372</v>
      </c>
      <c r="C44" s="1237"/>
      <c r="D44" s="1237"/>
      <c r="E44" s="1237"/>
      <c r="F44" s="1237"/>
      <c r="G44" s="1237"/>
      <c r="H44" s="1237"/>
      <c r="I44" s="1237"/>
      <c r="J44" s="1237"/>
      <c r="K44" s="1237"/>
      <c r="L44" s="1237"/>
      <c r="M44" s="1237"/>
      <c r="N44" s="1237"/>
      <c r="O44" s="1237"/>
      <c r="P44" s="1237"/>
      <c r="Q44" s="1237"/>
      <c r="R44" s="1237"/>
      <c r="S44" s="1237"/>
    </row>
    <row r="45" spans="1:19" s="776" customFormat="1" x14ac:dyDescent="0.3">
      <c r="A45" s="906"/>
      <c r="B45" s="904"/>
      <c r="C45" s="904"/>
      <c r="D45" s="904"/>
      <c r="E45" s="904"/>
      <c r="F45" s="904"/>
      <c r="G45" s="904"/>
      <c r="H45" s="904"/>
      <c r="I45" s="904"/>
      <c r="J45" s="904"/>
      <c r="K45" s="904"/>
      <c r="L45" s="904"/>
      <c r="M45" s="904"/>
      <c r="N45" s="904"/>
      <c r="O45" s="904"/>
      <c r="P45" s="904"/>
      <c r="Q45" s="904"/>
      <c r="R45" s="904"/>
      <c r="S45" s="906"/>
    </row>
    <row r="46" spans="1:19" s="776" customFormat="1" ht="15" customHeight="1" x14ac:dyDescent="0.3">
      <c r="A46" s="906"/>
      <c r="B46" s="1237" t="s">
        <v>4429</v>
      </c>
      <c r="C46" s="1237"/>
      <c r="D46" s="1237"/>
      <c r="E46" s="1237"/>
      <c r="F46" s="1237"/>
      <c r="G46" s="1237"/>
      <c r="H46" s="1237"/>
      <c r="I46" s="1237"/>
      <c r="J46" s="1237"/>
      <c r="K46" s="1237"/>
      <c r="L46" s="1237"/>
      <c r="M46" s="1237"/>
      <c r="N46" s="1237"/>
      <c r="O46" s="1237"/>
      <c r="P46" s="1237"/>
      <c r="Q46" s="1237"/>
      <c r="R46" s="1237"/>
      <c r="S46" s="906"/>
    </row>
    <row r="47" spans="1:19" s="776" customFormat="1" x14ac:dyDescent="0.3">
      <c r="A47" s="906"/>
      <c r="B47" s="1237"/>
      <c r="C47" s="1237"/>
      <c r="D47" s="1237"/>
      <c r="E47" s="1237"/>
      <c r="F47" s="1237"/>
      <c r="G47" s="1237"/>
      <c r="H47" s="1237"/>
      <c r="I47" s="1237"/>
      <c r="J47" s="1237"/>
      <c r="K47" s="1237"/>
      <c r="L47" s="1237"/>
      <c r="M47" s="1237"/>
      <c r="N47" s="1237"/>
      <c r="O47" s="1237"/>
      <c r="P47" s="1237"/>
      <c r="Q47" s="1237"/>
      <c r="R47" s="1237"/>
      <c r="S47" s="906"/>
    </row>
    <row r="48" spans="1:19" s="776" customFormat="1" x14ac:dyDescent="0.3">
      <c r="A48" s="906"/>
      <c r="B48" s="904"/>
      <c r="C48" s="904"/>
      <c r="D48" s="904"/>
      <c r="E48" s="904"/>
      <c r="F48" s="904"/>
      <c r="G48" s="904"/>
      <c r="H48" s="904"/>
      <c r="I48" s="904"/>
      <c r="J48" s="904"/>
      <c r="K48" s="904"/>
      <c r="L48" s="904"/>
      <c r="M48" s="904"/>
      <c r="N48" s="904"/>
      <c r="O48" s="904"/>
      <c r="P48" s="904"/>
      <c r="Q48" s="904"/>
      <c r="R48" s="904"/>
      <c r="S48" s="906"/>
    </row>
    <row r="49" spans="1:19" s="776" customFormat="1" ht="15" customHeight="1" x14ac:dyDescent="0.3">
      <c r="A49" s="906"/>
      <c r="B49" s="906"/>
      <c r="C49" s="1228" t="s">
        <v>4649</v>
      </c>
      <c r="D49" s="1228"/>
      <c r="E49" s="1228"/>
      <c r="F49" s="1228"/>
      <c r="G49" s="1228"/>
      <c r="H49" s="1228"/>
      <c r="I49" s="1228"/>
      <c r="J49" s="1228"/>
      <c r="K49" s="1228"/>
      <c r="L49" s="1228"/>
      <c r="M49" s="1228"/>
      <c r="N49" s="1228"/>
      <c r="O49" s="1228"/>
      <c r="P49" s="1228"/>
      <c r="Q49" s="1228"/>
      <c r="R49" s="1228"/>
      <c r="S49" s="906"/>
    </row>
    <row r="50" spans="1:19" s="776" customFormat="1" x14ac:dyDescent="0.3">
      <c r="A50" s="906"/>
      <c r="B50" s="904"/>
      <c r="C50" s="904"/>
      <c r="D50" s="904"/>
      <c r="E50" s="904"/>
      <c r="F50" s="904"/>
      <c r="G50" s="904"/>
      <c r="H50" s="904"/>
      <c r="I50" s="904"/>
      <c r="J50" s="904"/>
      <c r="K50" s="904"/>
      <c r="L50" s="904"/>
      <c r="M50" s="904"/>
      <c r="N50" s="904"/>
      <c r="O50" s="904"/>
      <c r="P50" s="904"/>
      <c r="Q50" s="904"/>
      <c r="R50" s="904"/>
      <c r="S50" s="906"/>
    </row>
    <row r="51" spans="1:19" s="776" customFormat="1" ht="15" customHeight="1" x14ac:dyDescent="0.3">
      <c r="A51" s="906"/>
      <c r="B51" s="906"/>
      <c r="C51" s="1228" t="s">
        <v>4374</v>
      </c>
      <c r="D51" s="1228"/>
      <c r="E51" s="1228"/>
      <c r="F51" s="1228"/>
      <c r="G51" s="1228"/>
      <c r="H51" s="1228"/>
      <c r="I51" s="1228"/>
      <c r="J51" s="1228"/>
      <c r="K51" s="1228"/>
      <c r="L51" s="1228"/>
      <c r="M51" s="1228"/>
      <c r="N51" s="1228"/>
      <c r="O51" s="1228"/>
      <c r="P51" s="1228"/>
      <c r="Q51" s="1228"/>
      <c r="R51" s="1228"/>
      <c r="S51" s="906"/>
    </row>
    <row r="52" spans="1:19" s="776" customFormat="1" x14ac:dyDescent="0.3">
      <c r="A52" s="906"/>
      <c r="B52" s="907"/>
      <c r="C52" s="1228"/>
      <c r="D52" s="1228"/>
      <c r="E52" s="1228"/>
      <c r="F52" s="1228"/>
      <c r="G52" s="1228"/>
      <c r="H52" s="1228"/>
      <c r="I52" s="1228"/>
      <c r="J52" s="1228"/>
      <c r="K52" s="1228"/>
      <c r="L52" s="1228"/>
      <c r="M52" s="1228"/>
      <c r="N52" s="1228"/>
      <c r="O52" s="1228"/>
      <c r="P52" s="1228"/>
      <c r="Q52" s="1228"/>
      <c r="R52" s="1228"/>
      <c r="S52" s="906"/>
    </row>
    <row r="53" spans="1:19" s="776" customFormat="1" x14ac:dyDescent="0.3">
      <c r="A53" s="906"/>
      <c r="B53" s="904"/>
      <c r="C53" s="904"/>
      <c r="D53" s="904"/>
      <c r="E53" s="904"/>
      <c r="F53" s="904"/>
      <c r="G53" s="904"/>
      <c r="H53" s="904"/>
      <c r="I53" s="904"/>
      <c r="J53" s="904"/>
      <c r="K53" s="904"/>
      <c r="L53" s="904"/>
      <c r="M53" s="904"/>
      <c r="N53" s="904"/>
      <c r="O53" s="904"/>
      <c r="P53" s="904"/>
      <c r="Q53" s="904"/>
      <c r="R53" s="904"/>
      <c r="S53" s="906"/>
    </row>
    <row r="54" spans="1:19" s="776" customFormat="1" ht="15" customHeight="1" x14ac:dyDescent="0.3">
      <c r="A54" s="906"/>
      <c r="B54" s="1228" t="s">
        <v>4658</v>
      </c>
      <c r="C54" s="1228"/>
      <c r="D54" s="1228"/>
      <c r="E54" s="1228"/>
      <c r="F54" s="1228"/>
      <c r="G54" s="1228"/>
      <c r="H54" s="1228"/>
      <c r="I54" s="1228"/>
      <c r="J54" s="1228"/>
      <c r="K54" s="1228"/>
      <c r="L54" s="1228"/>
      <c r="M54" s="1228"/>
      <c r="N54" s="1228"/>
      <c r="O54" s="1228"/>
      <c r="P54" s="1228"/>
      <c r="Q54" s="1228"/>
      <c r="R54" s="1228"/>
      <c r="S54" s="1228"/>
    </row>
    <row r="55" spans="1:19" s="776" customFormat="1" x14ac:dyDescent="0.3">
      <c r="A55" s="906"/>
      <c r="B55" s="904"/>
      <c r="C55" s="904"/>
      <c r="D55" s="904"/>
      <c r="E55" s="904"/>
      <c r="F55" s="904"/>
      <c r="G55" s="904"/>
      <c r="H55" s="904"/>
      <c r="I55" s="904"/>
      <c r="J55" s="904"/>
      <c r="K55" s="904"/>
      <c r="L55" s="904"/>
      <c r="M55" s="904"/>
      <c r="N55" s="904"/>
      <c r="O55" s="904"/>
      <c r="P55" s="904"/>
      <c r="Q55" s="904"/>
      <c r="R55" s="904"/>
      <c r="S55" s="906"/>
    </row>
    <row r="56" spans="1:19" s="776" customFormat="1" ht="15" customHeight="1" x14ac:dyDescent="0.3">
      <c r="A56" s="906"/>
      <c r="B56" s="1228" t="s">
        <v>4377</v>
      </c>
      <c r="C56" s="1228"/>
      <c r="D56" s="1228"/>
      <c r="E56" s="1228"/>
      <c r="F56" s="1228"/>
      <c r="G56" s="1228"/>
      <c r="H56" s="1228"/>
      <c r="I56" s="1228"/>
      <c r="J56" s="1228"/>
      <c r="K56" s="1228"/>
      <c r="L56" s="1228"/>
      <c r="M56" s="1228"/>
      <c r="N56" s="1228"/>
      <c r="O56" s="1228"/>
      <c r="P56" s="1228"/>
      <c r="Q56" s="1228"/>
      <c r="R56" s="1228"/>
      <c r="S56" s="906"/>
    </row>
    <row r="57" spans="1:19" s="776" customFormat="1" x14ac:dyDescent="0.3">
      <c r="A57" s="906"/>
      <c r="B57" s="904"/>
      <c r="C57" s="904"/>
      <c r="D57" s="904"/>
      <c r="E57" s="904"/>
      <c r="F57" s="904"/>
      <c r="G57" s="904"/>
      <c r="H57" s="904"/>
      <c r="I57" s="904"/>
      <c r="J57" s="904"/>
      <c r="K57" s="904"/>
      <c r="L57" s="904"/>
      <c r="M57" s="904"/>
      <c r="N57" s="904"/>
      <c r="O57" s="904"/>
      <c r="P57" s="904"/>
      <c r="Q57" s="904"/>
      <c r="R57" s="904"/>
      <c r="S57" s="906"/>
    </row>
    <row r="58" spans="1:19" s="776" customFormat="1" ht="15" customHeight="1" x14ac:dyDescent="0.3">
      <c r="A58" s="906"/>
      <c r="B58" s="1228" t="s">
        <v>4376</v>
      </c>
      <c r="C58" s="1228"/>
      <c r="D58" s="1228"/>
      <c r="E58" s="1228"/>
      <c r="F58" s="1228"/>
      <c r="G58" s="1228"/>
      <c r="H58" s="1228"/>
      <c r="I58" s="1228"/>
      <c r="J58" s="1228"/>
      <c r="K58" s="1228"/>
      <c r="L58" s="1228"/>
      <c r="M58" s="1228"/>
      <c r="N58" s="1228"/>
      <c r="O58" s="1228"/>
      <c r="P58" s="1228"/>
      <c r="Q58" s="1228"/>
      <c r="R58" s="1228"/>
      <c r="S58" s="906"/>
    </row>
    <row r="59" spans="1:19" s="776" customFormat="1" ht="15" customHeight="1" x14ac:dyDescent="0.3">
      <c r="A59" s="906"/>
      <c r="B59" s="1244" t="s">
        <v>4375</v>
      </c>
      <c r="C59" s="1244"/>
      <c r="D59" s="1244"/>
      <c r="E59" s="1244"/>
      <c r="F59" s="1244"/>
      <c r="G59" s="1244"/>
      <c r="H59" s="1244"/>
      <c r="I59" s="1244"/>
      <c r="J59" s="1244"/>
      <c r="K59" s="1244"/>
      <c r="L59" s="1244"/>
      <c r="M59" s="1244"/>
      <c r="N59" s="1244"/>
      <c r="O59" s="1244"/>
      <c r="P59" s="1244"/>
      <c r="Q59" s="1244"/>
      <c r="R59" s="1244"/>
      <c r="S59" s="906"/>
    </row>
    <row r="60" spans="1:19" s="776" customFormat="1" x14ac:dyDescent="0.3">
      <c r="A60" s="906"/>
      <c r="B60" s="907"/>
      <c r="C60" s="907"/>
      <c r="D60" s="907"/>
      <c r="E60" s="907"/>
      <c r="F60" s="907"/>
      <c r="G60" s="907"/>
      <c r="H60" s="907"/>
      <c r="I60" s="907"/>
      <c r="J60" s="907"/>
      <c r="K60" s="907"/>
      <c r="L60" s="907"/>
      <c r="M60" s="907"/>
      <c r="N60" s="907"/>
      <c r="O60" s="907"/>
      <c r="P60" s="907"/>
      <c r="Q60" s="907"/>
      <c r="R60" s="907"/>
      <c r="S60" s="906"/>
    </row>
    <row r="61" spans="1:19" s="776" customFormat="1" ht="15" customHeight="1" x14ac:dyDescent="0.3">
      <c r="A61" s="906"/>
      <c r="B61" s="1243" t="s">
        <v>4373</v>
      </c>
      <c r="C61" s="1243"/>
      <c r="D61" s="1243"/>
      <c r="E61" s="1243"/>
      <c r="F61" s="1243"/>
      <c r="G61" s="1243"/>
      <c r="H61" s="1243"/>
      <c r="I61" s="1243"/>
      <c r="J61" s="1243"/>
      <c r="K61" s="1243"/>
      <c r="L61" s="1243"/>
      <c r="M61" s="1243"/>
      <c r="N61" s="1243"/>
      <c r="O61" s="1243"/>
      <c r="P61" s="1243"/>
      <c r="Q61" s="1243"/>
      <c r="R61" s="1243"/>
      <c r="S61" s="906"/>
    </row>
    <row r="62" spans="1:19" s="776" customFormat="1" x14ac:dyDescent="0.3">
      <c r="A62" s="906"/>
      <c r="B62" s="906"/>
      <c r="C62" s="906"/>
      <c r="D62" s="906"/>
      <c r="E62" s="906"/>
      <c r="F62" s="906"/>
      <c r="G62" s="906"/>
      <c r="H62" s="906"/>
      <c r="I62" s="906"/>
      <c r="J62" s="906"/>
      <c r="K62" s="906"/>
      <c r="L62" s="906"/>
      <c r="M62" s="906"/>
      <c r="N62" s="906"/>
      <c r="O62" s="906"/>
      <c r="P62" s="906"/>
      <c r="Q62" s="906"/>
      <c r="R62" s="906"/>
      <c r="S62" s="906"/>
    </row>
    <row r="63" spans="1:19" s="776" customFormat="1" ht="15" customHeight="1" x14ac:dyDescent="0.3">
      <c r="A63" s="906"/>
      <c r="B63" s="1228" t="s">
        <v>4430</v>
      </c>
      <c r="C63" s="1228"/>
      <c r="D63" s="1228"/>
      <c r="E63" s="1228"/>
      <c r="F63" s="1228"/>
      <c r="G63" s="1228"/>
      <c r="H63" s="1228"/>
      <c r="I63" s="1228"/>
      <c r="J63" s="1228"/>
      <c r="K63" s="1228"/>
      <c r="L63" s="1228"/>
      <c r="M63" s="1228"/>
      <c r="N63" s="1228"/>
      <c r="O63" s="1228"/>
      <c r="P63" s="1228"/>
      <c r="Q63" s="1228"/>
      <c r="R63" s="1228"/>
      <c r="S63" s="906"/>
    </row>
    <row r="64" spans="1:19" s="776" customFormat="1" x14ac:dyDescent="0.3">
      <c r="A64" s="906"/>
      <c r="B64" s="1228"/>
      <c r="C64" s="1228"/>
      <c r="D64" s="1228"/>
      <c r="E64" s="1228"/>
      <c r="F64" s="1228"/>
      <c r="G64" s="1228"/>
      <c r="H64" s="1228"/>
      <c r="I64" s="1228"/>
      <c r="J64" s="1228"/>
      <c r="K64" s="1228"/>
      <c r="L64" s="1228"/>
      <c r="M64" s="1228"/>
      <c r="N64" s="1228"/>
      <c r="O64" s="1228"/>
      <c r="P64" s="1228"/>
      <c r="Q64" s="1228"/>
      <c r="R64" s="1228"/>
      <c r="S64" s="906"/>
    </row>
    <row r="65" spans="1:19" s="776" customFormat="1" x14ac:dyDescent="0.3">
      <c r="A65" s="906"/>
      <c r="B65" s="906"/>
      <c r="C65" s="906"/>
      <c r="D65" s="906"/>
      <c r="E65" s="906"/>
      <c r="F65" s="906"/>
      <c r="G65" s="906"/>
      <c r="H65" s="906"/>
      <c r="I65" s="906"/>
      <c r="J65" s="906"/>
      <c r="K65" s="906"/>
      <c r="L65" s="906"/>
      <c r="M65" s="906"/>
      <c r="N65" s="906"/>
      <c r="O65" s="906"/>
      <c r="P65" s="906"/>
      <c r="Q65" s="906"/>
      <c r="R65" s="906"/>
      <c r="S65" s="906"/>
    </row>
    <row r="66" spans="1:19" s="776" customFormat="1" ht="15" customHeight="1" x14ac:dyDescent="0.3">
      <c r="A66" s="906"/>
      <c r="B66" s="1228" t="s">
        <v>4379</v>
      </c>
      <c r="C66" s="1228"/>
      <c r="D66" s="1228"/>
      <c r="E66" s="1228"/>
      <c r="F66" s="1228"/>
      <c r="G66" s="1228"/>
      <c r="H66" s="1228"/>
      <c r="I66" s="1228"/>
      <c r="J66" s="1228"/>
      <c r="K66" s="1228"/>
      <c r="L66" s="1228"/>
      <c r="M66" s="1228"/>
      <c r="N66" s="1228"/>
      <c r="O66" s="1228"/>
      <c r="P66" s="1228"/>
      <c r="Q66" s="1228"/>
      <c r="R66" s="1228"/>
      <c r="S66" s="906"/>
    </row>
    <row r="67" spans="1:19" s="776" customFormat="1" x14ac:dyDescent="0.3">
      <c r="A67" s="906"/>
      <c r="B67" s="906"/>
      <c r="C67" s="906"/>
      <c r="D67" s="906"/>
      <c r="E67" s="906"/>
      <c r="F67" s="906"/>
      <c r="G67" s="906"/>
      <c r="H67" s="906"/>
      <c r="I67" s="906"/>
      <c r="J67" s="906"/>
      <c r="K67" s="906"/>
      <c r="L67" s="906"/>
      <c r="M67" s="906"/>
      <c r="N67" s="906"/>
      <c r="O67" s="906"/>
      <c r="P67" s="906"/>
      <c r="Q67" s="906"/>
      <c r="R67" s="906"/>
      <c r="S67" s="906"/>
    </row>
    <row r="68" spans="1:19" s="776" customFormat="1" ht="15" customHeight="1" x14ac:dyDescent="0.3">
      <c r="A68" s="906"/>
      <c r="B68" s="906"/>
      <c r="C68" s="1228" t="s">
        <v>4380</v>
      </c>
      <c r="D68" s="1228"/>
      <c r="E68" s="1228"/>
      <c r="F68" s="1228"/>
      <c r="G68" s="1228"/>
      <c r="H68" s="1228"/>
      <c r="I68" s="1228"/>
      <c r="J68" s="1228"/>
      <c r="K68" s="1228"/>
      <c r="L68" s="1228"/>
      <c r="M68" s="1228"/>
      <c r="N68" s="1228"/>
      <c r="O68" s="1228"/>
      <c r="P68" s="1228"/>
      <c r="Q68" s="1228"/>
      <c r="R68" s="1228"/>
      <c r="S68" s="906"/>
    </row>
    <row r="69" spans="1:19" s="776" customFormat="1" x14ac:dyDescent="0.3">
      <c r="A69" s="906"/>
      <c r="B69" s="906"/>
      <c r="C69" s="906"/>
      <c r="D69" s="906"/>
      <c r="E69" s="906"/>
      <c r="F69" s="906"/>
      <c r="G69" s="906"/>
      <c r="H69" s="906"/>
      <c r="I69" s="906"/>
      <c r="J69" s="906"/>
      <c r="K69" s="906"/>
      <c r="L69" s="906"/>
      <c r="M69" s="906"/>
      <c r="N69" s="906"/>
      <c r="O69" s="906"/>
      <c r="P69" s="906"/>
      <c r="Q69" s="906"/>
      <c r="R69" s="906"/>
      <c r="S69" s="906"/>
    </row>
    <row r="70" spans="1:19" s="776" customFormat="1" ht="15" customHeight="1" x14ac:dyDescent="0.3">
      <c r="A70" s="906"/>
      <c r="B70" s="906"/>
      <c r="C70" s="1228" t="s">
        <v>4381</v>
      </c>
      <c r="D70" s="1228"/>
      <c r="E70" s="1228"/>
      <c r="F70" s="1228"/>
      <c r="G70" s="1228"/>
      <c r="H70" s="1228"/>
      <c r="I70" s="1228"/>
      <c r="J70" s="1228"/>
      <c r="K70" s="1228"/>
      <c r="L70" s="1228"/>
      <c r="M70" s="1228"/>
      <c r="N70" s="1228"/>
      <c r="O70" s="1228"/>
      <c r="P70" s="1228"/>
      <c r="Q70" s="1228"/>
      <c r="R70" s="1228"/>
      <c r="S70" s="906"/>
    </row>
    <row r="71" spans="1:19" s="776" customFormat="1" ht="15" customHeight="1" x14ac:dyDescent="0.3">
      <c r="A71" s="906"/>
      <c r="B71" s="906"/>
      <c r="C71" s="1228"/>
      <c r="D71" s="1228"/>
      <c r="E71" s="1228"/>
      <c r="F71" s="1228"/>
      <c r="G71" s="1228"/>
      <c r="H71" s="1228"/>
      <c r="I71" s="1228"/>
      <c r="J71" s="1228"/>
      <c r="K71" s="1228"/>
      <c r="L71" s="1228"/>
      <c r="M71" s="1228"/>
      <c r="N71" s="1228"/>
      <c r="O71" s="1228"/>
      <c r="P71" s="1228"/>
      <c r="Q71" s="1228"/>
      <c r="R71" s="1228"/>
      <c r="S71" s="906"/>
    </row>
    <row r="72" spans="1:19" s="776" customFormat="1" x14ac:dyDescent="0.3">
      <c r="A72" s="906"/>
      <c r="B72" s="906"/>
      <c r="C72" s="906"/>
      <c r="D72" s="906"/>
      <c r="E72" s="906"/>
      <c r="F72" s="906"/>
      <c r="G72" s="906"/>
      <c r="H72" s="906"/>
      <c r="I72" s="906"/>
      <c r="J72" s="906"/>
      <c r="K72" s="906"/>
      <c r="L72" s="906"/>
      <c r="M72" s="906"/>
      <c r="N72" s="906"/>
      <c r="O72" s="906"/>
      <c r="P72" s="906"/>
      <c r="Q72" s="906"/>
      <c r="R72" s="906"/>
      <c r="S72" s="906"/>
    </row>
    <row r="73" spans="1:19" s="776" customFormat="1" ht="15" customHeight="1" x14ac:dyDescent="0.3">
      <c r="A73" s="906"/>
      <c r="B73" s="1228" t="s">
        <v>4431</v>
      </c>
      <c r="C73" s="1228"/>
      <c r="D73" s="1228"/>
      <c r="E73" s="1228"/>
      <c r="F73" s="1228"/>
      <c r="G73" s="1228"/>
      <c r="H73" s="1228"/>
      <c r="I73" s="1228"/>
      <c r="J73" s="1228"/>
      <c r="K73" s="1228"/>
      <c r="L73" s="1228"/>
      <c r="M73" s="1228"/>
      <c r="N73" s="1228"/>
      <c r="O73" s="1228"/>
      <c r="P73" s="1228"/>
      <c r="Q73" s="1228"/>
      <c r="R73" s="1228"/>
      <c r="S73" s="1228"/>
    </row>
    <row r="74" spans="1:19" s="776" customFormat="1" x14ac:dyDescent="0.3">
      <c r="A74" s="906"/>
      <c r="B74" s="906"/>
      <c r="C74" s="906"/>
      <c r="D74" s="906"/>
      <c r="E74" s="906"/>
      <c r="F74" s="906"/>
      <c r="G74" s="906"/>
      <c r="H74" s="906"/>
      <c r="I74" s="906"/>
      <c r="J74" s="906"/>
      <c r="K74" s="906"/>
      <c r="L74" s="906"/>
      <c r="M74" s="906"/>
      <c r="N74" s="906"/>
      <c r="O74" s="906"/>
      <c r="P74" s="906"/>
      <c r="Q74" s="906"/>
      <c r="R74" s="906"/>
      <c r="S74" s="906"/>
    </row>
    <row r="75" spans="1:19" s="776" customFormat="1" ht="15" customHeight="1" x14ac:dyDescent="0.3">
      <c r="A75" s="906"/>
      <c r="B75" s="1228" t="s">
        <v>4432</v>
      </c>
      <c r="C75" s="1228"/>
      <c r="D75" s="1228"/>
      <c r="E75" s="1228"/>
      <c r="F75" s="1228"/>
      <c r="G75" s="1228"/>
      <c r="H75" s="1228"/>
      <c r="I75" s="1228"/>
      <c r="J75" s="1228"/>
      <c r="K75" s="1228"/>
      <c r="L75" s="1228"/>
      <c r="M75" s="1228"/>
      <c r="N75" s="1228"/>
      <c r="O75" s="1228"/>
      <c r="P75" s="1228"/>
      <c r="Q75" s="1228"/>
      <c r="R75" s="1228"/>
      <c r="S75" s="1228"/>
    </row>
    <row r="76" spans="1:19" s="776" customFormat="1" x14ac:dyDescent="0.3"/>
    <row r="77" spans="1:19" s="1013" customFormat="1" ht="18" x14ac:dyDescent="0.35">
      <c r="A77" s="1230" t="s">
        <v>4643</v>
      </c>
      <c r="B77" s="1230"/>
      <c r="C77" s="1230"/>
      <c r="D77" s="1230"/>
      <c r="E77" s="1230"/>
      <c r="F77" s="1230"/>
      <c r="G77" s="1230"/>
      <c r="H77" s="1230"/>
      <c r="I77" s="1230"/>
      <c r="J77" s="1230"/>
      <c r="K77" s="1230"/>
      <c r="L77" s="1230"/>
      <c r="M77" s="1230"/>
      <c r="N77" s="1230"/>
      <c r="O77" s="1230"/>
      <c r="P77" s="1230"/>
      <c r="Q77" s="1230"/>
      <c r="R77" s="1230"/>
      <c r="S77" s="1230"/>
    </row>
    <row r="78" spans="1:19" s="1013" customFormat="1" x14ac:dyDescent="0.3"/>
    <row r="79" spans="1:19" s="1013" customFormat="1" x14ac:dyDescent="0.3">
      <c r="B79" s="1228" t="s">
        <v>4642</v>
      </c>
      <c r="C79" s="1228"/>
      <c r="D79" s="1228"/>
      <c r="E79" s="1228"/>
      <c r="F79" s="1228"/>
      <c r="G79" s="1228"/>
      <c r="H79" s="1228"/>
      <c r="I79" s="1228"/>
      <c r="J79" s="1228"/>
      <c r="K79" s="1228"/>
      <c r="L79" s="1228"/>
      <c r="M79" s="1228"/>
      <c r="N79" s="1228"/>
      <c r="O79" s="1228"/>
      <c r="P79" s="1228"/>
      <c r="Q79" s="1228"/>
      <c r="R79" s="1228"/>
      <c r="S79" s="1228"/>
    </row>
    <row r="80" spans="1:19" s="1013" customFormat="1" x14ac:dyDescent="0.3"/>
    <row r="81" spans="1:19" s="1013" customFormat="1" ht="15" customHeight="1" x14ac:dyDescent="0.3">
      <c r="C81" s="1228" t="s">
        <v>4695</v>
      </c>
      <c r="D81" s="1228"/>
      <c r="E81" s="1228"/>
      <c r="F81" s="1228"/>
      <c r="G81" s="1228"/>
      <c r="H81" s="1228"/>
      <c r="I81" s="1228"/>
      <c r="J81" s="1228"/>
      <c r="K81" s="1228"/>
      <c r="L81" s="1228"/>
      <c r="M81" s="1228"/>
      <c r="N81" s="1228"/>
      <c r="O81" s="1228"/>
      <c r="P81" s="1228"/>
      <c r="Q81" s="1228"/>
      <c r="R81" s="1228"/>
      <c r="S81" s="1014"/>
    </row>
    <row r="82" spans="1:19" s="1013" customFormat="1" ht="15" customHeight="1" x14ac:dyDescent="0.3">
      <c r="C82" s="1228" t="s">
        <v>4682</v>
      </c>
      <c r="D82" s="1228"/>
      <c r="E82" s="1228"/>
      <c r="F82" s="1228"/>
      <c r="G82" s="1228"/>
      <c r="H82" s="1228"/>
      <c r="I82" s="1228"/>
      <c r="J82" s="1228"/>
      <c r="K82" s="1228"/>
      <c r="L82" s="1228"/>
      <c r="M82" s="1228"/>
      <c r="N82" s="1228"/>
      <c r="O82" s="1228"/>
      <c r="P82" s="1228"/>
      <c r="Q82" s="1228"/>
      <c r="R82" s="1228"/>
      <c r="S82" s="1014"/>
    </row>
    <row r="83" spans="1:19" s="1013" customFormat="1" x14ac:dyDescent="0.3"/>
    <row r="84" spans="1:19" s="1013" customFormat="1" ht="15" customHeight="1" x14ac:dyDescent="0.3">
      <c r="C84" s="1228" t="s">
        <v>4644</v>
      </c>
      <c r="D84" s="1228"/>
      <c r="E84" s="1228"/>
      <c r="F84" s="1228"/>
      <c r="G84" s="1228"/>
      <c r="H84" s="1228"/>
      <c r="I84" s="1228"/>
      <c r="J84" s="1228"/>
      <c r="K84" s="1228"/>
      <c r="L84" s="1228"/>
      <c r="M84" s="1228"/>
      <c r="N84" s="1228"/>
      <c r="O84" s="1228"/>
      <c r="P84" s="1228"/>
      <c r="Q84" s="1228"/>
      <c r="R84" s="1228"/>
      <c r="S84" s="1014"/>
    </row>
    <row r="85" spans="1:19" s="1013" customFormat="1" ht="15" customHeight="1" x14ac:dyDescent="0.3">
      <c r="C85" s="1014"/>
      <c r="D85" s="1014"/>
      <c r="E85" s="1014"/>
      <c r="F85" s="1014"/>
      <c r="G85" s="1014"/>
      <c r="H85" s="1014"/>
      <c r="I85" s="1014"/>
      <c r="J85" s="1014"/>
      <c r="K85" s="1014"/>
      <c r="L85" s="1014"/>
      <c r="M85" s="1014"/>
      <c r="N85" s="1014"/>
      <c r="O85" s="1014"/>
      <c r="P85" s="1014"/>
      <c r="Q85" s="1014"/>
      <c r="R85" s="1014"/>
      <c r="S85" s="1014"/>
    </row>
    <row r="86" spans="1:19" s="1013" customFormat="1" ht="15" customHeight="1" x14ac:dyDescent="0.3">
      <c r="B86" s="1228" t="s">
        <v>4646</v>
      </c>
      <c r="C86" s="1228"/>
      <c r="D86" s="1228"/>
      <c r="E86" s="1228"/>
      <c r="F86" s="1228"/>
      <c r="G86" s="1228"/>
      <c r="H86" s="1228"/>
      <c r="I86" s="1228"/>
      <c r="J86" s="1228"/>
      <c r="K86" s="1228"/>
      <c r="L86" s="1228"/>
      <c r="M86" s="1228"/>
      <c r="N86" s="1228"/>
      <c r="O86" s="1228"/>
      <c r="P86" s="1228"/>
      <c r="Q86" s="1228"/>
      <c r="R86" s="1228"/>
      <c r="S86" s="1228"/>
    </row>
    <row r="87" spans="1:19" s="1013" customFormat="1" ht="15" customHeight="1" x14ac:dyDescent="0.3">
      <c r="B87" s="1228" t="s">
        <v>4645</v>
      </c>
      <c r="C87" s="1228"/>
      <c r="D87" s="1228"/>
      <c r="E87" s="1228"/>
      <c r="F87" s="1228"/>
      <c r="G87" s="1228"/>
      <c r="H87" s="1228"/>
      <c r="I87" s="1228"/>
      <c r="J87" s="1228"/>
      <c r="K87" s="1228"/>
      <c r="L87" s="1228"/>
      <c r="M87" s="1228"/>
      <c r="N87" s="1228"/>
      <c r="O87" s="1228"/>
      <c r="P87" s="1228"/>
      <c r="Q87" s="1228"/>
      <c r="R87" s="1228"/>
      <c r="S87" s="1228"/>
    </row>
    <row r="88" spans="1:19" s="1013" customFormat="1" ht="15" customHeight="1" x14ac:dyDescent="0.3">
      <c r="B88" s="1014"/>
      <c r="C88" s="1014"/>
      <c r="D88" s="1014"/>
      <c r="E88" s="1014"/>
      <c r="F88" s="1014"/>
      <c r="G88" s="1014"/>
      <c r="H88" s="1014"/>
      <c r="I88" s="1014"/>
      <c r="J88" s="1014"/>
      <c r="K88" s="1014"/>
      <c r="L88" s="1014"/>
      <c r="M88" s="1014"/>
      <c r="N88" s="1014"/>
      <c r="O88" s="1014"/>
      <c r="P88" s="1014"/>
      <c r="Q88" s="1014"/>
      <c r="R88" s="1014"/>
      <c r="S88" s="1014"/>
    </row>
    <row r="89" spans="1:19" s="1013" customFormat="1" ht="15" customHeight="1" x14ac:dyDescent="0.3">
      <c r="B89" s="1229" t="s">
        <v>4647</v>
      </c>
      <c r="C89" s="1229"/>
      <c r="D89" s="1229"/>
      <c r="E89" s="1229"/>
      <c r="F89" s="1229"/>
      <c r="G89" s="1229"/>
      <c r="H89" s="1229"/>
      <c r="I89" s="1229"/>
      <c r="J89" s="1229"/>
      <c r="K89" s="1229"/>
      <c r="L89" s="1229"/>
      <c r="M89" s="1229"/>
      <c r="N89" s="1229"/>
      <c r="O89" s="1229"/>
      <c r="P89" s="1229"/>
      <c r="Q89" s="1229"/>
      <c r="R89" s="1229"/>
      <c r="S89" s="1229"/>
    </row>
    <row r="90" spans="1:19" s="1013" customFormat="1" x14ac:dyDescent="0.3"/>
    <row r="91" spans="1:19" ht="18" x14ac:dyDescent="0.35">
      <c r="A91" s="1230" t="s">
        <v>256</v>
      </c>
      <c r="B91" s="1230"/>
      <c r="C91" s="1230"/>
      <c r="D91" s="1230"/>
      <c r="E91" s="1230"/>
      <c r="F91" s="1230"/>
      <c r="G91" s="1230"/>
      <c r="H91" s="1230"/>
      <c r="I91" s="1230"/>
      <c r="J91" s="1230"/>
      <c r="K91" s="1230"/>
      <c r="L91" s="1230"/>
      <c r="M91" s="1230"/>
      <c r="N91" s="1230"/>
      <c r="O91" s="1230"/>
      <c r="P91" s="1230"/>
      <c r="Q91" s="1230"/>
      <c r="R91" s="1230"/>
      <c r="S91" s="1230"/>
    </row>
    <row r="93" spans="1:19" x14ac:dyDescent="0.3">
      <c r="B93" s="770"/>
      <c r="C93" t="s">
        <v>3745</v>
      </c>
    </row>
    <row r="95" spans="1:19" x14ac:dyDescent="0.3">
      <c r="B95" s="771"/>
      <c r="C95" t="s">
        <v>3746</v>
      </c>
    </row>
    <row r="97" spans="1:19" x14ac:dyDescent="0.3">
      <c r="B97" s="772"/>
      <c r="C97" t="s">
        <v>4089</v>
      </c>
    </row>
    <row r="99" spans="1:19" x14ac:dyDescent="0.3">
      <c r="B99" s="773"/>
      <c r="C99" t="s">
        <v>3742</v>
      </c>
    </row>
    <row r="101" spans="1:19" x14ac:dyDescent="0.3">
      <c r="B101" s="774"/>
      <c r="C101" t="s">
        <v>3743</v>
      </c>
    </row>
    <row r="103" spans="1:19" x14ac:dyDescent="0.3">
      <c r="B103" s="775"/>
      <c r="C103" t="s">
        <v>3744</v>
      </c>
    </row>
    <row r="105" spans="1:19" ht="18.75" customHeight="1" x14ac:dyDescent="0.35">
      <c r="A105" s="1240" t="s">
        <v>4370</v>
      </c>
      <c r="B105" s="1240"/>
      <c r="C105" s="1240"/>
      <c r="D105" s="1240"/>
      <c r="E105" s="1240"/>
      <c r="F105" s="1240"/>
      <c r="G105" s="1240"/>
      <c r="H105" s="1240"/>
      <c r="I105" s="1240"/>
      <c r="J105" s="1240"/>
      <c r="K105" s="1240"/>
      <c r="L105" s="1240"/>
      <c r="M105" s="1240"/>
      <c r="N105" s="1240"/>
      <c r="O105" s="1240"/>
      <c r="P105" s="1240"/>
      <c r="Q105" s="1240"/>
      <c r="R105" s="1240"/>
      <c r="S105" s="1240"/>
    </row>
  </sheetData>
  <sheetProtection algorithmName="SHA-512" hashValue="MKYVv2DWPOXOyutXu459vPYwdIer7/oFBdzkEdFRbAL1VGhuknA+g1CWqSLkNbZQgCyLI6d/tNvgBsCXOhyfSQ==" saltValue="LRrlrFoFIGB6zwaJ69uX7Q==" spinCount="100000" sheet="1" objects="1" scenarios="1" selectLockedCells="1"/>
  <dataConsolidate/>
  <mergeCells count="45">
    <mergeCell ref="B75:S75"/>
    <mergeCell ref="B58:R58"/>
    <mergeCell ref="B59:R59"/>
    <mergeCell ref="C49:R49"/>
    <mergeCell ref="C51:R52"/>
    <mergeCell ref="B63:R64"/>
    <mergeCell ref="B66:R66"/>
    <mergeCell ref="B54:S54"/>
    <mergeCell ref="A105:S105"/>
    <mergeCell ref="A12:S12"/>
    <mergeCell ref="A29:S29"/>
    <mergeCell ref="A36:S36"/>
    <mergeCell ref="A91:S91"/>
    <mergeCell ref="B31:R31"/>
    <mergeCell ref="B33:R34"/>
    <mergeCell ref="B38:R40"/>
    <mergeCell ref="B42:R42"/>
    <mergeCell ref="B44:S44"/>
    <mergeCell ref="B61:R61"/>
    <mergeCell ref="B56:R56"/>
    <mergeCell ref="B46:R47"/>
    <mergeCell ref="C68:R68"/>
    <mergeCell ref="C70:R71"/>
    <mergeCell ref="B73:S73"/>
    <mergeCell ref="A1:C6"/>
    <mergeCell ref="D1:S3"/>
    <mergeCell ref="D4:S6"/>
    <mergeCell ref="A28:S28"/>
    <mergeCell ref="C7:D7"/>
    <mergeCell ref="E7:F7"/>
    <mergeCell ref="B14:R16"/>
    <mergeCell ref="A8:S8"/>
    <mergeCell ref="B9:R9"/>
    <mergeCell ref="B10:R10"/>
    <mergeCell ref="A11:S11"/>
    <mergeCell ref="A13:S13"/>
    <mergeCell ref="B18:R20"/>
    <mergeCell ref="B87:S87"/>
    <mergeCell ref="B89:S89"/>
    <mergeCell ref="B86:S86"/>
    <mergeCell ref="A77:S77"/>
    <mergeCell ref="B79:S79"/>
    <mergeCell ref="C82:R82"/>
    <mergeCell ref="C84:R84"/>
    <mergeCell ref="C81:R81"/>
  </mergeCells>
  <hyperlinks>
    <hyperlink ref="A105" location="'Overview (Design)'!A1" display="CLICK HERE TO GET STARTED!" xr:uid="{00000000-0004-0000-0000-000000000000}"/>
    <hyperlink ref="B10:R10" r:id="rId1" display="Go to http://www.homeinnovation.com/greenscoring to download the latest version of the NGBS Scoring for New Construction spreadsheet." xr:uid="{00000000-0004-0000-0000-000001000000}"/>
    <hyperlink ref="B59" r:id="rId2" xr:uid="{00000000-0004-0000-0000-000002000000}"/>
  </hyperlinks>
  <pageMargins left="0.7" right="0.7" top="0.75" bottom="0.75" header="0.3" footer="0.3"/>
  <pageSetup scale="35"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pageSetUpPr fitToPage="1"/>
  </sheetPr>
  <dimension ref="A1:J2005"/>
  <sheetViews>
    <sheetView showGridLines="0" zoomScaleNormal="100" workbookViewId="0">
      <pane ySplit="6" topLeftCell="A7" activePane="bottomLeft" state="frozen"/>
      <selection pane="bottomLeft" sqref="A1:A1048576"/>
    </sheetView>
  </sheetViews>
  <sheetFormatPr defaultRowHeight="14.4" x14ac:dyDescent="0.3"/>
  <cols>
    <col min="1" max="1" width="3.6640625" style="727" bestFit="1" customWidth="1"/>
    <col min="2" max="2" width="3.6640625" customWidth="1"/>
    <col min="3" max="3" width="3.6640625" style="1082" customWidth="1"/>
    <col min="4" max="4" width="10.44140625" style="921" customWidth="1"/>
    <col min="5" max="6" width="3.88671875" style="921" customWidth="1"/>
    <col min="7" max="7" width="71.6640625" customWidth="1"/>
    <col min="8" max="8" width="19.109375" style="89" hidden="1" customWidth="1"/>
    <col min="9" max="9" width="3" style="89" hidden="1" customWidth="1"/>
    <col min="10" max="10" width="73.5546875" style="4" customWidth="1"/>
  </cols>
  <sheetData>
    <row r="1" spans="1:10" ht="15" customHeight="1" x14ac:dyDescent="0.3">
      <c r="A1" s="1459" t="s">
        <v>3774</v>
      </c>
      <c r="B1" s="1438" t="s">
        <v>4691</v>
      </c>
      <c r="C1" s="1438" t="s">
        <v>4692</v>
      </c>
      <c r="D1" s="1251"/>
      <c r="E1" s="1251"/>
      <c r="F1" s="1251"/>
      <c r="G1" s="1251"/>
      <c r="J1" s="1457" t="s">
        <v>4390</v>
      </c>
    </row>
    <row r="2" spans="1:10" x14ac:dyDescent="0.3">
      <c r="A2" s="1459"/>
      <c r="B2" s="1438"/>
      <c r="C2" s="1438"/>
      <c r="D2" s="1251"/>
      <c r="E2" s="1251"/>
      <c r="F2" s="1251"/>
      <c r="G2" s="1251"/>
      <c r="J2" s="1458"/>
    </row>
    <row r="3" spans="1:10" x14ac:dyDescent="0.3">
      <c r="A3" s="1459"/>
      <c r="B3" s="1438"/>
      <c r="C3" s="1438"/>
      <c r="D3" s="1251"/>
      <c r="E3" s="1251"/>
      <c r="F3" s="1251"/>
      <c r="G3" s="1251"/>
      <c r="J3" s="1458"/>
    </row>
    <row r="4" spans="1:10" s="420" customFormat="1" x14ac:dyDescent="0.3">
      <c r="A4" s="1459"/>
      <c r="B4" s="1438"/>
      <c r="C4" s="1438"/>
      <c r="D4" s="1251"/>
      <c r="E4" s="1251"/>
      <c r="F4" s="1251"/>
      <c r="G4" s="1251"/>
      <c r="H4" s="89"/>
      <c r="I4" s="89"/>
      <c r="J4" s="1458"/>
    </row>
    <row r="5" spans="1:10" s="420" customFormat="1" x14ac:dyDescent="0.3">
      <c r="A5" s="1459"/>
      <c r="B5" s="1438"/>
      <c r="C5" s="1438"/>
      <c r="D5" s="1251"/>
      <c r="E5" s="1251"/>
      <c r="F5" s="1251"/>
      <c r="G5" s="1251"/>
      <c r="H5" s="89"/>
      <c r="I5" s="89"/>
      <c r="J5" s="1458"/>
    </row>
    <row r="6" spans="1:10" ht="21" x14ac:dyDescent="0.4">
      <c r="A6" s="1195" t="s">
        <v>4648</v>
      </c>
      <c r="G6" s="714" t="s">
        <v>3775</v>
      </c>
    </row>
    <row r="7" spans="1:10" ht="18" x14ac:dyDescent="0.35">
      <c r="A7" s="727" t="s">
        <v>4389</v>
      </c>
      <c r="B7" s="311" t="str">
        <f>IF(LEN('Ch5'!H9)=0,"",'Ch5'!H9)</f>
        <v/>
      </c>
      <c r="C7" s="311" t="str">
        <f>IF(LEN(B7)=0,IF(A7="P","P",""),B7)</f>
        <v>P</v>
      </c>
      <c r="D7" s="82" t="s">
        <v>808</v>
      </c>
      <c r="E7" s="82"/>
      <c r="F7" s="82"/>
      <c r="G7" s="23"/>
      <c r="H7" s="23"/>
      <c r="I7" s="23"/>
      <c r="J7" s="23"/>
    </row>
    <row r="8" spans="1:10" ht="15" customHeight="1" x14ac:dyDescent="0.3">
      <c r="B8" s="311" t="str">
        <f>IF(LEN('Ch5'!H10)=0,"",'Ch5'!H10)</f>
        <v/>
      </c>
      <c r="C8" s="311" t="str">
        <f t="shared" ref="C8:C71" si="0">IF(LEN(B8)=0,IF(A8="P","P",""),B8)</f>
        <v/>
      </c>
      <c r="D8" s="925" t="s">
        <v>267</v>
      </c>
      <c r="E8" s="925"/>
      <c r="F8" s="925"/>
      <c r="G8" s="1292" t="s">
        <v>268</v>
      </c>
      <c r="J8" s="996"/>
    </row>
    <row r="9" spans="1:10" x14ac:dyDescent="0.3">
      <c r="B9" s="311" t="str">
        <f>IF(LEN('Ch5'!H11)=0,"",'Ch5'!H11)</f>
        <v/>
      </c>
      <c r="C9" s="311" t="str">
        <f t="shared" si="0"/>
        <v/>
      </c>
      <c r="D9" s="925"/>
      <c r="E9" s="925"/>
      <c r="F9" s="925"/>
      <c r="G9" s="1292"/>
      <c r="J9" s="996"/>
    </row>
    <row r="10" spans="1:10" x14ac:dyDescent="0.3">
      <c r="B10" s="311" t="str">
        <f>IF(LEN('Ch5'!H12)=0,"",'Ch5'!H12)</f>
        <v/>
      </c>
      <c r="C10" s="311" t="str">
        <f t="shared" si="0"/>
        <v/>
      </c>
      <c r="D10" s="925"/>
      <c r="E10" s="925"/>
      <c r="F10" s="925"/>
      <c r="G10" s="1292"/>
      <c r="J10" s="996"/>
    </row>
    <row r="11" spans="1:10" ht="18" x14ac:dyDescent="0.3">
      <c r="A11" s="727" t="s">
        <v>4389</v>
      </c>
      <c r="B11" s="311" t="str">
        <f>IF(LEN('Ch5'!H13)=0,"",'Ch5'!H13)</f>
        <v/>
      </c>
      <c r="C11" s="311" t="str">
        <f t="shared" si="0"/>
        <v>P</v>
      </c>
      <c r="D11" s="82" t="s">
        <v>807</v>
      </c>
      <c r="E11" s="82"/>
      <c r="F11" s="82"/>
      <c r="G11" s="85"/>
      <c r="H11" s="85"/>
      <c r="I11" s="85"/>
      <c r="J11" s="997"/>
    </row>
    <row r="12" spans="1:10" ht="15" customHeight="1" x14ac:dyDescent="0.3">
      <c r="A12" s="727" t="str">
        <f>IF('Ch5'!O14&gt;0,"P","")</f>
        <v/>
      </c>
      <c r="B12" s="311" t="str">
        <f>IF(LEN('Ch5'!H14)=0,"",'Ch5'!H14)</f>
        <v/>
      </c>
      <c r="C12" s="311" t="str">
        <f t="shared" si="0"/>
        <v/>
      </c>
      <c r="D12" s="926" t="s">
        <v>269</v>
      </c>
      <c r="E12" s="926"/>
      <c r="F12" s="926"/>
      <c r="G12" s="1342" t="s">
        <v>270</v>
      </c>
      <c r="I12" s="89">
        <f>'Ch5'!O14</f>
        <v>0</v>
      </c>
      <c r="J12" s="1439" t="s">
        <v>4391</v>
      </c>
    </row>
    <row r="13" spans="1:10" x14ac:dyDescent="0.3">
      <c r="A13" s="727" t="str">
        <f>A12</f>
        <v/>
      </c>
      <c r="B13" s="311" t="str">
        <f>IF(LEN('Ch5'!H15)=0,"",'Ch5'!H15)</f>
        <v/>
      </c>
      <c r="C13" s="311" t="str">
        <f t="shared" si="0"/>
        <v/>
      </c>
      <c r="D13" s="926"/>
      <c r="E13" s="926"/>
      <c r="F13" s="926"/>
      <c r="G13" s="1342"/>
      <c r="H13" s="89">
        <f>'Ch5'!W15</f>
        <v>0</v>
      </c>
      <c r="J13" s="1439"/>
    </row>
    <row r="14" spans="1:10" x14ac:dyDescent="0.3">
      <c r="A14" s="727" t="str">
        <f>IF(AND(LEN('Ch5'!W16)&gt;0,NOT('Ch5'!W16=FALSE)),"P","")</f>
        <v/>
      </c>
      <c r="B14" s="311" t="str">
        <f>IF(LEN('Ch5'!H16)=0,"",'Ch5'!H16)</f>
        <v/>
      </c>
      <c r="C14" s="311" t="str">
        <f t="shared" si="0"/>
        <v/>
      </c>
      <c r="D14" s="926"/>
      <c r="E14" s="946" t="s">
        <v>271</v>
      </c>
      <c r="F14" s="946"/>
      <c r="G14" s="193" t="s">
        <v>272</v>
      </c>
      <c r="H14" s="89">
        <f>'Ch5'!W16</f>
        <v>0</v>
      </c>
      <c r="J14" s="989" t="s">
        <v>216</v>
      </c>
    </row>
    <row r="15" spans="1:10" x14ac:dyDescent="0.3">
      <c r="A15" s="727" t="str">
        <f>IF(AND(LEN('Ch5'!W17)&gt;0,NOT('Ch5'!W17=FALSE)),"P","")</f>
        <v/>
      </c>
      <c r="B15" s="311" t="str">
        <f>IF(LEN('Ch5'!H17)=0,"",'Ch5'!H17)</f>
        <v/>
      </c>
      <c r="C15" s="311" t="str">
        <f t="shared" si="0"/>
        <v/>
      </c>
      <c r="D15" s="926"/>
      <c r="E15" s="946" t="s">
        <v>273</v>
      </c>
      <c r="F15" s="946"/>
      <c r="G15" s="193" t="s">
        <v>274</v>
      </c>
      <c r="H15" s="89">
        <f>'Ch5'!W17</f>
        <v>0</v>
      </c>
      <c r="J15" s="998" t="s">
        <v>4240</v>
      </c>
    </row>
    <row r="16" spans="1:10" ht="15" thickBot="1" x14ac:dyDescent="0.35">
      <c r="A16" s="727" t="str">
        <f>IF(AND(LEN('Ch5'!W18)&gt;0,NOT('Ch5'!W18=FALSE)),"P","")</f>
        <v/>
      </c>
      <c r="B16" s="311" t="str">
        <f>IF(LEN('Ch5'!H18)=0,"",'Ch5'!H18)</f>
        <v/>
      </c>
      <c r="C16" s="311" t="str">
        <f t="shared" si="0"/>
        <v/>
      </c>
      <c r="D16" s="931"/>
      <c r="E16" s="931" t="s">
        <v>275</v>
      </c>
      <c r="F16" s="931"/>
      <c r="G16" s="100" t="s">
        <v>276</v>
      </c>
      <c r="H16" s="89">
        <f>'Ch5'!W18</f>
        <v>0</v>
      </c>
      <c r="J16" s="998" t="s">
        <v>4241</v>
      </c>
    </row>
    <row r="17" spans="1:10" ht="15.75" customHeight="1" thickTop="1" x14ac:dyDescent="0.3">
      <c r="A17" s="1196" t="str">
        <f>IF(COUNTIF(A19:A25,"P")&gt;0,"P","")</f>
        <v/>
      </c>
      <c r="B17" s="311" t="str">
        <f>IF(LEN('Ch5'!H19)=0,"",'Ch5'!H19)</f>
        <v/>
      </c>
      <c r="C17" s="311" t="str">
        <f t="shared" si="0"/>
        <v/>
      </c>
      <c r="D17" s="925" t="s">
        <v>280</v>
      </c>
      <c r="E17" s="925"/>
      <c r="F17" s="925"/>
      <c r="G17" s="1292" t="s">
        <v>281</v>
      </c>
      <c r="J17" s="989"/>
    </row>
    <row r="18" spans="1:10" x14ac:dyDescent="0.3">
      <c r="A18" s="727" t="str">
        <f>A17</f>
        <v/>
      </c>
      <c r="B18" s="311" t="str">
        <f>IF(LEN('Ch5'!H20)=0,"",'Ch5'!H20)</f>
        <v/>
      </c>
      <c r="C18" s="311" t="str">
        <f t="shared" si="0"/>
        <v/>
      </c>
      <c r="D18" s="925"/>
      <c r="E18" s="925"/>
      <c r="F18" s="925"/>
      <c r="G18" s="1292"/>
      <c r="J18" s="989"/>
    </row>
    <row r="19" spans="1:10" ht="15" customHeight="1" x14ac:dyDescent="0.3">
      <c r="A19" s="727" t="str">
        <f>IF(AND(LEN('Ch5'!W21)&gt;0,NOT('Ch5'!W21=FALSE)),"P","")</f>
        <v/>
      </c>
      <c r="B19" s="311" t="str">
        <f>IF(LEN('Ch5'!H21)=0,"",'Ch5'!H21)</f>
        <v/>
      </c>
      <c r="C19" s="311" t="str">
        <f t="shared" si="0"/>
        <v/>
      </c>
      <c r="D19" s="925"/>
      <c r="E19" s="926" t="s">
        <v>271</v>
      </c>
      <c r="F19" s="926"/>
      <c r="G19" s="1293" t="s">
        <v>282</v>
      </c>
      <c r="H19" s="89">
        <f>'Ch5'!W21</f>
        <v>0</v>
      </c>
      <c r="I19" s="89">
        <f>'Ch5'!O21</f>
        <v>0</v>
      </c>
      <c r="J19" s="1439" t="s">
        <v>4180</v>
      </c>
    </row>
    <row r="20" spans="1:10" x14ac:dyDescent="0.3">
      <c r="A20" s="727" t="str">
        <f>A19</f>
        <v/>
      </c>
      <c r="B20" s="311" t="str">
        <f>IF(LEN('Ch5'!H22)=0,"",'Ch5'!H22)</f>
        <v/>
      </c>
      <c r="C20" s="311" t="str">
        <f t="shared" si="0"/>
        <v/>
      </c>
      <c r="D20" s="925"/>
      <c r="E20" s="946"/>
      <c r="F20" s="946"/>
      <c r="G20" s="1294"/>
      <c r="J20" s="1439"/>
    </row>
    <row r="21" spans="1:10" ht="15" customHeight="1" x14ac:dyDescent="0.3">
      <c r="A21" s="727" t="str">
        <f>IF(AND(LEN('Ch5'!W23)&gt;0,NOT('Ch5'!W23=FALSE)),"P","")</f>
        <v/>
      </c>
      <c r="B21" s="311" t="str">
        <f>IF(LEN('Ch5'!H23)=0,"",'Ch5'!H23)</f>
        <v/>
      </c>
      <c r="C21" s="311" t="str">
        <f t="shared" si="0"/>
        <v/>
      </c>
      <c r="D21" s="925"/>
      <c r="E21" s="926" t="s">
        <v>273</v>
      </c>
      <c r="F21" s="926"/>
      <c r="G21" s="1305" t="s">
        <v>283</v>
      </c>
      <c r="H21" s="89">
        <f>'Ch5'!W23</f>
        <v>0</v>
      </c>
      <c r="I21" s="89">
        <f>'Ch5'!O23</f>
        <v>0</v>
      </c>
      <c r="J21" s="1439" t="s">
        <v>4181</v>
      </c>
    </row>
    <row r="22" spans="1:10" x14ac:dyDescent="0.3">
      <c r="A22" s="727" t="str">
        <f>A21</f>
        <v/>
      </c>
      <c r="B22" s="311" t="str">
        <f>IF(LEN('Ch5'!H24)=0,"",'Ch5'!H24)</f>
        <v/>
      </c>
      <c r="C22" s="311" t="str">
        <f t="shared" si="0"/>
        <v/>
      </c>
      <c r="D22" s="925"/>
      <c r="E22" s="946"/>
      <c r="F22" s="946"/>
      <c r="G22" s="1306"/>
      <c r="J22" s="1439"/>
    </row>
    <row r="23" spans="1:10" ht="15" customHeight="1" x14ac:dyDescent="0.3">
      <c r="A23" s="727" t="str">
        <f>IF(AND(LEN('Ch5'!W25)&gt;0,NOT('Ch5'!W25=FALSE)),"P","")</f>
        <v/>
      </c>
      <c r="B23" s="311" t="str">
        <f>IF(LEN('Ch5'!H25)=0,"",'Ch5'!H25)</f>
        <v/>
      </c>
      <c r="C23" s="311" t="str">
        <f t="shared" si="0"/>
        <v/>
      </c>
      <c r="D23" s="925"/>
      <c r="E23" s="926" t="s">
        <v>275</v>
      </c>
      <c r="F23" s="926"/>
      <c r="G23" s="1293" t="s">
        <v>284</v>
      </c>
      <c r="H23" s="89">
        <f>'Ch5'!W25</f>
        <v>0</v>
      </c>
      <c r="I23" s="89">
        <f>'Ch5'!O25</f>
        <v>0</v>
      </c>
      <c r="J23" s="1443" t="s">
        <v>4182</v>
      </c>
    </row>
    <row r="24" spans="1:10" x14ac:dyDescent="0.3">
      <c r="A24" s="727" t="str">
        <f>A23</f>
        <v/>
      </c>
      <c r="B24" s="311" t="str">
        <f>IF(LEN('Ch5'!H26)=0,"",'Ch5'!H26)</f>
        <v/>
      </c>
      <c r="C24" s="311" t="str">
        <f t="shared" si="0"/>
        <v/>
      </c>
      <c r="D24" s="925"/>
      <c r="E24" s="946"/>
      <c r="F24" s="946"/>
      <c r="G24" s="1294"/>
      <c r="J24" s="1443"/>
    </row>
    <row r="25" spans="1:10" ht="15" customHeight="1" x14ac:dyDescent="0.3">
      <c r="A25" s="727" t="str">
        <f>IF(AND(LEN('Ch5'!W27)&gt;0,NOT('Ch5'!W27=FALSE)),"P","")</f>
        <v/>
      </c>
      <c r="B25" s="311" t="str">
        <f>IF(LEN('Ch5'!H27)=0,"",'Ch5'!H27)</f>
        <v/>
      </c>
      <c r="C25" s="311" t="str">
        <f t="shared" si="0"/>
        <v/>
      </c>
      <c r="D25" s="925"/>
      <c r="E25" s="926" t="s">
        <v>285</v>
      </c>
      <c r="F25" s="926"/>
      <c r="G25" s="1305" t="s">
        <v>286</v>
      </c>
      <c r="H25" s="89">
        <f>'Ch5'!W27</f>
        <v>0</v>
      </c>
      <c r="I25" s="89">
        <f>'Ch5'!O27</f>
        <v>0</v>
      </c>
      <c r="J25" s="1439" t="s">
        <v>216</v>
      </c>
    </row>
    <row r="26" spans="1:10" x14ac:dyDescent="0.3">
      <c r="A26" s="727" t="str">
        <f>A25</f>
        <v/>
      </c>
      <c r="B26" s="311" t="str">
        <f>IF(LEN('Ch5'!H28)=0,"",'Ch5'!H28)</f>
        <v/>
      </c>
      <c r="C26" s="311" t="str">
        <f t="shared" si="0"/>
        <v/>
      </c>
      <c r="D26" s="925"/>
      <c r="E26" s="926"/>
      <c r="F26" s="926"/>
      <c r="G26" s="1305"/>
      <c r="J26" s="1439"/>
    </row>
    <row r="27" spans="1:10" x14ac:dyDescent="0.3">
      <c r="A27" s="727" t="str">
        <f>A26</f>
        <v/>
      </c>
      <c r="B27" s="311" t="str">
        <f>IF(LEN('Ch5'!H29)=0,"",'Ch5'!H29)</f>
        <v/>
      </c>
      <c r="C27" s="311" t="str">
        <f t="shared" si="0"/>
        <v/>
      </c>
      <c r="D27" s="925"/>
      <c r="E27" s="926"/>
      <c r="F27" s="926"/>
      <c r="G27" s="1305"/>
      <c r="J27" s="1439"/>
    </row>
    <row r="28" spans="1:10" x14ac:dyDescent="0.3">
      <c r="A28" s="727" t="str">
        <f>A27</f>
        <v/>
      </c>
      <c r="B28" s="311" t="str">
        <f>IF(LEN('Ch5'!H30)=0,"",'Ch5'!H30)</f>
        <v/>
      </c>
      <c r="C28" s="311" t="str">
        <f t="shared" si="0"/>
        <v/>
      </c>
      <c r="D28" s="925"/>
      <c r="E28" s="926"/>
      <c r="F28" s="926"/>
      <c r="G28" s="1305"/>
      <c r="J28" s="1439"/>
    </row>
    <row r="29" spans="1:10" x14ac:dyDescent="0.3">
      <c r="B29" s="311" t="str">
        <f>IF(LEN('Ch5'!H31)=0,"",'Ch5'!H31)</f>
        <v/>
      </c>
      <c r="C29" s="311" t="str">
        <f t="shared" si="0"/>
        <v/>
      </c>
      <c r="D29" s="925"/>
      <c r="E29" s="926"/>
      <c r="F29" s="926"/>
      <c r="G29" s="98" t="s">
        <v>287</v>
      </c>
      <c r="J29" s="989"/>
    </row>
    <row r="30" spans="1:10" x14ac:dyDescent="0.3">
      <c r="B30" s="311" t="str">
        <f>IF(LEN('Ch5'!H32)=0,"",'Ch5'!H32)</f>
        <v/>
      </c>
      <c r="C30" s="311" t="str">
        <f t="shared" si="0"/>
        <v/>
      </c>
      <c r="D30" s="925"/>
      <c r="E30" s="926"/>
      <c r="F30" s="926"/>
      <c r="G30" s="98" t="s">
        <v>288</v>
      </c>
      <c r="J30" s="989"/>
    </row>
    <row r="31" spans="1:10" x14ac:dyDescent="0.3">
      <c r="B31" s="311" t="str">
        <f>IF(LEN('Ch5'!H33)=0,"",'Ch5'!H33)</f>
        <v/>
      </c>
      <c r="C31" s="311" t="str">
        <f t="shared" si="0"/>
        <v/>
      </c>
      <c r="D31" s="925"/>
      <c r="E31" s="926"/>
      <c r="F31" s="926"/>
      <c r="G31" s="98" t="s">
        <v>289</v>
      </c>
      <c r="J31" s="989"/>
    </row>
    <row r="32" spans="1:10" x14ac:dyDescent="0.3">
      <c r="B32" s="311" t="str">
        <f>IF(LEN('Ch5'!H34)=0,"",'Ch5'!H34)</f>
        <v/>
      </c>
      <c r="C32" s="311" t="str">
        <f t="shared" si="0"/>
        <v/>
      </c>
      <c r="D32" s="925"/>
      <c r="E32" s="926"/>
      <c r="F32" s="926"/>
      <c r="G32" s="98" t="s">
        <v>290</v>
      </c>
      <c r="J32" s="989"/>
    </row>
    <row r="33" spans="1:10" x14ac:dyDescent="0.3">
      <c r="B33" s="311" t="str">
        <f>IF(LEN('Ch5'!H35)=0,"",'Ch5'!H35)</f>
        <v/>
      </c>
      <c r="C33" s="311" t="str">
        <f t="shared" si="0"/>
        <v/>
      </c>
      <c r="D33" s="925"/>
      <c r="E33" s="946"/>
      <c r="F33" s="946"/>
      <c r="G33" s="688" t="s">
        <v>304</v>
      </c>
      <c r="J33" s="989"/>
    </row>
    <row r="34" spans="1:10" ht="15" customHeight="1" x14ac:dyDescent="0.3">
      <c r="A34" s="727" t="str">
        <f>IF(AND(LEN('Ch5'!W36)&gt;0,NOT('Ch5'!W36=FALSE)),"P","")</f>
        <v/>
      </c>
      <c r="B34" s="311" t="str">
        <f>IF(LEN('Ch5'!H36)=0,"",'Ch5'!H36)</f>
        <v/>
      </c>
      <c r="C34" s="311" t="str">
        <f t="shared" si="0"/>
        <v/>
      </c>
      <c r="D34" s="925"/>
      <c r="E34" s="926" t="s">
        <v>291</v>
      </c>
      <c r="F34" s="926"/>
      <c r="G34" s="1305" t="s">
        <v>292</v>
      </c>
      <c r="H34" s="89">
        <f>'Ch5'!W36</f>
        <v>0</v>
      </c>
      <c r="I34" s="89">
        <f>'Ch5'!O36</f>
        <v>0</v>
      </c>
      <c r="J34" s="1439" t="s">
        <v>4183</v>
      </c>
    </row>
    <row r="35" spans="1:10" x14ac:dyDescent="0.3">
      <c r="A35" s="727" t="str">
        <f>A34</f>
        <v/>
      </c>
      <c r="B35" s="311" t="str">
        <f>IF(LEN('Ch5'!H37)=0,"",'Ch5'!H37)</f>
        <v/>
      </c>
      <c r="C35" s="311" t="str">
        <f t="shared" si="0"/>
        <v/>
      </c>
      <c r="D35" s="925"/>
      <c r="E35" s="926"/>
      <c r="F35" s="926"/>
      <c r="G35" s="1305"/>
      <c r="J35" s="1439"/>
    </row>
    <row r="36" spans="1:10" x14ac:dyDescent="0.3">
      <c r="A36" s="727" t="str">
        <f>A35</f>
        <v/>
      </c>
      <c r="B36" s="311" t="str">
        <f>IF(LEN('Ch5'!H38)=0,"",'Ch5'!H38)</f>
        <v/>
      </c>
      <c r="C36" s="311" t="str">
        <f t="shared" si="0"/>
        <v/>
      </c>
      <c r="D36" s="925"/>
      <c r="E36" s="946"/>
      <c r="F36" s="946"/>
      <c r="G36" s="1306"/>
      <c r="J36" s="1439"/>
    </row>
    <row r="37" spans="1:10" ht="15" customHeight="1" x14ac:dyDescent="0.3">
      <c r="A37" s="727" t="str">
        <f>IF(AND(LEN('Ch5'!W39)&gt;0,NOT('Ch5'!W39=FALSE)),"P","")</f>
        <v/>
      </c>
      <c r="B37" s="311" t="str">
        <f>IF(LEN('Ch5'!H39)=0,"",'Ch5'!H39)</f>
        <v/>
      </c>
      <c r="C37" s="311" t="str">
        <f t="shared" si="0"/>
        <v/>
      </c>
      <c r="D37" s="925"/>
      <c r="E37" s="925" t="s">
        <v>293</v>
      </c>
      <c r="F37" s="925"/>
      <c r="G37" s="1329" t="s">
        <v>294</v>
      </c>
      <c r="H37" s="89">
        <f>'Ch5'!W39</f>
        <v>0</v>
      </c>
      <c r="I37" s="89">
        <f ca="1">'Ch5'!O39</f>
        <v>0</v>
      </c>
      <c r="J37" s="1439" t="s">
        <v>4184</v>
      </c>
    </row>
    <row r="38" spans="1:10" x14ac:dyDescent="0.3">
      <c r="A38" s="727" t="str">
        <f>A37</f>
        <v/>
      </c>
      <c r="B38" s="311" t="str">
        <f>IF(LEN('Ch5'!H40)=0,"",'Ch5'!H40)</f>
        <v/>
      </c>
      <c r="C38" s="311" t="str">
        <f t="shared" si="0"/>
        <v/>
      </c>
      <c r="D38" s="925"/>
      <c r="E38" s="925"/>
      <c r="F38" s="925"/>
      <c r="G38" s="1329"/>
      <c r="J38" s="1439"/>
    </row>
    <row r="39" spans="1:10" x14ac:dyDescent="0.3">
      <c r="B39" s="311" t="str">
        <f>IF(LEN('Ch5'!H41)=0,"",'Ch5'!H41)</f>
        <v/>
      </c>
      <c r="C39" s="311" t="str">
        <f t="shared" si="0"/>
        <v/>
      </c>
      <c r="D39" s="925"/>
      <c r="E39" s="925"/>
      <c r="F39" s="925" t="s">
        <v>121</v>
      </c>
      <c r="G39" s="86" t="s">
        <v>295</v>
      </c>
      <c r="J39" s="989"/>
    </row>
    <row r="40" spans="1:10" x14ac:dyDescent="0.3">
      <c r="B40" s="311" t="str">
        <f>IF(LEN('Ch5'!H42)=0,"",'Ch5'!H42)</f>
        <v/>
      </c>
      <c r="C40" s="311" t="str">
        <f t="shared" si="0"/>
        <v/>
      </c>
      <c r="D40" s="925"/>
      <c r="E40" s="925"/>
      <c r="F40" s="925" t="s">
        <v>122</v>
      </c>
      <c r="G40" s="86" t="s">
        <v>296</v>
      </c>
      <c r="J40" s="989"/>
    </row>
    <row r="41" spans="1:10" x14ac:dyDescent="0.3">
      <c r="B41" s="311" t="str">
        <f>IF(LEN('Ch5'!H43)=0,"",'Ch5'!H43)</f>
        <v/>
      </c>
      <c r="C41" s="311" t="str">
        <f t="shared" si="0"/>
        <v/>
      </c>
      <c r="D41" s="925"/>
      <c r="E41" s="925"/>
      <c r="F41" s="947" t="s">
        <v>123</v>
      </c>
      <c r="G41" s="86" t="s">
        <v>297</v>
      </c>
      <c r="J41" s="989"/>
    </row>
    <row r="42" spans="1:10" ht="18" x14ac:dyDescent="0.3">
      <c r="A42" s="727" t="s">
        <v>4389</v>
      </c>
      <c r="B42" s="311" t="str">
        <f>IF(LEN('Ch5'!H44)=0,"",'Ch5'!H44)</f>
        <v/>
      </c>
      <c r="C42" s="311" t="str">
        <f t="shared" si="0"/>
        <v>P</v>
      </c>
      <c r="D42" s="72" t="s">
        <v>389</v>
      </c>
      <c r="E42" s="72"/>
      <c r="F42" s="72"/>
      <c r="G42" s="72"/>
      <c r="H42" s="72"/>
      <c r="I42" s="72"/>
      <c r="J42" s="999"/>
    </row>
    <row r="43" spans="1:10" ht="15" customHeight="1" x14ac:dyDescent="0.3">
      <c r="A43" s="727" t="str">
        <f>IF(AND(LEN('Ch5'!W45)&gt;0,NOT('Ch5'!W45=FALSE)),"P","")</f>
        <v>P</v>
      </c>
      <c r="B43" s="311" t="str">
        <f>IF(LEN('Ch5'!H45)=0,"",'Ch5'!H45)</f>
        <v/>
      </c>
      <c r="C43" s="311" t="str">
        <f t="shared" si="0"/>
        <v>P</v>
      </c>
      <c r="D43" s="152">
        <v>502.1</v>
      </c>
      <c r="E43" s="938"/>
      <c r="F43" s="938"/>
      <c r="G43" s="1292" t="s">
        <v>391</v>
      </c>
      <c r="H43" s="89" t="b">
        <f>'Ch5'!W45</f>
        <v>1</v>
      </c>
      <c r="I43" s="89">
        <f>'Ch5'!O45</f>
        <v>4</v>
      </c>
      <c r="J43" s="1444" t="s">
        <v>4242</v>
      </c>
    </row>
    <row r="44" spans="1:10" x14ac:dyDescent="0.3">
      <c r="A44" s="727" t="str">
        <f>A43</f>
        <v>P</v>
      </c>
      <c r="B44" s="311" t="str">
        <f>IF(LEN('Ch5'!H46)=0,"",'Ch5'!H46)</f>
        <v/>
      </c>
      <c r="C44" s="311" t="str">
        <f t="shared" si="0"/>
        <v>P</v>
      </c>
      <c r="D44" s="938"/>
      <c r="E44" s="938"/>
      <c r="F44" s="938"/>
      <c r="G44" s="1292"/>
      <c r="J44" s="1444"/>
    </row>
    <row r="45" spans="1:10" x14ac:dyDescent="0.3">
      <c r="A45" s="727" t="str">
        <f>A44</f>
        <v>P</v>
      </c>
      <c r="B45" s="311" t="str">
        <f>IF(LEN('Ch5'!H47)=0,"",'Ch5'!H47)</f>
        <v/>
      </c>
      <c r="C45" s="311" t="str">
        <f t="shared" si="0"/>
        <v>P</v>
      </c>
      <c r="D45" s="938"/>
      <c r="E45" s="938"/>
      <c r="F45" s="938"/>
      <c r="G45" s="1292"/>
      <c r="J45" s="1444"/>
    </row>
    <row r="46" spans="1:10" ht="15" customHeight="1" x14ac:dyDescent="0.3">
      <c r="A46" s="727" t="str">
        <f>A45</f>
        <v>P</v>
      </c>
      <c r="B46" s="311" t="str">
        <f>IF(LEN('Ch5'!H48)=0,"",'Ch5'!H48)</f>
        <v/>
      </c>
      <c r="C46" s="311" t="str">
        <f t="shared" si="0"/>
        <v>P</v>
      </c>
      <c r="D46" s="938"/>
      <c r="E46" s="938"/>
      <c r="F46" s="938"/>
      <c r="G46" s="1292"/>
      <c r="J46" s="1444"/>
    </row>
    <row r="47" spans="1:10" ht="18" x14ac:dyDescent="0.3">
      <c r="A47" s="727" t="s">
        <v>4389</v>
      </c>
      <c r="B47" s="311" t="str">
        <f>IF(LEN('Ch5'!H49)=0,"",'Ch5'!H49)</f>
        <v/>
      </c>
      <c r="C47" s="311" t="str">
        <f t="shared" si="0"/>
        <v>P</v>
      </c>
      <c r="D47" s="72" t="s">
        <v>393</v>
      </c>
      <c r="E47" s="82"/>
      <c r="F47" s="82"/>
      <c r="G47" s="87"/>
      <c r="H47" s="87"/>
      <c r="I47" s="87"/>
      <c r="J47" s="1000"/>
    </row>
    <row r="48" spans="1:10" ht="15" customHeight="1" x14ac:dyDescent="0.3">
      <c r="B48" s="311" t="str">
        <f>IF(LEN('Ch5'!H50)=0,"",'Ch5'!H50)</f>
        <v/>
      </c>
      <c r="C48" s="311" t="str">
        <f t="shared" si="0"/>
        <v/>
      </c>
      <c r="D48" s="926" t="s">
        <v>394</v>
      </c>
      <c r="E48" s="939"/>
      <c r="F48" s="939"/>
      <c r="G48" s="1313" t="s">
        <v>395</v>
      </c>
      <c r="J48" s="989"/>
    </row>
    <row r="49" spans="1:10" x14ac:dyDescent="0.3">
      <c r="B49" s="311" t="str">
        <f>IF(LEN('Ch5'!H51)=0,"",'Ch5'!H51)</f>
        <v/>
      </c>
      <c r="C49" s="311" t="str">
        <f t="shared" si="0"/>
        <v/>
      </c>
      <c r="D49" s="939"/>
      <c r="E49" s="939"/>
      <c r="F49" s="939"/>
      <c r="G49" s="1313"/>
      <c r="J49" s="989"/>
    </row>
    <row r="50" spans="1:10" x14ac:dyDescent="0.3">
      <c r="B50" s="311" t="str">
        <f>IF(LEN('Ch5'!H52)=0,"",'Ch5'!H52)</f>
        <v/>
      </c>
      <c r="C50" s="311" t="str">
        <f t="shared" si="0"/>
        <v/>
      </c>
      <c r="D50" s="939"/>
      <c r="E50" s="939"/>
      <c r="F50" s="939"/>
      <c r="G50" s="1313"/>
      <c r="J50" s="989"/>
    </row>
    <row r="51" spans="1:10" x14ac:dyDescent="0.3">
      <c r="B51" s="311" t="str">
        <f>IF(LEN('Ch5'!H53)=0,"",'Ch5'!H53)</f>
        <v/>
      </c>
      <c r="C51" s="311" t="str">
        <f t="shared" si="0"/>
        <v/>
      </c>
      <c r="D51" s="939"/>
      <c r="E51" s="939"/>
      <c r="F51" s="939"/>
      <c r="G51" s="1313"/>
      <c r="J51" s="989"/>
    </row>
    <row r="52" spans="1:10" ht="15" thickBot="1" x14ac:dyDescent="0.35">
      <c r="B52" s="311" t="str">
        <f>IF(LEN('Ch5'!H54)=0,"",'Ch5'!H54)</f>
        <v/>
      </c>
      <c r="C52" s="311" t="str">
        <f t="shared" si="0"/>
        <v/>
      </c>
      <c r="D52" s="940"/>
      <c r="E52" s="940"/>
      <c r="F52" s="940"/>
      <c r="G52" s="109" t="s">
        <v>396</v>
      </c>
      <c r="J52" s="989"/>
    </row>
    <row r="53" spans="1:10" ht="15" customHeight="1" thickTop="1" x14ac:dyDescent="0.3">
      <c r="A53" s="1196" t="str">
        <f>IF(COUNTIF(A54:A63,"P")&gt;0,"P","")</f>
        <v>P</v>
      </c>
      <c r="B53" s="311" t="str">
        <f>IF(LEN('Ch5'!H55)=0,"",'Ch5'!H55)</f>
        <v/>
      </c>
      <c r="C53" s="311" t="str">
        <f t="shared" si="0"/>
        <v>P</v>
      </c>
      <c r="D53" s="152">
        <v>503.1</v>
      </c>
      <c r="E53" s="920"/>
      <c r="F53" s="920"/>
      <c r="G53" s="709" t="s">
        <v>398</v>
      </c>
      <c r="J53" s="989" t="s">
        <v>4185</v>
      </c>
    </row>
    <row r="54" spans="1:10" x14ac:dyDescent="0.3">
      <c r="A54" s="727" t="str">
        <f>IF(AND(LEN('Ch5'!W56)&gt;0,NOT('Ch5'!W56=FALSE)),"P","")</f>
        <v/>
      </c>
      <c r="B54" s="311" t="str">
        <f>IF(LEN('Ch5'!H56)=0,"",'Ch5'!H56)</f>
        <v/>
      </c>
      <c r="C54" s="311" t="str">
        <f t="shared" si="0"/>
        <v/>
      </c>
      <c r="D54" s="939"/>
      <c r="E54" s="946" t="s">
        <v>271</v>
      </c>
      <c r="F54" s="948"/>
      <c r="G54" s="193" t="s">
        <v>399</v>
      </c>
      <c r="H54" s="89">
        <f>'Ch5'!W56</f>
        <v>0</v>
      </c>
      <c r="I54" s="89">
        <f>'Ch5'!O56</f>
        <v>0</v>
      </c>
      <c r="J54" s="998" t="s">
        <v>4243</v>
      </c>
    </row>
    <row r="55" spans="1:10" ht="15" customHeight="1" x14ac:dyDescent="0.3">
      <c r="A55" s="727" t="str">
        <f>IF(AND(LEN('Ch5'!W57)&gt;0,NOT('Ch5'!W57=FALSE)),"P","")</f>
        <v/>
      </c>
      <c r="B55" s="311" t="str">
        <f>IF(LEN('Ch5'!H57)=0,"",'Ch5'!H57)</f>
        <v/>
      </c>
      <c r="C55" s="311" t="str">
        <f t="shared" si="0"/>
        <v/>
      </c>
      <c r="D55" s="939"/>
      <c r="E55" s="926" t="s">
        <v>273</v>
      </c>
      <c r="F55" s="939"/>
      <c r="G55" s="1305" t="s">
        <v>400</v>
      </c>
      <c r="H55" s="89">
        <f>'Ch5'!W57</f>
        <v>0</v>
      </c>
      <c r="I55" s="89">
        <f>'Ch5'!O57</f>
        <v>0</v>
      </c>
      <c r="J55" s="1444" t="s">
        <v>4244</v>
      </c>
    </row>
    <row r="56" spans="1:10" x14ac:dyDescent="0.3">
      <c r="A56" s="727" t="str">
        <f>A55</f>
        <v/>
      </c>
      <c r="B56" s="311" t="str">
        <f>IF(LEN('Ch5'!H58)=0,"",'Ch5'!H58)</f>
        <v/>
      </c>
      <c r="C56" s="311" t="str">
        <f t="shared" si="0"/>
        <v/>
      </c>
      <c r="D56" s="939"/>
      <c r="E56" s="946"/>
      <c r="F56" s="948"/>
      <c r="G56" s="1306"/>
      <c r="J56" s="1444"/>
    </row>
    <row r="57" spans="1:10" ht="15" customHeight="1" x14ac:dyDescent="0.3">
      <c r="A57" s="727" t="str">
        <f>IF(AND(LEN('Ch5'!W59)&gt;0,NOT('Ch5'!W59=FALSE)),"P","")</f>
        <v/>
      </c>
      <c r="B57" s="311" t="str">
        <f>IF(LEN('Ch5'!H59)=0,"",'Ch5'!H59)</f>
        <v/>
      </c>
      <c r="C57" s="311" t="str">
        <f t="shared" si="0"/>
        <v/>
      </c>
      <c r="D57" s="939"/>
      <c r="E57" s="926" t="s">
        <v>275</v>
      </c>
      <c r="F57" s="939"/>
      <c r="G57" s="1305" t="s">
        <v>401</v>
      </c>
      <c r="H57" s="89">
        <f>'Ch5'!W59</f>
        <v>0</v>
      </c>
      <c r="I57" s="89">
        <f>'Ch5'!O59</f>
        <v>0</v>
      </c>
      <c r="J57" s="1443" t="s">
        <v>4186</v>
      </c>
    </row>
    <row r="58" spans="1:10" x14ac:dyDescent="0.3">
      <c r="A58" s="727" t="str">
        <f>A57</f>
        <v/>
      </c>
      <c r="B58" s="311" t="str">
        <f>IF(LEN('Ch5'!H60)=0,"",'Ch5'!H60)</f>
        <v/>
      </c>
      <c r="C58" s="311" t="str">
        <f t="shared" si="0"/>
        <v/>
      </c>
      <c r="D58" s="939"/>
      <c r="E58" s="946"/>
      <c r="F58" s="948"/>
      <c r="G58" s="1306"/>
      <c r="J58" s="1443"/>
    </row>
    <row r="59" spans="1:10" x14ac:dyDescent="0.3">
      <c r="A59" s="727" t="str">
        <f>IF(AND(LEN('Ch5'!W61)&gt;0,NOT('Ch5'!W61=FALSE)),"P","")</f>
        <v>P</v>
      </c>
      <c r="B59" s="311" t="str">
        <f>IF(LEN('Ch5'!H61)=0,"",'Ch5'!H61)</f>
        <v/>
      </c>
      <c r="C59" s="311" t="str">
        <f t="shared" si="0"/>
        <v>P</v>
      </c>
      <c r="D59" s="939"/>
      <c r="E59" s="946" t="s">
        <v>285</v>
      </c>
      <c r="F59" s="948"/>
      <c r="G59" s="193" t="s">
        <v>402</v>
      </c>
      <c r="H59" s="89" t="b">
        <f>'Ch5'!W61</f>
        <v>1</v>
      </c>
      <c r="I59" s="89">
        <f>'Ch5'!O61</f>
        <v>4</v>
      </c>
      <c r="J59" s="989" t="s">
        <v>4187</v>
      </c>
    </row>
    <row r="60" spans="1:10" x14ac:dyDescent="0.3">
      <c r="A60" s="727" t="str">
        <f>IF(AND(LEN('Ch5'!W62)&gt;0,NOT('Ch5'!W62=FALSE)),"P","")</f>
        <v/>
      </c>
      <c r="B60" s="311" t="str">
        <f>IF(LEN('Ch5'!H62)=0,"",'Ch5'!H62)</f>
        <v/>
      </c>
      <c r="C60" s="311" t="str">
        <f t="shared" si="0"/>
        <v/>
      </c>
      <c r="D60" s="939"/>
      <c r="E60" s="946" t="s">
        <v>291</v>
      </c>
      <c r="F60" s="948"/>
      <c r="G60" s="193" t="s">
        <v>403</v>
      </c>
      <c r="H60" s="89">
        <f>'Ch5'!W62</f>
        <v>0</v>
      </c>
      <c r="I60" s="89">
        <f>'Ch5'!O62</f>
        <v>0</v>
      </c>
      <c r="J60" s="989" t="s">
        <v>4188</v>
      </c>
    </row>
    <row r="61" spans="1:10" ht="15" customHeight="1" x14ac:dyDescent="0.3">
      <c r="A61" s="727" t="str">
        <f>IF(AND(LEN('Ch5'!W63)&gt;0,NOT('Ch5'!W63=FALSE)),"P","")</f>
        <v/>
      </c>
      <c r="B61" s="311" t="str">
        <f>IF(LEN('Ch5'!H63)=0,"",'Ch5'!H63)</f>
        <v/>
      </c>
      <c r="C61" s="311" t="str">
        <f t="shared" si="0"/>
        <v/>
      </c>
      <c r="D61" s="939"/>
      <c r="E61" s="926" t="s">
        <v>293</v>
      </c>
      <c r="F61" s="939"/>
      <c r="G61" s="1305" t="s">
        <v>404</v>
      </c>
      <c r="H61" s="89">
        <f>'Ch5'!W63</f>
        <v>0</v>
      </c>
      <c r="I61" s="89">
        <f>'Ch5'!O63</f>
        <v>0</v>
      </c>
      <c r="J61" s="1443" t="s">
        <v>4189</v>
      </c>
    </row>
    <row r="62" spans="1:10" x14ac:dyDescent="0.3">
      <c r="A62" s="727" t="str">
        <f>A61</f>
        <v/>
      </c>
      <c r="B62" s="311" t="str">
        <f>IF(LEN('Ch5'!H64)=0,"",'Ch5'!H64)</f>
        <v/>
      </c>
      <c r="C62" s="311" t="str">
        <f t="shared" si="0"/>
        <v/>
      </c>
      <c r="D62" s="939"/>
      <c r="E62" s="946"/>
      <c r="F62" s="948"/>
      <c r="G62" s="1306"/>
      <c r="J62" s="1443"/>
    </row>
    <row r="63" spans="1:10" ht="15" customHeight="1" x14ac:dyDescent="0.3">
      <c r="A63" s="727" t="str">
        <f>IF(AND(LEN('Ch5'!W65)&gt;0,NOT('Ch5'!W65=FALSE)),"P","")</f>
        <v/>
      </c>
      <c r="B63" s="311" t="str">
        <f>IF(LEN('Ch5'!H65)=0,"",'Ch5'!H65)</f>
        <v/>
      </c>
      <c r="C63" s="311" t="str">
        <f t="shared" si="0"/>
        <v/>
      </c>
      <c r="D63" s="939"/>
      <c r="E63" s="926" t="s">
        <v>405</v>
      </c>
      <c r="F63" s="939"/>
      <c r="G63" s="1305" t="s">
        <v>406</v>
      </c>
      <c r="H63" s="89">
        <f>'Ch5'!W65</f>
        <v>0</v>
      </c>
      <c r="I63" s="89">
        <f>'Ch5'!O65</f>
        <v>0</v>
      </c>
      <c r="J63" s="1439" t="s">
        <v>4190</v>
      </c>
    </row>
    <row r="64" spans="1:10" ht="15" thickBot="1" x14ac:dyDescent="0.35">
      <c r="A64" s="727" t="str">
        <f>A63</f>
        <v/>
      </c>
      <c r="B64" s="311" t="str">
        <f>IF(LEN('Ch5'!H66)=0,"",'Ch5'!H66)</f>
        <v/>
      </c>
      <c r="C64" s="311" t="str">
        <f t="shared" si="0"/>
        <v/>
      </c>
      <c r="D64" s="940"/>
      <c r="E64" s="940"/>
      <c r="F64" s="940"/>
      <c r="G64" s="1330"/>
      <c r="J64" s="1439"/>
    </row>
    <row r="65" spans="1:10" ht="15" thickTop="1" x14ac:dyDescent="0.3">
      <c r="A65" s="1196" t="str">
        <f>IF(COUNTIF(A67:A77,"P")&gt;0,"P","")</f>
        <v/>
      </c>
      <c r="B65" s="311" t="str">
        <f>IF(LEN('Ch5'!H67)=0,"",'Ch5'!H67)</f>
        <v/>
      </c>
      <c r="C65" s="311" t="str">
        <f t="shared" si="0"/>
        <v/>
      </c>
      <c r="D65" s="111">
        <v>503.2</v>
      </c>
      <c r="E65" s="949"/>
      <c r="F65" s="949"/>
      <c r="G65" s="135" t="s">
        <v>408</v>
      </c>
      <c r="J65" s="989"/>
    </row>
    <row r="66" spans="1:10" x14ac:dyDescent="0.3">
      <c r="B66" s="311" t="str">
        <f>IF(LEN('Ch5'!H68)=0,"",'Ch5'!H68)</f>
        <v/>
      </c>
      <c r="C66" s="311" t="str">
        <f t="shared" si="0"/>
        <v/>
      </c>
      <c r="D66" s="106"/>
      <c r="E66" s="939"/>
      <c r="F66" s="939"/>
      <c r="G66" s="669" t="s">
        <v>3598</v>
      </c>
      <c r="H66" s="89">
        <f>'Ch5'!W68</f>
        <v>0</v>
      </c>
      <c r="J66" s="989"/>
    </row>
    <row r="67" spans="1:10" x14ac:dyDescent="0.3">
      <c r="A67" s="727" t="str">
        <f>IF(AND(LEN('Ch5'!W69)&gt;0,NOT('Ch5'!W69=FALSE)),"P","")</f>
        <v/>
      </c>
      <c r="B67" s="311" t="str">
        <f>IF(LEN('Ch5'!H69)=0,"",'Ch5'!H69)</f>
        <v/>
      </c>
      <c r="C67" s="311" t="str">
        <f t="shared" si="0"/>
        <v/>
      </c>
      <c r="D67" s="939"/>
      <c r="E67" s="946" t="s">
        <v>271</v>
      </c>
      <c r="F67" s="948"/>
      <c r="G67" s="193" t="s">
        <v>409</v>
      </c>
      <c r="H67" s="89">
        <f>'Ch5'!W69</f>
        <v>0</v>
      </c>
      <c r="I67" s="89">
        <f>'Ch5'!O69</f>
        <v>0</v>
      </c>
      <c r="J67" s="989" t="s">
        <v>216</v>
      </c>
    </row>
    <row r="68" spans="1:10" ht="15" customHeight="1" x14ac:dyDescent="0.3">
      <c r="A68" s="727" t="str">
        <f>IF(AND(LEN('Ch5'!W70)&gt;0,NOT('Ch5'!W70=FALSE)),"P","")</f>
        <v/>
      </c>
      <c r="B68" s="311" t="str">
        <f>IF(LEN('Ch5'!H70)=0,"",'Ch5'!H70)</f>
        <v/>
      </c>
      <c r="C68" s="311" t="str">
        <f t="shared" si="0"/>
        <v/>
      </c>
      <c r="D68" s="939"/>
      <c r="E68" s="926" t="s">
        <v>273</v>
      </c>
      <c r="F68" s="939"/>
      <c r="G68" s="1305" t="s">
        <v>410</v>
      </c>
      <c r="H68" s="89">
        <f>'Ch5'!W70</f>
        <v>0</v>
      </c>
      <c r="I68" s="89">
        <f>'Ch5'!O70</f>
        <v>0</v>
      </c>
      <c r="J68" s="1444" t="s">
        <v>4245</v>
      </c>
    </row>
    <row r="69" spans="1:10" x14ac:dyDescent="0.3">
      <c r="A69" s="727" t="str">
        <f>A68</f>
        <v/>
      </c>
      <c r="B69" s="311" t="str">
        <f>IF(LEN('Ch5'!H71)=0,"",'Ch5'!H71)</f>
        <v/>
      </c>
      <c r="C69" s="311" t="str">
        <f t="shared" si="0"/>
        <v/>
      </c>
      <c r="D69" s="939"/>
      <c r="E69" s="948"/>
      <c r="F69" s="948"/>
      <c r="G69" s="1306"/>
      <c r="J69" s="1444"/>
    </row>
    <row r="70" spans="1:10" ht="15" customHeight="1" x14ac:dyDescent="0.3">
      <c r="A70" s="727" t="str">
        <f>IF(AND(LEN('Ch5'!W72)&gt;0,NOT('Ch5'!W72=FALSE)),"P","")</f>
        <v/>
      </c>
      <c r="B70" s="311" t="str">
        <f>IF(LEN('Ch5'!H72)=0,"",'Ch5'!H72)</f>
        <v/>
      </c>
      <c r="C70" s="311" t="str">
        <f t="shared" si="0"/>
        <v/>
      </c>
      <c r="D70" s="939"/>
      <c r="E70" s="926" t="s">
        <v>275</v>
      </c>
      <c r="F70" s="939"/>
      <c r="G70" s="1305" t="s">
        <v>411</v>
      </c>
      <c r="H70" s="89">
        <f>'Ch5'!W72</f>
        <v>0</v>
      </c>
      <c r="I70" s="89">
        <f ca="1">'Ch5'!O72</f>
        <v>0</v>
      </c>
      <c r="J70" s="1439" t="s">
        <v>4191</v>
      </c>
    </row>
    <row r="71" spans="1:10" x14ac:dyDescent="0.3">
      <c r="A71" s="727" t="str">
        <f>A70</f>
        <v/>
      </c>
      <c r="B71" s="311" t="str">
        <f>IF(LEN('Ch5'!H73)=0,"",'Ch5'!H73)</f>
        <v/>
      </c>
      <c r="C71" s="311" t="str">
        <f t="shared" si="0"/>
        <v/>
      </c>
      <c r="D71" s="939"/>
      <c r="E71" s="939"/>
      <c r="F71" s="939"/>
      <c r="G71" s="1305"/>
      <c r="J71" s="1439"/>
    </row>
    <row r="72" spans="1:10" x14ac:dyDescent="0.3">
      <c r="B72" s="311" t="str">
        <f>IF(LEN('Ch5'!H74)=0,"",'Ch5'!H74)</f>
        <v/>
      </c>
      <c r="C72" s="311" t="str">
        <f t="shared" ref="C72:C135" si="1">IF(LEN(B72)=0,IF(A72="P","P",""),B72)</f>
        <v/>
      </c>
      <c r="D72" s="939"/>
      <c r="E72" s="939"/>
      <c r="F72" s="926" t="s">
        <v>121</v>
      </c>
      <c r="G72" s="98" t="s">
        <v>839</v>
      </c>
      <c r="J72" s="989"/>
    </row>
    <row r="73" spans="1:10" x14ac:dyDescent="0.3">
      <c r="B73" s="311" t="str">
        <f>IF(LEN('Ch5'!H75)=0,"",'Ch5'!H75)</f>
        <v/>
      </c>
      <c r="C73" s="311" t="str">
        <f t="shared" si="1"/>
        <v/>
      </c>
      <c r="D73" s="939"/>
      <c r="E73" s="939"/>
      <c r="F73" s="926" t="s">
        <v>122</v>
      </c>
      <c r="G73" s="98" t="s">
        <v>412</v>
      </c>
      <c r="J73" s="989"/>
    </row>
    <row r="74" spans="1:10" x14ac:dyDescent="0.3">
      <c r="B74" s="311" t="str">
        <f>IF(LEN('Ch5'!H76)=0,"",'Ch5'!H76)</f>
        <v/>
      </c>
      <c r="C74" s="311" t="str">
        <f t="shared" si="1"/>
        <v/>
      </c>
      <c r="D74" s="939"/>
      <c r="E74" s="948"/>
      <c r="F74" s="950" t="s">
        <v>123</v>
      </c>
      <c r="G74" s="193" t="s">
        <v>413</v>
      </c>
      <c r="J74" s="989"/>
    </row>
    <row r="75" spans="1:10" ht="15" customHeight="1" x14ac:dyDescent="0.3">
      <c r="A75" s="727" t="str">
        <f>IF(AND(LEN('Ch5'!W77)&gt;0,NOT('Ch5'!W77=FALSE)),"P","")</f>
        <v/>
      </c>
      <c r="B75" s="311" t="str">
        <f>IF(LEN('Ch5'!H77)=0,"",'Ch5'!H77)</f>
        <v/>
      </c>
      <c r="C75" s="311" t="str">
        <f t="shared" si="1"/>
        <v/>
      </c>
      <c r="D75" s="939"/>
      <c r="E75" s="926" t="s">
        <v>285</v>
      </c>
      <c r="F75" s="939"/>
      <c r="G75" s="1305" t="s">
        <v>414</v>
      </c>
      <c r="H75" s="89">
        <f>'Ch5'!W77</f>
        <v>0</v>
      </c>
      <c r="I75" s="89">
        <f>'Ch5'!O77</f>
        <v>0</v>
      </c>
      <c r="J75" s="1439" t="s">
        <v>4192</v>
      </c>
    </row>
    <row r="76" spans="1:10" x14ac:dyDescent="0.3">
      <c r="A76" s="727" t="str">
        <f>A75</f>
        <v/>
      </c>
      <c r="B76" s="311" t="str">
        <f>IF(LEN('Ch5'!H78)=0,"",'Ch5'!H78)</f>
        <v/>
      </c>
      <c r="C76" s="311" t="str">
        <f t="shared" si="1"/>
        <v/>
      </c>
      <c r="D76" s="939"/>
      <c r="E76" s="948"/>
      <c r="F76" s="948"/>
      <c r="G76" s="1306"/>
      <c r="J76" s="1439"/>
    </row>
    <row r="77" spans="1:10" ht="55.8" thickBot="1" x14ac:dyDescent="0.35">
      <c r="A77" s="727" t="str">
        <f>IF(AND(LEN('Ch5'!W79)&gt;0,NOT('Ch5'!W79=FALSE)),"P","")</f>
        <v/>
      </c>
      <c r="B77" s="311" t="str">
        <f>IF(LEN('Ch5'!H79)=0,"",'Ch5'!H79)</f>
        <v/>
      </c>
      <c r="C77" s="311" t="str">
        <f t="shared" si="1"/>
        <v/>
      </c>
      <c r="D77" s="940"/>
      <c r="E77" s="931" t="s">
        <v>291</v>
      </c>
      <c r="F77" s="940"/>
      <c r="G77" s="100" t="s">
        <v>415</v>
      </c>
      <c r="H77" s="89">
        <f>'Ch5'!W79</f>
        <v>0</v>
      </c>
      <c r="I77" s="89">
        <f>'Ch5'!O79</f>
        <v>0</v>
      </c>
      <c r="J77" s="1001" t="s">
        <v>4193</v>
      </c>
    </row>
    <row r="78" spans="1:10" ht="15.75" customHeight="1" thickTop="1" x14ac:dyDescent="0.3">
      <c r="A78" s="1196" t="str">
        <f>IF(COUNTIF(A81:A90,"P")&gt;0,"P","")</f>
        <v/>
      </c>
      <c r="B78" s="311" t="str">
        <f>IF(LEN('Ch5'!H80)=0,"",'Ch5'!H80)</f>
        <v/>
      </c>
      <c r="C78" s="311" t="str">
        <f t="shared" si="1"/>
        <v/>
      </c>
      <c r="D78" s="111">
        <v>503.3</v>
      </c>
      <c r="E78" s="949"/>
      <c r="F78" s="949"/>
      <c r="G78" s="1331" t="s">
        <v>417</v>
      </c>
      <c r="J78" s="989"/>
    </row>
    <row r="79" spans="1:10" x14ac:dyDescent="0.3">
      <c r="A79" s="727" t="str">
        <f>A78</f>
        <v/>
      </c>
      <c r="B79" s="311" t="str">
        <f>IF(LEN('Ch5'!H81)=0,"",'Ch5'!H81)</f>
        <v/>
      </c>
      <c r="C79" s="311" t="str">
        <f t="shared" si="1"/>
        <v/>
      </c>
      <c r="D79" s="939"/>
      <c r="E79" s="939"/>
      <c r="F79" s="939"/>
      <c r="G79" s="1313"/>
      <c r="J79" s="989"/>
    </row>
    <row r="80" spans="1:10" x14ac:dyDescent="0.3">
      <c r="B80" s="311" t="str">
        <f>IF(LEN('Ch5'!H82)=0,"",'Ch5'!H82)</f>
        <v/>
      </c>
      <c r="C80" s="311" t="str">
        <f t="shared" si="1"/>
        <v/>
      </c>
      <c r="D80" s="939"/>
      <c r="E80" s="939"/>
      <c r="F80" s="939"/>
      <c r="G80" s="669" t="s">
        <v>840</v>
      </c>
      <c r="J80" s="989"/>
    </row>
    <row r="81" spans="1:10" ht="15" customHeight="1" x14ac:dyDescent="0.3">
      <c r="A81" s="727" t="str">
        <f>IF(AND(LEN('Ch5'!W83)&gt;0,NOT('Ch5'!W83=FALSE)),"P","")</f>
        <v/>
      </c>
      <c r="B81" s="311" t="str">
        <f>IF(LEN('Ch5'!H83)=0,"",'Ch5'!H83)</f>
        <v/>
      </c>
      <c r="C81" s="311" t="str">
        <f t="shared" si="1"/>
        <v/>
      </c>
      <c r="D81" s="939"/>
      <c r="E81" s="926" t="s">
        <v>271</v>
      </c>
      <c r="F81" s="939"/>
      <c r="G81" s="1305" t="s">
        <v>418</v>
      </c>
      <c r="H81" s="89">
        <f>'Ch5'!W83</f>
        <v>0</v>
      </c>
      <c r="I81" s="89">
        <f>'Ch5'!O83</f>
        <v>0</v>
      </c>
      <c r="J81" s="1443" t="s">
        <v>4194</v>
      </c>
    </row>
    <row r="82" spans="1:10" ht="27" customHeight="1" x14ac:dyDescent="0.3">
      <c r="A82" s="727" t="str">
        <f>A81</f>
        <v/>
      </c>
      <c r="B82" s="311" t="str">
        <f>IF(LEN('Ch5'!H84)=0,"",'Ch5'!H84)</f>
        <v/>
      </c>
      <c r="C82" s="311" t="str">
        <f t="shared" si="1"/>
        <v/>
      </c>
      <c r="D82" s="939"/>
      <c r="E82" s="946"/>
      <c r="F82" s="948"/>
      <c r="G82" s="1306"/>
      <c r="J82" s="1443"/>
    </row>
    <row r="83" spans="1:10" ht="15" customHeight="1" x14ac:dyDescent="0.3">
      <c r="A83" s="727" t="str">
        <f>IF('Ch5'!O85&gt;0,"P","")</f>
        <v/>
      </c>
      <c r="B83" s="311" t="str">
        <f>IF(LEN('Ch5'!H85)=0,"",'Ch5'!H85)</f>
        <v/>
      </c>
      <c r="C83" s="311" t="str">
        <f t="shared" si="1"/>
        <v/>
      </c>
      <c r="D83" s="939"/>
      <c r="E83" s="926" t="s">
        <v>273</v>
      </c>
      <c r="F83" s="939"/>
      <c r="G83" s="1305" t="s">
        <v>419</v>
      </c>
      <c r="I83" s="89">
        <f>'Ch5'!O85</f>
        <v>0</v>
      </c>
      <c r="J83" s="989"/>
    </row>
    <row r="84" spans="1:10" x14ac:dyDescent="0.3">
      <c r="A84" s="727" t="str">
        <f>A83</f>
        <v/>
      </c>
      <c r="B84" s="311" t="str">
        <f>IF(LEN('Ch5'!H86)=0,"",'Ch5'!H86)</f>
        <v/>
      </c>
      <c r="C84" s="311" t="str">
        <f t="shared" si="1"/>
        <v/>
      </c>
      <c r="D84" s="939"/>
      <c r="E84" s="939"/>
      <c r="F84" s="939"/>
      <c r="G84" s="1305"/>
      <c r="J84" s="989"/>
    </row>
    <row r="85" spans="1:10" x14ac:dyDescent="0.3">
      <c r="A85" s="727" t="str">
        <f>IF(AND(LEN('Ch5'!W87)&gt;0,NOT('Ch5'!W87=FALSE)),"P","")</f>
        <v/>
      </c>
      <c r="B85" s="311" t="str">
        <f>IF(LEN('Ch5'!H87)=0,"",'Ch5'!H87)</f>
        <v/>
      </c>
      <c r="C85" s="311" t="str">
        <f t="shared" si="1"/>
        <v/>
      </c>
      <c r="D85" s="939"/>
      <c r="E85" s="939"/>
      <c r="F85" s="926" t="s">
        <v>121</v>
      </c>
      <c r="G85" s="98" t="s">
        <v>420</v>
      </c>
      <c r="H85" s="89">
        <f>'Ch5'!W87</f>
        <v>0</v>
      </c>
      <c r="J85" s="989" t="s">
        <v>4195</v>
      </c>
    </row>
    <row r="86" spans="1:10" ht="15" customHeight="1" x14ac:dyDescent="0.3">
      <c r="A86" s="727" t="str">
        <f>IF(AND(LEN('Ch5'!W88)&gt;0,NOT('Ch5'!W88=FALSE)),"P","")</f>
        <v/>
      </c>
      <c r="B86" s="311" t="str">
        <f>IF(LEN('Ch5'!H88)=0,"",'Ch5'!H88)</f>
        <v/>
      </c>
      <c r="C86" s="311" t="str">
        <f t="shared" si="1"/>
        <v/>
      </c>
      <c r="D86" s="939"/>
      <c r="E86" s="939"/>
      <c r="F86" s="926" t="s">
        <v>122</v>
      </c>
      <c r="G86" s="1305" t="s">
        <v>421</v>
      </c>
      <c r="H86" s="89">
        <f>'Ch5'!W88</f>
        <v>0</v>
      </c>
      <c r="J86" s="1439" t="s">
        <v>4196</v>
      </c>
    </row>
    <row r="87" spans="1:10" x14ac:dyDescent="0.3">
      <c r="A87" s="727" t="str">
        <f>A86</f>
        <v/>
      </c>
      <c r="B87" s="311" t="str">
        <f>IF(LEN('Ch5'!H89)=0,"",'Ch5'!H89)</f>
        <v/>
      </c>
      <c r="C87" s="311" t="str">
        <f t="shared" si="1"/>
        <v/>
      </c>
      <c r="D87" s="939"/>
      <c r="E87" s="939"/>
      <c r="F87" s="939"/>
      <c r="G87" s="1305"/>
      <c r="J87" s="1439"/>
    </row>
    <row r="88" spans="1:10" x14ac:dyDescent="0.3">
      <c r="A88" s="727" t="str">
        <f>IF(AND(LEN('Ch5'!W90)&gt;0,NOT('Ch5'!W90=FALSE)),"P","")</f>
        <v/>
      </c>
      <c r="B88" s="311" t="str">
        <f>IF(LEN('Ch5'!H90)=0,"",'Ch5'!H90)</f>
        <v/>
      </c>
      <c r="C88" s="311" t="str">
        <f t="shared" si="1"/>
        <v/>
      </c>
      <c r="D88" s="939"/>
      <c r="E88" s="939"/>
      <c r="F88" s="951" t="s">
        <v>123</v>
      </c>
      <c r="G88" s="98" t="s">
        <v>422</v>
      </c>
      <c r="H88" s="89">
        <f>'Ch5'!W90</f>
        <v>0</v>
      </c>
      <c r="J88" s="989" t="s">
        <v>4197</v>
      </c>
    </row>
    <row r="89" spans="1:10" x14ac:dyDescent="0.3">
      <c r="A89" s="727" t="str">
        <f>IF(AND(LEN('Ch5'!W91)&gt;0,NOT('Ch5'!W91=FALSE)),"P","")</f>
        <v/>
      </c>
      <c r="B89" s="311" t="str">
        <f>IF(LEN('Ch5'!H91)=0,"",'Ch5'!H91)</f>
        <v/>
      </c>
      <c r="C89" s="311" t="str">
        <f t="shared" si="1"/>
        <v/>
      </c>
      <c r="D89" s="939"/>
      <c r="E89" s="948"/>
      <c r="F89" s="950" t="s">
        <v>423</v>
      </c>
      <c r="G89" s="193" t="s">
        <v>424</v>
      </c>
      <c r="H89" s="89">
        <f>'Ch5'!W91</f>
        <v>0</v>
      </c>
      <c r="J89" s="989" t="s">
        <v>4198</v>
      </c>
    </row>
    <row r="90" spans="1:10" ht="15" thickBot="1" x14ac:dyDescent="0.35">
      <c r="A90" s="727" t="str">
        <f>IF(AND(LEN('Ch5'!W92)&gt;0,NOT('Ch5'!W92=FALSE)),"P","")</f>
        <v/>
      </c>
      <c r="B90" s="311" t="str">
        <f>IF(LEN('Ch5'!H92)=0,"",'Ch5'!H92)</f>
        <v/>
      </c>
      <c r="C90" s="311" t="str">
        <f t="shared" si="1"/>
        <v/>
      </c>
      <c r="D90" s="940"/>
      <c r="E90" s="931" t="s">
        <v>275</v>
      </c>
      <c r="F90" s="940"/>
      <c r="G90" s="100" t="s">
        <v>425</v>
      </c>
      <c r="H90" s="89">
        <f>'Ch5'!W92</f>
        <v>0</v>
      </c>
      <c r="I90" s="89">
        <f>'Ch5'!O92</f>
        <v>0</v>
      </c>
      <c r="J90" s="989" t="s">
        <v>4199</v>
      </c>
    </row>
    <row r="91" spans="1:10" ht="15.75" customHeight="1" thickTop="1" x14ac:dyDescent="0.3">
      <c r="A91" s="1196" t="str">
        <f>IF(COUNTIF(A98:A112,"P")&gt;0,"P","")</f>
        <v>P</v>
      </c>
      <c r="B91" s="311" t="str">
        <f>IF(LEN('Ch5'!H93)=0,"",'Ch5'!H93)</f>
        <v/>
      </c>
      <c r="C91" s="311" t="str">
        <f t="shared" si="1"/>
        <v>P</v>
      </c>
      <c r="D91" s="152">
        <v>503.4</v>
      </c>
      <c r="E91" s="938"/>
      <c r="F91" s="938"/>
      <c r="G91" s="1331" t="s">
        <v>427</v>
      </c>
      <c r="J91" s="1442" t="s">
        <v>4392</v>
      </c>
    </row>
    <row r="92" spans="1:10" x14ac:dyDescent="0.3">
      <c r="A92" s="727" t="str">
        <f>A91</f>
        <v>P</v>
      </c>
      <c r="B92" s="311" t="str">
        <f>IF(LEN('Ch5'!H94)=0,"",'Ch5'!H94)</f>
        <v/>
      </c>
      <c r="C92" s="311" t="str">
        <f t="shared" si="1"/>
        <v>P</v>
      </c>
      <c r="D92" s="938"/>
      <c r="E92" s="938"/>
      <c r="F92" s="938"/>
      <c r="G92" s="1292"/>
      <c r="J92" s="1442"/>
    </row>
    <row r="93" spans="1:10" x14ac:dyDescent="0.3">
      <c r="A93" s="727" t="str">
        <f>A92</f>
        <v>P</v>
      </c>
      <c r="B93" s="311" t="str">
        <f>IF(LEN('Ch5'!H95)=0,"",'Ch5'!H95)</f>
        <v/>
      </c>
      <c r="C93" s="311" t="str">
        <f t="shared" si="1"/>
        <v>P</v>
      </c>
      <c r="D93" s="938"/>
      <c r="E93" s="938"/>
      <c r="F93" s="938"/>
      <c r="G93" s="1292"/>
      <c r="J93" s="1442"/>
    </row>
    <row r="94" spans="1:10" x14ac:dyDescent="0.3">
      <c r="A94" s="727" t="str">
        <f>A93</f>
        <v>P</v>
      </c>
      <c r="B94" s="311" t="str">
        <f>IF(LEN('Ch5'!H96)=0,"",'Ch5'!H96)</f>
        <v/>
      </c>
      <c r="C94" s="311" t="str">
        <f t="shared" si="1"/>
        <v>P</v>
      </c>
      <c r="D94" s="938"/>
      <c r="E94" s="938"/>
      <c r="F94" s="938"/>
      <c r="G94" s="1292"/>
      <c r="J94" s="1442"/>
    </row>
    <row r="95" spans="1:10" ht="15.75" customHeight="1" x14ac:dyDescent="0.3">
      <c r="B95" s="311" t="str">
        <f>IF(LEN('Ch5'!H97)=0,"",'Ch5'!H97)</f>
        <v/>
      </c>
      <c r="C95" s="311" t="str">
        <f t="shared" si="1"/>
        <v/>
      </c>
      <c r="D95" s="938"/>
      <c r="E95" s="938"/>
      <c r="F95" s="938"/>
      <c r="G95" s="1328" t="s">
        <v>3167</v>
      </c>
      <c r="J95" s="1002"/>
    </row>
    <row r="96" spans="1:10" x14ac:dyDescent="0.3">
      <c r="B96" s="311" t="str">
        <f>IF(LEN('Ch5'!H98)=0,"",'Ch5'!H98)</f>
        <v/>
      </c>
      <c r="C96" s="311" t="str">
        <f t="shared" si="1"/>
        <v/>
      </c>
      <c r="D96" s="938"/>
      <c r="E96" s="938"/>
      <c r="F96" s="938"/>
      <c r="G96" s="1328"/>
      <c r="J96" s="1002"/>
    </row>
    <row r="97" spans="1:10" x14ac:dyDescent="0.3">
      <c r="B97" s="311" t="str">
        <f>IF(LEN('Ch5'!H99)=0,"",'Ch5'!H99)</f>
        <v/>
      </c>
      <c r="C97" s="311" t="str">
        <f t="shared" si="1"/>
        <v/>
      </c>
      <c r="D97" s="938"/>
      <c r="E97" s="938"/>
      <c r="F97" s="938"/>
      <c r="G97" s="1328"/>
      <c r="J97" s="1002"/>
    </row>
    <row r="98" spans="1:10" ht="15" customHeight="1" x14ac:dyDescent="0.3">
      <c r="A98" s="727" t="str">
        <f>IF(AND(LEN('Ch5'!W100)&gt;0,NOT('Ch5'!W100=FALSE)),"P","")</f>
        <v/>
      </c>
      <c r="B98" s="311" t="str">
        <f>IF(LEN('Ch5'!H100)=0,"",'Ch5'!H100)</f>
        <v/>
      </c>
      <c r="C98" s="311" t="str">
        <f t="shared" si="1"/>
        <v/>
      </c>
      <c r="D98" s="938"/>
      <c r="E98" s="926" t="s">
        <v>271</v>
      </c>
      <c r="F98" s="939"/>
      <c r="G98" s="1305" t="s">
        <v>428</v>
      </c>
      <c r="H98" s="89">
        <f>'Ch5'!W100</f>
        <v>0</v>
      </c>
      <c r="I98" s="89">
        <f>'Ch5'!O100</f>
        <v>0</v>
      </c>
      <c r="J98" s="1445" t="s">
        <v>4393</v>
      </c>
    </row>
    <row r="99" spans="1:10" x14ac:dyDescent="0.3">
      <c r="A99" s="727" t="str">
        <f>A98</f>
        <v/>
      </c>
      <c r="B99" s="311" t="str">
        <f>IF(LEN('Ch5'!H101)=0,"",'Ch5'!H101)</f>
        <v/>
      </c>
      <c r="C99" s="311" t="str">
        <f t="shared" si="1"/>
        <v/>
      </c>
      <c r="D99" s="938"/>
      <c r="E99" s="926"/>
      <c r="F99" s="939"/>
      <c r="G99" s="1305"/>
      <c r="J99" s="1445"/>
    </row>
    <row r="100" spans="1:10" x14ac:dyDescent="0.3">
      <c r="A100" s="727" t="str">
        <f>A99</f>
        <v/>
      </c>
      <c r="B100" s="311" t="str">
        <f>IF(LEN('Ch5'!H102)=0,"",'Ch5'!H102)</f>
        <v/>
      </c>
      <c r="C100" s="311" t="str">
        <f t="shared" si="1"/>
        <v/>
      </c>
      <c r="D100" s="938"/>
      <c r="E100" s="948"/>
      <c r="F100" s="948"/>
      <c r="G100" s="1306"/>
      <c r="J100" s="1445"/>
    </row>
    <row r="101" spans="1:10" ht="15" customHeight="1" x14ac:dyDescent="0.3">
      <c r="A101" s="727" t="str">
        <f>IF(AND(LEN('Ch5'!W103)&gt;0,NOT('Ch5'!W103=FALSE)),"P","")</f>
        <v>P</v>
      </c>
      <c r="B101" s="311" t="str">
        <f>IF(LEN('Ch5'!H103)=0,"",'Ch5'!H103)</f>
        <v/>
      </c>
      <c r="C101" s="311" t="str">
        <f t="shared" si="1"/>
        <v>P</v>
      </c>
      <c r="D101" s="938"/>
      <c r="E101" s="926" t="s">
        <v>273</v>
      </c>
      <c r="F101" s="939"/>
      <c r="G101" s="1305" t="s">
        <v>429</v>
      </c>
      <c r="H101" s="89" t="b">
        <f>'Ch5'!W103</f>
        <v>1</v>
      </c>
      <c r="I101" s="89">
        <f>'Ch5'!O103</f>
        <v>10</v>
      </c>
      <c r="J101" s="1441" t="s">
        <v>4394</v>
      </c>
    </row>
    <row r="102" spans="1:10" x14ac:dyDescent="0.3">
      <c r="A102" s="727" t="str">
        <f>A101</f>
        <v>P</v>
      </c>
      <c r="B102" s="311" t="str">
        <f>IF(LEN('Ch5'!H104)=0,"",'Ch5'!H104)</f>
        <v/>
      </c>
      <c r="C102" s="311" t="str">
        <f t="shared" si="1"/>
        <v>P</v>
      </c>
      <c r="D102" s="938"/>
      <c r="E102" s="939"/>
      <c r="F102" s="939"/>
      <c r="G102" s="1305"/>
      <c r="J102" s="1441"/>
    </row>
    <row r="103" spans="1:10" x14ac:dyDescent="0.3">
      <c r="A103" s="727" t="str">
        <f>A102</f>
        <v>P</v>
      </c>
      <c r="B103" s="311" t="str">
        <f>IF(LEN('Ch5'!H105)=0,"",'Ch5'!H105)</f>
        <v/>
      </c>
      <c r="C103" s="311" t="str">
        <f t="shared" si="1"/>
        <v>P</v>
      </c>
      <c r="D103" s="938"/>
      <c r="E103" s="939"/>
      <c r="F103" s="939"/>
      <c r="G103" s="1305"/>
      <c r="J103" s="1441"/>
    </row>
    <row r="104" spans="1:10" x14ac:dyDescent="0.3">
      <c r="A104" s="727" t="str">
        <f>A103</f>
        <v>P</v>
      </c>
      <c r="B104" s="311" t="str">
        <f>IF(LEN('Ch5'!H106)=0,"",'Ch5'!H106)</f>
        <v/>
      </c>
      <c r="C104" s="311" t="str">
        <f t="shared" si="1"/>
        <v>P</v>
      </c>
      <c r="D104" s="938"/>
      <c r="E104" s="948"/>
      <c r="F104" s="948"/>
      <c r="G104" s="1306"/>
      <c r="J104" s="1441"/>
    </row>
    <row r="105" spans="1:10" ht="15" customHeight="1" x14ac:dyDescent="0.3">
      <c r="A105" s="727" t="str">
        <f>IF(AND(LEN('Ch5'!W107)&gt;0,NOT('Ch5'!W107=FALSE)),"P","")</f>
        <v/>
      </c>
      <c r="B105" s="311" t="str">
        <f>IF(LEN('Ch5'!H107)=0,"",'Ch5'!H107)</f>
        <v/>
      </c>
      <c r="C105" s="311" t="str">
        <f t="shared" si="1"/>
        <v/>
      </c>
      <c r="D105" s="938"/>
      <c r="E105" s="925" t="s">
        <v>275</v>
      </c>
      <c r="F105" s="938"/>
      <c r="G105" s="1329" t="s">
        <v>430</v>
      </c>
      <c r="H105" s="89">
        <f>'Ch5'!W107</f>
        <v>0</v>
      </c>
      <c r="I105" s="89">
        <f ca="1">'Ch5'!O107</f>
        <v>0</v>
      </c>
      <c r="J105" s="1441" t="s">
        <v>4200</v>
      </c>
    </row>
    <row r="106" spans="1:10" x14ac:dyDescent="0.3">
      <c r="A106" s="727" t="str">
        <f>A105</f>
        <v/>
      </c>
      <c r="B106" s="311" t="str">
        <f>IF(LEN('Ch5'!H108)=0,"",'Ch5'!H108)</f>
        <v/>
      </c>
      <c r="C106" s="311" t="str">
        <f t="shared" si="1"/>
        <v/>
      </c>
      <c r="D106" s="938"/>
      <c r="E106" s="938"/>
      <c r="F106" s="938"/>
      <c r="G106" s="1329"/>
      <c r="J106" s="1441"/>
    </row>
    <row r="107" spans="1:10" x14ac:dyDescent="0.3">
      <c r="A107" s="727" t="str">
        <f>A106</f>
        <v/>
      </c>
      <c r="B107" s="311" t="str">
        <f>IF(LEN('Ch5'!H109)=0,"",'Ch5'!H109)</f>
        <v/>
      </c>
      <c r="C107" s="311" t="str">
        <f t="shared" si="1"/>
        <v/>
      </c>
      <c r="D107" s="938"/>
      <c r="E107" s="938"/>
      <c r="F107" s="938"/>
      <c r="G107" s="1329"/>
      <c r="J107" s="1441"/>
    </row>
    <row r="108" spans="1:10" x14ac:dyDescent="0.3">
      <c r="A108" s="727" t="str">
        <f>A107</f>
        <v/>
      </c>
      <c r="B108" s="311" t="str">
        <f>IF(LEN('Ch5'!H110)=0,"",'Ch5'!H110)</f>
        <v/>
      </c>
      <c r="C108" s="311" t="str">
        <f t="shared" si="1"/>
        <v/>
      </c>
      <c r="D108" s="938"/>
      <c r="E108" s="938"/>
      <c r="F108" s="938"/>
      <c r="G108" s="1329"/>
      <c r="J108" s="1441"/>
    </row>
    <row r="109" spans="1:10" x14ac:dyDescent="0.3">
      <c r="B109" s="311" t="str">
        <f>IF(LEN('Ch5'!H111)=0,"",'Ch5'!H111)</f>
        <v/>
      </c>
      <c r="C109" s="311" t="str">
        <f t="shared" si="1"/>
        <v/>
      </c>
      <c r="D109" s="938"/>
      <c r="E109" s="938"/>
      <c r="F109" s="925" t="s">
        <v>121</v>
      </c>
      <c r="G109" s="86" t="s">
        <v>431</v>
      </c>
      <c r="J109" s="1002"/>
    </row>
    <row r="110" spans="1:10" x14ac:dyDescent="0.3">
      <c r="B110" s="311" t="str">
        <f>IF(LEN('Ch5'!H112)=0,"",'Ch5'!H112)</f>
        <v/>
      </c>
      <c r="C110" s="311" t="str">
        <f t="shared" si="1"/>
        <v/>
      </c>
      <c r="D110" s="938"/>
      <c r="E110" s="938"/>
      <c r="F110" s="925" t="s">
        <v>122</v>
      </c>
      <c r="G110" s="86" t="s">
        <v>432</v>
      </c>
      <c r="J110" s="1002"/>
    </row>
    <row r="111" spans="1:10" x14ac:dyDescent="0.3">
      <c r="B111" s="311" t="str">
        <f>IF(LEN('Ch5'!H113)=0,"",'Ch5'!H113)</f>
        <v/>
      </c>
      <c r="C111" s="311" t="str">
        <f t="shared" si="1"/>
        <v/>
      </c>
      <c r="D111" s="938"/>
      <c r="E111" s="948"/>
      <c r="F111" s="950" t="s">
        <v>123</v>
      </c>
      <c r="G111" s="193" t="s">
        <v>433</v>
      </c>
      <c r="J111" s="1002"/>
    </row>
    <row r="112" spans="1:10" ht="15" customHeight="1" x14ac:dyDescent="0.3">
      <c r="A112" s="727" t="str">
        <f>IF(AND(LEN('Ch5'!W114)&gt;0,NOT('Ch5'!W114=FALSE)),"P","")</f>
        <v/>
      </c>
      <c r="B112" s="311" t="str">
        <f>IF(LEN('Ch5'!H114)=0,"",'Ch5'!H114)</f>
        <v/>
      </c>
      <c r="C112" s="311" t="str">
        <f t="shared" si="1"/>
        <v/>
      </c>
      <c r="D112" s="939"/>
      <c r="E112" s="926" t="s">
        <v>285</v>
      </c>
      <c r="F112" s="951"/>
      <c r="G112" s="1305" t="s">
        <v>434</v>
      </c>
      <c r="H112" s="89">
        <f>'Ch5'!W114</f>
        <v>0</v>
      </c>
      <c r="I112" s="89">
        <f ca="1">'Ch5'!O114</f>
        <v>0</v>
      </c>
      <c r="J112" s="1441" t="s">
        <v>4201</v>
      </c>
    </row>
    <row r="113" spans="1:10" x14ac:dyDescent="0.3">
      <c r="A113" s="727" t="str">
        <f>A112</f>
        <v/>
      </c>
      <c r="B113" s="311" t="str">
        <f>IF(LEN('Ch5'!H115)=0,"",'Ch5'!H115)</f>
        <v/>
      </c>
      <c r="C113" s="311" t="str">
        <f t="shared" si="1"/>
        <v/>
      </c>
      <c r="D113" s="939"/>
      <c r="E113" s="939"/>
      <c r="F113" s="939"/>
      <c r="G113" s="1305"/>
      <c r="J113" s="1441"/>
    </row>
    <row r="114" spans="1:10" x14ac:dyDescent="0.3">
      <c r="B114" s="311" t="str">
        <f>IF(LEN('Ch5'!H116)=0,"",'Ch5'!H116)</f>
        <v/>
      </c>
      <c r="C114" s="311" t="str">
        <f t="shared" si="1"/>
        <v/>
      </c>
      <c r="D114" s="939"/>
      <c r="E114" s="939"/>
      <c r="F114" s="926" t="s">
        <v>121</v>
      </c>
      <c r="G114" s="98" t="s">
        <v>435</v>
      </c>
      <c r="J114" s="1002"/>
    </row>
    <row r="115" spans="1:10" x14ac:dyDescent="0.3">
      <c r="B115" s="311" t="str">
        <f>IF(LEN('Ch5'!H117)=0,"",'Ch5'!H117)</f>
        <v/>
      </c>
      <c r="C115" s="311" t="str">
        <f t="shared" si="1"/>
        <v/>
      </c>
      <c r="D115" s="939"/>
      <c r="E115" s="939"/>
      <c r="F115" s="926" t="s">
        <v>122</v>
      </c>
      <c r="G115" s="98" t="s">
        <v>436</v>
      </c>
      <c r="J115" s="1002"/>
    </row>
    <row r="116" spans="1:10" ht="15" thickBot="1" x14ac:dyDescent="0.35">
      <c r="B116" s="311" t="str">
        <f>IF(LEN('Ch5'!H118)=0,"",'Ch5'!H118)</f>
        <v/>
      </c>
      <c r="C116" s="311" t="str">
        <f t="shared" si="1"/>
        <v/>
      </c>
      <c r="D116" s="940"/>
      <c r="E116" s="940"/>
      <c r="F116" s="952" t="s">
        <v>123</v>
      </c>
      <c r="G116" s="100" t="s">
        <v>437</v>
      </c>
      <c r="J116" s="1002"/>
    </row>
    <row r="117" spans="1:10" ht="15" customHeight="1" thickTop="1" x14ac:dyDescent="0.3">
      <c r="A117" s="1196" t="str">
        <f>IF(COUNTIF(A121:A153,"P")&gt;0,"P","")</f>
        <v>P</v>
      </c>
      <c r="B117" s="311" t="str">
        <f>IF(LEN('Ch5'!H119)=0,"",'Ch5'!H119)</f>
        <v/>
      </c>
      <c r="C117" s="311" t="str">
        <f t="shared" si="1"/>
        <v>P</v>
      </c>
      <c r="D117" s="111">
        <v>503.5</v>
      </c>
      <c r="E117" s="949"/>
      <c r="F117" s="949"/>
      <c r="G117" s="1331" t="s">
        <v>439</v>
      </c>
      <c r="J117" s="1440" t="s">
        <v>4395</v>
      </c>
    </row>
    <row r="118" spans="1:10" x14ac:dyDescent="0.3">
      <c r="A118" s="727" t="str">
        <f>A117</f>
        <v>P</v>
      </c>
      <c r="B118" s="311" t="str">
        <f>IF(LEN('Ch5'!H120)=0,"",'Ch5'!H120)</f>
        <v/>
      </c>
      <c r="C118" s="311" t="str">
        <f t="shared" si="1"/>
        <v>P</v>
      </c>
      <c r="D118" s="939"/>
      <c r="E118" s="939"/>
      <c r="F118" s="939"/>
      <c r="G118" s="1313"/>
      <c r="J118" s="1440"/>
    </row>
    <row r="119" spans="1:10" ht="15" customHeight="1" x14ac:dyDescent="0.3">
      <c r="B119" s="311" t="str">
        <f>IF(LEN('Ch5'!H121)=0,"",'Ch5'!H121)</f>
        <v/>
      </c>
      <c r="C119" s="311" t="str">
        <f t="shared" si="1"/>
        <v/>
      </c>
      <c r="D119" s="938"/>
      <c r="E119" s="938"/>
      <c r="F119" s="938"/>
      <c r="G119" s="1328" t="s">
        <v>440</v>
      </c>
      <c r="H119" s="89" t="str">
        <f>'Ch5'!W121</f>
        <v>full</v>
      </c>
      <c r="J119" s="996"/>
    </row>
    <row r="120" spans="1:10" x14ac:dyDescent="0.3">
      <c r="B120" s="311" t="str">
        <f>IF(LEN('Ch5'!H122)=0,"",'Ch5'!H122)</f>
        <v/>
      </c>
      <c r="C120" s="311" t="str">
        <f t="shared" si="1"/>
        <v/>
      </c>
      <c r="D120" s="938"/>
      <c r="E120" s="938"/>
      <c r="F120" s="938"/>
      <c r="G120" s="1328"/>
      <c r="J120" s="989"/>
    </row>
    <row r="121" spans="1:10" ht="15" customHeight="1" x14ac:dyDescent="0.3">
      <c r="A121" s="727" t="str">
        <f>IF(AND(LEN('Ch5'!W123)&gt;0,NOT('Ch5'!W123=FALSE)),"P","")</f>
        <v/>
      </c>
      <c r="B121" s="311" t="str">
        <f>IF(LEN('Ch5'!H123)=0,"",'Ch5'!H123)</f>
        <v/>
      </c>
      <c r="C121" s="311" t="str">
        <f t="shared" si="1"/>
        <v/>
      </c>
      <c r="D121" s="938"/>
      <c r="E121" s="925" t="s">
        <v>271</v>
      </c>
      <c r="F121" s="938"/>
      <c r="G121" s="1329" t="s">
        <v>441</v>
      </c>
      <c r="H121" s="89">
        <f>'Ch5'!W123</f>
        <v>0</v>
      </c>
      <c r="I121" s="89">
        <f ca="1">'Ch5'!O123</f>
        <v>0</v>
      </c>
      <c r="J121" s="1439" t="s">
        <v>4202</v>
      </c>
    </row>
    <row r="122" spans="1:10" x14ac:dyDescent="0.3">
      <c r="A122" s="727" t="str">
        <f>A121</f>
        <v/>
      </c>
      <c r="B122" s="311" t="str">
        <f>IF(LEN('Ch5'!H124)=0,"",'Ch5'!H124)</f>
        <v/>
      </c>
      <c r="C122" s="311" t="str">
        <f t="shared" si="1"/>
        <v/>
      </c>
      <c r="D122" s="938"/>
      <c r="E122" s="925"/>
      <c r="F122" s="938"/>
      <c r="G122" s="1329"/>
      <c r="J122" s="1439"/>
    </row>
    <row r="123" spans="1:10" x14ac:dyDescent="0.3">
      <c r="B123" s="311" t="str">
        <f>IF(LEN('Ch5'!H125)=0,"",'Ch5'!H125)</f>
        <v/>
      </c>
      <c r="C123" s="311" t="str">
        <f t="shared" si="1"/>
        <v/>
      </c>
      <c r="D123" s="938"/>
      <c r="E123" s="938"/>
      <c r="F123" s="925" t="s">
        <v>121</v>
      </c>
      <c r="G123" s="86" t="s">
        <v>442</v>
      </c>
      <c r="J123" s="989"/>
    </row>
    <row r="124" spans="1:10" x14ac:dyDescent="0.3">
      <c r="B124" s="311" t="str">
        <f>IF(LEN('Ch5'!H126)=0,"",'Ch5'!H126)</f>
        <v/>
      </c>
      <c r="C124" s="311" t="str">
        <f t="shared" si="1"/>
        <v/>
      </c>
      <c r="D124" s="938"/>
      <c r="E124" s="938"/>
      <c r="F124" s="925" t="s">
        <v>122</v>
      </c>
      <c r="G124" s="86" t="s">
        <v>443</v>
      </c>
      <c r="J124" s="989"/>
    </row>
    <row r="125" spans="1:10" x14ac:dyDescent="0.3">
      <c r="B125" s="311" t="str">
        <f>IF(LEN('Ch5'!H127)=0,"",'Ch5'!H127)</f>
        <v/>
      </c>
      <c r="C125" s="311" t="str">
        <f t="shared" si="1"/>
        <v/>
      </c>
      <c r="D125" s="938"/>
      <c r="E125" s="938"/>
      <c r="F125" s="947" t="s">
        <v>123</v>
      </c>
      <c r="G125" s="86" t="s">
        <v>444</v>
      </c>
      <c r="J125" s="989"/>
    </row>
    <row r="126" spans="1:10" x14ac:dyDescent="0.3">
      <c r="B126" s="311" t="str">
        <f>IF(LEN('Ch5'!H128)=0,"",'Ch5'!H128)</f>
        <v/>
      </c>
      <c r="C126" s="311" t="str">
        <f t="shared" si="1"/>
        <v/>
      </c>
      <c r="D126" s="938"/>
      <c r="E126" s="948"/>
      <c r="F126" s="950" t="s">
        <v>423</v>
      </c>
      <c r="G126" s="193" t="s">
        <v>445</v>
      </c>
      <c r="J126" s="989"/>
    </row>
    <row r="127" spans="1:10" ht="15" customHeight="1" x14ac:dyDescent="0.3">
      <c r="A127" s="727" t="str">
        <f>IF(AND(LEN('Ch5'!W129)&gt;0,NOT('Ch5'!W129=FALSE)),"P","")</f>
        <v>P</v>
      </c>
      <c r="B127" s="311" t="str">
        <f>IF(LEN('Ch5'!H129)=0,"",'Ch5'!H129)</f>
        <v/>
      </c>
      <c r="C127" s="311" t="str">
        <f t="shared" si="1"/>
        <v>P</v>
      </c>
      <c r="D127" s="938"/>
      <c r="E127" s="926" t="s">
        <v>273</v>
      </c>
      <c r="F127" s="939"/>
      <c r="G127" s="1305" t="s">
        <v>446</v>
      </c>
      <c r="H127" s="89" t="b">
        <f>'Ch5'!W129</f>
        <v>1</v>
      </c>
      <c r="I127" s="89">
        <f ca="1">'Ch5'!O129</f>
        <v>7</v>
      </c>
      <c r="J127" s="1443" t="s">
        <v>4203</v>
      </c>
    </row>
    <row r="128" spans="1:10" x14ac:dyDescent="0.3">
      <c r="A128" s="727" t="str">
        <f>A127</f>
        <v>P</v>
      </c>
      <c r="B128" s="311" t="str">
        <f>IF(LEN('Ch5'!H130)=0,"",'Ch5'!H130)</f>
        <v/>
      </c>
      <c r="C128" s="311" t="str">
        <f t="shared" si="1"/>
        <v>P</v>
      </c>
      <c r="D128" s="938"/>
      <c r="E128" s="948"/>
      <c r="F128" s="948"/>
      <c r="G128" s="1306"/>
      <c r="J128" s="1443"/>
    </row>
    <row r="129" spans="1:10" ht="15" customHeight="1" x14ac:dyDescent="0.3">
      <c r="A129" s="727" t="str">
        <f>IF(AND(LEN('Ch5'!W131)&gt;0,NOT('Ch5'!W131=FALSE)),"P","")</f>
        <v/>
      </c>
      <c r="B129" s="311" t="str">
        <f>IF(LEN('Ch5'!H131)=0,"",'Ch5'!H131)</f>
        <v/>
      </c>
      <c r="C129" s="311" t="str">
        <f t="shared" si="1"/>
        <v/>
      </c>
      <c r="D129" s="938"/>
      <c r="E129" s="926" t="s">
        <v>275</v>
      </c>
      <c r="F129" s="939"/>
      <c r="G129" s="1305" t="s">
        <v>447</v>
      </c>
      <c r="H129" s="89">
        <f>'Ch5'!W131</f>
        <v>0</v>
      </c>
      <c r="I129" s="89">
        <f ca="1">'Ch5'!O131</f>
        <v>0</v>
      </c>
      <c r="J129" s="1443" t="s">
        <v>4204</v>
      </c>
    </row>
    <row r="130" spans="1:10" x14ac:dyDescent="0.3">
      <c r="A130" s="727" t="str">
        <f>A129</f>
        <v/>
      </c>
      <c r="B130" s="311" t="str">
        <f>IF(LEN('Ch5'!H132)=0,"",'Ch5'!H132)</f>
        <v/>
      </c>
      <c r="C130" s="311" t="str">
        <f t="shared" si="1"/>
        <v/>
      </c>
      <c r="D130" s="938"/>
      <c r="E130" s="948"/>
      <c r="F130" s="948"/>
      <c r="G130" s="1306"/>
      <c r="J130" s="1443"/>
    </row>
    <row r="131" spans="1:10" ht="15" customHeight="1" x14ac:dyDescent="0.3">
      <c r="A131" s="727" t="str">
        <f>IF(AND(LEN('Ch5'!W133)&gt;0,NOT('Ch5'!W133=FALSE)),"P","")</f>
        <v/>
      </c>
      <c r="B131" s="311" t="str">
        <f>IF(LEN('Ch5'!H133)=0,"",'Ch5'!H133)</f>
        <v/>
      </c>
      <c r="C131" s="311" t="str">
        <f t="shared" si="1"/>
        <v/>
      </c>
      <c r="D131" s="938"/>
      <c r="E131" s="926" t="s">
        <v>285</v>
      </c>
      <c r="F131" s="939"/>
      <c r="G131" s="1305" t="s">
        <v>448</v>
      </c>
      <c r="H131" s="89">
        <f>'Ch5'!W133</f>
        <v>0</v>
      </c>
      <c r="I131" s="89">
        <f ca="1">'Ch5'!O133</f>
        <v>0</v>
      </c>
      <c r="J131" s="1439" t="s">
        <v>4205</v>
      </c>
    </row>
    <row r="132" spans="1:10" x14ac:dyDescent="0.3">
      <c r="A132" s="727" t="str">
        <f>A131</f>
        <v/>
      </c>
      <c r="B132" s="311" t="str">
        <f>IF(LEN('Ch5'!H134)=0,"",'Ch5'!H134)</f>
        <v/>
      </c>
      <c r="C132" s="311" t="str">
        <f t="shared" si="1"/>
        <v/>
      </c>
      <c r="D132" s="938"/>
      <c r="E132" s="948"/>
      <c r="F132" s="948"/>
      <c r="G132" s="1306"/>
      <c r="J132" s="1439"/>
    </row>
    <row r="133" spans="1:10" ht="41.4" x14ac:dyDescent="0.3">
      <c r="A133" s="727" t="str">
        <f>IF(AND(LEN('Ch5'!W135)&gt;0,NOT('Ch5'!W135=FALSE)),"P","")</f>
        <v/>
      </c>
      <c r="B133" s="311" t="str">
        <f>IF(LEN('Ch5'!H135)=0,"",'Ch5'!H135)</f>
        <v/>
      </c>
      <c r="C133" s="311" t="str">
        <f t="shared" si="1"/>
        <v/>
      </c>
      <c r="D133" s="938"/>
      <c r="E133" s="925" t="s">
        <v>291</v>
      </c>
      <c r="F133" s="938"/>
      <c r="G133" s="86" t="s">
        <v>449</v>
      </c>
      <c r="H133" s="89">
        <f>'Ch5'!W135</f>
        <v>0</v>
      </c>
      <c r="I133" s="89">
        <f ca="1">'Ch5'!O135</f>
        <v>0</v>
      </c>
      <c r="J133" s="1001" t="s">
        <v>4206</v>
      </c>
    </row>
    <row r="134" spans="1:10" x14ac:dyDescent="0.3">
      <c r="B134" s="311" t="str">
        <f>IF(LEN('Ch5'!H136)=0,"",'Ch5'!H136)</f>
        <v/>
      </c>
      <c r="C134" s="311" t="str">
        <f t="shared" si="1"/>
        <v/>
      </c>
      <c r="D134" s="938"/>
      <c r="E134" s="938"/>
      <c r="F134" s="925" t="s">
        <v>121</v>
      </c>
      <c r="G134" s="86" t="s">
        <v>450</v>
      </c>
      <c r="J134" s="1001"/>
    </row>
    <row r="135" spans="1:10" x14ac:dyDescent="0.3">
      <c r="B135" s="311" t="str">
        <f>IF(LEN('Ch5'!H137)=0,"",'Ch5'!H137)</f>
        <v/>
      </c>
      <c r="C135" s="311" t="str">
        <f t="shared" si="1"/>
        <v/>
      </c>
      <c r="D135" s="938"/>
      <c r="E135" s="938"/>
      <c r="F135" s="925" t="s">
        <v>122</v>
      </c>
      <c r="G135" s="86" t="s">
        <v>451</v>
      </c>
      <c r="J135" s="1001"/>
    </row>
    <row r="136" spans="1:10" x14ac:dyDescent="0.3">
      <c r="B136" s="311" t="str">
        <f>IF(LEN('Ch5'!H138)=0,"",'Ch5'!H138)</f>
        <v/>
      </c>
      <c r="C136" s="311" t="str">
        <f t="shared" ref="C136:C199" si="2">IF(LEN(B136)=0,IF(A136="P","P",""),B136)</f>
        <v/>
      </c>
      <c r="D136" s="938"/>
      <c r="E136" s="938"/>
      <c r="F136" s="947" t="s">
        <v>123</v>
      </c>
      <c r="G136" s="86" t="s">
        <v>452</v>
      </c>
      <c r="J136" s="1001"/>
    </row>
    <row r="137" spans="1:10" x14ac:dyDescent="0.3">
      <c r="B137" s="311" t="str">
        <f>IF(LEN('Ch5'!H139)=0,"",'Ch5'!H139)</f>
        <v/>
      </c>
      <c r="C137" s="311" t="str">
        <f t="shared" si="2"/>
        <v/>
      </c>
      <c r="D137" s="938"/>
      <c r="E137" s="948"/>
      <c r="F137" s="950" t="s">
        <v>423</v>
      </c>
      <c r="G137" s="193" t="s">
        <v>453</v>
      </c>
      <c r="J137" s="1001"/>
    </row>
    <row r="138" spans="1:10" ht="27.6" x14ac:dyDescent="0.3">
      <c r="A138" s="727" t="str">
        <f>IF(AND(LEN('Ch5'!W140)&gt;0,NOT('Ch5'!W140=FALSE)),"P","")</f>
        <v>P</v>
      </c>
      <c r="B138" s="311" t="str">
        <f>IF(LEN('Ch5'!H140)=0,"",'Ch5'!H140)</f>
        <v/>
      </c>
      <c r="C138" s="311" t="str">
        <f t="shared" si="2"/>
        <v>P</v>
      </c>
      <c r="D138" s="938"/>
      <c r="E138" s="946" t="s">
        <v>293</v>
      </c>
      <c r="F138" s="948"/>
      <c r="G138" s="193" t="s">
        <v>454</v>
      </c>
      <c r="H138" s="89" t="b">
        <f>'Ch5'!W140</f>
        <v>1</v>
      </c>
      <c r="I138" s="89">
        <f ca="1">'Ch5'!O140</f>
        <v>5</v>
      </c>
      <c r="J138" s="1001" t="s">
        <v>4207</v>
      </c>
    </row>
    <row r="139" spans="1:10" ht="15" customHeight="1" x14ac:dyDescent="0.3">
      <c r="A139" s="727" t="str">
        <f>IF(AND(LEN('Ch5'!W141)&gt;0,NOT('Ch5'!W141=FALSE)),"P","")</f>
        <v/>
      </c>
      <c r="B139" s="311" t="str">
        <f>IF(LEN('Ch5'!H141)=0,"",'Ch5'!H141)</f>
        <v/>
      </c>
      <c r="C139" s="311" t="str">
        <f t="shared" si="2"/>
        <v/>
      </c>
      <c r="D139" s="938"/>
      <c r="E139" s="926" t="s">
        <v>405</v>
      </c>
      <c r="F139" s="939"/>
      <c r="G139" s="1305" t="s">
        <v>455</v>
      </c>
      <c r="H139" s="89">
        <f>'Ch5'!W141</f>
        <v>0</v>
      </c>
      <c r="I139" s="89">
        <f ca="1">'Ch5'!O141</f>
        <v>0</v>
      </c>
      <c r="J139" s="1439" t="s">
        <v>4208</v>
      </c>
    </row>
    <row r="140" spans="1:10" x14ac:dyDescent="0.3">
      <c r="A140" s="727" t="str">
        <f>A139</f>
        <v/>
      </c>
      <c r="B140" s="311" t="str">
        <f>IF(LEN('Ch5'!H142)=0,"",'Ch5'!H142)</f>
        <v/>
      </c>
      <c r="C140" s="311" t="str">
        <f t="shared" si="2"/>
        <v/>
      </c>
      <c r="D140" s="938"/>
      <c r="E140" s="939"/>
      <c r="F140" s="939"/>
      <c r="G140" s="1305"/>
      <c r="J140" s="1439"/>
    </row>
    <row r="141" spans="1:10" x14ac:dyDescent="0.3">
      <c r="A141" s="727" t="str">
        <f>A140</f>
        <v/>
      </c>
      <c r="B141" s="311" t="str">
        <f>IF(LEN('Ch5'!H143)=0,"",'Ch5'!H143)</f>
        <v/>
      </c>
      <c r="C141" s="311" t="str">
        <f t="shared" si="2"/>
        <v/>
      </c>
      <c r="D141" s="938"/>
      <c r="E141" s="939"/>
      <c r="F141" s="939"/>
      <c r="G141" s="1305"/>
      <c r="J141" s="1439"/>
    </row>
    <row r="142" spans="1:10" x14ac:dyDescent="0.3">
      <c r="A142" s="727" t="str">
        <f>A141</f>
        <v/>
      </c>
      <c r="B142" s="311" t="str">
        <f>IF(LEN('Ch5'!H144)=0,"",'Ch5'!H144)</f>
        <v/>
      </c>
      <c r="C142" s="311" t="str">
        <f t="shared" si="2"/>
        <v/>
      </c>
      <c r="D142" s="938"/>
      <c r="E142" s="939"/>
      <c r="F142" s="939"/>
      <c r="G142" s="1305"/>
      <c r="J142" s="1439"/>
    </row>
    <row r="143" spans="1:10" x14ac:dyDescent="0.3">
      <c r="A143" s="727" t="str">
        <f>A142</f>
        <v/>
      </c>
      <c r="B143" s="311" t="str">
        <f>IF(LEN('Ch5'!H145)=0,"",'Ch5'!H145)</f>
        <v/>
      </c>
      <c r="C143" s="311" t="str">
        <f t="shared" si="2"/>
        <v/>
      </c>
      <c r="D143" s="938"/>
      <c r="E143" s="948"/>
      <c r="F143" s="948"/>
      <c r="G143" s="1306"/>
      <c r="J143" s="1439"/>
    </row>
    <row r="144" spans="1:10" ht="15" customHeight="1" x14ac:dyDescent="0.3">
      <c r="A144" s="727" t="str">
        <f>IF(AND(LEN('Ch5'!W146)&gt;0,NOT('Ch5'!W146=FALSE)),"P","")</f>
        <v/>
      </c>
      <c r="B144" s="311" t="str">
        <f>IF(LEN('Ch5'!H146)=0,"",'Ch5'!H146)</f>
        <v/>
      </c>
      <c r="C144" s="311" t="str">
        <f t="shared" si="2"/>
        <v/>
      </c>
      <c r="D144" s="938"/>
      <c r="E144" s="926" t="s">
        <v>456</v>
      </c>
      <c r="F144" s="939"/>
      <c r="G144" s="1305" t="s">
        <v>457</v>
      </c>
      <c r="H144" s="89">
        <f>'Ch5'!W146</f>
        <v>0</v>
      </c>
      <c r="I144" s="89">
        <f ca="1">'Ch5'!O146</f>
        <v>0</v>
      </c>
      <c r="J144" s="1439" t="s">
        <v>4205</v>
      </c>
    </row>
    <row r="145" spans="1:10" x14ac:dyDescent="0.3">
      <c r="A145" s="727" t="str">
        <f>A144</f>
        <v/>
      </c>
      <c r="B145" s="311" t="str">
        <f>IF(LEN('Ch5'!H147)=0,"",'Ch5'!H147)</f>
        <v/>
      </c>
      <c r="C145" s="311" t="str">
        <f t="shared" si="2"/>
        <v/>
      </c>
      <c r="D145" s="938"/>
      <c r="E145" s="948"/>
      <c r="F145" s="948"/>
      <c r="G145" s="1306"/>
      <c r="J145" s="1439"/>
    </row>
    <row r="146" spans="1:10" ht="15" customHeight="1" x14ac:dyDescent="0.3">
      <c r="A146" s="727" t="str">
        <f>IF(AND(LEN('Ch5'!W148)&gt;0,NOT('Ch5'!W148=FALSE)),"P","")</f>
        <v/>
      </c>
      <c r="B146" s="311" t="str">
        <f>IF(LEN('Ch5'!H148)=0,"",'Ch5'!H148)</f>
        <v/>
      </c>
      <c r="C146" s="311" t="str">
        <f t="shared" si="2"/>
        <v/>
      </c>
      <c r="D146" s="938"/>
      <c r="E146" s="926" t="s">
        <v>458</v>
      </c>
      <c r="F146" s="939"/>
      <c r="G146" s="1305" t="s">
        <v>459</v>
      </c>
      <c r="H146" s="89">
        <f>'Ch5'!W148</f>
        <v>0</v>
      </c>
      <c r="I146" s="89">
        <f>'Ch5'!O148</f>
        <v>0</v>
      </c>
      <c r="J146" s="1439" t="s">
        <v>4209</v>
      </c>
    </row>
    <row r="147" spans="1:10" x14ac:dyDescent="0.3">
      <c r="A147" s="727" t="str">
        <f>A146</f>
        <v/>
      </c>
      <c r="B147" s="311" t="str">
        <f>IF(LEN('Ch5'!H149)=0,"",'Ch5'!H149)</f>
        <v/>
      </c>
      <c r="C147" s="311" t="str">
        <f t="shared" si="2"/>
        <v/>
      </c>
      <c r="D147" s="938"/>
      <c r="E147" s="939"/>
      <c r="F147" s="939"/>
      <c r="G147" s="1305"/>
      <c r="J147" s="1439"/>
    </row>
    <row r="148" spans="1:10" x14ac:dyDescent="0.3">
      <c r="A148" s="727" t="str">
        <f>A147</f>
        <v/>
      </c>
      <c r="B148" s="311" t="str">
        <f>IF(LEN('Ch5'!H150)=0,"",'Ch5'!H150)</f>
        <v/>
      </c>
      <c r="C148" s="311" t="str">
        <f t="shared" si="2"/>
        <v/>
      </c>
      <c r="D148" s="938"/>
      <c r="E148" s="948"/>
      <c r="F148" s="948"/>
      <c r="G148" s="1306"/>
      <c r="J148" s="1439"/>
    </row>
    <row r="149" spans="1:10" ht="15" customHeight="1" x14ac:dyDescent="0.3">
      <c r="A149" s="727" t="str">
        <f>IF(AND(LEN('Ch5'!W151)&gt;0,NOT('Ch5'!W151=FALSE)),"P","")</f>
        <v/>
      </c>
      <c r="B149" s="311" t="str">
        <f>IF(LEN('Ch5'!H151)=0,"",'Ch5'!H151)</f>
        <v/>
      </c>
      <c r="C149" s="311" t="str">
        <f t="shared" si="2"/>
        <v/>
      </c>
      <c r="D149" s="938"/>
      <c r="E149" s="926" t="s">
        <v>460</v>
      </c>
      <c r="F149" s="939"/>
      <c r="G149" s="1305" t="s">
        <v>461</v>
      </c>
      <c r="H149" s="89">
        <f>'Ch5'!W151</f>
        <v>0</v>
      </c>
      <c r="I149" s="89">
        <f>'Ch5'!O151</f>
        <v>0</v>
      </c>
      <c r="J149" s="1440" t="s">
        <v>4246</v>
      </c>
    </row>
    <row r="150" spans="1:10" x14ac:dyDescent="0.3">
      <c r="A150" s="727" t="str">
        <f>A149</f>
        <v/>
      </c>
      <c r="B150" s="311" t="str">
        <f>IF(LEN('Ch5'!H152)=0,"",'Ch5'!H152)</f>
        <v/>
      </c>
      <c r="C150" s="311" t="str">
        <f t="shared" si="2"/>
        <v/>
      </c>
      <c r="D150" s="938"/>
      <c r="E150" s="948"/>
      <c r="F150" s="948"/>
      <c r="G150" s="1306"/>
      <c r="J150" s="1440"/>
    </row>
    <row r="151" spans="1:10" ht="15" customHeight="1" x14ac:dyDescent="0.3">
      <c r="A151" s="727" t="str">
        <f>IF(AND(LEN('Ch5'!W153)&gt;0,NOT('Ch5'!W153=FALSE)),"P","")</f>
        <v/>
      </c>
      <c r="B151" s="311" t="str">
        <f>IF(LEN('Ch5'!H153)=0,"",'Ch5'!H153)</f>
        <v/>
      </c>
      <c r="C151" s="311" t="str">
        <f t="shared" si="2"/>
        <v/>
      </c>
      <c r="D151" s="938"/>
      <c r="E151" s="926" t="s">
        <v>462</v>
      </c>
      <c r="F151" s="939"/>
      <c r="G151" s="1305" t="s">
        <v>463</v>
      </c>
      <c r="H151" s="89">
        <f>'Ch5'!W153</f>
        <v>0</v>
      </c>
      <c r="I151" s="89">
        <f>'Ch5'!O153</f>
        <v>0</v>
      </c>
      <c r="J151" s="1439" t="s">
        <v>4205</v>
      </c>
    </row>
    <row r="152" spans="1:10" x14ac:dyDescent="0.3">
      <c r="A152" s="727" t="str">
        <f>A151</f>
        <v/>
      </c>
      <c r="B152" s="311" t="str">
        <f>IF(LEN('Ch5'!H154)=0,"",'Ch5'!H154)</f>
        <v/>
      </c>
      <c r="C152" s="311" t="str">
        <f t="shared" si="2"/>
        <v/>
      </c>
      <c r="D152" s="938"/>
      <c r="E152" s="948"/>
      <c r="F152" s="948"/>
      <c r="G152" s="1306"/>
      <c r="J152" s="1439"/>
    </row>
    <row r="153" spans="1:10" ht="15" customHeight="1" x14ac:dyDescent="0.3">
      <c r="A153" s="727" t="str">
        <f>IF(AND(LEN('Ch5'!W155)&gt;0,NOT('Ch5'!W155=FALSE)),"P","")</f>
        <v/>
      </c>
      <c r="B153" s="311" t="str">
        <f>IF(LEN('Ch5'!H155)=0,"",'Ch5'!H155)</f>
        <v/>
      </c>
      <c r="C153" s="311" t="str">
        <f t="shared" si="2"/>
        <v/>
      </c>
      <c r="D153" s="939"/>
      <c r="E153" s="926" t="s">
        <v>464</v>
      </c>
      <c r="F153" s="939"/>
      <c r="G153" s="1305" t="s">
        <v>465</v>
      </c>
      <c r="H153" s="89">
        <f>'Ch5'!W155</f>
        <v>0</v>
      </c>
      <c r="I153" s="89">
        <f>'Ch5'!O155</f>
        <v>0</v>
      </c>
      <c r="J153" s="1439" t="s">
        <v>4205</v>
      </c>
    </row>
    <row r="154" spans="1:10" ht="15" thickBot="1" x14ac:dyDescent="0.35">
      <c r="A154" s="727" t="str">
        <f>A153</f>
        <v/>
      </c>
      <c r="B154" s="311" t="str">
        <f>IF(LEN('Ch5'!H156)=0,"",'Ch5'!H156)</f>
        <v/>
      </c>
      <c r="C154" s="311" t="str">
        <f t="shared" si="2"/>
        <v/>
      </c>
      <c r="D154" s="940"/>
      <c r="E154" s="940"/>
      <c r="F154" s="940"/>
      <c r="G154" s="1330"/>
      <c r="J154" s="1439"/>
    </row>
    <row r="155" spans="1:10" ht="15" customHeight="1" thickTop="1" x14ac:dyDescent="0.3">
      <c r="A155" s="727" t="str">
        <f>IF('Ch5'!O157&gt;0,"P","")</f>
        <v>P</v>
      </c>
      <c r="B155" s="311" t="str">
        <f>IF(LEN('Ch5'!H157)=0,"",'Ch5'!H157)</f>
        <v/>
      </c>
      <c r="C155" s="311" t="str">
        <f t="shared" si="2"/>
        <v>P</v>
      </c>
      <c r="D155" s="152">
        <v>503.6</v>
      </c>
      <c r="E155" s="938"/>
      <c r="F155" s="938"/>
      <c r="G155" s="1292" t="s">
        <v>467</v>
      </c>
      <c r="I155" s="89">
        <f>'Ch5'!O157</f>
        <v>6</v>
      </c>
      <c r="J155" s="1443" t="s">
        <v>4210</v>
      </c>
    </row>
    <row r="156" spans="1:10" ht="51" customHeight="1" x14ac:dyDescent="0.3">
      <c r="A156" s="727" t="str">
        <f>A155</f>
        <v>P</v>
      </c>
      <c r="B156" s="311" t="str">
        <f>IF(LEN('Ch5'!H158)=0,"",'Ch5'!H158)</f>
        <v/>
      </c>
      <c r="C156" s="311" t="str">
        <f t="shared" si="2"/>
        <v>P</v>
      </c>
      <c r="D156" s="938"/>
      <c r="E156" s="938"/>
      <c r="F156" s="938"/>
      <c r="G156" s="1292"/>
      <c r="J156" s="1443"/>
    </row>
    <row r="157" spans="1:10" x14ac:dyDescent="0.3">
      <c r="B157" s="311" t="str">
        <f>IF(LEN('Ch5'!H159)=0,"",'Ch5'!H159)</f>
        <v/>
      </c>
      <c r="C157" s="311" t="str">
        <f t="shared" si="2"/>
        <v/>
      </c>
      <c r="D157" s="938"/>
      <c r="E157" s="946" t="s">
        <v>271</v>
      </c>
      <c r="F157" s="948"/>
      <c r="G157" s="193" t="s">
        <v>468</v>
      </c>
      <c r="H157" s="89" t="b">
        <f>'Ch5'!W159</f>
        <v>1</v>
      </c>
      <c r="J157" s="1001"/>
    </row>
    <row r="158" spans="1:10" x14ac:dyDescent="0.3">
      <c r="B158" s="311" t="str">
        <f>IF(LEN('Ch5'!H160)=0,"",'Ch5'!H160)</f>
        <v/>
      </c>
      <c r="C158" s="311" t="str">
        <f t="shared" si="2"/>
        <v/>
      </c>
      <c r="D158" s="938"/>
      <c r="E158" s="946" t="s">
        <v>273</v>
      </c>
      <c r="F158" s="948"/>
      <c r="G158" s="193" t="s">
        <v>469</v>
      </c>
      <c r="H158" s="89" t="b">
        <f>'Ch5'!W160</f>
        <v>1</v>
      </c>
      <c r="J158" s="1001"/>
    </row>
    <row r="159" spans="1:10" ht="15" customHeight="1" x14ac:dyDescent="0.3">
      <c r="B159" s="311" t="str">
        <f>IF(LEN('Ch5'!H161)=0,"",'Ch5'!H161)</f>
        <v/>
      </c>
      <c r="C159" s="311" t="str">
        <f t="shared" si="2"/>
        <v/>
      </c>
      <c r="D159" s="938"/>
      <c r="E159" s="926" t="s">
        <v>275</v>
      </c>
      <c r="F159" s="939"/>
      <c r="G159" s="1305" t="s">
        <v>470</v>
      </c>
      <c r="H159" s="89">
        <f>'Ch5'!W161</f>
        <v>0</v>
      </c>
      <c r="J159" s="1001"/>
    </row>
    <row r="160" spans="1:10" x14ac:dyDescent="0.3">
      <c r="B160" s="311" t="str">
        <f>IF(LEN('Ch5'!H162)=0,"",'Ch5'!H162)</f>
        <v/>
      </c>
      <c r="C160" s="311" t="str">
        <f t="shared" si="2"/>
        <v/>
      </c>
      <c r="D160" s="938"/>
      <c r="E160" s="948"/>
      <c r="F160" s="948"/>
      <c r="G160" s="1306"/>
      <c r="J160" s="1001"/>
    </row>
    <row r="161" spans="1:10" ht="15" thickBot="1" x14ac:dyDescent="0.35">
      <c r="B161" s="311" t="str">
        <f>IF(LEN('Ch5'!H163)=0,"",'Ch5'!H163)</f>
        <v/>
      </c>
      <c r="C161" s="311" t="str">
        <f t="shared" si="2"/>
        <v/>
      </c>
      <c r="D161" s="940"/>
      <c r="E161" s="931" t="s">
        <v>285</v>
      </c>
      <c r="F161" s="940"/>
      <c r="G161" s="100" t="s">
        <v>471</v>
      </c>
      <c r="H161" s="89">
        <f>'Ch5'!W163</f>
        <v>0</v>
      </c>
      <c r="J161" s="1001"/>
    </row>
    <row r="162" spans="1:10" ht="15.75" customHeight="1" thickTop="1" x14ac:dyDescent="0.3">
      <c r="A162" s="1196" t="str">
        <f>IF(COUNTIF(A164:A166,"P")&gt;0,"P","")</f>
        <v/>
      </c>
      <c r="B162" s="311" t="str">
        <f>IF(LEN('Ch5'!H164)=0,"",'Ch5'!H164)</f>
        <v/>
      </c>
      <c r="C162" s="311" t="str">
        <f t="shared" si="2"/>
        <v/>
      </c>
      <c r="D162" s="152">
        <v>503.7</v>
      </c>
      <c r="E162" s="938"/>
      <c r="F162" s="938"/>
      <c r="G162" s="1292" t="s">
        <v>473</v>
      </c>
      <c r="J162" s="989"/>
    </row>
    <row r="163" spans="1:10" x14ac:dyDescent="0.3">
      <c r="A163" s="727" t="str">
        <f>A162</f>
        <v/>
      </c>
      <c r="B163" s="311" t="str">
        <f>IF(LEN('Ch5'!H165)=0,"",'Ch5'!H165)</f>
        <v/>
      </c>
      <c r="C163" s="311" t="str">
        <f t="shared" si="2"/>
        <v/>
      </c>
      <c r="D163" s="938"/>
      <c r="E163" s="938"/>
      <c r="F163" s="938"/>
      <c r="G163" s="1292"/>
      <c r="J163" s="989"/>
    </row>
    <row r="164" spans="1:10" ht="15" customHeight="1" x14ac:dyDescent="0.3">
      <c r="A164" s="727" t="str">
        <f>IF(AND(LEN('Ch5'!W166)&gt;0,NOT('Ch5'!W166=FALSE)),"P","")</f>
        <v/>
      </c>
      <c r="B164" s="311" t="str">
        <f>IF(LEN('Ch5'!H166)=0,"",'Ch5'!H166)</f>
        <v/>
      </c>
      <c r="C164" s="311" t="str">
        <f t="shared" si="2"/>
        <v/>
      </c>
      <c r="D164" s="938"/>
      <c r="E164" s="926" t="s">
        <v>271</v>
      </c>
      <c r="F164" s="939"/>
      <c r="G164" s="1305" t="s">
        <v>474</v>
      </c>
      <c r="H164" s="89">
        <f>'Ch5'!W166</f>
        <v>0</v>
      </c>
      <c r="I164" s="89">
        <f>'Ch5'!O166</f>
        <v>0</v>
      </c>
      <c r="J164" s="1443" t="s">
        <v>4211</v>
      </c>
    </row>
    <row r="165" spans="1:10" ht="23.25" customHeight="1" x14ac:dyDescent="0.3">
      <c r="A165" s="727" t="str">
        <f>A164</f>
        <v/>
      </c>
      <c r="B165" s="311" t="str">
        <f>IF(LEN('Ch5'!H167)=0,"",'Ch5'!H167)</f>
        <v/>
      </c>
      <c r="C165" s="311" t="str">
        <f t="shared" si="2"/>
        <v/>
      </c>
      <c r="D165" s="938"/>
      <c r="E165" s="946"/>
      <c r="F165" s="948"/>
      <c r="G165" s="1306"/>
      <c r="J165" s="1443"/>
    </row>
    <row r="166" spans="1:10" x14ac:dyDescent="0.3">
      <c r="A166" s="727" t="str">
        <f>IF(AND(LEN('Ch5'!W168)&gt;0,NOT('Ch5'!W168=FALSE)),"P","")</f>
        <v/>
      </c>
      <c r="B166" s="311" t="str">
        <f>IF(LEN('Ch5'!H168)=0,"",'Ch5'!H168)</f>
        <v/>
      </c>
      <c r="C166" s="311" t="str">
        <f t="shared" si="2"/>
        <v/>
      </c>
      <c r="D166" s="939"/>
      <c r="E166" s="926" t="s">
        <v>273</v>
      </c>
      <c r="F166" s="939"/>
      <c r="G166" s="1305" t="s">
        <v>475</v>
      </c>
      <c r="H166" s="89">
        <f>'Ch5'!W168</f>
        <v>0</v>
      </c>
      <c r="I166" s="89">
        <f>'Ch5'!O168</f>
        <v>0</v>
      </c>
      <c r="J166" s="1443" t="s">
        <v>4212</v>
      </c>
    </row>
    <row r="167" spans="1:10" ht="62.25" customHeight="1" thickBot="1" x14ac:dyDescent="0.35">
      <c r="A167" s="727" t="str">
        <f>A166</f>
        <v/>
      </c>
      <c r="B167" s="311" t="str">
        <f>IF(LEN('Ch5'!H169)=0,"",'Ch5'!H169)</f>
        <v/>
      </c>
      <c r="C167" s="311" t="str">
        <f t="shared" si="2"/>
        <v/>
      </c>
      <c r="D167" s="940"/>
      <c r="E167" s="940"/>
      <c r="F167" s="940"/>
      <c r="G167" s="1330"/>
      <c r="J167" s="1443"/>
    </row>
    <row r="168" spans="1:10" ht="15.75" customHeight="1" thickTop="1" x14ac:dyDescent="0.3">
      <c r="A168" s="727" t="str">
        <f ca="1">IF('Ch5'!O170&gt;0,"P","")</f>
        <v/>
      </c>
      <c r="B168" s="311" t="str">
        <f>IF(LEN('Ch5'!H170)=0,"",'Ch5'!H170)</f>
        <v/>
      </c>
      <c r="C168" s="311" t="str">
        <f t="shared" ca="1" si="2"/>
        <v/>
      </c>
      <c r="D168" s="152">
        <v>503.8</v>
      </c>
      <c r="E168" s="938"/>
      <c r="F168" s="938"/>
      <c r="G168" s="1292" t="s">
        <v>477</v>
      </c>
      <c r="I168" s="89">
        <f ca="1">'Ch5'!O170</f>
        <v>0</v>
      </c>
      <c r="J168" s="1439" t="s">
        <v>4396</v>
      </c>
    </row>
    <row r="169" spans="1:10" x14ac:dyDescent="0.3">
      <c r="A169" s="727" t="str">
        <f ca="1">A168</f>
        <v/>
      </c>
      <c r="B169" s="311" t="str">
        <f>IF(LEN('Ch5'!H171)=0,"",'Ch5'!H171)</f>
        <v/>
      </c>
      <c r="C169" s="311" t="str">
        <f t="shared" ca="1" si="2"/>
        <v/>
      </c>
      <c r="D169" s="938"/>
      <c r="E169" s="938"/>
      <c r="F169" s="938"/>
      <c r="G169" s="1292"/>
      <c r="H169" s="89">
        <f>'Ch5'!W171</f>
        <v>0</v>
      </c>
      <c r="J169" s="1439"/>
    </row>
    <row r="170" spans="1:10" x14ac:dyDescent="0.3">
      <c r="A170" s="727" t="str">
        <f ca="1">A169</f>
        <v/>
      </c>
      <c r="B170" s="311" t="str">
        <f>IF(LEN('Ch5'!H172)=0,"",'Ch5'!H172)</f>
        <v/>
      </c>
      <c r="C170" s="311" t="str">
        <f t="shared" ca="1" si="2"/>
        <v/>
      </c>
      <c r="D170" s="938"/>
      <c r="E170" s="938"/>
      <c r="F170" s="938"/>
      <c r="G170" s="1292"/>
      <c r="J170" s="1439"/>
    </row>
    <row r="171" spans="1:10" ht="15.75" customHeight="1" x14ac:dyDescent="0.3">
      <c r="B171" s="311" t="str">
        <f>IF(LEN('Ch5'!H173)=0,"",'Ch5'!H173)</f>
        <v/>
      </c>
      <c r="C171" s="311" t="str">
        <f t="shared" si="2"/>
        <v/>
      </c>
      <c r="D171" s="938"/>
      <c r="E171" s="938"/>
      <c r="F171" s="938"/>
      <c r="G171" s="1329" t="s">
        <v>478</v>
      </c>
      <c r="J171" s="989"/>
    </row>
    <row r="172" spans="1:10" x14ac:dyDescent="0.3">
      <c r="B172" s="311" t="str">
        <f>IF(LEN('Ch5'!H174)=0,"",'Ch5'!H174)</f>
        <v/>
      </c>
      <c r="C172" s="311" t="str">
        <f t="shared" si="2"/>
        <v/>
      </c>
      <c r="D172" s="938"/>
      <c r="E172" s="938"/>
      <c r="F172" s="938"/>
      <c r="G172" s="1329"/>
      <c r="J172" s="989"/>
    </row>
    <row r="173" spans="1:10" ht="18" x14ac:dyDescent="0.3">
      <c r="A173" s="727" t="s">
        <v>4389</v>
      </c>
      <c r="B173" s="311" t="str">
        <f>IF(LEN('Ch5'!H175)=0,"",'Ch5'!H175)</f>
        <v/>
      </c>
      <c r="C173" s="311" t="str">
        <f t="shared" si="2"/>
        <v>P</v>
      </c>
      <c r="D173" s="82" t="s">
        <v>480</v>
      </c>
      <c r="E173" s="82"/>
      <c r="F173" s="82"/>
      <c r="G173" s="87"/>
      <c r="H173" s="87"/>
      <c r="I173" s="87"/>
      <c r="J173" s="1000"/>
    </row>
    <row r="174" spans="1:10" ht="15.75" customHeight="1" x14ac:dyDescent="0.3">
      <c r="B174" s="311" t="str">
        <f>IF(LEN('Ch5'!H176)=0,"",'Ch5'!H176)</f>
        <v/>
      </c>
      <c r="C174" s="311" t="str">
        <f t="shared" si="2"/>
        <v/>
      </c>
      <c r="D174" s="926" t="s">
        <v>479</v>
      </c>
      <c r="E174" s="939"/>
      <c r="F174" s="939"/>
      <c r="G174" s="1313" t="s">
        <v>481</v>
      </c>
      <c r="J174" s="989"/>
    </row>
    <row r="175" spans="1:10" ht="15" thickBot="1" x14ac:dyDescent="0.35">
      <c r="B175" s="311" t="str">
        <f>IF(LEN('Ch5'!H177)=0,"",'Ch5'!H177)</f>
        <v/>
      </c>
      <c r="C175" s="311" t="str">
        <f t="shared" si="2"/>
        <v/>
      </c>
      <c r="D175" s="940"/>
      <c r="E175" s="940"/>
      <c r="F175" s="940"/>
      <c r="G175" s="1332"/>
      <c r="J175" s="989"/>
    </row>
    <row r="176" spans="1:10" ht="15.75" customHeight="1" thickTop="1" x14ac:dyDescent="0.3">
      <c r="A176" s="727" t="str">
        <f>IF(AND(LEN('Ch5'!W178)&gt;0,NOT('Ch5'!W178=FALSE)),"P","")</f>
        <v/>
      </c>
      <c r="B176" s="311" t="str">
        <f>IF(LEN('Ch5'!H178)=0,"",'Ch5'!H178)</f>
        <v/>
      </c>
      <c r="C176" s="311" t="str">
        <f t="shared" si="2"/>
        <v/>
      </c>
      <c r="D176" s="941" t="s">
        <v>482</v>
      </c>
      <c r="E176" s="949"/>
      <c r="F176" s="949"/>
      <c r="G176" s="1331" t="s">
        <v>483</v>
      </c>
      <c r="H176" s="89">
        <f>'Ch5'!W178</f>
        <v>0</v>
      </c>
      <c r="I176" s="89">
        <f>'Ch5'!O178</f>
        <v>0</v>
      </c>
      <c r="J176" s="1443" t="s">
        <v>4248</v>
      </c>
    </row>
    <row r="177" spans="1:10" x14ac:dyDescent="0.3">
      <c r="A177" s="727" t="str">
        <f>A176</f>
        <v/>
      </c>
      <c r="B177" s="311" t="str">
        <f>IF(LEN('Ch5'!H179)=0,"",'Ch5'!H179)</f>
        <v/>
      </c>
      <c r="C177" s="311" t="str">
        <f t="shared" si="2"/>
        <v/>
      </c>
      <c r="D177" s="939"/>
      <c r="E177" s="939"/>
      <c r="F177" s="939"/>
      <c r="G177" s="1313"/>
      <c r="J177" s="1443"/>
    </row>
    <row r="178" spans="1:10" x14ac:dyDescent="0.3">
      <c r="A178" s="727" t="str">
        <f>A177</f>
        <v/>
      </c>
      <c r="B178" s="311" t="str">
        <f>IF(LEN('Ch5'!H180)=0,"",'Ch5'!H180)</f>
        <v/>
      </c>
      <c r="C178" s="311" t="str">
        <f t="shared" si="2"/>
        <v/>
      </c>
      <c r="D178" s="939"/>
      <c r="E178" s="939"/>
      <c r="F178" s="939"/>
      <c r="G178" s="1313"/>
      <c r="J178" s="1443"/>
    </row>
    <row r="179" spans="1:10" x14ac:dyDescent="0.3">
      <c r="A179" s="727" t="str">
        <f>A178</f>
        <v/>
      </c>
      <c r="B179" s="311" t="str">
        <f>IF(LEN('Ch5'!H181)=0,"",'Ch5'!H181)</f>
        <v/>
      </c>
      <c r="C179" s="311" t="str">
        <f t="shared" si="2"/>
        <v/>
      </c>
      <c r="D179" s="939"/>
      <c r="E179" s="939"/>
      <c r="F179" s="939"/>
      <c r="G179" s="1313"/>
      <c r="J179" s="1443"/>
    </row>
    <row r="180" spans="1:10" ht="15" thickBot="1" x14ac:dyDescent="0.35">
      <c r="B180" s="311" t="str">
        <f>IF(LEN('Ch5'!H182)=0,"",'Ch5'!H182)</f>
        <v/>
      </c>
      <c r="C180" s="311" t="str">
        <f t="shared" si="2"/>
        <v/>
      </c>
      <c r="D180" s="940"/>
      <c r="E180" s="940"/>
      <c r="F180" s="940"/>
      <c r="G180" s="692" t="s">
        <v>841</v>
      </c>
      <c r="J180" s="989"/>
    </row>
    <row r="181" spans="1:10" ht="15" customHeight="1" thickTop="1" x14ac:dyDescent="0.3">
      <c r="A181" s="1196" t="str">
        <f>IF(COUNTIF(A183:A186,"P")&gt;0,"P","")</f>
        <v/>
      </c>
      <c r="B181" s="311" t="str">
        <f>IF(LEN('Ch5'!H183)=0,"",'Ch5'!H183)</f>
        <v/>
      </c>
      <c r="C181" s="311" t="str">
        <f t="shared" si="2"/>
        <v/>
      </c>
      <c r="D181" s="941" t="s">
        <v>484</v>
      </c>
      <c r="E181" s="949"/>
      <c r="F181" s="949"/>
      <c r="G181" s="1331" t="s">
        <v>485</v>
      </c>
      <c r="J181" s="989"/>
    </row>
    <row r="182" spans="1:10" x14ac:dyDescent="0.3">
      <c r="A182" s="727" t="str">
        <f>A181</f>
        <v/>
      </c>
      <c r="B182" s="311" t="str">
        <f>IF(LEN('Ch5'!H184)=0,"",'Ch5'!H184)</f>
        <v/>
      </c>
      <c r="C182" s="311" t="str">
        <f t="shared" si="2"/>
        <v/>
      </c>
      <c r="D182" s="939"/>
      <c r="E182" s="939"/>
      <c r="F182" s="939"/>
      <c r="G182" s="1313"/>
      <c r="J182" s="989"/>
    </row>
    <row r="183" spans="1:10" ht="27.6" x14ac:dyDescent="0.3">
      <c r="A183" s="727" t="str">
        <f>IF(AND(LEN('Ch5'!W185)&gt;0,NOT('Ch5'!W185=FALSE)),"P","")</f>
        <v/>
      </c>
      <c r="B183" s="311" t="str">
        <f>IF(LEN('Ch5'!H185)=0,"",'Ch5'!H185)</f>
        <v/>
      </c>
      <c r="C183" s="311" t="str">
        <f t="shared" si="2"/>
        <v/>
      </c>
      <c r="D183" s="938"/>
      <c r="E183" s="946" t="s">
        <v>271</v>
      </c>
      <c r="F183" s="948"/>
      <c r="G183" s="193" t="s">
        <v>486</v>
      </c>
      <c r="H183" s="89">
        <f>'Ch5'!W185</f>
        <v>0</v>
      </c>
      <c r="I183" s="89">
        <f>'Ch5'!O185</f>
        <v>0</v>
      </c>
      <c r="J183" s="1001" t="s">
        <v>4213</v>
      </c>
    </row>
    <row r="184" spans="1:10" ht="15" customHeight="1" x14ac:dyDescent="0.3">
      <c r="A184" s="727" t="str">
        <f>IF(AND(LEN('Ch5'!W186)&gt;0,NOT('Ch5'!W186=FALSE)),"P","")</f>
        <v/>
      </c>
      <c r="B184" s="311" t="str">
        <f>IF(LEN('Ch5'!H186)=0,"",'Ch5'!H186)</f>
        <v/>
      </c>
      <c r="C184" s="311" t="str">
        <f t="shared" si="2"/>
        <v/>
      </c>
      <c r="D184" s="938"/>
      <c r="E184" s="926" t="s">
        <v>273</v>
      </c>
      <c r="F184" s="939"/>
      <c r="G184" s="1305" t="s">
        <v>487</v>
      </c>
      <c r="H184" s="89">
        <f>'Ch5'!W186</f>
        <v>0</v>
      </c>
      <c r="I184" s="89">
        <f>'Ch5'!O186</f>
        <v>0</v>
      </c>
      <c r="J184" s="1443" t="s">
        <v>4214</v>
      </c>
    </row>
    <row r="185" spans="1:10" x14ac:dyDescent="0.3">
      <c r="A185" s="727" t="str">
        <f>A184</f>
        <v/>
      </c>
      <c r="B185" s="311" t="str">
        <f>IF(LEN('Ch5'!H187)=0,"",'Ch5'!H187)</f>
        <v/>
      </c>
      <c r="C185" s="311" t="str">
        <f t="shared" si="2"/>
        <v/>
      </c>
      <c r="D185" s="938"/>
      <c r="E185" s="946"/>
      <c r="F185" s="948"/>
      <c r="G185" s="1306"/>
      <c r="J185" s="1443"/>
    </row>
    <row r="186" spans="1:10" ht="15" customHeight="1" x14ac:dyDescent="0.3">
      <c r="A186" s="727" t="str">
        <f>IF(AND(LEN('Ch5'!W188)&gt;0,NOT('Ch5'!W188=FALSE)),"P","")</f>
        <v/>
      </c>
      <c r="B186" s="311" t="str">
        <f>IF(LEN('Ch5'!H188)=0,"",'Ch5'!H188)</f>
        <v/>
      </c>
      <c r="C186" s="311" t="str">
        <f t="shared" si="2"/>
        <v/>
      </c>
      <c r="D186" s="939"/>
      <c r="E186" s="926" t="s">
        <v>275</v>
      </c>
      <c r="F186" s="939"/>
      <c r="G186" s="1305" t="s">
        <v>488</v>
      </c>
      <c r="H186" s="89">
        <f>'Ch5'!W188</f>
        <v>0</v>
      </c>
      <c r="I186" s="89">
        <f>'Ch5'!O188</f>
        <v>0</v>
      </c>
      <c r="J186" s="1443" t="s">
        <v>4215</v>
      </c>
    </row>
    <row r="187" spans="1:10" ht="39" customHeight="1" thickBot="1" x14ac:dyDescent="0.35">
      <c r="A187" s="727" t="str">
        <f>A186</f>
        <v/>
      </c>
      <c r="B187" s="311" t="str">
        <f>IF(LEN('Ch5'!H189)=0,"",'Ch5'!H189)</f>
        <v/>
      </c>
      <c r="C187" s="311" t="str">
        <f t="shared" si="2"/>
        <v/>
      </c>
      <c r="D187" s="940"/>
      <c r="E187" s="940"/>
      <c r="F187" s="940"/>
      <c r="G187" s="1330"/>
      <c r="J187" s="1443"/>
    </row>
    <row r="188" spans="1:10" ht="15" customHeight="1" thickTop="1" x14ac:dyDescent="0.3">
      <c r="A188" s="1196" t="str">
        <f>IF(COUNTIF(A191:A214,"P")&gt;0,"P","")</f>
        <v>P</v>
      </c>
      <c r="B188" s="311" t="str">
        <f>IF(LEN('Ch5'!H190)=0,"",'Ch5'!H190)</f>
        <v/>
      </c>
      <c r="C188" s="311" t="str">
        <f t="shared" si="2"/>
        <v>P</v>
      </c>
      <c r="D188" s="925" t="s">
        <v>489</v>
      </c>
      <c r="E188" s="938"/>
      <c r="F188" s="938"/>
      <c r="G188" s="1292" t="s">
        <v>490</v>
      </c>
      <c r="J188" s="989"/>
    </row>
    <row r="189" spans="1:10" x14ac:dyDescent="0.3">
      <c r="A189" s="727" t="str">
        <f>A188</f>
        <v>P</v>
      </c>
      <c r="B189" s="311" t="str">
        <f>IF(LEN('Ch5'!H191)=0,"",'Ch5'!H191)</f>
        <v/>
      </c>
      <c r="C189" s="311" t="str">
        <f t="shared" si="2"/>
        <v>P</v>
      </c>
      <c r="D189" s="938"/>
      <c r="E189" s="938"/>
      <c r="F189" s="938"/>
      <c r="G189" s="1292"/>
      <c r="J189" s="989"/>
    </row>
    <row r="190" spans="1:10" x14ac:dyDescent="0.3">
      <c r="A190" s="727" t="str">
        <f>A189</f>
        <v>P</v>
      </c>
      <c r="B190" s="311" t="str">
        <f>IF(LEN('Ch5'!H192)=0,"",'Ch5'!H192)</f>
        <v/>
      </c>
      <c r="C190" s="311" t="str">
        <f t="shared" si="2"/>
        <v>P</v>
      </c>
      <c r="D190" s="938"/>
      <c r="E190" s="938"/>
      <c r="F190" s="938"/>
      <c r="G190" s="1292"/>
      <c r="J190" s="989"/>
    </row>
    <row r="191" spans="1:10" ht="15" customHeight="1" x14ac:dyDescent="0.3">
      <c r="A191" s="727" t="str">
        <f>IF(AND(LEN('Ch5'!W193)&gt;0,NOT('Ch5'!W193=FALSE)),"P","")</f>
        <v>P</v>
      </c>
      <c r="B191" s="311" t="str">
        <f>IF(LEN('Ch5'!H193)=0,"",'Ch5'!H193)</f>
        <v/>
      </c>
      <c r="C191" s="311" t="str">
        <f t="shared" si="2"/>
        <v>P</v>
      </c>
      <c r="D191" s="938"/>
      <c r="E191" s="926" t="s">
        <v>271</v>
      </c>
      <c r="F191" s="939"/>
      <c r="G191" s="1305" t="s">
        <v>491</v>
      </c>
      <c r="H191" s="89" t="b">
        <f>'Ch5'!W193</f>
        <v>1</v>
      </c>
      <c r="I191" s="89">
        <f>'Ch5'!O193</f>
        <v>5</v>
      </c>
      <c r="J191" s="1439" t="s">
        <v>4216</v>
      </c>
    </row>
    <row r="192" spans="1:10" x14ac:dyDescent="0.3">
      <c r="A192" s="727" t="str">
        <f>A191</f>
        <v>P</v>
      </c>
      <c r="B192" s="311" t="str">
        <f>IF(LEN('Ch5'!H194)=0,"",'Ch5'!H194)</f>
        <v/>
      </c>
      <c r="C192" s="311" t="str">
        <f t="shared" si="2"/>
        <v>P</v>
      </c>
      <c r="D192" s="938"/>
      <c r="E192" s="946"/>
      <c r="F192" s="948"/>
      <c r="G192" s="1306"/>
      <c r="J192" s="1439"/>
    </row>
    <row r="193" spans="1:10" ht="27.6" x14ac:dyDescent="0.3">
      <c r="A193" s="727" t="str">
        <f>IF(AND(LEN('Ch5'!W195)&gt;0,NOT('Ch5'!W195=FALSE)),"P","")</f>
        <v>P</v>
      </c>
      <c r="B193" s="311" t="str">
        <f>IF(LEN('Ch5'!H195)=0,"",'Ch5'!H195)</f>
        <v/>
      </c>
      <c r="C193" s="311" t="str">
        <f t="shared" si="2"/>
        <v>P</v>
      </c>
      <c r="D193" s="938"/>
      <c r="E193" s="946" t="s">
        <v>273</v>
      </c>
      <c r="F193" s="948"/>
      <c r="G193" s="193" t="s">
        <v>492</v>
      </c>
      <c r="H193" s="89" t="b">
        <f>'Ch5'!W195</f>
        <v>1</v>
      </c>
      <c r="I193" s="89">
        <f>'Ch5'!O195</f>
        <v>5</v>
      </c>
      <c r="J193" s="1001" t="s">
        <v>4217</v>
      </c>
    </row>
    <row r="194" spans="1:10" ht="15" customHeight="1" x14ac:dyDescent="0.3">
      <c r="A194" s="727" t="str">
        <f>IF(AND(LEN('Ch5'!W196)&gt;0,NOT('Ch5'!W196=FALSE)),"P","")</f>
        <v/>
      </c>
      <c r="B194" s="311" t="str">
        <f>IF(LEN('Ch5'!H196)=0,"",'Ch5'!H196)</f>
        <v/>
      </c>
      <c r="C194" s="311" t="str">
        <f t="shared" si="2"/>
        <v/>
      </c>
      <c r="D194" s="938"/>
      <c r="E194" s="926" t="s">
        <v>275</v>
      </c>
      <c r="F194" s="939"/>
      <c r="G194" s="1305" t="s">
        <v>493</v>
      </c>
      <c r="H194" s="89">
        <f>'Ch5'!W196</f>
        <v>0</v>
      </c>
      <c r="I194" s="89">
        <f>'Ch5'!O196</f>
        <v>0</v>
      </c>
      <c r="J194" s="1443" t="s">
        <v>4218</v>
      </c>
    </row>
    <row r="195" spans="1:10" x14ac:dyDescent="0.3">
      <c r="A195" s="727" t="str">
        <f>A194</f>
        <v/>
      </c>
      <c r="B195" s="311" t="str">
        <f>IF(LEN('Ch5'!H197)=0,"",'Ch5'!H197)</f>
        <v/>
      </c>
      <c r="C195" s="311" t="str">
        <f t="shared" si="2"/>
        <v/>
      </c>
      <c r="D195" s="938"/>
      <c r="E195" s="948"/>
      <c r="F195" s="948"/>
      <c r="G195" s="1306"/>
      <c r="J195" s="1443"/>
    </row>
    <row r="196" spans="1:10" ht="15" customHeight="1" x14ac:dyDescent="0.3">
      <c r="A196" s="727" t="str">
        <f>IF(AND(LEN('Ch5'!W198)&gt;0,NOT('Ch5'!W198=FALSE)),"P","")</f>
        <v/>
      </c>
      <c r="B196" s="311" t="str">
        <f>IF(LEN('Ch5'!H198)=0,"",'Ch5'!H198)</f>
        <v/>
      </c>
      <c r="C196" s="311" t="str">
        <f t="shared" si="2"/>
        <v/>
      </c>
      <c r="D196" s="938"/>
      <c r="E196" s="926" t="s">
        <v>285</v>
      </c>
      <c r="F196" s="939"/>
      <c r="G196" s="1305" t="s">
        <v>494</v>
      </c>
      <c r="H196" s="89">
        <f>'Ch5'!W198</f>
        <v>0</v>
      </c>
      <c r="I196" s="89">
        <f>'Ch5'!O198</f>
        <v>0</v>
      </c>
      <c r="J196" s="1443" t="s">
        <v>4219</v>
      </c>
    </row>
    <row r="197" spans="1:10" x14ac:dyDescent="0.3">
      <c r="A197" s="727" t="str">
        <f>A196</f>
        <v/>
      </c>
      <c r="B197" s="311" t="str">
        <f>IF(LEN('Ch5'!H199)=0,"",'Ch5'!H199)</f>
        <v/>
      </c>
      <c r="C197" s="311" t="str">
        <f t="shared" si="2"/>
        <v/>
      </c>
      <c r="D197" s="938"/>
      <c r="E197" s="948"/>
      <c r="F197" s="948"/>
      <c r="G197" s="1306"/>
      <c r="J197" s="1443"/>
    </row>
    <row r="198" spans="1:10" ht="15" customHeight="1" x14ac:dyDescent="0.3">
      <c r="A198" s="727" t="str">
        <f>IF(AND(LEN('Ch5'!W200)&gt;0,NOT('Ch5'!W200=FALSE)),"P","")</f>
        <v/>
      </c>
      <c r="B198" s="311" t="str">
        <f>IF(LEN('Ch5'!H200)=0,"",'Ch5'!H200)</f>
        <v/>
      </c>
      <c r="C198" s="311" t="str">
        <f t="shared" si="2"/>
        <v/>
      </c>
      <c r="D198" s="938"/>
      <c r="E198" s="926" t="s">
        <v>291</v>
      </c>
      <c r="F198" s="939"/>
      <c r="G198" s="1305" t="s">
        <v>495</v>
      </c>
      <c r="H198" s="89">
        <f>'Ch5'!W200</f>
        <v>0</v>
      </c>
      <c r="I198" s="89">
        <f>'Ch5'!O200</f>
        <v>0</v>
      </c>
      <c r="J198" s="1443" t="s">
        <v>4220</v>
      </c>
    </row>
    <row r="199" spans="1:10" x14ac:dyDescent="0.3">
      <c r="A199" s="727" t="str">
        <f>A198</f>
        <v/>
      </c>
      <c r="B199" s="311" t="str">
        <f>IF(LEN('Ch5'!H201)=0,"",'Ch5'!H201)</f>
        <v/>
      </c>
      <c r="C199" s="311" t="str">
        <f t="shared" si="2"/>
        <v/>
      </c>
      <c r="D199" s="938"/>
      <c r="E199" s="939"/>
      <c r="F199" s="939"/>
      <c r="G199" s="1305"/>
      <c r="J199" s="1443"/>
    </row>
    <row r="200" spans="1:10" x14ac:dyDescent="0.3">
      <c r="A200" s="727" t="str">
        <f>A199</f>
        <v/>
      </c>
      <c r="B200" s="311" t="str">
        <f>IF(LEN('Ch5'!H202)=0,"",'Ch5'!H202)</f>
        <v/>
      </c>
      <c r="C200" s="311" t="str">
        <f t="shared" ref="C200:C263" si="3">IF(LEN(B200)=0,IF(A200="P","P",""),B200)</f>
        <v/>
      </c>
      <c r="D200" s="938"/>
      <c r="E200" s="939"/>
      <c r="F200" s="939"/>
      <c r="G200" s="1305"/>
      <c r="J200" s="1443"/>
    </row>
    <row r="201" spans="1:10" x14ac:dyDescent="0.3">
      <c r="A201" s="727" t="str">
        <f>A200</f>
        <v/>
      </c>
      <c r="B201" s="311" t="str">
        <f>IF(LEN('Ch5'!H203)=0,"",'Ch5'!H203)</f>
        <v/>
      </c>
      <c r="C201" s="311" t="str">
        <f t="shared" si="3"/>
        <v/>
      </c>
      <c r="D201" s="938"/>
      <c r="E201" s="948"/>
      <c r="F201" s="948"/>
      <c r="G201" s="1306"/>
      <c r="J201" s="1443"/>
    </row>
    <row r="202" spans="1:10" ht="15" customHeight="1" x14ac:dyDescent="0.3">
      <c r="A202" s="727" t="str">
        <f>IF(AND(LEN('Ch5'!W204)&gt;0,NOT('Ch5'!W204=FALSE)),"P","")</f>
        <v/>
      </c>
      <c r="B202" s="311" t="str">
        <f>IF(LEN('Ch5'!H204)=0,"",'Ch5'!H204)</f>
        <v/>
      </c>
      <c r="C202" s="311" t="str">
        <f t="shared" si="3"/>
        <v/>
      </c>
      <c r="D202" s="938"/>
      <c r="E202" s="926" t="s">
        <v>293</v>
      </c>
      <c r="F202" s="939"/>
      <c r="G202" s="1305" t="s">
        <v>496</v>
      </c>
      <c r="H202" s="89">
        <f>'Ch5'!W204</f>
        <v>0</v>
      </c>
      <c r="I202" s="89">
        <f>'Ch5'!O204</f>
        <v>0</v>
      </c>
      <c r="J202" s="1439" t="s">
        <v>4221</v>
      </c>
    </row>
    <row r="203" spans="1:10" x14ac:dyDescent="0.3">
      <c r="A203" s="727" t="str">
        <f>A202</f>
        <v/>
      </c>
      <c r="B203" s="311" t="str">
        <f>IF(LEN('Ch5'!H205)=0,"",'Ch5'!H205)</f>
        <v/>
      </c>
      <c r="C203" s="311" t="str">
        <f t="shared" si="3"/>
        <v/>
      </c>
      <c r="D203" s="938"/>
      <c r="E203" s="939"/>
      <c r="F203" s="939"/>
      <c r="G203" s="1305"/>
      <c r="J203" s="1439"/>
    </row>
    <row r="204" spans="1:10" x14ac:dyDescent="0.3">
      <c r="A204" s="727" t="str">
        <f>A203</f>
        <v/>
      </c>
      <c r="B204" s="311" t="str">
        <f>IF(LEN('Ch5'!H206)=0,"",'Ch5'!H206)</f>
        <v/>
      </c>
      <c r="C204" s="311" t="str">
        <f t="shared" si="3"/>
        <v/>
      </c>
      <c r="D204" s="938"/>
      <c r="E204" s="948"/>
      <c r="F204" s="948"/>
      <c r="G204" s="1306"/>
      <c r="J204" s="1439"/>
    </row>
    <row r="205" spans="1:10" ht="55.2" x14ac:dyDescent="0.3">
      <c r="A205" s="727" t="str">
        <f>IF(AND(LEN('Ch5'!W207)&gt;0,NOT('Ch5'!W207=FALSE)),"P","")</f>
        <v/>
      </c>
      <c r="B205" s="311" t="str">
        <f>IF(LEN('Ch5'!H207)=0,"",'Ch5'!H207)</f>
        <v/>
      </c>
      <c r="C205" s="311" t="str">
        <f t="shared" si="3"/>
        <v/>
      </c>
      <c r="D205" s="938"/>
      <c r="E205" s="946" t="s">
        <v>405</v>
      </c>
      <c r="F205" s="948"/>
      <c r="G205" s="193" t="s">
        <v>497</v>
      </c>
      <c r="H205" s="89">
        <f>'Ch5'!W207</f>
        <v>0</v>
      </c>
      <c r="I205" s="89">
        <f>'Ch5'!O207</f>
        <v>0</v>
      </c>
      <c r="J205" s="1001" t="s">
        <v>4222</v>
      </c>
    </row>
    <row r="206" spans="1:10" x14ac:dyDescent="0.3">
      <c r="A206" s="727" t="str">
        <f>IF('Ch5'!O208&gt;0,"P","")</f>
        <v/>
      </c>
      <c r="B206" s="311" t="str">
        <f>IF(LEN('Ch5'!H208)=0,"",'Ch5'!H208)</f>
        <v/>
      </c>
      <c r="C206" s="311" t="str">
        <f t="shared" si="3"/>
        <v/>
      </c>
      <c r="D206" s="938"/>
      <c r="E206" s="926" t="s">
        <v>456</v>
      </c>
      <c r="F206" s="939"/>
      <c r="G206" s="666" t="s">
        <v>3180</v>
      </c>
      <c r="I206" s="89">
        <f>'Ch5'!O208</f>
        <v>0</v>
      </c>
      <c r="J206" s="1443" t="s">
        <v>4223</v>
      </c>
    </row>
    <row r="207" spans="1:10" ht="15" customHeight="1" x14ac:dyDescent="0.3">
      <c r="A207" s="727" t="str">
        <f t="shared" ref="A207:A212" si="4">A206</f>
        <v/>
      </c>
      <c r="B207" s="311" t="str">
        <f>IF(LEN('Ch5'!H209)=0,"",'Ch5'!H209)</f>
        <v/>
      </c>
      <c r="C207" s="311" t="str">
        <f t="shared" si="3"/>
        <v/>
      </c>
      <c r="D207" s="938"/>
      <c r="E207" s="939"/>
      <c r="F207" s="939"/>
      <c r="G207" s="666" t="s">
        <v>3186</v>
      </c>
      <c r="H207" s="89">
        <f>'Ch5'!W209</f>
        <v>0</v>
      </c>
      <c r="J207" s="1443"/>
    </row>
    <row r="208" spans="1:10" x14ac:dyDescent="0.3">
      <c r="A208" s="727" t="str">
        <f t="shared" si="4"/>
        <v/>
      </c>
      <c r="B208" s="311" t="str">
        <f>IF(LEN('Ch5'!H210)=0,"",'Ch5'!H210)</f>
        <v/>
      </c>
      <c r="C208" s="311" t="str">
        <f t="shared" si="3"/>
        <v/>
      </c>
      <c r="D208" s="938"/>
      <c r="E208" s="939"/>
      <c r="F208" s="939"/>
      <c r="G208" s="666" t="s">
        <v>3185</v>
      </c>
      <c r="H208" s="89">
        <f>'Ch5'!W210</f>
        <v>0</v>
      </c>
      <c r="J208" s="1443"/>
    </row>
    <row r="209" spans="1:10" x14ac:dyDescent="0.3">
      <c r="A209" s="727" t="str">
        <f t="shared" si="4"/>
        <v/>
      </c>
      <c r="B209" s="311" t="str">
        <f>IF(LEN('Ch5'!H211)=0,"",'Ch5'!H211)</f>
        <v/>
      </c>
      <c r="C209" s="311" t="str">
        <f t="shared" si="3"/>
        <v/>
      </c>
      <c r="D209" s="938"/>
      <c r="E209" s="939"/>
      <c r="F209" s="939"/>
      <c r="G209" s="666" t="s">
        <v>3184</v>
      </c>
      <c r="H209" s="89">
        <f>'Ch5'!W211</f>
        <v>0</v>
      </c>
      <c r="J209" s="1443"/>
    </row>
    <row r="210" spans="1:10" x14ac:dyDescent="0.3">
      <c r="A210" s="727" t="str">
        <f t="shared" si="4"/>
        <v/>
      </c>
      <c r="B210" s="311" t="str">
        <f>IF(LEN('Ch5'!H212)=0,"",'Ch5'!H212)</f>
        <v/>
      </c>
      <c r="C210" s="311" t="str">
        <f t="shared" si="3"/>
        <v/>
      </c>
      <c r="D210" s="938"/>
      <c r="E210" s="939"/>
      <c r="F210" s="939"/>
      <c r="G210" s="666" t="s">
        <v>3183</v>
      </c>
      <c r="H210" s="89">
        <f>'Ch5'!W212</f>
        <v>0</v>
      </c>
      <c r="J210" s="1443"/>
    </row>
    <row r="211" spans="1:10" x14ac:dyDescent="0.3">
      <c r="A211" s="727" t="str">
        <f t="shared" si="4"/>
        <v/>
      </c>
      <c r="B211" s="311" t="str">
        <f>IF(LEN('Ch5'!H213)=0,"",'Ch5'!H213)</f>
        <v/>
      </c>
      <c r="C211" s="311" t="str">
        <f t="shared" si="3"/>
        <v/>
      </c>
      <c r="D211" s="938"/>
      <c r="E211" s="939"/>
      <c r="F211" s="939"/>
      <c r="G211" s="666" t="s">
        <v>3182</v>
      </c>
      <c r="H211" s="89">
        <f>'Ch5'!W213</f>
        <v>0</v>
      </c>
      <c r="J211" s="1443"/>
    </row>
    <row r="212" spans="1:10" x14ac:dyDescent="0.3">
      <c r="A212" s="727" t="str">
        <f t="shared" si="4"/>
        <v/>
      </c>
      <c r="B212" s="311" t="str">
        <f>IF(LEN('Ch5'!H214)=0,"",'Ch5'!H214)</f>
        <v/>
      </c>
      <c r="C212" s="311" t="str">
        <f t="shared" si="3"/>
        <v/>
      </c>
      <c r="D212" s="938"/>
      <c r="E212" s="939"/>
      <c r="F212" s="939"/>
      <c r="G212" s="666" t="s">
        <v>3181</v>
      </c>
      <c r="H212" s="89">
        <f>'Ch5'!W214</f>
        <v>0</v>
      </c>
      <c r="J212" s="1443"/>
    </row>
    <row r="213" spans="1:10" x14ac:dyDescent="0.3">
      <c r="B213" s="311" t="str">
        <f>IF(LEN('Ch5'!H215)=0,"",'Ch5'!H215)</f>
        <v/>
      </c>
      <c r="C213" s="311" t="str">
        <f t="shared" si="3"/>
        <v/>
      </c>
      <c r="D213" s="938"/>
      <c r="E213" s="948"/>
      <c r="F213" s="948"/>
      <c r="G213" s="688" t="s">
        <v>3179</v>
      </c>
      <c r="J213" s="989"/>
    </row>
    <row r="214" spans="1:10" x14ac:dyDescent="0.3">
      <c r="A214" s="727" t="str">
        <f>IF(AND(LEN('Ch5'!W216)&gt;0,NOT('Ch5'!W216=FALSE)),"P","")</f>
        <v>P</v>
      </c>
      <c r="B214" s="311" t="str">
        <f>IF(LEN('Ch5'!H216)=0,"",'Ch5'!H216)</f>
        <v/>
      </c>
      <c r="C214" s="311" t="str">
        <f t="shared" si="3"/>
        <v>P</v>
      </c>
      <c r="D214" s="938"/>
      <c r="E214" s="925" t="s">
        <v>458</v>
      </c>
      <c r="F214" s="938"/>
      <c r="G214" s="86" t="s">
        <v>498</v>
      </c>
      <c r="H214" s="89" t="b">
        <f>'Ch5'!W216</f>
        <v>1</v>
      </c>
      <c r="I214" s="89">
        <f>'Ch5'!O216</f>
        <v>3</v>
      </c>
      <c r="J214" s="989" t="s">
        <v>4397</v>
      </c>
    </row>
    <row r="215" spans="1:10" ht="18" x14ac:dyDescent="0.3">
      <c r="A215" s="727" t="s">
        <v>4389</v>
      </c>
      <c r="B215" s="311" t="str">
        <f>IF(LEN('Ch5'!H217)=0,"",'Ch5'!H217)</f>
        <v/>
      </c>
      <c r="C215" s="311" t="str">
        <f t="shared" si="3"/>
        <v>P</v>
      </c>
      <c r="D215" s="72" t="s">
        <v>500</v>
      </c>
      <c r="E215" s="72"/>
      <c r="F215" s="72"/>
      <c r="G215" s="87"/>
      <c r="H215" s="87"/>
      <c r="I215" s="87"/>
      <c r="J215" s="1000"/>
    </row>
    <row r="216" spans="1:10" ht="15" customHeight="1" x14ac:dyDescent="0.3">
      <c r="B216" s="311" t="str">
        <f>IF(LEN('Ch5'!H218)=0,"",'Ch5'!H218)</f>
        <v/>
      </c>
      <c r="C216" s="311" t="str">
        <f t="shared" si="3"/>
        <v/>
      </c>
      <c r="D216" s="939" t="s">
        <v>4437</v>
      </c>
      <c r="E216" s="939"/>
      <c r="F216" s="939"/>
      <c r="G216" s="1313" t="s">
        <v>501</v>
      </c>
      <c r="J216" s="989"/>
    </row>
    <row r="217" spans="1:10" x14ac:dyDescent="0.3">
      <c r="B217" s="311" t="str">
        <f>IF(LEN('Ch5'!H219)=0,"",'Ch5'!H219)</f>
        <v/>
      </c>
      <c r="C217" s="311" t="str">
        <f t="shared" si="3"/>
        <v/>
      </c>
      <c r="D217" s="939"/>
      <c r="E217" s="939"/>
      <c r="F217" s="939"/>
      <c r="G217" s="1313"/>
      <c r="J217" s="989"/>
    </row>
    <row r="218" spans="1:10" ht="15" thickBot="1" x14ac:dyDescent="0.35">
      <c r="B218" s="311" t="str">
        <f>IF(LEN('Ch5'!H220)=0,"",'Ch5'!H220)</f>
        <v/>
      </c>
      <c r="C218" s="311" t="str">
        <f t="shared" si="3"/>
        <v/>
      </c>
      <c r="D218" s="940"/>
      <c r="E218" s="940"/>
      <c r="F218" s="940"/>
      <c r="G218" s="1332"/>
      <c r="J218" s="989"/>
    </row>
    <row r="219" spans="1:10" ht="15" customHeight="1" thickTop="1" x14ac:dyDescent="0.3">
      <c r="A219" s="1196" t="str">
        <f>IF(COUNTIF(A221:A228,"P")&gt;0,"P","")</f>
        <v/>
      </c>
      <c r="B219" s="311" t="str">
        <f>IF(LEN('Ch5'!H221)=0,"",'Ch5'!H221)</f>
        <v/>
      </c>
      <c r="C219" s="311" t="str">
        <f t="shared" si="3"/>
        <v/>
      </c>
      <c r="D219" s="925" t="s">
        <v>502</v>
      </c>
      <c r="E219" s="938"/>
      <c r="F219" s="938"/>
      <c r="G219" s="1292" t="s">
        <v>503</v>
      </c>
      <c r="J219" s="989"/>
    </row>
    <row r="220" spans="1:10" x14ac:dyDescent="0.3">
      <c r="A220" s="727" t="str">
        <f>A219</f>
        <v/>
      </c>
      <c r="B220" s="311" t="str">
        <f>IF(LEN('Ch5'!H222)=0,"",'Ch5'!H222)</f>
        <v/>
      </c>
      <c r="C220" s="311" t="str">
        <f t="shared" si="3"/>
        <v/>
      </c>
      <c r="D220" s="938"/>
      <c r="E220" s="938"/>
      <c r="F220" s="938"/>
      <c r="G220" s="1292"/>
      <c r="J220" s="989"/>
    </row>
    <row r="221" spans="1:10" ht="15" customHeight="1" x14ac:dyDescent="0.3">
      <c r="A221" s="727" t="str">
        <f>IF(AND(LEN('Ch5'!W223)&gt;0,NOT('Ch5'!W223=FALSE)),"P","")</f>
        <v/>
      </c>
      <c r="B221" s="311" t="str">
        <f>IF(LEN('Ch5'!H223)=0,"",'Ch5'!H223)</f>
        <v/>
      </c>
      <c r="C221" s="311" t="str">
        <f t="shared" si="3"/>
        <v/>
      </c>
      <c r="D221" s="938"/>
      <c r="E221" s="926" t="s">
        <v>271</v>
      </c>
      <c r="F221" s="939"/>
      <c r="G221" s="1305" t="s">
        <v>504</v>
      </c>
      <c r="H221" s="89">
        <f>'Ch5'!W223</f>
        <v>0</v>
      </c>
      <c r="I221" s="89">
        <f>'Ch5'!O223</f>
        <v>0</v>
      </c>
      <c r="J221" s="1439" t="s">
        <v>4224</v>
      </c>
    </row>
    <row r="222" spans="1:10" x14ac:dyDescent="0.3">
      <c r="A222" s="727" t="str">
        <f>A221</f>
        <v/>
      </c>
      <c r="B222" s="311" t="str">
        <f>IF(LEN('Ch5'!H224)=0,"",'Ch5'!H224)</f>
        <v/>
      </c>
      <c r="C222" s="311" t="str">
        <f t="shared" si="3"/>
        <v/>
      </c>
      <c r="D222" s="938"/>
      <c r="E222" s="946"/>
      <c r="F222" s="948"/>
      <c r="G222" s="1306"/>
      <c r="J222" s="1439"/>
    </row>
    <row r="223" spans="1:10" x14ac:dyDescent="0.3">
      <c r="A223" s="727" t="str">
        <f>IF(AND(LEN('Ch5'!W225)&gt;0,NOT('Ch5'!W225=FALSE)),"P","")</f>
        <v/>
      </c>
      <c r="B223" s="311" t="str">
        <f>IF(LEN('Ch5'!H225)=0,"",'Ch5'!H225)</f>
        <v/>
      </c>
      <c r="C223" s="311" t="str">
        <f t="shared" si="3"/>
        <v/>
      </c>
      <c r="D223" s="938"/>
      <c r="E223" s="946" t="s">
        <v>273</v>
      </c>
      <c r="F223" s="948"/>
      <c r="G223" s="193" t="s">
        <v>505</v>
      </c>
      <c r="H223" s="89">
        <f>'Ch5'!W225</f>
        <v>0</v>
      </c>
      <c r="I223" s="89">
        <f ca="1">'Ch5'!O225</f>
        <v>0</v>
      </c>
      <c r="J223" s="989" t="s">
        <v>4225</v>
      </c>
    </row>
    <row r="224" spans="1:10" x14ac:dyDescent="0.3">
      <c r="A224" s="727" t="str">
        <f>IF(AND(LEN('Ch5'!W226)&gt;0,NOT('Ch5'!W226=FALSE)),"P","")</f>
        <v/>
      </c>
      <c r="B224" s="311" t="str">
        <f>IF(LEN('Ch5'!H226)=0,"",'Ch5'!H226)</f>
        <v/>
      </c>
      <c r="C224" s="311" t="str">
        <f t="shared" si="3"/>
        <v/>
      </c>
      <c r="D224" s="938"/>
      <c r="E224" s="925" t="s">
        <v>275</v>
      </c>
      <c r="F224" s="938"/>
      <c r="G224" s="86" t="s">
        <v>506</v>
      </c>
      <c r="H224" s="89">
        <f>'Ch5'!W226</f>
        <v>0</v>
      </c>
      <c r="I224" s="89">
        <f ca="1">'Ch5'!O226</f>
        <v>0</v>
      </c>
      <c r="J224" s="989" t="s">
        <v>4226</v>
      </c>
    </row>
    <row r="225" spans="1:10" x14ac:dyDescent="0.3">
      <c r="B225" s="311" t="str">
        <f>IF(LEN('Ch5'!H227)=0,"",'Ch5'!H227)</f>
        <v/>
      </c>
      <c r="C225" s="311" t="str">
        <f t="shared" si="3"/>
        <v/>
      </c>
      <c r="E225" s="938"/>
      <c r="F225" s="925" t="s">
        <v>121</v>
      </c>
      <c r="G225" s="86" t="s">
        <v>507</v>
      </c>
      <c r="J225" s="989"/>
    </row>
    <row r="226" spans="1:10" x14ac:dyDescent="0.3">
      <c r="B226" s="311" t="str">
        <f>IF(LEN('Ch5'!H228)=0,"",'Ch5'!H228)</f>
        <v/>
      </c>
      <c r="C226" s="311" t="str">
        <f t="shared" si="3"/>
        <v/>
      </c>
      <c r="E226" s="938"/>
      <c r="F226" s="925" t="s">
        <v>122</v>
      </c>
      <c r="G226" s="86" t="s">
        <v>508</v>
      </c>
      <c r="J226" s="989"/>
    </row>
    <row r="227" spans="1:10" x14ac:dyDescent="0.3">
      <c r="B227" s="311" t="str">
        <f>IF(LEN('Ch5'!H229)=0,"",'Ch5'!H229)</f>
        <v/>
      </c>
      <c r="C227" s="311" t="str">
        <f t="shared" si="3"/>
        <v/>
      </c>
      <c r="E227" s="948"/>
      <c r="F227" s="950" t="s">
        <v>123</v>
      </c>
      <c r="G227" s="193" t="s">
        <v>413</v>
      </c>
      <c r="J227" s="989"/>
    </row>
    <row r="228" spans="1:10" ht="15" customHeight="1" x14ac:dyDescent="0.3">
      <c r="A228" s="727" t="str">
        <f>IF(AND(LEN('Ch5'!W230)&gt;0,NOT('Ch5'!W230=FALSE)),"P","")</f>
        <v/>
      </c>
      <c r="B228" s="311" t="str">
        <f>IF(LEN('Ch5'!H230)=0,"",'Ch5'!H230)</f>
        <v/>
      </c>
      <c r="C228" s="311" t="str">
        <f t="shared" si="3"/>
        <v/>
      </c>
      <c r="D228" s="938"/>
      <c r="E228" s="925" t="s">
        <v>285</v>
      </c>
      <c r="F228" s="938"/>
      <c r="G228" s="1329" t="s">
        <v>509</v>
      </c>
      <c r="H228" s="89">
        <f>'Ch5'!W230</f>
        <v>0</v>
      </c>
      <c r="I228" s="89">
        <f ca="1">'Ch5'!O230</f>
        <v>0</v>
      </c>
      <c r="J228" s="1439" t="s">
        <v>4227</v>
      </c>
    </row>
    <row r="229" spans="1:10" x14ac:dyDescent="0.3">
      <c r="A229" s="727" t="str">
        <f>A228</f>
        <v/>
      </c>
      <c r="B229" s="311" t="str">
        <f>IF(LEN('Ch5'!H231)=0,"",'Ch5'!H231)</f>
        <v/>
      </c>
      <c r="C229" s="311" t="str">
        <f t="shared" si="3"/>
        <v/>
      </c>
      <c r="D229" s="938"/>
      <c r="E229" s="938"/>
      <c r="F229" s="938"/>
      <c r="G229" s="1329"/>
      <c r="J229" s="1439"/>
    </row>
    <row r="230" spans="1:10" x14ac:dyDescent="0.3">
      <c r="B230" s="311" t="str">
        <f>IF(LEN('Ch5'!H232)=0,"",'Ch5'!H232)</f>
        <v/>
      </c>
      <c r="C230" s="311" t="str">
        <f t="shared" si="3"/>
        <v/>
      </c>
      <c r="E230" s="938"/>
      <c r="F230" s="925" t="s">
        <v>121</v>
      </c>
      <c r="G230" s="86" t="s">
        <v>510</v>
      </c>
      <c r="J230" s="989"/>
    </row>
    <row r="231" spans="1:10" x14ac:dyDescent="0.3">
      <c r="B231" s="311" t="str">
        <f>IF(LEN('Ch5'!H233)=0,"",'Ch5'!H233)</f>
        <v/>
      </c>
      <c r="C231" s="311" t="str">
        <f t="shared" si="3"/>
        <v/>
      </c>
      <c r="E231" s="938"/>
      <c r="F231" s="925" t="s">
        <v>122</v>
      </c>
      <c r="G231" s="86" t="s">
        <v>412</v>
      </c>
      <c r="J231" s="989"/>
    </row>
    <row r="232" spans="1:10" ht="15" thickBot="1" x14ac:dyDescent="0.35">
      <c r="B232" s="311" t="str">
        <f>IF(LEN('Ch5'!H234)=0,"",'Ch5'!H234)</f>
        <v/>
      </c>
      <c r="C232" s="311" t="str">
        <f t="shared" si="3"/>
        <v/>
      </c>
      <c r="D232" s="942"/>
      <c r="E232" s="940"/>
      <c r="F232" s="952" t="s">
        <v>123</v>
      </c>
      <c r="G232" s="100" t="s">
        <v>413</v>
      </c>
      <c r="J232" s="989"/>
    </row>
    <row r="233" spans="1:10" ht="15" thickTop="1" x14ac:dyDescent="0.3">
      <c r="A233" s="1196" t="str">
        <f>IF(COUNTIF(A234:A244,"P")&gt;0,"P","")</f>
        <v>P</v>
      </c>
      <c r="B233" s="311" t="str">
        <f>IF(LEN('Ch5'!H235)=0,"",'Ch5'!H235)</f>
        <v/>
      </c>
      <c r="C233" s="311" t="str">
        <f t="shared" si="3"/>
        <v>P</v>
      </c>
      <c r="D233" s="941" t="s">
        <v>512</v>
      </c>
      <c r="E233" s="949"/>
      <c r="F233" s="949"/>
      <c r="G233" s="135" t="s">
        <v>513</v>
      </c>
      <c r="J233" s="989"/>
    </row>
    <row r="234" spans="1:10" ht="15" customHeight="1" x14ac:dyDescent="0.3">
      <c r="A234" s="727" t="str">
        <f>IF('Ch5'!O236&gt;0,"P","")</f>
        <v>P</v>
      </c>
      <c r="B234" s="311" t="str">
        <f>IF(LEN('Ch5'!H236)=0,"",'Ch5'!H236)</f>
        <v/>
      </c>
      <c r="C234" s="311" t="str">
        <f t="shared" si="3"/>
        <v>P</v>
      </c>
      <c r="D234" s="938"/>
      <c r="E234" s="925" t="s">
        <v>271</v>
      </c>
      <c r="F234" s="938"/>
      <c r="G234" s="1329" t="s">
        <v>514</v>
      </c>
      <c r="I234" s="89">
        <f>'Ch5'!O236</f>
        <v>5</v>
      </c>
      <c r="J234" s="1443" t="s">
        <v>4228</v>
      </c>
    </row>
    <row r="235" spans="1:10" x14ac:dyDescent="0.3">
      <c r="A235" s="727" t="str">
        <f>A234</f>
        <v>P</v>
      </c>
      <c r="B235" s="311" t="str">
        <f>IF(LEN('Ch5'!H237)=0,"",'Ch5'!H237)</f>
        <v/>
      </c>
      <c r="C235" s="311" t="str">
        <f t="shared" si="3"/>
        <v>P</v>
      </c>
      <c r="D235" s="938"/>
      <c r="E235" s="938"/>
      <c r="F235" s="938"/>
      <c r="G235" s="1329"/>
      <c r="J235" s="1443"/>
    </row>
    <row r="236" spans="1:10" ht="15" customHeight="1" x14ac:dyDescent="0.3">
      <c r="B236" s="311" t="str">
        <f>IF(LEN('Ch5'!H238)=0,"",'Ch5'!H238)</f>
        <v/>
      </c>
      <c r="C236" s="311" t="str">
        <f t="shared" si="3"/>
        <v/>
      </c>
      <c r="E236" s="938"/>
      <c r="F236" s="925" t="s">
        <v>121</v>
      </c>
      <c r="G236" s="1329" t="s">
        <v>515</v>
      </c>
      <c r="H236" s="89">
        <f>'Ch5'!W238</f>
        <v>0</v>
      </c>
      <c r="J236" s="996"/>
    </row>
    <row r="237" spans="1:10" x14ac:dyDescent="0.3">
      <c r="B237" s="311" t="str">
        <f>IF(LEN('Ch5'!H239)=0,"",'Ch5'!H239)</f>
        <v/>
      </c>
      <c r="C237" s="311" t="str">
        <f t="shared" si="3"/>
        <v/>
      </c>
      <c r="E237" s="938"/>
      <c r="F237" s="938"/>
      <c r="G237" s="1329"/>
      <c r="J237" s="996"/>
    </row>
    <row r="238" spans="1:10" x14ac:dyDescent="0.3">
      <c r="B238" s="311" t="str">
        <f>IF(LEN('Ch5'!H240)=0,"",'Ch5'!H240)</f>
        <v/>
      </c>
      <c r="C238" s="311" t="str">
        <f t="shared" si="3"/>
        <v/>
      </c>
      <c r="E238" s="938"/>
      <c r="F238" s="938"/>
      <c r="G238" s="1329"/>
      <c r="J238" s="1001"/>
    </row>
    <row r="239" spans="1:10" ht="15" customHeight="1" x14ac:dyDescent="0.3">
      <c r="B239" s="311" t="str">
        <f>IF(LEN('Ch5'!H241)=0,"",'Ch5'!H241)</f>
        <v/>
      </c>
      <c r="C239" s="311" t="str">
        <f t="shared" si="3"/>
        <v/>
      </c>
      <c r="E239" s="938"/>
      <c r="F239" s="925" t="s">
        <v>122</v>
      </c>
      <c r="G239" s="1329" t="s">
        <v>516</v>
      </c>
      <c r="H239" s="89" t="b">
        <f>'Ch5'!W241</f>
        <v>1</v>
      </c>
      <c r="J239" s="1001"/>
    </row>
    <row r="240" spans="1:10" x14ac:dyDescent="0.3">
      <c r="B240" s="311" t="str">
        <f>IF(LEN('Ch5'!H242)=0,"",'Ch5'!H242)</f>
        <v/>
      </c>
      <c r="C240" s="311" t="str">
        <f t="shared" si="3"/>
        <v/>
      </c>
      <c r="E240" s="938"/>
      <c r="F240" s="938"/>
      <c r="G240" s="1329"/>
      <c r="J240" s="1001"/>
    </row>
    <row r="241" spans="1:10" x14ac:dyDescent="0.3">
      <c r="B241" s="311" t="str">
        <f>IF(LEN('Ch5'!H243)=0,"",'Ch5'!H243)</f>
        <v/>
      </c>
      <c r="C241" s="311" t="str">
        <f t="shared" si="3"/>
        <v/>
      </c>
      <c r="E241" s="938"/>
      <c r="F241" s="938"/>
      <c r="G241" s="1329"/>
      <c r="J241" s="1001"/>
    </row>
    <row r="242" spans="1:10" x14ac:dyDescent="0.3">
      <c r="B242" s="311" t="str">
        <f>IF(LEN('Ch5'!H244)=0,"",'Ch5'!H244)</f>
        <v/>
      </c>
      <c r="C242" s="311" t="str">
        <f t="shared" si="3"/>
        <v/>
      </c>
      <c r="E242" s="938"/>
      <c r="F242" s="938"/>
      <c r="G242" s="1329"/>
      <c r="J242" s="1001"/>
    </row>
    <row r="243" spans="1:10" x14ac:dyDescent="0.3">
      <c r="B243" s="311" t="str">
        <f>IF(LEN('Ch5'!H245)=0,"",'Ch5'!H245)</f>
        <v/>
      </c>
      <c r="C243" s="311" t="str">
        <f t="shared" si="3"/>
        <v/>
      </c>
      <c r="E243" s="948"/>
      <c r="F243" s="950" t="s">
        <v>123</v>
      </c>
      <c r="G243" s="193" t="s">
        <v>517</v>
      </c>
      <c r="H243" s="89">
        <f>'Ch5'!W245</f>
        <v>0</v>
      </c>
      <c r="J243" s="1001"/>
    </row>
    <row r="244" spans="1:10" ht="15" customHeight="1" x14ac:dyDescent="0.3">
      <c r="A244" s="727" t="str">
        <f>IF(AND(LEN('Ch5'!W246)&gt;0,NOT('Ch5'!W246=FALSE)),"P","")</f>
        <v/>
      </c>
      <c r="B244" s="311" t="str">
        <f>IF(LEN('Ch5'!H246)=0,"",'Ch5'!H246)</f>
        <v/>
      </c>
      <c r="C244" s="311" t="str">
        <f t="shared" si="3"/>
        <v/>
      </c>
      <c r="D244" s="939"/>
      <c r="E244" s="926" t="s">
        <v>273</v>
      </c>
      <c r="F244" s="939"/>
      <c r="G244" s="1305" t="s">
        <v>518</v>
      </c>
      <c r="H244" s="89">
        <f>'Ch5'!W246</f>
        <v>0</v>
      </c>
      <c r="I244" s="89">
        <f>'Ch5'!O246</f>
        <v>0</v>
      </c>
      <c r="J244" s="1439" t="s">
        <v>4229</v>
      </c>
    </row>
    <row r="245" spans="1:10" x14ac:dyDescent="0.3">
      <c r="A245" s="727" t="str">
        <f>A244</f>
        <v/>
      </c>
      <c r="B245" s="311" t="str">
        <f>IF(LEN('Ch5'!H247)=0,"",'Ch5'!H247)</f>
        <v/>
      </c>
      <c r="C245" s="311" t="str">
        <f t="shared" si="3"/>
        <v/>
      </c>
      <c r="D245" s="939"/>
      <c r="E245" s="939"/>
      <c r="F245" s="939"/>
      <c r="G245" s="1305"/>
      <c r="J245" s="1439"/>
    </row>
    <row r="246" spans="1:10" ht="15" thickBot="1" x14ac:dyDescent="0.35">
      <c r="A246" s="727" t="str">
        <f>A245</f>
        <v/>
      </c>
      <c r="B246" s="311" t="str">
        <f>IF(LEN('Ch5'!H248)=0,"",'Ch5'!H248)</f>
        <v/>
      </c>
      <c r="C246" s="311" t="str">
        <f t="shared" si="3"/>
        <v/>
      </c>
      <c r="D246" s="940"/>
      <c r="E246" s="940"/>
      <c r="F246" s="940"/>
      <c r="G246" s="1330"/>
      <c r="J246" s="1439"/>
    </row>
    <row r="247" spans="1:10" x14ac:dyDescent="0.3">
      <c r="A247" s="727" t="str">
        <f>IF(AND(LEN('Ch5'!W249)&gt;0,NOT('Ch5'!W249=FALSE)),"P","")</f>
        <v/>
      </c>
      <c r="B247" s="311" t="str">
        <f>IF(LEN('Ch5'!H249)=0,"",'Ch5'!H249)</f>
        <v/>
      </c>
      <c r="C247" s="311" t="str">
        <f t="shared" si="3"/>
        <v/>
      </c>
      <c r="D247" s="925" t="s">
        <v>519</v>
      </c>
      <c r="E247" s="938"/>
      <c r="F247" s="938"/>
      <c r="G247" s="88" t="s">
        <v>520</v>
      </c>
      <c r="H247" s="89">
        <f>'Ch5'!W249</f>
        <v>0</v>
      </c>
      <c r="I247" s="89">
        <f ca="1">'Ch5'!O249</f>
        <v>0</v>
      </c>
      <c r="J247" s="989" t="s">
        <v>4230</v>
      </c>
    </row>
    <row r="248" spans="1:10" ht="15" x14ac:dyDescent="0.3">
      <c r="B248" s="311" t="str">
        <f>IF(LEN('Ch5'!H250)=0,"",'Ch5'!H250)</f>
        <v/>
      </c>
      <c r="C248" s="311" t="str">
        <f t="shared" si="3"/>
        <v/>
      </c>
      <c r="D248" s="938"/>
      <c r="E248" s="946" t="s">
        <v>271</v>
      </c>
      <c r="F248" s="948"/>
      <c r="G248" s="193" t="s">
        <v>521</v>
      </c>
      <c r="J248" s="989"/>
    </row>
    <row r="249" spans="1:10" ht="15" x14ac:dyDescent="0.3">
      <c r="B249" s="311" t="str">
        <f>IF(LEN('Ch5'!H251)=0,"",'Ch5'!H251)</f>
        <v/>
      </c>
      <c r="C249" s="311" t="str">
        <f t="shared" si="3"/>
        <v/>
      </c>
      <c r="D249" s="938"/>
      <c r="E249" s="946" t="s">
        <v>273</v>
      </c>
      <c r="F249" s="948"/>
      <c r="G249" s="193" t="s">
        <v>522</v>
      </c>
      <c r="J249" s="989"/>
    </row>
    <row r="250" spans="1:10" ht="15" x14ac:dyDescent="0.3">
      <c r="B250" s="311" t="str">
        <f>IF(LEN('Ch5'!H252)=0,"",'Ch5'!H252)</f>
        <v/>
      </c>
      <c r="C250" s="311" t="str">
        <f t="shared" si="3"/>
        <v/>
      </c>
      <c r="D250" s="938"/>
      <c r="E250" s="946" t="s">
        <v>275</v>
      </c>
      <c r="F250" s="948"/>
      <c r="G250" s="193" t="s">
        <v>523</v>
      </c>
      <c r="J250" s="989"/>
    </row>
    <row r="251" spans="1:10" ht="15" x14ac:dyDescent="0.3">
      <c r="B251" s="311" t="str">
        <f>IF(LEN('Ch5'!H253)=0,"",'Ch5'!H253)</f>
        <v/>
      </c>
      <c r="C251" s="311" t="str">
        <f t="shared" si="3"/>
        <v/>
      </c>
      <c r="D251" s="938"/>
      <c r="E251" s="946" t="s">
        <v>285</v>
      </c>
      <c r="F251" s="948"/>
      <c r="G251" s="193" t="s">
        <v>524</v>
      </c>
      <c r="J251" s="989"/>
    </row>
    <row r="252" spans="1:10" ht="15.6" thickBot="1" x14ac:dyDescent="0.35">
      <c r="B252" s="311" t="str">
        <f>IF(LEN('Ch5'!H254)=0,"",'Ch5'!H254)</f>
        <v/>
      </c>
      <c r="C252" s="311" t="str">
        <f t="shared" si="3"/>
        <v/>
      </c>
      <c r="D252" s="940"/>
      <c r="E252" s="931" t="s">
        <v>291</v>
      </c>
      <c r="F252" s="940"/>
      <c r="G252" s="100" t="s">
        <v>525</v>
      </c>
      <c r="J252" s="989"/>
    </row>
    <row r="253" spans="1:10" ht="28.8" thickTop="1" thickBot="1" x14ac:dyDescent="0.35">
      <c r="A253" s="727" t="str">
        <f>IF(AND(LEN('Ch5'!W255)&gt;0,NOT('Ch5'!W255=FALSE)),"P","")</f>
        <v/>
      </c>
      <c r="B253" s="311" t="str">
        <f>IF(LEN('Ch5'!H255)=0,"",'Ch5'!H255)</f>
        <v/>
      </c>
      <c r="C253" s="311" t="str">
        <f t="shared" si="3"/>
        <v/>
      </c>
      <c r="D253" s="943" t="s">
        <v>526</v>
      </c>
      <c r="E253" s="953"/>
      <c r="F253" s="953"/>
      <c r="G253" s="123" t="s">
        <v>527</v>
      </c>
      <c r="H253" s="89">
        <f>'Ch5'!W255</f>
        <v>0</v>
      </c>
      <c r="I253" s="89">
        <f ca="1">'Ch5'!O255</f>
        <v>0</v>
      </c>
      <c r="J253" s="1001" t="s">
        <v>4231</v>
      </c>
    </row>
    <row r="254" spans="1:10" ht="15.75" customHeight="1" thickTop="1" x14ac:dyDescent="0.3">
      <c r="A254" s="727" t="str">
        <f>IF(AND(LEN('Ch5'!W256)&gt;0,NOT('Ch5'!W256=FALSE)),"P","")</f>
        <v/>
      </c>
      <c r="B254" s="311" t="str">
        <f>IF(LEN('Ch5'!H256)=0,"",'Ch5'!H256)</f>
        <v/>
      </c>
      <c r="C254" s="311" t="str">
        <f t="shared" si="3"/>
        <v/>
      </c>
      <c r="D254" s="941" t="s">
        <v>528</v>
      </c>
      <c r="E254" s="949"/>
      <c r="F254" s="949"/>
      <c r="G254" s="1331" t="s">
        <v>529</v>
      </c>
      <c r="H254" s="89">
        <f>'Ch5'!W256</f>
        <v>0</v>
      </c>
      <c r="I254" s="89">
        <f>'Ch5'!O256</f>
        <v>0</v>
      </c>
      <c r="J254" s="1439" t="s">
        <v>4398</v>
      </c>
    </row>
    <row r="255" spans="1:10" ht="15" thickBot="1" x14ac:dyDescent="0.35">
      <c r="A255" s="727" t="str">
        <f>A254</f>
        <v/>
      </c>
      <c r="B255" s="311" t="str">
        <f>IF(LEN('Ch5'!H257)=0,"",'Ch5'!H257)</f>
        <v/>
      </c>
      <c r="C255" s="311" t="str">
        <f t="shared" si="3"/>
        <v/>
      </c>
      <c r="D255" s="940"/>
      <c r="E255" s="940"/>
      <c r="F255" s="940"/>
      <c r="G255" s="1332"/>
      <c r="J255" s="1439"/>
    </row>
    <row r="256" spans="1:10" ht="15.75" customHeight="1" thickTop="1" x14ac:dyDescent="0.3">
      <c r="A256" s="727" t="str">
        <f>IF(AND(LEN('Ch5'!W258)&gt;0,NOT('Ch5'!W258=FALSE)),"P","")</f>
        <v/>
      </c>
      <c r="B256" s="311" t="str">
        <f>IF(LEN('Ch5'!H258)=0,"",'Ch5'!H258)</f>
        <v/>
      </c>
      <c r="C256" s="311" t="str">
        <f t="shared" si="3"/>
        <v/>
      </c>
      <c r="D256" s="941" t="s">
        <v>530</v>
      </c>
      <c r="E256" s="949"/>
      <c r="F256" s="949"/>
      <c r="G256" s="1331" t="s">
        <v>531</v>
      </c>
      <c r="H256" s="89">
        <f>'Ch5'!W258</f>
        <v>0</v>
      </c>
      <c r="I256" s="89">
        <f ca="1">'Ch5'!O258</f>
        <v>0</v>
      </c>
      <c r="J256" s="1439" t="s">
        <v>4232</v>
      </c>
    </row>
    <row r="257" spans="1:10" x14ac:dyDescent="0.3">
      <c r="A257" s="727" t="str">
        <f>A256</f>
        <v/>
      </c>
      <c r="B257" s="311" t="str">
        <f>IF(LEN('Ch5'!H259)=0,"",'Ch5'!H259)</f>
        <v/>
      </c>
      <c r="C257" s="311" t="str">
        <f t="shared" si="3"/>
        <v/>
      </c>
      <c r="D257" s="939"/>
      <c r="E257" s="939"/>
      <c r="F257" s="939"/>
      <c r="G257" s="1313"/>
      <c r="J257" s="1439"/>
    </row>
    <row r="258" spans="1:10" x14ac:dyDescent="0.3">
      <c r="A258" s="727" t="str">
        <f>A257</f>
        <v/>
      </c>
      <c r="B258" s="311" t="str">
        <f>IF(LEN('Ch5'!H260)=0,"",'Ch5'!H260)</f>
        <v/>
      </c>
      <c r="C258" s="311" t="str">
        <f t="shared" si="3"/>
        <v/>
      </c>
      <c r="D258" s="939"/>
      <c r="E258" s="939"/>
      <c r="F258" s="939"/>
      <c r="G258" s="1313"/>
      <c r="J258" s="1439"/>
    </row>
    <row r="259" spans="1:10" x14ac:dyDescent="0.3">
      <c r="A259" s="727" t="str">
        <f>A258</f>
        <v/>
      </c>
      <c r="B259" s="311" t="str">
        <f>IF(LEN('Ch5'!H261)=0,"",'Ch5'!H261)</f>
        <v/>
      </c>
      <c r="C259" s="311" t="str">
        <f t="shared" si="3"/>
        <v/>
      </c>
      <c r="D259" s="939"/>
      <c r="E259" s="939"/>
      <c r="F259" s="939"/>
      <c r="G259" s="1313"/>
      <c r="J259" s="1439"/>
    </row>
    <row r="260" spans="1:10" x14ac:dyDescent="0.3">
      <c r="A260" s="727" t="str">
        <f>A259</f>
        <v/>
      </c>
      <c r="B260" s="311" t="str">
        <f>IF(LEN('Ch5'!H262)=0,"",'Ch5'!H262)</f>
        <v/>
      </c>
      <c r="C260" s="311" t="str">
        <f t="shared" si="3"/>
        <v/>
      </c>
      <c r="D260" s="939"/>
      <c r="E260" s="939"/>
      <c r="F260" s="939"/>
      <c r="G260" s="1313"/>
      <c r="J260" s="1439"/>
    </row>
    <row r="261" spans="1:10" ht="15" thickBot="1" x14ac:dyDescent="0.35">
      <c r="A261" s="727" t="str">
        <f>A260</f>
        <v/>
      </c>
      <c r="B261" s="311" t="str">
        <f>IF(LEN('Ch5'!H263)=0,"",'Ch5'!H263)</f>
        <v/>
      </c>
      <c r="C261" s="311" t="str">
        <f t="shared" si="3"/>
        <v/>
      </c>
      <c r="D261" s="940"/>
      <c r="E261" s="940"/>
      <c r="F261" s="940"/>
      <c r="G261" s="1332"/>
      <c r="J261" s="1439"/>
    </row>
    <row r="262" spans="1:10" ht="18.600000000000001" thickTop="1" x14ac:dyDescent="0.35">
      <c r="A262" s="727" t="s">
        <v>4389</v>
      </c>
      <c r="B262" s="311" t="str">
        <f>IF(LEN('Ch6'!H9)=0,"",'Ch6'!H9)</f>
        <v/>
      </c>
      <c r="C262" s="311" t="str">
        <f t="shared" si="3"/>
        <v>P</v>
      </c>
      <c r="D262" s="82" t="s">
        <v>536</v>
      </c>
      <c r="E262" s="82"/>
      <c r="F262" s="82"/>
      <c r="G262" s="23"/>
      <c r="H262" s="23"/>
      <c r="I262" s="23"/>
      <c r="J262" s="1003"/>
    </row>
    <row r="263" spans="1:10" ht="15" customHeight="1" x14ac:dyDescent="0.3">
      <c r="B263" s="311" t="str">
        <f>IF(LEN('Ch6'!H10)=0,"",'Ch6'!H10)</f>
        <v/>
      </c>
      <c r="C263" s="311" t="str">
        <f t="shared" si="3"/>
        <v/>
      </c>
      <c r="D263" s="925" t="s">
        <v>537</v>
      </c>
      <c r="E263" s="925"/>
      <c r="F263" s="925"/>
      <c r="G263" s="1292" t="s">
        <v>538</v>
      </c>
      <c r="J263" s="989"/>
    </row>
    <row r="264" spans="1:10" x14ac:dyDescent="0.3">
      <c r="B264" s="311" t="str">
        <f>IF(LEN('Ch6'!H11)=0,"",'Ch6'!H11)</f>
        <v/>
      </c>
      <c r="C264" s="311" t="str">
        <f t="shared" ref="C264:C327" si="5">IF(LEN(B264)=0,IF(A264="P","P",""),B264)</f>
        <v/>
      </c>
      <c r="D264" s="152"/>
      <c r="E264" s="919"/>
      <c r="F264" s="919"/>
      <c r="G264" s="1292"/>
      <c r="J264" s="989"/>
    </row>
    <row r="265" spans="1:10" x14ac:dyDescent="0.3">
      <c r="B265" s="311" t="str">
        <f>IF(LEN('Ch6'!H12)=0,"",'Ch6'!H12)</f>
        <v/>
      </c>
      <c r="C265" s="311" t="str">
        <f t="shared" si="5"/>
        <v/>
      </c>
      <c r="D265" s="152"/>
      <c r="E265" s="919"/>
      <c r="F265" s="919"/>
      <c r="G265" s="1292"/>
      <c r="J265" s="989"/>
    </row>
    <row r="266" spans="1:10" ht="15.75" customHeight="1" thickTop="1" x14ac:dyDescent="0.3">
      <c r="A266" s="727" t="str">
        <f>IF('Ch6'!O13&gt;0,"P","")</f>
        <v/>
      </c>
      <c r="B266" s="311" t="str">
        <f>IF(LEN('Ch6'!H13)=0,"",'Ch6'!H13)</f>
        <v/>
      </c>
      <c r="C266" s="311" t="str">
        <f t="shared" si="5"/>
        <v/>
      </c>
      <c r="D266" s="111">
        <v>601.1</v>
      </c>
      <c r="E266" s="954"/>
      <c r="F266" s="954"/>
      <c r="G266" s="1331" t="s">
        <v>539</v>
      </c>
      <c r="I266" s="89">
        <f>'Ch6'!O13</f>
        <v>0</v>
      </c>
      <c r="J266" s="1443" t="s">
        <v>4233</v>
      </c>
    </row>
    <row r="267" spans="1:10" x14ac:dyDescent="0.3">
      <c r="A267" s="727" t="str">
        <f>A266</f>
        <v/>
      </c>
      <c r="B267" s="311" t="str">
        <f>IF(LEN('Ch6'!H14)=0,"",'Ch6'!H14)</f>
        <v/>
      </c>
      <c r="C267" s="311" t="str">
        <f t="shared" si="5"/>
        <v/>
      </c>
      <c r="D267" s="106"/>
      <c r="E267" s="204"/>
      <c r="F267" s="204"/>
      <c r="G267" s="1313"/>
      <c r="J267" s="1443"/>
    </row>
    <row r="268" spans="1:10" x14ac:dyDescent="0.3">
      <c r="A268" s="727" t="str">
        <f>A267</f>
        <v/>
      </c>
      <c r="B268" s="311" t="str">
        <f>IF(LEN('Ch6'!H15)=0,"",'Ch6'!H15)</f>
        <v/>
      </c>
      <c r="C268" s="311" t="str">
        <f t="shared" si="5"/>
        <v/>
      </c>
      <c r="D268" s="106"/>
      <c r="E268" s="204"/>
      <c r="F268" s="204"/>
      <c r="G268" s="1313"/>
      <c r="J268" s="1443"/>
    </row>
    <row r="269" spans="1:10" x14ac:dyDescent="0.3">
      <c r="A269" s="727" t="str">
        <f>A268</f>
        <v/>
      </c>
      <c r="B269" s="311" t="str">
        <f>IF(LEN('Ch6'!H16)=0,"",'Ch6'!H16)</f>
        <v/>
      </c>
      <c r="C269" s="311" t="str">
        <f t="shared" si="5"/>
        <v/>
      </c>
      <c r="D269" s="106"/>
      <c r="E269" s="204"/>
      <c r="F269" s="204"/>
      <c r="G269" s="1313"/>
      <c r="J269" s="1443"/>
    </row>
    <row r="270" spans="1:10" ht="15" x14ac:dyDescent="0.3">
      <c r="B270" s="311" t="str">
        <f>IF(LEN('Ch6'!H17)=0,"",'Ch6'!H17)</f>
        <v/>
      </c>
      <c r="C270" s="311" t="str">
        <f t="shared" si="5"/>
        <v/>
      </c>
      <c r="D270" s="106"/>
      <c r="E270" s="946" t="s">
        <v>271</v>
      </c>
      <c r="F270" s="232"/>
      <c r="G270" s="667" t="s">
        <v>540</v>
      </c>
      <c r="J270" s="1001"/>
    </row>
    <row r="271" spans="1:10" ht="15" x14ac:dyDescent="0.3">
      <c r="B271" s="311" t="str">
        <f>IF(LEN('Ch6'!H18)=0,"",'Ch6'!H18)</f>
        <v/>
      </c>
      <c r="C271" s="311" t="str">
        <f t="shared" si="5"/>
        <v/>
      </c>
      <c r="D271" s="106"/>
      <c r="E271" s="955" t="s">
        <v>273</v>
      </c>
      <c r="F271" s="235"/>
      <c r="G271" s="364" t="s">
        <v>541</v>
      </c>
      <c r="J271" s="1001"/>
    </row>
    <row r="272" spans="1:10" ht="15" x14ac:dyDescent="0.3">
      <c r="B272" s="311" t="str">
        <f>IF(LEN('Ch6'!H19)=0,"",'Ch6'!H19)</f>
        <v/>
      </c>
      <c r="C272" s="311" t="str">
        <f t="shared" si="5"/>
        <v/>
      </c>
      <c r="D272" s="106"/>
      <c r="E272" s="955" t="s">
        <v>275</v>
      </c>
      <c r="F272" s="235"/>
      <c r="G272" s="364" t="s">
        <v>542</v>
      </c>
      <c r="J272" s="1001"/>
    </row>
    <row r="273" spans="1:10" ht="15" x14ac:dyDescent="0.3">
      <c r="B273" s="311" t="str">
        <f>IF(LEN('Ch6'!H20)=0,"",'Ch6'!H20)</f>
        <v/>
      </c>
      <c r="C273" s="311" t="str">
        <f t="shared" si="5"/>
        <v/>
      </c>
      <c r="D273" s="106"/>
      <c r="E273" s="955" t="s">
        <v>285</v>
      </c>
      <c r="F273" s="235"/>
      <c r="G273" s="364" t="s">
        <v>543</v>
      </c>
      <c r="J273" s="1001"/>
    </row>
    <row r="274" spans="1:10" ht="15" x14ac:dyDescent="0.3">
      <c r="B274" s="311" t="str">
        <f>IF(LEN('Ch6'!H21)=0,"",'Ch6'!H21)</f>
        <v/>
      </c>
      <c r="C274" s="311" t="str">
        <f t="shared" si="5"/>
        <v/>
      </c>
      <c r="D274" s="106"/>
      <c r="E274" s="955" t="s">
        <v>291</v>
      </c>
      <c r="F274" s="235"/>
      <c r="G274" s="364" t="s">
        <v>544</v>
      </c>
      <c r="J274" s="1001"/>
    </row>
    <row r="275" spans="1:10" ht="15" x14ac:dyDescent="0.3">
      <c r="B275" s="311" t="str">
        <f>IF(LEN('Ch6'!H22)=0,"",'Ch6'!H22)</f>
        <v/>
      </c>
      <c r="C275" s="311" t="str">
        <f t="shared" si="5"/>
        <v/>
      </c>
      <c r="D275" s="106"/>
      <c r="E275" s="926" t="s">
        <v>293</v>
      </c>
      <c r="F275" s="204"/>
      <c r="G275" s="666" t="s">
        <v>545</v>
      </c>
      <c r="J275" s="1001"/>
    </row>
    <row r="276" spans="1:10" ht="15" customHeight="1" x14ac:dyDescent="0.3">
      <c r="B276" s="311" t="str">
        <f>IF(LEN('Ch6'!H23)=0,"",'Ch6'!H23)</f>
        <v/>
      </c>
      <c r="C276" s="311" t="str">
        <f t="shared" si="5"/>
        <v/>
      </c>
      <c r="D276" s="106"/>
      <c r="E276" s="204"/>
      <c r="F276" s="204"/>
      <c r="G276" s="1313" t="s">
        <v>546</v>
      </c>
      <c r="J276" s="1001"/>
    </row>
    <row r="277" spans="1:10" x14ac:dyDescent="0.3">
      <c r="B277" s="311" t="str">
        <f>IF(LEN('Ch6'!H24)=0,"",'Ch6'!H24)</f>
        <v/>
      </c>
      <c r="C277" s="311" t="str">
        <f t="shared" si="5"/>
        <v/>
      </c>
      <c r="D277" s="106"/>
      <c r="E277" s="204"/>
      <c r="F277" s="204"/>
      <c r="G277" s="1313"/>
      <c r="J277" s="1001"/>
    </row>
    <row r="278" spans="1:10" ht="15" customHeight="1" x14ac:dyDescent="0.3">
      <c r="B278" s="311" t="str">
        <f>IF(LEN('Ch6'!H25)=0,"",'Ch6'!H25)</f>
        <v/>
      </c>
      <c r="C278" s="311" t="str">
        <f t="shared" si="5"/>
        <v/>
      </c>
      <c r="D278" s="106"/>
      <c r="E278" s="204"/>
      <c r="G278" s="1328" t="s">
        <v>4102</v>
      </c>
      <c r="J278" s="989"/>
    </row>
    <row r="279" spans="1:10" x14ac:dyDescent="0.3">
      <c r="B279" s="311" t="str">
        <f>IF(LEN('Ch6'!H26)=0,"",'Ch6'!H26)</f>
        <v/>
      </c>
      <c r="C279" s="311" t="str">
        <f t="shared" si="5"/>
        <v/>
      </c>
      <c r="D279" s="106"/>
      <c r="E279" s="204"/>
      <c r="F279" s="686"/>
      <c r="G279" s="1328"/>
      <c r="J279" s="989"/>
    </row>
    <row r="280" spans="1:10" ht="15.75" customHeight="1" thickTop="1" x14ac:dyDescent="0.3">
      <c r="A280" s="1196" t="str">
        <f>IF(COUNTIF(A282:A288,"P")&gt;0,"P","")</f>
        <v>P</v>
      </c>
      <c r="B280" s="311" t="str">
        <f>IF(LEN('Ch6'!H27)=0,"",'Ch6'!H27)</f>
        <v/>
      </c>
      <c r="C280" s="311" t="str">
        <f t="shared" si="5"/>
        <v>P</v>
      </c>
      <c r="D280" s="111">
        <v>601.20000000000005</v>
      </c>
      <c r="E280" s="954"/>
      <c r="F280" s="954"/>
      <c r="G280" s="1331" t="s">
        <v>547</v>
      </c>
      <c r="J280" s="989"/>
    </row>
    <row r="281" spans="1:10" x14ac:dyDescent="0.3">
      <c r="A281" s="727" t="str">
        <f>A280</f>
        <v>P</v>
      </c>
      <c r="B281" s="311" t="str">
        <f>IF(LEN('Ch6'!H28)=0,"",'Ch6'!H28)</f>
        <v/>
      </c>
      <c r="C281" s="311" t="str">
        <f t="shared" si="5"/>
        <v>P</v>
      </c>
      <c r="D281" s="106"/>
      <c r="E281" s="204"/>
      <c r="F281" s="204"/>
      <c r="G281" s="1313"/>
      <c r="J281" s="989"/>
    </row>
    <row r="282" spans="1:10" ht="15" customHeight="1" x14ac:dyDescent="0.3">
      <c r="A282" s="727" t="str">
        <f>IF(AND(LEN('Ch6'!W29)&gt;0,NOT('Ch6'!W29=FALSE)),"P","")</f>
        <v>P</v>
      </c>
      <c r="B282" s="311" t="str">
        <f>IF(LEN('Ch6'!H29)=0,"",'Ch6'!H29)</f>
        <v/>
      </c>
      <c r="C282" s="311" t="str">
        <f t="shared" si="5"/>
        <v>P</v>
      </c>
      <c r="D282" s="152"/>
      <c r="E282" s="926" t="s">
        <v>271</v>
      </c>
      <c r="F282" s="204"/>
      <c r="G282" s="1305" t="s">
        <v>549</v>
      </c>
      <c r="H282" s="89" t="b">
        <f>'Ch6'!W29</f>
        <v>1</v>
      </c>
      <c r="I282" s="89">
        <f>'Ch6'!O29</f>
        <v>3</v>
      </c>
      <c r="J282" s="1439" t="s">
        <v>4234</v>
      </c>
    </row>
    <row r="283" spans="1:10" x14ac:dyDescent="0.3">
      <c r="A283" s="727" t="str">
        <f>A282</f>
        <v>P</v>
      </c>
      <c r="B283" s="311" t="str">
        <f>IF(LEN('Ch6'!H30)=0,"",'Ch6'!H30)</f>
        <v/>
      </c>
      <c r="C283" s="311" t="str">
        <f t="shared" si="5"/>
        <v>P</v>
      </c>
      <c r="D283" s="152"/>
      <c r="E283" s="204"/>
      <c r="F283" s="204"/>
      <c r="G283" s="1305"/>
      <c r="J283" s="1439"/>
    </row>
    <row r="284" spans="1:10" x14ac:dyDescent="0.3">
      <c r="A284" s="727" t="str">
        <f>A283</f>
        <v>P</v>
      </c>
      <c r="B284" s="311" t="str">
        <f>IF(LEN('Ch6'!H31)=0,"",'Ch6'!H31)</f>
        <v/>
      </c>
      <c r="C284" s="311" t="str">
        <f t="shared" si="5"/>
        <v>P</v>
      </c>
      <c r="D284" s="152"/>
      <c r="E284" s="232"/>
      <c r="F284" s="232"/>
      <c r="G284" s="1306"/>
      <c r="J284" s="1439"/>
    </row>
    <row r="285" spans="1:10" ht="15" customHeight="1" x14ac:dyDescent="0.3">
      <c r="A285" s="727" t="str">
        <f>IF(AND(LEN('Ch6'!W32)&gt;0,NOT('Ch6'!W32=FALSE)),"P","")</f>
        <v/>
      </c>
      <c r="B285" s="311" t="str">
        <f>IF(LEN('Ch6'!H32)=0,"",'Ch6'!H32)</f>
        <v/>
      </c>
      <c r="C285" s="311" t="str">
        <f t="shared" si="5"/>
        <v/>
      </c>
      <c r="D285" s="152"/>
      <c r="E285" s="926" t="s">
        <v>273</v>
      </c>
      <c r="F285" s="204"/>
      <c r="G285" s="1305" t="s">
        <v>550</v>
      </c>
      <c r="H285" s="89">
        <f>'Ch6'!W32</f>
        <v>0</v>
      </c>
      <c r="I285" s="89">
        <f>'Ch6'!O32</f>
        <v>0</v>
      </c>
      <c r="J285" s="1439" t="s">
        <v>4235</v>
      </c>
    </row>
    <row r="286" spans="1:10" x14ac:dyDescent="0.3">
      <c r="A286" s="727" t="str">
        <f>A285</f>
        <v/>
      </c>
      <c r="B286" s="311" t="str">
        <f>IF(LEN('Ch6'!H33)=0,"",'Ch6'!H33)</f>
        <v/>
      </c>
      <c r="C286" s="311" t="str">
        <f t="shared" si="5"/>
        <v/>
      </c>
      <c r="D286" s="152"/>
      <c r="E286" s="204"/>
      <c r="F286" s="204"/>
      <c r="G286" s="1305"/>
      <c r="J286" s="1439"/>
    </row>
    <row r="287" spans="1:10" x14ac:dyDescent="0.3">
      <c r="A287" s="727" t="str">
        <f>A286</f>
        <v/>
      </c>
      <c r="B287" s="311" t="str">
        <f>IF(LEN('Ch6'!H34)=0,"",'Ch6'!H34)</f>
        <v/>
      </c>
      <c r="C287" s="311" t="str">
        <f t="shared" si="5"/>
        <v/>
      </c>
      <c r="D287" s="152"/>
      <c r="E287" s="232"/>
      <c r="F287" s="232"/>
      <c r="G287" s="1306"/>
      <c r="J287" s="1439"/>
    </row>
    <row r="288" spans="1:10" ht="27.6" x14ac:dyDescent="0.3">
      <c r="A288" s="727" t="str">
        <f>IF(AND(LEN('Ch6'!W35)&gt;0,NOT('Ch6'!W35=FALSE)),"P","")</f>
        <v/>
      </c>
      <c r="B288" s="311" t="str">
        <f>IF(LEN('Ch6'!H35)=0,"",'Ch6'!H35)</f>
        <v/>
      </c>
      <c r="C288" s="311" t="str">
        <f t="shared" si="5"/>
        <v/>
      </c>
      <c r="D288" s="152"/>
      <c r="E288" s="925" t="s">
        <v>275</v>
      </c>
      <c r="F288" s="919"/>
      <c r="G288" s="682" t="s">
        <v>551</v>
      </c>
      <c r="H288" s="89">
        <f>'Ch6'!W35</f>
        <v>0</v>
      </c>
      <c r="I288" s="89">
        <f>'Ch6'!O35</f>
        <v>0</v>
      </c>
      <c r="J288" s="1001" t="s">
        <v>4236</v>
      </c>
    </row>
    <row r="289" spans="1:10" ht="15.75" customHeight="1" thickTop="1" x14ac:dyDescent="0.3">
      <c r="A289" s="727" t="str">
        <f>IF(SUM(I292:I296)&gt;0,"P","")</f>
        <v/>
      </c>
      <c r="B289" s="311" t="str">
        <f>IF(LEN('Ch6'!H36)=0,"",'Ch6'!H36)</f>
        <v/>
      </c>
      <c r="C289" s="311" t="str">
        <f t="shared" si="5"/>
        <v/>
      </c>
      <c r="D289" s="111">
        <v>601.29999999999995</v>
      </c>
      <c r="E289" s="954"/>
      <c r="F289" s="954"/>
      <c r="G289" s="1331" t="s">
        <v>552</v>
      </c>
      <c r="J289" s="1439" t="s">
        <v>4237</v>
      </c>
    </row>
    <row r="290" spans="1:10" x14ac:dyDescent="0.3">
      <c r="A290" s="727" t="str">
        <f t="shared" ref="A290:A291" si="6">A289</f>
        <v/>
      </c>
      <c r="B290" s="311" t="str">
        <f>IF(LEN('Ch6'!H37)=0,"",'Ch6'!H37)</f>
        <v/>
      </c>
      <c r="C290" s="311" t="str">
        <f t="shared" si="5"/>
        <v/>
      </c>
      <c r="D290" s="106"/>
      <c r="E290" s="204"/>
      <c r="F290" s="204"/>
      <c r="G290" s="1313"/>
      <c r="J290" s="1439"/>
    </row>
    <row r="291" spans="1:10" x14ac:dyDescent="0.3">
      <c r="A291" s="727" t="str">
        <f t="shared" si="6"/>
        <v/>
      </c>
      <c r="B291" s="311" t="str">
        <f>IF(LEN('Ch6'!H38)=0,"",'Ch6'!H38)</f>
        <v/>
      </c>
      <c r="C291" s="311" t="str">
        <f t="shared" si="5"/>
        <v/>
      </c>
      <c r="D291" s="106"/>
      <c r="E291" s="204"/>
      <c r="F291" s="204"/>
      <c r="G291" s="1313"/>
      <c r="J291" s="1439"/>
    </row>
    <row r="292" spans="1:10" x14ac:dyDescent="0.3">
      <c r="B292" s="311" t="str">
        <f>IF(LEN('Ch6'!H39)=0,"",'Ch6'!H39)</f>
        <v/>
      </c>
      <c r="C292" s="311" t="str">
        <f t="shared" si="5"/>
        <v/>
      </c>
      <c r="D292" s="152"/>
      <c r="E292" s="946" t="s">
        <v>271</v>
      </c>
      <c r="F292" s="232"/>
      <c r="G292" s="676" t="s">
        <v>553</v>
      </c>
      <c r="H292" s="89">
        <f>'Ch6'!W39</f>
        <v>0</v>
      </c>
      <c r="I292" s="89">
        <f>'Ch6'!O39</f>
        <v>0</v>
      </c>
      <c r="J292" s="996"/>
    </row>
    <row r="293" spans="1:10" x14ac:dyDescent="0.3">
      <c r="B293" s="311" t="str">
        <f>IF(LEN('Ch6'!H40)=0,"",'Ch6'!H40)</f>
        <v/>
      </c>
      <c r="C293" s="311" t="str">
        <f t="shared" si="5"/>
        <v/>
      </c>
      <c r="D293" s="152"/>
      <c r="E293" s="955" t="s">
        <v>273</v>
      </c>
      <c r="F293" s="235"/>
      <c r="G293" s="365" t="s">
        <v>554</v>
      </c>
      <c r="H293" s="89">
        <f>'Ch6'!W40</f>
        <v>0</v>
      </c>
      <c r="I293" s="89">
        <f>'Ch6'!O40</f>
        <v>0</v>
      </c>
      <c r="J293" s="989"/>
    </row>
    <row r="294" spans="1:10" x14ac:dyDescent="0.3">
      <c r="B294" s="311" t="str">
        <f>IF(LEN('Ch6'!H41)=0,"",'Ch6'!H41)</f>
        <v/>
      </c>
      <c r="C294" s="311" t="str">
        <f t="shared" si="5"/>
        <v/>
      </c>
      <c r="D294" s="152"/>
      <c r="E294" s="955" t="s">
        <v>275</v>
      </c>
      <c r="F294" s="235"/>
      <c r="G294" s="365" t="s">
        <v>555</v>
      </c>
      <c r="H294" s="89">
        <f>'Ch6'!W41</f>
        <v>0</v>
      </c>
      <c r="I294" s="89">
        <f>'Ch6'!O41</f>
        <v>0</v>
      </c>
      <c r="J294" s="989"/>
    </row>
    <row r="295" spans="1:10" x14ac:dyDescent="0.3">
      <c r="B295" s="311" t="str">
        <f>IF(LEN('Ch6'!H42)=0,"",'Ch6'!H42)</f>
        <v/>
      </c>
      <c r="C295" s="311" t="str">
        <f t="shared" si="5"/>
        <v/>
      </c>
      <c r="D295" s="152"/>
      <c r="E295" s="955" t="s">
        <v>285</v>
      </c>
      <c r="F295" s="235"/>
      <c r="G295" s="365" t="s">
        <v>556</v>
      </c>
      <c r="H295" s="89">
        <f>'Ch6'!W42</f>
        <v>0</v>
      </c>
      <c r="I295" s="89">
        <f>'Ch6'!O42</f>
        <v>0</v>
      </c>
      <c r="J295" s="989"/>
    </row>
    <row r="296" spans="1:10" x14ac:dyDescent="0.3">
      <c r="B296" s="311" t="str">
        <f>IF(LEN('Ch6'!H43)=0,"",'Ch6'!H43)</f>
        <v/>
      </c>
      <c r="C296" s="311" t="str">
        <f t="shared" si="5"/>
        <v/>
      </c>
      <c r="D296" s="152"/>
      <c r="E296" s="925" t="s">
        <v>291</v>
      </c>
      <c r="F296" s="919"/>
      <c r="G296" s="682" t="s">
        <v>557</v>
      </c>
      <c r="H296" s="89">
        <f>'Ch6'!W43</f>
        <v>0</v>
      </c>
      <c r="I296" s="89">
        <f>'Ch6'!O43</f>
        <v>0</v>
      </c>
      <c r="J296" s="989"/>
    </row>
    <row r="297" spans="1:10" ht="15.75" customHeight="1" thickTop="1" x14ac:dyDescent="0.3">
      <c r="A297" s="727" t="str">
        <f>IF(AND(LEN('Ch6'!W44)&gt;0,NOT('Ch6'!W44=FALSE)),"P","")</f>
        <v>P</v>
      </c>
      <c r="B297" s="311" t="str">
        <f>IF(LEN('Ch6'!H44)=0,"",'Ch6'!H44)</f>
        <v/>
      </c>
      <c r="C297" s="311" t="str">
        <f t="shared" si="5"/>
        <v>P</v>
      </c>
      <c r="D297" s="111">
        <v>601.4</v>
      </c>
      <c r="E297" s="954"/>
      <c r="F297" s="954"/>
      <c r="G297" s="1331" t="s">
        <v>558</v>
      </c>
      <c r="H297" s="89" t="b">
        <f>'Ch6'!W44</f>
        <v>1</v>
      </c>
      <c r="I297" s="89">
        <f>'Ch6'!O44</f>
        <v>4</v>
      </c>
      <c r="J297" s="1440" t="s">
        <v>4247</v>
      </c>
    </row>
    <row r="298" spans="1:10" x14ac:dyDescent="0.3">
      <c r="A298" s="727" t="str">
        <f>A297</f>
        <v>P</v>
      </c>
      <c r="B298" s="311" t="str">
        <f>IF(LEN('Ch6'!H45)=0,"",'Ch6'!H45)</f>
        <v/>
      </c>
      <c r="C298" s="311" t="str">
        <f t="shared" si="5"/>
        <v>P</v>
      </c>
      <c r="D298" s="106"/>
      <c r="E298" s="204"/>
      <c r="F298" s="204"/>
      <c r="G298" s="1313"/>
      <c r="J298" s="1440"/>
    </row>
    <row r="299" spans="1:10" x14ac:dyDescent="0.3">
      <c r="A299" s="727" t="str">
        <f>A298</f>
        <v>P</v>
      </c>
      <c r="B299" s="311" t="str">
        <f>IF(LEN('Ch6'!H46)=0,"",'Ch6'!H46)</f>
        <v/>
      </c>
      <c r="C299" s="311" t="str">
        <f t="shared" si="5"/>
        <v>P</v>
      </c>
      <c r="D299" s="106"/>
      <c r="E299" s="204"/>
      <c r="F299" s="204"/>
      <c r="G299" s="1313"/>
      <c r="J299" s="1440"/>
    </row>
    <row r="300" spans="1:10" ht="15.75" customHeight="1" thickTop="1" x14ac:dyDescent="0.3">
      <c r="A300" s="1196" t="str">
        <f>IF(COUNTIF(A303:A307,"P")&gt;0,"P","")</f>
        <v>P</v>
      </c>
      <c r="B300" s="311" t="str">
        <f>IF(LEN('Ch6'!H47)=0,"",'Ch6'!H47)</f>
        <v/>
      </c>
      <c r="C300" s="311" t="str">
        <f t="shared" si="5"/>
        <v>P</v>
      </c>
      <c r="D300" s="111">
        <v>601.5</v>
      </c>
      <c r="E300" s="954"/>
      <c r="F300" s="954"/>
      <c r="G300" s="1331" t="s">
        <v>559</v>
      </c>
      <c r="J300" s="989"/>
    </row>
    <row r="301" spans="1:10" x14ac:dyDescent="0.3">
      <c r="A301" s="727" t="str">
        <f>A300</f>
        <v>P</v>
      </c>
      <c r="B301" s="311" t="str">
        <f>IF(LEN('Ch6'!H48)=0,"",'Ch6'!H48)</f>
        <v/>
      </c>
      <c r="C301" s="311" t="str">
        <f t="shared" si="5"/>
        <v>P</v>
      </c>
      <c r="D301" s="106"/>
      <c r="E301" s="204"/>
      <c r="F301" s="204"/>
      <c r="G301" s="1313"/>
      <c r="J301" s="989"/>
    </row>
    <row r="302" spans="1:10" x14ac:dyDescent="0.3">
      <c r="A302" s="727" t="str">
        <f>A301</f>
        <v>P</v>
      </c>
      <c r="B302" s="311" t="str">
        <f>IF(LEN('Ch6'!H49)=0,"",'Ch6'!H49)</f>
        <v/>
      </c>
      <c r="C302" s="311" t="str">
        <f t="shared" si="5"/>
        <v>P</v>
      </c>
      <c r="D302" s="106"/>
      <c r="E302" s="204"/>
      <c r="F302" s="204"/>
      <c r="G302" s="1313"/>
      <c r="J302" s="989"/>
    </row>
    <row r="303" spans="1:10" x14ac:dyDescent="0.3">
      <c r="A303" s="727" t="str">
        <f>IF(AND(LEN('Ch6'!W50)&gt;0,NOT('Ch6'!W50=FALSE)),"P","")</f>
        <v>P</v>
      </c>
      <c r="B303" s="311" t="str">
        <f>IF(LEN('Ch6'!H50)=0,"",'Ch6'!H50)</f>
        <v/>
      </c>
      <c r="C303" s="311" t="str">
        <f t="shared" si="5"/>
        <v>P</v>
      </c>
      <c r="D303" s="152"/>
      <c r="E303" s="946" t="s">
        <v>271</v>
      </c>
      <c r="F303" s="232"/>
      <c r="G303" s="676" t="s">
        <v>561</v>
      </c>
      <c r="H303" s="89" t="b">
        <f>'Ch6'!W50</f>
        <v>1</v>
      </c>
      <c r="I303" s="89">
        <f>'Ch6'!O50</f>
        <v>4</v>
      </c>
      <c r="J303" s="1439" t="s">
        <v>4226</v>
      </c>
    </row>
    <row r="304" spans="1:10" x14ac:dyDescent="0.3">
      <c r="A304" s="727" t="str">
        <f>IF(AND(LEN('Ch6'!W51)&gt;0,NOT('Ch6'!W51=FALSE)),"P","")</f>
        <v/>
      </c>
      <c r="B304" s="311" t="str">
        <f>IF(LEN('Ch6'!H51)=0,"",'Ch6'!H51)</f>
        <v/>
      </c>
      <c r="C304" s="311" t="str">
        <f t="shared" si="5"/>
        <v/>
      </c>
      <c r="D304" s="152"/>
      <c r="E304" s="955" t="s">
        <v>273</v>
      </c>
      <c r="F304" s="235"/>
      <c r="G304" s="365" t="s">
        <v>562</v>
      </c>
      <c r="H304" s="89">
        <f>'Ch6'!W51</f>
        <v>0</v>
      </c>
      <c r="I304" s="89">
        <f>'Ch6'!O51</f>
        <v>0</v>
      </c>
      <c r="J304" s="1439"/>
    </row>
    <row r="305" spans="1:10" x14ac:dyDescent="0.3">
      <c r="A305" s="727" t="str">
        <f>IF(AND(LEN('Ch6'!W52)&gt;0,NOT('Ch6'!W52=FALSE)),"P","")</f>
        <v/>
      </c>
      <c r="B305" s="311" t="str">
        <f>IF(LEN('Ch6'!H52)=0,"",'Ch6'!H52)</f>
        <v/>
      </c>
      <c r="C305" s="311" t="str">
        <f t="shared" si="5"/>
        <v/>
      </c>
      <c r="D305" s="152"/>
      <c r="E305" s="955" t="s">
        <v>275</v>
      </c>
      <c r="F305" s="235"/>
      <c r="G305" s="365" t="s">
        <v>563</v>
      </c>
      <c r="H305" s="89">
        <f>'Ch6'!W52</f>
        <v>0</v>
      </c>
      <c r="I305" s="89">
        <f>'Ch6'!O52</f>
        <v>0</v>
      </c>
      <c r="J305" s="1439"/>
    </row>
    <row r="306" spans="1:10" x14ac:dyDescent="0.3">
      <c r="A306" s="727" t="str">
        <f>IF(AND(LEN('Ch6'!W53)&gt;0,NOT('Ch6'!W53=FALSE)),"P","")</f>
        <v/>
      </c>
      <c r="B306" s="311" t="str">
        <f>IF(LEN('Ch6'!H53)=0,"",'Ch6'!H53)</f>
        <v/>
      </c>
      <c r="C306" s="311" t="str">
        <f t="shared" si="5"/>
        <v/>
      </c>
      <c r="D306" s="152"/>
      <c r="E306" s="955" t="s">
        <v>285</v>
      </c>
      <c r="F306" s="235"/>
      <c r="G306" s="365" t="s">
        <v>564</v>
      </c>
      <c r="H306" s="89">
        <f>'Ch6'!W53</f>
        <v>0</v>
      </c>
      <c r="I306" s="89">
        <f>'Ch6'!O53</f>
        <v>0</v>
      </c>
      <c r="J306" s="1439" t="s">
        <v>4238</v>
      </c>
    </row>
    <row r="307" spans="1:10" x14ac:dyDescent="0.3">
      <c r="A307" s="727" t="str">
        <f>IF(AND(LEN('Ch6'!W54)&gt;0,NOT('Ch6'!W54=FALSE)),"P","")</f>
        <v/>
      </c>
      <c r="B307" s="311" t="str">
        <f>IF(LEN('Ch6'!H54)=0,"",'Ch6'!H54)</f>
        <v/>
      </c>
      <c r="C307" s="311" t="str">
        <f t="shared" si="5"/>
        <v/>
      </c>
      <c r="D307" s="152"/>
      <c r="E307" s="925" t="s">
        <v>291</v>
      </c>
      <c r="F307" s="919"/>
      <c r="G307" s="682" t="s">
        <v>565</v>
      </c>
      <c r="H307" s="89">
        <f>'Ch6'!W54</f>
        <v>0</v>
      </c>
      <c r="I307" s="89">
        <f>'Ch6'!O54</f>
        <v>0</v>
      </c>
      <c r="J307" s="1439"/>
    </row>
    <row r="308" spans="1:10" ht="15.75" customHeight="1" thickTop="1" x14ac:dyDescent="0.3">
      <c r="A308" s="727" t="str">
        <f ca="1">IF('Ch6'!O55&gt;0,"P","")</f>
        <v/>
      </c>
      <c r="B308" s="311" t="str">
        <f>IF(LEN('Ch6'!H55)=0,"",'Ch6'!H55)</f>
        <v/>
      </c>
      <c r="C308" s="311" t="str">
        <f t="shared" ca="1" si="5"/>
        <v/>
      </c>
      <c r="D308" s="111">
        <v>601.6</v>
      </c>
      <c r="E308" s="954"/>
      <c r="F308" s="954"/>
      <c r="G308" s="1331" t="s">
        <v>566</v>
      </c>
      <c r="I308" s="89">
        <f ca="1">'Ch6'!O55</f>
        <v>0</v>
      </c>
      <c r="J308" s="1439" t="s">
        <v>4226</v>
      </c>
    </row>
    <row r="309" spans="1:10" x14ac:dyDescent="0.3">
      <c r="A309" s="727" t="str">
        <f ca="1">A308</f>
        <v/>
      </c>
      <c r="B309" s="311" t="str">
        <f>IF(LEN('Ch6'!H56)=0,"",'Ch6'!H56)</f>
        <v/>
      </c>
      <c r="C309" s="311" t="str">
        <f t="shared" ca="1" si="5"/>
        <v/>
      </c>
      <c r="D309" s="106"/>
      <c r="E309" s="204"/>
      <c r="F309" s="204"/>
      <c r="G309" s="1313"/>
      <c r="H309" s="89">
        <f>'Ch6'!W56</f>
        <v>0</v>
      </c>
      <c r="J309" s="1439"/>
    </row>
    <row r="310" spans="1:10" x14ac:dyDescent="0.3">
      <c r="A310" s="727" t="str">
        <f ca="1">A309</f>
        <v/>
      </c>
      <c r="B310" s="311" t="str">
        <f>IF(LEN('Ch6'!H57)=0,"",'Ch6'!H57)</f>
        <v/>
      </c>
      <c r="C310" s="311" t="str">
        <f t="shared" ca="1" si="5"/>
        <v/>
      </c>
      <c r="D310" s="106"/>
      <c r="E310" s="204"/>
      <c r="F310" s="204"/>
      <c r="G310" s="1313"/>
      <c r="J310" s="1439"/>
    </row>
    <row r="311" spans="1:10" x14ac:dyDescent="0.3">
      <c r="B311" s="311" t="str">
        <f>IF(LEN('Ch6'!H58)=0,"",'Ch6'!H58)</f>
        <v/>
      </c>
      <c r="C311" s="311" t="str">
        <f t="shared" si="5"/>
        <v/>
      </c>
      <c r="D311" s="106"/>
      <c r="E311" s="946" t="s">
        <v>271</v>
      </c>
      <c r="F311" s="232"/>
      <c r="G311" s="676" t="s">
        <v>568</v>
      </c>
      <c r="J311" s="989"/>
    </row>
    <row r="312" spans="1:10" x14ac:dyDescent="0.3">
      <c r="B312" s="311" t="str">
        <f>IF(LEN('Ch6'!H59)=0,"",'Ch6'!H59)</f>
        <v/>
      </c>
      <c r="C312" s="311" t="str">
        <f t="shared" si="5"/>
        <v/>
      </c>
      <c r="D312" s="106"/>
      <c r="E312" s="926" t="s">
        <v>273</v>
      </c>
      <c r="F312" s="204"/>
      <c r="G312" s="675" t="s">
        <v>569</v>
      </c>
      <c r="J312" s="989"/>
    </row>
    <row r="313" spans="1:10" ht="15.75" customHeight="1" thickTop="1" x14ac:dyDescent="0.3">
      <c r="A313" s="727" t="str">
        <f ca="1">IF('Ch6'!O60&gt;0,"P","")</f>
        <v>P</v>
      </c>
      <c r="B313" s="311" t="str">
        <f>IF(LEN('Ch6'!H60)=0,"",'Ch6'!H60)</f>
        <v/>
      </c>
      <c r="C313" s="311" t="str">
        <f t="shared" ca="1" si="5"/>
        <v>P</v>
      </c>
      <c r="D313" s="111">
        <v>601.70000000000005</v>
      </c>
      <c r="E313" s="954"/>
      <c r="F313" s="954"/>
      <c r="G313" s="1331" t="s">
        <v>570</v>
      </c>
      <c r="I313" s="89">
        <f ca="1">'Ch6'!O60</f>
        <v>5</v>
      </c>
      <c r="J313" s="1448" t="s">
        <v>4239</v>
      </c>
    </row>
    <row r="314" spans="1:10" x14ac:dyDescent="0.3">
      <c r="A314" s="727" t="str">
        <f ca="1">A313</f>
        <v>P</v>
      </c>
      <c r="B314" s="311" t="str">
        <f>IF(LEN('Ch6'!H61)=0,"",'Ch6'!H61)</f>
        <v/>
      </c>
      <c r="C314" s="311" t="str">
        <f t="shared" ca="1" si="5"/>
        <v>P</v>
      </c>
      <c r="D314" s="106"/>
      <c r="E314" s="204"/>
      <c r="F314" s="204"/>
      <c r="G314" s="1313"/>
      <c r="J314" s="1448"/>
    </row>
    <row r="315" spans="1:10" x14ac:dyDescent="0.3">
      <c r="B315" s="311" t="str">
        <f>IF(LEN('Ch6'!H62)=0,"",'Ch6'!H62)</f>
        <v/>
      </c>
      <c r="C315" s="311" t="str">
        <f t="shared" si="5"/>
        <v/>
      </c>
      <c r="D315" s="106"/>
      <c r="E315" s="204"/>
      <c r="F315" s="204"/>
      <c r="G315" s="683" t="s">
        <v>581</v>
      </c>
      <c r="J315" s="989"/>
    </row>
    <row r="316" spans="1:10" ht="15" customHeight="1" x14ac:dyDescent="0.3">
      <c r="B316" s="311" t="str">
        <f>IF(LEN('Ch6'!H63)=0,"",'Ch6'!H63)</f>
        <v/>
      </c>
      <c r="C316" s="311" t="str">
        <f t="shared" si="5"/>
        <v/>
      </c>
      <c r="D316" s="106"/>
      <c r="E316" s="204"/>
      <c r="F316" s="946" t="s">
        <v>121</v>
      </c>
      <c r="G316" s="676" t="s">
        <v>572</v>
      </c>
      <c r="H316" s="89">
        <f>'Ch6'!W63</f>
        <v>0</v>
      </c>
      <c r="J316" s="996"/>
    </row>
    <row r="317" spans="1:10" x14ac:dyDescent="0.3">
      <c r="B317" s="311" t="str">
        <f>IF(LEN('Ch6'!H64)=0,"",'Ch6'!H64)</f>
        <v/>
      </c>
      <c r="C317" s="311" t="str">
        <f t="shared" si="5"/>
        <v/>
      </c>
      <c r="D317" s="106"/>
      <c r="E317" s="204"/>
      <c r="F317" s="955" t="s">
        <v>122</v>
      </c>
      <c r="G317" s="365" t="s">
        <v>573</v>
      </c>
      <c r="H317" s="89">
        <f>'Ch6'!W64</f>
        <v>0</v>
      </c>
      <c r="J317" s="996"/>
    </row>
    <row r="318" spans="1:10" ht="15" customHeight="1" x14ac:dyDescent="0.3">
      <c r="B318" s="311" t="str">
        <f>IF(LEN('Ch6'!H65)=0,"",'Ch6'!H65)</f>
        <v/>
      </c>
      <c r="C318" s="311" t="str">
        <f t="shared" si="5"/>
        <v/>
      </c>
      <c r="D318" s="106"/>
      <c r="E318" s="204"/>
      <c r="F318" s="956" t="s">
        <v>123</v>
      </c>
      <c r="G318" s="1373" t="s">
        <v>574</v>
      </c>
      <c r="H318" s="89" t="str">
        <f>'Ch6'!W65</f>
        <v>90% or more</v>
      </c>
      <c r="J318" s="1004"/>
    </row>
    <row r="319" spans="1:10" x14ac:dyDescent="0.3">
      <c r="B319" s="311" t="str">
        <f>IF(LEN('Ch6'!H66)=0,"",'Ch6'!H66)</f>
        <v/>
      </c>
      <c r="C319" s="311" t="str">
        <f t="shared" si="5"/>
        <v/>
      </c>
      <c r="D319" s="106"/>
      <c r="E319" s="204"/>
      <c r="F319" s="204"/>
      <c r="G319" s="1374"/>
      <c r="J319" s="1004"/>
    </row>
    <row r="320" spans="1:10" x14ac:dyDescent="0.3">
      <c r="B320" s="311" t="str">
        <f>IF(LEN('Ch6'!H67)=0,"",'Ch6'!H67)</f>
        <v/>
      </c>
      <c r="C320" s="311" t="str">
        <f t="shared" si="5"/>
        <v/>
      </c>
      <c r="D320" s="106"/>
      <c r="E320" s="204"/>
      <c r="F320" s="204"/>
      <c r="G320" s="366" t="s">
        <v>575</v>
      </c>
      <c r="J320" s="1004"/>
    </row>
    <row r="321" spans="1:10" x14ac:dyDescent="0.3">
      <c r="B321" s="311" t="str">
        <f>IF(LEN('Ch6'!H68)=0,"",'Ch6'!H68)</f>
        <v/>
      </c>
      <c r="C321" s="311" t="str">
        <f t="shared" si="5"/>
        <v/>
      </c>
      <c r="D321" s="106"/>
      <c r="E321" s="204"/>
      <c r="F321" s="232"/>
      <c r="G321" s="667" t="s">
        <v>576</v>
      </c>
      <c r="J321" s="1004"/>
    </row>
    <row r="322" spans="1:10" ht="15" customHeight="1" x14ac:dyDescent="0.3">
      <c r="B322" s="311" t="str">
        <f>IF(LEN('Ch6'!H69)=0,"",'Ch6'!H69)</f>
        <v/>
      </c>
      <c r="C322" s="311" t="str">
        <f t="shared" si="5"/>
        <v/>
      </c>
      <c r="D322" s="106"/>
      <c r="E322" s="204"/>
      <c r="F322" s="929" t="s">
        <v>423</v>
      </c>
      <c r="G322" s="1356" t="s">
        <v>577</v>
      </c>
      <c r="H322" s="89">
        <f>'Ch6'!W69</f>
        <v>0</v>
      </c>
      <c r="J322" s="1004"/>
    </row>
    <row r="323" spans="1:10" x14ac:dyDescent="0.3">
      <c r="B323" s="311" t="str">
        <f>IF(LEN('Ch6'!H70)=0,"",'Ch6'!H70)</f>
        <v/>
      </c>
      <c r="C323" s="311" t="str">
        <f t="shared" si="5"/>
        <v/>
      </c>
      <c r="D323" s="106"/>
      <c r="E323" s="204"/>
      <c r="F323" s="232"/>
      <c r="G323" s="1306"/>
      <c r="J323" s="1004"/>
    </row>
    <row r="324" spans="1:10" ht="15" customHeight="1" x14ac:dyDescent="0.3">
      <c r="B324" s="311" t="str">
        <f>IF(LEN('Ch6'!H71)=0,"",'Ch6'!H71)</f>
        <v/>
      </c>
      <c r="C324" s="311" t="str">
        <f t="shared" si="5"/>
        <v/>
      </c>
      <c r="D324" s="106"/>
      <c r="E324" s="204"/>
      <c r="F324" s="929" t="s">
        <v>578</v>
      </c>
      <c r="G324" s="1356" t="s">
        <v>579</v>
      </c>
      <c r="H324" s="89">
        <f>'Ch6'!W71</f>
        <v>0</v>
      </c>
      <c r="J324" s="1004"/>
    </row>
    <row r="325" spans="1:10" x14ac:dyDescent="0.3">
      <c r="B325" s="311" t="str">
        <f>IF(LEN('Ch6'!H72)=0,"",'Ch6'!H72)</f>
        <v/>
      </c>
      <c r="C325" s="311" t="str">
        <f t="shared" si="5"/>
        <v/>
      </c>
      <c r="D325" s="106"/>
      <c r="E325" s="204"/>
      <c r="F325" s="232"/>
      <c r="G325" s="1306"/>
      <c r="J325" s="1004"/>
    </row>
    <row r="326" spans="1:10" x14ac:dyDescent="0.3">
      <c r="B326" s="311" t="str">
        <f>IF(LEN('Ch6'!H73)=0,"",'Ch6'!H73)</f>
        <v/>
      </c>
      <c r="C326" s="311" t="str">
        <f t="shared" si="5"/>
        <v/>
      </c>
      <c r="D326" s="106"/>
      <c r="E326" s="946" t="s">
        <v>271</v>
      </c>
      <c r="F326" s="204"/>
      <c r="G326" s="676" t="s">
        <v>580</v>
      </c>
      <c r="J326" s="1004"/>
    </row>
    <row r="327" spans="1:10" ht="15" customHeight="1" x14ac:dyDescent="0.3">
      <c r="B327" s="311" t="str">
        <f>IF(LEN('Ch6'!H74)=0,"",'Ch6'!H74)</f>
        <v/>
      </c>
      <c r="C327" s="311" t="str">
        <f t="shared" si="5"/>
        <v/>
      </c>
      <c r="D327" s="106"/>
      <c r="E327" s="926" t="s">
        <v>273</v>
      </c>
      <c r="F327" s="957"/>
      <c r="G327" s="1355" t="s">
        <v>582</v>
      </c>
      <c r="J327" s="1004"/>
    </row>
    <row r="328" spans="1:10" x14ac:dyDescent="0.3">
      <c r="B328" s="311" t="str">
        <f>IF(LEN('Ch6'!H75)=0,"",'Ch6'!H75)</f>
        <v/>
      </c>
      <c r="C328" s="311" t="str">
        <f t="shared" ref="C328:C391" si="7">IF(LEN(B328)=0,IF(A328="P","P",""),B328)</f>
        <v/>
      </c>
      <c r="D328" s="106"/>
      <c r="E328" s="945"/>
      <c r="F328" s="232"/>
      <c r="G328" s="1294"/>
      <c r="J328" s="1004"/>
    </row>
    <row r="329" spans="1:10" ht="15" customHeight="1" x14ac:dyDescent="0.3">
      <c r="B329" s="311" t="str">
        <f>IF(LEN('Ch6'!H76)=0,"",'Ch6'!H76)</f>
        <v/>
      </c>
      <c r="C329" s="311" t="str">
        <f t="shared" si="7"/>
        <v/>
      </c>
      <c r="D329" s="106"/>
      <c r="E329" s="926" t="s">
        <v>275</v>
      </c>
      <c r="F329" s="204"/>
      <c r="G329" s="1293" t="s">
        <v>583</v>
      </c>
      <c r="J329" s="1004"/>
    </row>
    <row r="330" spans="1:10" ht="15" thickBot="1" x14ac:dyDescent="0.35">
      <c r="B330" s="311" t="str">
        <f>IF(LEN('Ch6'!H77)=0,"",'Ch6'!H77)</f>
        <v/>
      </c>
      <c r="C330" s="311" t="str">
        <f t="shared" si="7"/>
        <v/>
      </c>
      <c r="D330" s="106"/>
      <c r="E330" s="926"/>
      <c r="F330" s="204"/>
      <c r="G330" s="1348"/>
      <c r="J330" s="1004"/>
    </row>
    <row r="331" spans="1:10" ht="15.75" customHeight="1" thickTop="1" x14ac:dyDescent="0.3">
      <c r="A331" s="727" t="str">
        <f>IF(AND(LEN('Ch6'!W78)&gt;0,NOT('Ch6'!W78=FALSE)),"P","")</f>
        <v/>
      </c>
      <c r="B331" s="311" t="str">
        <f>IF(LEN('Ch6'!H78)=0,"",'Ch6'!H78)</f>
        <v/>
      </c>
      <c r="C331" s="311" t="str">
        <f t="shared" si="7"/>
        <v/>
      </c>
      <c r="D331" s="111">
        <v>601.79999999999995</v>
      </c>
      <c r="E331" s="954"/>
      <c r="F331" s="954"/>
      <c r="G331" s="1331" t="s">
        <v>584</v>
      </c>
      <c r="H331" s="89">
        <f>'Ch6'!W78</f>
        <v>0</v>
      </c>
      <c r="I331" s="89">
        <f>'Ch6'!O78</f>
        <v>0</v>
      </c>
      <c r="J331" s="1443" t="s">
        <v>4249</v>
      </c>
    </row>
    <row r="332" spans="1:10" x14ac:dyDescent="0.3">
      <c r="A332" s="727" t="str">
        <f>A331</f>
        <v/>
      </c>
      <c r="B332" s="311" t="str">
        <f>IF(LEN('Ch6'!H79)=0,"",'Ch6'!H79)</f>
        <v/>
      </c>
      <c r="C332" s="311" t="str">
        <f t="shared" si="7"/>
        <v/>
      </c>
      <c r="D332" s="106"/>
      <c r="E332" s="204"/>
      <c r="F332" s="204"/>
      <c r="G332" s="1313"/>
      <c r="J332" s="1443"/>
    </row>
    <row r="333" spans="1:10" x14ac:dyDescent="0.3">
      <c r="A333" s="727" t="str">
        <f>A332</f>
        <v/>
      </c>
      <c r="B333" s="311" t="str">
        <f>IF(LEN('Ch6'!H80)=0,"",'Ch6'!H80)</f>
        <v/>
      </c>
      <c r="C333" s="311" t="str">
        <f t="shared" si="7"/>
        <v/>
      </c>
      <c r="D333" s="106"/>
      <c r="E333" s="204"/>
      <c r="F333" s="204"/>
      <c r="G333" s="1313"/>
      <c r="J333" s="1443"/>
    </row>
    <row r="334" spans="1:10" x14ac:dyDescent="0.3">
      <c r="A334" s="727" t="str">
        <f>A333</f>
        <v/>
      </c>
      <c r="B334" s="311" t="str">
        <f>IF(LEN('Ch6'!H81)=0,"",'Ch6'!H81)</f>
        <v/>
      </c>
      <c r="C334" s="311" t="str">
        <f t="shared" si="7"/>
        <v/>
      </c>
      <c r="D334" s="106"/>
      <c r="E334" s="204"/>
      <c r="F334" s="204"/>
      <c r="G334" s="1313"/>
      <c r="J334" s="1443"/>
    </row>
    <row r="335" spans="1:10" x14ac:dyDescent="0.3">
      <c r="A335" s="727" t="str">
        <f>A334</f>
        <v/>
      </c>
      <c r="B335" s="311" t="str">
        <f>IF(LEN('Ch6'!H82)=0,"",'Ch6'!H82)</f>
        <v/>
      </c>
      <c r="C335" s="311" t="str">
        <f t="shared" si="7"/>
        <v/>
      </c>
      <c r="D335" s="106"/>
      <c r="E335" s="204"/>
      <c r="F335" s="204"/>
      <c r="G335" s="1313"/>
      <c r="J335" s="1443"/>
    </row>
    <row r="336" spans="1:10" ht="15" customHeight="1" x14ac:dyDescent="0.3">
      <c r="B336" s="311" t="str">
        <f>IF(LEN('Ch6'!H83)=0,"",'Ch6'!H83)</f>
        <v/>
      </c>
      <c r="C336" s="311" t="str">
        <f t="shared" si="7"/>
        <v/>
      </c>
      <c r="D336" s="106"/>
      <c r="E336" s="204"/>
      <c r="F336" s="204"/>
      <c r="G336" s="1369" t="s">
        <v>1302</v>
      </c>
      <c r="J336" s="989"/>
    </row>
    <row r="337" spans="1:10" x14ac:dyDescent="0.3">
      <c r="B337" s="311" t="str">
        <f>IF(LEN('Ch6'!H84)=0,"",'Ch6'!H84)</f>
        <v/>
      </c>
      <c r="C337" s="311" t="str">
        <f t="shared" si="7"/>
        <v/>
      </c>
      <c r="D337" s="106"/>
      <c r="E337" s="204"/>
      <c r="F337" s="204"/>
      <c r="G337" s="1369"/>
      <c r="J337" s="989"/>
    </row>
    <row r="338" spans="1:10" x14ac:dyDescent="0.3">
      <c r="B338" s="311" t="str">
        <f>IF(LEN('Ch6'!H85)=0,"",'Ch6'!H85)</f>
        <v/>
      </c>
      <c r="C338" s="311" t="str">
        <f t="shared" si="7"/>
        <v/>
      </c>
      <c r="D338" s="106"/>
      <c r="E338" s="204"/>
      <c r="F338" s="204"/>
      <c r="G338" s="1357"/>
      <c r="J338" s="989"/>
    </row>
    <row r="339" spans="1:10" ht="15.75" customHeight="1" thickTop="1" x14ac:dyDescent="0.3">
      <c r="A339" s="727" t="str">
        <f>IF(AND(LEN('Ch6'!W86)&gt;0,NOT('Ch6'!W86=FALSE)),"P","")</f>
        <v/>
      </c>
      <c r="B339" s="311" t="str">
        <f>IF(LEN('Ch6'!H86)=0,"",'Ch6'!H86)</f>
        <v/>
      </c>
      <c r="C339" s="311" t="str">
        <f t="shared" si="7"/>
        <v/>
      </c>
      <c r="D339" s="111">
        <v>601.9</v>
      </c>
      <c r="E339" s="954"/>
      <c r="F339" s="954"/>
      <c r="G339" s="1331" t="s">
        <v>585</v>
      </c>
      <c r="H339" s="89">
        <f>'Ch6'!W86</f>
        <v>0</v>
      </c>
      <c r="I339" s="89">
        <f>'Ch6'!O86</f>
        <v>0</v>
      </c>
      <c r="J339" s="1439" t="s">
        <v>4226</v>
      </c>
    </row>
    <row r="340" spans="1:10" x14ac:dyDescent="0.3">
      <c r="A340" s="727" t="str">
        <f>A339</f>
        <v/>
      </c>
      <c r="B340" s="311" t="str">
        <f>IF(LEN('Ch6'!H87)=0,"",'Ch6'!H87)</f>
        <v/>
      </c>
      <c r="C340" s="311" t="str">
        <f t="shared" si="7"/>
        <v/>
      </c>
      <c r="D340" s="106"/>
      <c r="E340" s="204"/>
      <c r="F340" s="204"/>
      <c r="G340" s="1313"/>
      <c r="J340" s="1439"/>
    </row>
    <row r="341" spans="1:10" x14ac:dyDescent="0.3">
      <c r="A341" s="727" t="str">
        <f>A340</f>
        <v/>
      </c>
      <c r="B341" s="311" t="str">
        <f>IF(LEN('Ch6'!H88)=0,"",'Ch6'!H88)</f>
        <v/>
      </c>
      <c r="C341" s="311" t="str">
        <f t="shared" si="7"/>
        <v/>
      </c>
      <c r="D341" s="106"/>
      <c r="E341" s="204"/>
      <c r="F341" s="204"/>
      <c r="G341" s="1313"/>
      <c r="J341" s="1439"/>
    </row>
    <row r="342" spans="1:10" ht="15" customHeight="1" x14ac:dyDescent="0.3">
      <c r="B342" s="311" t="str">
        <f>IF(LEN('Ch6'!H89)=0,"",'Ch6'!H89)</f>
        <v/>
      </c>
      <c r="C342" s="311" t="str">
        <f t="shared" si="7"/>
        <v/>
      </c>
      <c r="D342" s="106"/>
      <c r="E342" s="204"/>
      <c r="F342" s="204"/>
      <c r="G342" s="1369" t="s">
        <v>1302</v>
      </c>
      <c r="J342" s="989"/>
    </row>
    <row r="343" spans="1:10" x14ac:dyDescent="0.3">
      <c r="B343" s="311" t="str">
        <f>IF(LEN('Ch6'!H90)=0,"",'Ch6'!H90)</f>
        <v/>
      </c>
      <c r="C343" s="311" t="str">
        <f t="shared" si="7"/>
        <v/>
      </c>
      <c r="D343" s="106"/>
      <c r="E343" s="204"/>
      <c r="F343" s="204"/>
      <c r="G343" s="1369"/>
      <c r="J343" s="989"/>
    </row>
    <row r="344" spans="1:10" x14ac:dyDescent="0.3">
      <c r="B344" s="311" t="str">
        <f>IF(LEN('Ch6'!H91)=0,"",'Ch6'!H91)</f>
        <v/>
      </c>
      <c r="C344" s="311" t="str">
        <f t="shared" si="7"/>
        <v/>
      </c>
      <c r="D344" s="106"/>
      <c r="E344" s="204"/>
      <c r="F344" s="204"/>
      <c r="G344" s="1369"/>
      <c r="J344" s="989"/>
    </row>
    <row r="345" spans="1:10" ht="18" x14ac:dyDescent="0.3">
      <c r="A345" s="727" t="s">
        <v>4389</v>
      </c>
      <c r="B345" s="311" t="str">
        <f>IF(LEN('Ch6'!H92)=0,"",'Ch6'!H92)</f>
        <v/>
      </c>
      <c r="C345" s="311" t="str">
        <f t="shared" si="7"/>
        <v>P</v>
      </c>
      <c r="D345" s="72" t="s">
        <v>586</v>
      </c>
      <c r="E345" s="72"/>
      <c r="F345" s="72"/>
      <c r="G345" s="259"/>
      <c r="H345" s="259"/>
      <c r="I345" s="259"/>
      <c r="J345" s="1005"/>
    </row>
    <row r="346" spans="1:10" ht="15" customHeight="1" x14ac:dyDescent="0.3">
      <c r="B346" s="311" t="str">
        <f>IF(LEN('Ch6'!H93)=0,"",'Ch6'!H93)</f>
        <v/>
      </c>
      <c r="C346" s="311" t="str">
        <f t="shared" si="7"/>
        <v/>
      </c>
      <c r="D346" s="925" t="s">
        <v>3346</v>
      </c>
      <c r="E346" s="919"/>
      <c r="F346" s="919"/>
      <c r="G346" s="1292" t="s">
        <v>587</v>
      </c>
      <c r="J346" s="989"/>
    </row>
    <row r="347" spans="1:10" ht="15" thickBot="1" x14ac:dyDescent="0.35">
      <c r="B347" s="311" t="str">
        <f>IF(LEN('Ch6'!H94)=0,"",'Ch6'!H94)</f>
        <v/>
      </c>
      <c r="C347" s="311" t="str">
        <f t="shared" si="7"/>
        <v/>
      </c>
      <c r="D347" s="152"/>
      <c r="E347" s="919"/>
      <c r="F347" s="919"/>
      <c r="G347" s="1292"/>
      <c r="J347" s="989"/>
    </row>
    <row r="348" spans="1:10" ht="15.6" thickTop="1" thickBot="1" x14ac:dyDescent="0.35">
      <c r="A348" s="1196" t="str">
        <f ca="1">IF(COUNTIF(A350:A471,"P")&gt;0,"P","")</f>
        <v>P</v>
      </c>
      <c r="B348" s="311" t="str">
        <f>IF(LEN('Ch6'!H95)=0,"",'Ch6'!H95)</f>
        <v/>
      </c>
      <c r="C348" s="311" t="str">
        <f t="shared" ca="1" si="7"/>
        <v>P</v>
      </c>
      <c r="D348" s="111">
        <v>602.1</v>
      </c>
      <c r="E348" s="954"/>
      <c r="F348" s="954"/>
      <c r="G348" s="697" t="s">
        <v>588</v>
      </c>
      <c r="J348" s="989"/>
    </row>
    <row r="349" spans="1:10" ht="15" thickTop="1" x14ac:dyDescent="0.3">
      <c r="A349" s="1196" t="str">
        <f>IF(COUNTIF(A350:A353,"P")&gt;0,"P","")</f>
        <v>P</v>
      </c>
      <c r="B349" s="311" t="str">
        <f>IF(LEN('Ch6'!H96)=0,"",'Ch6'!H96)</f>
        <v/>
      </c>
      <c r="C349" s="311" t="str">
        <f t="shared" si="7"/>
        <v>P</v>
      </c>
      <c r="D349" s="111" t="s">
        <v>589</v>
      </c>
      <c r="E349" s="954"/>
      <c r="F349" s="954"/>
      <c r="G349" s="697" t="s">
        <v>590</v>
      </c>
      <c r="J349" s="989"/>
    </row>
    <row r="350" spans="1:10" ht="15" customHeight="1" x14ac:dyDescent="0.3">
      <c r="A350" s="727" t="str">
        <f>IF(AND(LEN('Ch6'!W97)&gt;0,NOT('Ch6'!W97=FALSE)),"P","")</f>
        <v/>
      </c>
      <c r="B350" s="311" t="str">
        <f>IF(LEN('Ch6'!H97)=0,"",'Ch6'!H97)</f>
        <v/>
      </c>
      <c r="C350" s="311" t="str">
        <f t="shared" si="7"/>
        <v/>
      </c>
      <c r="D350" s="106" t="s">
        <v>591</v>
      </c>
      <c r="E350" s="204"/>
      <c r="F350" s="204"/>
      <c r="G350" s="1313" t="s">
        <v>592</v>
      </c>
      <c r="H350" s="89">
        <f>'Ch6'!W97</f>
        <v>0</v>
      </c>
      <c r="J350" s="1443" t="s">
        <v>4250</v>
      </c>
    </row>
    <row r="351" spans="1:10" ht="15" thickBot="1" x14ac:dyDescent="0.35">
      <c r="A351" s="727" t="str">
        <f>A350</f>
        <v/>
      </c>
      <c r="B351" s="311" t="str">
        <f>IF(LEN('Ch6'!H98)=0,"",'Ch6'!H98)</f>
        <v/>
      </c>
      <c r="C351" s="311" t="str">
        <f t="shared" si="7"/>
        <v/>
      </c>
      <c r="D351" s="106"/>
      <c r="E351" s="204"/>
      <c r="F351" s="204"/>
      <c r="G351" s="1313"/>
      <c r="J351" s="1443"/>
    </row>
    <row r="352" spans="1:10" ht="15" thickBot="1" x14ac:dyDescent="0.35">
      <c r="A352" s="727" t="str">
        <f>A351</f>
        <v/>
      </c>
      <c r="B352" s="311" t="str">
        <f>IF(LEN('Ch6'!H99)=0,"",'Ch6'!H99)</f>
        <v/>
      </c>
      <c r="C352" s="311" t="str">
        <f t="shared" si="7"/>
        <v/>
      </c>
      <c r="D352" s="927"/>
      <c r="E352" s="232"/>
      <c r="F352" s="232"/>
      <c r="G352" s="1350"/>
      <c r="J352" s="1443"/>
    </row>
    <row r="353" spans="1:10" ht="15" customHeight="1" x14ac:dyDescent="0.3">
      <c r="A353" s="727" t="str">
        <f>IF(AND(LEN('Ch6'!W100)&gt;0,NOT('Ch6'!W100=FALSE)),"P","")</f>
        <v>P</v>
      </c>
      <c r="B353" s="311" t="str">
        <f>IF(LEN('Ch6'!H100)=0,"",'Ch6'!H100)</f>
        <v/>
      </c>
      <c r="C353" s="311" t="str">
        <f t="shared" si="7"/>
        <v>P</v>
      </c>
      <c r="D353" s="152" t="s">
        <v>593</v>
      </c>
      <c r="E353" s="919"/>
      <c r="F353" s="919"/>
      <c r="G353" s="1292" t="s">
        <v>594</v>
      </c>
      <c r="H353" s="89" t="b">
        <f>'Ch6'!W100</f>
        <v>1</v>
      </c>
      <c r="I353" s="89">
        <f>'Ch6'!O100</f>
        <v>3</v>
      </c>
      <c r="J353" s="1443" t="s">
        <v>4251</v>
      </c>
    </row>
    <row r="354" spans="1:10" ht="15" thickBot="1" x14ac:dyDescent="0.35">
      <c r="A354" s="727" t="str">
        <f>A353</f>
        <v>P</v>
      </c>
      <c r="B354" s="311" t="str">
        <f>IF(LEN('Ch6'!H101)=0,"",'Ch6'!H101)</f>
        <v/>
      </c>
      <c r="C354" s="311" t="str">
        <f t="shared" si="7"/>
        <v>P</v>
      </c>
      <c r="D354" s="152"/>
      <c r="E354" s="919"/>
      <c r="F354" s="919"/>
      <c r="G354" s="1292"/>
      <c r="J354" s="1443"/>
    </row>
    <row r="355" spans="1:10" ht="15.75" customHeight="1" thickTop="1" x14ac:dyDescent="0.3">
      <c r="A355" s="727" t="str">
        <f>IF('Ch6'!O102&gt;0,"P","")</f>
        <v/>
      </c>
      <c r="B355" s="311" t="str">
        <f>IF(LEN('Ch6'!H102)=0,"",'Ch6'!H102)</f>
        <v/>
      </c>
      <c r="C355" s="311" t="str">
        <f t="shared" si="7"/>
        <v/>
      </c>
      <c r="D355" s="111" t="s">
        <v>3347</v>
      </c>
      <c r="E355" s="954"/>
      <c r="F355" s="954"/>
      <c r="G355" s="1331" t="s">
        <v>596</v>
      </c>
      <c r="I355" s="89">
        <f>'Ch6'!O102</f>
        <v>0</v>
      </c>
      <c r="J355" s="1443" t="s">
        <v>4252</v>
      </c>
    </row>
    <row r="356" spans="1:10" ht="15" thickBot="1" x14ac:dyDescent="0.35">
      <c r="A356" s="727" t="str">
        <f>A355</f>
        <v/>
      </c>
      <c r="B356" s="311" t="str">
        <f>IF(LEN('Ch6'!H103)=0,"",'Ch6'!H103)</f>
        <v/>
      </c>
      <c r="C356" s="311" t="str">
        <f t="shared" si="7"/>
        <v/>
      </c>
      <c r="D356" s="106"/>
      <c r="E356" s="204"/>
      <c r="F356" s="204"/>
      <c r="G356" s="1313"/>
      <c r="J356" s="1443"/>
    </row>
    <row r="357" spans="1:10" ht="15" thickBot="1" x14ac:dyDescent="0.35">
      <c r="B357" s="311" t="str">
        <f>IF(LEN('Ch6'!H104)=0,"",'Ch6'!H104)</f>
        <v/>
      </c>
      <c r="C357" s="311" t="str">
        <f t="shared" si="7"/>
        <v/>
      </c>
      <c r="D357" s="106"/>
      <c r="E357" s="946" t="s">
        <v>271</v>
      </c>
      <c r="F357" s="232"/>
      <c r="G357" s="676" t="s">
        <v>597</v>
      </c>
      <c r="H357" s="89">
        <f>'Ch6'!W104</f>
        <v>0</v>
      </c>
      <c r="J357" s="996"/>
    </row>
    <row r="358" spans="1:10" ht="15" thickBot="1" x14ac:dyDescent="0.35">
      <c r="B358" s="311" t="str">
        <f>IF(LEN('Ch6'!H105)=0,"",'Ch6'!H105)</f>
        <v/>
      </c>
      <c r="C358" s="311" t="str">
        <f t="shared" si="7"/>
        <v/>
      </c>
      <c r="D358" s="928"/>
      <c r="E358" s="931" t="s">
        <v>273</v>
      </c>
      <c r="F358" s="934"/>
      <c r="G358" s="678" t="s">
        <v>598</v>
      </c>
      <c r="H358" s="89">
        <f>'Ch6'!W105</f>
        <v>0</v>
      </c>
      <c r="J358" s="996"/>
    </row>
    <row r="359" spans="1:10" ht="15.6" thickTop="1" thickBot="1" x14ac:dyDescent="0.35">
      <c r="A359" s="1196" t="str">
        <f>IF(COUNTIF(A360:A362,"P")&gt;0,"P","")</f>
        <v>P</v>
      </c>
      <c r="B359" s="311" t="str">
        <f>IF(LEN('Ch6'!H106)=0,"",'Ch6'!H106)</f>
        <v/>
      </c>
      <c r="C359" s="311" t="str">
        <f t="shared" si="7"/>
        <v>P</v>
      </c>
      <c r="D359" s="111" t="s">
        <v>599</v>
      </c>
      <c r="E359" s="954"/>
      <c r="F359" s="954"/>
      <c r="G359" s="697" t="s">
        <v>600</v>
      </c>
      <c r="J359" s="989"/>
    </row>
    <row r="360" spans="1:10" ht="15" customHeight="1" x14ac:dyDescent="0.3">
      <c r="A360" s="727" t="str">
        <f>IF(AND(LEN('Ch6'!W107)&gt;0,NOT('Ch6'!W107=FALSE)),"P","")</f>
        <v/>
      </c>
      <c r="B360" s="311" t="str">
        <f>IF(LEN('Ch6'!H107)=0,"",'Ch6'!H107)</f>
        <v/>
      </c>
      <c r="C360" s="311" t="str">
        <f t="shared" si="7"/>
        <v/>
      </c>
      <c r="D360" s="106" t="s">
        <v>601</v>
      </c>
      <c r="E360" s="204"/>
      <c r="F360" s="204"/>
      <c r="G360" s="1313" t="s">
        <v>602</v>
      </c>
      <c r="H360" s="89">
        <f>'Ch6'!W107</f>
        <v>0</v>
      </c>
      <c r="J360" s="1444" t="s">
        <v>4340</v>
      </c>
    </row>
    <row r="361" spans="1:10" ht="15" thickBot="1" x14ac:dyDescent="0.35">
      <c r="A361" s="727" t="str">
        <f>A360</f>
        <v/>
      </c>
      <c r="B361" s="311" t="str">
        <f>IF(LEN('Ch6'!H108)=0,"",'Ch6'!H108)</f>
        <v/>
      </c>
      <c r="C361" s="311" t="str">
        <f t="shared" si="7"/>
        <v/>
      </c>
      <c r="D361" s="927"/>
      <c r="E361" s="232"/>
      <c r="F361" s="232"/>
      <c r="G361" s="1350"/>
      <c r="J361" s="1444"/>
    </row>
    <row r="362" spans="1:10" ht="15" customHeight="1" x14ac:dyDescent="0.3">
      <c r="A362" s="727" t="str">
        <f>IF(AND(LEN('Ch6'!W109)&gt;0,NOT('Ch6'!W109=FALSE)),"P","")</f>
        <v>P</v>
      </c>
      <c r="B362" s="311" t="str">
        <f>IF(LEN('Ch6'!H109)=0,"",'Ch6'!H109)</f>
        <v/>
      </c>
      <c r="C362" s="311" t="str">
        <f t="shared" si="7"/>
        <v>P</v>
      </c>
      <c r="D362" s="152" t="s">
        <v>603</v>
      </c>
      <c r="E362" s="919"/>
      <c r="F362" s="919"/>
      <c r="G362" s="1292" t="s">
        <v>604</v>
      </c>
      <c r="H362" s="89" t="b">
        <f>'Ch6'!W109</f>
        <v>1</v>
      </c>
      <c r="I362" s="89">
        <f>'Ch6'!O109</f>
        <v>4</v>
      </c>
      <c r="J362" s="1439" t="s">
        <v>4253</v>
      </c>
    </row>
    <row r="363" spans="1:10" ht="15" thickBot="1" x14ac:dyDescent="0.35">
      <c r="A363" s="727" t="str">
        <f>A362</f>
        <v>P</v>
      </c>
      <c r="B363" s="311" t="str">
        <f>IF(LEN('Ch6'!H110)=0,"",'Ch6'!H110)</f>
        <v/>
      </c>
      <c r="C363" s="311" t="str">
        <f t="shared" si="7"/>
        <v>P</v>
      </c>
      <c r="D363" s="152"/>
      <c r="E363" s="919"/>
      <c r="F363" s="919"/>
      <c r="G363" s="1292"/>
      <c r="J363" s="1439"/>
    </row>
    <row r="364" spans="1:10" ht="15.6" thickTop="1" thickBot="1" x14ac:dyDescent="0.35">
      <c r="A364" s="1196" t="str">
        <f>IF(COUNTIF(A365:A371,"P")&gt;0,"P","")</f>
        <v>P</v>
      </c>
      <c r="B364" s="311" t="str">
        <f>IF(LEN('Ch6'!H111)=0,"",'Ch6'!H111)</f>
        <v/>
      </c>
      <c r="C364" s="311" t="str">
        <f t="shared" si="7"/>
        <v>P</v>
      </c>
      <c r="D364" s="111" t="s">
        <v>605</v>
      </c>
      <c r="E364" s="954"/>
      <c r="F364" s="954"/>
      <c r="G364" s="697" t="s">
        <v>606</v>
      </c>
      <c r="J364" s="989"/>
    </row>
    <row r="365" spans="1:10" ht="15" customHeight="1" x14ac:dyDescent="0.3">
      <c r="A365" s="727" t="str">
        <f>IF(SUM(I368)&gt;0,"P","")</f>
        <v/>
      </c>
      <c r="B365" s="311" t="str">
        <f>IF(LEN('Ch6'!H112)=0,"",'Ch6'!H112)</f>
        <v/>
      </c>
      <c r="C365" s="311" t="str">
        <f t="shared" si="7"/>
        <v/>
      </c>
      <c r="D365" s="152" t="s">
        <v>607</v>
      </c>
      <c r="E365" s="919"/>
      <c r="F365" s="919"/>
      <c r="G365" s="1292" t="s">
        <v>608</v>
      </c>
      <c r="J365" s="1443" t="s">
        <v>4226</v>
      </c>
    </row>
    <row r="366" spans="1:10" ht="15" thickBot="1" x14ac:dyDescent="0.35">
      <c r="A366" s="727" t="str">
        <f>A365</f>
        <v/>
      </c>
      <c r="B366" s="311" t="str">
        <f>IF(LEN('Ch6'!H113)=0,"",'Ch6'!H113)</f>
        <v/>
      </c>
      <c r="C366" s="311" t="str">
        <f t="shared" si="7"/>
        <v/>
      </c>
      <c r="D366" s="152"/>
      <c r="E366" s="919"/>
      <c r="F366" s="919"/>
      <c r="G366" s="1292"/>
      <c r="J366" s="1443"/>
    </row>
    <row r="367" spans="1:10" ht="15" thickBot="1" x14ac:dyDescent="0.35">
      <c r="A367" s="727" t="str">
        <f>A366</f>
        <v/>
      </c>
      <c r="B367" s="311" t="str">
        <f>IF(LEN('Ch6'!H114)=0,"",'Ch6'!H114)</f>
        <v/>
      </c>
      <c r="C367" s="311" t="str">
        <f t="shared" si="7"/>
        <v/>
      </c>
      <c r="D367" s="152"/>
      <c r="E367" s="919"/>
      <c r="F367" s="919"/>
      <c r="G367" s="1292"/>
      <c r="J367" s="1443"/>
    </row>
    <row r="368" spans="1:10" ht="15" customHeight="1" x14ac:dyDescent="0.3">
      <c r="B368" s="311" t="str">
        <f>IF(LEN('Ch6'!H115)=0,"",'Ch6'!H115)</f>
        <v/>
      </c>
      <c r="C368" s="311" t="str">
        <f t="shared" si="7"/>
        <v/>
      </c>
      <c r="D368" s="152"/>
      <c r="E368" s="926" t="s">
        <v>271</v>
      </c>
      <c r="F368" s="204"/>
      <c r="G368" s="1305" t="s">
        <v>609</v>
      </c>
      <c r="H368" s="89" t="b">
        <f>'Ch6'!W115</f>
        <v>0</v>
      </c>
      <c r="I368" s="89">
        <f>'Ch6'!O115</f>
        <v>0</v>
      </c>
      <c r="J368" s="996"/>
    </row>
    <row r="369" spans="1:10" ht="15" thickBot="1" x14ac:dyDescent="0.35">
      <c r="B369" s="311" t="str">
        <f>IF(LEN('Ch6'!H116)=0,"",'Ch6'!H116)</f>
        <v/>
      </c>
      <c r="C369" s="311" t="str">
        <f t="shared" si="7"/>
        <v/>
      </c>
      <c r="D369" s="152"/>
      <c r="E369" s="232"/>
      <c r="F369" s="232"/>
      <c r="G369" s="1306"/>
      <c r="J369" s="1001"/>
    </row>
    <row r="370" spans="1:10" ht="15" thickBot="1" x14ac:dyDescent="0.35">
      <c r="B370" s="311" t="str">
        <f>IF(LEN('Ch6'!H117)=0,"",'Ch6'!H117)</f>
        <v/>
      </c>
      <c r="C370" s="311" t="str">
        <f t="shared" si="7"/>
        <v/>
      </c>
      <c r="D370" s="927"/>
      <c r="E370" s="946" t="s">
        <v>273</v>
      </c>
      <c r="F370" s="232"/>
      <c r="G370" s="676" t="s">
        <v>610</v>
      </c>
      <c r="H370" s="89">
        <f>'Ch6'!W117</f>
        <v>0</v>
      </c>
      <c r="J370" s="1001"/>
    </row>
    <row r="371" spans="1:10" ht="15" customHeight="1" x14ac:dyDescent="0.3">
      <c r="A371" s="1196" t="str">
        <f>IF(COUNTIF(A374:A376,"P")&gt;0,"P","")</f>
        <v>P</v>
      </c>
      <c r="B371" s="311" t="str">
        <f>IF(LEN('Ch6'!H118)=0,"",'Ch6'!H118)</f>
        <v/>
      </c>
      <c r="C371" s="311" t="str">
        <f t="shared" si="7"/>
        <v>P</v>
      </c>
      <c r="D371" s="152" t="s">
        <v>611</v>
      </c>
      <c r="E371" s="919"/>
      <c r="F371" s="919"/>
      <c r="G371" s="1292" t="s">
        <v>612</v>
      </c>
      <c r="J371" s="989"/>
    </row>
    <row r="372" spans="1:10" ht="15" thickBot="1" x14ac:dyDescent="0.35">
      <c r="A372" s="727" t="str">
        <f>A371</f>
        <v>P</v>
      </c>
      <c r="B372" s="311" t="str">
        <f>IF(LEN('Ch6'!H119)=0,"",'Ch6'!H119)</f>
        <v/>
      </c>
      <c r="C372" s="311" t="str">
        <f t="shared" si="7"/>
        <v>P</v>
      </c>
      <c r="D372" s="152"/>
      <c r="E372" s="919"/>
      <c r="F372" s="919"/>
      <c r="G372" s="1292"/>
      <c r="J372" s="989"/>
    </row>
    <row r="373" spans="1:10" ht="15" thickBot="1" x14ac:dyDescent="0.35">
      <c r="A373" s="727" t="str">
        <f>A372</f>
        <v>P</v>
      </c>
      <c r="B373" s="311" t="str">
        <f>IF(LEN('Ch6'!H120)=0,"",'Ch6'!H120)</f>
        <v/>
      </c>
      <c r="C373" s="311" t="str">
        <f t="shared" si="7"/>
        <v>P</v>
      </c>
      <c r="D373" s="152"/>
      <c r="E373" s="919"/>
      <c r="F373" s="919"/>
      <c r="G373" s="1292"/>
      <c r="J373" s="989"/>
    </row>
    <row r="374" spans="1:10" ht="15" customHeight="1" x14ac:dyDescent="0.3">
      <c r="A374" s="727" t="str">
        <f>IF(AND(LEN('Ch6'!W121)&gt;0,NOT('Ch6'!W121=FALSE)),"P","")</f>
        <v/>
      </c>
      <c r="B374" s="311" t="str">
        <f>IF(LEN('Ch6'!H121)=0,"",'Ch6'!H121)</f>
        <v/>
      </c>
      <c r="C374" s="311" t="str">
        <f t="shared" si="7"/>
        <v/>
      </c>
      <c r="D374" s="152"/>
      <c r="E374" s="926" t="s">
        <v>271</v>
      </c>
      <c r="F374" s="204"/>
      <c r="G374" s="1305" t="s">
        <v>3245</v>
      </c>
      <c r="H374" s="89">
        <f>'Ch6'!W121</f>
        <v>0</v>
      </c>
      <c r="I374" s="89">
        <f>'Ch6'!O121</f>
        <v>0</v>
      </c>
      <c r="J374" s="1443" t="s">
        <v>4251</v>
      </c>
    </row>
    <row r="375" spans="1:10" ht="15" thickBot="1" x14ac:dyDescent="0.35">
      <c r="A375" s="727" t="str">
        <f>A374</f>
        <v/>
      </c>
      <c r="B375" s="311" t="str">
        <f>IF(LEN('Ch6'!H122)=0,"",'Ch6'!H122)</f>
        <v/>
      </c>
      <c r="C375" s="311" t="str">
        <f t="shared" si="7"/>
        <v/>
      </c>
      <c r="D375" s="152"/>
      <c r="E375" s="232"/>
      <c r="F375" s="232"/>
      <c r="G375" s="1306"/>
      <c r="J375" s="1443"/>
    </row>
    <row r="376" spans="1:10" ht="15" customHeight="1" x14ac:dyDescent="0.3">
      <c r="A376" s="727" t="str">
        <f>IF(AND(LEN('Ch6'!W123)&gt;0,NOT('Ch6'!W123=FALSE)),"P","")</f>
        <v>P</v>
      </c>
      <c r="B376" s="311" t="str">
        <f>IF(LEN('Ch6'!H123)=0,"",'Ch6'!H123)</f>
        <v/>
      </c>
      <c r="C376" s="311" t="str">
        <f t="shared" si="7"/>
        <v>P</v>
      </c>
      <c r="D376" s="152"/>
      <c r="E376" s="925" t="s">
        <v>273</v>
      </c>
      <c r="F376" s="919"/>
      <c r="G376" s="1329" t="s">
        <v>3246</v>
      </c>
      <c r="H376" s="89" t="str">
        <f>'Ch6'!W123</f>
        <v>Met</v>
      </c>
      <c r="J376" s="1439" t="s">
        <v>4226</v>
      </c>
    </row>
    <row r="377" spans="1:10" ht="15" thickBot="1" x14ac:dyDescent="0.35">
      <c r="A377" s="727" t="str">
        <f>A376</f>
        <v>P</v>
      </c>
      <c r="B377" s="311" t="str">
        <f>IF(LEN('Ch6'!H124)=0,"",'Ch6'!H124)</f>
        <v/>
      </c>
      <c r="C377" s="311" t="str">
        <f t="shared" si="7"/>
        <v>P</v>
      </c>
      <c r="D377" s="152"/>
      <c r="E377" s="919"/>
      <c r="F377" s="919"/>
      <c r="G377" s="1329"/>
      <c r="J377" s="1439"/>
    </row>
    <row r="378" spans="1:10" ht="15.6" thickTop="1" thickBot="1" x14ac:dyDescent="0.35">
      <c r="A378" s="727" t="str">
        <f ca="1">IF(SUM(I380:I382)&gt;0,"P","")</f>
        <v>P</v>
      </c>
      <c r="B378" s="311" t="str">
        <f>IF(LEN('Ch6'!H125)=0,"",'Ch6'!H125)</f>
        <v/>
      </c>
      <c r="C378" s="311" t="str">
        <f t="shared" ca="1" si="7"/>
        <v>P</v>
      </c>
      <c r="D378" s="111" t="s">
        <v>613</v>
      </c>
      <c r="E378" s="954"/>
      <c r="F378" s="954"/>
      <c r="G378" s="671" t="s">
        <v>614</v>
      </c>
      <c r="J378" s="1001" t="s">
        <v>4226</v>
      </c>
    </row>
    <row r="379" spans="1:10" ht="15" thickBot="1" x14ac:dyDescent="0.35">
      <c r="B379" s="311" t="str">
        <f>IF(LEN('Ch6'!H126)=0,"",'Ch6'!H126)</f>
        <v/>
      </c>
      <c r="C379" s="311" t="str">
        <f t="shared" si="7"/>
        <v/>
      </c>
      <c r="D379" s="152"/>
      <c r="E379" s="919"/>
      <c r="F379" s="919"/>
      <c r="G379" s="711" t="s">
        <v>3237</v>
      </c>
      <c r="H379" s="89" t="str">
        <f>'Ch6'!W126</f>
        <v>Moderate to heavy</v>
      </c>
      <c r="J379" s="996"/>
    </row>
    <row r="380" spans="1:10" ht="15" customHeight="1" x14ac:dyDescent="0.3">
      <c r="B380" s="311" t="str">
        <f>IF(LEN('Ch6'!H127)=0,"",'Ch6'!H127)</f>
        <v/>
      </c>
      <c r="C380" s="311" t="str">
        <f t="shared" si="7"/>
        <v/>
      </c>
      <c r="D380" s="152"/>
      <c r="E380" s="926" t="s">
        <v>271</v>
      </c>
      <c r="F380" s="204"/>
      <c r="G380" s="1305" t="s">
        <v>615</v>
      </c>
      <c r="H380" s="89" t="b">
        <f>'Ch6'!W127</f>
        <v>1</v>
      </c>
      <c r="I380" s="89">
        <f ca="1">'Ch6'!O127</f>
        <v>4</v>
      </c>
      <c r="J380" s="1001"/>
    </row>
    <row r="381" spans="1:10" ht="15" thickBot="1" x14ac:dyDescent="0.35">
      <c r="B381" s="311" t="str">
        <f>IF(LEN('Ch6'!H128)=0,"",'Ch6'!H128)</f>
        <v/>
      </c>
      <c r="C381" s="311" t="str">
        <f t="shared" si="7"/>
        <v/>
      </c>
      <c r="D381" s="152"/>
      <c r="E381" s="232"/>
      <c r="F381" s="232"/>
      <c r="G381" s="1306"/>
      <c r="J381" s="1001"/>
    </row>
    <row r="382" spans="1:10" ht="15" customHeight="1" x14ac:dyDescent="0.3">
      <c r="B382" s="311" t="str">
        <f>IF(LEN('Ch6'!H129)=0,"",'Ch6'!H129)</f>
        <v/>
      </c>
      <c r="C382" s="311" t="str">
        <f t="shared" si="7"/>
        <v/>
      </c>
      <c r="D382" s="152"/>
      <c r="E382" s="925" t="s">
        <v>273</v>
      </c>
      <c r="F382" s="919"/>
      <c r="G382" s="1329" t="s">
        <v>616</v>
      </c>
      <c r="H382" s="89">
        <f>'Ch6'!W129</f>
        <v>0</v>
      </c>
      <c r="I382" s="89">
        <f ca="1">'Ch6'!O129</f>
        <v>0</v>
      </c>
      <c r="J382" s="1001"/>
    </row>
    <row r="383" spans="1:10" ht="15" thickBot="1" x14ac:dyDescent="0.35">
      <c r="B383" s="311" t="str">
        <f>IF(LEN('Ch6'!H130)=0,"",'Ch6'!H130)</f>
        <v/>
      </c>
      <c r="C383" s="311" t="str">
        <f t="shared" si="7"/>
        <v/>
      </c>
      <c r="D383" s="152"/>
      <c r="E383" s="919"/>
      <c r="F383" s="919"/>
      <c r="G383" s="1329"/>
      <c r="J383" s="1001"/>
    </row>
    <row r="384" spans="1:10" ht="15" thickBot="1" x14ac:dyDescent="0.35">
      <c r="B384" s="311" t="str">
        <f>IF(LEN('Ch6'!H131)=0,"",'Ch6'!H131)</f>
        <v/>
      </c>
      <c r="C384" s="311" t="str">
        <f t="shared" si="7"/>
        <v/>
      </c>
      <c r="D384" s="152"/>
      <c r="E384" s="919"/>
      <c r="F384" s="919"/>
      <c r="G384" s="1329"/>
      <c r="J384" s="1001"/>
    </row>
    <row r="385" spans="1:10" ht="15.75" customHeight="1" thickTop="1" x14ac:dyDescent="0.3">
      <c r="A385" s="727" t="str">
        <f ca="1">IF(SUM(I388:I396)&gt;0,"P","")</f>
        <v/>
      </c>
      <c r="B385" s="311" t="str">
        <f>IF(LEN('Ch6'!H132)=0,"",'Ch6'!H132)</f>
        <v/>
      </c>
      <c r="C385" s="311" t="str">
        <f t="shared" ca="1" si="7"/>
        <v/>
      </c>
      <c r="D385" s="111" t="s">
        <v>617</v>
      </c>
      <c r="E385" s="954"/>
      <c r="F385" s="954"/>
      <c r="G385" s="1331" t="s">
        <v>618</v>
      </c>
      <c r="J385" s="1439" t="s">
        <v>4226</v>
      </c>
    </row>
    <row r="386" spans="1:10" ht="15" thickBot="1" x14ac:dyDescent="0.35">
      <c r="A386" s="727" t="str">
        <f ca="1">A385</f>
        <v/>
      </c>
      <c r="B386" s="311" t="str">
        <f>IF(LEN('Ch6'!H133)=0,"",'Ch6'!H133)</f>
        <v/>
      </c>
      <c r="C386" s="311" t="str">
        <f t="shared" ca="1" si="7"/>
        <v/>
      </c>
      <c r="D386" s="106"/>
      <c r="E386" s="204"/>
      <c r="F386" s="204"/>
      <c r="G386" s="1313"/>
      <c r="J386" s="1439"/>
    </row>
    <row r="387" spans="1:10" ht="15" thickBot="1" x14ac:dyDescent="0.35">
      <c r="B387" s="311" t="str">
        <f>IF(LEN('Ch6'!H134)=0,"",'Ch6'!H134)</f>
        <v/>
      </c>
      <c r="C387" s="311" t="str">
        <f t="shared" si="7"/>
        <v/>
      </c>
      <c r="D387" s="152"/>
      <c r="E387" s="919"/>
      <c r="F387" s="919"/>
      <c r="G387" s="711" t="s">
        <v>3237</v>
      </c>
      <c r="J387" s="989"/>
    </row>
    <row r="388" spans="1:10" ht="15" customHeight="1" x14ac:dyDescent="0.3">
      <c r="B388" s="311" t="str">
        <f>IF(LEN('Ch6'!H135)=0,"",'Ch6'!H135)</f>
        <v/>
      </c>
      <c r="C388" s="311" t="str">
        <f t="shared" si="7"/>
        <v/>
      </c>
      <c r="D388" s="152"/>
      <c r="E388" s="926" t="s">
        <v>271</v>
      </c>
      <c r="F388" s="204"/>
      <c r="G388" s="1305" t="s">
        <v>619</v>
      </c>
      <c r="H388" s="89">
        <f>'Ch6'!W135</f>
        <v>0</v>
      </c>
      <c r="I388" s="89">
        <f ca="1">'Ch6'!O135</f>
        <v>0</v>
      </c>
      <c r="J388" s="996"/>
    </row>
    <row r="389" spans="1:10" ht="15" thickBot="1" x14ac:dyDescent="0.35">
      <c r="B389" s="311" t="str">
        <f>IF(LEN('Ch6'!H136)=0,"",'Ch6'!H136)</f>
        <v/>
      </c>
      <c r="C389" s="311" t="str">
        <f t="shared" si="7"/>
        <v/>
      </c>
      <c r="D389" s="152"/>
      <c r="E389" s="204"/>
      <c r="F389" s="204"/>
      <c r="G389" s="1305"/>
      <c r="J389" s="989"/>
    </row>
    <row r="390" spans="1:10" ht="15" thickBot="1" x14ac:dyDescent="0.35">
      <c r="B390" s="311" t="str">
        <f>IF(LEN('Ch6'!H137)=0,"",'Ch6'!H137)</f>
        <v/>
      </c>
      <c r="C390" s="311" t="str">
        <f t="shared" si="7"/>
        <v/>
      </c>
      <c r="D390" s="152"/>
      <c r="E390" s="204"/>
      <c r="F390" s="204"/>
      <c r="G390" s="1305"/>
      <c r="J390" s="989"/>
    </row>
    <row r="391" spans="1:10" ht="15" thickBot="1" x14ac:dyDescent="0.35">
      <c r="B391" s="311" t="str">
        <f>IF(LEN('Ch6'!H138)=0,"",'Ch6'!H138)</f>
        <v/>
      </c>
      <c r="C391" s="311" t="str">
        <f t="shared" si="7"/>
        <v/>
      </c>
      <c r="D391" s="152"/>
      <c r="E391" s="232"/>
      <c r="F391" s="232"/>
      <c r="G391" s="1306"/>
      <c r="J391" s="989"/>
    </row>
    <row r="392" spans="1:10" ht="15" customHeight="1" x14ac:dyDescent="0.3">
      <c r="B392" s="311" t="str">
        <f>IF(LEN('Ch6'!H139)=0,"",'Ch6'!H139)</f>
        <v/>
      </c>
      <c r="C392" s="311" t="str">
        <f t="shared" ref="C392:C455" si="8">IF(LEN(B392)=0,IF(A392="P","P",""),B392)</f>
        <v/>
      </c>
      <c r="D392" s="152"/>
      <c r="E392" s="958" t="s">
        <v>273</v>
      </c>
      <c r="F392" s="959"/>
      <c r="G392" s="1356" t="s">
        <v>620</v>
      </c>
      <c r="H392" s="89">
        <f>'Ch6'!W139</f>
        <v>0</v>
      </c>
      <c r="I392" s="89">
        <f ca="1">'Ch6'!O139</f>
        <v>0</v>
      </c>
      <c r="J392" s="989"/>
    </row>
    <row r="393" spans="1:10" ht="15" thickBot="1" x14ac:dyDescent="0.35">
      <c r="B393" s="311" t="str">
        <f>IF(LEN('Ch6'!H140)=0,"",'Ch6'!H140)</f>
        <v/>
      </c>
      <c r="C393" s="311" t="str">
        <f t="shared" si="8"/>
        <v/>
      </c>
      <c r="D393" s="152"/>
      <c r="E393" s="204"/>
      <c r="F393" s="204"/>
      <c r="G393" s="1305"/>
      <c r="J393" s="989"/>
    </row>
    <row r="394" spans="1:10" ht="15" thickBot="1" x14ac:dyDescent="0.35">
      <c r="B394" s="311" t="str">
        <f>IF(LEN('Ch6'!H141)=0,"",'Ch6'!H141)</f>
        <v/>
      </c>
      <c r="C394" s="311" t="str">
        <f t="shared" si="8"/>
        <v/>
      </c>
      <c r="D394" s="152"/>
      <c r="E394" s="204"/>
      <c r="F394" s="204"/>
      <c r="G394" s="1305"/>
      <c r="J394" s="989"/>
    </row>
    <row r="395" spans="1:10" ht="15" thickBot="1" x14ac:dyDescent="0.35">
      <c r="B395" s="311" t="str">
        <f>IF(LEN('Ch6'!H142)=0,"",'Ch6'!H142)</f>
        <v/>
      </c>
      <c r="C395" s="311" t="str">
        <f t="shared" si="8"/>
        <v/>
      </c>
      <c r="D395" s="152"/>
      <c r="E395" s="232"/>
      <c r="F395" s="232"/>
      <c r="G395" s="1306"/>
      <c r="J395" s="989"/>
    </row>
    <row r="396" spans="1:10" ht="15" customHeight="1" x14ac:dyDescent="0.3">
      <c r="B396" s="311" t="str">
        <f>IF(LEN('Ch6'!H143)=0,"",'Ch6'!H143)</f>
        <v/>
      </c>
      <c r="C396" s="311" t="str">
        <f t="shared" si="8"/>
        <v/>
      </c>
      <c r="D396" s="152"/>
      <c r="E396" s="925" t="s">
        <v>275</v>
      </c>
      <c r="F396" s="919"/>
      <c r="G396" s="1329" t="s">
        <v>621</v>
      </c>
      <c r="H396" s="89">
        <f>'Ch6'!W143</f>
        <v>0</v>
      </c>
      <c r="I396" s="89">
        <f ca="1">'Ch6'!O143</f>
        <v>0</v>
      </c>
      <c r="J396" s="989"/>
    </row>
    <row r="397" spans="1:10" ht="15" thickBot="1" x14ac:dyDescent="0.35">
      <c r="B397" s="311" t="str">
        <f>IF(LEN('Ch6'!H144)=0,"",'Ch6'!H144)</f>
        <v/>
      </c>
      <c r="C397" s="311" t="str">
        <f t="shared" si="8"/>
        <v/>
      </c>
      <c r="D397" s="152"/>
      <c r="E397" s="919"/>
      <c r="F397" s="919"/>
      <c r="G397" s="1329"/>
      <c r="J397" s="989"/>
    </row>
    <row r="398" spans="1:10" ht="15" thickBot="1" x14ac:dyDescent="0.35">
      <c r="B398" s="311" t="str">
        <f>IF(LEN('Ch6'!H145)=0,"",'Ch6'!H145)</f>
        <v/>
      </c>
      <c r="C398" s="311" t="str">
        <f t="shared" si="8"/>
        <v/>
      </c>
      <c r="D398" s="152"/>
      <c r="E398" s="919"/>
      <c r="F398" s="919"/>
      <c r="G398" s="1329"/>
      <c r="J398" s="989"/>
    </row>
    <row r="399" spans="1:10" ht="15.6" thickTop="1" thickBot="1" x14ac:dyDescent="0.35">
      <c r="A399" s="1196" t="str">
        <f>IF(COUNTIF(A401:A410,"P")&gt;0,"P","")</f>
        <v>P</v>
      </c>
      <c r="B399" s="311" t="str">
        <f>IF(LEN('Ch6'!H146)=0,"",'Ch6'!H146)</f>
        <v/>
      </c>
      <c r="C399" s="311" t="str">
        <f t="shared" si="8"/>
        <v>P</v>
      </c>
      <c r="D399" s="111" t="s">
        <v>622</v>
      </c>
      <c r="E399" s="954"/>
      <c r="F399" s="954"/>
      <c r="G399" s="697" t="s">
        <v>623</v>
      </c>
      <c r="J399" s="989"/>
    </row>
    <row r="400" spans="1:10" ht="15" thickBot="1" x14ac:dyDescent="0.35">
      <c r="A400" s="1196" t="str">
        <f>IF(COUNTIF(A401:A406,"P")&gt;0,"P","")</f>
        <v>P</v>
      </c>
      <c r="B400" s="311" t="str">
        <f>IF(LEN('Ch6'!H147)=0,"",'Ch6'!H147)</f>
        <v/>
      </c>
      <c r="C400" s="311" t="str">
        <f t="shared" si="8"/>
        <v>P</v>
      </c>
      <c r="D400" s="152" t="s">
        <v>624</v>
      </c>
      <c r="E400" s="919"/>
      <c r="F400" s="919"/>
      <c r="G400" s="687" t="s">
        <v>625</v>
      </c>
      <c r="J400" s="989"/>
    </row>
    <row r="401" spans="1:10" ht="15" customHeight="1" x14ac:dyDescent="0.3">
      <c r="A401" s="727" t="str">
        <f>IF(AND(LEN('Ch6'!W148)&gt;0,NOT('Ch6'!W148=FALSE)),"P","")</f>
        <v>P</v>
      </c>
      <c r="B401" s="311" t="str">
        <f>IF(LEN('Ch6'!H148)=0,"",'Ch6'!H148)</f>
        <v/>
      </c>
      <c r="C401" s="311" t="str">
        <f t="shared" si="8"/>
        <v>P</v>
      </c>
      <c r="D401" s="152"/>
      <c r="E401" s="926" t="s">
        <v>271</v>
      </c>
      <c r="F401" s="204"/>
      <c r="G401" s="1305" t="s">
        <v>626</v>
      </c>
      <c r="H401" s="89" t="b">
        <f>'Ch6'!W148</f>
        <v>1</v>
      </c>
      <c r="I401" s="89">
        <f>'Ch6'!O148</f>
        <v>2</v>
      </c>
      <c r="J401" s="1439" t="s">
        <v>4226</v>
      </c>
    </row>
    <row r="402" spans="1:10" ht="15" thickBot="1" x14ac:dyDescent="0.35">
      <c r="A402" s="727" t="str">
        <f>A401</f>
        <v>P</v>
      </c>
      <c r="B402" s="311" t="str">
        <f>IF(LEN('Ch6'!H149)=0,"",'Ch6'!H149)</f>
        <v/>
      </c>
      <c r="C402" s="311" t="str">
        <f t="shared" si="8"/>
        <v>P</v>
      </c>
      <c r="D402" s="152"/>
      <c r="E402" s="232"/>
      <c r="F402" s="232"/>
      <c r="G402" s="1306"/>
      <c r="J402" s="1439"/>
    </row>
    <row r="403" spans="1:10" ht="15" customHeight="1" x14ac:dyDescent="0.3">
      <c r="A403" s="727" t="str">
        <f>IF(AND(LEN('Ch6'!W150)&gt;0,NOT('Ch6'!W150=FALSE)),"P","")</f>
        <v>P</v>
      </c>
      <c r="B403" s="311" t="str">
        <f>IF(LEN('Ch6'!H150)=0,"",'Ch6'!H150)</f>
        <v/>
      </c>
      <c r="C403" s="311" t="str">
        <f t="shared" si="8"/>
        <v>P</v>
      </c>
      <c r="D403" s="152"/>
      <c r="E403" s="926" t="s">
        <v>273</v>
      </c>
      <c r="F403" s="204"/>
      <c r="G403" s="1305" t="s">
        <v>627</v>
      </c>
      <c r="H403" s="89" t="str">
        <f>'Ch6'!W150</f>
        <v>Met</v>
      </c>
      <c r="I403" s="89">
        <f>'Ch6'!O150</f>
        <v>2</v>
      </c>
      <c r="J403" s="1439" t="s">
        <v>4254</v>
      </c>
    </row>
    <row r="404" spans="1:10" ht="15" thickBot="1" x14ac:dyDescent="0.35">
      <c r="A404" s="727" t="str">
        <f>A403</f>
        <v>P</v>
      </c>
      <c r="B404" s="311" t="str">
        <f>IF(LEN('Ch6'!H151)=0,"",'Ch6'!H151)</f>
        <v/>
      </c>
      <c r="C404" s="311" t="str">
        <f t="shared" si="8"/>
        <v>P</v>
      </c>
      <c r="D404" s="152"/>
      <c r="E404" s="204"/>
      <c r="F404" s="204"/>
      <c r="G404" s="1305"/>
      <c r="J404" s="1439"/>
    </row>
    <row r="405" spans="1:10" ht="15" thickBot="1" x14ac:dyDescent="0.35">
      <c r="B405" s="311" t="str">
        <f>IF(LEN('Ch6'!H152)=0,"",'Ch6'!H152)</f>
        <v/>
      </c>
      <c r="C405" s="311" t="str">
        <f t="shared" si="8"/>
        <v/>
      </c>
      <c r="D405" s="152"/>
      <c r="E405" s="232"/>
      <c r="F405" s="232"/>
      <c r="G405" s="685" t="s">
        <v>1304</v>
      </c>
      <c r="J405" s="989"/>
    </row>
    <row r="406" spans="1:10" ht="15" customHeight="1" x14ac:dyDescent="0.3">
      <c r="A406" s="727" t="str">
        <f>IF(AND(LEN('Ch6'!W153)&gt;0,NOT('Ch6'!W153=FALSE)),"P","")</f>
        <v>P</v>
      </c>
      <c r="B406" s="311" t="str">
        <f>IF(LEN('Ch6'!H153)=0,"",'Ch6'!H153)</f>
        <v/>
      </c>
      <c r="C406" s="311" t="str">
        <f t="shared" si="8"/>
        <v>P</v>
      </c>
      <c r="D406" s="106"/>
      <c r="E406" s="926" t="s">
        <v>275</v>
      </c>
      <c r="F406" s="204"/>
      <c r="G406" s="1305" t="s">
        <v>628</v>
      </c>
      <c r="H406" s="89" t="b">
        <f>'Ch6'!W153</f>
        <v>1</v>
      </c>
      <c r="I406" s="89">
        <f>'Ch6'!O153</f>
        <v>4</v>
      </c>
      <c r="J406" s="1439" t="s">
        <v>4361</v>
      </c>
    </row>
    <row r="407" spans="1:10" ht="15" thickBot="1" x14ac:dyDescent="0.35">
      <c r="A407" s="727" t="str">
        <f>A406</f>
        <v>P</v>
      </c>
      <c r="B407" s="311" t="str">
        <f>IF(LEN('Ch6'!H154)=0,"",'Ch6'!H154)</f>
        <v/>
      </c>
      <c r="C407" s="311" t="str">
        <f t="shared" si="8"/>
        <v>P</v>
      </c>
      <c r="D407" s="927"/>
      <c r="E407" s="232"/>
      <c r="F407" s="232"/>
      <c r="G407" s="1306"/>
      <c r="J407" s="1439"/>
    </row>
    <row r="408" spans="1:10" ht="15" customHeight="1" x14ac:dyDescent="0.3">
      <c r="A408" s="727" t="str">
        <f>IF(AND(LEN('Ch6'!W155)&gt;0,NOT('Ch6'!W155=FALSE)),"P","")</f>
        <v/>
      </c>
      <c r="B408" s="311" t="str">
        <f>IF(LEN('Ch6'!H155)=0,"",'Ch6'!H155)</f>
        <v/>
      </c>
      <c r="C408" s="311" t="str">
        <f t="shared" si="8"/>
        <v/>
      </c>
      <c r="D408" s="929" t="s">
        <v>630</v>
      </c>
      <c r="E408" s="959"/>
      <c r="F408" s="959"/>
      <c r="G408" s="1364" t="s">
        <v>631</v>
      </c>
      <c r="H408" s="89">
        <f>'Ch6'!W155</f>
        <v>0</v>
      </c>
      <c r="I408" s="89">
        <f>'Ch6'!O155</f>
        <v>0</v>
      </c>
      <c r="J408" s="1443" t="s">
        <v>4341</v>
      </c>
    </row>
    <row r="409" spans="1:10" ht="15" thickBot="1" x14ac:dyDescent="0.35">
      <c r="A409" s="727" t="str">
        <f>A408</f>
        <v/>
      </c>
      <c r="B409" s="311" t="str">
        <f>IF(LEN('Ch6'!H156)=0,"",'Ch6'!H156)</f>
        <v/>
      </c>
      <c r="C409" s="311" t="str">
        <f t="shared" si="8"/>
        <v/>
      </c>
      <c r="D409" s="927"/>
      <c r="E409" s="232"/>
      <c r="F409" s="232"/>
      <c r="G409" s="1350"/>
      <c r="J409" s="1443"/>
    </row>
    <row r="410" spans="1:10" ht="15" customHeight="1" x14ac:dyDescent="0.3">
      <c r="A410" s="727" t="str">
        <f>IF(AND(LEN('Ch6'!W157)&gt;0,NOT('Ch6'!W157=FALSE)),"P","")</f>
        <v/>
      </c>
      <c r="B410" s="311" t="str">
        <f>IF(LEN('Ch6'!H157)=0,"",'Ch6'!H157)</f>
        <v/>
      </c>
      <c r="C410" s="311" t="str">
        <f t="shared" si="8"/>
        <v/>
      </c>
      <c r="D410" s="152" t="s">
        <v>633</v>
      </c>
      <c r="E410" s="919"/>
      <c r="F410" s="919"/>
      <c r="G410" s="1292" t="s">
        <v>634</v>
      </c>
      <c r="H410" s="89">
        <f>'Ch6'!W157</f>
        <v>0</v>
      </c>
      <c r="I410" s="89">
        <f>'Ch6'!O157</f>
        <v>0</v>
      </c>
      <c r="J410" s="1444" t="s">
        <v>4362</v>
      </c>
    </row>
    <row r="411" spans="1:10" ht="15" thickBot="1" x14ac:dyDescent="0.35">
      <c r="A411" s="727" t="str">
        <f>A410</f>
        <v/>
      </c>
      <c r="B411" s="311" t="str">
        <f>IF(LEN('Ch6'!H158)=0,"",'Ch6'!H158)</f>
        <v/>
      </c>
      <c r="C411" s="311" t="str">
        <f t="shared" si="8"/>
        <v/>
      </c>
      <c r="D411" s="152"/>
      <c r="E411" s="919"/>
      <c r="F411" s="919"/>
      <c r="G411" s="1292"/>
      <c r="J411" s="1444"/>
    </row>
    <row r="412" spans="1:10" ht="15" thickBot="1" x14ac:dyDescent="0.35">
      <c r="A412" s="727" t="str">
        <f>A411</f>
        <v/>
      </c>
      <c r="B412" s="311" t="str">
        <f>IF(LEN('Ch6'!H159)=0,"",'Ch6'!H159)</f>
        <v/>
      </c>
      <c r="C412" s="311" t="str">
        <f t="shared" si="8"/>
        <v/>
      </c>
      <c r="D412" s="152"/>
      <c r="E412" s="919"/>
      <c r="F412" s="919"/>
      <c r="G412" s="1292"/>
      <c r="J412" s="1444"/>
    </row>
    <row r="413" spans="1:10" ht="15" thickBot="1" x14ac:dyDescent="0.35">
      <c r="A413" s="727" t="str">
        <f>A412</f>
        <v/>
      </c>
      <c r="B413" s="311" t="str">
        <f>IF(LEN('Ch6'!H160)=0,"",'Ch6'!H160)</f>
        <v/>
      </c>
      <c r="C413" s="311" t="str">
        <f t="shared" si="8"/>
        <v/>
      </c>
      <c r="D413" s="152"/>
      <c r="E413" s="919"/>
      <c r="F413" s="919"/>
      <c r="G413" s="1292"/>
      <c r="J413" s="1444"/>
    </row>
    <row r="414" spans="1:10" ht="15.75" customHeight="1" thickTop="1" x14ac:dyDescent="0.3">
      <c r="A414" s="727" t="str">
        <f>IF(AND(LEN('Ch6'!W161)&gt;0,NOT('Ch6'!W161=FALSE)),"P","")</f>
        <v>P</v>
      </c>
      <c r="B414" s="311" t="str">
        <f>IF(LEN('Ch6'!H161)=0,"",'Ch6'!H161)</f>
        <v/>
      </c>
      <c r="C414" s="311" t="str">
        <f t="shared" si="8"/>
        <v>P</v>
      </c>
      <c r="D414" s="111" t="s">
        <v>635</v>
      </c>
      <c r="E414" s="954"/>
      <c r="F414" s="954"/>
      <c r="G414" s="1331" t="s">
        <v>636</v>
      </c>
      <c r="H414" s="89" t="str">
        <f>'Ch6'!W161</f>
        <v>Met</v>
      </c>
      <c r="J414" s="1439" t="s">
        <v>4255</v>
      </c>
    </row>
    <row r="415" spans="1:10" ht="15" thickBot="1" x14ac:dyDescent="0.35">
      <c r="A415" s="727" t="str">
        <f>A414</f>
        <v>P</v>
      </c>
      <c r="B415" s="311" t="str">
        <f>IF(LEN('Ch6'!H162)=0,"",'Ch6'!H162)</f>
        <v/>
      </c>
      <c r="C415" s="311" t="str">
        <f t="shared" si="8"/>
        <v>P</v>
      </c>
      <c r="D415" s="106"/>
      <c r="E415" s="204"/>
      <c r="F415" s="204"/>
      <c r="G415" s="1313"/>
      <c r="J415" s="1439"/>
    </row>
    <row r="416" spans="1:10" ht="15" thickBot="1" x14ac:dyDescent="0.35">
      <c r="B416" s="311" t="str">
        <f>IF(LEN('Ch6'!H163)=0,"",'Ch6'!H163)</f>
        <v/>
      </c>
      <c r="C416" s="311" t="str">
        <f t="shared" si="8"/>
        <v/>
      </c>
      <c r="D416" s="106"/>
      <c r="E416" s="204"/>
      <c r="F416" s="204"/>
      <c r="G416" s="680" t="s">
        <v>1304</v>
      </c>
      <c r="J416" s="989"/>
    </row>
    <row r="417" spans="1:10" ht="15.75" customHeight="1" thickTop="1" x14ac:dyDescent="0.3">
      <c r="A417" s="727" t="s">
        <v>4389</v>
      </c>
      <c r="B417" s="311" t="str">
        <f>IF(LEN('Ch6'!H164)=0,"",'Ch6'!H164)</f>
        <v/>
      </c>
      <c r="C417" s="311" t="str">
        <f t="shared" si="8"/>
        <v>P</v>
      </c>
      <c r="D417" s="111" t="s">
        <v>637</v>
      </c>
      <c r="E417" s="954"/>
      <c r="F417" s="954"/>
      <c r="G417" s="1331" t="s">
        <v>638</v>
      </c>
      <c r="J417" s="1443" t="s">
        <v>4443</v>
      </c>
    </row>
    <row r="418" spans="1:10" x14ac:dyDescent="0.3">
      <c r="A418" s="727" t="s">
        <v>4389</v>
      </c>
      <c r="B418" s="311" t="str">
        <f>IF(LEN('Ch6'!H165)=0,"",'Ch6'!H165)</f>
        <v/>
      </c>
      <c r="C418" s="311" t="str">
        <f t="shared" si="8"/>
        <v>P</v>
      </c>
      <c r="D418" s="106"/>
      <c r="E418" s="204"/>
      <c r="F418" s="204"/>
      <c r="G418" s="1313"/>
      <c r="J418" s="1443"/>
    </row>
    <row r="419" spans="1:10" x14ac:dyDescent="0.3">
      <c r="A419" s="727" t="s">
        <v>4389</v>
      </c>
      <c r="B419" s="311" t="str">
        <f>IF(LEN('Ch6'!H166)=0,"",'Ch6'!H166)</f>
        <v/>
      </c>
      <c r="C419" s="311" t="str">
        <f t="shared" si="8"/>
        <v>P</v>
      </c>
      <c r="D419" s="106"/>
      <c r="E419" s="204"/>
      <c r="F419" s="204"/>
      <c r="G419" s="1313"/>
      <c r="J419" s="1443"/>
    </row>
    <row r="420" spans="1:10" x14ac:dyDescent="0.3">
      <c r="A420" s="727" t="s">
        <v>4389</v>
      </c>
      <c r="B420" s="311" t="str">
        <f>IF(LEN('Ch6'!H167)=0,"",'Ch6'!H167)</f>
        <v/>
      </c>
      <c r="C420" s="311" t="str">
        <f t="shared" si="8"/>
        <v>P</v>
      </c>
      <c r="D420" s="106"/>
      <c r="E420" s="204"/>
      <c r="F420" s="204"/>
      <c r="G420" s="1313"/>
      <c r="J420" s="1443"/>
    </row>
    <row r="421" spans="1:10" x14ac:dyDescent="0.3">
      <c r="A421" s="727" t="s">
        <v>4389</v>
      </c>
      <c r="B421" s="311" t="str">
        <f>IF(LEN('Ch6'!H168)=0,"",'Ch6'!H168)</f>
        <v/>
      </c>
      <c r="C421" s="311" t="str">
        <f t="shared" si="8"/>
        <v>P</v>
      </c>
      <c r="D421" s="106"/>
      <c r="E421" s="204"/>
      <c r="F421" s="204"/>
      <c r="G421" s="1313"/>
      <c r="J421" s="1443"/>
    </row>
    <row r="422" spans="1:10" ht="15" customHeight="1" x14ac:dyDescent="0.3">
      <c r="B422" s="311" t="str">
        <f>IF(LEN('Ch6'!H169)=0,"",'Ch6'!H169)</f>
        <v/>
      </c>
      <c r="C422" s="311" t="str">
        <f t="shared" si="8"/>
        <v/>
      </c>
      <c r="D422" s="152"/>
      <c r="E422" s="926" t="s">
        <v>271</v>
      </c>
      <c r="F422" s="204"/>
      <c r="G422" s="675" t="s">
        <v>639</v>
      </c>
      <c r="H422" s="89" t="b">
        <f>'Ch6'!W169</f>
        <v>1</v>
      </c>
      <c r="J422" s="996"/>
    </row>
    <row r="423" spans="1:10" x14ac:dyDescent="0.3">
      <c r="B423" s="311" t="str">
        <f>IF(LEN('Ch6'!H170)=0,"",'Ch6'!H170)</f>
        <v/>
      </c>
      <c r="C423" s="311" t="str">
        <f t="shared" si="8"/>
        <v/>
      </c>
      <c r="D423" s="152"/>
      <c r="E423" s="204"/>
      <c r="F423" s="926" t="s">
        <v>121</v>
      </c>
      <c r="G423" s="675" t="s">
        <v>640</v>
      </c>
      <c r="J423" s="1006"/>
    </row>
    <row r="424" spans="1:10" x14ac:dyDescent="0.3">
      <c r="B424" s="311" t="str">
        <f>IF(LEN('Ch6'!H171)=0,"",'Ch6'!H171)</f>
        <v/>
      </c>
      <c r="C424" s="311" t="str">
        <f t="shared" si="8"/>
        <v/>
      </c>
      <c r="D424" s="152"/>
      <c r="E424" s="204"/>
      <c r="F424" s="926" t="s">
        <v>122</v>
      </c>
      <c r="G424" s="675" t="s">
        <v>641</v>
      </c>
      <c r="J424" s="1006"/>
    </row>
    <row r="425" spans="1:10" x14ac:dyDescent="0.3">
      <c r="B425" s="311" t="str">
        <f>IF(LEN('Ch6'!H172)=0,"",'Ch6'!H172)</f>
        <v/>
      </c>
      <c r="C425" s="311" t="str">
        <f t="shared" si="8"/>
        <v/>
      </c>
      <c r="D425" s="152"/>
      <c r="E425" s="204"/>
      <c r="F425" s="951" t="s">
        <v>123</v>
      </c>
      <c r="G425" s="675" t="s">
        <v>642</v>
      </c>
      <c r="J425" s="1006"/>
    </row>
    <row r="426" spans="1:10" ht="15" customHeight="1" x14ac:dyDescent="0.3">
      <c r="B426" s="311" t="str">
        <f>IF(LEN('Ch6'!H173)=0,"",'Ch6'!H173)</f>
        <v/>
      </c>
      <c r="C426" s="311" t="str">
        <f t="shared" si="8"/>
        <v/>
      </c>
      <c r="D426" s="152"/>
      <c r="E426" s="204"/>
      <c r="F426" s="106" t="s">
        <v>423</v>
      </c>
      <c r="G426" s="1305" t="s">
        <v>643</v>
      </c>
      <c r="J426" s="1006"/>
    </row>
    <row r="427" spans="1:10" x14ac:dyDescent="0.3">
      <c r="B427" s="311" t="str">
        <f>IF(LEN('Ch6'!H174)=0,"",'Ch6'!H174)</f>
        <v/>
      </c>
      <c r="C427" s="311" t="str">
        <f t="shared" si="8"/>
        <v/>
      </c>
      <c r="D427" s="152"/>
      <c r="E427" s="204"/>
      <c r="F427" s="204"/>
      <c r="G427" s="1305"/>
      <c r="J427" s="1006"/>
    </row>
    <row r="428" spans="1:10" x14ac:dyDescent="0.3">
      <c r="B428" s="311" t="str">
        <f>IF(LEN('Ch6'!H175)=0,"",'Ch6'!H175)</f>
        <v/>
      </c>
      <c r="C428" s="311" t="str">
        <f t="shared" si="8"/>
        <v/>
      </c>
      <c r="D428" s="152"/>
      <c r="E428" s="204"/>
      <c r="F428" s="106" t="s">
        <v>578</v>
      </c>
      <c r="G428" s="675" t="s">
        <v>644</v>
      </c>
      <c r="J428" s="1006"/>
    </row>
    <row r="429" spans="1:10" x14ac:dyDescent="0.3">
      <c r="B429" s="311" t="str">
        <f>IF(LEN('Ch6'!H176)=0,"",'Ch6'!H176)</f>
        <v/>
      </c>
      <c r="C429" s="311" t="str">
        <f t="shared" si="8"/>
        <v/>
      </c>
      <c r="D429" s="152"/>
      <c r="E429" s="204"/>
      <c r="F429" s="951" t="s">
        <v>645</v>
      </c>
      <c r="G429" s="675" t="s">
        <v>646</v>
      </c>
      <c r="J429" s="1006"/>
    </row>
    <row r="430" spans="1:10" x14ac:dyDescent="0.3">
      <c r="B430" s="311" t="str">
        <f>IF(LEN('Ch6'!H177)=0,"",'Ch6'!H177)</f>
        <v/>
      </c>
      <c r="C430" s="311" t="str">
        <f t="shared" si="8"/>
        <v/>
      </c>
      <c r="D430" s="152"/>
      <c r="E430" s="204"/>
      <c r="F430" s="106" t="s">
        <v>647</v>
      </c>
      <c r="G430" s="675" t="s">
        <v>648</v>
      </c>
      <c r="J430" s="1006"/>
    </row>
    <row r="431" spans="1:10" x14ac:dyDescent="0.3">
      <c r="B431" s="311" t="str">
        <f>IF(LEN('Ch6'!H178)=0,"",'Ch6'!H178)</f>
        <v/>
      </c>
      <c r="C431" s="311" t="str">
        <f t="shared" si="8"/>
        <v/>
      </c>
      <c r="D431" s="152"/>
      <c r="E431" s="232"/>
      <c r="F431" s="927" t="s">
        <v>649</v>
      </c>
      <c r="G431" s="676" t="s">
        <v>650</v>
      </c>
      <c r="J431" s="1006"/>
    </row>
    <row r="432" spans="1:10" ht="15" customHeight="1" x14ac:dyDescent="0.3">
      <c r="B432" s="311" t="str">
        <f>IF(LEN('Ch6'!H179)=0,"",'Ch6'!H179)</f>
        <v/>
      </c>
      <c r="C432" s="311" t="str">
        <f t="shared" si="8"/>
        <v/>
      </c>
      <c r="D432" s="152"/>
      <c r="E432" s="926" t="s">
        <v>273</v>
      </c>
      <c r="F432" s="204"/>
      <c r="G432" s="1305" t="s">
        <v>651</v>
      </c>
      <c r="H432" s="89">
        <f>'Ch6'!W179</f>
        <v>0</v>
      </c>
      <c r="I432" s="89">
        <f>'Ch6'!O179</f>
        <v>0</v>
      </c>
      <c r="J432" s="1006"/>
    </row>
    <row r="433" spans="2:10" x14ac:dyDescent="0.3">
      <c r="B433" s="311" t="str">
        <f>IF(LEN('Ch6'!H180)=0,"",'Ch6'!H180)</f>
        <v/>
      </c>
      <c r="C433" s="311" t="str">
        <f t="shared" si="8"/>
        <v/>
      </c>
      <c r="D433" s="152"/>
      <c r="E433" s="204"/>
      <c r="F433" s="204"/>
      <c r="G433" s="1305"/>
      <c r="J433" s="1006"/>
    </row>
    <row r="434" spans="2:10" x14ac:dyDescent="0.3">
      <c r="B434" s="311" t="str">
        <f>IF(LEN('Ch6'!H181)=0,"",'Ch6'!H181)</f>
        <v/>
      </c>
      <c r="C434" s="311" t="str">
        <f t="shared" si="8"/>
        <v/>
      </c>
      <c r="D434" s="152"/>
      <c r="E434" s="232"/>
      <c r="F434" s="232"/>
      <c r="G434" s="1306"/>
      <c r="J434" s="1006"/>
    </row>
    <row r="435" spans="2:10" x14ac:dyDescent="0.3">
      <c r="B435" s="311" t="str">
        <f>IF(LEN('Ch6'!H182)=0,"",'Ch6'!H182)</f>
        <v/>
      </c>
      <c r="C435" s="311" t="str">
        <f t="shared" si="8"/>
        <v/>
      </c>
      <c r="D435" s="152"/>
      <c r="E435" s="955" t="s">
        <v>275</v>
      </c>
      <c r="F435" s="235"/>
      <c r="G435" s="365" t="s">
        <v>652</v>
      </c>
      <c r="H435" s="89">
        <f>'Ch6'!W182</f>
        <v>0</v>
      </c>
      <c r="I435" s="89">
        <f>'Ch6'!O182</f>
        <v>0</v>
      </c>
      <c r="J435" s="1006"/>
    </row>
    <row r="436" spans="2:10" ht="15" customHeight="1" x14ac:dyDescent="0.3">
      <c r="B436" s="311" t="str">
        <f>IF(LEN('Ch6'!H183)=0,"",'Ch6'!H183)</f>
        <v/>
      </c>
      <c r="C436" s="311" t="str">
        <f t="shared" si="8"/>
        <v/>
      </c>
      <c r="D436" s="152"/>
      <c r="E436" s="958" t="s">
        <v>285</v>
      </c>
      <c r="F436" s="959"/>
      <c r="G436" s="1356" t="s">
        <v>653</v>
      </c>
      <c r="H436" s="89">
        <f>'Ch6'!W183</f>
        <v>0</v>
      </c>
      <c r="I436" s="89">
        <f>'Ch6'!O183</f>
        <v>0</v>
      </c>
      <c r="J436" s="1006"/>
    </row>
    <row r="437" spans="2:10" x14ac:dyDescent="0.3">
      <c r="B437" s="311" t="str">
        <f>IF(LEN('Ch6'!H184)=0,"",'Ch6'!H184)</f>
        <v/>
      </c>
      <c r="C437" s="311" t="str">
        <f t="shared" si="8"/>
        <v/>
      </c>
      <c r="D437" s="152"/>
      <c r="E437" s="204"/>
      <c r="F437" s="204"/>
      <c r="G437" s="1305"/>
      <c r="J437" s="1006"/>
    </row>
    <row r="438" spans="2:10" x14ac:dyDescent="0.3">
      <c r="B438" s="311" t="str">
        <f>IF(LEN('Ch6'!H185)=0,"",'Ch6'!H185)</f>
        <v/>
      </c>
      <c r="C438" s="311" t="str">
        <f t="shared" si="8"/>
        <v/>
      </c>
      <c r="D438" s="152"/>
      <c r="E438" s="204"/>
      <c r="F438" s="204"/>
      <c r="G438" s="1305"/>
      <c r="J438" s="1006"/>
    </row>
    <row r="439" spans="2:10" x14ac:dyDescent="0.3">
      <c r="B439" s="311" t="str">
        <f>IF(LEN('Ch6'!H186)=0,"",'Ch6'!H186)</f>
        <v/>
      </c>
      <c r="C439" s="311" t="str">
        <f t="shared" si="8"/>
        <v/>
      </c>
      <c r="D439" s="152"/>
      <c r="E439" s="232"/>
      <c r="F439" s="232"/>
      <c r="G439" s="1306"/>
      <c r="J439" s="1006"/>
    </row>
    <row r="440" spans="2:10" x14ac:dyDescent="0.3">
      <c r="B440" s="311" t="str">
        <f>IF(LEN('Ch6'!H187)=0,"",'Ch6'!H187)</f>
        <v/>
      </c>
      <c r="C440" s="311" t="str">
        <f t="shared" si="8"/>
        <v/>
      </c>
      <c r="D440" s="152"/>
      <c r="E440" s="925" t="s">
        <v>291</v>
      </c>
      <c r="F440" s="919"/>
      <c r="G440" s="682" t="s">
        <v>654</v>
      </c>
      <c r="H440" s="89">
        <f>'Ch6'!W187</f>
        <v>0</v>
      </c>
      <c r="I440" s="89">
        <f ca="1">'Ch6'!O187</f>
        <v>0</v>
      </c>
      <c r="J440" s="1006"/>
    </row>
    <row r="441" spans="2:10" ht="15" customHeight="1" x14ac:dyDescent="0.3">
      <c r="B441" s="311" t="str">
        <f>IF(LEN('Ch6'!H188)=0,"",'Ch6'!H188)</f>
        <v/>
      </c>
      <c r="C441" s="311" t="str">
        <f t="shared" si="8"/>
        <v/>
      </c>
      <c r="D441" s="152"/>
      <c r="E441" s="919"/>
      <c r="F441" s="926" t="s">
        <v>121</v>
      </c>
      <c r="G441" s="1305" t="s">
        <v>655</v>
      </c>
      <c r="J441" s="1006"/>
    </row>
    <row r="442" spans="2:10" x14ac:dyDescent="0.3">
      <c r="B442" s="311" t="str">
        <f>IF(LEN('Ch6'!H189)=0,"",'Ch6'!H189)</f>
        <v/>
      </c>
      <c r="C442" s="311" t="str">
        <f t="shared" si="8"/>
        <v/>
      </c>
      <c r="D442" s="152"/>
      <c r="E442" s="919"/>
      <c r="F442" s="926"/>
      <c r="G442" s="1305"/>
      <c r="J442" s="1006"/>
    </row>
    <row r="443" spans="2:10" x14ac:dyDescent="0.3">
      <c r="B443" s="311" t="str">
        <f>IF(LEN('Ch6'!H190)=0,"",'Ch6'!H190)</f>
        <v/>
      </c>
      <c r="C443" s="311" t="str">
        <f t="shared" si="8"/>
        <v/>
      </c>
      <c r="D443" s="152"/>
      <c r="E443" s="919"/>
      <c r="F443" s="946"/>
      <c r="G443" s="1306"/>
      <c r="J443" s="1006"/>
    </row>
    <row r="444" spans="2:10" ht="15" customHeight="1" x14ac:dyDescent="0.3">
      <c r="B444" s="311" t="str">
        <f>IF(LEN('Ch6'!H191)=0,"",'Ch6'!H191)</f>
        <v/>
      </c>
      <c r="C444" s="311" t="str">
        <f t="shared" si="8"/>
        <v/>
      </c>
      <c r="D444" s="152"/>
      <c r="E444" s="204"/>
      <c r="F444" s="926" t="s">
        <v>122</v>
      </c>
      <c r="G444" s="1305" t="s">
        <v>656</v>
      </c>
      <c r="J444" s="1006"/>
    </row>
    <row r="445" spans="2:10" x14ac:dyDescent="0.3">
      <c r="B445" s="311" t="str">
        <f>IF(LEN('Ch6'!H192)=0,"",'Ch6'!H192)</f>
        <v/>
      </c>
      <c r="C445" s="311" t="str">
        <f t="shared" si="8"/>
        <v/>
      </c>
      <c r="D445" s="152"/>
      <c r="E445" s="232"/>
      <c r="F445" s="232"/>
      <c r="G445" s="1306"/>
      <c r="J445" s="1006"/>
    </row>
    <row r="446" spans="2:10" ht="15" customHeight="1" x14ac:dyDescent="0.3">
      <c r="B446" s="311" t="str">
        <f>IF(LEN('Ch6'!H193)=0,"",'Ch6'!H193)</f>
        <v/>
      </c>
      <c r="C446" s="311" t="str">
        <f t="shared" si="8"/>
        <v/>
      </c>
      <c r="D446" s="152"/>
      <c r="E446" s="958" t="s">
        <v>293</v>
      </c>
      <c r="F446" s="959"/>
      <c r="G446" s="1356" t="s">
        <v>657</v>
      </c>
      <c r="H446" s="89">
        <f>'Ch6'!W193</f>
        <v>0</v>
      </c>
      <c r="I446" s="89">
        <f>'Ch6'!O193</f>
        <v>0</v>
      </c>
      <c r="J446" s="1006"/>
    </row>
    <row r="447" spans="2:10" x14ac:dyDescent="0.3">
      <c r="B447" s="311" t="str">
        <f>IF(LEN('Ch6'!H194)=0,"",'Ch6'!H194)</f>
        <v/>
      </c>
      <c r="C447" s="311" t="str">
        <f t="shared" si="8"/>
        <v/>
      </c>
      <c r="D447" s="152"/>
      <c r="E447" s="232"/>
      <c r="F447" s="232"/>
      <c r="G447" s="1306"/>
      <c r="J447" s="1006"/>
    </row>
    <row r="448" spans="2:10" x14ac:dyDescent="0.3">
      <c r="B448" s="311" t="str">
        <f>IF(LEN('Ch6'!H195)=0,"",'Ch6'!H195)</f>
        <v/>
      </c>
      <c r="C448" s="311" t="str">
        <f t="shared" si="8"/>
        <v/>
      </c>
      <c r="D448" s="152"/>
      <c r="E448" s="925" t="s">
        <v>405</v>
      </c>
      <c r="F448" s="919"/>
      <c r="G448" s="682" t="s">
        <v>658</v>
      </c>
      <c r="H448" s="89">
        <f>'Ch6'!W195</f>
        <v>0</v>
      </c>
      <c r="I448" s="89">
        <f>'Ch6'!O195</f>
        <v>0</v>
      </c>
      <c r="J448" s="1006"/>
    </row>
    <row r="449" spans="1:10" ht="15.75" customHeight="1" thickTop="1" x14ac:dyDescent="0.3">
      <c r="A449" s="727" t="str">
        <f ca="1">IF('Ch6'!O196&gt;0,"P","")</f>
        <v>P</v>
      </c>
      <c r="B449" s="311" t="str">
        <f>IF(LEN('Ch6'!H196)=0,"",'Ch6'!H196)</f>
        <v/>
      </c>
      <c r="C449" s="311" t="str">
        <f t="shared" ca="1" si="8"/>
        <v>P</v>
      </c>
      <c r="D449" s="111" t="s">
        <v>660</v>
      </c>
      <c r="E449" s="954"/>
      <c r="F449" s="954"/>
      <c r="G449" s="1331" t="s">
        <v>661</v>
      </c>
      <c r="I449" s="89">
        <f ca="1">'Ch6'!O196</f>
        <v>4</v>
      </c>
      <c r="J449" s="1443" t="s">
        <v>4256</v>
      </c>
    </row>
    <row r="450" spans="1:10" x14ac:dyDescent="0.3">
      <c r="A450" s="727" t="str">
        <f ca="1">A449</f>
        <v>P</v>
      </c>
      <c r="B450" s="311" t="str">
        <f>IF(LEN('Ch6'!H197)=0,"",'Ch6'!H197)</f>
        <v/>
      </c>
      <c r="C450" s="311" t="str">
        <f t="shared" ca="1" si="8"/>
        <v>P</v>
      </c>
      <c r="D450" s="106"/>
      <c r="E450" s="204"/>
      <c r="F450" s="204"/>
      <c r="G450" s="1313"/>
      <c r="H450" s="89" t="str">
        <f>'Ch6'!W197</f>
        <v>2 exterior door</v>
      </c>
      <c r="J450" s="1443"/>
    </row>
    <row r="451" spans="1:10" x14ac:dyDescent="0.3">
      <c r="A451" s="727" t="str">
        <f ca="1">A450</f>
        <v>P</v>
      </c>
      <c r="B451" s="311" t="str">
        <f>IF(LEN('Ch6'!H198)=0,"",'Ch6'!H198)</f>
        <v/>
      </c>
      <c r="C451" s="311" t="str">
        <f t="shared" ca="1" si="8"/>
        <v>P</v>
      </c>
      <c r="D451" s="106"/>
      <c r="E451" s="204"/>
      <c r="F451" s="204"/>
      <c r="G451" s="1313"/>
      <c r="J451" s="1443"/>
    </row>
    <row r="452" spans="1:10" x14ac:dyDescent="0.3">
      <c r="A452" s="727" t="str">
        <f ca="1">A451</f>
        <v>P</v>
      </c>
      <c r="B452" s="311" t="str">
        <f>IF(LEN('Ch6'!H199)=0,"",'Ch6'!H199)</f>
        <v/>
      </c>
      <c r="C452" s="311" t="str">
        <f t="shared" ca="1" si="8"/>
        <v>P</v>
      </c>
      <c r="D452" s="106"/>
      <c r="E452" s="204"/>
      <c r="F452" s="204"/>
      <c r="G452" s="1313"/>
      <c r="J452" s="1443"/>
    </row>
    <row r="453" spans="1:10" x14ac:dyDescent="0.3">
      <c r="A453" s="727" t="str">
        <f ca="1">A452</f>
        <v>P</v>
      </c>
      <c r="B453" s="311" t="str">
        <f>IF(LEN('Ch6'!H200)=0,"",'Ch6'!H200)</f>
        <v/>
      </c>
      <c r="C453" s="311" t="str">
        <f t="shared" ca="1" si="8"/>
        <v>P</v>
      </c>
      <c r="D453" s="106"/>
      <c r="E453" s="204"/>
      <c r="F453" s="204"/>
      <c r="G453" s="1313"/>
      <c r="J453" s="1443"/>
    </row>
    <row r="454" spans="1:10" x14ac:dyDescent="0.3">
      <c r="A454" s="727" t="str">
        <f ca="1">A453</f>
        <v>P</v>
      </c>
      <c r="B454" s="311" t="str">
        <f>IF(LEN('Ch6'!H201)=0,"",'Ch6'!H201)</f>
        <v/>
      </c>
      <c r="C454" s="311" t="str">
        <f t="shared" ca="1" si="8"/>
        <v>P</v>
      </c>
      <c r="D454" s="106"/>
      <c r="E454" s="204"/>
      <c r="F454" s="204"/>
      <c r="G454" s="1313"/>
      <c r="J454" s="1443"/>
    </row>
    <row r="455" spans="1:10" x14ac:dyDescent="0.3">
      <c r="B455" s="311" t="str">
        <f>IF(LEN('Ch6'!H202)=0,"",'Ch6'!H202)</f>
        <v/>
      </c>
      <c r="C455" s="311" t="str">
        <f t="shared" si="8"/>
        <v/>
      </c>
      <c r="D455" s="106"/>
      <c r="E455" s="204"/>
      <c r="F455" s="204"/>
      <c r="G455" s="684" t="str">
        <f>"This Project's Climate Zone: "&amp;AY269</f>
        <v xml:space="preserve">This Project's Climate Zone: </v>
      </c>
      <c r="J455" s="1001"/>
    </row>
    <row r="456" spans="1:10" x14ac:dyDescent="0.3">
      <c r="B456" s="311" t="str">
        <f>IF(LEN('Ch6'!H203)=0,"",'Ch6'!H203)</f>
        <v/>
      </c>
      <c r="C456" s="311" t="str">
        <f t="shared" ref="C456:C519" si="9">IF(LEN(B456)=0,IF(A456="P","P",""),B456)</f>
        <v/>
      </c>
      <c r="D456" s="106"/>
      <c r="E456" s="204"/>
      <c r="F456" s="926" t="s">
        <v>121</v>
      </c>
      <c r="G456" s="675" t="s">
        <v>662</v>
      </c>
      <c r="J456" s="1001"/>
    </row>
    <row r="457" spans="1:10" x14ac:dyDescent="0.3">
      <c r="B457" s="311" t="str">
        <f>IF(LEN('Ch6'!H204)=0,"",'Ch6'!H204)</f>
        <v/>
      </c>
      <c r="C457" s="311" t="str">
        <f t="shared" si="9"/>
        <v/>
      </c>
      <c r="D457" s="106"/>
      <c r="E457" s="204"/>
      <c r="F457" s="926" t="s">
        <v>122</v>
      </c>
      <c r="G457" s="675" t="s">
        <v>663</v>
      </c>
      <c r="J457" s="1001"/>
    </row>
    <row r="458" spans="1:10" x14ac:dyDescent="0.3">
      <c r="B458" s="311" t="str">
        <f>IF(LEN('Ch6'!H205)=0,"",'Ch6'!H205)</f>
        <v/>
      </c>
      <c r="C458" s="311" t="str">
        <f t="shared" si="9"/>
        <v/>
      </c>
      <c r="D458" s="106"/>
      <c r="E458" s="204"/>
      <c r="F458" s="951" t="s">
        <v>123</v>
      </c>
      <c r="G458" s="675" t="s">
        <v>664</v>
      </c>
      <c r="J458" s="1001"/>
    </row>
    <row r="459" spans="1:10" x14ac:dyDescent="0.3">
      <c r="B459" s="311" t="str">
        <f>IF(LEN('Ch6'!H206)=0,"",'Ch6'!H206)</f>
        <v/>
      </c>
      <c r="C459" s="311" t="str">
        <f t="shared" si="9"/>
        <v/>
      </c>
      <c r="D459" s="106"/>
      <c r="E459" s="204"/>
      <c r="F459" s="106" t="s">
        <v>423</v>
      </c>
      <c r="G459" s="675" t="s">
        <v>665</v>
      </c>
      <c r="J459" s="1001"/>
    </row>
    <row r="460" spans="1:10" ht="15" customHeight="1" x14ac:dyDescent="0.3">
      <c r="B460" s="311" t="str">
        <f>IF(LEN('Ch6'!H207)=0,"",'Ch6'!H207)</f>
        <v/>
      </c>
      <c r="C460" s="311" t="str">
        <f t="shared" si="9"/>
        <v/>
      </c>
      <c r="D460" s="106"/>
      <c r="E460" s="204"/>
      <c r="F460" s="106"/>
      <c r="G460" s="1369" t="s">
        <v>3254</v>
      </c>
      <c r="J460" s="989"/>
    </row>
    <row r="461" spans="1:10" x14ac:dyDescent="0.3">
      <c r="B461" s="311" t="str">
        <f>IF(LEN('Ch6'!H208)=0,"",'Ch6'!H208)</f>
        <v/>
      </c>
      <c r="C461" s="311" t="str">
        <f t="shared" si="9"/>
        <v/>
      </c>
      <c r="D461" s="106"/>
      <c r="E461" s="204"/>
      <c r="F461" s="106"/>
      <c r="G461" s="1357"/>
      <c r="J461" s="989"/>
    </row>
    <row r="462" spans="1:10" ht="15.75" customHeight="1" thickTop="1" x14ac:dyDescent="0.3">
      <c r="A462" s="727" t="str">
        <f>IF(AND(LEN('Ch6'!W209)&gt;0,NOT('Ch6'!W209=FALSE)),"P","")</f>
        <v>P</v>
      </c>
      <c r="B462" s="311" t="str">
        <f>IF(LEN('Ch6'!H209)=0,"",'Ch6'!H209)</f>
        <v/>
      </c>
      <c r="C462" s="311" t="str">
        <f t="shared" si="9"/>
        <v>P</v>
      </c>
      <c r="D462" s="111" t="s">
        <v>667</v>
      </c>
      <c r="E462" s="954"/>
      <c r="F462" s="954"/>
      <c r="G462" s="1331" t="s">
        <v>668</v>
      </c>
      <c r="H462" s="89" t="str">
        <f>'Ch6'!W209</f>
        <v>Met</v>
      </c>
      <c r="J462" s="1444" t="s">
        <v>4342</v>
      </c>
    </row>
    <row r="463" spans="1:10" x14ac:dyDescent="0.3">
      <c r="A463" s="727" t="str">
        <f>A462</f>
        <v>P</v>
      </c>
      <c r="B463" s="311" t="str">
        <f>IF(LEN('Ch6'!H210)=0,"",'Ch6'!H210)</f>
        <v/>
      </c>
      <c r="C463" s="311" t="str">
        <f t="shared" si="9"/>
        <v>P</v>
      </c>
      <c r="D463" s="106"/>
      <c r="E463" s="204"/>
      <c r="F463" s="204"/>
      <c r="G463" s="1313"/>
      <c r="J463" s="1444"/>
    </row>
    <row r="464" spans="1:10" ht="15.75" customHeight="1" thickTop="1" x14ac:dyDescent="0.3">
      <c r="A464" s="727" t="str">
        <f>IF(AND(LEN('Ch6'!W211)&gt;0,NOT('Ch6'!W211=FALSE)),"P","")</f>
        <v/>
      </c>
      <c r="B464" s="311" t="str">
        <f>IF(LEN('Ch6'!H211)=0,"",'Ch6'!H211)</f>
        <v/>
      </c>
      <c r="C464" s="311" t="str">
        <f t="shared" si="9"/>
        <v/>
      </c>
      <c r="D464" s="111" t="s">
        <v>669</v>
      </c>
      <c r="E464" s="954"/>
      <c r="F464" s="954"/>
      <c r="G464" s="1331" t="s">
        <v>670</v>
      </c>
      <c r="H464" s="89">
        <f>'Ch6'!W211</f>
        <v>0</v>
      </c>
      <c r="I464" s="89">
        <f ca="1">'Ch6'!O211</f>
        <v>0</v>
      </c>
      <c r="J464" s="1439" t="s">
        <v>4226</v>
      </c>
    </row>
    <row r="465" spans="1:10" x14ac:dyDescent="0.3">
      <c r="A465" s="727" t="str">
        <f>A464</f>
        <v/>
      </c>
      <c r="B465" s="311" t="str">
        <f>IF(LEN('Ch6'!H212)=0,"",'Ch6'!H212)</f>
        <v/>
      </c>
      <c r="C465" s="311" t="str">
        <f t="shared" si="9"/>
        <v/>
      </c>
      <c r="D465" s="106"/>
      <c r="E465" s="204"/>
      <c r="F465" s="204"/>
      <c r="G465" s="1313"/>
      <c r="J465" s="1439"/>
    </row>
    <row r="466" spans="1:10" x14ac:dyDescent="0.3">
      <c r="B466" s="311" t="str">
        <f>IF(LEN('Ch6'!H213)=0,"",'Ch6'!H213)</f>
        <v/>
      </c>
      <c r="C466" s="311" t="str">
        <f t="shared" si="9"/>
        <v/>
      </c>
      <c r="D466" s="106"/>
      <c r="E466" s="204"/>
      <c r="F466" s="204"/>
      <c r="G466" s="328" t="s">
        <v>3239</v>
      </c>
      <c r="J466" s="989"/>
    </row>
    <row r="467" spans="1:10" ht="15.75" customHeight="1" thickTop="1" x14ac:dyDescent="0.3">
      <c r="A467" s="727" t="str">
        <f>IF(AND(LEN('Ch6'!W214)&gt;0,NOT('Ch6'!W214=FALSE)),"P","")</f>
        <v>P</v>
      </c>
      <c r="B467" s="311" t="str">
        <f>IF(LEN('Ch6'!H214)=0,"",'Ch6'!H214)</f>
        <v/>
      </c>
      <c r="C467" s="311" t="str">
        <f t="shared" si="9"/>
        <v>P</v>
      </c>
      <c r="D467" s="111" t="s">
        <v>672</v>
      </c>
      <c r="E467" s="954"/>
      <c r="F467" s="954"/>
      <c r="G467" s="1331" t="s">
        <v>673</v>
      </c>
      <c r="H467" s="89" t="str">
        <f>'Ch6'!W214</f>
        <v>N/A</v>
      </c>
      <c r="J467" s="1440" t="s">
        <v>4343</v>
      </c>
    </row>
    <row r="468" spans="1:10" x14ac:dyDescent="0.3">
      <c r="A468" s="727" t="str">
        <f>A467</f>
        <v>P</v>
      </c>
      <c r="B468" s="311" t="str">
        <f>IF(LEN('Ch6'!H215)=0,"",'Ch6'!H215)</f>
        <v/>
      </c>
      <c r="C468" s="311" t="str">
        <f t="shared" si="9"/>
        <v>P</v>
      </c>
      <c r="D468" s="106"/>
      <c r="E468" s="204"/>
      <c r="F468" s="204"/>
      <c r="G468" s="1313"/>
      <c r="J468" s="1440"/>
    </row>
    <row r="469" spans="1:10" x14ac:dyDescent="0.3">
      <c r="A469" s="727" t="str">
        <f>A468</f>
        <v>P</v>
      </c>
      <c r="B469" s="311" t="str">
        <f>IF(LEN('Ch6'!H216)=0,"",'Ch6'!H216)</f>
        <v/>
      </c>
      <c r="C469" s="311" t="str">
        <f t="shared" si="9"/>
        <v>P</v>
      </c>
      <c r="D469" s="106"/>
      <c r="E469" s="204"/>
      <c r="F469" s="204"/>
      <c r="G469" s="1313"/>
      <c r="J469" s="1440"/>
    </row>
    <row r="470" spans="1:10" x14ac:dyDescent="0.3">
      <c r="A470" s="727" t="str">
        <f>A469</f>
        <v>P</v>
      </c>
      <c r="B470" s="311" t="str">
        <f>IF(LEN('Ch6'!H217)=0,"",'Ch6'!H217)</f>
        <v/>
      </c>
      <c r="C470" s="311" t="str">
        <f t="shared" si="9"/>
        <v>P</v>
      </c>
      <c r="D470" s="106"/>
      <c r="E470" s="204"/>
      <c r="F470" s="204"/>
      <c r="G470" s="1313"/>
      <c r="J470" s="1440"/>
    </row>
    <row r="471" spans="1:10" ht="15.75" customHeight="1" thickTop="1" x14ac:dyDescent="0.3">
      <c r="A471" s="727" t="str">
        <f>IF(SUM(I473:I476)&gt;0,"P","")</f>
        <v>P</v>
      </c>
      <c r="B471" s="311" t="str">
        <f>IF(LEN('Ch6'!H218)=0,"",'Ch6'!H218)</f>
        <v/>
      </c>
      <c r="C471" s="311" t="str">
        <f t="shared" si="9"/>
        <v>P</v>
      </c>
      <c r="D471" s="111" t="s">
        <v>674</v>
      </c>
      <c r="E471" s="954"/>
      <c r="F471" s="954"/>
      <c r="G471" s="1331" t="s">
        <v>675</v>
      </c>
      <c r="J471" s="1444" t="s">
        <v>4363</v>
      </c>
    </row>
    <row r="472" spans="1:10" x14ac:dyDescent="0.3">
      <c r="A472" s="727" t="str">
        <f>A471</f>
        <v>P</v>
      </c>
      <c r="B472" s="311" t="str">
        <f>IF(LEN('Ch6'!H219)=0,"",'Ch6'!H219)</f>
        <v/>
      </c>
      <c r="C472" s="311" t="str">
        <f t="shared" si="9"/>
        <v>P</v>
      </c>
      <c r="D472" s="106"/>
      <c r="E472" s="204"/>
      <c r="F472" s="204"/>
      <c r="G472" s="1313"/>
      <c r="J472" s="1444"/>
    </row>
    <row r="473" spans="1:10" ht="15" customHeight="1" x14ac:dyDescent="0.3">
      <c r="B473" s="311" t="str">
        <f>IF(LEN('Ch6'!H220)=0,"",'Ch6'!H220)</f>
        <v/>
      </c>
      <c r="C473" s="311" t="str">
        <f t="shared" si="9"/>
        <v/>
      </c>
      <c r="D473" s="152"/>
      <c r="E473" s="926" t="s">
        <v>271</v>
      </c>
      <c r="F473" s="204"/>
      <c r="G473" s="1305" t="s">
        <v>676</v>
      </c>
      <c r="H473" s="89" t="str">
        <f>'Ch6'!W220</f>
        <v>Met</v>
      </c>
      <c r="I473" s="89">
        <f>'Ch6'!O220</f>
        <v>1</v>
      </c>
      <c r="J473" s="996"/>
    </row>
    <row r="474" spans="1:10" x14ac:dyDescent="0.3">
      <c r="B474" s="311" t="str">
        <f>IF(LEN('Ch6'!H221)=0,"",'Ch6'!H221)</f>
        <v/>
      </c>
      <c r="C474" s="311" t="str">
        <f t="shared" si="9"/>
        <v/>
      </c>
      <c r="D474" s="152"/>
      <c r="E474" s="232"/>
      <c r="F474" s="232"/>
      <c r="G474" s="1306"/>
      <c r="J474" s="1006"/>
    </row>
    <row r="475" spans="1:10" x14ac:dyDescent="0.3">
      <c r="B475" s="311" t="str">
        <f>IF(LEN('Ch6'!H222)=0,"",'Ch6'!H222)</f>
        <v/>
      </c>
      <c r="C475" s="311" t="str">
        <f t="shared" si="9"/>
        <v/>
      </c>
      <c r="D475" s="152"/>
      <c r="E475" s="955" t="s">
        <v>273</v>
      </c>
      <c r="F475" s="235"/>
      <c r="G475" s="365" t="s">
        <v>677</v>
      </c>
      <c r="H475" s="89" t="b">
        <f>'Ch6'!W222</f>
        <v>1</v>
      </c>
      <c r="I475" s="89">
        <f>'Ch6'!O222</f>
        <v>2</v>
      </c>
      <c r="J475" s="1006"/>
    </row>
    <row r="476" spans="1:10" x14ac:dyDescent="0.3">
      <c r="B476" s="311" t="str">
        <f>IF(LEN('Ch6'!H223)=0,"",'Ch6'!H223)</f>
        <v/>
      </c>
      <c r="C476" s="311" t="str">
        <f t="shared" si="9"/>
        <v/>
      </c>
      <c r="D476" s="152"/>
      <c r="E476" s="925" t="s">
        <v>275</v>
      </c>
      <c r="F476" s="919"/>
      <c r="G476" s="682" t="s">
        <v>678</v>
      </c>
      <c r="H476" s="89" t="b">
        <f>'Ch6'!W223</f>
        <v>1</v>
      </c>
      <c r="I476" s="89">
        <f>'Ch6'!O223</f>
        <v>2</v>
      </c>
      <c r="J476" s="1006"/>
    </row>
    <row r="477" spans="1:10" ht="15.75" customHeight="1" thickTop="1" x14ac:dyDescent="0.3">
      <c r="A477" s="727" t="str">
        <f>IF('Ch6'!O224&gt;0,"P","")</f>
        <v/>
      </c>
      <c r="B477" s="311" t="str">
        <f>IF(LEN('Ch6'!H224)=0,"",'Ch6'!H224)</f>
        <v/>
      </c>
      <c r="C477" s="311" t="str">
        <f t="shared" si="9"/>
        <v/>
      </c>
      <c r="D477" s="111">
        <v>602.20000000000005</v>
      </c>
      <c r="E477" s="954"/>
      <c r="F477" s="954"/>
      <c r="G477" s="1331" t="s">
        <v>679</v>
      </c>
      <c r="I477" s="89">
        <f>'Ch6'!O224</f>
        <v>0</v>
      </c>
      <c r="J477" s="1443" t="s">
        <v>4399</v>
      </c>
    </row>
    <row r="478" spans="1:10" x14ac:dyDescent="0.3">
      <c r="A478" s="727" t="str">
        <f>A477</f>
        <v/>
      </c>
      <c r="B478" s="311" t="str">
        <f>IF(LEN('Ch6'!H225)=0,"",'Ch6'!H225)</f>
        <v/>
      </c>
      <c r="C478" s="311" t="str">
        <f t="shared" si="9"/>
        <v/>
      </c>
      <c r="D478" s="106"/>
      <c r="E478" s="204"/>
      <c r="F478" s="204"/>
      <c r="G478" s="1313"/>
      <c r="J478" s="1443"/>
    </row>
    <row r="479" spans="1:10" x14ac:dyDescent="0.3">
      <c r="A479" s="727" t="str">
        <f>A478</f>
        <v/>
      </c>
      <c r="B479" s="311" t="str">
        <f>IF(LEN('Ch6'!H226)=0,"",'Ch6'!H226)</f>
        <v/>
      </c>
      <c r="C479" s="311" t="str">
        <f t="shared" si="9"/>
        <v/>
      </c>
      <c r="D479" s="106"/>
      <c r="E479" s="204"/>
      <c r="F479" s="204"/>
      <c r="G479" s="1313"/>
      <c r="J479" s="1443"/>
    </row>
    <row r="480" spans="1:10" x14ac:dyDescent="0.3">
      <c r="A480" s="727" t="str">
        <f>A479</f>
        <v/>
      </c>
      <c r="B480" s="311" t="str">
        <f>IF(LEN('Ch6'!H227)=0,"",'Ch6'!H227)</f>
        <v/>
      </c>
      <c r="C480" s="311" t="str">
        <f t="shared" si="9"/>
        <v/>
      </c>
      <c r="D480" s="106"/>
      <c r="E480" s="204"/>
      <c r="F480" s="204"/>
      <c r="G480" s="1313"/>
      <c r="J480" s="1443"/>
    </row>
    <row r="481" spans="1:10" ht="15" customHeight="1" x14ac:dyDescent="0.3">
      <c r="B481" s="311" t="str">
        <f>IF(LEN('Ch6'!H228)=0,"",'Ch6'!H228)</f>
        <v/>
      </c>
      <c r="C481" s="311" t="str">
        <f t="shared" si="9"/>
        <v/>
      </c>
      <c r="D481" s="152"/>
      <c r="E481" s="926" t="s">
        <v>271</v>
      </c>
      <c r="F481" s="204"/>
      <c r="G481" s="1293" t="s">
        <v>680</v>
      </c>
      <c r="H481" s="89">
        <f>'Ch6'!W228</f>
        <v>0</v>
      </c>
      <c r="J481" s="996"/>
    </row>
    <row r="482" spans="1:10" x14ac:dyDescent="0.3">
      <c r="B482" s="311" t="str">
        <f>IF(LEN('Ch6'!H229)=0,"",'Ch6'!H229)</f>
        <v/>
      </c>
      <c r="C482" s="311" t="str">
        <f t="shared" si="9"/>
        <v/>
      </c>
      <c r="D482" s="152"/>
      <c r="E482" s="946"/>
      <c r="F482" s="232"/>
      <c r="G482" s="1294"/>
      <c r="J482" s="996"/>
    </row>
    <row r="483" spans="1:10" x14ac:dyDescent="0.3">
      <c r="B483" s="311" t="str">
        <f>IF(LEN('Ch6'!H230)=0,"",'Ch6'!H230)</f>
        <v/>
      </c>
      <c r="C483" s="311" t="str">
        <f t="shared" si="9"/>
        <v/>
      </c>
      <c r="D483" s="152"/>
      <c r="E483" s="955" t="s">
        <v>273</v>
      </c>
      <c r="F483" s="235"/>
      <c r="G483" s="365" t="s">
        <v>681</v>
      </c>
      <c r="H483" s="89">
        <f>'Ch6'!W230</f>
        <v>0</v>
      </c>
      <c r="J483" s="1001"/>
    </row>
    <row r="484" spans="1:10" ht="15" customHeight="1" x14ac:dyDescent="0.3">
      <c r="B484" s="311" t="str">
        <f>IF(LEN('Ch6'!H231)=0,"",'Ch6'!H231)</f>
        <v/>
      </c>
      <c r="C484" s="311" t="str">
        <f t="shared" si="9"/>
        <v/>
      </c>
      <c r="D484" s="152"/>
      <c r="E484" s="925" t="s">
        <v>275</v>
      </c>
      <c r="F484" s="919"/>
      <c r="G484" s="1329" t="s">
        <v>682</v>
      </c>
      <c r="H484" s="89">
        <f>'Ch6'!W231</f>
        <v>0</v>
      </c>
      <c r="J484" s="1001"/>
    </row>
    <row r="485" spans="1:10" x14ac:dyDescent="0.3">
      <c r="B485" s="311" t="str">
        <f>IF(LEN('Ch6'!H232)=0,"",'Ch6'!H232)</f>
        <v/>
      </c>
      <c r="C485" s="311" t="str">
        <f t="shared" si="9"/>
        <v/>
      </c>
      <c r="D485" s="152"/>
      <c r="E485" s="919"/>
      <c r="F485" s="919"/>
      <c r="G485" s="1329"/>
      <c r="J485" s="1001"/>
    </row>
    <row r="486" spans="1:10" x14ac:dyDescent="0.3">
      <c r="B486" s="311" t="str">
        <f>IF(LEN('Ch6'!H233)=0,"",'Ch6'!H233)</f>
        <v/>
      </c>
      <c r="C486" s="311" t="str">
        <f t="shared" si="9"/>
        <v/>
      </c>
      <c r="D486" s="152"/>
      <c r="E486" s="919"/>
      <c r="F486" s="919"/>
      <c r="G486" s="1329"/>
      <c r="J486" s="1001"/>
    </row>
    <row r="487" spans="1:10" ht="15.75" customHeight="1" thickTop="1" x14ac:dyDescent="0.3">
      <c r="A487" s="727" t="str">
        <f>IF(AND(LEN('Ch6'!W234)&gt;0,NOT('Ch6'!W234=FALSE)),"P","")</f>
        <v>P</v>
      </c>
      <c r="B487" s="311" t="str">
        <f>IF(LEN('Ch6'!H234)=0,"",'Ch6'!H234)</f>
        <v/>
      </c>
      <c r="C487" s="311" t="str">
        <f t="shared" si="9"/>
        <v>P</v>
      </c>
      <c r="D487" s="111">
        <v>602.29999999999995</v>
      </c>
      <c r="E487" s="954"/>
      <c r="F487" s="954"/>
      <c r="G487" s="1331" t="s">
        <v>683</v>
      </c>
      <c r="H487" s="89" t="b">
        <f>'Ch6'!W234</f>
        <v>1</v>
      </c>
      <c r="I487" s="89">
        <f>'Ch6'!O234</f>
        <v>4</v>
      </c>
      <c r="J487" s="1440" t="s">
        <v>4344</v>
      </c>
    </row>
    <row r="488" spans="1:10" x14ac:dyDescent="0.3">
      <c r="A488" s="727" t="str">
        <f>A487</f>
        <v>P</v>
      </c>
      <c r="B488" s="311" t="str">
        <f>IF(LEN('Ch6'!H235)=0,"",'Ch6'!H235)</f>
        <v/>
      </c>
      <c r="C488" s="311" t="str">
        <f t="shared" si="9"/>
        <v>P</v>
      </c>
      <c r="D488" s="106"/>
      <c r="E488" s="204"/>
      <c r="F488" s="204"/>
      <c r="G488" s="1313"/>
      <c r="J488" s="1440"/>
    </row>
    <row r="489" spans="1:10" x14ac:dyDescent="0.3">
      <c r="A489" s="727" t="str">
        <f>A488</f>
        <v>P</v>
      </c>
      <c r="B489" s="311" t="str">
        <f>IF(LEN('Ch6'!H236)=0,"",'Ch6'!H236)</f>
        <v/>
      </c>
      <c r="C489" s="311" t="str">
        <f t="shared" si="9"/>
        <v>P</v>
      </c>
      <c r="D489" s="106"/>
      <c r="E489" s="204"/>
      <c r="F489" s="204"/>
      <c r="G489" s="1313"/>
      <c r="J489" s="1440"/>
    </row>
    <row r="490" spans="1:10" ht="15" thickTop="1" x14ac:dyDescent="0.3">
      <c r="A490" s="1196" t="str">
        <f>IF(COUNTIF(A491:A498,"P")&gt;0,"P","")</f>
        <v>P</v>
      </c>
      <c r="B490" s="311" t="str">
        <f>IF(LEN('Ch6'!H237)=0,"",'Ch6'!H237)</f>
        <v/>
      </c>
      <c r="C490" s="311" t="str">
        <f t="shared" si="9"/>
        <v>P</v>
      </c>
      <c r="D490" s="111">
        <v>602.4</v>
      </c>
      <c r="E490" s="954"/>
      <c r="F490" s="954"/>
      <c r="G490" s="697" t="s">
        <v>684</v>
      </c>
      <c r="J490" s="989"/>
    </row>
    <row r="491" spans="1:10" ht="15" customHeight="1" x14ac:dyDescent="0.3">
      <c r="A491" s="727" t="str">
        <f>IF(AND(LEN('Ch6'!W238)&gt;0,NOT('Ch6'!W238=FALSE)),"P","")</f>
        <v>P</v>
      </c>
      <c r="B491" s="311" t="str">
        <f>IF(LEN('Ch6'!H238)=0,"",'Ch6'!H238)</f>
        <v/>
      </c>
      <c r="C491" s="311" t="str">
        <f t="shared" si="9"/>
        <v>P</v>
      </c>
      <c r="D491" s="106" t="s">
        <v>685</v>
      </c>
      <c r="E491" s="204"/>
      <c r="F491" s="204"/>
      <c r="G491" s="1313" t="s">
        <v>686</v>
      </c>
      <c r="H491" s="89" t="b">
        <f>'Ch6'!W238</f>
        <v>1</v>
      </c>
      <c r="J491" s="1440" t="s">
        <v>4257</v>
      </c>
    </row>
    <row r="492" spans="1:10" x14ac:dyDescent="0.3">
      <c r="A492" s="727" t="str">
        <f>A491</f>
        <v>P</v>
      </c>
      <c r="B492" s="311" t="str">
        <f>IF(LEN('Ch6'!H239)=0,"",'Ch6'!H239)</f>
        <v/>
      </c>
      <c r="C492" s="311" t="str">
        <f t="shared" si="9"/>
        <v>P</v>
      </c>
      <c r="D492" s="106"/>
      <c r="E492" s="204"/>
      <c r="F492" s="204"/>
      <c r="G492" s="1313"/>
      <c r="J492" s="1440"/>
    </row>
    <row r="493" spans="1:10" x14ac:dyDescent="0.3">
      <c r="A493" s="727" t="str">
        <f>A492</f>
        <v>P</v>
      </c>
      <c r="B493" s="311" t="str">
        <f>IF(LEN('Ch6'!H240)=0,"",'Ch6'!H240)</f>
        <v/>
      </c>
      <c r="C493" s="311" t="str">
        <f t="shared" si="9"/>
        <v>P</v>
      </c>
      <c r="D493" s="106"/>
      <c r="E493" s="204"/>
      <c r="F493" s="204"/>
      <c r="G493" s="1313"/>
      <c r="J493" s="1440"/>
    </row>
    <row r="494" spans="1:10" x14ac:dyDescent="0.3">
      <c r="A494" s="727" t="str">
        <f>A493</f>
        <v>P</v>
      </c>
      <c r="B494" s="311" t="str">
        <f>IF(LEN('Ch6'!H241)=0,"",'Ch6'!H241)</f>
        <v/>
      </c>
      <c r="C494" s="311" t="str">
        <f t="shared" si="9"/>
        <v>P</v>
      </c>
      <c r="D494" s="106"/>
      <c r="E494" s="204"/>
      <c r="F494" s="204"/>
      <c r="G494" s="1313"/>
      <c r="J494" s="1440"/>
    </row>
    <row r="495" spans="1:10" x14ac:dyDescent="0.3">
      <c r="A495" s="727" t="str">
        <f>A494</f>
        <v>P</v>
      </c>
      <c r="B495" s="311" t="str">
        <f>IF(LEN('Ch6'!H242)=0,"",'Ch6'!H242)</f>
        <v/>
      </c>
      <c r="C495" s="311" t="str">
        <f t="shared" si="9"/>
        <v>P</v>
      </c>
      <c r="D495" s="927"/>
      <c r="E495" s="232"/>
      <c r="F495" s="232"/>
      <c r="G495" s="1350"/>
      <c r="J495" s="1440"/>
    </row>
    <row r="496" spans="1:10" ht="15" customHeight="1" x14ac:dyDescent="0.3">
      <c r="A496" s="727" t="str">
        <f>IF(AND(LEN('Ch6'!W243)&gt;0,NOT('Ch6'!W243=FALSE)),"P","")</f>
        <v>P</v>
      </c>
      <c r="B496" s="311" t="str">
        <f>IF(LEN('Ch6'!H243)=0,"",'Ch6'!H243)</f>
        <v/>
      </c>
      <c r="C496" s="311" t="str">
        <f t="shared" si="9"/>
        <v>P</v>
      </c>
      <c r="D496" s="106" t="s">
        <v>687</v>
      </c>
      <c r="E496" s="204"/>
      <c r="F496" s="204"/>
      <c r="G496" s="1313" t="s">
        <v>688</v>
      </c>
      <c r="H496" s="89" t="b">
        <f>'Ch6'!W243</f>
        <v>1</v>
      </c>
      <c r="I496" s="89">
        <f>'Ch6'!O243</f>
        <v>1</v>
      </c>
      <c r="J496" s="1439" t="s">
        <v>4226</v>
      </c>
    </row>
    <row r="497" spans="1:10" x14ac:dyDescent="0.3">
      <c r="A497" s="727" t="str">
        <f>A496</f>
        <v>P</v>
      </c>
      <c r="B497" s="311" t="str">
        <f>IF(LEN('Ch6'!H244)=0,"",'Ch6'!H244)</f>
        <v/>
      </c>
      <c r="C497" s="311" t="str">
        <f t="shared" si="9"/>
        <v>P</v>
      </c>
      <c r="D497" s="927"/>
      <c r="E497" s="232"/>
      <c r="F497" s="232"/>
      <c r="G497" s="1350"/>
      <c r="J497" s="1439"/>
    </row>
    <row r="498" spans="1:10" ht="15" customHeight="1" x14ac:dyDescent="0.3">
      <c r="A498" s="727" t="str">
        <f>IF(AND(LEN('Ch6'!W245)&gt;0,NOT('Ch6'!W245=FALSE)),"P","")</f>
        <v>P</v>
      </c>
      <c r="B498" s="311" t="str">
        <f>IF(LEN('Ch6'!H245)=0,"",'Ch6'!H245)</f>
        <v/>
      </c>
      <c r="C498" s="311" t="str">
        <f t="shared" si="9"/>
        <v>P</v>
      </c>
      <c r="D498" s="152" t="s">
        <v>689</v>
      </c>
      <c r="E498" s="919"/>
      <c r="F498" s="919"/>
      <c r="G498" s="687" t="s">
        <v>690</v>
      </c>
      <c r="H498" s="89" t="b">
        <f>'Ch6'!W245</f>
        <v>1</v>
      </c>
      <c r="I498" s="89">
        <f>'Ch6'!O245</f>
        <v>1</v>
      </c>
      <c r="J498" s="989" t="s">
        <v>4226</v>
      </c>
    </row>
    <row r="499" spans="1:10" ht="18" x14ac:dyDescent="0.3">
      <c r="A499" s="727" t="s">
        <v>4389</v>
      </c>
      <c r="B499" s="311" t="str">
        <f>IF(LEN('Ch6'!H246)=0,"",'Ch6'!H246)</f>
        <v/>
      </c>
      <c r="C499" s="311" t="str">
        <f t="shared" si="9"/>
        <v>P</v>
      </c>
      <c r="D499" s="72" t="s">
        <v>691</v>
      </c>
      <c r="E499" s="72"/>
      <c r="F499" s="72"/>
      <c r="G499" s="259"/>
      <c r="H499" s="259"/>
      <c r="I499" s="259"/>
      <c r="J499" s="1005"/>
    </row>
    <row r="500" spans="1:10" ht="15" customHeight="1" x14ac:dyDescent="0.3">
      <c r="B500" s="311" t="str">
        <f>IF(LEN('Ch6'!H247)=0,"",'Ch6'!H247)</f>
        <v/>
      </c>
      <c r="C500" s="311" t="str">
        <f t="shared" si="9"/>
        <v/>
      </c>
      <c r="D500" s="925" t="s">
        <v>4436</v>
      </c>
      <c r="E500" s="919"/>
      <c r="F500" s="919"/>
      <c r="G500" s="1292" t="s">
        <v>692</v>
      </c>
      <c r="J500" s="989"/>
    </row>
    <row r="501" spans="1:10" x14ac:dyDescent="0.3">
      <c r="B501" s="311" t="str">
        <f>IF(LEN('Ch6'!H248)=0,"",'Ch6'!H248)</f>
        <v/>
      </c>
      <c r="C501" s="311" t="str">
        <f t="shared" si="9"/>
        <v/>
      </c>
      <c r="D501" s="152"/>
      <c r="E501" s="919"/>
      <c r="F501" s="919"/>
      <c r="G501" s="1292"/>
      <c r="J501" s="989"/>
    </row>
    <row r="502" spans="1:10" ht="15.75" customHeight="1" thickTop="1" x14ac:dyDescent="0.3">
      <c r="A502" s="727" t="str">
        <f>IF(AND(LEN('Ch6'!W249)&gt;0,NOT('Ch6'!W249=FALSE)),"P","")</f>
        <v/>
      </c>
      <c r="B502" s="311" t="str">
        <f>IF(LEN('Ch6'!H249)=0,"",'Ch6'!H249)</f>
        <v/>
      </c>
      <c r="C502" s="311" t="str">
        <f t="shared" si="9"/>
        <v/>
      </c>
      <c r="D502" s="111">
        <v>603.1</v>
      </c>
      <c r="E502" s="954"/>
      <c r="F502" s="954"/>
      <c r="G502" s="1331" t="s">
        <v>693</v>
      </c>
      <c r="H502" s="89">
        <f>'Ch6'!W249</f>
        <v>0</v>
      </c>
      <c r="I502" s="89">
        <f>'Ch6'!O249</f>
        <v>0</v>
      </c>
      <c r="J502" s="1443" t="s">
        <v>4258</v>
      </c>
    </row>
    <row r="503" spans="1:10" ht="26.25" customHeight="1" x14ac:dyDescent="0.3">
      <c r="A503" s="727" t="str">
        <f>A502</f>
        <v/>
      </c>
      <c r="B503" s="311" t="str">
        <f>IF(LEN('Ch6'!H250)=0,"",'Ch6'!H250)</f>
        <v/>
      </c>
      <c r="C503" s="311" t="str">
        <f t="shared" si="9"/>
        <v/>
      </c>
      <c r="D503" s="106"/>
      <c r="E503" s="204"/>
      <c r="F503" s="204"/>
      <c r="G503" s="1313"/>
      <c r="J503" s="1443"/>
    </row>
    <row r="504" spans="1:10" ht="15" x14ac:dyDescent="0.3">
      <c r="B504" s="311" t="str">
        <f>IF(LEN('Ch6'!H251)=0,"",'Ch6'!H251)</f>
        <v/>
      </c>
      <c r="C504" s="311" t="str">
        <f t="shared" si="9"/>
        <v/>
      </c>
      <c r="D504" s="106"/>
      <c r="E504" s="204"/>
      <c r="F504" s="204"/>
      <c r="G504" s="683" t="s">
        <v>694</v>
      </c>
      <c r="J504" s="989"/>
    </row>
    <row r="505" spans="1:10" ht="15" customHeight="1" x14ac:dyDescent="0.3">
      <c r="B505" s="311" t="str">
        <f>IF(LEN('Ch6'!H252)=0,"",'Ch6'!H252)</f>
        <v/>
      </c>
      <c r="C505" s="311" t="str">
        <f t="shared" si="9"/>
        <v/>
      </c>
      <c r="D505" s="106"/>
      <c r="E505" s="204"/>
      <c r="F505" s="204"/>
      <c r="G505" s="1357" t="s">
        <v>3258</v>
      </c>
      <c r="J505" s="989"/>
    </row>
    <row r="506" spans="1:10" x14ac:dyDescent="0.3">
      <c r="B506" s="311" t="str">
        <f>IF(LEN('Ch6'!H253)=0,"",'Ch6'!H253)</f>
        <v/>
      </c>
      <c r="C506" s="311" t="str">
        <f t="shared" si="9"/>
        <v/>
      </c>
      <c r="D506" s="106"/>
      <c r="E506" s="204"/>
      <c r="F506" s="204"/>
      <c r="G506" s="1358"/>
      <c r="J506" s="989"/>
    </row>
    <row r="507" spans="1:10" x14ac:dyDescent="0.3">
      <c r="B507" s="311" t="str">
        <f>IF(LEN('Ch6'!H254)=0,"",'Ch6'!H254)</f>
        <v/>
      </c>
      <c r="C507" s="311" t="str">
        <f t="shared" si="9"/>
        <v/>
      </c>
      <c r="D507" s="106"/>
      <c r="E507" s="204"/>
      <c r="F507" s="204"/>
      <c r="G507" s="1358"/>
      <c r="J507" s="989"/>
    </row>
    <row r="508" spans="1:10" ht="15.75" customHeight="1" thickTop="1" x14ac:dyDescent="0.3">
      <c r="A508" s="727" t="str">
        <f>IF(AND(LEN('Ch6'!W255)&gt;0,NOT('Ch6'!W255=FALSE)),"P","")</f>
        <v/>
      </c>
      <c r="B508" s="311" t="str">
        <f>IF(LEN('Ch6'!H255)=0,"",'Ch6'!H255)</f>
        <v/>
      </c>
      <c r="C508" s="311" t="str">
        <f t="shared" si="9"/>
        <v/>
      </c>
      <c r="D508" s="111">
        <v>603.20000000000005</v>
      </c>
      <c r="E508" s="954"/>
      <c r="F508" s="954"/>
      <c r="G508" s="1331" t="s">
        <v>695</v>
      </c>
      <c r="H508" s="89">
        <f>'Ch6'!W255</f>
        <v>0</v>
      </c>
      <c r="I508" s="89">
        <f>'Ch6'!O255</f>
        <v>0</v>
      </c>
      <c r="J508" s="1443" t="s">
        <v>4259</v>
      </c>
    </row>
    <row r="509" spans="1:10" x14ac:dyDescent="0.3">
      <c r="A509" s="727" t="str">
        <f>A508</f>
        <v/>
      </c>
      <c r="B509" s="311" t="str">
        <f>IF(LEN('Ch6'!H256)=0,"",'Ch6'!H256)</f>
        <v/>
      </c>
      <c r="C509" s="311" t="str">
        <f t="shared" si="9"/>
        <v/>
      </c>
      <c r="D509" s="106"/>
      <c r="E509" s="204"/>
      <c r="F509" s="204"/>
      <c r="G509" s="1313"/>
      <c r="J509" s="1443"/>
    </row>
    <row r="510" spans="1:10" x14ac:dyDescent="0.3">
      <c r="A510" s="727" t="str">
        <f>A509</f>
        <v/>
      </c>
      <c r="B510" s="311" t="str">
        <f>IF(LEN('Ch6'!H257)=0,"",'Ch6'!H257)</f>
        <v/>
      </c>
      <c r="C510" s="311" t="str">
        <f t="shared" si="9"/>
        <v/>
      </c>
      <c r="D510" s="106"/>
      <c r="E510" s="204"/>
      <c r="F510" s="204"/>
      <c r="G510" s="1313"/>
      <c r="J510" s="1443"/>
    </row>
    <row r="511" spans="1:10" ht="15" customHeight="1" x14ac:dyDescent="0.3">
      <c r="B511" s="311" t="str">
        <f>IF(LEN('Ch6'!H258)=0,"",'Ch6'!H258)</f>
        <v/>
      </c>
      <c r="C511" s="311" t="str">
        <f t="shared" si="9"/>
        <v/>
      </c>
      <c r="D511" s="106"/>
      <c r="E511" s="204"/>
      <c r="F511" s="204"/>
      <c r="G511" s="701" t="s">
        <v>3260</v>
      </c>
      <c r="J511" s="989"/>
    </row>
    <row r="512" spans="1:10" ht="15" customHeight="1" x14ac:dyDescent="0.3">
      <c r="B512" s="311" t="str">
        <f>IF(LEN('Ch6'!H259)=0,"",'Ch6'!H259)</f>
        <v/>
      </c>
      <c r="C512" s="311" t="str">
        <f t="shared" si="9"/>
        <v/>
      </c>
      <c r="D512" s="106"/>
      <c r="E512" s="204"/>
      <c r="F512" s="204"/>
      <c r="G512" s="1357" t="s">
        <v>3258</v>
      </c>
      <c r="J512" s="989"/>
    </row>
    <row r="513" spans="1:10" x14ac:dyDescent="0.3">
      <c r="B513" s="311" t="str">
        <f>IF(LEN('Ch6'!H260)=0,"",'Ch6'!H260)</f>
        <v/>
      </c>
      <c r="C513" s="311" t="str">
        <f t="shared" si="9"/>
        <v/>
      </c>
      <c r="D513" s="106"/>
      <c r="E513" s="204"/>
      <c r="F513" s="204"/>
      <c r="G513" s="1358"/>
      <c r="J513" s="989"/>
    </row>
    <row r="514" spans="1:10" x14ac:dyDescent="0.3">
      <c r="B514" s="311" t="str">
        <f>IF(LEN('Ch6'!H261)=0,"",'Ch6'!H261)</f>
        <v/>
      </c>
      <c r="C514" s="311" t="str">
        <f t="shared" si="9"/>
        <v/>
      </c>
      <c r="D514" s="106"/>
      <c r="E514" s="204"/>
      <c r="F514" s="204"/>
      <c r="G514" s="1358"/>
      <c r="J514" s="989"/>
    </row>
    <row r="515" spans="1:10" ht="15.75" customHeight="1" thickTop="1" x14ac:dyDescent="0.3">
      <c r="A515" s="727" t="str">
        <f>IF(AND(LEN('Ch6'!W262)&gt;0,NOT('Ch6'!W262=FALSE)),"P","")</f>
        <v/>
      </c>
      <c r="B515" s="311" t="str">
        <f>IF(LEN('Ch6'!H262)=0,"",'Ch6'!H262)</f>
        <v/>
      </c>
      <c r="C515" s="311" t="str">
        <f t="shared" si="9"/>
        <v/>
      </c>
      <c r="D515" s="111">
        <v>603.29999999999995</v>
      </c>
      <c r="E515" s="954"/>
      <c r="F515" s="954"/>
      <c r="G515" s="1331" t="s">
        <v>696</v>
      </c>
      <c r="H515" s="89">
        <f>'Ch6'!W262</f>
        <v>0</v>
      </c>
      <c r="I515" s="89">
        <f>'Ch6'!O262</f>
        <v>0</v>
      </c>
      <c r="J515" s="1439" t="s">
        <v>4226</v>
      </c>
    </row>
    <row r="516" spans="1:10" x14ac:dyDescent="0.3">
      <c r="A516" s="727" t="str">
        <f>A515</f>
        <v/>
      </c>
      <c r="B516" s="311" t="str">
        <f>IF(LEN('Ch6'!H263)=0,"",'Ch6'!H263)</f>
        <v/>
      </c>
      <c r="C516" s="311" t="str">
        <f t="shared" si="9"/>
        <v/>
      </c>
      <c r="D516" s="106"/>
      <c r="E516" s="204"/>
      <c r="F516" s="204"/>
      <c r="G516" s="1313"/>
      <c r="J516" s="1439"/>
    </row>
    <row r="517" spans="1:10" ht="15" customHeight="1" x14ac:dyDescent="0.3">
      <c r="B517" s="311" t="str">
        <f>IF(LEN('Ch6'!H264)=0,"",'Ch6'!H264)</f>
        <v/>
      </c>
      <c r="C517" s="311" t="str">
        <f t="shared" si="9"/>
        <v/>
      </c>
      <c r="D517" s="106"/>
      <c r="E517" s="204"/>
      <c r="F517" s="204"/>
      <c r="G517" s="684" t="s">
        <v>3256</v>
      </c>
      <c r="J517" s="989"/>
    </row>
    <row r="518" spans="1:10" ht="18" x14ac:dyDescent="0.3">
      <c r="A518" s="727" t="s">
        <v>4389</v>
      </c>
      <c r="B518" s="311" t="str">
        <f>IF(LEN('Ch6'!H265)=0,"",'Ch6'!H265)</f>
        <v/>
      </c>
      <c r="C518" s="311" t="str">
        <f t="shared" si="9"/>
        <v>P</v>
      </c>
      <c r="D518" s="72" t="s">
        <v>697</v>
      </c>
      <c r="E518" s="72"/>
      <c r="F518" s="72"/>
      <c r="G518" s="259"/>
      <c r="H518" s="259"/>
      <c r="I518" s="259"/>
      <c r="J518" s="1005"/>
    </row>
    <row r="519" spans="1:10" ht="15" customHeight="1" x14ac:dyDescent="0.3">
      <c r="A519" s="727" t="str">
        <f>IF('Ch6'!O266&gt;0,"P","")</f>
        <v/>
      </c>
      <c r="B519" s="311" t="str">
        <f>IF(LEN('Ch6'!H266)=0,"",'Ch6'!H266)</f>
        <v/>
      </c>
      <c r="C519" s="311" t="str">
        <f t="shared" si="9"/>
        <v/>
      </c>
      <c r="D519" s="152">
        <v>604.1</v>
      </c>
      <c r="E519" s="919"/>
      <c r="F519" s="919"/>
      <c r="G519" s="1292" t="s">
        <v>698</v>
      </c>
      <c r="I519" s="89">
        <f>'Ch6'!O266</f>
        <v>0</v>
      </c>
      <c r="J519" s="1443" t="s">
        <v>4260</v>
      </c>
    </row>
    <row r="520" spans="1:10" x14ac:dyDescent="0.3">
      <c r="A520" s="727" t="str">
        <f>A519</f>
        <v/>
      </c>
      <c r="B520" s="311" t="str">
        <f>IF(LEN('Ch6'!H267)=0,"",'Ch6'!H267)</f>
        <v/>
      </c>
      <c r="C520" s="311" t="str">
        <f t="shared" ref="C520:C583" si="10">IF(LEN(B520)=0,IF(A520="P","P",""),B520)</f>
        <v/>
      </c>
      <c r="D520" s="152"/>
      <c r="E520" s="919"/>
      <c r="F520" s="919"/>
      <c r="G520" s="1292"/>
      <c r="H520" s="89">
        <f>'Ch6'!W267</f>
        <v>0</v>
      </c>
      <c r="J520" s="1443"/>
    </row>
    <row r="521" spans="1:10" x14ac:dyDescent="0.3">
      <c r="B521" s="311" t="str">
        <f>IF(LEN('Ch6'!H268)=0,"",'Ch6'!H268)</f>
        <v/>
      </c>
      <c r="C521" s="311" t="str">
        <f t="shared" si="10"/>
        <v/>
      </c>
      <c r="D521" s="152"/>
      <c r="E521" s="919"/>
      <c r="F521" s="919"/>
      <c r="G521" s="679" t="s">
        <v>3270</v>
      </c>
      <c r="J521" s="1001"/>
    </row>
    <row r="522" spans="1:10" x14ac:dyDescent="0.3">
      <c r="B522" s="311" t="str">
        <f>IF(LEN('Ch6'!H269)=0,"",'Ch6'!H269)</f>
        <v/>
      </c>
      <c r="C522" s="311" t="str">
        <f t="shared" si="10"/>
        <v/>
      </c>
      <c r="D522" s="152"/>
      <c r="E522" s="919"/>
      <c r="F522" s="919"/>
      <c r="G522" s="329" t="s">
        <v>3267</v>
      </c>
      <c r="H522" s="89">
        <f>'Ch6'!W269</f>
        <v>0</v>
      </c>
      <c r="J522" s="1001"/>
    </row>
    <row r="523" spans="1:10" ht="15" customHeight="1" x14ac:dyDescent="0.3">
      <c r="B523" s="311" t="str">
        <f>IF(LEN('Ch6'!H270)=0,"",'Ch6'!H270)</f>
        <v/>
      </c>
      <c r="C523" s="311" t="str">
        <f t="shared" si="10"/>
        <v/>
      </c>
      <c r="D523" s="152"/>
      <c r="E523" s="919"/>
      <c r="F523" s="919"/>
      <c r="G523" s="1349" t="s">
        <v>3269</v>
      </c>
      <c r="J523" s="1001"/>
    </row>
    <row r="524" spans="1:10" x14ac:dyDescent="0.3">
      <c r="B524" s="311" t="str">
        <f>IF(LEN('Ch6'!H271)=0,"",'Ch6'!H271)</f>
        <v/>
      </c>
      <c r="C524" s="311" t="str">
        <f t="shared" si="10"/>
        <v/>
      </c>
      <c r="D524" s="152"/>
      <c r="E524" s="919"/>
      <c r="F524" s="919"/>
      <c r="G524" s="1349"/>
      <c r="H524" s="89">
        <f>'Ch6'!W271</f>
        <v>0</v>
      </c>
      <c r="J524" s="1001"/>
    </row>
    <row r="525" spans="1:10" x14ac:dyDescent="0.3">
      <c r="B525" s="311" t="str">
        <f>IF(LEN('Ch6'!H272)=0,"",'Ch6'!H272)</f>
        <v/>
      </c>
      <c r="C525" s="311" t="str">
        <f t="shared" si="10"/>
        <v/>
      </c>
      <c r="D525" s="152"/>
      <c r="E525" s="919"/>
      <c r="F525" s="919"/>
      <c r="G525" s="677"/>
      <c r="J525" s="1001"/>
    </row>
    <row r="526" spans="1:10" x14ac:dyDescent="0.3">
      <c r="B526" s="311" t="str">
        <f>IF(LEN('Ch6'!H273)=0,"",'Ch6'!H273)</f>
        <v/>
      </c>
      <c r="C526" s="311" t="str">
        <f t="shared" si="10"/>
        <v/>
      </c>
      <c r="D526" s="152"/>
      <c r="E526" s="919"/>
      <c r="F526" s="919"/>
      <c r="G526" s="677"/>
      <c r="H526" s="89">
        <f>'Ch6'!W273</f>
        <v>0</v>
      </c>
      <c r="J526" s="1001"/>
    </row>
    <row r="527" spans="1:10" ht="18" x14ac:dyDescent="0.3">
      <c r="A527" s="727" t="s">
        <v>4389</v>
      </c>
      <c r="B527" s="311" t="str">
        <f>IF(LEN('Ch6'!H274)=0,"",'Ch6'!H274)</f>
        <v/>
      </c>
      <c r="C527" s="311" t="str">
        <f t="shared" si="10"/>
        <v>P</v>
      </c>
      <c r="D527" s="72" t="s">
        <v>699</v>
      </c>
      <c r="E527" s="72"/>
      <c r="F527" s="72"/>
      <c r="G527" s="258"/>
      <c r="H527" s="258"/>
      <c r="I527" s="258"/>
      <c r="J527" s="1007"/>
    </row>
    <row r="528" spans="1:10" ht="15" customHeight="1" x14ac:dyDescent="0.3">
      <c r="B528" s="311" t="str">
        <f>IF(LEN('Ch6'!H275)=0,"",'Ch6'!H275)</f>
        <v/>
      </c>
      <c r="C528" s="311" t="str">
        <f t="shared" si="10"/>
        <v/>
      </c>
      <c r="D528" s="925" t="s">
        <v>4435</v>
      </c>
      <c r="E528" s="919"/>
      <c r="F528" s="919"/>
      <c r="G528" s="1292" t="s">
        <v>700</v>
      </c>
      <c r="J528" s="989"/>
    </row>
    <row r="529" spans="1:10" x14ac:dyDescent="0.3">
      <c r="B529" s="311" t="str">
        <f>IF(LEN('Ch6'!H276)=0,"",'Ch6'!H276)</f>
        <v/>
      </c>
      <c r="C529" s="311" t="str">
        <f t="shared" si="10"/>
        <v/>
      </c>
      <c r="D529" s="152"/>
      <c r="E529" s="919"/>
      <c r="F529" s="919"/>
      <c r="G529" s="1292"/>
      <c r="J529" s="989"/>
    </row>
    <row r="530" spans="1:10" x14ac:dyDescent="0.3">
      <c r="B530" s="311" t="str">
        <f>IF(LEN('Ch6'!H277)=0,"",'Ch6'!H277)</f>
        <v/>
      </c>
      <c r="C530" s="311" t="str">
        <f t="shared" si="10"/>
        <v/>
      </c>
      <c r="D530" s="152"/>
      <c r="E530" s="919"/>
      <c r="F530" s="919"/>
      <c r="G530" s="681" t="s">
        <v>701</v>
      </c>
      <c r="J530" s="989"/>
    </row>
    <row r="531" spans="1:10" ht="15.75" customHeight="1" thickTop="1" x14ac:dyDescent="0.3">
      <c r="A531" s="727" t="str">
        <f>IF(AND(LEN('Ch6'!W278)&gt;0,NOT('Ch6'!W278=FALSE)),"P","")</f>
        <v/>
      </c>
      <c r="B531" s="311" t="str">
        <f>IF(LEN('Ch6'!H278)=0,"",'Ch6'!H278)</f>
        <v/>
      </c>
      <c r="C531" s="311" t="str">
        <f t="shared" si="10"/>
        <v/>
      </c>
      <c r="D531" s="111">
        <v>605.1</v>
      </c>
      <c r="E531" s="954"/>
      <c r="F531" s="954"/>
      <c r="G531" s="1331" t="s">
        <v>702</v>
      </c>
      <c r="H531" s="89">
        <f>'Ch6'!W278</f>
        <v>0</v>
      </c>
      <c r="I531" s="89">
        <f>'Ch6'!O278</f>
        <v>0</v>
      </c>
      <c r="J531" s="1443" t="s">
        <v>4261</v>
      </c>
    </row>
    <row r="532" spans="1:10" x14ac:dyDescent="0.3">
      <c r="A532" s="727" t="str">
        <f>A531</f>
        <v/>
      </c>
      <c r="B532" s="311" t="str">
        <f>IF(LEN('Ch6'!H279)=0,"",'Ch6'!H279)</f>
        <v/>
      </c>
      <c r="C532" s="311" t="str">
        <f t="shared" si="10"/>
        <v/>
      </c>
      <c r="D532" s="106"/>
      <c r="E532" s="204"/>
      <c r="F532" s="204"/>
      <c r="G532" s="1313"/>
      <c r="J532" s="1443"/>
    </row>
    <row r="533" spans="1:10" x14ac:dyDescent="0.3">
      <c r="A533" s="727" t="str">
        <f>A532</f>
        <v/>
      </c>
      <c r="B533" s="311" t="str">
        <f>IF(LEN('Ch6'!H280)=0,"",'Ch6'!H280)</f>
        <v/>
      </c>
      <c r="C533" s="311" t="str">
        <f t="shared" si="10"/>
        <v/>
      </c>
      <c r="D533" s="106"/>
      <c r="E533" s="204"/>
      <c r="F533" s="204"/>
      <c r="G533" s="1313"/>
      <c r="J533" s="1443"/>
    </row>
    <row r="534" spans="1:10" x14ac:dyDescent="0.3">
      <c r="A534" s="727" t="str">
        <f>A533</f>
        <v/>
      </c>
      <c r="B534" s="311" t="str">
        <f>IF(LEN('Ch6'!H281)=0,"",'Ch6'!H281)</f>
        <v/>
      </c>
      <c r="C534" s="311" t="str">
        <f t="shared" si="10"/>
        <v/>
      </c>
      <c r="D534" s="106"/>
      <c r="E534" s="204"/>
      <c r="F534" s="204"/>
      <c r="G534" s="1313"/>
      <c r="J534" s="1443"/>
    </row>
    <row r="535" spans="1:10" x14ac:dyDescent="0.3">
      <c r="A535" s="727" t="str">
        <f>A534</f>
        <v/>
      </c>
      <c r="B535" s="311" t="str">
        <f>IF(LEN('Ch6'!H282)=0,"",'Ch6'!H282)</f>
        <v/>
      </c>
      <c r="C535" s="311" t="str">
        <f t="shared" si="10"/>
        <v/>
      </c>
      <c r="D535" s="106"/>
      <c r="E535" s="204"/>
      <c r="F535" s="204"/>
      <c r="G535" s="1313"/>
      <c r="J535" s="1443"/>
    </row>
    <row r="536" spans="1:10" x14ac:dyDescent="0.3">
      <c r="A536" s="727" t="str">
        <f>A535</f>
        <v/>
      </c>
      <c r="B536" s="311" t="str">
        <f>IF(LEN('Ch6'!H283)=0,"",'Ch6'!H283)</f>
        <v/>
      </c>
      <c r="C536" s="311" t="str">
        <f t="shared" si="10"/>
        <v/>
      </c>
      <c r="D536" s="106"/>
      <c r="E536" s="204"/>
      <c r="F536" s="204"/>
      <c r="G536" s="1313"/>
      <c r="J536" s="1443"/>
    </row>
    <row r="537" spans="1:10" ht="15" customHeight="1" x14ac:dyDescent="0.3">
      <c r="B537" s="311" t="str">
        <f>IF(LEN('Ch6'!H284)=0,"",'Ch6'!H284)</f>
        <v/>
      </c>
      <c r="C537" s="311" t="str">
        <f t="shared" si="10"/>
        <v/>
      </c>
      <c r="D537" s="106"/>
      <c r="E537" s="204"/>
      <c r="F537" s="204"/>
      <c r="G537" s="1305" t="s">
        <v>703</v>
      </c>
      <c r="J537" s="1001"/>
    </row>
    <row r="538" spans="1:10" x14ac:dyDescent="0.3">
      <c r="B538" s="311" t="str">
        <f>IF(LEN('Ch6'!H285)=0,"",'Ch6'!H285)</f>
        <v/>
      </c>
      <c r="C538" s="311" t="str">
        <f t="shared" si="10"/>
        <v/>
      </c>
      <c r="D538" s="106"/>
      <c r="E538" s="204"/>
      <c r="F538" s="204"/>
      <c r="G538" s="1305"/>
      <c r="J538" s="1001"/>
    </row>
    <row r="539" spans="1:10" x14ac:dyDescent="0.3">
      <c r="B539" s="311" t="str">
        <f>IF(LEN('Ch6'!H286)=0,"",'Ch6'!H286)</f>
        <v/>
      </c>
      <c r="C539" s="311" t="str">
        <f t="shared" si="10"/>
        <v/>
      </c>
      <c r="D539" s="106"/>
      <c r="E539" s="204"/>
      <c r="F539" s="204"/>
      <c r="G539" s="1305"/>
      <c r="J539" s="1001"/>
    </row>
    <row r="540" spans="1:10" x14ac:dyDescent="0.3">
      <c r="B540" s="311" t="str">
        <f>IF(LEN('Ch6'!H287)=0,"",'Ch6'!H287)</f>
        <v/>
      </c>
      <c r="C540" s="311" t="str">
        <f t="shared" si="10"/>
        <v/>
      </c>
      <c r="D540" s="106"/>
      <c r="E540" s="204"/>
      <c r="F540" s="204"/>
      <c r="G540" s="1305"/>
      <c r="J540" s="1001"/>
    </row>
    <row r="541" spans="1:10" x14ac:dyDescent="0.3">
      <c r="B541" s="311" t="str">
        <f>IF(LEN('Ch6'!H288)=0,"",'Ch6'!H288)</f>
        <v/>
      </c>
      <c r="C541" s="311" t="str">
        <f t="shared" si="10"/>
        <v/>
      </c>
      <c r="D541" s="106"/>
      <c r="E541" s="204"/>
      <c r="F541" s="204"/>
      <c r="G541" s="689" t="s">
        <v>704</v>
      </c>
      <c r="J541" s="1001"/>
    </row>
    <row r="542" spans="1:10" ht="15" customHeight="1" x14ac:dyDescent="0.3">
      <c r="B542" s="311" t="str">
        <f>IF(LEN('Ch6'!H289)=0,"",'Ch6'!H289)</f>
        <v/>
      </c>
      <c r="C542" s="311" t="str">
        <f t="shared" si="10"/>
        <v/>
      </c>
      <c r="D542" s="106"/>
      <c r="E542" s="926" t="s">
        <v>271</v>
      </c>
      <c r="F542" s="204"/>
      <c r="G542" s="1305" t="s">
        <v>705</v>
      </c>
      <c r="J542" s="1001"/>
    </row>
    <row r="543" spans="1:10" x14ac:dyDescent="0.3">
      <c r="B543" s="311" t="str">
        <f>IF(LEN('Ch6'!H290)=0,"",'Ch6'!H290)</f>
        <v/>
      </c>
      <c r="C543" s="311" t="str">
        <f t="shared" si="10"/>
        <v/>
      </c>
      <c r="D543" s="106"/>
      <c r="E543" s="204"/>
      <c r="F543" s="204"/>
      <c r="G543" s="1305"/>
      <c r="J543" s="1001"/>
    </row>
    <row r="544" spans="1:10" ht="15" customHeight="1" x14ac:dyDescent="0.3">
      <c r="B544" s="311" t="str">
        <f>IF(LEN('Ch6'!H291)=0,"",'Ch6'!H291)</f>
        <v/>
      </c>
      <c r="C544" s="311" t="str">
        <f t="shared" si="10"/>
        <v/>
      </c>
      <c r="D544" s="106"/>
      <c r="E544" s="926" t="s">
        <v>273</v>
      </c>
      <c r="F544" s="204"/>
      <c r="G544" s="1305" t="s">
        <v>706</v>
      </c>
      <c r="H544" s="89">
        <f>'Ch6'!W291</f>
        <v>0</v>
      </c>
      <c r="J544" s="1001"/>
    </row>
    <row r="545" spans="1:10" x14ac:dyDescent="0.3">
      <c r="B545" s="311" t="str">
        <f>IF(LEN('Ch6'!H292)=0,"",'Ch6'!H292)</f>
        <v/>
      </c>
      <c r="C545" s="311" t="str">
        <f t="shared" si="10"/>
        <v/>
      </c>
      <c r="D545" s="106"/>
      <c r="E545" s="204"/>
      <c r="F545" s="204"/>
      <c r="G545" s="1305"/>
      <c r="J545" s="1001"/>
    </row>
    <row r="546" spans="1:10" ht="15.75" customHeight="1" thickTop="1" x14ac:dyDescent="0.3">
      <c r="A546" s="727" t="str">
        <f>IF(AND(LEN('Ch6'!W293)&gt;0,NOT('Ch6'!W293=FALSE)),"P","")</f>
        <v/>
      </c>
      <c r="B546" s="311" t="str">
        <f>IF(LEN('Ch6'!H293)=0,"",'Ch6'!H293)</f>
        <v/>
      </c>
      <c r="C546" s="311" t="str">
        <f t="shared" si="10"/>
        <v/>
      </c>
      <c r="D546" s="111">
        <v>605.20000000000005</v>
      </c>
      <c r="E546" s="954"/>
      <c r="F546" s="954"/>
      <c r="G546" s="1331" t="s">
        <v>707</v>
      </c>
      <c r="H546" s="89">
        <f>'Ch6'!W293</f>
        <v>0</v>
      </c>
      <c r="I546" s="89">
        <f>'Ch6'!O293</f>
        <v>0</v>
      </c>
      <c r="J546" s="1443" t="s">
        <v>4262</v>
      </c>
    </row>
    <row r="547" spans="1:10" x14ac:dyDescent="0.3">
      <c r="A547" s="727" t="str">
        <f>A546</f>
        <v/>
      </c>
      <c r="B547" s="311" t="str">
        <f>IF(LEN('Ch6'!H294)=0,"",'Ch6'!H294)</f>
        <v/>
      </c>
      <c r="C547" s="311" t="str">
        <f t="shared" si="10"/>
        <v/>
      </c>
      <c r="D547" s="106"/>
      <c r="E547" s="204"/>
      <c r="F547" s="204"/>
      <c r="G547" s="1313"/>
      <c r="J547" s="1443"/>
    </row>
    <row r="548" spans="1:10" ht="15" customHeight="1" x14ac:dyDescent="0.3">
      <c r="B548" s="311" t="str">
        <f>IF(LEN('Ch6'!H295)=0,"",'Ch6'!H295)</f>
        <v/>
      </c>
      <c r="C548" s="311" t="str">
        <f t="shared" si="10"/>
        <v/>
      </c>
      <c r="D548" s="106"/>
      <c r="E548" s="204"/>
      <c r="F548" s="926" t="s">
        <v>121</v>
      </c>
      <c r="G548" s="1305" t="s">
        <v>708</v>
      </c>
      <c r="J548" s="1001"/>
    </row>
    <row r="549" spans="1:10" x14ac:dyDescent="0.3">
      <c r="B549" s="311" t="str">
        <f>IF(LEN('Ch6'!H296)=0,"",'Ch6'!H296)</f>
        <v/>
      </c>
      <c r="C549" s="311" t="str">
        <f t="shared" si="10"/>
        <v/>
      </c>
      <c r="D549" s="106"/>
      <c r="E549" s="204"/>
      <c r="F549" s="204"/>
      <c r="G549" s="1305"/>
      <c r="J549" s="1001"/>
    </row>
    <row r="550" spans="1:10" x14ac:dyDescent="0.3">
      <c r="B550" s="311" t="str">
        <f>IF(LEN('Ch6'!H297)=0,"",'Ch6'!H297)</f>
        <v/>
      </c>
      <c r="C550" s="311" t="str">
        <f t="shared" si="10"/>
        <v/>
      </c>
      <c r="D550" s="106"/>
      <c r="E550" s="204"/>
      <c r="F550" s="232"/>
      <c r="G550" s="1306"/>
      <c r="J550" s="1001"/>
    </row>
    <row r="551" spans="1:10" x14ac:dyDescent="0.3">
      <c r="B551" s="311" t="str">
        <f>IF(LEN('Ch6'!H298)=0,"",'Ch6'!H298)</f>
        <v/>
      </c>
      <c r="C551" s="311" t="str">
        <f t="shared" si="10"/>
        <v/>
      </c>
      <c r="D551" s="106"/>
      <c r="E551" s="204"/>
      <c r="F551" s="955" t="s">
        <v>122</v>
      </c>
      <c r="G551" s="365" t="s">
        <v>709</v>
      </c>
      <c r="J551" s="1001"/>
    </row>
    <row r="552" spans="1:10" ht="15" customHeight="1" x14ac:dyDescent="0.3">
      <c r="B552" s="311" t="str">
        <f>IF(LEN('Ch6'!H299)=0,"",'Ch6'!H299)</f>
        <v/>
      </c>
      <c r="C552" s="311" t="str">
        <f t="shared" si="10"/>
        <v/>
      </c>
      <c r="D552" s="106"/>
      <c r="E552" s="204"/>
      <c r="F552" s="951" t="s">
        <v>123</v>
      </c>
      <c r="G552" s="1305" t="s">
        <v>710</v>
      </c>
      <c r="J552" s="1001"/>
    </row>
    <row r="553" spans="1:10" x14ac:dyDescent="0.3">
      <c r="B553" s="311" t="str">
        <f>IF(LEN('Ch6'!H300)=0,"",'Ch6'!H300)</f>
        <v/>
      </c>
      <c r="C553" s="311" t="str">
        <f t="shared" si="10"/>
        <v/>
      </c>
      <c r="D553" s="106"/>
      <c r="E553" s="204"/>
      <c r="F553" s="106"/>
      <c r="G553" s="1305"/>
      <c r="J553" s="1001"/>
    </row>
    <row r="554" spans="1:10" x14ac:dyDescent="0.3">
      <c r="B554" s="311" t="str">
        <f>IF(LEN('Ch6'!H301)=0,"",'Ch6'!H301)</f>
        <v/>
      </c>
      <c r="C554" s="311" t="str">
        <f t="shared" si="10"/>
        <v/>
      </c>
      <c r="D554" s="106"/>
      <c r="E554" s="204"/>
      <c r="F554" s="204"/>
      <c r="G554" s="1305"/>
      <c r="J554" s="1001"/>
    </row>
    <row r="555" spans="1:10" ht="15.75" customHeight="1" thickTop="1" x14ac:dyDescent="0.3">
      <c r="A555" s="727" t="str">
        <f>IF('Ch6'!O302&gt;0,"P","")</f>
        <v>P</v>
      </c>
      <c r="B555" s="311" t="str">
        <f>IF(LEN('Ch6'!H302)=0,"",'Ch6'!H302)</f>
        <v/>
      </c>
      <c r="C555" s="311" t="str">
        <f t="shared" si="10"/>
        <v>P</v>
      </c>
      <c r="D555" s="111">
        <v>605.29999999999995</v>
      </c>
      <c r="E555" s="954"/>
      <c r="F555" s="954"/>
      <c r="G555" s="1331" t="s">
        <v>711</v>
      </c>
      <c r="I555" s="89">
        <f>'Ch6'!O302</f>
        <v>4</v>
      </c>
      <c r="J555" s="1443" t="s">
        <v>4263</v>
      </c>
    </row>
    <row r="556" spans="1:10" x14ac:dyDescent="0.3">
      <c r="A556" s="727" t="str">
        <f>A555</f>
        <v>P</v>
      </c>
      <c r="B556" s="311" t="str">
        <f>IF(LEN('Ch6'!H303)=0,"",'Ch6'!H303)</f>
        <v/>
      </c>
      <c r="C556" s="311" t="str">
        <f t="shared" si="10"/>
        <v>P</v>
      </c>
      <c r="D556" s="106"/>
      <c r="E556" s="204"/>
      <c r="F556" s="204"/>
      <c r="G556" s="1313"/>
      <c r="J556" s="1443"/>
    </row>
    <row r="557" spans="1:10" x14ac:dyDescent="0.3">
      <c r="B557" s="311" t="str">
        <f>IF(LEN('Ch6'!H304)=0,"",'Ch6'!H304)</f>
        <v/>
      </c>
      <c r="C557" s="311" t="str">
        <f t="shared" si="10"/>
        <v/>
      </c>
      <c r="D557" s="152"/>
      <c r="E557" s="946" t="s">
        <v>271</v>
      </c>
      <c r="F557" s="232"/>
      <c r="G557" s="676" t="s">
        <v>713</v>
      </c>
      <c r="J557" s="989"/>
    </row>
    <row r="558" spans="1:10" x14ac:dyDescent="0.3">
      <c r="B558" s="311" t="str">
        <f>IF(LEN('Ch6'!H305)=0,"",'Ch6'!H305)</f>
        <v/>
      </c>
      <c r="C558" s="311" t="str">
        <f t="shared" si="10"/>
        <v/>
      </c>
      <c r="D558" s="152"/>
      <c r="E558" s="925" t="s">
        <v>273</v>
      </c>
      <c r="F558" s="919"/>
      <c r="G558" s="682" t="s">
        <v>714</v>
      </c>
      <c r="J558" s="989"/>
    </row>
    <row r="559" spans="1:10" ht="15" customHeight="1" x14ac:dyDescent="0.3">
      <c r="B559" s="311" t="str">
        <f>IF(LEN('Ch6'!H306)=0,"",'Ch6'!H306)</f>
        <v/>
      </c>
      <c r="C559" s="311" t="str">
        <f t="shared" si="10"/>
        <v/>
      </c>
      <c r="D559" s="152"/>
      <c r="E559" s="919"/>
      <c r="F559" s="946" t="s">
        <v>121</v>
      </c>
      <c r="G559" s="676" t="s">
        <v>3271</v>
      </c>
      <c r="H559" s="89" t="b">
        <f>'Ch6'!W306</f>
        <v>1</v>
      </c>
      <c r="J559" s="996"/>
    </row>
    <row r="560" spans="1:10" x14ac:dyDescent="0.3">
      <c r="B560" s="311" t="str">
        <f>IF(LEN('Ch6'!H307)=0,"",'Ch6'!H307)</f>
        <v/>
      </c>
      <c r="C560" s="311" t="str">
        <f t="shared" si="10"/>
        <v/>
      </c>
      <c r="D560" s="152"/>
      <c r="E560" s="919"/>
      <c r="F560" s="955" t="s">
        <v>122</v>
      </c>
      <c r="G560" s="365" t="s">
        <v>3272</v>
      </c>
      <c r="H560" s="89" t="b">
        <f>'Ch6'!W307</f>
        <v>1</v>
      </c>
      <c r="J560" s="996"/>
    </row>
    <row r="561" spans="1:10" x14ac:dyDescent="0.3">
      <c r="B561" s="311" t="str">
        <f>IF(LEN('Ch6'!H308)=0,"",'Ch6'!H308)</f>
        <v/>
      </c>
      <c r="C561" s="311" t="str">
        <f t="shared" si="10"/>
        <v/>
      </c>
      <c r="D561" s="152"/>
      <c r="E561" s="919"/>
      <c r="F561" s="960" t="s">
        <v>123</v>
      </c>
      <c r="G561" s="365" t="s">
        <v>3273</v>
      </c>
      <c r="H561" s="89" t="b">
        <f>'Ch6'!W308</f>
        <v>1</v>
      </c>
      <c r="J561" s="1001"/>
    </row>
    <row r="562" spans="1:10" x14ac:dyDescent="0.3">
      <c r="B562" s="311" t="str">
        <f>IF(LEN('Ch6'!H309)=0,"",'Ch6'!H309)</f>
        <v/>
      </c>
      <c r="C562" s="311" t="str">
        <f t="shared" si="10"/>
        <v/>
      </c>
      <c r="D562" s="152"/>
      <c r="E562" s="919"/>
      <c r="F562" s="944" t="s">
        <v>423</v>
      </c>
      <c r="G562" s="365" t="s">
        <v>3274</v>
      </c>
      <c r="H562" s="89">
        <f>'Ch6'!W309</f>
        <v>0</v>
      </c>
      <c r="J562" s="1001"/>
    </row>
    <row r="563" spans="1:10" x14ac:dyDescent="0.3">
      <c r="B563" s="311" t="str">
        <f>IF(LEN('Ch6'!H310)=0,"",'Ch6'!H310)</f>
        <v/>
      </c>
      <c r="C563" s="311" t="str">
        <f t="shared" si="10"/>
        <v/>
      </c>
      <c r="D563" s="152"/>
      <c r="E563" s="919"/>
      <c r="F563" s="955" t="s">
        <v>578</v>
      </c>
      <c r="G563" s="365" t="s">
        <v>3275</v>
      </c>
      <c r="H563" s="89">
        <f>'Ch6'!W310</f>
        <v>0</v>
      </c>
      <c r="J563" s="1001"/>
    </row>
    <row r="564" spans="1:10" x14ac:dyDescent="0.3">
      <c r="B564" s="311" t="str">
        <f>IF(LEN('Ch6'!H311)=0,"",'Ch6'!H311)</f>
        <v/>
      </c>
      <c r="C564" s="311" t="str">
        <f t="shared" si="10"/>
        <v/>
      </c>
      <c r="D564" s="152"/>
      <c r="E564" s="919"/>
      <c r="F564" s="955" t="s">
        <v>645</v>
      </c>
      <c r="G564" s="365" t="s">
        <v>3276</v>
      </c>
      <c r="H564" s="89">
        <f>'Ch6'!W311</f>
        <v>0</v>
      </c>
      <c r="J564" s="1001"/>
    </row>
    <row r="565" spans="1:10" x14ac:dyDescent="0.3">
      <c r="B565" s="311" t="str">
        <f>IF(LEN('Ch6'!H312)=0,"",'Ch6'!H312)</f>
        <v/>
      </c>
      <c r="C565" s="311" t="str">
        <f t="shared" si="10"/>
        <v/>
      </c>
      <c r="D565" s="152"/>
      <c r="E565" s="919"/>
      <c r="F565" s="960" t="s">
        <v>647</v>
      </c>
      <c r="G565" s="365" t="s">
        <v>3277</v>
      </c>
      <c r="H565" s="89">
        <f>'Ch6'!W312</f>
        <v>0</v>
      </c>
      <c r="J565" s="1001"/>
    </row>
    <row r="566" spans="1:10" x14ac:dyDescent="0.3">
      <c r="B566" s="311" t="str">
        <f>IF(LEN('Ch6'!H313)=0,"",'Ch6'!H313)</f>
        <v/>
      </c>
      <c r="C566" s="311" t="str">
        <f t="shared" si="10"/>
        <v/>
      </c>
      <c r="D566" s="152"/>
      <c r="F566" s="944" t="s">
        <v>649</v>
      </c>
      <c r="G566" s="365" t="s">
        <v>3278</v>
      </c>
      <c r="H566" s="89">
        <f>'Ch6'!W313</f>
        <v>0</v>
      </c>
      <c r="J566" s="1001"/>
    </row>
    <row r="567" spans="1:10" x14ac:dyDescent="0.3">
      <c r="B567" s="311" t="str">
        <f>IF(LEN('Ch6'!H314)=0,"",'Ch6'!H314)</f>
        <v/>
      </c>
      <c r="C567" s="311" t="str">
        <f t="shared" si="10"/>
        <v/>
      </c>
      <c r="D567" s="152"/>
      <c r="F567" s="152" t="s">
        <v>985</v>
      </c>
      <c r="G567" s="682" t="s">
        <v>3278</v>
      </c>
      <c r="H567" s="89">
        <f>'Ch6'!W314</f>
        <v>0</v>
      </c>
      <c r="J567" s="1001"/>
    </row>
    <row r="568" spans="1:10" x14ac:dyDescent="0.3">
      <c r="B568" s="311" t="str">
        <f>IF(LEN('Ch6'!H315)=0,"",'Ch6'!H315)</f>
        <v/>
      </c>
      <c r="C568" s="311" t="str">
        <f t="shared" si="10"/>
        <v/>
      </c>
      <c r="D568" s="152"/>
      <c r="F568" s="152"/>
      <c r="G568" s="679" t="s">
        <v>3279</v>
      </c>
      <c r="J568" s="989"/>
    </row>
    <row r="569" spans="1:10" ht="18" x14ac:dyDescent="0.3">
      <c r="A569" s="727" t="s">
        <v>4389</v>
      </c>
      <c r="B569" s="311" t="str">
        <f>IF(LEN('Ch6'!H316)=0,"",'Ch6'!H316)</f>
        <v/>
      </c>
      <c r="C569" s="311" t="str">
        <f t="shared" si="10"/>
        <v>P</v>
      </c>
      <c r="D569" s="72" t="s">
        <v>715</v>
      </c>
      <c r="E569" s="72"/>
      <c r="F569" s="72"/>
      <c r="G569" s="259"/>
      <c r="H569" s="259"/>
      <c r="I569" s="259"/>
      <c r="J569" s="1005"/>
    </row>
    <row r="570" spans="1:10" ht="15" thickBot="1" x14ac:dyDescent="0.35">
      <c r="B570" s="311" t="str">
        <f>IF(LEN('Ch6'!H317)=0,"",'Ch6'!H317)</f>
        <v/>
      </c>
      <c r="C570" s="311" t="str">
        <f t="shared" si="10"/>
        <v/>
      </c>
      <c r="D570" s="925" t="s">
        <v>4434</v>
      </c>
      <c r="E570" s="919"/>
      <c r="F570" s="919"/>
      <c r="G570" s="687" t="s">
        <v>716</v>
      </c>
      <c r="J570" s="989"/>
    </row>
    <row r="571" spans="1:10" ht="28.2" thickTop="1" x14ac:dyDescent="0.3">
      <c r="A571" s="727" t="str">
        <f ca="1">IF('Ch6'!O318&gt;0,"P","")</f>
        <v>P</v>
      </c>
      <c r="B571" s="311" t="str">
        <f>IF(LEN('Ch6'!H318)=0,"",'Ch6'!H318)</f>
        <v/>
      </c>
      <c r="C571" s="311" t="str">
        <f t="shared" ca="1" si="10"/>
        <v>P</v>
      </c>
      <c r="D571" s="111">
        <v>606.1</v>
      </c>
      <c r="E571" s="954"/>
      <c r="F571" s="954"/>
      <c r="G571" s="697" t="s">
        <v>717</v>
      </c>
      <c r="I571" s="89">
        <f ca="1">'Ch6'!O318</f>
        <v>6</v>
      </c>
      <c r="J571" s="1001" t="s">
        <v>4264</v>
      </c>
    </row>
    <row r="572" spans="1:10" ht="15" customHeight="1" x14ac:dyDescent="0.3">
      <c r="B572" s="311" t="str">
        <f>IF(LEN('Ch6'!H319)=0,"",'Ch6'!H319)</f>
        <v/>
      </c>
      <c r="C572" s="311" t="str">
        <f t="shared" si="10"/>
        <v/>
      </c>
      <c r="D572" s="106"/>
      <c r="E572" s="204"/>
      <c r="F572" s="926" t="s">
        <v>121</v>
      </c>
      <c r="G572" s="675" t="s">
        <v>718</v>
      </c>
      <c r="H572" s="89">
        <f>'Ch6'!W319</f>
        <v>0</v>
      </c>
      <c r="J572" s="996"/>
    </row>
    <row r="573" spans="1:10" x14ac:dyDescent="0.3">
      <c r="B573" s="311" t="str">
        <f>IF(LEN('Ch6'!H320)=0,"",'Ch6'!H320)</f>
        <v/>
      </c>
      <c r="C573" s="311" t="str">
        <f t="shared" si="10"/>
        <v/>
      </c>
      <c r="D573" s="106"/>
      <c r="E573" s="204"/>
      <c r="F573" s="926" t="s">
        <v>122</v>
      </c>
      <c r="G573" s="675" t="s">
        <v>719</v>
      </c>
      <c r="H573" s="89" t="str">
        <f>'Ch6'!W320</f>
        <v>more than 1%</v>
      </c>
      <c r="J573" s="1001"/>
    </row>
    <row r="574" spans="1:10" x14ac:dyDescent="0.3">
      <c r="B574" s="311" t="str">
        <f>IF(LEN('Ch6'!H321)=0,"",'Ch6'!H321)</f>
        <v/>
      </c>
      <c r="C574" s="311" t="str">
        <f t="shared" si="10"/>
        <v/>
      </c>
      <c r="D574" s="106"/>
      <c r="E574" s="204"/>
      <c r="F574" s="951" t="s">
        <v>123</v>
      </c>
      <c r="G574" s="675" t="s">
        <v>720</v>
      </c>
      <c r="H574" s="89" t="str">
        <f>'Ch6'!W321</f>
        <v>more than 1%</v>
      </c>
      <c r="J574" s="1001"/>
    </row>
    <row r="575" spans="1:10" x14ac:dyDescent="0.3">
      <c r="B575" s="311" t="str">
        <f>IF(LEN('Ch6'!H322)=0,"",'Ch6'!H322)</f>
        <v/>
      </c>
      <c r="C575" s="311" t="str">
        <f t="shared" si="10"/>
        <v/>
      </c>
      <c r="D575" s="106"/>
      <c r="E575" s="204"/>
      <c r="F575" s="106" t="s">
        <v>423</v>
      </c>
      <c r="G575" s="675" t="s">
        <v>721</v>
      </c>
      <c r="H575" s="89">
        <f>'Ch6'!W322</f>
        <v>0</v>
      </c>
      <c r="J575" s="1001"/>
    </row>
    <row r="576" spans="1:10" x14ac:dyDescent="0.3">
      <c r="B576" s="311" t="str">
        <f>IF(LEN('Ch6'!H323)=0,"",'Ch6'!H323)</f>
        <v/>
      </c>
      <c r="C576" s="311" t="str">
        <f t="shared" si="10"/>
        <v/>
      </c>
      <c r="D576" s="106"/>
      <c r="E576" s="204"/>
      <c r="F576" s="926" t="s">
        <v>578</v>
      </c>
      <c r="G576" s="675" t="s">
        <v>722</v>
      </c>
      <c r="H576" s="89">
        <f>'Ch6'!W323</f>
        <v>0</v>
      </c>
      <c r="J576" s="1001"/>
    </row>
    <row r="577" spans="1:10" x14ac:dyDescent="0.3">
      <c r="B577" s="311" t="str">
        <f>IF(LEN('Ch6'!H324)=0,"",'Ch6'!H324)</f>
        <v/>
      </c>
      <c r="C577" s="311" t="str">
        <f t="shared" si="10"/>
        <v/>
      </c>
      <c r="D577" s="106"/>
      <c r="E577" s="204"/>
      <c r="F577" s="926" t="s">
        <v>645</v>
      </c>
      <c r="G577" s="675" t="s">
        <v>723</v>
      </c>
      <c r="H577" s="89">
        <f>'Ch6'!W324</f>
        <v>0</v>
      </c>
      <c r="J577" s="1001"/>
    </row>
    <row r="578" spans="1:10" x14ac:dyDescent="0.3">
      <c r="B578" s="311" t="str">
        <f>IF(LEN('Ch6'!H325)=0,"",'Ch6'!H325)</f>
        <v/>
      </c>
      <c r="C578" s="311" t="str">
        <f t="shared" si="10"/>
        <v/>
      </c>
      <c r="D578" s="106"/>
      <c r="E578" s="204"/>
      <c r="F578" s="951" t="s">
        <v>647</v>
      </c>
      <c r="G578" s="675" t="s">
        <v>724</v>
      </c>
      <c r="H578" s="89">
        <f>'Ch6'!W325</f>
        <v>0</v>
      </c>
      <c r="J578" s="1001"/>
    </row>
    <row r="579" spans="1:10" ht="15" customHeight="1" x14ac:dyDescent="0.3">
      <c r="B579" s="311" t="str">
        <f>IF(LEN('Ch6'!H326)=0,"",'Ch6'!H326)</f>
        <v/>
      </c>
      <c r="C579" s="311" t="str">
        <f t="shared" si="10"/>
        <v/>
      </c>
      <c r="D579" s="106"/>
      <c r="E579" s="204"/>
      <c r="F579" s="106" t="s">
        <v>649</v>
      </c>
      <c r="G579" s="1305" t="s">
        <v>725</v>
      </c>
      <c r="H579" s="89">
        <f>'Ch6'!W326</f>
        <v>0</v>
      </c>
      <c r="J579" s="1001"/>
    </row>
    <row r="580" spans="1:10" x14ac:dyDescent="0.3">
      <c r="B580" s="311" t="str">
        <f>IF(LEN('Ch6'!H327)=0,"",'Ch6'!H327)</f>
        <v/>
      </c>
      <c r="C580" s="311" t="str">
        <f t="shared" si="10"/>
        <v/>
      </c>
      <c r="D580" s="106"/>
      <c r="E580" s="204"/>
      <c r="F580" s="106"/>
      <c r="G580" s="1305"/>
      <c r="J580" s="1001"/>
    </row>
    <row r="581" spans="1:10" x14ac:dyDescent="0.3">
      <c r="B581" s="311" t="str">
        <f>IF(LEN('Ch6'!H328)=0,"",'Ch6'!H328)</f>
        <v/>
      </c>
      <c r="C581" s="311" t="str">
        <f t="shared" si="10"/>
        <v/>
      </c>
      <c r="D581" s="106"/>
      <c r="E581" s="204"/>
      <c r="F581" s="106"/>
      <c r="G581" s="684" t="s">
        <v>1305</v>
      </c>
      <c r="J581" s="989"/>
    </row>
    <row r="582" spans="1:10" ht="15" customHeight="1" x14ac:dyDescent="0.3">
      <c r="B582" s="311" t="str">
        <f>IF(LEN('Ch6'!H329)=0,"",'Ch6'!H329)</f>
        <v/>
      </c>
      <c r="C582" s="311" t="str">
        <f t="shared" si="10"/>
        <v/>
      </c>
      <c r="D582" s="106"/>
      <c r="E582" s="926" t="s">
        <v>271</v>
      </c>
      <c r="F582" s="204"/>
      <c r="G582" s="1305" t="s">
        <v>726</v>
      </c>
      <c r="J582" s="989"/>
    </row>
    <row r="583" spans="1:10" x14ac:dyDescent="0.3">
      <c r="B583" s="311" t="str">
        <f>IF(LEN('Ch6'!H330)=0,"",'Ch6'!H330)</f>
        <v/>
      </c>
      <c r="C583" s="311" t="str">
        <f t="shared" si="10"/>
        <v/>
      </c>
      <c r="D583" s="106"/>
      <c r="E583" s="232"/>
      <c r="F583" s="232"/>
      <c r="G583" s="1306"/>
      <c r="J583" s="989"/>
    </row>
    <row r="584" spans="1:10" ht="15" customHeight="1" x14ac:dyDescent="0.3">
      <c r="B584" s="311" t="str">
        <f>IF(LEN('Ch6'!H331)=0,"",'Ch6'!H331)</f>
        <v/>
      </c>
      <c r="C584" s="311" t="str">
        <f t="shared" ref="C584:C647" si="11">IF(LEN(B584)=0,IF(A584="P","P",""),B584)</f>
        <v/>
      </c>
      <c r="D584" s="106"/>
      <c r="E584" s="958" t="s">
        <v>273</v>
      </c>
      <c r="F584" s="959"/>
      <c r="G584" s="1356" t="s">
        <v>727</v>
      </c>
      <c r="J584" s="989"/>
    </row>
    <row r="585" spans="1:10" x14ac:dyDescent="0.3">
      <c r="B585" s="311" t="str">
        <f>IF(LEN('Ch6'!H332)=0,"",'Ch6'!H332)</f>
        <v/>
      </c>
      <c r="C585" s="311" t="str">
        <f t="shared" si="11"/>
        <v/>
      </c>
      <c r="D585" s="106"/>
      <c r="E585" s="232"/>
      <c r="F585" s="232"/>
      <c r="G585" s="1306"/>
      <c r="J585" s="989"/>
    </row>
    <row r="586" spans="1:10" ht="15" customHeight="1" x14ac:dyDescent="0.3">
      <c r="B586" s="311" t="str">
        <f>IF(LEN('Ch6'!H333)=0,"",'Ch6'!H333)</f>
        <v/>
      </c>
      <c r="C586" s="311" t="str">
        <f t="shared" si="11"/>
        <v/>
      </c>
      <c r="D586" s="106"/>
      <c r="E586" s="926" t="s">
        <v>275</v>
      </c>
      <c r="F586" s="204"/>
      <c r="G586" s="1305" t="s">
        <v>728</v>
      </c>
      <c r="J586" s="989"/>
    </row>
    <row r="587" spans="1:10" x14ac:dyDescent="0.3">
      <c r="B587" s="311" t="str">
        <f>IF(LEN('Ch6'!H334)=0,"",'Ch6'!H334)</f>
        <v/>
      </c>
      <c r="C587" s="311" t="str">
        <f t="shared" si="11"/>
        <v/>
      </c>
      <c r="D587" s="106"/>
      <c r="E587" s="204"/>
      <c r="F587" s="204"/>
      <c r="G587" s="1305"/>
      <c r="J587" s="989"/>
    </row>
    <row r="588" spans="1:10" ht="15.75" customHeight="1" thickTop="1" x14ac:dyDescent="0.3">
      <c r="A588" s="727" t="str">
        <f>IF(SUM(I599:I602)&gt;0,"P","")</f>
        <v>P</v>
      </c>
      <c r="B588" s="311" t="str">
        <f>IF(LEN('Ch6'!H335)=0,"",'Ch6'!H335)</f>
        <v/>
      </c>
      <c r="C588" s="311" t="str">
        <f t="shared" si="11"/>
        <v>P</v>
      </c>
      <c r="D588" s="111">
        <v>606.20000000000005</v>
      </c>
      <c r="E588" s="954"/>
      <c r="F588" s="954"/>
      <c r="G588" s="1331" t="s">
        <v>729</v>
      </c>
      <c r="J588" s="1443" t="s">
        <v>4265</v>
      </c>
    </row>
    <row r="589" spans="1:10" x14ac:dyDescent="0.3">
      <c r="A589" s="727" t="str">
        <f>A588</f>
        <v>P</v>
      </c>
      <c r="B589" s="311" t="str">
        <f>IF(LEN('Ch6'!H336)=0,"",'Ch6'!H336)</f>
        <v/>
      </c>
      <c r="C589" s="311" t="str">
        <f t="shared" si="11"/>
        <v>P</v>
      </c>
      <c r="D589" s="106"/>
      <c r="E589" s="204"/>
      <c r="F589" s="204"/>
      <c r="G589" s="1313"/>
      <c r="J589" s="1443"/>
    </row>
    <row r="590" spans="1:10" x14ac:dyDescent="0.3">
      <c r="B590" s="311" t="str">
        <f>IF(LEN('Ch6'!H337)=0,"",'Ch6'!H337)</f>
        <v/>
      </c>
      <c r="C590" s="311" t="str">
        <f t="shared" si="11"/>
        <v/>
      </c>
      <c r="D590" s="152"/>
      <c r="E590" s="919"/>
      <c r="F590" s="925" t="s">
        <v>121</v>
      </c>
      <c r="G590" s="682" t="s">
        <v>730</v>
      </c>
      <c r="J590" s="1001"/>
    </row>
    <row r="591" spans="1:10" ht="15" customHeight="1" x14ac:dyDescent="0.3">
      <c r="B591" s="311" t="str">
        <f>IF(LEN('Ch6'!H338)=0,"",'Ch6'!H338)</f>
        <v/>
      </c>
      <c r="C591" s="311" t="str">
        <f t="shared" si="11"/>
        <v/>
      </c>
      <c r="D591" s="152"/>
      <c r="E591" s="919"/>
      <c r="F591" s="925" t="s">
        <v>122</v>
      </c>
      <c r="G591" s="1329" t="s">
        <v>731</v>
      </c>
      <c r="J591" s="1001"/>
    </row>
    <row r="592" spans="1:10" x14ac:dyDescent="0.3">
      <c r="B592" s="311" t="str">
        <f>IF(LEN('Ch6'!H339)=0,"",'Ch6'!H339)</f>
        <v/>
      </c>
      <c r="C592" s="311" t="str">
        <f t="shared" si="11"/>
        <v/>
      </c>
      <c r="D592" s="152"/>
      <c r="E592" s="919"/>
      <c r="F592" s="925"/>
      <c r="G592" s="1329"/>
      <c r="J592" s="1001"/>
    </row>
    <row r="593" spans="1:10" x14ac:dyDescent="0.3">
      <c r="B593" s="311" t="str">
        <f>IF(LEN('Ch6'!H340)=0,"",'Ch6'!H340)</f>
        <v/>
      </c>
      <c r="C593" s="311" t="str">
        <f t="shared" si="11"/>
        <v/>
      </c>
      <c r="D593" s="152"/>
      <c r="E593" s="919"/>
      <c r="F593" s="925" t="s">
        <v>123</v>
      </c>
      <c r="G593" s="263" t="s">
        <v>732</v>
      </c>
      <c r="J593" s="989"/>
    </row>
    <row r="594" spans="1:10" x14ac:dyDescent="0.3">
      <c r="B594" s="311" t="str">
        <f>IF(LEN('Ch6'!H341)=0,"",'Ch6'!H341)</f>
        <v/>
      </c>
      <c r="C594" s="311" t="str">
        <f t="shared" si="11"/>
        <v/>
      </c>
      <c r="D594" s="152"/>
      <c r="E594" s="919"/>
      <c r="F594" s="947" t="s">
        <v>423</v>
      </c>
      <c r="G594" s="263" t="s">
        <v>733</v>
      </c>
      <c r="J594" s="989"/>
    </row>
    <row r="595" spans="1:10" x14ac:dyDescent="0.3">
      <c r="B595" s="311" t="str">
        <f>IF(LEN('Ch6'!H342)=0,"",'Ch6'!H342)</f>
        <v/>
      </c>
      <c r="C595" s="311" t="str">
        <f t="shared" si="11"/>
        <v/>
      </c>
      <c r="D595" s="152"/>
      <c r="E595" s="919"/>
      <c r="F595" s="152" t="s">
        <v>578</v>
      </c>
      <c r="G595" s="263" t="s">
        <v>734</v>
      </c>
      <c r="J595" s="989"/>
    </row>
    <row r="596" spans="1:10" x14ac:dyDescent="0.3">
      <c r="B596" s="311" t="str">
        <f>IF(LEN('Ch6'!H343)=0,"",'Ch6'!H343)</f>
        <v/>
      </c>
      <c r="C596" s="311" t="str">
        <f t="shared" si="11"/>
        <v/>
      </c>
      <c r="D596" s="152"/>
      <c r="E596" s="919"/>
      <c r="F596" s="925" t="s">
        <v>645</v>
      </c>
      <c r="G596" s="682" t="s">
        <v>735</v>
      </c>
      <c r="J596" s="989"/>
    </row>
    <row r="597" spans="1:10" x14ac:dyDescent="0.3">
      <c r="B597" s="311" t="str">
        <f>IF(LEN('Ch6'!H344)=0,"",'Ch6'!H344)</f>
        <v/>
      </c>
      <c r="C597" s="311" t="str">
        <f t="shared" si="11"/>
        <v/>
      </c>
      <c r="D597" s="152"/>
      <c r="E597" s="919"/>
      <c r="F597" s="925" t="s">
        <v>647</v>
      </c>
      <c r="G597" s="682" t="s">
        <v>736</v>
      </c>
      <c r="J597" s="989"/>
    </row>
    <row r="598" spans="1:10" x14ac:dyDescent="0.3">
      <c r="B598" s="311" t="str">
        <f>IF(LEN('Ch6'!H345)=0,"",'Ch6'!H345)</f>
        <v/>
      </c>
      <c r="C598" s="311" t="str">
        <f t="shared" si="11"/>
        <v/>
      </c>
      <c r="D598" s="152"/>
      <c r="E598" s="919"/>
      <c r="F598" s="925" t="s">
        <v>649</v>
      </c>
      <c r="G598" s="682" t="s">
        <v>3283</v>
      </c>
      <c r="J598" s="989"/>
    </row>
    <row r="599" spans="1:10" ht="15" customHeight="1" x14ac:dyDescent="0.3">
      <c r="B599" s="311" t="str">
        <f>IF(LEN('Ch6'!H346)=0,"",'Ch6'!H346)</f>
        <v/>
      </c>
      <c r="C599" s="311" t="str">
        <f t="shared" si="11"/>
        <v/>
      </c>
      <c r="D599" s="152"/>
      <c r="E599" s="926" t="s">
        <v>271</v>
      </c>
      <c r="F599" s="204"/>
      <c r="G599" s="1305" t="s">
        <v>737</v>
      </c>
      <c r="H599" s="89">
        <f>'Ch6'!W346</f>
        <v>0</v>
      </c>
      <c r="I599" s="89">
        <f>'Ch6'!O346</f>
        <v>0</v>
      </c>
      <c r="J599" s="996"/>
    </row>
    <row r="600" spans="1:10" x14ac:dyDescent="0.3">
      <c r="B600" s="311" t="str">
        <f>IF(LEN('Ch6'!H347)=0,"",'Ch6'!H347)</f>
        <v/>
      </c>
      <c r="C600" s="311" t="str">
        <f t="shared" si="11"/>
        <v/>
      </c>
      <c r="D600" s="152"/>
      <c r="E600" s="926"/>
      <c r="F600" s="204"/>
      <c r="G600" s="1305"/>
      <c r="H600" s="89">
        <f>'Ch6'!W347</f>
        <v>0</v>
      </c>
      <c r="J600" s="996"/>
    </row>
    <row r="601" spans="1:10" x14ac:dyDescent="0.3">
      <c r="B601" s="311" t="str">
        <f>IF(LEN('Ch6'!H348)=0,"",'Ch6'!H348)</f>
        <v/>
      </c>
      <c r="C601" s="311" t="str">
        <f t="shared" si="11"/>
        <v/>
      </c>
      <c r="D601" s="152"/>
      <c r="E601" s="946"/>
      <c r="F601" s="232"/>
      <c r="G601" s="685" t="s">
        <v>3285</v>
      </c>
      <c r="J601" s="996"/>
    </row>
    <row r="602" spans="1:10" ht="15" customHeight="1" x14ac:dyDescent="0.3">
      <c r="B602" s="311" t="str">
        <f>IF(LEN('Ch6'!H349)=0,"",'Ch6'!H349)</f>
        <v/>
      </c>
      <c r="C602" s="311" t="str">
        <f t="shared" si="11"/>
        <v/>
      </c>
      <c r="D602" s="152"/>
      <c r="E602" s="925" t="s">
        <v>273</v>
      </c>
      <c r="F602" s="919"/>
      <c r="G602" s="1329" t="s">
        <v>738</v>
      </c>
      <c r="H602" s="89" t="str">
        <f>'Ch6'!W349</f>
        <v>SFI</v>
      </c>
      <c r="I602" s="89">
        <f>'Ch6'!O349</f>
        <v>4</v>
      </c>
      <c r="J602" s="996"/>
    </row>
    <row r="603" spans="1:10" x14ac:dyDescent="0.3">
      <c r="B603" s="311" t="str">
        <f>IF(LEN('Ch6'!H350)=0,"",'Ch6'!H350)</f>
        <v/>
      </c>
      <c r="C603" s="311" t="str">
        <f t="shared" si="11"/>
        <v/>
      </c>
      <c r="D603" s="152"/>
      <c r="E603" s="919"/>
      <c r="F603" s="919"/>
      <c r="G603" s="1329"/>
      <c r="H603" s="89" t="str">
        <f>'Ch6'!W350</f>
        <v>SFI</v>
      </c>
      <c r="J603" s="996"/>
    </row>
    <row r="604" spans="1:10" x14ac:dyDescent="0.3">
      <c r="B604" s="311" t="str">
        <f>IF(LEN('Ch6'!H351)=0,"",'Ch6'!H351)</f>
        <v/>
      </c>
      <c r="C604" s="311" t="str">
        <f t="shared" si="11"/>
        <v/>
      </c>
      <c r="D604" s="152"/>
      <c r="E604" s="919"/>
      <c r="F604" s="919"/>
      <c r="G604" s="680" t="s">
        <v>3285</v>
      </c>
      <c r="J604" s="989"/>
    </row>
    <row r="605" spans="1:10" ht="15.75" customHeight="1" thickTop="1" x14ac:dyDescent="0.3">
      <c r="A605" s="727" t="str">
        <f>IF(AND(LEN('Ch6'!W352)&gt;0,NOT('Ch6'!W352=FALSE)),"P","")</f>
        <v>P</v>
      </c>
      <c r="B605" s="311" t="str">
        <f>IF(LEN('Ch6'!H352)=0,"",'Ch6'!H352)</f>
        <v/>
      </c>
      <c r="C605" s="311" t="str">
        <f t="shared" si="11"/>
        <v>P</v>
      </c>
      <c r="D605" s="111">
        <v>606.29999999999995</v>
      </c>
      <c r="E605" s="954"/>
      <c r="F605" s="954"/>
      <c r="G605" s="1331" t="s">
        <v>739</v>
      </c>
      <c r="H605" s="89" t="str">
        <f>'Ch6'!W352</f>
        <v>1 material</v>
      </c>
      <c r="I605" s="89">
        <f ca="1">'Ch6'!O352</f>
        <v>2</v>
      </c>
      <c r="J605" s="1443" t="s">
        <v>4266</v>
      </c>
    </row>
    <row r="606" spans="1:10" x14ac:dyDescent="0.3">
      <c r="A606" s="727" t="str">
        <f>A605</f>
        <v>P</v>
      </c>
      <c r="B606" s="311" t="str">
        <f>IF(LEN('Ch6'!H353)=0,"",'Ch6'!H353)</f>
        <v/>
      </c>
      <c r="C606" s="311" t="str">
        <f t="shared" si="11"/>
        <v>P</v>
      </c>
      <c r="D606" s="106"/>
      <c r="E606" s="204"/>
      <c r="F606" s="204"/>
      <c r="G606" s="1313"/>
      <c r="J606" s="1443"/>
    </row>
    <row r="607" spans="1:10" x14ac:dyDescent="0.3">
      <c r="A607" s="727" t="str">
        <f>A606</f>
        <v>P</v>
      </c>
      <c r="B607" s="311" t="str">
        <f>IF(LEN('Ch6'!H354)=0,"",'Ch6'!H354)</f>
        <v/>
      </c>
      <c r="C607" s="311" t="str">
        <f t="shared" si="11"/>
        <v>P</v>
      </c>
      <c r="D607" s="106"/>
      <c r="E607" s="204"/>
      <c r="F607" s="204"/>
      <c r="G607" s="1313"/>
      <c r="J607" s="1443"/>
    </row>
    <row r="608" spans="1:10" x14ac:dyDescent="0.3">
      <c r="A608" s="727" t="str">
        <f>A607</f>
        <v>P</v>
      </c>
      <c r="B608" s="311" t="str">
        <f>IF(LEN('Ch6'!H355)=0,"",'Ch6'!H355)</f>
        <v/>
      </c>
      <c r="C608" s="311" t="str">
        <f t="shared" si="11"/>
        <v>P</v>
      </c>
      <c r="D608" s="106"/>
      <c r="E608" s="204"/>
      <c r="F608" s="204"/>
      <c r="G608" s="1313"/>
      <c r="J608" s="1443"/>
    </row>
    <row r="609" spans="1:10" x14ac:dyDescent="0.3">
      <c r="B609" s="311" t="str">
        <f>IF(LEN('Ch6'!H356)=0,"",'Ch6'!H356)</f>
        <v/>
      </c>
      <c r="C609" s="311" t="str">
        <f t="shared" si="11"/>
        <v/>
      </c>
      <c r="D609" s="106"/>
      <c r="E609" s="204"/>
      <c r="F609" s="204"/>
      <c r="G609" s="683" t="s">
        <v>740</v>
      </c>
      <c r="J609" s="1001"/>
    </row>
    <row r="610" spans="1:10" x14ac:dyDescent="0.3">
      <c r="B610" s="311" t="str">
        <f>IF(LEN('Ch6'!H357)=0,"",'Ch6'!H357)</f>
        <v/>
      </c>
      <c r="C610" s="311" t="str">
        <f t="shared" si="11"/>
        <v/>
      </c>
      <c r="D610" s="106"/>
      <c r="E610" s="204"/>
      <c r="F610" s="204"/>
      <c r="G610" s="684" t="s">
        <v>3289</v>
      </c>
      <c r="J610" s="989"/>
    </row>
    <row r="611" spans="1:10" ht="18" x14ac:dyDescent="0.3">
      <c r="A611" s="727" t="s">
        <v>4389</v>
      </c>
      <c r="B611" s="311" t="str">
        <f>IF(LEN('Ch6'!H358)=0,"",'Ch6'!H358)</f>
        <v/>
      </c>
      <c r="C611" s="311" t="str">
        <f t="shared" si="11"/>
        <v>P</v>
      </c>
      <c r="D611" s="72" t="s">
        <v>741</v>
      </c>
      <c r="E611" s="72"/>
      <c r="F611" s="72"/>
      <c r="G611" s="259"/>
      <c r="H611" s="259"/>
      <c r="I611" s="259"/>
      <c r="J611" s="1005"/>
    </row>
    <row r="612" spans="1:10" ht="15" customHeight="1" x14ac:dyDescent="0.3">
      <c r="A612" s="727" t="str">
        <f>IF(SUM(I614:I616)&gt;0,"P","")</f>
        <v>P</v>
      </c>
      <c r="B612" s="311" t="str">
        <f>IF(LEN('Ch6'!H359)=0,"",'Ch6'!H359)</f>
        <v/>
      </c>
      <c r="C612" s="311" t="str">
        <f t="shared" si="11"/>
        <v>P</v>
      </c>
      <c r="D612" s="152">
        <v>607.1</v>
      </c>
      <c r="E612" s="919"/>
      <c r="F612" s="919"/>
      <c r="G612" s="1292" t="s">
        <v>742</v>
      </c>
      <c r="J612" s="1443" t="s">
        <v>4226</v>
      </c>
    </row>
    <row r="613" spans="1:10" x14ac:dyDescent="0.3">
      <c r="A613" s="727" t="str">
        <f>A612</f>
        <v>P</v>
      </c>
      <c r="B613" s="311" t="str">
        <f>IF(LEN('Ch6'!H360)=0,"",'Ch6'!H360)</f>
        <v/>
      </c>
      <c r="C613" s="311" t="str">
        <f t="shared" si="11"/>
        <v>P</v>
      </c>
      <c r="D613" s="152"/>
      <c r="E613" s="919"/>
      <c r="F613" s="919"/>
      <c r="G613" s="1292"/>
      <c r="J613" s="1443"/>
    </row>
    <row r="614" spans="1:10" ht="15" customHeight="1" x14ac:dyDescent="0.3">
      <c r="B614" s="311" t="str">
        <f>IF(LEN('Ch6'!H361)=0,"",'Ch6'!H361)</f>
        <v/>
      </c>
      <c r="C614" s="311" t="str">
        <f t="shared" si="11"/>
        <v/>
      </c>
      <c r="D614" s="152"/>
      <c r="E614" s="926" t="s">
        <v>271</v>
      </c>
      <c r="F614" s="204"/>
      <c r="G614" s="1305" t="s">
        <v>743</v>
      </c>
      <c r="H614" s="89" t="b">
        <f>'Ch6'!W361</f>
        <v>1</v>
      </c>
      <c r="I614" s="89">
        <f>'Ch6'!O361</f>
        <v>3</v>
      </c>
      <c r="J614" s="996"/>
    </row>
    <row r="615" spans="1:10" x14ac:dyDescent="0.3">
      <c r="B615" s="311" t="str">
        <f>IF(LEN('Ch6'!H362)=0,"",'Ch6'!H362)</f>
        <v/>
      </c>
      <c r="C615" s="311" t="str">
        <f t="shared" si="11"/>
        <v/>
      </c>
      <c r="D615" s="152"/>
      <c r="E615" s="946"/>
      <c r="F615" s="232"/>
      <c r="G615" s="1306"/>
      <c r="J615" s="1001"/>
    </row>
    <row r="616" spans="1:10" x14ac:dyDescent="0.3">
      <c r="B616" s="311" t="str">
        <f>IF(LEN('Ch6'!H363)=0,"",'Ch6'!H363)</f>
        <v/>
      </c>
      <c r="C616" s="311" t="str">
        <f t="shared" si="11"/>
        <v/>
      </c>
      <c r="D616" s="152"/>
      <c r="E616" s="925" t="s">
        <v>273</v>
      </c>
      <c r="F616" s="919"/>
      <c r="G616" s="682" t="s">
        <v>744</v>
      </c>
      <c r="H616" s="89">
        <f>'Ch6'!W363</f>
        <v>0</v>
      </c>
      <c r="I616" s="89">
        <f>'Ch6'!O363</f>
        <v>0</v>
      </c>
      <c r="J616" s="1001"/>
    </row>
    <row r="617" spans="1:10" ht="15.75" customHeight="1" thickTop="1" x14ac:dyDescent="0.3">
      <c r="A617" s="727" t="str">
        <f>IF(AND(LEN('Ch6'!W364)&gt;0,NOT('Ch6'!W364=FALSE)),"P","")</f>
        <v/>
      </c>
      <c r="B617" s="311" t="str">
        <f>IF(LEN('Ch6'!H364)=0,"",'Ch6'!H364)</f>
        <v/>
      </c>
      <c r="C617" s="311" t="str">
        <f t="shared" si="11"/>
        <v/>
      </c>
      <c r="D617" s="111">
        <v>607.20000000000005</v>
      </c>
      <c r="E617" s="954"/>
      <c r="F617" s="954"/>
      <c r="G617" s="1331" t="s">
        <v>745</v>
      </c>
      <c r="H617" s="89">
        <f>'Ch6'!W364</f>
        <v>0</v>
      </c>
      <c r="I617" s="89">
        <f>'Ch6'!O364</f>
        <v>0</v>
      </c>
      <c r="J617" s="1439" t="s">
        <v>4226</v>
      </c>
    </row>
    <row r="618" spans="1:10" x14ac:dyDescent="0.3">
      <c r="A618" s="727" t="str">
        <f>A617</f>
        <v/>
      </c>
      <c r="B618" s="311" t="str">
        <f>IF(LEN('Ch6'!H365)=0,"",'Ch6'!H365)</f>
        <v/>
      </c>
      <c r="C618" s="311" t="str">
        <f t="shared" si="11"/>
        <v/>
      </c>
      <c r="D618" s="106"/>
      <c r="E618" s="204"/>
      <c r="F618" s="204"/>
      <c r="G618" s="1313"/>
      <c r="J618" s="1439"/>
    </row>
    <row r="619" spans="1:10" ht="18" x14ac:dyDescent="0.3">
      <c r="A619" s="727" t="s">
        <v>4389</v>
      </c>
      <c r="B619" s="311" t="str">
        <f>IF(LEN('Ch6'!H366)=0,"",'Ch6'!H366)</f>
        <v/>
      </c>
      <c r="C619" s="311" t="str">
        <f t="shared" si="11"/>
        <v>P</v>
      </c>
      <c r="D619" s="72" t="s">
        <v>746</v>
      </c>
      <c r="E619" s="72"/>
      <c r="F619" s="72"/>
      <c r="G619" s="259"/>
      <c r="H619" s="259"/>
      <c r="I619" s="259"/>
      <c r="J619" s="1005"/>
    </row>
    <row r="620" spans="1:10" ht="15" customHeight="1" x14ac:dyDescent="0.3">
      <c r="A620" s="727" t="str">
        <f>IF(AND(LEN('Ch6'!W367)&gt;0,NOT('Ch6'!W367=FALSE)),"P","")</f>
        <v>P</v>
      </c>
      <c r="B620" s="311" t="str">
        <f>IF(LEN('Ch6'!H367)=0,"",'Ch6'!H367)</f>
        <v/>
      </c>
      <c r="C620" s="311" t="str">
        <f t="shared" si="11"/>
        <v>P</v>
      </c>
      <c r="D620" s="152">
        <v>608.1</v>
      </c>
      <c r="E620" s="919"/>
      <c r="F620" s="919"/>
      <c r="G620" s="1292" t="s">
        <v>747</v>
      </c>
      <c r="H620" s="89" t="str">
        <f>'Ch6'!W367</f>
        <v>2 products</v>
      </c>
      <c r="I620" s="89">
        <f ca="1">'Ch6'!O367</f>
        <v>6</v>
      </c>
      <c r="J620" s="1443" t="s">
        <v>4267</v>
      </c>
    </row>
    <row r="621" spans="1:10" x14ac:dyDescent="0.3">
      <c r="A621" s="727" t="str">
        <f>A620</f>
        <v>P</v>
      </c>
      <c r="B621" s="311" t="str">
        <f>IF(LEN('Ch6'!H368)=0,"",'Ch6'!H368)</f>
        <v/>
      </c>
      <c r="C621" s="311" t="str">
        <f t="shared" si="11"/>
        <v>P</v>
      </c>
      <c r="D621" s="152"/>
      <c r="E621" s="919"/>
      <c r="F621" s="919"/>
      <c r="G621" s="1292"/>
      <c r="J621" s="1443"/>
    </row>
    <row r="622" spans="1:10" x14ac:dyDescent="0.3">
      <c r="A622" s="727" t="str">
        <f>A621</f>
        <v>P</v>
      </c>
      <c r="B622" s="311" t="str">
        <f>IF(LEN('Ch6'!H369)=0,"",'Ch6'!H369)</f>
        <v/>
      </c>
      <c r="C622" s="311" t="str">
        <f t="shared" si="11"/>
        <v>P</v>
      </c>
      <c r="D622" s="152"/>
      <c r="E622" s="919"/>
      <c r="F622" s="919"/>
      <c r="G622" s="1292"/>
      <c r="J622" s="1443"/>
    </row>
    <row r="623" spans="1:10" ht="15" customHeight="1" x14ac:dyDescent="0.3">
      <c r="B623" s="311" t="str">
        <f>IF(LEN('Ch6'!H370)=0,"",'Ch6'!H370)</f>
        <v/>
      </c>
      <c r="C623" s="311" t="str">
        <f t="shared" si="11"/>
        <v/>
      </c>
      <c r="D623" s="152"/>
      <c r="E623" s="925" t="s">
        <v>271</v>
      </c>
      <c r="F623" s="919"/>
      <c r="G623" s="1329" t="s">
        <v>748</v>
      </c>
      <c r="J623" s="1001"/>
    </row>
    <row r="624" spans="1:10" x14ac:dyDescent="0.3">
      <c r="B624" s="311" t="str">
        <f>IF(LEN('Ch6'!H371)=0,"",'Ch6'!H371)</f>
        <v/>
      </c>
      <c r="C624" s="311" t="str">
        <f t="shared" si="11"/>
        <v/>
      </c>
      <c r="D624" s="152"/>
      <c r="E624" s="925"/>
      <c r="F624" s="919"/>
      <c r="G624" s="1329"/>
      <c r="J624" s="1001"/>
    </row>
    <row r="625" spans="1:10" x14ac:dyDescent="0.3">
      <c r="B625" s="311" t="str">
        <f>IF(LEN('Ch6'!H372)=0,"",'Ch6'!H372)</f>
        <v/>
      </c>
      <c r="C625" s="311" t="str">
        <f t="shared" si="11"/>
        <v/>
      </c>
      <c r="D625" s="152"/>
      <c r="E625" s="925" t="s">
        <v>273</v>
      </c>
      <c r="F625" s="919"/>
      <c r="G625" s="682" t="s">
        <v>749</v>
      </c>
      <c r="J625" s="1001"/>
    </row>
    <row r="626" spans="1:10" x14ac:dyDescent="0.3">
      <c r="B626" s="311" t="str">
        <f>IF(LEN('Ch6'!H373)=0,"",'Ch6'!H373)</f>
        <v/>
      </c>
      <c r="C626" s="311" t="str">
        <f t="shared" si="11"/>
        <v/>
      </c>
      <c r="D626" s="152"/>
      <c r="E626" s="925" t="s">
        <v>275</v>
      </c>
      <c r="F626" s="919"/>
      <c r="G626" s="682" t="s">
        <v>750</v>
      </c>
      <c r="J626" s="1001"/>
    </row>
    <row r="627" spans="1:10" ht="15" customHeight="1" x14ac:dyDescent="0.3">
      <c r="B627" s="311" t="str">
        <f>IF(LEN('Ch6'!H374)=0,"",'Ch6'!H374)</f>
        <v/>
      </c>
      <c r="C627" s="311" t="str">
        <f t="shared" si="11"/>
        <v/>
      </c>
      <c r="D627" s="152"/>
      <c r="E627" s="925"/>
      <c r="F627" s="919"/>
      <c r="G627" s="679" t="s">
        <v>3294</v>
      </c>
      <c r="J627" s="989"/>
    </row>
    <row r="628" spans="1:10" ht="18" x14ac:dyDescent="0.3">
      <c r="A628" s="727" t="s">
        <v>4389</v>
      </c>
      <c r="B628" s="311" t="str">
        <f>IF(LEN('Ch6'!H375)=0,"",'Ch6'!H375)</f>
        <v/>
      </c>
      <c r="C628" s="311" t="str">
        <f t="shared" si="11"/>
        <v>P</v>
      </c>
      <c r="D628" s="72" t="s">
        <v>751</v>
      </c>
      <c r="E628" s="72"/>
      <c r="F628" s="72"/>
      <c r="G628" s="259"/>
      <c r="H628" s="259"/>
      <c r="I628" s="259"/>
      <c r="J628" s="1005"/>
    </row>
    <row r="629" spans="1:10" ht="15" customHeight="1" x14ac:dyDescent="0.3">
      <c r="A629" s="727" t="str">
        <f ca="1">IF('Ch6'!O376&gt;0,"P","")</f>
        <v/>
      </c>
      <c r="B629" s="311" t="str">
        <f>IF(LEN('Ch6'!H376)=0,"",'Ch6'!H376)</f>
        <v/>
      </c>
      <c r="C629" s="311" t="str">
        <f t="shared" ca="1" si="11"/>
        <v/>
      </c>
      <c r="D629" s="152">
        <v>609.1</v>
      </c>
      <c r="E629" s="919"/>
      <c r="F629" s="919"/>
      <c r="G629" s="1292" t="s">
        <v>752</v>
      </c>
      <c r="I629" s="89">
        <f ca="1">'Ch6'!O376</f>
        <v>0</v>
      </c>
      <c r="J629" s="1443" t="s">
        <v>4268</v>
      </c>
    </row>
    <row r="630" spans="1:10" ht="15" customHeight="1" x14ac:dyDescent="0.3">
      <c r="A630" s="727" t="str">
        <f ca="1">A629</f>
        <v/>
      </c>
      <c r="B630" s="311" t="str">
        <f>IF(LEN('Ch6'!H377)=0,"",'Ch6'!H377)</f>
        <v/>
      </c>
      <c r="C630" s="311" t="str">
        <f t="shared" ca="1" si="11"/>
        <v/>
      </c>
      <c r="D630" s="152"/>
      <c r="E630" s="919"/>
      <c r="F630" s="919"/>
      <c r="G630" s="1292"/>
      <c r="H630" s="89">
        <f>'Ch6'!W377</f>
        <v>0</v>
      </c>
      <c r="J630" s="1443"/>
    </row>
    <row r="631" spans="1:10" ht="15" customHeight="1" x14ac:dyDescent="0.3">
      <c r="B631" s="311" t="str">
        <f>IF(LEN('Ch6'!H378)=0,"",'Ch6'!H378)</f>
        <v/>
      </c>
      <c r="C631" s="311" t="str">
        <f t="shared" si="11"/>
        <v/>
      </c>
      <c r="D631" s="152"/>
      <c r="E631" s="919"/>
      <c r="F631" s="919"/>
      <c r="G631" s="1365" t="s">
        <v>3310</v>
      </c>
      <c r="J631" s="996"/>
    </row>
    <row r="632" spans="1:10" x14ac:dyDescent="0.3">
      <c r="B632" s="311" t="str">
        <f>IF(LEN('Ch6'!H379)=0,"",'Ch6'!H379)</f>
        <v/>
      </c>
      <c r="C632" s="311" t="str">
        <f t="shared" si="11"/>
        <v/>
      </c>
      <c r="D632" s="152"/>
      <c r="E632" s="919"/>
      <c r="F632" s="919"/>
      <c r="G632" s="1365"/>
      <c r="J632" s="996"/>
    </row>
    <row r="633" spans="1:10" x14ac:dyDescent="0.3">
      <c r="B633" s="311" t="str">
        <f>IF(LEN('Ch6'!H380)=0,"",'Ch6'!H380)</f>
        <v/>
      </c>
      <c r="C633" s="311" t="str">
        <f t="shared" si="11"/>
        <v/>
      </c>
      <c r="D633" s="152"/>
      <c r="E633" s="919"/>
      <c r="F633" s="919"/>
      <c r="G633" s="1365"/>
      <c r="H633" s="89">
        <f>'Ch6'!W380</f>
        <v>0</v>
      </c>
      <c r="J633" s="996"/>
    </row>
    <row r="634" spans="1:10" ht="15" customHeight="1" x14ac:dyDescent="0.3">
      <c r="B634" s="311" t="str">
        <f>IF(LEN('Ch6'!H381)=0,"",'Ch6'!H381)</f>
        <v/>
      </c>
      <c r="C634" s="311" t="str">
        <f t="shared" si="11"/>
        <v/>
      </c>
      <c r="D634" s="152"/>
      <c r="E634" s="919"/>
      <c r="F634" s="919"/>
      <c r="G634" s="1357" t="s">
        <v>3309</v>
      </c>
      <c r="J634" s="989"/>
    </row>
    <row r="635" spans="1:10" x14ac:dyDescent="0.3">
      <c r="B635" s="311" t="str">
        <f>IF(LEN('Ch6'!H382)=0,"",'Ch6'!H382)</f>
        <v/>
      </c>
      <c r="C635" s="311" t="str">
        <f t="shared" si="11"/>
        <v/>
      </c>
      <c r="D635" s="152"/>
      <c r="E635" s="919"/>
      <c r="F635" s="919"/>
      <c r="G635" s="1366"/>
      <c r="J635" s="989"/>
    </row>
    <row r="636" spans="1:10" ht="18" x14ac:dyDescent="0.3">
      <c r="A636" s="727" t="s">
        <v>4389</v>
      </c>
      <c r="B636" s="311" t="str">
        <f>IF(LEN('Ch6'!H383)=0,"",'Ch6'!H383)</f>
        <v/>
      </c>
      <c r="C636" s="311" t="str">
        <f t="shared" si="11"/>
        <v>P</v>
      </c>
      <c r="D636" s="72" t="s">
        <v>754</v>
      </c>
      <c r="E636" s="72"/>
      <c r="F636" s="72"/>
      <c r="G636" s="259"/>
      <c r="H636" s="259"/>
      <c r="I636" s="259"/>
      <c r="J636" s="1005"/>
    </row>
    <row r="637" spans="1:10" ht="15" customHeight="1" x14ac:dyDescent="0.3">
      <c r="B637" s="311" t="str">
        <f>IF(LEN('Ch6'!H384)=0,"",'Ch6'!H384)</f>
        <v/>
      </c>
      <c r="C637" s="311" t="str">
        <f t="shared" si="11"/>
        <v/>
      </c>
      <c r="D637" s="152">
        <v>610.1</v>
      </c>
      <c r="E637" s="919"/>
      <c r="F637" s="919"/>
      <c r="G637" s="1292" t="s">
        <v>755</v>
      </c>
      <c r="J637" s="989"/>
    </row>
    <row r="638" spans="1:10" x14ac:dyDescent="0.3">
      <c r="B638" s="311" t="str">
        <f>IF(LEN('Ch6'!H385)=0,"",'Ch6'!H385)</f>
        <v/>
      </c>
      <c r="C638" s="311" t="str">
        <f t="shared" si="11"/>
        <v/>
      </c>
      <c r="D638" s="152"/>
      <c r="E638" s="919"/>
      <c r="F638" s="919"/>
      <c r="G638" s="1292"/>
      <c r="J638" s="989"/>
    </row>
    <row r="639" spans="1:10" x14ac:dyDescent="0.3">
      <c r="B639" s="311" t="str">
        <f>IF(LEN('Ch6'!H386)=0,"",'Ch6'!H386)</f>
        <v/>
      </c>
      <c r="C639" s="311" t="str">
        <f t="shared" si="11"/>
        <v/>
      </c>
      <c r="D639" s="152"/>
      <c r="E639" s="919"/>
      <c r="F639" s="919"/>
      <c r="G639" s="1292"/>
      <c r="J639" s="989"/>
    </row>
    <row r="640" spans="1:10" x14ac:dyDescent="0.3">
      <c r="B640" s="311" t="str">
        <f>IF(LEN('Ch6'!H387)=0,"",'Ch6'!H387)</f>
        <v/>
      </c>
      <c r="C640" s="311" t="str">
        <f t="shared" si="11"/>
        <v/>
      </c>
      <c r="D640" s="152"/>
      <c r="E640" s="919"/>
      <c r="F640" s="919"/>
      <c r="G640" s="1292"/>
      <c r="J640" s="989"/>
    </row>
    <row r="641" spans="1:10" x14ac:dyDescent="0.3">
      <c r="B641" s="311" t="str">
        <f>IF(LEN('Ch6'!H388)=0,"",'Ch6'!H388)</f>
        <v/>
      </c>
      <c r="C641" s="311" t="str">
        <f t="shared" si="11"/>
        <v/>
      </c>
      <c r="D641" s="152"/>
      <c r="E641" s="919"/>
      <c r="F641" s="919"/>
      <c r="G641" s="1292"/>
      <c r="J641" s="989"/>
    </row>
    <row r="642" spans="1:10" x14ac:dyDescent="0.3">
      <c r="B642" s="311" t="str">
        <f>IF(LEN('Ch6'!H389)=0,"",'Ch6'!H389)</f>
        <v/>
      </c>
      <c r="C642" s="311" t="str">
        <f t="shared" si="11"/>
        <v/>
      </c>
      <c r="D642" s="152"/>
      <c r="E642" s="919"/>
      <c r="F642" s="919"/>
      <c r="G642" s="1292"/>
      <c r="J642" s="989"/>
    </row>
    <row r="643" spans="1:10" ht="15.75" customHeight="1" thickTop="1" x14ac:dyDescent="0.3">
      <c r="A643" s="727" t="str">
        <f>IF(SUM(I645:I661)&gt;0,"P","")</f>
        <v/>
      </c>
      <c r="B643" s="311" t="str">
        <f>IF(LEN('Ch6'!H390)=0,"",'Ch6'!H390)</f>
        <v/>
      </c>
      <c r="C643" s="311" t="str">
        <f t="shared" si="11"/>
        <v/>
      </c>
      <c r="D643" s="111" t="s">
        <v>756</v>
      </c>
      <c r="E643" s="954"/>
      <c r="F643" s="954"/>
      <c r="G643" s="1331" t="s">
        <v>757</v>
      </c>
      <c r="J643" s="1445" t="s">
        <v>4400</v>
      </c>
    </row>
    <row r="644" spans="1:10" x14ac:dyDescent="0.3">
      <c r="A644" s="727" t="str">
        <f>A643</f>
        <v/>
      </c>
      <c r="B644" s="311" t="str">
        <f>IF(LEN('Ch6'!H391)=0,"",'Ch6'!H391)</f>
        <v/>
      </c>
      <c r="C644" s="311" t="str">
        <f t="shared" si="11"/>
        <v/>
      </c>
      <c r="D644" s="106"/>
      <c r="E644" s="204"/>
      <c r="F644" s="204"/>
      <c r="G644" s="1313"/>
      <c r="J644" s="1445"/>
    </row>
    <row r="645" spans="1:10" ht="15" customHeight="1" x14ac:dyDescent="0.3">
      <c r="B645" s="311" t="str">
        <f>IF(LEN('Ch6'!H392)=0,"",'Ch6'!H392)</f>
        <v/>
      </c>
      <c r="C645" s="311" t="str">
        <f t="shared" si="11"/>
        <v/>
      </c>
      <c r="D645" s="152"/>
      <c r="E645" s="926" t="s">
        <v>271</v>
      </c>
      <c r="F645" s="204"/>
      <c r="G645" s="1305" t="s">
        <v>758</v>
      </c>
      <c r="H645" s="89">
        <f>'Ch6'!W392</f>
        <v>0</v>
      </c>
      <c r="I645" s="89">
        <f>'Ch6'!O392</f>
        <v>0</v>
      </c>
      <c r="J645" s="996"/>
    </row>
    <row r="646" spans="1:10" x14ac:dyDescent="0.3">
      <c r="B646" s="311" t="str">
        <f>IF(LEN('Ch6'!H393)=0,"",'Ch6'!H393)</f>
        <v/>
      </c>
      <c r="C646" s="311" t="str">
        <f t="shared" si="11"/>
        <v/>
      </c>
      <c r="D646" s="152"/>
      <c r="E646" s="204"/>
      <c r="F646" s="204"/>
      <c r="G646" s="1305"/>
      <c r="J646" s="1008"/>
    </row>
    <row r="647" spans="1:10" x14ac:dyDescent="0.3">
      <c r="B647" s="311" t="str">
        <f>IF(LEN('Ch6'!H394)=0,"",'Ch6'!H394)</f>
        <v/>
      </c>
      <c r="C647" s="311" t="str">
        <f t="shared" si="11"/>
        <v/>
      </c>
      <c r="D647" s="152"/>
      <c r="E647" s="204"/>
      <c r="F647" s="204"/>
      <c r="G647" s="1305"/>
      <c r="J647" s="1008"/>
    </row>
    <row r="648" spans="1:10" x14ac:dyDescent="0.3">
      <c r="B648" s="311" t="str">
        <f>IF(LEN('Ch6'!H395)=0,"",'Ch6'!H395)</f>
        <v/>
      </c>
      <c r="C648" s="311" t="str">
        <f t="shared" ref="C648:C711" si="12">IF(LEN(B648)=0,IF(A648="P","P",""),B648)</f>
        <v/>
      </c>
      <c r="D648" s="152"/>
      <c r="E648" s="204"/>
      <c r="F648" s="926" t="s">
        <v>121</v>
      </c>
      <c r="G648" s="675" t="s">
        <v>759</v>
      </c>
      <c r="J648" s="1008"/>
    </row>
    <row r="649" spans="1:10" x14ac:dyDescent="0.3">
      <c r="B649" s="311" t="str">
        <f>IF(LEN('Ch6'!H396)=0,"",'Ch6'!H396)</f>
        <v/>
      </c>
      <c r="C649" s="311" t="str">
        <f t="shared" si="12"/>
        <v/>
      </c>
      <c r="D649" s="152"/>
      <c r="E649" s="204"/>
      <c r="F649" s="926" t="s">
        <v>122</v>
      </c>
      <c r="G649" s="675" t="s">
        <v>760</v>
      </c>
      <c r="J649" s="1008"/>
    </row>
    <row r="650" spans="1:10" x14ac:dyDescent="0.3">
      <c r="B650" s="311" t="str">
        <f>IF(LEN('Ch6'!H397)=0,"",'Ch6'!H397)</f>
        <v/>
      </c>
      <c r="C650" s="311" t="str">
        <f t="shared" si="12"/>
        <v/>
      </c>
      <c r="D650" s="152"/>
      <c r="E650" s="204"/>
      <c r="F650" s="926" t="s">
        <v>123</v>
      </c>
      <c r="G650" s="675" t="s">
        <v>761</v>
      </c>
      <c r="J650" s="1008"/>
    </row>
    <row r="651" spans="1:10" x14ac:dyDescent="0.3">
      <c r="B651" s="311" t="str">
        <f>IF(LEN('Ch6'!H398)=0,"",'Ch6'!H398)</f>
        <v/>
      </c>
      <c r="C651" s="311" t="str">
        <f t="shared" si="12"/>
        <v/>
      </c>
      <c r="D651" s="152"/>
      <c r="E651" s="204"/>
      <c r="F651" s="951" t="s">
        <v>423</v>
      </c>
      <c r="G651" s="675" t="s">
        <v>762</v>
      </c>
      <c r="J651" s="1008"/>
    </row>
    <row r="652" spans="1:10" x14ac:dyDescent="0.3">
      <c r="B652" s="311" t="str">
        <f>IF(LEN('Ch6'!H399)=0,"",'Ch6'!H399)</f>
        <v/>
      </c>
      <c r="C652" s="311" t="str">
        <f t="shared" si="12"/>
        <v/>
      </c>
      <c r="D652" s="152"/>
      <c r="E652" s="204"/>
      <c r="F652" s="106" t="s">
        <v>578</v>
      </c>
      <c r="G652" s="675" t="s">
        <v>763</v>
      </c>
      <c r="J652" s="1008"/>
    </row>
    <row r="653" spans="1:10" x14ac:dyDescent="0.3">
      <c r="B653" s="311" t="str">
        <f>IF(LEN('Ch6'!H400)=0,"",'Ch6'!H400)</f>
        <v/>
      </c>
      <c r="C653" s="311" t="str">
        <f t="shared" si="12"/>
        <v/>
      </c>
      <c r="D653" s="152"/>
      <c r="E653" s="232"/>
      <c r="F653" s="946" t="s">
        <v>645</v>
      </c>
      <c r="G653" s="676" t="s">
        <v>764</v>
      </c>
      <c r="J653" s="1008"/>
    </row>
    <row r="654" spans="1:10" ht="15" customHeight="1" x14ac:dyDescent="0.3">
      <c r="B654" s="311" t="str">
        <f>IF(LEN('Ch6'!H401)=0,"",'Ch6'!H401)</f>
        <v/>
      </c>
      <c r="C654" s="311" t="str">
        <f t="shared" si="12"/>
        <v/>
      </c>
      <c r="D654" s="152"/>
      <c r="E654" s="958" t="s">
        <v>273</v>
      </c>
      <c r="F654" s="959"/>
      <c r="G654" s="1356" t="s">
        <v>765</v>
      </c>
      <c r="H654" s="89">
        <f>'Ch6'!W401</f>
        <v>0</v>
      </c>
      <c r="I654" s="89">
        <f>'Ch6'!O401</f>
        <v>0</v>
      </c>
      <c r="J654" s="1008"/>
    </row>
    <row r="655" spans="1:10" x14ac:dyDescent="0.3">
      <c r="B655" s="311" t="str">
        <f>IF(LEN('Ch6'!H402)=0,"",'Ch6'!H402)</f>
        <v/>
      </c>
      <c r="C655" s="311" t="str">
        <f t="shared" si="12"/>
        <v/>
      </c>
      <c r="D655" s="152"/>
      <c r="E655" s="204"/>
      <c r="F655" s="204"/>
      <c r="G655" s="1305"/>
      <c r="J655" s="1008"/>
    </row>
    <row r="656" spans="1:10" x14ac:dyDescent="0.3">
      <c r="B656" s="311" t="str">
        <f>IF(LEN('Ch6'!H403)=0,"",'Ch6'!H403)</f>
        <v/>
      </c>
      <c r="C656" s="311" t="str">
        <f t="shared" si="12"/>
        <v/>
      </c>
      <c r="D656" s="152"/>
      <c r="E656" s="204"/>
      <c r="F656" s="204"/>
      <c r="G656" s="1305"/>
      <c r="J656" s="1008"/>
    </row>
    <row r="657" spans="1:10" x14ac:dyDescent="0.3">
      <c r="B657" s="311" t="str">
        <f>IF(LEN('Ch6'!H404)=0,"",'Ch6'!H404)</f>
        <v/>
      </c>
      <c r="C657" s="311" t="str">
        <f t="shared" si="12"/>
        <v/>
      </c>
      <c r="D657" s="152"/>
      <c r="E657" s="204"/>
      <c r="F657" s="204"/>
      <c r="G657" s="1305"/>
      <c r="J657" s="1008"/>
    </row>
    <row r="658" spans="1:10" x14ac:dyDescent="0.3">
      <c r="B658" s="311" t="str">
        <f>IF(LEN('Ch6'!H405)=0,"",'Ch6'!H405)</f>
        <v/>
      </c>
      <c r="C658" s="311" t="str">
        <f t="shared" si="12"/>
        <v/>
      </c>
      <c r="D658" s="152"/>
      <c r="E658" s="204"/>
      <c r="F658" s="204"/>
      <c r="G658" s="1305"/>
      <c r="J658" s="1008"/>
    </row>
    <row r="659" spans="1:10" x14ac:dyDescent="0.3">
      <c r="B659" s="311" t="str">
        <f>IF(LEN('Ch6'!H406)=0,"",'Ch6'!H406)</f>
        <v/>
      </c>
      <c r="C659" s="311" t="str">
        <f t="shared" si="12"/>
        <v/>
      </c>
      <c r="D659" s="152"/>
      <c r="E659" s="204"/>
      <c r="F659" s="204"/>
      <c r="G659" s="1305"/>
      <c r="J659" s="1008"/>
    </row>
    <row r="660" spans="1:10" x14ac:dyDescent="0.3">
      <c r="B660" s="311" t="str">
        <f>IF(LEN('Ch6'!H407)=0,"",'Ch6'!H407)</f>
        <v/>
      </c>
      <c r="C660" s="311" t="str">
        <f t="shared" si="12"/>
        <v/>
      </c>
      <c r="D660" s="152"/>
      <c r="E660" s="232"/>
      <c r="F660" s="232"/>
      <c r="G660" s="1306"/>
      <c r="J660" s="1008"/>
    </row>
    <row r="661" spans="1:10" ht="15" customHeight="1" x14ac:dyDescent="0.3">
      <c r="B661" s="311" t="str">
        <f>IF(LEN('Ch6'!H408)=0,"",'Ch6'!H408)</f>
        <v/>
      </c>
      <c r="C661" s="311" t="str">
        <f t="shared" si="12"/>
        <v/>
      </c>
      <c r="D661" s="152"/>
      <c r="E661" s="925" t="s">
        <v>275</v>
      </c>
      <c r="F661" s="919"/>
      <c r="G661" s="1329" t="s">
        <v>766</v>
      </c>
      <c r="H661" s="89">
        <f>'Ch6'!W408</f>
        <v>0</v>
      </c>
      <c r="I661" s="89">
        <f>'Ch6'!O408</f>
        <v>0</v>
      </c>
      <c r="J661" s="1008"/>
    </row>
    <row r="662" spans="1:10" x14ac:dyDescent="0.3">
      <c r="B662" s="311" t="str">
        <f>IF(LEN('Ch6'!H409)=0,"",'Ch6'!H409)</f>
        <v/>
      </c>
      <c r="C662" s="311" t="str">
        <f t="shared" si="12"/>
        <v/>
      </c>
      <c r="D662" s="152"/>
      <c r="E662" s="919"/>
      <c r="F662" s="919"/>
      <c r="G662" s="1329"/>
      <c r="J662" s="1008"/>
    </row>
    <row r="663" spans="1:10" ht="15.75" customHeight="1" thickTop="1" x14ac:dyDescent="0.3">
      <c r="B663" s="311" t="str">
        <f>IF(LEN('Ch6'!H410)=0,"",'Ch6'!H410)</f>
        <v/>
      </c>
      <c r="C663" s="311" t="str">
        <f t="shared" si="12"/>
        <v/>
      </c>
      <c r="D663" s="111" t="s">
        <v>767</v>
      </c>
      <c r="E663" s="954"/>
      <c r="F663" s="954"/>
      <c r="G663" s="1331" t="s">
        <v>768</v>
      </c>
      <c r="I663" s="89">
        <f ca="1">'Ch6'!O410</f>
        <v>0</v>
      </c>
      <c r="J663" s="989"/>
    </row>
    <row r="664" spans="1:10" x14ac:dyDescent="0.3">
      <c r="B664" s="311" t="str">
        <f>IF(LEN('Ch6'!H411)=0,"",'Ch6'!H411)</f>
        <v/>
      </c>
      <c r="C664" s="311" t="str">
        <f t="shared" si="12"/>
        <v/>
      </c>
      <c r="D664" s="106"/>
      <c r="E664" s="204"/>
      <c r="F664" s="204"/>
      <c r="G664" s="1313"/>
      <c r="J664" s="989"/>
    </row>
    <row r="665" spans="1:10" x14ac:dyDescent="0.3">
      <c r="B665" s="311" t="str">
        <f>IF(LEN('Ch6'!H412)=0,"",'Ch6'!H412)</f>
        <v/>
      </c>
      <c r="C665" s="311" t="str">
        <f t="shared" si="12"/>
        <v/>
      </c>
      <c r="D665" s="106"/>
      <c r="E665" s="204"/>
      <c r="F665" s="204"/>
      <c r="G665" s="1313"/>
      <c r="J665" s="989"/>
    </row>
    <row r="666" spans="1:10" x14ac:dyDescent="0.3">
      <c r="B666" s="311" t="str">
        <f>IF(LEN('Ch6'!H413)=0,"",'Ch6'!H413)</f>
        <v/>
      </c>
      <c r="C666" s="311" t="str">
        <f t="shared" si="12"/>
        <v/>
      </c>
      <c r="D666" s="927"/>
      <c r="E666" s="232"/>
      <c r="F666" s="232"/>
      <c r="G666" s="1350"/>
      <c r="J666" s="989"/>
    </row>
    <row r="667" spans="1:10" ht="15" customHeight="1" x14ac:dyDescent="0.3">
      <c r="A667" s="727" t="str">
        <f>IF(OR(H669&lt;&gt;0,H676&lt;&gt;0),"P","")</f>
        <v/>
      </c>
      <c r="B667" s="311" t="str">
        <f>IF(LEN('Ch6'!H414)=0,"",'Ch6'!H414)</f>
        <v/>
      </c>
      <c r="C667" s="311" t="str">
        <f t="shared" si="12"/>
        <v/>
      </c>
      <c r="D667" s="929" t="s">
        <v>770</v>
      </c>
      <c r="E667" s="959"/>
      <c r="F667" s="959"/>
      <c r="G667" s="1364" t="s">
        <v>771</v>
      </c>
      <c r="J667" s="1443" t="s">
        <v>4269</v>
      </c>
    </row>
    <row r="668" spans="1:10" x14ac:dyDescent="0.3">
      <c r="A668" s="727" t="str">
        <f>A667</f>
        <v/>
      </c>
      <c r="B668" s="311" t="str">
        <f>IF(LEN('Ch6'!H415)=0,"",'Ch6'!H415)</f>
        <v/>
      </c>
      <c r="C668" s="311" t="str">
        <f t="shared" si="12"/>
        <v/>
      </c>
      <c r="D668" s="106"/>
      <c r="E668" s="204"/>
      <c r="F668" s="204"/>
      <c r="G668" s="1313"/>
      <c r="J668" s="1443"/>
    </row>
    <row r="669" spans="1:10" ht="15" customHeight="1" x14ac:dyDescent="0.3">
      <c r="A669" s="727" t="str">
        <f>A668</f>
        <v/>
      </c>
      <c r="B669" s="311" t="str">
        <f>IF(LEN('Ch6'!H416)=0,"",'Ch6'!H416)</f>
        <v/>
      </c>
      <c r="C669" s="311" t="str">
        <f t="shared" si="12"/>
        <v/>
      </c>
      <c r="D669" s="106"/>
      <c r="E669" s="204"/>
      <c r="F669" s="204"/>
      <c r="G669" s="1313"/>
      <c r="H669" s="89">
        <f>'Ch6'!W416</f>
        <v>0</v>
      </c>
      <c r="J669" s="1443"/>
    </row>
    <row r="670" spans="1:10" x14ac:dyDescent="0.3">
      <c r="B670" s="311" t="str">
        <f>IF(LEN('Ch6'!H417)=0,"",'Ch6'!H417)</f>
        <v/>
      </c>
      <c r="C670" s="311" t="str">
        <f t="shared" si="12"/>
        <v/>
      </c>
      <c r="D670" s="106"/>
      <c r="E670" s="204"/>
      <c r="F670" s="926" t="s">
        <v>121</v>
      </c>
      <c r="G670" s="675" t="s">
        <v>759</v>
      </c>
      <c r="J670" s="1001"/>
    </row>
    <row r="671" spans="1:10" x14ac:dyDescent="0.3">
      <c r="B671" s="311" t="str">
        <f>IF(LEN('Ch6'!H418)=0,"",'Ch6'!H418)</f>
        <v/>
      </c>
      <c r="C671" s="311" t="str">
        <f t="shared" si="12"/>
        <v/>
      </c>
      <c r="D671" s="106"/>
      <c r="E671" s="204"/>
      <c r="F671" s="926" t="s">
        <v>122</v>
      </c>
      <c r="G671" s="675" t="s">
        <v>760</v>
      </c>
      <c r="J671" s="1001"/>
    </row>
    <row r="672" spans="1:10" x14ac:dyDescent="0.3">
      <c r="B672" s="311" t="str">
        <f>IF(LEN('Ch6'!H419)=0,"",'Ch6'!H419)</f>
        <v/>
      </c>
      <c r="C672" s="311" t="str">
        <f t="shared" si="12"/>
        <v/>
      </c>
      <c r="D672" s="106"/>
      <c r="E672" s="204"/>
      <c r="F672" s="926" t="s">
        <v>123</v>
      </c>
      <c r="G672" s="675" t="s">
        <v>761</v>
      </c>
      <c r="J672" s="1001"/>
    </row>
    <row r="673" spans="1:10" x14ac:dyDescent="0.3">
      <c r="B673" s="311" t="str">
        <f>IF(LEN('Ch6'!H420)=0,"",'Ch6'!H420)</f>
        <v/>
      </c>
      <c r="C673" s="311" t="str">
        <f t="shared" si="12"/>
        <v/>
      </c>
      <c r="D673" s="106"/>
      <c r="E673" s="204"/>
      <c r="F673" s="951" t="s">
        <v>423</v>
      </c>
      <c r="G673" s="675" t="s">
        <v>762</v>
      </c>
      <c r="J673" s="1001"/>
    </row>
    <row r="674" spans="1:10" x14ac:dyDescent="0.3">
      <c r="B674" s="311" t="str">
        <f>IF(LEN('Ch6'!H421)=0,"",'Ch6'!H421)</f>
        <v/>
      </c>
      <c r="C674" s="311" t="str">
        <f t="shared" si="12"/>
        <v/>
      </c>
      <c r="D674" s="106"/>
      <c r="E674" s="204"/>
      <c r="F674" s="106" t="s">
        <v>578</v>
      </c>
      <c r="G674" s="675" t="s">
        <v>763</v>
      </c>
      <c r="J674" s="1001"/>
    </row>
    <row r="675" spans="1:10" x14ac:dyDescent="0.3">
      <c r="B675" s="311" t="str">
        <f>IF(LEN('Ch6'!H422)=0,"",'Ch6'!H422)</f>
        <v/>
      </c>
      <c r="C675" s="311" t="str">
        <f t="shared" si="12"/>
        <v/>
      </c>
      <c r="D675" s="106"/>
      <c r="E675" s="204"/>
      <c r="F675" s="926" t="s">
        <v>645</v>
      </c>
      <c r="G675" s="675" t="s">
        <v>764</v>
      </c>
      <c r="J675" s="1001"/>
    </row>
    <row r="676" spans="1:10" ht="15" customHeight="1" x14ac:dyDescent="0.3">
      <c r="B676" s="311" t="str">
        <f>IF(LEN('Ch6'!H423)=0,"",'Ch6'!H423)</f>
        <v/>
      </c>
      <c r="C676" s="311" t="str">
        <f t="shared" si="12"/>
        <v/>
      </c>
      <c r="D676" s="106"/>
      <c r="E676" s="204"/>
      <c r="F676" s="3"/>
      <c r="G676" s="1368" t="s">
        <v>772</v>
      </c>
      <c r="H676" s="89">
        <f>'Ch6'!W423</f>
        <v>0</v>
      </c>
      <c r="J676" s="1001"/>
    </row>
    <row r="677" spans="1:10" x14ac:dyDescent="0.3">
      <c r="B677" s="311" t="str">
        <f>IF(LEN('Ch6'!H424)=0,"",'Ch6'!H424)</f>
        <v/>
      </c>
      <c r="C677" s="311" t="str">
        <f t="shared" si="12"/>
        <v/>
      </c>
      <c r="D677" s="106"/>
      <c r="E677" s="204"/>
      <c r="F677" s="914"/>
      <c r="G677" s="1368"/>
      <c r="J677" s="1001"/>
    </row>
    <row r="678" spans="1:10" x14ac:dyDescent="0.3">
      <c r="B678" s="311" t="str">
        <f>IF(LEN('Ch6'!H425)=0,"",'Ch6'!H425)</f>
        <v/>
      </c>
      <c r="C678" s="311" t="str">
        <f t="shared" si="12"/>
        <v/>
      </c>
      <c r="D678" s="106"/>
      <c r="E678" s="204"/>
      <c r="F678" s="914"/>
      <c r="G678" s="1368"/>
      <c r="J678" s="1001"/>
    </row>
    <row r="679" spans="1:10" ht="15" customHeight="1" x14ac:dyDescent="0.3">
      <c r="B679" s="311" t="str">
        <f>IF(LEN('Ch6'!H426)=0,"",'Ch6'!H426)</f>
        <v/>
      </c>
      <c r="C679" s="311" t="str">
        <f t="shared" si="12"/>
        <v/>
      </c>
      <c r="D679" s="106"/>
      <c r="E679" s="204"/>
      <c r="F679" s="914"/>
      <c r="G679" s="1369" t="s">
        <v>3311</v>
      </c>
      <c r="J679" s="989"/>
    </row>
    <row r="680" spans="1:10" x14ac:dyDescent="0.3">
      <c r="B680" s="311" t="str">
        <f>IF(LEN('Ch6'!H427)=0,"",'Ch6'!H427)</f>
        <v/>
      </c>
      <c r="C680" s="311" t="str">
        <f t="shared" si="12"/>
        <v/>
      </c>
      <c r="D680" s="927"/>
      <c r="E680" s="232"/>
      <c r="F680" s="916"/>
      <c r="G680" s="1370"/>
      <c r="J680" s="989"/>
    </row>
    <row r="681" spans="1:10" ht="15" customHeight="1" x14ac:dyDescent="0.3">
      <c r="A681" s="727" t="str">
        <f>IF(OR(H682&lt;&gt;0,H688&lt;&gt;0,H694&lt;&gt;0,H700&lt;&gt;0),"P","")</f>
        <v/>
      </c>
      <c r="B681" s="311" t="str">
        <f>IF(LEN('Ch6'!H428)=0,"",'Ch6'!H428)</f>
        <v/>
      </c>
      <c r="C681" s="311" t="str">
        <f t="shared" si="12"/>
        <v/>
      </c>
      <c r="D681" s="152" t="s">
        <v>773</v>
      </c>
      <c r="E681" s="919"/>
      <c r="F681" s="919"/>
      <c r="G681" s="1292" t="s">
        <v>774</v>
      </c>
      <c r="J681" s="1443" t="s">
        <v>4401</v>
      </c>
    </row>
    <row r="682" spans="1:10" ht="15" customHeight="1" x14ac:dyDescent="0.3">
      <c r="A682" s="727" t="str">
        <f t="shared" ref="A682:A688" si="13">A681</f>
        <v/>
      </c>
      <c r="B682" s="311" t="str">
        <f>IF(LEN('Ch6'!H429)=0,"",'Ch6'!H429)</f>
        <v/>
      </c>
      <c r="C682" s="311" t="str">
        <f t="shared" si="12"/>
        <v/>
      </c>
      <c r="D682" s="152"/>
      <c r="E682" s="919"/>
      <c r="F682" s="919"/>
      <c r="G682" s="1292"/>
      <c r="H682" s="89">
        <f>'Ch6'!W429</f>
        <v>0</v>
      </c>
      <c r="J682" s="1443"/>
    </row>
    <row r="683" spans="1:10" x14ac:dyDescent="0.3">
      <c r="A683" s="727" t="str">
        <f t="shared" si="13"/>
        <v/>
      </c>
      <c r="B683" s="311" t="str">
        <f>IF(LEN('Ch6'!H430)=0,"",'Ch6'!H430)</f>
        <v/>
      </c>
      <c r="C683" s="311" t="str">
        <f t="shared" si="12"/>
        <v/>
      </c>
      <c r="D683" s="152"/>
      <c r="E683" s="919"/>
      <c r="F683" s="919"/>
      <c r="G683" s="1292"/>
      <c r="J683" s="1443"/>
    </row>
    <row r="684" spans="1:10" x14ac:dyDescent="0.3">
      <c r="A684" s="727" t="str">
        <f t="shared" si="13"/>
        <v/>
      </c>
      <c r="B684" s="311" t="str">
        <f>IF(LEN('Ch6'!H431)=0,"",'Ch6'!H431)</f>
        <v/>
      </c>
      <c r="C684" s="311" t="str">
        <f t="shared" si="12"/>
        <v/>
      </c>
      <c r="D684" s="152"/>
      <c r="E684" s="919"/>
      <c r="F684" s="919"/>
      <c r="G684" s="1292"/>
      <c r="J684" s="1443"/>
    </row>
    <row r="685" spans="1:10" x14ac:dyDescent="0.3">
      <c r="A685" s="727" t="str">
        <f t="shared" si="13"/>
        <v/>
      </c>
      <c r="B685" s="311" t="str">
        <f>IF(LEN('Ch6'!H432)=0,"",'Ch6'!H432)</f>
        <v/>
      </c>
      <c r="C685" s="311" t="str">
        <f t="shared" si="12"/>
        <v/>
      </c>
      <c r="D685" s="152"/>
      <c r="E685" s="919"/>
      <c r="F685" s="919"/>
      <c r="G685" s="1292"/>
      <c r="J685" s="1443"/>
    </row>
    <row r="686" spans="1:10" x14ac:dyDescent="0.3">
      <c r="A686" s="727" t="str">
        <f t="shared" si="13"/>
        <v/>
      </c>
      <c r="B686" s="311" t="str">
        <f>IF(LEN('Ch6'!H433)=0,"",'Ch6'!H433)</f>
        <v/>
      </c>
      <c r="C686" s="311" t="str">
        <f t="shared" si="12"/>
        <v/>
      </c>
      <c r="D686" s="152"/>
      <c r="E686" s="919"/>
      <c r="F686" s="919"/>
      <c r="G686" s="1292"/>
      <c r="J686" s="1443"/>
    </row>
    <row r="687" spans="1:10" x14ac:dyDescent="0.3">
      <c r="A687" s="727" t="str">
        <f t="shared" si="13"/>
        <v/>
      </c>
      <c r="B687" s="311" t="str">
        <f>IF(LEN('Ch6'!H434)=0,"",'Ch6'!H434)</f>
        <v/>
      </c>
      <c r="C687" s="311" t="str">
        <f t="shared" si="12"/>
        <v/>
      </c>
      <c r="D687" s="152"/>
      <c r="E687" s="919"/>
      <c r="F687" s="919"/>
      <c r="G687" s="1292"/>
      <c r="J687" s="1443"/>
    </row>
    <row r="688" spans="1:10" x14ac:dyDescent="0.3">
      <c r="A688" s="727" t="str">
        <f t="shared" si="13"/>
        <v/>
      </c>
      <c r="B688" s="311" t="str">
        <f>IF(LEN('Ch6'!H435)=0,"",'Ch6'!H435)</f>
        <v/>
      </c>
      <c r="C688" s="311" t="str">
        <f t="shared" si="12"/>
        <v/>
      </c>
      <c r="D688" s="152"/>
      <c r="E688" s="919"/>
      <c r="F688" s="919"/>
      <c r="G688" s="1292"/>
      <c r="H688" s="89">
        <f>'Ch6'!W435</f>
        <v>0</v>
      </c>
      <c r="J688" s="1443"/>
    </row>
    <row r="689" spans="2:10" x14ac:dyDescent="0.3">
      <c r="B689" s="311" t="str">
        <f>IF(LEN('Ch6'!H436)=0,"",'Ch6'!H436)</f>
        <v/>
      </c>
      <c r="C689" s="311" t="str">
        <f t="shared" si="12"/>
        <v/>
      </c>
      <c r="D689" s="152"/>
      <c r="E689" s="919"/>
      <c r="F689" s="925" t="s">
        <v>121</v>
      </c>
      <c r="G689" s="682" t="s">
        <v>775</v>
      </c>
      <c r="J689" s="1001"/>
    </row>
    <row r="690" spans="2:10" x14ac:dyDescent="0.3">
      <c r="B690" s="311" t="str">
        <f>IF(LEN('Ch6'!H437)=0,"",'Ch6'!H437)</f>
        <v/>
      </c>
      <c r="C690" s="311" t="str">
        <f t="shared" si="12"/>
        <v/>
      </c>
      <c r="D690" s="152"/>
      <c r="E690" s="919"/>
      <c r="F690" s="925" t="s">
        <v>122</v>
      </c>
      <c r="G690" s="682" t="s">
        <v>776</v>
      </c>
      <c r="J690" s="1001"/>
    </row>
    <row r="691" spans="2:10" x14ac:dyDescent="0.3">
      <c r="B691" s="311" t="str">
        <f>IF(LEN('Ch6'!H438)=0,"",'Ch6'!H438)</f>
        <v/>
      </c>
      <c r="C691" s="311" t="str">
        <f t="shared" si="12"/>
        <v/>
      </c>
      <c r="D691" s="152"/>
      <c r="E691" s="919"/>
      <c r="F691" s="925" t="s">
        <v>123</v>
      </c>
      <c r="G691" s="682" t="s">
        <v>777</v>
      </c>
      <c r="J691" s="1001"/>
    </row>
    <row r="692" spans="2:10" x14ac:dyDescent="0.3">
      <c r="B692" s="311" t="str">
        <f>IF(LEN('Ch6'!H439)=0,"",'Ch6'!H439)</f>
        <v/>
      </c>
      <c r="C692" s="311" t="str">
        <f t="shared" si="12"/>
        <v/>
      </c>
      <c r="D692" s="152"/>
      <c r="E692" s="919"/>
      <c r="F692" s="947" t="s">
        <v>423</v>
      </c>
      <c r="G692" s="682" t="s">
        <v>778</v>
      </c>
      <c r="J692" s="1001"/>
    </row>
    <row r="693" spans="2:10" ht="15" customHeight="1" x14ac:dyDescent="0.3">
      <c r="B693" s="311" t="str">
        <f>IF(LEN('Ch6'!H440)=0,"",'Ch6'!H440)</f>
        <v/>
      </c>
      <c r="C693" s="311" t="str">
        <f t="shared" si="12"/>
        <v/>
      </c>
      <c r="D693" s="152"/>
      <c r="E693" s="919"/>
      <c r="F693" s="919"/>
      <c r="G693" s="1367" t="s">
        <v>779</v>
      </c>
      <c r="J693" s="1001"/>
    </row>
    <row r="694" spans="2:10" x14ac:dyDescent="0.3">
      <c r="B694" s="311" t="str">
        <f>IF(LEN('Ch6'!H441)=0,"",'Ch6'!H441)</f>
        <v/>
      </c>
      <c r="C694" s="311" t="str">
        <f t="shared" si="12"/>
        <v/>
      </c>
      <c r="D694" s="152"/>
      <c r="E694" s="919"/>
      <c r="F694" s="919"/>
      <c r="G694" s="1367"/>
      <c r="H694" s="89">
        <f>'Ch6'!W441</f>
        <v>0</v>
      </c>
      <c r="J694" s="1001"/>
    </row>
    <row r="695" spans="2:10" x14ac:dyDescent="0.3">
      <c r="B695" s="311" t="str">
        <f>IF(LEN('Ch6'!H442)=0,"",'Ch6'!H442)</f>
        <v/>
      </c>
      <c r="C695" s="311" t="str">
        <f t="shared" si="12"/>
        <v/>
      </c>
      <c r="D695" s="152"/>
      <c r="E695" s="919"/>
      <c r="F695" s="925" t="s">
        <v>121</v>
      </c>
      <c r="G695" s="682" t="s">
        <v>759</v>
      </c>
      <c r="J695" s="1001"/>
    </row>
    <row r="696" spans="2:10" x14ac:dyDescent="0.3">
      <c r="B696" s="311" t="str">
        <f>IF(LEN('Ch6'!H443)=0,"",'Ch6'!H443)</f>
        <v/>
      </c>
      <c r="C696" s="311" t="str">
        <f t="shared" si="12"/>
        <v/>
      </c>
      <c r="D696" s="152"/>
      <c r="E696" s="919"/>
      <c r="F696" s="925" t="s">
        <v>122</v>
      </c>
      <c r="G696" s="682" t="s">
        <v>760</v>
      </c>
      <c r="J696" s="1001"/>
    </row>
    <row r="697" spans="2:10" x14ac:dyDescent="0.3">
      <c r="B697" s="311" t="str">
        <f>IF(LEN('Ch6'!H444)=0,"",'Ch6'!H444)</f>
        <v/>
      </c>
      <c r="C697" s="311" t="str">
        <f t="shared" si="12"/>
        <v/>
      </c>
      <c r="D697" s="152"/>
      <c r="E697" s="919"/>
      <c r="F697" s="925" t="s">
        <v>123</v>
      </c>
      <c r="G697" s="682" t="s">
        <v>761</v>
      </c>
      <c r="J697" s="1001"/>
    </row>
    <row r="698" spans="2:10" x14ac:dyDescent="0.3">
      <c r="B698" s="311" t="str">
        <f>IF(LEN('Ch6'!H445)=0,"",'Ch6'!H445)</f>
        <v/>
      </c>
      <c r="C698" s="311" t="str">
        <f t="shared" si="12"/>
        <v/>
      </c>
      <c r="D698" s="152"/>
      <c r="E698" s="919"/>
      <c r="F698" s="947" t="s">
        <v>423</v>
      </c>
      <c r="G698" s="682" t="s">
        <v>762</v>
      </c>
      <c r="J698" s="1001"/>
    </row>
    <row r="699" spans="2:10" x14ac:dyDescent="0.3">
      <c r="B699" s="311" t="str">
        <f>IF(LEN('Ch6'!H446)=0,"",'Ch6'!H446)</f>
        <v/>
      </c>
      <c r="C699" s="311" t="str">
        <f t="shared" si="12"/>
        <v/>
      </c>
      <c r="D699" s="152"/>
      <c r="E699" s="919"/>
      <c r="F699" s="152" t="s">
        <v>578</v>
      </c>
      <c r="G699" s="682" t="s">
        <v>763</v>
      </c>
      <c r="J699" s="1001"/>
    </row>
    <row r="700" spans="2:10" x14ac:dyDescent="0.3">
      <c r="B700" s="311" t="str">
        <f>IF(LEN('Ch6'!H447)=0,"",'Ch6'!H447)</f>
        <v/>
      </c>
      <c r="C700" s="311" t="str">
        <f t="shared" si="12"/>
        <v/>
      </c>
      <c r="D700" s="152"/>
      <c r="E700" s="919"/>
      <c r="F700" s="925" t="s">
        <v>645</v>
      </c>
      <c r="G700" s="682" t="s">
        <v>764</v>
      </c>
      <c r="H700" s="89">
        <f>'Ch6'!W447</f>
        <v>0</v>
      </c>
      <c r="J700" s="1001"/>
    </row>
    <row r="701" spans="2:10" ht="15" customHeight="1" x14ac:dyDescent="0.3">
      <c r="B701" s="311" t="str">
        <f>IF(LEN('Ch6'!H448)=0,"",'Ch6'!H448)</f>
        <v/>
      </c>
      <c r="C701" s="311" t="str">
        <f t="shared" si="12"/>
        <v/>
      </c>
      <c r="D701" s="152"/>
      <c r="E701" s="919"/>
      <c r="F701" s="919"/>
      <c r="G701" s="1365" t="s">
        <v>780</v>
      </c>
      <c r="J701" s="1001"/>
    </row>
    <row r="702" spans="2:10" x14ac:dyDescent="0.3">
      <c r="B702" s="311" t="str">
        <f>IF(LEN('Ch6'!H449)=0,"",'Ch6'!H449)</f>
        <v/>
      </c>
      <c r="C702" s="311" t="str">
        <f t="shared" si="12"/>
        <v/>
      </c>
      <c r="D702" s="152"/>
      <c r="E702" s="919"/>
      <c r="F702" s="919"/>
      <c r="G702" s="1365"/>
      <c r="J702" s="1001"/>
    </row>
    <row r="703" spans="2:10" ht="15" customHeight="1" x14ac:dyDescent="0.3">
      <c r="B703" s="311" t="str">
        <f>IF(LEN('Ch6'!H450)=0,"",'Ch6'!H450)</f>
        <v/>
      </c>
      <c r="C703" s="311" t="str">
        <f t="shared" si="12"/>
        <v/>
      </c>
      <c r="D703" s="152"/>
      <c r="E703" s="919"/>
      <c r="F703" s="919"/>
      <c r="G703" s="1357" t="s">
        <v>3319</v>
      </c>
      <c r="J703" s="989"/>
    </row>
    <row r="704" spans="2:10" x14ac:dyDescent="0.3">
      <c r="B704" s="311" t="str">
        <f>IF(LEN('Ch6'!H451)=0,"",'Ch6'!H451)</f>
        <v/>
      </c>
      <c r="C704" s="311" t="str">
        <f t="shared" si="12"/>
        <v/>
      </c>
      <c r="D704" s="152"/>
      <c r="E704" s="919"/>
      <c r="F704" s="919"/>
      <c r="G704" s="1366"/>
      <c r="J704" s="989"/>
    </row>
    <row r="705" spans="1:10" ht="18" x14ac:dyDescent="0.3">
      <c r="A705" s="727" t="s">
        <v>4389</v>
      </c>
      <c r="B705" s="311" t="str">
        <f>IF(LEN('Ch6'!H452)=0,"",'Ch6'!H452)</f>
        <v/>
      </c>
      <c r="C705" s="311" t="str">
        <f t="shared" si="12"/>
        <v>P</v>
      </c>
      <c r="D705" s="72" t="s">
        <v>781</v>
      </c>
      <c r="E705" s="72"/>
      <c r="F705" s="72"/>
      <c r="G705" s="259"/>
      <c r="H705" s="259"/>
      <c r="I705" s="259"/>
      <c r="J705" s="1005"/>
    </row>
    <row r="706" spans="1:10" ht="15" customHeight="1" x14ac:dyDescent="0.3">
      <c r="A706" s="727" t="str">
        <f>IF(AND(LEN('Ch6'!W453)&gt;0,NOT('Ch6'!W453=FALSE)),"P","")</f>
        <v/>
      </c>
      <c r="B706" s="311" t="str">
        <f>IF(LEN('Ch6'!H453)=0,"",'Ch6'!H453)</f>
        <v/>
      </c>
      <c r="C706" s="311" t="str">
        <f t="shared" si="12"/>
        <v/>
      </c>
      <c r="D706" s="152">
        <v>611.1</v>
      </c>
      <c r="E706" s="919"/>
      <c r="F706" s="919"/>
      <c r="G706" s="1292" t="s">
        <v>782</v>
      </c>
      <c r="H706" s="89">
        <f>'Ch6'!W453</f>
        <v>0</v>
      </c>
      <c r="I706" s="89">
        <f ca="1">'Ch6'!O453</f>
        <v>0</v>
      </c>
      <c r="J706" s="1443" t="s">
        <v>4270</v>
      </c>
    </row>
    <row r="707" spans="1:10" x14ac:dyDescent="0.3">
      <c r="A707" s="727" t="str">
        <f>A706</f>
        <v/>
      </c>
      <c r="B707" s="311" t="str">
        <f>IF(LEN('Ch6'!H454)=0,"",'Ch6'!H454)</f>
        <v/>
      </c>
      <c r="C707" s="311" t="str">
        <f t="shared" si="12"/>
        <v/>
      </c>
      <c r="D707" s="152"/>
      <c r="E707" s="919"/>
      <c r="F707" s="919"/>
      <c r="G707" s="1292"/>
      <c r="J707" s="1443"/>
    </row>
    <row r="708" spans="1:10" x14ac:dyDescent="0.3">
      <c r="A708" s="727" t="str">
        <f>A707</f>
        <v/>
      </c>
      <c r="B708" s="311" t="str">
        <f>IF(LEN('Ch6'!H455)=0,"",'Ch6'!H455)</f>
        <v/>
      </c>
      <c r="C708" s="311" t="str">
        <f t="shared" si="12"/>
        <v/>
      </c>
      <c r="D708" s="152"/>
      <c r="E708" s="919"/>
      <c r="F708" s="919"/>
      <c r="G708" s="1292"/>
      <c r="J708" s="1443"/>
    </row>
    <row r="709" spans="1:10" x14ac:dyDescent="0.3">
      <c r="A709" s="727" t="str">
        <f>A708</f>
        <v/>
      </c>
      <c r="B709" s="311" t="str">
        <f>IF(LEN('Ch6'!H456)=0,"",'Ch6'!H456)</f>
        <v/>
      </c>
      <c r="C709" s="311" t="str">
        <f t="shared" si="12"/>
        <v/>
      </c>
      <c r="D709" s="152"/>
      <c r="E709" s="919"/>
      <c r="F709" s="919"/>
      <c r="G709" s="1292"/>
      <c r="J709" s="1443"/>
    </row>
    <row r="710" spans="1:10" x14ac:dyDescent="0.3">
      <c r="A710" s="727" t="str">
        <f>A709</f>
        <v/>
      </c>
      <c r="B710" s="311" t="str">
        <f>IF(LEN('Ch6'!H457)=0,"",'Ch6'!H457)</f>
        <v/>
      </c>
      <c r="C710" s="311" t="str">
        <f t="shared" si="12"/>
        <v/>
      </c>
      <c r="D710" s="152"/>
      <c r="E710" s="919"/>
      <c r="F710" s="919"/>
      <c r="G710" s="1292"/>
      <c r="J710" s="1443"/>
    </row>
    <row r="711" spans="1:10" x14ac:dyDescent="0.3">
      <c r="B711" s="311" t="str">
        <f>IF(LEN('Ch6'!H458)=0,"",'Ch6'!H458)</f>
        <v/>
      </c>
      <c r="C711" s="311" t="str">
        <f t="shared" si="12"/>
        <v/>
      </c>
      <c r="D711" s="152"/>
      <c r="E711" s="919"/>
      <c r="F711" s="919"/>
      <c r="G711" s="695" t="s">
        <v>783</v>
      </c>
      <c r="J711" s="989"/>
    </row>
    <row r="712" spans="1:10" ht="15" customHeight="1" x14ac:dyDescent="0.3">
      <c r="B712" s="311" t="str">
        <f>IF(LEN('Ch6'!H459)=0,"",'Ch6'!H459)</f>
        <v/>
      </c>
      <c r="C712" s="311" t="str">
        <f t="shared" ref="C712:C775" si="14">IF(LEN(B712)=0,IF(A712="P","P",""),B712)</f>
        <v/>
      </c>
      <c r="D712" s="152"/>
      <c r="E712" s="919"/>
      <c r="F712" s="919"/>
      <c r="G712" s="1349" t="s">
        <v>3340</v>
      </c>
      <c r="J712" s="989"/>
    </row>
    <row r="713" spans="1:10" x14ac:dyDescent="0.3">
      <c r="B713" s="311" t="str">
        <f>IF(LEN('Ch6'!H460)=0,"",'Ch6'!H460)</f>
        <v/>
      </c>
      <c r="C713" s="311" t="str">
        <f t="shared" si="14"/>
        <v/>
      </c>
      <c r="D713" s="152"/>
      <c r="E713" s="919"/>
      <c r="F713" s="919"/>
      <c r="G713" s="1357"/>
      <c r="J713" s="989"/>
    </row>
    <row r="714" spans="1:10" ht="15.75" customHeight="1" thickTop="1" x14ac:dyDescent="0.3">
      <c r="A714" s="727" t="str">
        <f>IF('Ch6'!O461&gt;0,"P","")</f>
        <v/>
      </c>
      <c r="B714" s="311" t="str">
        <f>IF(LEN('Ch6'!H461)=0,"",'Ch6'!H461)</f>
        <v/>
      </c>
      <c r="C714" s="311" t="str">
        <f t="shared" si="14"/>
        <v/>
      </c>
      <c r="D714" s="111">
        <v>611.20000000000005</v>
      </c>
      <c r="E714" s="954"/>
      <c r="F714" s="954"/>
      <c r="G714" s="1331" t="s">
        <v>784</v>
      </c>
      <c r="I714" s="89">
        <f>'Ch6'!O461</f>
        <v>0</v>
      </c>
      <c r="J714" s="1443" t="s">
        <v>4271</v>
      </c>
    </row>
    <row r="715" spans="1:10" x14ac:dyDescent="0.3">
      <c r="A715" s="727" t="str">
        <f>A714</f>
        <v/>
      </c>
      <c r="B715" s="311" t="str">
        <f>IF(LEN('Ch6'!H462)=0,"",'Ch6'!H462)</f>
        <v/>
      </c>
      <c r="C715" s="311" t="str">
        <f t="shared" si="14"/>
        <v/>
      </c>
      <c r="D715" s="106"/>
      <c r="E715" s="204"/>
      <c r="F715" s="204"/>
      <c r="G715" s="1313"/>
      <c r="J715" s="1443"/>
    </row>
    <row r="716" spans="1:10" x14ac:dyDescent="0.3">
      <c r="A716" s="727" t="str">
        <f>A715</f>
        <v/>
      </c>
      <c r="B716" s="311" t="str">
        <f>IF(LEN('Ch6'!H463)=0,"",'Ch6'!H463)</f>
        <v/>
      </c>
      <c r="C716" s="311" t="str">
        <f t="shared" si="14"/>
        <v/>
      </c>
      <c r="D716" s="106"/>
      <c r="E716" s="204"/>
      <c r="F716" s="204"/>
      <c r="G716" s="1313"/>
      <c r="J716" s="1443"/>
    </row>
    <row r="717" spans="1:10" x14ac:dyDescent="0.3">
      <c r="B717" s="311" t="str">
        <f>IF(LEN('Ch6'!H464)=0,"",'Ch6'!H464)</f>
        <v/>
      </c>
      <c r="C717" s="311" t="str">
        <f t="shared" si="14"/>
        <v/>
      </c>
      <c r="D717" s="152"/>
      <c r="E717" s="946" t="s">
        <v>271</v>
      </c>
      <c r="F717" s="232"/>
      <c r="G717" s="676" t="s">
        <v>785</v>
      </c>
      <c r="H717" s="89">
        <f>'Ch6'!W464</f>
        <v>0</v>
      </c>
      <c r="J717" s="996"/>
    </row>
    <row r="718" spans="1:10" x14ac:dyDescent="0.3">
      <c r="B718" s="311" t="str">
        <f>IF(LEN('Ch6'!H465)=0,"",'Ch6'!H465)</f>
        <v/>
      </c>
      <c r="C718" s="311" t="str">
        <f t="shared" si="14"/>
        <v/>
      </c>
      <c r="D718" s="152"/>
      <c r="E718" s="955" t="s">
        <v>273</v>
      </c>
      <c r="F718" s="235"/>
      <c r="G718" s="365" t="s">
        <v>786</v>
      </c>
      <c r="H718" s="89">
        <f>'Ch6'!W465</f>
        <v>0</v>
      </c>
      <c r="J718" s="1001"/>
    </row>
    <row r="719" spans="1:10" x14ac:dyDescent="0.3">
      <c r="B719" s="311" t="str">
        <f>IF(LEN('Ch6'!H466)=0,"",'Ch6'!H466)</f>
        <v/>
      </c>
      <c r="C719" s="311" t="str">
        <f t="shared" si="14"/>
        <v/>
      </c>
      <c r="D719" s="152"/>
      <c r="E719" s="955" t="s">
        <v>275</v>
      </c>
      <c r="F719" s="235"/>
      <c r="G719" s="365" t="s">
        <v>787</v>
      </c>
      <c r="H719" s="89">
        <f>'Ch6'!W466</f>
        <v>0</v>
      </c>
      <c r="J719" s="1001"/>
    </row>
    <row r="720" spans="1:10" x14ac:dyDescent="0.3">
      <c r="B720" s="311" t="str">
        <f>IF(LEN('Ch6'!H467)=0,"",'Ch6'!H467)</f>
        <v/>
      </c>
      <c r="C720" s="311" t="str">
        <f t="shared" si="14"/>
        <v/>
      </c>
      <c r="D720" s="152"/>
      <c r="E720" s="955" t="s">
        <v>285</v>
      </c>
      <c r="F720" s="235"/>
      <c r="G720" s="365" t="s">
        <v>788</v>
      </c>
      <c r="H720" s="89">
        <f>'Ch6'!W467</f>
        <v>0</v>
      </c>
      <c r="J720" s="1001"/>
    </row>
    <row r="721" spans="1:10" x14ac:dyDescent="0.3">
      <c r="B721" s="311" t="str">
        <f>IF(LEN('Ch6'!H468)=0,"",'Ch6'!H468)</f>
        <v/>
      </c>
      <c r="C721" s="311" t="str">
        <f t="shared" si="14"/>
        <v/>
      </c>
      <c r="D721" s="152"/>
      <c r="E721" s="955" t="s">
        <v>291</v>
      </c>
      <c r="F721" s="235"/>
      <c r="G721" s="365" t="s">
        <v>789</v>
      </c>
      <c r="H721" s="89">
        <f>'Ch6'!W468</f>
        <v>0</v>
      </c>
      <c r="J721" s="1001"/>
    </row>
    <row r="722" spans="1:10" x14ac:dyDescent="0.3">
      <c r="B722" s="311" t="str">
        <f>IF(LEN('Ch6'!H469)=0,"",'Ch6'!H469)</f>
        <v/>
      </c>
      <c r="C722" s="311" t="str">
        <f t="shared" si="14"/>
        <v/>
      </c>
      <c r="D722" s="152"/>
      <c r="E722" s="955" t="s">
        <v>293</v>
      </c>
      <c r="F722" s="235"/>
      <c r="G722" s="365" t="s">
        <v>790</v>
      </c>
      <c r="H722" s="89">
        <f>'Ch6'!W469</f>
        <v>0</v>
      </c>
      <c r="J722" s="1001"/>
    </row>
    <row r="723" spans="1:10" ht="15" customHeight="1" x14ac:dyDescent="0.3">
      <c r="B723" s="311" t="str">
        <f>IF(LEN('Ch6'!H470)=0,"",'Ch6'!H470)</f>
        <v/>
      </c>
      <c r="C723" s="311" t="str">
        <f t="shared" si="14"/>
        <v/>
      </c>
      <c r="D723" s="152"/>
      <c r="E723" s="925" t="s">
        <v>405</v>
      </c>
      <c r="F723" s="919"/>
      <c r="G723" s="1329" t="s">
        <v>791</v>
      </c>
      <c r="H723" s="89">
        <f>'Ch6'!W470</f>
        <v>0</v>
      </c>
      <c r="J723" s="1001"/>
    </row>
    <row r="724" spans="1:10" x14ac:dyDescent="0.3">
      <c r="B724" s="311" t="str">
        <f>IF(LEN('Ch6'!H471)=0,"",'Ch6'!H471)</f>
        <v/>
      </c>
      <c r="C724" s="311" t="str">
        <f t="shared" si="14"/>
        <v/>
      </c>
      <c r="D724" s="152"/>
      <c r="E724" s="925"/>
      <c r="F724" s="919"/>
      <c r="G724" s="1329"/>
      <c r="J724" s="1001"/>
    </row>
    <row r="725" spans="1:10" ht="15.75" customHeight="1" thickTop="1" x14ac:dyDescent="0.3">
      <c r="A725" s="727" t="str">
        <f>IF('Ch6'!O472&gt;0,"P","")</f>
        <v>P</v>
      </c>
      <c r="B725" s="311" t="str">
        <f>IF(LEN('Ch6'!H472)=0,"",'Ch6'!H472)</f>
        <v/>
      </c>
      <c r="C725" s="311" t="str">
        <f t="shared" si="14"/>
        <v>P</v>
      </c>
      <c r="D725" s="111">
        <v>611.29999999999995</v>
      </c>
      <c r="E725" s="941"/>
      <c r="F725" s="954"/>
      <c r="G725" s="1331" t="s">
        <v>792</v>
      </c>
      <c r="I725" s="89">
        <f>'Ch6'!O472</f>
        <v>1</v>
      </c>
      <c r="J725" s="1443" t="s">
        <v>4226</v>
      </c>
    </row>
    <row r="726" spans="1:10" x14ac:dyDescent="0.3">
      <c r="A726" s="727" t="str">
        <f>A725</f>
        <v>P</v>
      </c>
      <c r="B726" s="311" t="str">
        <f>IF(LEN('Ch6'!H473)=0,"",'Ch6'!H473)</f>
        <v/>
      </c>
      <c r="C726" s="311" t="str">
        <f t="shared" si="14"/>
        <v>P</v>
      </c>
      <c r="D726" s="106"/>
      <c r="E726" s="204"/>
      <c r="F726" s="204"/>
      <c r="G726" s="1313"/>
      <c r="J726" s="1443"/>
    </row>
    <row r="727" spans="1:10" ht="15" customHeight="1" x14ac:dyDescent="0.3">
      <c r="B727" s="311" t="str">
        <f>IF(LEN('Ch6'!H474)=0,"",'Ch6'!H474)</f>
        <v/>
      </c>
      <c r="C727" s="311" t="str">
        <f t="shared" si="14"/>
        <v/>
      </c>
      <c r="D727" s="152"/>
      <c r="E727" s="926" t="s">
        <v>271</v>
      </c>
      <c r="F727" s="204"/>
      <c r="G727" s="1305" t="s">
        <v>793</v>
      </c>
      <c r="H727" s="89">
        <f>'Ch6'!W474</f>
        <v>0</v>
      </c>
      <c r="J727" s="996"/>
    </row>
    <row r="728" spans="1:10" x14ac:dyDescent="0.3">
      <c r="B728" s="311" t="str">
        <f>IF(LEN('Ch6'!H475)=0,"",'Ch6'!H475)</f>
        <v/>
      </c>
      <c r="C728" s="311" t="str">
        <f t="shared" si="14"/>
        <v/>
      </c>
      <c r="D728" s="152"/>
      <c r="E728" s="204"/>
      <c r="F728" s="204"/>
      <c r="G728" s="1305"/>
      <c r="J728" s="1001"/>
    </row>
    <row r="729" spans="1:10" x14ac:dyDescent="0.3">
      <c r="B729" s="311" t="str">
        <f>IF(LEN('Ch6'!H476)=0,"",'Ch6'!H476)</f>
        <v/>
      </c>
      <c r="C729" s="311" t="str">
        <f t="shared" si="14"/>
        <v/>
      </c>
      <c r="D729" s="152"/>
      <c r="E729" s="204"/>
      <c r="F729" s="204"/>
      <c r="G729" s="1305"/>
      <c r="J729" s="1001"/>
    </row>
    <row r="730" spans="1:10" x14ac:dyDescent="0.3">
      <c r="B730" s="311" t="str">
        <f>IF(LEN('Ch6'!H477)=0,"",'Ch6'!H477)</f>
        <v/>
      </c>
      <c r="C730" s="311" t="str">
        <f t="shared" si="14"/>
        <v/>
      </c>
      <c r="D730" s="152"/>
      <c r="E730" s="204"/>
      <c r="F730" s="204"/>
      <c r="G730" s="1305"/>
      <c r="J730" s="1001"/>
    </row>
    <row r="731" spans="1:10" x14ac:dyDescent="0.3">
      <c r="B731" s="311" t="str">
        <f>IF(LEN('Ch6'!H478)=0,"",'Ch6'!H478)</f>
        <v/>
      </c>
      <c r="C731" s="311" t="str">
        <f t="shared" si="14"/>
        <v/>
      </c>
      <c r="D731" s="152"/>
      <c r="E731" s="232"/>
      <c r="F731" s="232"/>
      <c r="G731" s="1306"/>
      <c r="J731" s="1001"/>
    </row>
    <row r="732" spans="1:10" ht="15" customHeight="1" x14ac:dyDescent="0.3">
      <c r="B732" s="311" t="str">
        <f>IF(LEN('Ch6'!H479)=0,"",'Ch6'!H479)</f>
        <v/>
      </c>
      <c r="C732" s="311" t="str">
        <f t="shared" si="14"/>
        <v/>
      </c>
      <c r="D732" s="152"/>
      <c r="E732" s="958" t="s">
        <v>273</v>
      </c>
      <c r="F732" s="959"/>
      <c r="G732" s="1356" t="s">
        <v>794</v>
      </c>
      <c r="H732" s="89">
        <f>'Ch6'!W479</f>
        <v>0</v>
      </c>
      <c r="J732" s="1001"/>
    </row>
    <row r="733" spans="1:10" x14ac:dyDescent="0.3">
      <c r="B733" s="311" t="str">
        <f>IF(LEN('Ch6'!H480)=0,"",'Ch6'!H480)</f>
        <v/>
      </c>
      <c r="C733" s="311" t="str">
        <f t="shared" si="14"/>
        <v/>
      </c>
      <c r="D733" s="152"/>
      <c r="E733" s="204"/>
      <c r="F733" s="204"/>
      <c r="G733" s="1305"/>
      <c r="J733" s="1001"/>
    </row>
    <row r="734" spans="1:10" x14ac:dyDescent="0.3">
      <c r="B734" s="311" t="str">
        <f>IF(LEN('Ch6'!H481)=0,"",'Ch6'!H481)</f>
        <v/>
      </c>
      <c r="C734" s="311" t="str">
        <f t="shared" si="14"/>
        <v/>
      </c>
      <c r="D734" s="152"/>
      <c r="E734" s="204"/>
      <c r="F734" s="204"/>
      <c r="G734" s="1305"/>
      <c r="J734" s="1001"/>
    </row>
    <row r="735" spans="1:10" x14ac:dyDescent="0.3">
      <c r="B735" s="311" t="str">
        <f>IF(LEN('Ch6'!H482)=0,"",'Ch6'!H482)</f>
        <v/>
      </c>
      <c r="C735" s="311" t="str">
        <f t="shared" si="14"/>
        <v/>
      </c>
      <c r="D735" s="152"/>
      <c r="E735" s="232"/>
      <c r="F735" s="232"/>
      <c r="G735" s="1306"/>
      <c r="J735" s="1001"/>
    </row>
    <row r="736" spans="1:10" ht="15" customHeight="1" x14ac:dyDescent="0.3">
      <c r="B736" s="311" t="str">
        <f>IF(LEN('Ch6'!H483)=0,"",'Ch6'!H483)</f>
        <v/>
      </c>
      <c r="C736" s="311" t="str">
        <f t="shared" si="14"/>
        <v/>
      </c>
      <c r="D736" s="152"/>
      <c r="E736" s="958" t="s">
        <v>275</v>
      </c>
      <c r="F736" s="959"/>
      <c r="G736" s="1356" t="s">
        <v>795</v>
      </c>
      <c r="H736" s="89">
        <f>'Ch6'!W483</f>
        <v>0</v>
      </c>
      <c r="J736" s="1001"/>
    </row>
    <row r="737" spans="1:10" x14ac:dyDescent="0.3">
      <c r="B737" s="311" t="str">
        <f>IF(LEN('Ch6'!H484)=0,"",'Ch6'!H484)</f>
        <v/>
      </c>
      <c r="C737" s="311" t="str">
        <f t="shared" si="14"/>
        <v/>
      </c>
      <c r="D737" s="152"/>
      <c r="E737" s="232"/>
      <c r="F737" s="232"/>
      <c r="G737" s="1306"/>
      <c r="J737" s="1001"/>
    </row>
    <row r="738" spans="1:10" ht="15" customHeight="1" x14ac:dyDescent="0.3">
      <c r="B738" s="311" t="str">
        <f>IF(LEN('Ch6'!H485)=0,"",'Ch6'!H485)</f>
        <v/>
      </c>
      <c r="C738" s="311" t="str">
        <f t="shared" si="14"/>
        <v/>
      </c>
      <c r="D738" s="152"/>
      <c r="E738" s="958" t="s">
        <v>285</v>
      </c>
      <c r="F738" s="959"/>
      <c r="G738" s="1356" t="s">
        <v>796</v>
      </c>
      <c r="H738" s="89">
        <f>'Ch6'!W485</f>
        <v>0</v>
      </c>
      <c r="J738" s="1001"/>
    </row>
    <row r="739" spans="1:10" x14ac:dyDescent="0.3">
      <c r="B739" s="311" t="str">
        <f>IF(LEN('Ch6'!H486)=0,"",'Ch6'!H486)</f>
        <v/>
      </c>
      <c r="C739" s="311" t="str">
        <f t="shared" si="14"/>
        <v/>
      </c>
      <c r="D739" s="152"/>
      <c r="E739" s="232"/>
      <c r="F739" s="232"/>
      <c r="G739" s="1306"/>
      <c r="J739" s="1001"/>
    </row>
    <row r="740" spans="1:10" x14ac:dyDescent="0.3">
      <c r="B740" s="311" t="str">
        <f>IF(LEN('Ch6'!H487)=0,"",'Ch6'!H487)</f>
        <v/>
      </c>
      <c r="C740" s="311" t="str">
        <f t="shared" si="14"/>
        <v/>
      </c>
      <c r="D740" s="152"/>
      <c r="E740" s="955" t="s">
        <v>291</v>
      </c>
      <c r="F740" s="235"/>
      <c r="G740" s="365" t="s">
        <v>797</v>
      </c>
      <c r="H740" s="89">
        <f>'Ch6'!W487</f>
        <v>0</v>
      </c>
      <c r="J740" s="1001"/>
    </row>
    <row r="741" spans="1:10" x14ac:dyDescent="0.3">
      <c r="B741" s="311" t="str">
        <f>IF(LEN('Ch6'!H488)=0,"",'Ch6'!H488)</f>
        <v/>
      </c>
      <c r="C741" s="311" t="str">
        <f t="shared" si="14"/>
        <v/>
      </c>
      <c r="D741" s="152"/>
      <c r="E741" s="955" t="s">
        <v>293</v>
      </c>
      <c r="F741" s="235"/>
      <c r="G741" s="365" t="s">
        <v>798</v>
      </c>
      <c r="H741" s="89">
        <f>'Ch6'!W488</f>
        <v>0</v>
      </c>
      <c r="J741" s="1001"/>
    </row>
    <row r="742" spans="1:10" ht="15" customHeight="1" x14ac:dyDescent="0.3">
      <c r="B742" s="311" t="str">
        <f>IF(LEN('Ch6'!H489)=0,"",'Ch6'!H489)</f>
        <v/>
      </c>
      <c r="C742" s="311" t="str">
        <f t="shared" si="14"/>
        <v/>
      </c>
      <c r="D742" s="152"/>
      <c r="E742" s="958" t="s">
        <v>405</v>
      </c>
      <c r="F742" s="959"/>
      <c r="G742" s="1356" t="s">
        <v>799</v>
      </c>
      <c r="H742" s="89">
        <f>'Ch6'!W489</f>
        <v>0</v>
      </c>
      <c r="J742" s="1001"/>
    </row>
    <row r="743" spans="1:10" x14ac:dyDescent="0.3">
      <c r="B743" s="311" t="str">
        <f>IF(LEN('Ch6'!H490)=0,"",'Ch6'!H490)</f>
        <v/>
      </c>
      <c r="C743" s="311" t="str">
        <f t="shared" si="14"/>
        <v/>
      </c>
      <c r="D743" s="152"/>
      <c r="E743" s="204"/>
      <c r="F743" s="204"/>
      <c r="G743" s="1305"/>
      <c r="J743" s="1001"/>
    </row>
    <row r="744" spans="1:10" x14ac:dyDescent="0.3">
      <c r="B744" s="311" t="str">
        <f>IF(LEN('Ch6'!H491)=0,"",'Ch6'!H491)</f>
        <v/>
      </c>
      <c r="C744" s="311" t="str">
        <f t="shared" si="14"/>
        <v/>
      </c>
      <c r="D744" s="152"/>
      <c r="E744" s="204"/>
      <c r="F744" s="204"/>
      <c r="G744" s="1305"/>
      <c r="J744" s="1001"/>
    </row>
    <row r="745" spans="1:10" x14ac:dyDescent="0.3">
      <c r="B745" s="311" t="str">
        <f>IF(LEN('Ch6'!H492)=0,"",'Ch6'!H492)</f>
        <v/>
      </c>
      <c r="C745" s="311" t="str">
        <f t="shared" si="14"/>
        <v/>
      </c>
      <c r="D745" s="152"/>
      <c r="E745" s="232"/>
      <c r="F745" s="232"/>
      <c r="G745" s="1306"/>
      <c r="J745" s="1001"/>
    </row>
    <row r="746" spans="1:10" ht="15" customHeight="1" x14ac:dyDescent="0.3">
      <c r="B746" s="311" t="str">
        <f>IF(LEN('Ch6'!H493)=0,"",'Ch6'!H493)</f>
        <v/>
      </c>
      <c r="C746" s="311" t="str">
        <f t="shared" si="14"/>
        <v/>
      </c>
      <c r="D746" s="152"/>
      <c r="E746" s="958" t="s">
        <v>456</v>
      </c>
      <c r="F746" s="959"/>
      <c r="G746" s="1356" t="s">
        <v>800</v>
      </c>
      <c r="H746" s="89">
        <f>'Ch6'!W493</f>
        <v>0</v>
      </c>
      <c r="J746" s="1001"/>
    </row>
    <row r="747" spans="1:10" x14ac:dyDescent="0.3">
      <c r="B747" s="311" t="str">
        <f>IF(LEN('Ch6'!H494)=0,"",'Ch6'!H494)</f>
        <v/>
      </c>
      <c r="C747" s="311" t="str">
        <f t="shared" si="14"/>
        <v/>
      </c>
      <c r="D747" s="152"/>
      <c r="E747" s="232"/>
      <c r="F747" s="232"/>
      <c r="G747" s="1306"/>
      <c r="J747" s="1001"/>
    </row>
    <row r="748" spans="1:10" ht="15" customHeight="1" x14ac:dyDescent="0.3">
      <c r="B748" s="311" t="str">
        <f>IF(LEN('Ch6'!H495)=0,"",'Ch6'!H495)</f>
        <v/>
      </c>
      <c r="C748" s="311" t="str">
        <f t="shared" si="14"/>
        <v/>
      </c>
      <c r="D748" s="152"/>
      <c r="E748" s="925" t="s">
        <v>458</v>
      </c>
      <c r="F748" s="919"/>
      <c r="G748" s="1329" t="s">
        <v>801</v>
      </c>
      <c r="H748" s="89" t="b">
        <f>'Ch6'!W495</f>
        <v>1</v>
      </c>
      <c r="J748" s="1001"/>
    </row>
    <row r="749" spans="1:10" x14ac:dyDescent="0.3">
      <c r="B749" s="311" t="str">
        <f>IF(LEN('Ch6'!H496)=0,"",'Ch6'!H496)</f>
        <v/>
      </c>
      <c r="C749" s="311" t="str">
        <f t="shared" si="14"/>
        <v/>
      </c>
      <c r="D749" s="152"/>
      <c r="E749" s="919"/>
      <c r="F749" s="919"/>
      <c r="G749" s="1329"/>
      <c r="J749" s="1001"/>
    </row>
    <row r="750" spans="1:10" ht="15.75" customHeight="1" thickTop="1" x14ac:dyDescent="0.3">
      <c r="A750" s="727" t="str">
        <f>IF('Ch6'!O497&gt;0,"P","")</f>
        <v/>
      </c>
      <c r="B750" s="311" t="str">
        <f>IF(LEN('Ch6'!H497)=0,"",'Ch6'!H497)</f>
        <v/>
      </c>
      <c r="C750" s="311" t="str">
        <f t="shared" si="14"/>
        <v/>
      </c>
      <c r="D750" s="111">
        <v>611.4</v>
      </c>
      <c r="E750" s="954"/>
      <c r="F750" s="954"/>
      <c r="G750" s="1331" t="s">
        <v>802</v>
      </c>
      <c r="I750" s="89">
        <f>'Ch6'!O497</f>
        <v>0</v>
      </c>
      <c r="J750" s="989"/>
    </row>
    <row r="751" spans="1:10" x14ac:dyDescent="0.3">
      <c r="A751" s="727" t="str">
        <f>A750</f>
        <v/>
      </c>
      <c r="B751" s="311" t="str">
        <f>IF(LEN('Ch6'!H498)=0,"",'Ch6'!H498)</f>
        <v/>
      </c>
      <c r="C751" s="311" t="str">
        <f t="shared" si="14"/>
        <v/>
      </c>
      <c r="D751" s="106"/>
      <c r="E751" s="204"/>
      <c r="F751" s="204"/>
      <c r="G751" s="1313"/>
      <c r="J751" s="989"/>
    </row>
    <row r="752" spans="1:10" x14ac:dyDescent="0.3">
      <c r="A752" s="727" t="str">
        <f>A751</f>
        <v/>
      </c>
      <c r="B752" s="311" t="str">
        <f>IF(LEN('Ch6'!H499)=0,"",'Ch6'!H499)</f>
        <v/>
      </c>
      <c r="C752" s="311" t="str">
        <f t="shared" si="14"/>
        <v/>
      </c>
      <c r="D752" s="106"/>
      <c r="E752" s="204"/>
      <c r="F752" s="204"/>
      <c r="G752" s="1313"/>
      <c r="J752" s="989"/>
    </row>
    <row r="753" spans="1:10" x14ac:dyDescent="0.3">
      <c r="A753" s="727" t="str">
        <f>A752</f>
        <v/>
      </c>
      <c r="B753" s="311" t="str">
        <f>IF(LEN('Ch6'!H500)=0,"",'Ch6'!H500)</f>
        <v/>
      </c>
      <c r="C753" s="311" t="str">
        <f t="shared" si="14"/>
        <v/>
      </c>
      <c r="D753" s="106"/>
      <c r="E753" s="204"/>
      <c r="F753" s="204"/>
      <c r="G753" s="1313"/>
      <c r="J753" s="989"/>
    </row>
    <row r="754" spans="1:10" x14ac:dyDescent="0.3">
      <c r="A754" s="727" t="str">
        <f>A753</f>
        <v/>
      </c>
      <c r="B754" s="311" t="str">
        <f>IF(LEN('Ch6'!H501)=0,"",'Ch6'!H501)</f>
        <v/>
      </c>
      <c r="C754" s="311" t="str">
        <f t="shared" si="14"/>
        <v/>
      </c>
      <c r="D754" s="927"/>
      <c r="E754" s="232"/>
      <c r="F754" s="232"/>
      <c r="G754" s="1350"/>
      <c r="J754" s="989"/>
    </row>
    <row r="755" spans="1:10" ht="15" customHeight="1" x14ac:dyDescent="0.3">
      <c r="A755" s="1196" t="str">
        <f>IF(COUNTIF(A756,"P")&gt;0,"P","")</f>
        <v/>
      </c>
      <c r="B755" s="311" t="str">
        <f>IF(LEN('Ch6'!H502)=0,"",'Ch6'!H502)</f>
        <v/>
      </c>
      <c r="C755" s="311" t="str">
        <f t="shared" si="14"/>
        <v/>
      </c>
      <c r="D755" s="152" t="s">
        <v>803</v>
      </c>
      <c r="E755" s="919"/>
      <c r="F755" s="919"/>
      <c r="G755" s="1377" t="s">
        <v>804</v>
      </c>
      <c r="J755" s="1444" t="s">
        <v>4345</v>
      </c>
    </row>
    <row r="756" spans="1:10" ht="15" customHeight="1" x14ac:dyDescent="0.3">
      <c r="A756" s="727" t="str">
        <f>IF(AND(LEN('Ch6'!W503)&gt;0,NOT('Ch6'!W503=FALSE)),"P","")</f>
        <v/>
      </c>
      <c r="B756" s="311" t="str">
        <f>IF(LEN('Ch6'!H503)=0,"",'Ch6'!H503)</f>
        <v/>
      </c>
      <c r="C756" s="311" t="str">
        <f t="shared" si="14"/>
        <v/>
      </c>
      <c r="D756" s="152"/>
      <c r="E756" s="919"/>
      <c r="F756" s="919"/>
      <c r="G756" s="1377"/>
      <c r="H756" s="89">
        <f>'Ch6'!W503</f>
        <v>0</v>
      </c>
      <c r="J756" s="1444"/>
    </row>
    <row r="757" spans="1:10" x14ac:dyDescent="0.3">
      <c r="A757" s="727" t="str">
        <f t="shared" ref="A757:A762" si="15">A756</f>
        <v/>
      </c>
      <c r="B757" s="311" t="str">
        <f>IF(LEN('Ch6'!H504)=0,"",'Ch6'!H504)</f>
        <v/>
      </c>
      <c r="C757" s="311" t="str">
        <f t="shared" si="14"/>
        <v/>
      </c>
      <c r="D757" s="152"/>
      <c r="E757" s="919"/>
      <c r="F757" s="919"/>
      <c r="G757" s="1377"/>
      <c r="J757" s="1444"/>
    </row>
    <row r="758" spans="1:10" x14ac:dyDescent="0.3">
      <c r="A758" s="727" t="str">
        <f t="shared" si="15"/>
        <v/>
      </c>
      <c r="B758" s="311" t="str">
        <f>IF(LEN('Ch6'!H505)=0,"",'Ch6'!H505)</f>
        <v/>
      </c>
      <c r="C758" s="311" t="str">
        <f t="shared" si="14"/>
        <v/>
      </c>
      <c r="D758" s="152"/>
      <c r="E758" s="919"/>
      <c r="F758" s="919"/>
      <c r="G758" s="1377"/>
      <c r="J758" s="1444"/>
    </row>
    <row r="759" spans="1:10" x14ac:dyDescent="0.3">
      <c r="A759" s="727" t="str">
        <f t="shared" si="15"/>
        <v/>
      </c>
      <c r="B759" s="311" t="str">
        <f>IF(LEN('Ch6'!H506)=0,"",'Ch6'!H506)</f>
        <v/>
      </c>
      <c r="C759" s="311" t="str">
        <f t="shared" si="14"/>
        <v/>
      </c>
      <c r="D759" s="152"/>
      <c r="E759" s="919"/>
      <c r="F759" s="919"/>
      <c r="G759" s="1377"/>
      <c r="J759" s="1444"/>
    </row>
    <row r="760" spans="1:10" x14ac:dyDescent="0.3">
      <c r="A760" s="727" t="str">
        <f t="shared" si="15"/>
        <v/>
      </c>
      <c r="B760" s="311" t="str">
        <f>IF(LEN('Ch6'!H507)=0,"",'Ch6'!H507)</f>
        <v/>
      </c>
      <c r="C760" s="311" t="str">
        <f t="shared" si="14"/>
        <v/>
      </c>
      <c r="D760" s="152"/>
      <c r="E760" s="919"/>
      <c r="F760" s="919"/>
      <c r="G760" s="1377"/>
      <c r="J760" s="1444"/>
    </row>
    <row r="761" spans="1:10" x14ac:dyDescent="0.3">
      <c r="A761" s="727" t="str">
        <f t="shared" si="15"/>
        <v/>
      </c>
      <c r="B761" s="311" t="str">
        <f>IF(LEN('Ch6'!H508)=0,"",'Ch6'!H508)</f>
        <v/>
      </c>
      <c r="C761" s="311" t="str">
        <f t="shared" si="14"/>
        <v/>
      </c>
      <c r="D761" s="152"/>
      <c r="E761" s="919"/>
      <c r="F761" s="919"/>
      <c r="G761" s="1377"/>
      <c r="J761" s="1444"/>
    </row>
    <row r="762" spans="1:10" x14ac:dyDescent="0.3">
      <c r="A762" s="727" t="str">
        <f t="shared" si="15"/>
        <v/>
      </c>
      <c r="B762" s="311" t="str">
        <f>IF(LEN('Ch6'!H509)=0,"",'Ch6'!H509)</f>
        <v/>
      </c>
      <c r="C762" s="311" t="str">
        <f t="shared" si="14"/>
        <v/>
      </c>
      <c r="D762" s="152"/>
      <c r="E762" s="919"/>
      <c r="F762" s="919"/>
      <c r="G762" s="1377"/>
      <c r="J762" s="1444"/>
    </row>
    <row r="763" spans="1:10" x14ac:dyDescent="0.3">
      <c r="B763" s="311" t="str">
        <f>IF(LEN('Ch6'!H510)=0,"",'Ch6'!H510)</f>
        <v/>
      </c>
      <c r="C763" s="311" t="str">
        <f t="shared" si="14"/>
        <v/>
      </c>
      <c r="D763" s="927"/>
      <c r="E763" s="232"/>
      <c r="F763" s="232"/>
      <c r="G763" s="685" t="s">
        <v>3343</v>
      </c>
      <c r="J763" s="989"/>
    </row>
    <row r="764" spans="1:10" ht="15" customHeight="1" x14ac:dyDescent="0.3">
      <c r="A764" s="1196" t="str">
        <f>IF(COUNTIF(A766,"P")&gt;0,"P","")</f>
        <v/>
      </c>
      <c r="B764" s="311" t="str">
        <f>IF(LEN('Ch6'!H511)=0,"",'Ch6'!H511)</f>
        <v/>
      </c>
      <c r="C764" s="311" t="str">
        <f t="shared" si="14"/>
        <v/>
      </c>
      <c r="D764" s="106" t="s">
        <v>805</v>
      </c>
      <c r="E764" s="204"/>
      <c r="F764" s="204"/>
      <c r="G764" s="1342" t="s">
        <v>806</v>
      </c>
      <c r="J764" s="1444" t="s">
        <v>4346</v>
      </c>
    </row>
    <row r="765" spans="1:10" x14ac:dyDescent="0.3">
      <c r="A765" s="727" t="str">
        <f>A764</f>
        <v/>
      </c>
      <c r="B765" s="311" t="str">
        <f>IF(LEN('Ch6'!H512)=0,"",'Ch6'!H512)</f>
        <v/>
      </c>
      <c r="C765" s="311" t="str">
        <f t="shared" si="14"/>
        <v/>
      </c>
      <c r="D765" s="106"/>
      <c r="E765" s="204"/>
      <c r="F765" s="204"/>
      <c r="G765" s="1342"/>
      <c r="J765" s="1444"/>
    </row>
    <row r="766" spans="1:10" x14ac:dyDescent="0.3">
      <c r="A766" s="727" t="str">
        <f>IF(AND(LEN('Ch6'!W513)&gt;0,NOT('Ch6'!W513=FALSE)),"P","")</f>
        <v/>
      </c>
      <c r="B766" s="311" t="str">
        <f>IF(LEN('Ch6'!H513)=0,"",'Ch6'!H513)</f>
        <v/>
      </c>
      <c r="C766" s="311" t="str">
        <f t="shared" si="14"/>
        <v/>
      </c>
      <c r="D766" s="106"/>
      <c r="E766" s="204"/>
      <c r="F766" s="204"/>
      <c r="G766" s="1342"/>
      <c r="H766" s="89">
        <f>'Ch6'!W513</f>
        <v>0</v>
      </c>
      <c r="J766" s="1444"/>
    </row>
    <row r="767" spans="1:10" x14ac:dyDescent="0.3">
      <c r="A767" s="727" t="str">
        <f>A766</f>
        <v/>
      </c>
      <c r="B767" s="311" t="str">
        <f>IF(LEN('Ch6'!H514)=0,"",'Ch6'!H514)</f>
        <v/>
      </c>
      <c r="C767" s="311" t="str">
        <f t="shared" si="14"/>
        <v/>
      </c>
      <c r="D767" s="106"/>
      <c r="E767" s="204"/>
      <c r="F767" s="204"/>
      <c r="G767" s="1342"/>
      <c r="J767" s="1444"/>
    </row>
    <row r="768" spans="1:10" x14ac:dyDescent="0.3">
      <c r="A768" s="727" t="str">
        <f>A767</f>
        <v/>
      </c>
      <c r="B768" s="311" t="str">
        <f>IF(LEN('Ch6'!H515)=0,"",'Ch6'!H515)</f>
        <v/>
      </c>
      <c r="C768" s="311" t="str">
        <f t="shared" si="14"/>
        <v/>
      </c>
      <c r="D768" s="106"/>
      <c r="E768" s="204"/>
      <c r="F768" s="204"/>
      <c r="G768" s="1342"/>
      <c r="J768" s="1444"/>
    </row>
    <row r="769" spans="1:10" x14ac:dyDescent="0.3">
      <c r="A769" s="727" t="str">
        <f>A768</f>
        <v/>
      </c>
      <c r="B769" s="311" t="str">
        <f>IF(LEN('Ch6'!H516)=0,"",'Ch6'!H516)</f>
        <v/>
      </c>
      <c r="C769" s="311" t="str">
        <f t="shared" si="14"/>
        <v/>
      </c>
      <c r="D769" s="106"/>
      <c r="E769" s="204"/>
      <c r="F769" s="204"/>
      <c r="G769" s="1342"/>
      <c r="J769" s="1444"/>
    </row>
    <row r="770" spans="1:10" ht="15" thickBot="1" x14ac:dyDescent="0.35">
      <c r="B770" s="311" t="str">
        <f>IF(LEN('Ch6'!H517)=0,"",'Ch6'!H517)</f>
        <v/>
      </c>
      <c r="C770" s="311" t="str">
        <f t="shared" si="14"/>
        <v/>
      </c>
      <c r="D770" s="942"/>
      <c r="E770" s="942"/>
      <c r="F770" s="942"/>
      <c r="G770" s="370" t="s">
        <v>3343</v>
      </c>
      <c r="J770" s="989"/>
    </row>
    <row r="771" spans="1:10" ht="18.600000000000001" thickTop="1" x14ac:dyDescent="0.35">
      <c r="A771" s="727" t="s">
        <v>4389</v>
      </c>
      <c r="B771" s="311" t="str">
        <f>IF(LEN('Ch7'!H9)=0,"",'Ch7'!H9)</f>
        <v/>
      </c>
      <c r="C771" s="311" t="str">
        <f t="shared" si="14"/>
        <v>P</v>
      </c>
      <c r="D771" s="82" t="s">
        <v>947</v>
      </c>
      <c r="E771" s="82"/>
      <c r="F771" s="82"/>
      <c r="G771" s="23"/>
      <c r="H771" s="23"/>
      <c r="I771" s="23"/>
      <c r="J771" s="1003"/>
    </row>
    <row r="772" spans="1:10" x14ac:dyDescent="0.3">
      <c r="B772" s="311" t="str">
        <f>IF(LEN('Ch7'!H10)=0,"",'Ch7'!H10)</f>
        <v/>
      </c>
      <c r="C772" s="311" t="str">
        <f t="shared" si="14"/>
        <v/>
      </c>
      <c r="D772" s="106">
        <v>701.1</v>
      </c>
      <c r="E772" s="961"/>
      <c r="F772" s="909"/>
      <c r="G772" s="1313" t="s">
        <v>948</v>
      </c>
      <c r="J772" s="989"/>
    </row>
    <row r="773" spans="1:10" ht="15" thickBot="1" x14ac:dyDescent="0.35">
      <c r="B773" s="311" t="str">
        <f>IF(LEN('Ch7'!H11)=0,"",'Ch7'!H11)</f>
        <v/>
      </c>
      <c r="C773" s="311" t="str">
        <f t="shared" si="14"/>
        <v/>
      </c>
      <c r="D773" s="106"/>
      <c r="E773" s="961"/>
      <c r="F773" s="909"/>
      <c r="G773" s="1313"/>
      <c r="J773" s="989"/>
    </row>
    <row r="774" spans="1:10" ht="15" customHeight="1" x14ac:dyDescent="0.3">
      <c r="B774" s="311" t="str">
        <f>IF(LEN('Ch7'!H12)=0,"",'Ch7'!H12)</f>
        <v/>
      </c>
      <c r="C774" s="311" t="str">
        <f t="shared" si="14"/>
        <v/>
      </c>
      <c r="D774" s="106"/>
      <c r="E774" s="961"/>
      <c r="F774" s="909"/>
      <c r="G774" s="1313"/>
      <c r="H774" s="89" t="str">
        <f>'Ch7'!W12</f>
        <v>Alt. Bronze or Silver</v>
      </c>
      <c r="J774" s="996"/>
    </row>
    <row r="775" spans="1:10" ht="15" thickBot="1" x14ac:dyDescent="0.35">
      <c r="B775" s="311" t="str">
        <f>IF(LEN('Ch7'!H13)=0,"",'Ch7'!H13)</f>
        <v/>
      </c>
      <c r="C775" s="311" t="str">
        <f t="shared" si="14"/>
        <v/>
      </c>
      <c r="D775" s="927"/>
      <c r="E775" s="962"/>
      <c r="F775" s="910"/>
      <c r="G775" s="1350"/>
      <c r="H775" s="983">
        <f>IFERROR(MATCH(H774,dd701_,0),0)</f>
        <v>0</v>
      </c>
      <c r="J775" s="1008"/>
    </row>
    <row r="776" spans="1:10" ht="15" customHeight="1" x14ac:dyDescent="0.3">
      <c r="A776" s="727" t="str">
        <f>IF(H775=1,"P","")</f>
        <v/>
      </c>
      <c r="B776" s="311" t="str">
        <f>IF(LEN('Ch7'!H14)=0,"",'Ch7'!H14)</f>
        <v/>
      </c>
      <c r="C776" s="311" t="str">
        <f t="shared" ref="C776:C839" si="16">IF(LEN(B776)=0,IF(A776="P","P",""),B776)</f>
        <v/>
      </c>
      <c r="D776" s="929" t="s">
        <v>949</v>
      </c>
      <c r="E776" s="915"/>
      <c r="F776" s="915"/>
      <c r="G776" s="1364" t="s">
        <v>950</v>
      </c>
      <c r="J776" s="1445" t="s">
        <v>4402</v>
      </c>
    </row>
    <row r="777" spans="1:10" ht="37.5" customHeight="1" x14ac:dyDescent="0.3">
      <c r="A777" s="727" t="str">
        <f>A776</f>
        <v/>
      </c>
      <c r="B777" s="311" t="str">
        <f>IF(LEN('Ch7'!H15)=0,"",'Ch7'!H15)</f>
        <v/>
      </c>
      <c r="C777" s="311" t="str">
        <f t="shared" si="16"/>
        <v/>
      </c>
      <c r="D777" s="232"/>
      <c r="E777" s="910"/>
      <c r="F777" s="910"/>
      <c r="G777" s="1350"/>
      <c r="J777" s="1445"/>
    </row>
    <row r="778" spans="1:10" ht="15" thickBot="1" x14ac:dyDescent="0.35">
      <c r="A778" s="727" t="str">
        <f>IF(H775=2,"P","")</f>
        <v/>
      </c>
      <c r="B778" s="311" t="str">
        <f>IF(LEN('Ch7'!H16)=0,"",'Ch7'!H16)</f>
        <v/>
      </c>
      <c r="C778" s="311" t="str">
        <f t="shared" si="16"/>
        <v/>
      </c>
      <c r="D778" s="929" t="s">
        <v>951</v>
      </c>
      <c r="E778" s="915"/>
      <c r="F778" s="915"/>
      <c r="G778" s="1364" t="s">
        <v>952</v>
      </c>
      <c r="J778" s="1441" t="s">
        <v>4226</v>
      </c>
    </row>
    <row r="779" spans="1:10" ht="15" thickBot="1" x14ac:dyDescent="0.35">
      <c r="A779" s="727" t="str">
        <f t="shared" ref="A779:A780" si="17">A778</f>
        <v/>
      </c>
      <c r="B779" s="311" t="str">
        <f>IF(LEN('Ch7'!H17)=0,"",'Ch7'!H17)</f>
        <v/>
      </c>
      <c r="C779" s="311" t="str">
        <f t="shared" si="16"/>
        <v/>
      </c>
      <c r="D779" s="204"/>
      <c r="E779" s="909"/>
      <c r="F779" s="909"/>
      <c r="G779" s="1313"/>
      <c r="J779" s="1441"/>
    </row>
    <row r="780" spans="1:10" ht="15" thickBot="1" x14ac:dyDescent="0.35">
      <c r="A780" s="727" t="str">
        <f t="shared" si="17"/>
        <v/>
      </c>
      <c r="B780" s="311" t="str">
        <f>IF(LEN('Ch7'!H18)=0,"",'Ch7'!H18)</f>
        <v/>
      </c>
      <c r="C780" s="311" t="str">
        <f t="shared" si="16"/>
        <v/>
      </c>
      <c r="D780" s="232"/>
      <c r="E780" s="910"/>
      <c r="F780" s="910"/>
      <c r="G780" s="1350"/>
      <c r="J780" s="1441"/>
    </row>
    <row r="781" spans="1:10" ht="15" thickBot="1" x14ac:dyDescent="0.35">
      <c r="A781" s="727" t="str">
        <f>IF(H775=3,"P","")</f>
        <v/>
      </c>
      <c r="B781" s="311" t="str">
        <f>IF(LEN('Ch7'!H19)=0,"",'Ch7'!H19)</f>
        <v/>
      </c>
      <c r="C781" s="311" t="str">
        <f t="shared" si="16"/>
        <v/>
      </c>
      <c r="D781" s="106" t="s">
        <v>953</v>
      </c>
      <c r="E781" s="909"/>
      <c r="F781" s="909"/>
      <c r="G781" s="1313" t="s">
        <v>954</v>
      </c>
      <c r="J781" s="1442" t="s">
        <v>4403</v>
      </c>
    </row>
    <row r="782" spans="1:10" ht="15" thickBot="1" x14ac:dyDescent="0.35">
      <c r="A782" s="727" t="str">
        <f t="shared" ref="A782:A783" si="18">A781</f>
        <v/>
      </c>
      <c r="B782" s="311" t="str">
        <f>IF(LEN('Ch7'!H20)=0,"",'Ch7'!H20)</f>
        <v/>
      </c>
      <c r="C782" s="311" t="str">
        <f t="shared" si="16"/>
        <v/>
      </c>
      <c r="D782" s="204"/>
      <c r="E782" s="909"/>
      <c r="F782" s="909"/>
      <c r="G782" s="1313"/>
      <c r="J782" s="1442"/>
    </row>
    <row r="783" spans="1:10" ht="15" thickBot="1" x14ac:dyDescent="0.35">
      <c r="A783" s="727" t="str">
        <f t="shared" si="18"/>
        <v/>
      </c>
      <c r="B783" s="311" t="str">
        <f>IF(LEN('Ch7'!H21)=0,"",'Ch7'!H21)</f>
        <v/>
      </c>
      <c r="C783" s="311" t="str">
        <f t="shared" si="16"/>
        <v/>
      </c>
      <c r="D783" s="232"/>
      <c r="E783" s="910"/>
      <c r="F783" s="910"/>
      <c r="G783" s="1350"/>
      <c r="J783" s="1442"/>
    </row>
    <row r="784" spans="1:10" ht="15" customHeight="1" x14ac:dyDescent="0.3">
      <c r="A784" s="727" t="str">
        <f>IF(H775=4,"P","")</f>
        <v/>
      </c>
      <c r="B784" s="311" t="str">
        <f>IF(LEN('Ch7'!H22)=0,"",'Ch7'!H22)</f>
        <v/>
      </c>
      <c r="C784" s="311" t="str">
        <f t="shared" si="16"/>
        <v/>
      </c>
      <c r="D784" s="106" t="s">
        <v>955</v>
      </c>
      <c r="E784" s="909"/>
      <c r="F784" s="909"/>
      <c r="G784" s="1313" t="s">
        <v>956</v>
      </c>
      <c r="I784" s="89">
        <f ca="1">'Ch7'!O22</f>
        <v>30</v>
      </c>
      <c r="J784" s="1444" t="s">
        <v>4404</v>
      </c>
    </row>
    <row r="785" spans="1:10" ht="15" thickBot="1" x14ac:dyDescent="0.35">
      <c r="A785" s="727" t="str">
        <f t="shared" ref="A785:A791" si="19">A784</f>
        <v/>
      </c>
      <c r="B785" s="311" t="str">
        <f>IF(LEN('Ch7'!H23)=0,"",'Ch7'!H23)</f>
        <v/>
      </c>
      <c r="C785" s="311" t="str">
        <f t="shared" si="16"/>
        <v/>
      </c>
      <c r="D785" s="204"/>
      <c r="E785" s="909"/>
      <c r="F785" s="909"/>
      <c r="G785" s="1313"/>
      <c r="H785" s="89" t="str">
        <f>'Ch7'!W23</f>
        <v>Alt. Bronze</v>
      </c>
      <c r="J785" s="1444"/>
    </row>
    <row r="786" spans="1:10" ht="15" thickBot="1" x14ac:dyDescent="0.35">
      <c r="A786" s="727" t="str">
        <f t="shared" si="19"/>
        <v/>
      </c>
      <c r="B786" s="311" t="str">
        <f>IF(LEN('Ch7'!H24)=0,"",'Ch7'!H24)</f>
        <v/>
      </c>
      <c r="C786" s="311" t="str">
        <f t="shared" si="16"/>
        <v/>
      </c>
      <c r="D786" s="204"/>
      <c r="E786" s="909"/>
      <c r="F786" s="909"/>
      <c r="G786" s="1313"/>
      <c r="J786" s="1444"/>
    </row>
    <row r="787" spans="1:10" ht="15" thickBot="1" x14ac:dyDescent="0.35">
      <c r="A787" s="727" t="str">
        <f t="shared" si="19"/>
        <v/>
      </c>
      <c r="B787" s="311" t="str">
        <f>IF(LEN('Ch7'!H25)=0,"",'Ch7'!H25)</f>
        <v/>
      </c>
      <c r="C787" s="311" t="str">
        <f t="shared" si="16"/>
        <v/>
      </c>
      <c r="D787" s="204"/>
      <c r="E787" s="909"/>
      <c r="F787" s="909"/>
      <c r="G787" s="1313"/>
      <c r="J787" s="1444"/>
    </row>
    <row r="788" spans="1:10" ht="15" thickBot="1" x14ac:dyDescent="0.35">
      <c r="A788" s="727" t="str">
        <f t="shared" si="19"/>
        <v/>
      </c>
      <c r="B788" s="311" t="str">
        <f>IF(LEN('Ch7'!H26)=0,"",'Ch7'!H26)</f>
        <v/>
      </c>
      <c r="C788" s="311" t="str">
        <f t="shared" si="16"/>
        <v/>
      </c>
      <c r="D788" s="204"/>
      <c r="E788" s="909"/>
      <c r="F788" s="909"/>
      <c r="G788" s="1313"/>
      <c r="J788" s="1444"/>
    </row>
    <row r="789" spans="1:10" ht="15" thickBot="1" x14ac:dyDescent="0.35">
      <c r="A789" s="727" t="str">
        <f t="shared" si="19"/>
        <v/>
      </c>
      <c r="B789" s="311" t="str">
        <f>IF(LEN('Ch7'!H27)=0,"",'Ch7'!H27)</f>
        <v/>
      </c>
      <c r="C789" s="311" t="str">
        <f t="shared" si="16"/>
        <v/>
      </c>
      <c r="D789" s="204"/>
      <c r="E789" s="909"/>
      <c r="F789" s="909"/>
      <c r="G789" s="1313"/>
      <c r="J789" s="1444"/>
    </row>
    <row r="790" spans="1:10" ht="15" thickBot="1" x14ac:dyDescent="0.35">
      <c r="A790" s="727" t="str">
        <f t="shared" si="19"/>
        <v/>
      </c>
      <c r="B790" s="311" t="str">
        <f>IF(LEN('Ch7'!H28)=0,"",'Ch7'!H28)</f>
        <v/>
      </c>
      <c r="C790" s="311" t="str">
        <f t="shared" si="16"/>
        <v/>
      </c>
      <c r="D790" s="204"/>
      <c r="E790" s="909"/>
      <c r="F790" s="909"/>
      <c r="G790" s="1313"/>
      <c r="J790" s="1444"/>
    </row>
    <row r="791" spans="1:10" ht="15" thickBot="1" x14ac:dyDescent="0.35">
      <c r="A791" s="727" t="str">
        <f t="shared" si="19"/>
        <v/>
      </c>
      <c r="B791" s="311" t="str">
        <f>IF(LEN('Ch7'!H29)=0,"",'Ch7'!H29)</f>
        <v/>
      </c>
      <c r="C791" s="311" t="str">
        <f t="shared" si="16"/>
        <v/>
      </c>
      <c r="D791" s="934"/>
      <c r="E791" s="911"/>
      <c r="F791" s="911"/>
      <c r="G791" s="1332"/>
      <c r="J791" s="1444"/>
    </row>
    <row r="792" spans="1:10" ht="15.6" thickTop="1" thickBot="1" x14ac:dyDescent="0.35">
      <c r="B792" s="311" t="str">
        <f>IF(LEN('Ch7'!H30)=0,"",'Ch7'!H30)</f>
        <v/>
      </c>
      <c r="C792" s="311" t="str">
        <f t="shared" si="16"/>
        <v/>
      </c>
      <c r="D792" s="111">
        <v>701.2</v>
      </c>
      <c r="E792" s="963"/>
      <c r="F792" s="963"/>
      <c r="G792" s="1331" t="s">
        <v>957</v>
      </c>
      <c r="J792" s="989"/>
    </row>
    <row r="793" spans="1:10" ht="15" thickBot="1" x14ac:dyDescent="0.35">
      <c r="B793" s="311" t="str">
        <f>IF(LEN('Ch7'!H31)=0,"",'Ch7'!H31)</f>
        <v/>
      </c>
      <c r="C793" s="311" t="str">
        <f t="shared" si="16"/>
        <v/>
      </c>
      <c r="D793" s="934"/>
      <c r="E793" s="911"/>
      <c r="F793" s="911"/>
      <c r="G793" s="1332"/>
      <c r="J793" s="989"/>
    </row>
    <row r="794" spans="1:10" ht="15.75" customHeight="1" thickTop="1" x14ac:dyDescent="0.3">
      <c r="A794" s="727" t="s">
        <v>4389</v>
      </c>
      <c r="B794" s="311" t="str">
        <f>IF(LEN('Ch7'!H32)=0,"",'Ch7'!H32)</f>
        <v/>
      </c>
      <c r="C794" s="311" t="str">
        <f t="shared" si="16"/>
        <v>P</v>
      </c>
      <c r="D794" s="111">
        <v>701.3</v>
      </c>
      <c r="E794" s="963"/>
      <c r="F794" s="963"/>
      <c r="G794" s="1331" t="s">
        <v>958</v>
      </c>
      <c r="H794" s="89">
        <f>'Ch7'!W32</f>
        <v>0</v>
      </c>
      <c r="J794" s="1444" t="s">
        <v>4347</v>
      </c>
    </row>
    <row r="795" spans="1:10" ht="66.75" customHeight="1" x14ac:dyDescent="0.3">
      <c r="A795" s="727" t="s">
        <v>4389</v>
      </c>
      <c r="B795" s="311" t="str">
        <f>IF(LEN('Ch7'!H33)=0,"",'Ch7'!H33)</f>
        <v/>
      </c>
      <c r="C795" s="311" t="str">
        <f t="shared" si="16"/>
        <v>P</v>
      </c>
      <c r="D795" s="204"/>
      <c r="E795" s="909"/>
      <c r="F795" s="909"/>
      <c r="G795" s="1313"/>
      <c r="J795" s="1444"/>
    </row>
    <row r="796" spans="1:10" ht="15" thickBot="1" x14ac:dyDescent="0.35">
      <c r="B796" s="311" t="str">
        <f>IF(LEN('Ch7'!H34)=0,"",'Ch7'!H34)</f>
        <v/>
      </c>
      <c r="C796" s="311" t="str">
        <f t="shared" si="16"/>
        <v/>
      </c>
      <c r="D796" s="934"/>
      <c r="E796" s="911"/>
      <c r="F796" s="911"/>
      <c r="G796" s="692" t="s">
        <v>3602</v>
      </c>
      <c r="J796" s="989"/>
    </row>
    <row r="797" spans="1:10" ht="15" thickTop="1" x14ac:dyDescent="0.3">
      <c r="A797" s="727" t="str">
        <f>IF($H$775&lt;&gt;4,"P","")</f>
        <v>P</v>
      </c>
      <c r="B797" s="311" t="str">
        <f>IF(LEN('Ch7'!H35)=0,"",'Ch7'!H35)</f>
        <v/>
      </c>
      <c r="C797" s="311" t="str">
        <f t="shared" si="16"/>
        <v>P</v>
      </c>
      <c r="D797" s="111">
        <v>701.4</v>
      </c>
      <c r="E797" s="963"/>
      <c r="F797" s="963"/>
      <c r="G797" s="697" t="s">
        <v>959</v>
      </c>
      <c r="J797" s="989"/>
    </row>
    <row r="798" spans="1:10" x14ac:dyDescent="0.3">
      <c r="A798" s="727" t="str">
        <f>A797</f>
        <v>P</v>
      </c>
      <c r="B798" s="311" t="str">
        <f>IF(LEN('Ch7'!H36)=0,"",'Ch7'!H36)</f>
        <v/>
      </c>
      <c r="C798" s="311" t="str">
        <f t="shared" si="16"/>
        <v>P</v>
      </c>
      <c r="D798" s="927" t="s">
        <v>960</v>
      </c>
      <c r="E798" s="910"/>
      <c r="F798" s="910"/>
      <c r="G798" s="690" t="s">
        <v>961</v>
      </c>
      <c r="J798" s="989"/>
    </row>
    <row r="799" spans="1:10" x14ac:dyDescent="0.3">
      <c r="A799" s="727" t="str">
        <f>IF(AND(LEN('Ch7'!W37)&gt;0,NOT('Ch7'!W37=FALSE)),"P","")</f>
        <v/>
      </c>
      <c r="B799" s="311" t="str">
        <f>IF(LEN('Ch7'!H37)=0,"",'Ch7'!H37)</f>
        <v/>
      </c>
      <c r="C799" s="311" t="str">
        <f t="shared" si="16"/>
        <v/>
      </c>
      <c r="D799" s="929" t="s">
        <v>962</v>
      </c>
      <c r="E799" s="915"/>
      <c r="F799" s="915"/>
      <c r="G799" s="1364" t="s">
        <v>963</v>
      </c>
      <c r="H799" s="89">
        <f>'Ch7'!W37</f>
        <v>0</v>
      </c>
      <c r="J799" s="1444" t="s">
        <v>4364</v>
      </c>
    </row>
    <row r="800" spans="1:10" x14ac:dyDescent="0.3">
      <c r="A800" s="727" t="str">
        <f>A799</f>
        <v/>
      </c>
      <c r="B800" s="311" t="str">
        <f>IF(LEN('Ch7'!H38)=0,"",'Ch7'!H38)</f>
        <v/>
      </c>
      <c r="C800" s="311" t="str">
        <f t="shared" si="16"/>
        <v/>
      </c>
      <c r="D800" s="204"/>
      <c r="E800" s="909"/>
      <c r="F800" s="909"/>
      <c r="G800" s="1313"/>
      <c r="J800" s="1444"/>
    </row>
    <row r="801" spans="1:10" x14ac:dyDescent="0.3">
      <c r="A801" s="727" t="str">
        <f>A800</f>
        <v/>
      </c>
      <c r="B801" s="311" t="str">
        <f>IF(LEN('Ch7'!H39)=0,"",'Ch7'!H39)</f>
        <v/>
      </c>
      <c r="C801" s="311" t="str">
        <f t="shared" si="16"/>
        <v/>
      </c>
      <c r="D801" s="232"/>
      <c r="E801" s="910"/>
      <c r="F801" s="910"/>
      <c r="G801" s="1350"/>
      <c r="J801" s="1444"/>
    </row>
    <row r="802" spans="1:10" ht="15" customHeight="1" x14ac:dyDescent="0.3">
      <c r="A802" s="727" t="str">
        <f>IF(AND(LEN('Ch7'!W40)&gt;0,NOT('Ch7'!W40=FALSE)),"P","")</f>
        <v/>
      </c>
      <c r="B802" s="311" t="str">
        <f>IF(LEN('Ch7'!H40)=0,"",'Ch7'!H40)</f>
        <v/>
      </c>
      <c r="C802" s="311" t="str">
        <f t="shared" si="16"/>
        <v/>
      </c>
      <c r="D802" s="929" t="s">
        <v>964</v>
      </c>
      <c r="E802" s="915"/>
      <c r="F802" s="915"/>
      <c r="G802" s="1364" t="s">
        <v>965</v>
      </c>
      <c r="H802" s="89">
        <f>'Ch7'!W40</f>
        <v>0</v>
      </c>
      <c r="J802" s="1444" t="s">
        <v>4348</v>
      </c>
    </row>
    <row r="803" spans="1:10" x14ac:dyDescent="0.3">
      <c r="A803" s="727" t="str">
        <f>A802</f>
        <v/>
      </c>
      <c r="B803" s="311" t="str">
        <f>IF(LEN('Ch7'!H41)=0,"",'Ch7'!H41)</f>
        <v/>
      </c>
      <c r="C803" s="311" t="str">
        <f t="shared" si="16"/>
        <v/>
      </c>
      <c r="D803" s="204"/>
      <c r="E803" s="909"/>
      <c r="F803" s="909"/>
      <c r="G803" s="1313"/>
      <c r="J803" s="1444"/>
    </row>
    <row r="804" spans="1:10" x14ac:dyDescent="0.3">
      <c r="A804" s="727" t="str">
        <f>A803</f>
        <v/>
      </c>
      <c r="B804" s="311" t="str">
        <f>IF(LEN('Ch7'!H42)=0,"",'Ch7'!H42)</f>
        <v/>
      </c>
      <c r="C804" s="311" t="str">
        <f t="shared" si="16"/>
        <v/>
      </c>
      <c r="D804" s="204"/>
      <c r="E804" s="909"/>
      <c r="F804" s="909"/>
      <c r="G804" s="1313"/>
      <c r="J804" s="1444"/>
    </row>
    <row r="805" spans="1:10" x14ac:dyDescent="0.3">
      <c r="A805" s="727" t="str">
        <f>A804</f>
        <v/>
      </c>
      <c r="B805" s="311" t="str">
        <f>IF(LEN('Ch7'!H43)=0,"",'Ch7'!H43)</f>
        <v/>
      </c>
      <c r="C805" s="311" t="str">
        <f t="shared" si="16"/>
        <v/>
      </c>
      <c r="D805" s="204"/>
      <c r="E805" s="909"/>
      <c r="F805" s="909"/>
      <c r="G805" s="1313"/>
      <c r="J805" s="1444"/>
    </row>
    <row r="806" spans="1:10" x14ac:dyDescent="0.3">
      <c r="A806" s="727" t="str">
        <f>A805</f>
        <v/>
      </c>
      <c r="B806" s="311" t="str">
        <f>IF(LEN('Ch7'!H44)=0,"",'Ch7'!H44)</f>
        <v/>
      </c>
      <c r="C806" s="311" t="str">
        <f t="shared" si="16"/>
        <v/>
      </c>
      <c r="D806" s="232"/>
      <c r="E806" s="910"/>
      <c r="F806" s="910"/>
      <c r="G806" s="1350"/>
      <c r="J806" s="1444"/>
    </row>
    <row r="807" spans="1:10" x14ac:dyDescent="0.3">
      <c r="A807" s="1196" t="str">
        <f>IF(COUNTIF(A808:A812,"P")&gt;0,"P","")</f>
        <v/>
      </c>
      <c r="B807" s="311" t="str">
        <f>IF(LEN('Ch7'!H45)=0,"",'Ch7'!H45)</f>
        <v/>
      </c>
      <c r="C807" s="311" t="str">
        <f t="shared" si="16"/>
        <v/>
      </c>
      <c r="D807" s="929" t="s">
        <v>966</v>
      </c>
      <c r="E807" s="915"/>
      <c r="F807" s="915"/>
      <c r="G807" s="691" t="s">
        <v>967</v>
      </c>
      <c r="J807" s="989"/>
    </row>
    <row r="808" spans="1:10" ht="15" customHeight="1" x14ac:dyDescent="0.3">
      <c r="A808" s="727" t="str">
        <f>IF(AND(LEN('Ch7'!W46)&gt;0,NOT('Ch7'!W46=FALSE)),"P","")</f>
        <v/>
      </c>
      <c r="B808" s="311" t="str">
        <f>IF(LEN('Ch7'!H46)=0,"",'Ch7'!H46)</f>
        <v/>
      </c>
      <c r="C808" s="311" t="str">
        <f t="shared" si="16"/>
        <v/>
      </c>
      <c r="D808" s="106" t="s">
        <v>4078</v>
      </c>
      <c r="E808" s="909"/>
      <c r="F808" s="909"/>
      <c r="G808" s="1313" t="s">
        <v>968</v>
      </c>
      <c r="H808" s="89">
        <f>'Ch7'!W46</f>
        <v>0</v>
      </c>
      <c r="J808" s="1444" t="s">
        <v>4349</v>
      </c>
    </row>
    <row r="809" spans="1:10" x14ac:dyDescent="0.3">
      <c r="A809" s="727" t="str">
        <f>A808</f>
        <v/>
      </c>
      <c r="B809" s="311" t="str">
        <f>IF(LEN('Ch7'!H47)=0,"",'Ch7'!H47)</f>
        <v/>
      </c>
      <c r="C809" s="311" t="str">
        <f t="shared" si="16"/>
        <v/>
      </c>
      <c r="D809" s="106"/>
      <c r="E809" s="909"/>
      <c r="F809" s="909"/>
      <c r="G809" s="1313"/>
      <c r="J809" s="1444"/>
    </row>
    <row r="810" spans="1:10" x14ac:dyDescent="0.3">
      <c r="A810" s="727" t="str">
        <f>A809</f>
        <v/>
      </c>
      <c r="B810" s="311" t="str">
        <f>IF(LEN('Ch7'!H48)=0,"",'Ch7'!H48)</f>
        <v/>
      </c>
      <c r="C810" s="311" t="str">
        <f t="shared" si="16"/>
        <v/>
      </c>
      <c r="D810" s="927"/>
      <c r="E810" s="910"/>
      <c r="F810" s="910"/>
      <c r="G810" s="1350"/>
      <c r="J810" s="1444"/>
    </row>
    <row r="811" spans="1:10" ht="15" customHeight="1" x14ac:dyDescent="0.3">
      <c r="A811" s="727" t="str">
        <f>IF(AND(LEN('Ch7'!W49)&gt;0,NOT('Ch7'!W49=FALSE)),"P","")</f>
        <v/>
      </c>
      <c r="B811" s="311" t="str">
        <f>IF(LEN('Ch7'!H49)=0,"",'Ch7'!H49)</f>
        <v/>
      </c>
      <c r="C811" s="311" t="str">
        <f t="shared" si="16"/>
        <v/>
      </c>
      <c r="D811" s="944" t="s">
        <v>969</v>
      </c>
      <c r="E811" s="364"/>
      <c r="F811" s="364"/>
      <c r="G811" s="633" t="s">
        <v>970</v>
      </c>
      <c r="H811" s="89">
        <f>'Ch7'!W49</f>
        <v>0</v>
      </c>
      <c r="J811" s="989" t="s">
        <v>4226</v>
      </c>
    </row>
    <row r="812" spans="1:10" x14ac:dyDescent="0.3">
      <c r="A812" s="727" t="str">
        <f>IF(AND(LEN('Ch7'!W50)&gt;0,NOT('Ch7'!W50=FALSE)),"P","")</f>
        <v/>
      </c>
      <c r="B812" s="311" t="str">
        <f>IF(LEN('Ch7'!H50)=0,"",'Ch7'!H50)</f>
        <v/>
      </c>
      <c r="C812" s="311" t="str">
        <f t="shared" si="16"/>
        <v/>
      </c>
      <c r="D812" s="929" t="s">
        <v>971</v>
      </c>
      <c r="E812" s="915"/>
      <c r="F812" s="915"/>
      <c r="G812" s="1364" t="s">
        <v>972</v>
      </c>
      <c r="H812" s="89">
        <f>'Ch7'!W50</f>
        <v>0</v>
      </c>
      <c r="J812" s="1440" t="s">
        <v>4350</v>
      </c>
    </row>
    <row r="813" spans="1:10" x14ac:dyDescent="0.3">
      <c r="A813" s="727" t="str">
        <f>A812</f>
        <v/>
      </c>
      <c r="B813" s="311" t="str">
        <f>IF(LEN('Ch7'!H51)=0,"",'Ch7'!H51)</f>
        <v/>
      </c>
      <c r="C813" s="311" t="str">
        <f t="shared" si="16"/>
        <v/>
      </c>
      <c r="D813" s="927"/>
      <c r="E813" s="910"/>
      <c r="F813" s="910"/>
      <c r="G813" s="1350"/>
      <c r="J813" s="1440"/>
    </row>
    <row r="814" spans="1:10" x14ac:dyDescent="0.3">
      <c r="A814" s="727" t="str">
        <f>IF(AND(LEN('Ch7'!W56)&gt;0,NOT('Ch7'!W56=FALSE)),"P","")</f>
        <v/>
      </c>
      <c r="B814" s="311" t="str">
        <f>IF(LEN('Ch7'!H52)=0,"",'Ch7'!H52)</f>
        <v/>
      </c>
      <c r="C814" s="311" t="str">
        <f t="shared" si="16"/>
        <v/>
      </c>
      <c r="D814" s="929" t="s">
        <v>973</v>
      </c>
      <c r="E814" s="915"/>
      <c r="F814" s="915"/>
      <c r="G814" s="691" t="s">
        <v>974</v>
      </c>
      <c r="J814" s="989"/>
    </row>
    <row r="815" spans="1:10" x14ac:dyDescent="0.3">
      <c r="A815" s="727" t="str">
        <f t="shared" ref="A815:A818" si="20">A814</f>
        <v/>
      </c>
      <c r="B815" s="311" t="str">
        <f>IF(LEN('Ch7'!H53)=0,"",'Ch7'!H53)</f>
        <v/>
      </c>
      <c r="C815" s="311" t="str">
        <f t="shared" si="16"/>
        <v/>
      </c>
      <c r="D815" s="152" t="s">
        <v>975</v>
      </c>
      <c r="E815" s="913"/>
      <c r="F815" s="913"/>
      <c r="G815" s="1292" t="s">
        <v>976</v>
      </c>
      <c r="J815" s="1443" t="s">
        <v>4272</v>
      </c>
    </row>
    <row r="816" spans="1:10" ht="15" customHeight="1" x14ac:dyDescent="0.3">
      <c r="A816" s="727" t="str">
        <f t="shared" si="20"/>
        <v/>
      </c>
      <c r="B816" s="311" t="str">
        <f>IF(LEN('Ch7'!H54)=0,"",'Ch7'!H54)</f>
        <v/>
      </c>
      <c r="C816" s="311" t="str">
        <f t="shared" si="16"/>
        <v/>
      </c>
      <c r="D816" s="919"/>
      <c r="E816" s="913"/>
      <c r="F816" s="913"/>
      <c r="G816" s="1292"/>
      <c r="H816" s="89">
        <f>'Ch7'!W54</f>
        <v>0</v>
      </c>
      <c r="J816" s="1443"/>
    </row>
    <row r="817" spans="1:10" x14ac:dyDescent="0.3">
      <c r="A817" s="727" t="str">
        <f t="shared" si="20"/>
        <v/>
      </c>
      <c r="B817" s="311" t="str">
        <f>IF(LEN('Ch7'!H55)=0,"",'Ch7'!H55)</f>
        <v/>
      </c>
      <c r="C817" s="311" t="str">
        <f t="shared" si="16"/>
        <v/>
      </c>
      <c r="D817" s="919"/>
      <c r="E817" s="913"/>
      <c r="F817" s="913"/>
      <c r="G817" s="1292"/>
      <c r="J817" s="1443"/>
    </row>
    <row r="818" spans="1:10" x14ac:dyDescent="0.3">
      <c r="A818" s="727" t="str">
        <f t="shared" si="20"/>
        <v/>
      </c>
      <c r="B818" s="311" t="str">
        <f>IF(LEN('Ch7'!H56)=0,"",'Ch7'!H56)</f>
        <v/>
      </c>
      <c r="C818" s="311" t="str">
        <f t="shared" si="16"/>
        <v/>
      </c>
      <c r="D818" s="919"/>
      <c r="E818" s="913"/>
      <c r="F818" s="913"/>
      <c r="G818" s="1292"/>
      <c r="H818" s="89">
        <f>'Ch7'!W56</f>
        <v>0</v>
      </c>
      <c r="J818" s="1443"/>
    </row>
    <row r="819" spans="1:10" x14ac:dyDescent="0.3">
      <c r="B819" s="311" t="str">
        <f>IF(LEN('Ch7'!H57)=0,"",'Ch7'!H57)</f>
        <v/>
      </c>
      <c r="C819" s="311" t="str">
        <f t="shared" si="16"/>
        <v/>
      </c>
      <c r="D819" s="919"/>
      <c r="E819" s="913"/>
      <c r="F819" s="964" t="s">
        <v>121</v>
      </c>
      <c r="G819" s="682" t="s">
        <v>977</v>
      </c>
      <c r="J819" s="996"/>
    </row>
    <row r="820" spans="1:10" x14ac:dyDescent="0.3">
      <c r="B820" s="311" t="str">
        <f>IF(LEN('Ch7'!H58)=0,"",'Ch7'!H58)</f>
        <v/>
      </c>
      <c r="C820" s="311" t="str">
        <f t="shared" si="16"/>
        <v/>
      </c>
      <c r="D820" s="919"/>
      <c r="E820" s="913"/>
      <c r="F820" s="964" t="s">
        <v>122</v>
      </c>
      <c r="G820" s="682" t="s">
        <v>978</v>
      </c>
      <c r="J820" s="1001"/>
    </row>
    <row r="821" spans="1:10" ht="15" customHeight="1" x14ac:dyDescent="0.3">
      <c r="B821" s="311" t="str">
        <f>IF(LEN('Ch7'!H59)=0,"",'Ch7'!H59)</f>
        <v/>
      </c>
      <c r="C821" s="311" t="str">
        <f t="shared" si="16"/>
        <v/>
      </c>
      <c r="D821" s="919"/>
      <c r="E821" s="913"/>
      <c r="F821" s="965" t="s">
        <v>123</v>
      </c>
      <c r="G821" s="682" t="s">
        <v>979</v>
      </c>
      <c r="J821" s="1001"/>
    </row>
    <row r="822" spans="1:10" x14ac:dyDescent="0.3">
      <c r="B822" s="311" t="str">
        <f>IF(LEN('Ch7'!H60)=0,"",'Ch7'!H60)</f>
        <v/>
      </c>
      <c r="C822" s="311" t="str">
        <f t="shared" si="16"/>
        <v/>
      </c>
      <c r="D822" s="919"/>
      <c r="E822" s="913"/>
      <c r="F822" s="912" t="s">
        <v>423</v>
      </c>
      <c r="G822" s="682" t="s">
        <v>980</v>
      </c>
      <c r="J822" s="996"/>
    </row>
    <row r="823" spans="1:10" x14ac:dyDescent="0.3">
      <c r="B823" s="311" t="str">
        <f>IF(LEN('Ch7'!H61)=0,"",'Ch7'!H61)</f>
        <v/>
      </c>
      <c r="C823" s="311" t="str">
        <f t="shared" si="16"/>
        <v/>
      </c>
      <c r="D823" s="919"/>
      <c r="E823" s="913"/>
      <c r="F823" s="912" t="s">
        <v>578</v>
      </c>
      <c r="G823" s="682" t="s">
        <v>981</v>
      </c>
      <c r="J823" s="996"/>
    </row>
    <row r="824" spans="1:10" x14ac:dyDescent="0.3">
      <c r="B824" s="311" t="str">
        <f>IF(LEN('Ch7'!H62)=0,"",'Ch7'!H62)</f>
        <v/>
      </c>
      <c r="C824" s="311" t="str">
        <f t="shared" si="16"/>
        <v/>
      </c>
      <c r="D824" s="919"/>
      <c r="E824" s="913"/>
      <c r="F824" s="965" t="s">
        <v>645</v>
      </c>
      <c r="G824" s="682" t="s">
        <v>982</v>
      </c>
      <c r="J824" s="996"/>
    </row>
    <row r="825" spans="1:10" x14ac:dyDescent="0.3">
      <c r="B825" s="311" t="str">
        <f>IF(LEN('Ch7'!H63)=0,"",'Ch7'!H63)</f>
        <v/>
      </c>
      <c r="C825" s="311" t="str">
        <f t="shared" si="16"/>
        <v/>
      </c>
      <c r="D825" s="919"/>
      <c r="E825" s="913"/>
      <c r="F825" s="912" t="s">
        <v>647</v>
      </c>
      <c r="G825" s="682" t="s">
        <v>983</v>
      </c>
      <c r="J825" s="996"/>
    </row>
    <row r="826" spans="1:10" x14ac:dyDescent="0.3">
      <c r="B826" s="311" t="str">
        <f>IF(LEN('Ch7'!H64)=0,"",'Ch7'!H64)</f>
        <v/>
      </c>
      <c r="C826" s="311" t="str">
        <f t="shared" si="16"/>
        <v/>
      </c>
      <c r="D826" s="919"/>
      <c r="E826" s="913"/>
      <c r="F826" s="912" t="s">
        <v>649</v>
      </c>
      <c r="G826" s="682" t="s">
        <v>984</v>
      </c>
      <c r="J826" s="1001"/>
    </row>
    <row r="827" spans="1:10" x14ac:dyDescent="0.3">
      <c r="B827" s="311" t="str">
        <f>IF(LEN('Ch7'!H65)=0,"",'Ch7'!H65)</f>
        <v/>
      </c>
      <c r="C827" s="311" t="str">
        <f t="shared" si="16"/>
        <v/>
      </c>
      <c r="D827" s="919"/>
      <c r="E827" s="913"/>
      <c r="F827" s="912" t="s">
        <v>985</v>
      </c>
      <c r="G827" s="682" t="s">
        <v>986</v>
      </c>
      <c r="J827" s="1001"/>
    </row>
    <row r="828" spans="1:10" x14ac:dyDescent="0.3">
      <c r="B828" s="311" t="str">
        <f>IF(LEN('Ch7'!H66)=0,"",'Ch7'!H66)</f>
        <v/>
      </c>
      <c r="C828" s="311" t="str">
        <f t="shared" si="16"/>
        <v/>
      </c>
      <c r="D828" s="919"/>
      <c r="E828" s="913"/>
      <c r="F828" s="912" t="s">
        <v>987</v>
      </c>
      <c r="G828" s="682" t="s">
        <v>988</v>
      </c>
      <c r="J828" s="1001"/>
    </row>
    <row r="829" spans="1:10" x14ac:dyDescent="0.3">
      <c r="B829" s="311" t="str">
        <f>IF(LEN('Ch7'!H67)=0,"",'Ch7'!H67)</f>
        <v/>
      </c>
      <c r="C829" s="311" t="str">
        <f t="shared" si="16"/>
        <v/>
      </c>
      <c r="D829" s="204"/>
      <c r="E829" s="909"/>
      <c r="F829" s="914" t="s">
        <v>989</v>
      </c>
      <c r="G829" s="675" t="s">
        <v>990</v>
      </c>
      <c r="J829" s="1001"/>
    </row>
    <row r="830" spans="1:10" x14ac:dyDescent="0.3">
      <c r="B830" s="311" t="str">
        <f>IF(LEN('Ch7'!H68)=0,"",'Ch7'!H68)</f>
        <v/>
      </c>
      <c r="C830" s="311" t="str">
        <f t="shared" si="16"/>
        <v/>
      </c>
      <c r="D830" s="232"/>
      <c r="E830" s="910"/>
      <c r="F830" s="916" t="s">
        <v>991</v>
      </c>
      <c r="G830" s="676" t="s">
        <v>992</v>
      </c>
      <c r="J830" s="1001"/>
    </row>
    <row r="831" spans="1:10" x14ac:dyDescent="0.3">
      <c r="A831" s="727" t="str">
        <f>IF(H834&lt;&gt;0,"P","")</f>
        <v/>
      </c>
      <c r="B831" s="311" t="str">
        <f>IF(LEN('Ch7'!H69)=0,"",'Ch7'!H69)</f>
        <v/>
      </c>
      <c r="C831" s="311" t="str">
        <f t="shared" si="16"/>
        <v/>
      </c>
      <c r="D831" s="152" t="s">
        <v>993</v>
      </c>
      <c r="E831" s="913"/>
      <c r="F831" s="913"/>
      <c r="G831" s="1292" t="s">
        <v>994</v>
      </c>
      <c r="J831" s="989"/>
    </row>
    <row r="832" spans="1:10" x14ac:dyDescent="0.3">
      <c r="A832" s="727" t="str">
        <f>A831</f>
        <v/>
      </c>
      <c r="B832" s="311" t="str">
        <f>IF(LEN('Ch7'!H70)=0,"",'Ch7'!H70)</f>
        <v/>
      </c>
      <c r="C832" s="311" t="str">
        <f t="shared" si="16"/>
        <v/>
      </c>
      <c r="D832" s="919"/>
      <c r="E832" s="913"/>
      <c r="F832" s="913"/>
      <c r="G832" s="1292"/>
      <c r="J832" s="989"/>
    </row>
    <row r="833" spans="1:10" x14ac:dyDescent="0.3">
      <c r="A833" s="727" t="str">
        <f>A832</f>
        <v/>
      </c>
      <c r="B833" s="311" t="str">
        <f>IF(LEN('Ch7'!H71)=0,"",'Ch7'!H71)</f>
        <v/>
      </c>
      <c r="C833" s="311" t="str">
        <f t="shared" si="16"/>
        <v/>
      </c>
      <c r="D833" s="919"/>
      <c r="E833" s="913"/>
      <c r="F833" s="913"/>
      <c r="G833" s="1292"/>
      <c r="J833" s="989"/>
    </row>
    <row r="834" spans="1:10" x14ac:dyDescent="0.3">
      <c r="A834" s="727" t="str">
        <f>IF(AND(LEN('Ch7'!W72)&gt;0,NOT('Ch7'!W72=FALSE)),"P","")</f>
        <v/>
      </c>
      <c r="B834" s="311" t="str">
        <f>IF(LEN('Ch7'!H72)=0,"",'Ch7'!H72)</f>
        <v/>
      </c>
      <c r="C834" s="311" t="str">
        <f t="shared" si="16"/>
        <v/>
      </c>
      <c r="D834" s="919"/>
      <c r="E834" s="964" t="s">
        <v>271</v>
      </c>
      <c r="F834" s="913"/>
      <c r="G834" s="1292" t="s">
        <v>995</v>
      </c>
      <c r="H834" s="89">
        <f>'Ch7'!W72</f>
        <v>0</v>
      </c>
      <c r="J834" s="1440" t="s">
        <v>4405</v>
      </c>
    </row>
    <row r="835" spans="1:10" x14ac:dyDescent="0.3">
      <c r="A835" s="727" t="str">
        <f>A834</f>
        <v/>
      </c>
      <c r="B835" s="311" t="str">
        <f>IF(LEN('Ch7'!H73)=0,"",'Ch7'!H73)</f>
        <v/>
      </c>
      <c r="C835" s="311" t="str">
        <f t="shared" si="16"/>
        <v/>
      </c>
      <c r="D835" s="919"/>
      <c r="E835" s="913"/>
      <c r="F835" s="913"/>
      <c r="G835" s="1292"/>
      <c r="J835" s="1440"/>
    </row>
    <row r="836" spans="1:10" x14ac:dyDescent="0.3">
      <c r="A836" s="727" t="str">
        <f>A835</f>
        <v/>
      </c>
      <c r="B836" s="311" t="str">
        <f>IF(LEN('Ch7'!H74)=0,"",'Ch7'!H74)</f>
        <v/>
      </c>
      <c r="C836" s="311" t="str">
        <f t="shared" si="16"/>
        <v/>
      </c>
      <c r="D836" s="919"/>
      <c r="E836" s="913"/>
      <c r="F836" s="913"/>
      <c r="G836" s="1292"/>
      <c r="J836" s="1440"/>
    </row>
    <row r="837" spans="1:10" x14ac:dyDescent="0.3">
      <c r="A837" s="727" t="str">
        <f>A836</f>
        <v/>
      </c>
      <c r="B837" s="311" t="str">
        <f>IF(LEN('Ch7'!H75)=0,"",'Ch7'!H75)</f>
        <v/>
      </c>
      <c r="C837" s="311" t="str">
        <f t="shared" si="16"/>
        <v/>
      </c>
      <c r="D837" s="919"/>
      <c r="E837" s="913"/>
      <c r="F837" s="913"/>
      <c r="G837" s="1292"/>
      <c r="J837" s="1440"/>
    </row>
    <row r="838" spans="1:10" x14ac:dyDescent="0.3">
      <c r="A838" s="727" t="str">
        <f>A837</f>
        <v/>
      </c>
      <c r="B838" s="311" t="str">
        <f>IF(LEN('Ch7'!H76)=0,"",'Ch7'!H76)</f>
        <v/>
      </c>
      <c r="C838" s="311" t="str">
        <f t="shared" si="16"/>
        <v/>
      </c>
      <c r="D838" s="919"/>
      <c r="E838" s="913"/>
      <c r="F838" s="913"/>
      <c r="G838" s="1292"/>
      <c r="J838" s="1440"/>
    </row>
    <row r="839" spans="1:10" x14ac:dyDescent="0.3">
      <c r="B839" s="311" t="str">
        <f>IF(LEN('Ch7'!H77)=0,"",'Ch7'!H77)</f>
        <v/>
      </c>
      <c r="C839" s="311" t="str">
        <f t="shared" si="16"/>
        <v/>
      </c>
      <c r="D839" s="919"/>
      <c r="E839" s="913"/>
      <c r="F839" s="964" t="s">
        <v>121</v>
      </c>
      <c r="G839" s="682" t="s">
        <v>996</v>
      </c>
      <c r="J839" s="989"/>
    </row>
    <row r="840" spans="1:10" x14ac:dyDescent="0.3">
      <c r="B840" s="311" t="str">
        <f>IF(LEN('Ch7'!H78)=0,"",'Ch7'!H78)</f>
        <v/>
      </c>
      <c r="C840" s="311" t="str">
        <f t="shared" ref="C840:C903" si="21">IF(LEN(B840)=0,IF(A840="P","P",""),B840)</f>
        <v/>
      </c>
      <c r="D840" s="919"/>
      <c r="E840" s="913"/>
      <c r="F840" s="964" t="s">
        <v>122</v>
      </c>
      <c r="G840" s="1329" t="s">
        <v>997</v>
      </c>
      <c r="J840" s="989"/>
    </row>
    <row r="841" spans="1:10" x14ac:dyDescent="0.3">
      <c r="B841" s="311" t="str">
        <f>IF(LEN('Ch7'!H79)=0,"",'Ch7'!H79)</f>
        <v/>
      </c>
      <c r="C841" s="311" t="str">
        <f t="shared" si="21"/>
        <v/>
      </c>
      <c r="D841" s="919"/>
      <c r="E841" s="913"/>
      <c r="F841" s="964"/>
      <c r="G841" s="1329"/>
      <c r="J841" s="989"/>
    </row>
    <row r="842" spans="1:10" x14ac:dyDescent="0.3">
      <c r="B842" s="311" t="str">
        <f>IF(LEN('Ch7'!H80)=0,"",'Ch7'!H80)</f>
        <v/>
      </c>
      <c r="C842" s="311" t="str">
        <f t="shared" si="21"/>
        <v/>
      </c>
      <c r="D842" s="919"/>
      <c r="E842" s="913"/>
      <c r="F842" s="965" t="s">
        <v>123</v>
      </c>
      <c r="G842" s="682" t="s">
        <v>998</v>
      </c>
      <c r="J842" s="989"/>
    </row>
    <row r="843" spans="1:10" x14ac:dyDescent="0.3">
      <c r="B843" s="311" t="str">
        <f>IF(LEN('Ch7'!H81)=0,"",'Ch7'!H81)</f>
        <v/>
      </c>
      <c r="C843" s="311" t="str">
        <f t="shared" si="21"/>
        <v/>
      </c>
      <c r="D843" s="919"/>
      <c r="E843" s="913"/>
      <c r="F843" s="912" t="s">
        <v>423</v>
      </c>
      <c r="G843" s="1329" t="s">
        <v>999</v>
      </c>
      <c r="J843" s="989"/>
    </row>
    <row r="844" spans="1:10" x14ac:dyDescent="0.3">
      <c r="B844" s="311" t="str">
        <f>IF(LEN('Ch7'!H82)=0,"",'Ch7'!H82)</f>
        <v/>
      </c>
      <c r="C844" s="311" t="str">
        <f t="shared" si="21"/>
        <v/>
      </c>
      <c r="D844" s="919"/>
      <c r="E844" s="913"/>
      <c r="F844" s="912"/>
      <c r="G844" s="1329"/>
      <c r="J844" s="989"/>
    </row>
    <row r="845" spans="1:10" x14ac:dyDescent="0.3">
      <c r="B845" s="311" t="str">
        <f>IF(LEN('Ch7'!H83)=0,"",'Ch7'!H83)</f>
        <v/>
      </c>
      <c r="C845" s="311" t="str">
        <f t="shared" si="21"/>
        <v/>
      </c>
      <c r="D845" s="919"/>
      <c r="E845" s="913"/>
      <c r="F845" s="912" t="s">
        <v>578</v>
      </c>
      <c r="G845" s="682" t="s">
        <v>1000</v>
      </c>
      <c r="J845" s="989"/>
    </row>
    <row r="846" spans="1:10" x14ac:dyDescent="0.3">
      <c r="B846" s="311" t="str">
        <f>IF(LEN('Ch7'!H84)=0,"",'Ch7'!H84)</f>
        <v/>
      </c>
      <c r="C846" s="311" t="str">
        <f t="shared" si="21"/>
        <v/>
      </c>
      <c r="D846" s="919"/>
      <c r="E846" s="913"/>
      <c r="F846" s="965" t="s">
        <v>645</v>
      </c>
      <c r="G846" s="682" t="s">
        <v>1001</v>
      </c>
      <c r="J846" s="989"/>
    </row>
    <row r="847" spans="1:10" x14ac:dyDescent="0.3">
      <c r="B847" s="311" t="str">
        <f>IF(LEN('Ch7'!H85)=0,"",'Ch7'!H85)</f>
        <v/>
      </c>
      <c r="C847" s="311" t="str">
        <f t="shared" si="21"/>
        <v/>
      </c>
      <c r="D847" s="919"/>
      <c r="E847" s="913"/>
      <c r="F847" s="912" t="s">
        <v>647</v>
      </c>
      <c r="G847" s="682" t="s">
        <v>1002</v>
      </c>
      <c r="J847" s="989"/>
    </row>
    <row r="848" spans="1:10" x14ac:dyDescent="0.3">
      <c r="B848" s="311" t="str">
        <f>IF(LEN('Ch7'!H86)=0,"",'Ch7'!H86)</f>
        <v/>
      </c>
      <c r="C848" s="311" t="str">
        <f t="shared" si="21"/>
        <v/>
      </c>
      <c r="D848" s="919"/>
      <c r="E848" s="909"/>
      <c r="F848" s="966"/>
      <c r="G848" s="1394" t="s">
        <v>4075</v>
      </c>
      <c r="J848" s="989"/>
    </row>
    <row r="849" spans="1:10" x14ac:dyDescent="0.3">
      <c r="B849" s="311" t="str">
        <f>IF(LEN('Ch7'!H87)=0,"",'Ch7'!H87)</f>
        <v/>
      </c>
      <c r="C849" s="311" t="str">
        <f t="shared" si="21"/>
        <v/>
      </c>
      <c r="D849" s="919"/>
      <c r="E849" s="910"/>
      <c r="F849" s="967"/>
      <c r="G849" s="1396"/>
      <c r="J849" s="989"/>
    </row>
    <row r="850" spans="1:10" x14ac:dyDescent="0.3">
      <c r="A850" s="727" t="str">
        <f>IF(AND(LEN('Ch7'!W88)&gt;0,NOT('Ch7'!W88=FALSE)),"P","")</f>
        <v/>
      </c>
      <c r="B850" s="311" t="str">
        <f>IF(LEN('Ch7'!H88)=0,"",'Ch7'!H88)</f>
        <v/>
      </c>
      <c r="C850" s="311" t="str">
        <f t="shared" si="21"/>
        <v/>
      </c>
      <c r="D850" s="204"/>
      <c r="E850" s="961" t="s">
        <v>273</v>
      </c>
      <c r="F850" s="909"/>
      <c r="G850" s="1313" t="s">
        <v>1003</v>
      </c>
      <c r="H850" s="89">
        <f>'Ch7'!W88</f>
        <v>0</v>
      </c>
      <c r="J850" s="1439" t="s">
        <v>4226</v>
      </c>
    </row>
    <row r="851" spans="1:10" x14ac:dyDescent="0.3">
      <c r="A851" s="727" t="str">
        <f>A850</f>
        <v/>
      </c>
      <c r="B851" s="311" t="str">
        <f>IF(LEN('Ch7'!H89)=0,"",'Ch7'!H89)</f>
        <v/>
      </c>
      <c r="C851" s="311" t="str">
        <f t="shared" si="21"/>
        <v/>
      </c>
      <c r="D851" s="204"/>
      <c r="E851" s="909"/>
      <c r="F851" s="909"/>
      <c r="G851" s="1313"/>
      <c r="J851" s="1439"/>
    </row>
    <row r="852" spans="1:10" x14ac:dyDescent="0.3">
      <c r="B852" s="311" t="str">
        <f>IF(LEN('Ch7'!H90)=0,"",'Ch7'!H90)</f>
        <v/>
      </c>
      <c r="C852" s="311" t="str">
        <f t="shared" si="21"/>
        <v/>
      </c>
      <c r="D852" s="232"/>
      <c r="E852" s="910"/>
      <c r="F852" s="910"/>
      <c r="G852" s="634" t="s">
        <v>3636</v>
      </c>
      <c r="J852" s="989"/>
    </row>
    <row r="853" spans="1:10" x14ac:dyDescent="0.3">
      <c r="A853" s="727" t="str">
        <f>IF(AND(LEN('Ch7'!W91)&gt;0,NOT('Ch7'!W91=FALSE)),"P","")</f>
        <v/>
      </c>
      <c r="B853" s="311" t="str">
        <f>IF(LEN('Ch7'!H91)=0,"",'Ch7'!H91)</f>
        <v/>
      </c>
      <c r="C853" s="311" t="str">
        <f t="shared" si="21"/>
        <v/>
      </c>
      <c r="D853" s="152" t="s">
        <v>1004</v>
      </c>
      <c r="E853" s="913"/>
      <c r="F853" s="913"/>
      <c r="G853" s="687" t="s">
        <v>1005</v>
      </c>
      <c r="H853" s="89">
        <f>'Ch7'!W91</f>
        <v>0</v>
      </c>
      <c r="J853" s="989" t="s">
        <v>4226</v>
      </c>
    </row>
    <row r="854" spans="1:10" x14ac:dyDescent="0.3">
      <c r="B854" s="311" t="str">
        <f>IF(LEN('Ch7'!H92)=0,"",'Ch7'!H92)</f>
        <v/>
      </c>
      <c r="C854" s="311" t="str">
        <f t="shared" si="21"/>
        <v/>
      </c>
      <c r="D854" s="919"/>
      <c r="E854" s="962" t="s">
        <v>271</v>
      </c>
      <c r="F854" s="910"/>
      <c r="G854" s="676" t="s">
        <v>1006</v>
      </c>
      <c r="J854" s="989"/>
    </row>
    <row r="855" spans="1:10" x14ac:dyDescent="0.3">
      <c r="B855" s="311" t="str">
        <f>IF(LEN('Ch7'!H93)=0,"",'Ch7'!H93)</f>
        <v/>
      </c>
      <c r="C855" s="311" t="str">
        <f t="shared" si="21"/>
        <v/>
      </c>
      <c r="D855" s="919"/>
      <c r="E855" s="968" t="s">
        <v>273</v>
      </c>
      <c r="F855" s="915"/>
      <c r="G855" s="1356" t="s">
        <v>1007</v>
      </c>
      <c r="J855" s="989"/>
    </row>
    <row r="856" spans="1:10" x14ac:dyDescent="0.3">
      <c r="B856" s="311" t="str">
        <f>IF(LEN('Ch7'!H94)=0,"",'Ch7'!H94)</f>
        <v/>
      </c>
      <c r="C856" s="311" t="str">
        <f t="shared" si="21"/>
        <v/>
      </c>
      <c r="D856" s="919"/>
      <c r="E856" s="962"/>
      <c r="F856" s="910"/>
      <c r="G856" s="1306"/>
      <c r="J856" s="989"/>
    </row>
    <row r="857" spans="1:10" x14ac:dyDescent="0.3">
      <c r="B857" s="311" t="str">
        <f>IF(LEN('Ch7'!H95)=0,"",'Ch7'!H95)</f>
        <v/>
      </c>
      <c r="C857" s="311" t="str">
        <f t="shared" si="21"/>
        <v/>
      </c>
      <c r="D857" s="919"/>
      <c r="E857" s="969" t="s">
        <v>275</v>
      </c>
      <c r="F857" s="364"/>
      <c r="G857" s="365" t="s">
        <v>1008</v>
      </c>
      <c r="J857" s="989"/>
    </row>
    <row r="858" spans="1:10" x14ac:dyDescent="0.3">
      <c r="B858" s="311" t="str">
        <f>IF(LEN('Ch7'!H96)=0,"",'Ch7'!H96)</f>
        <v/>
      </c>
      <c r="C858" s="311" t="str">
        <f t="shared" si="21"/>
        <v/>
      </c>
      <c r="D858" s="919"/>
      <c r="E858" s="964" t="s">
        <v>285</v>
      </c>
      <c r="F858" s="913"/>
      <c r="G858" s="1329" t="s">
        <v>1009</v>
      </c>
      <c r="J858" s="989"/>
    </row>
    <row r="859" spans="1:10" x14ac:dyDescent="0.3">
      <c r="B859" s="311" t="str">
        <f>IF(LEN('Ch7'!H97)=0,"",'Ch7'!H97)</f>
        <v/>
      </c>
      <c r="C859" s="311" t="str">
        <f t="shared" si="21"/>
        <v/>
      </c>
      <c r="D859" s="919"/>
      <c r="E859" s="964"/>
      <c r="F859" s="913"/>
      <c r="G859" s="1329"/>
      <c r="J859" s="989"/>
    </row>
    <row r="860" spans="1:10" x14ac:dyDescent="0.3">
      <c r="B860" s="311" t="str">
        <f>IF(LEN('Ch7'!H98)=0,"",'Ch7'!H98)</f>
        <v/>
      </c>
      <c r="C860" s="311" t="str">
        <f t="shared" si="21"/>
        <v/>
      </c>
      <c r="D860" s="919"/>
      <c r="E860" s="964"/>
      <c r="F860" s="913"/>
      <c r="G860" s="1329"/>
      <c r="J860" s="989"/>
    </row>
    <row r="861" spans="1:10" x14ac:dyDescent="0.3">
      <c r="B861" s="311" t="str">
        <f>IF(LEN('Ch7'!H99)=0,"",'Ch7'!H99)</f>
        <v/>
      </c>
      <c r="C861" s="311" t="str">
        <f t="shared" si="21"/>
        <v/>
      </c>
      <c r="D861" s="919"/>
      <c r="E861" s="964"/>
      <c r="F861" s="913"/>
      <c r="G861" s="1329"/>
      <c r="J861" s="989"/>
    </row>
    <row r="862" spans="1:10" x14ac:dyDescent="0.3">
      <c r="B862" s="311" t="str">
        <f>IF(LEN('Ch7'!H100)=0,"",'Ch7'!H100)</f>
        <v/>
      </c>
      <c r="C862" s="311" t="str">
        <f t="shared" si="21"/>
        <v/>
      </c>
      <c r="D862" s="919"/>
      <c r="E862" s="961" t="s">
        <v>291</v>
      </c>
      <c r="F862" s="909"/>
      <c r="G862" s="1305" t="s">
        <v>1010</v>
      </c>
      <c r="J862" s="989"/>
    </row>
    <row r="863" spans="1:10" x14ac:dyDescent="0.3">
      <c r="B863" s="311" t="str">
        <f>IF(LEN('Ch7'!H101)=0,"",'Ch7'!H101)</f>
        <v/>
      </c>
      <c r="C863" s="311" t="str">
        <f t="shared" si="21"/>
        <v/>
      </c>
      <c r="D863" s="919"/>
      <c r="E863" s="962"/>
      <c r="F863" s="910"/>
      <c r="G863" s="1306"/>
      <c r="J863" s="989"/>
    </row>
    <row r="864" spans="1:10" x14ac:dyDescent="0.3">
      <c r="B864" s="311" t="str">
        <f>IF(LEN('Ch7'!H102)=0,"",'Ch7'!H102)</f>
        <v/>
      </c>
      <c r="C864" s="311" t="str">
        <f t="shared" si="21"/>
        <v/>
      </c>
      <c r="D864" s="919"/>
      <c r="E864" s="968" t="s">
        <v>293</v>
      </c>
      <c r="F864" s="915"/>
      <c r="G864" s="1356" t="s">
        <v>1011</v>
      </c>
      <c r="J864" s="989"/>
    </row>
    <row r="865" spans="1:10" x14ac:dyDescent="0.3">
      <c r="B865" s="311" t="str">
        <f>IF(LEN('Ch7'!H103)=0,"",'Ch7'!H103)</f>
        <v/>
      </c>
      <c r="C865" s="311" t="str">
        <f t="shared" si="21"/>
        <v/>
      </c>
      <c r="D865" s="919"/>
      <c r="E865" s="961"/>
      <c r="F865" s="909"/>
      <c r="G865" s="1305"/>
      <c r="J865" s="989"/>
    </row>
    <row r="866" spans="1:10" x14ac:dyDescent="0.3">
      <c r="B866" s="311" t="str">
        <f>IF(LEN('Ch7'!H104)=0,"",'Ch7'!H104)</f>
        <v/>
      </c>
      <c r="C866" s="311" t="str">
        <f t="shared" si="21"/>
        <v/>
      </c>
      <c r="D866" s="919"/>
      <c r="E866" s="962"/>
      <c r="F866" s="910"/>
      <c r="G866" s="1306"/>
      <c r="J866" s="989"/>
    </row>
    <row r="867" spans="1:10" x14ac:dyDescent="0.3">
      <c r="B867" s="311" t="str">
        <f>IF(LEN('Ch7'!H105)=0,"",'Ch7'!H105)</f>
        <v/>
      </c>
      <c r="C867" s="311" t="str">
        <f t="shared" si="21"/>
        <v/>
      </c>
      <c r="D867" s="919"/>
      <c r="E867" s="968" t="s">
        <v>405</v>
      </c>
      <c r="F867" s="915"/>
      <c r="G867" s="1356" t="s">
        <v>1012</v>
      </c>
      <c r="J867" s="989"/>
    </row>
    <row r="868" spans="1:10" x14ac:dyDescent="0.3">
      <c r="B868" s="311" t="str">
        <f>IF(LEN('Ch7'!H106)=0,"",'Ch7'!H106)</f>
        <v/>
      </c>
      <c r="C868" s="311" t="str">
        <f t="shared" si="21"/>
        <v/>
      </c>
      <c r="D868" s="919"/>
      <c r="E868" s="962"/>
      <c r="F868" s="910"/>
      <c r="G868" s="1306"/>
      <c r="J868" s="989"/>
    </row>
    <row r="869" spans="1:10" ht="15" customHeight="1" x14ac:dyDescent="0.3">
      <c r="B869" s="311" t="str">
        <f>IF(LEN('Ch7'!H107)=0,"",'Ch7'!H107)</f>
        <v/>
      </c>
      <c r="C869" s="311" t="str">
        <f t="shared" si="21"/>
        <v/>
      </c>
      <c r="D869" s="919"/>
      <c r="E869" s="969" t="s">
        <v>456</v>
      </c>
      <c r="F869" s="364"/>
      <c r="G869" s="365" t="s">
        <v>1013</v>
      </c>
      <c r="J869" s="989"/>
    </row>
    <row r="870" spans="1:10" x14ac:dyDescent="0.3">
      <c r="B870" s="311" t="str">
        <f>IF(LEN('Ch7'!H108)=0,"",'Ch7'!H108)</f>
        <v/>
      </c>
      <c r="C870" s="311" t="str">
        <f t="shared" si="21"/>
        <v/>
      </c>
      <c r="D870" s="919"/>
      <c r="E870" s="969" t="s">
        <v>458</v>
      </c>
      <c r="F870" s="364"/>
      <c r="G870" s="365" t="s">
        <v>1014</v>
      </c>
      <c r="J870" s="989"/>
    </row>
    <row r="871" spans="1:10" ht="15" customHeight="1" x14ac:dyDescent="0.3">
      <c r="B871" s="311" t="str">
        <f>IF(LEN('Ch7'!H109)=0,"",'Ch7'!H109)</f>
        <v/>
      </c>
      <c r="C871" s="311" t="str">
        <f t="shared" si="21"/>
        <v/>
      </c>
      <c r="D871" s="919"/>
      <c r="E871" s="968" t="s">
        <v>460</v>
      </c>
      <c r="F871" s="915"/>
      <c r="G871" s="1356" t="s">
        <v>1015</v>
      </c>
      <c r="J871" s="989"/>
    </row>
    <row r="872" spans="1:10" x14ac:dyDescent="0.3">
      <c r="B872" s="311" t="str">
        <f>IF(LEN('Ch7'!H110)=0,"",'Ch7'!H110)</f>
        <v/>
      </c>
      <c r="C872" s="311" t="str">
        <f t="shared" si="21"/>
        <v/>
      </c>
      <c r="D872" s="919"/>
      <c r="E872" s="961"/>
      <c r="F872" s="909"/>
      <c r="G872" s="1305"/>
      <c r="J872" s="989"/>
    </row>
    <row r="873" spans="1:10" x14ac:dyDescent="0.3">
      <c r="B873" s="311" t="str">
        <f>IF(LEN('Ch7'!H111)=0,"",'Ch7'!H111)</f>
        <v/>
      </c>
      <c r="C873" s="311" t="str">
        <f t="shared" si="21"/>
        <v/>
      </c>
      <c r="D873" s="919"/>
      <c r="E873" s="962"/>
      <c r="F873" s="910"/>
      <c r="G873" s="1306"/>
      <c r="J873" s="989"/>
    </row>
    <row r="874" spans="1:10" ht="15" customHeight="1" x14ac:dyDescent="0.3">
      <c r="B874" s="311" t="str">
        <f>IF(LEN('Ch7'!H112)=0,"",'Ch7'!H112)</f>
        <v/>
      </c>
      <c r="C874" s="311" t="str">
        <f t="shared" si="21"/>
        <v/>
      </c>
      <c r="D874" s="204"/>
      <c r="E874" s="961" t="s">
        <v>462</v>
      </c>
      <c r="F874" s="909"/>
      <c r="G874" s="1305" t="s">
        <v>1016</v>
      </c>
      <c r="J874" s="989"/>
    </row>
    <row r="875" spans="1:10" x14ac:dyDescent="0.3">
      <c r="B875" s="311" t="str">
        <f>IF(LEN('Ch7'!H113)=0,"",'Ch7'!H113)</f>
        <v/>
      </c>
      <c r="C875" s="311" t="str">
        <f t="shared" si="21"/>
        <v/>
      </c>
      <c r="D875" s="204"/>
      <c r="E875" s="961"/>
      <c r="F875" s="909"/>
      <c r="G875" s="1305"/>
      <c r="J875" s="989"/>
    </row>
    <row r="876" spans="1:10" x14ac:dyDescent="0.3">
      <c r="B876" s="311" t="str">
        <f>IF(LEN('Ch7'!H114)=0,"",'Ch7'!H114)</f>
        <v/>
      </c>
      <c r="C876" s="311" t="str">
        <f t="shared" si="21"/>
        <v/>
      </c>
      <c r="D876" s="232"/>
      <c r="E876" s="962"/>
      <c r="F876" s="910"/>
      <c r="G876" s="1306"/>
      <c r="J876" s="989"/>
    </row>
    <row r="877" spans="1:10" x14ac:dyDescent="0.3">
      <c r="A877" s="727" t="str">
        <f>IF(AND(LEN('Ch7'!W54)&gt;0,NOT('Ch7'!W54=FALSE)),"P","")</f>
        <v/>
      </c>
      <c r="B877" s="311" t="str">
        <f>IF(LEN('Ch7'!H115)=0,"",'Ch7'!H115)</f>
        <v/>
      </c>
      <c r="C877" s="311" t="str">
        <f t="shared" si="21"/>
        <v/>
      </c>
      <c r="D877" s="929" t="s">
        <v>1018</v>
      </c>
      <c r="E877" s="915"/>
      <c r="F877" s="915"/>
      <c r="G877" s="1364" t="s">
        <v>1019</v>
      </c>
      <c r="J877" s="989"/>
    </row>
    <row r="878" spans="1:10" x14ac:dyDescent="0.3">
      <c r="A878" s="727" t="str">
        <f>A877</f>
        <v/>
      </c>
      <c r="B878" s="311" t="str">
        <f>IF(LEN('Ch7'!H116)=0,"",'Ch7'!H116)</f>
        <v/>
      </c>
      <c r="C878" s="311" t="str">
        <f t="shared" si="21"/>
        <v/>
      </c>
      <c r="D878" s="106"/>
      <c r="E878" s="909"/>
      <c r="F878" s="909"/>
      <c r="G878" s="1313"/>
      <c r="J878" s="989"/>
    </row>
    <row r="879" spans="1:10" x14ac:dyDescent="0.3">
      <c r="A879" s="727" t="str">
        <f>A878</f>
        <v/>
      </c>
      <c r="B879" s="311" t="str">
        <f>IF(LEN('Ch7'!H117)=0,"",'Ch7'!H117)</f>
        <v/>
      </c>
      <c r="C879" s="311" t="str">
        <f t="shared" si="21"/>
        <v/>
      </c>
      <c r="D879" s="927"/>
      <c r="E879" s="910"/>
      <c r="F879" s="910"/>
      <c r="G879" s="1350"/>
      <c r="J879" s="989"/>
    </row>
    <row r="880" spans="1:10" x14ac:dyDescent="0.3">
      <c r="A880" s="727" t="str">
        <f>IF(AND(LEN('Ch7'!W118)&gt;0,NOT('Ch7'!W118=FALSE)),"P","")</f>
        <v/>
      </c>
      <c r="B880" s="311" t="str">
        <f>IF(LEN('Ch7'!H118)=0,"",'Ch7'!H118)</f>
        <v/>
      </c>
      <c r="C880" s="311" t="str">
        <f t="shared" si="21"/>
        <v/>
      </c>
      <c r="D880" s="929" t="s">
        <v>1021</v>
      </c>
      <c r="E880" s="915"/>
      <c r="F880" s="915"/>
      <c r="G880" s="1364" t="s">
        <v>1022</v>
      </c>
      <c r="H880" s="89">
        <f>'Ch7'!W118</f>
        <v>0</v>
      </c>
      <c r="J880" s="1439" t="s">
        <v>4273</v>
      </c>
    </row>
    <row r="881" spans="1:10" x14ac:dyDescent="0.3">
      <c r="A881" s="727" t="str">
        <f>A880</f>
        <v/>
      </c>
      <c r="B881" s="311" t="str">
        <f>IF(LEN('Ch7'!H119)=0,"",'Ch7'!H119)</f>
        <v/>
      </c>
      <c r="C881" s="311" t="str">
        <f t="shared" si="21"/>
        <v/>
      </c>
      <c r="D881" s="204"/>
      <c r="E881" s="909"/>
      <c r="F881" s="909"/>
      <c r="G881" s="1313"/>
      <c r="J881" s="1439"/>
    </row>
    <row r="882" spans="1:10" x14ac:dyDescent="0.3">
      <c r="A882" s="727" t="str">
        <f>A881</f>
        <v/>
      </c>
      <c r="B882" s="311" t="str">
        <f>IF(LEN('Ch7'!H120)=0,"",'Ch7'!H120)</f>
        <v/>
      </c>
      <c r="C882" s="311" t="str">
        <f t="shared" si="21"/>
        <v/>
      </c>
      <c r="D882" s="204"/>
      <c r="E882" s="909"/>
      <c r="F882" s="909"/>
      <c r="G882" s="1313"/>
      <c r="J882" s="1439"/>
    </row>
    <row r="883" spans="1:10" x14ac:dyDescent="0.3">
      <c r="A883" s="727" t="str">
        <f>A882</f>
        <v/>
      </c>
      <c r="B883" s="311" t="str">
        <f>IF(LEN('Ch7'!H121)=0,"",'Ch7'!H121)</f>
        <v/>
      </c>
      <c r="C883" s="311" t="str">
        <f t="shared" si="21"/>
        <v/>
      </c>
      <c r="D883" s="204"/>
      <c r="E883" s="909"/>
      <c r="F883" s="909"/>
      <c r="G883" s="1313"/>
      <c r="J883" s="1439"/>
    </row>
    <row r="884" spans="1:10" x14ac:dyDescent="0.3">
      <c r="A884" s="727" t="str">
        <f>A883</f>
        <v/>
      </c>
      <c r="B884" s="311" t="str">
        <f>IF(LEN('Ch7'!H122)=0,"",'Ch7'!H122)</f>
        <v/>
      </c>
      <c r="C884" s="311" t="str">
        <f t="shared" si="21"/>
        <v/>
      </c>
      <c r="D884" s="204"/>
      <c r="E884" s="909"/>
      <c r="F884" s="909"/>
      <c r="G884" s="1313"/>
      <c r="J884" s="1439"/>
    </row>
    <row r="885" spans="1:10" x14ac:dyDescent="0.3">
      <c r="A885" s="727" t="str">
        <f>A884</f>
        <v/>
      </c>
      <c r="B885" s="311" t="str">
        <f>IF(LEN('Ch7'!H123)=0,"",'Ch7'!H123)</f>
        <v/>
      </c>
      <c r="C885" s="311" t="str">
        <f t="shared" si="21"/>
        <v/>
      </c>
      <c r="D885" s="232"/>
      <c r="E885" s="910"/>
      <c r="F885" s="910"/>
      <c r="G885" s="1350"/>
      <c r="J885" s="1439"/>
    </row>
    <row r="886" spans="1:10" x14ac:dyDescent="0.3">
      <c r="A886" s="727" t="str">
        <f>IF(AND(LEN('Ch7'!W124)&gt;0,NOT('Ch7'!W124=FALSE)),"P","")</f>
        <v/>
      </c>
      <c r="B886" s="311" t="str">
        <f>IF(LEN('Ch7'!H124)=0,"",'Ch7'!H124)</f>
        <v/>
      </c>
      <c r="C886" s="311" t="str">
        <f t="shared" si="21"/>
        <v/>
      </c>
      <c r="D886" s="929" t="s">
        <v>1024</v>
      </c>
      <c r="E886" s="915"/>
      <c r="F886" s="915"/>
      <c r="G886" s="1364" t="s">
        <v>1025</v>
      </c>
      <c r="H886" s="89">
        <f>'Ch7'!W124</f>
        <v>0</v>
      </c>
      <c r="J886" s="1439" t="s">
        <v>4274</v>
      </c>
    </row>
    <row r="887" spans="1:10" x14ac:dyDescent="0.3">
      <c r="A887" s="727" t="str">
        <f>A886</f>
        <v/>
      </c>
      <c r="B887" s="311" t="str">
        <f>IF(LEN('Ch7'!H125)=0,"",'Ch7'!H125)</f>
        <v/>
      </c>
      <c r="C887" s="311" t="str">
        <f t="shared" si="21"/>
        <v/>
      </c>
      <c r="D887" s="204"/>
      <c r="E887" s="909"/>
      <c r="F887" s="909"/>
      <c r="G887" s="1313"/>
      <c r="J887" s="1439"/>
    </row>
    <row r="888" spans="1:10" x14ac:dyDescent="0.3">
      <c r="A888" s="727" t="str">
        <f>A887</f>
        <v/>
      </c>
      <c r="B888" s="311" t="str">
        <f>IF(LEN('Ch7'!H126)=0,"",'Ch7'!H126)</f>
        <v/>
      </c>
      <c r="C888" s="311" t="str">
        <f t="shared" si="21"/>
        <v/>
      </c>
      <c r="D888" s="204"/>
      <c r="E888" s="909"/>
      <c r="F888" s="909"/>
      <c r="G888" s="1313"/>
      <c r="J888" s="1439"/>
    </row>
    <row r="889" spans="1:10" x14ac:dyDescent="0.3">
      <c r="A889" s="727" t="str">
        <f>A888</f>
        <v/>
      </c>
      <c r="B889" s="311" t="str">
        <f>IF(LEN('Ch7'!H127)=0,"",'Ch7'!H127)</f>
        <v/>
      </c>
      <c r="C889" s="311" t="str">
        <f t="shared" si="21"/>
        <v/>
      </c>
      <c r="D889" s="204"/>
      <c r="E889" s="909"/>
      <c r="F889" s="909"/>
      <c r="G889" s="1313"/>
      <c r="J889" s="1439"/>
    </row>
    <row r="890" spans="1:10" x14ac:dyDescent="0.3">
      <c r="A890" s="727" t="str">
        <f>A889</f>
        <v/>
      </c>
      <c r="B890" s="311" t="str">
        <f>IF(LEN('Ch7'!H128)=0,"",'Ch7'!H128)</f>
        <v/>
      </c>
      <c r="C890" s="311" t="str">
        <f t="shared" si="21"/>
        <v/>
      </c>
      <c r="D890" s="204"/>
      <c r="E890" s="909"/>
      <c r="F890" s="909"/>
      <c r="G890" s="1313"/>
      <c r="J890" s="1439"/>
    </row>
    <row r="891" spans="1:10" x14ac:dyDescent="0.3">
      <c r="A891" s="727" t="str">
        <f>A890</f>
        <v/>
      </c>
      <c r="B891" s="311" t="str">
        <f>IF(LEN('Ch7'!H129)=0,"",'Ch7'!H129)</f>
        <v/>
      </c>
      <c r="C891" s="311" t="str">
        <f t="shared" si="21"/>
        <v/>
      </c>
      <c r="D891" s="232"/>
      <c r="E891" s="910"/>
      <c r="F891" s="910"/>
      <c r="G891" s="1350"/>
      <c r="J891" s="1439"/>
    </row>
    <row r="892" spans="1:10" x14ac:dyDescent="0.3">
      <c r="A892" s="727" t="str">
        <f>IF(OR(H894&lt;&gt;0,H896&lt;&gt;0),"P","")</f>
        <v/>
      </c>
      <c r="B892" s="311" t="str">
        <f>IF(LEN('Ch7'!H130)=0,"",'Ch7'!H130)</f>
        <v/>
      </c>
      <c r="C892" s="311" t="str">
        <f t="shared" si="21"/>
        <v/>
      </c>
      <c r="D892" s="152" t="s">
        <v>1026</v>
      </c>
      <c r="E892" s="913"/>
      <c r="F892" s="913"/>
      <c r="G892" s="1292" t="s">
        <v>1027</v>
      </c>
      <c r="J892" s="1443" t="s">
        <v>216</v>
      </c>
    </row>
    <row r="893" spans="1:10" x14ac:dyDescent="0.3">
      <c r="A893" s="727" t="str">
        <f>A892</f>
        <v/>
      </c>
      <c r="B893" s="311" t="str">
        <f>IF(LEN('Ch7'!H131)=0,"",'Ch7'!H131)</f>
        <v/>
      </c>
      <c r="C893" s="311" t="str">
        <f t="shared" si="21"/>
        <v/>
      </c>
      <c r="D893" s="919"/>
      <c r="E893" s="913"/>
      <c r="F893" s="913"/>
      <c r="G893" s="1292"/>
      <c r="J893" s="1443"/>
    </row>
    <row r="894" spans="1:10" x14ac:dyDescent="0.3">
      <c r="B894" s="311" t="str">
        <f>IF(LEN('Ch7'!H132)=0,"",'Ch7'!H132)</f>
        <v/>
      </c>
      <c r="C894" s="311" t="str">
        <f t="shared" si="21"/>
        <v/>
      </c>
      <c r="D894" s="919"/>
      <c r="E894" s="961" t="s">
        <v>271</v>
      </c>
      <c r="F894" s="909"/>
      <c r="G894" s="1305" t="s">
        <v>1028</v>
      </c>
      <c r="H894" s="89">
        <f>'Ch7'!W132</f>
        <v>0</v>
      </c>
      <c r="J894" s="996"/>
    </row>
    <row r="895" spans="1:10" x14ac:dyDescent="0.3">
      <c r="B895" s="311" t="str">
        <f>IF(LEN('Ch7'!H133)=0,"",'Ch7'!H133)</f>
        <v/>
      </c>
      <c r="C895" s="311" t="str">
        <f t="shared" si="21"/>
        <v/>
      </c>
      <c r="D895" s="919"/>
      <c r="E895" s="962"/>
      <c r="F895" s="910"/>
      <c r="G895" s="1306"/>
      <c r="J895" s="1001"/>
    </row>
    <row r="896" spans="1:10" x14ac:dyDescent="0.3">
      <c r="B896" s="311" t="str">
        <f>IF(LEN('Ch7'!H134)=0,"",'Ch7'!H134)</f>
        <v/>
      </c>
      <c r="C896" s="311" t="str">
        <f t="shared" si="21"/>
        <v/>
      </c>
      <c r="D896" s="232"/>
      <c r="E896" s="962" t="s">
        <v>273</v>
      </c>
      <c r="F896" s="910"/>
      <c r="G896" s="676" t="s">
        <v>1029</v>
      </c>
      <c r="H896" s="89">
        <f>'Ch7'!W134</f>
        <v>0</v>
      </c>
      <c r="J896" s="1001"/>
    </row>
    <row r="897" spans="1:10" x14ac:dyDescent="0.3">
      <c r="A897" s="727" t="str">
        <f>IF(AND(LEN('Ch7'!W135)&gt;0,NOT('Ch7'!W135=FALSE)),"P","")</f>
        <v/>
      </c>
      <c r="B897" s="311" t="str">
        <f>IF(LEN('Ch7'!H135)=0,"",'Ch7'!H135)</f>
        <v/>
      </c>
      <c r="C897" s="311" t="str">
        <f t="shared" si="21"/>
        <v/>
      </c>
      <c r="D897" s="152" t="s">
        <v>1030</v>
      </c>
      <c r="E897" s="913"/>
      <c r="F897" s="913"/>
      <c r="G897" s="687" t="s">
        <v>1031</v>
      </c>
      <c r="H897" s="89">
        <f>'Ch7'!W135</f>
        <v>0</v>
      </c>
      <c r="J897" s="989" t="s">
        <v>4226</v>
      </c>
    </row>
    <row r="898" spans="1:10" ht="18" x14ac:dyDescent="0.3">
      <c r="A898" s="727" t="s">
        <v>4389</v>
      </c>
      <c r="B898" s="311" t="str">
        <f>IF(LEN('Ch7'!H136)=0,"",'Ch7'!H136)</f>
        <v/>
      </c>
      <c r="C898" s="311" t="str">
        <f t="shared" si="21"/>
        <v>P</v>
      </c>
      <c r="D898" s="72" t="s">
        <v>1032</v>
      </c>
      <c r="E898" s="258"/>
      <c r="F898" s="258"/>
      <c r="G898" s="87"/>
      <c r="H898" s="87"/>
      <c r="I898" s="87"/>
      <c r="J898" s="1000"/>
    </row>
    <row r="899" spans="1:10" x14ac:dyDescent="0.3">
      <c r="B899" s="311" t="str">
        <f>IF(LEN('Ch7'!H137)=0,"",'Ch7'!H137)</f>
        <v/>
      </c>
      <c r="C899" s="311" t="str">
        <f t="shared" si="21"/>
        <v/>
      </c>
      <c r="D899" s="106">
        <v>702.1</v>
      </c>
      <c r="E899" s="909"/>
      <c r="F899" s="909"/>
      <c r="G899" s="1313" t="s">
        <v>1033</v>
      </c>
      <c r="J899" s="989"/>
    </row>
    <row r="900" spans="1:10" ht="15" thickBot="1" x14ac:dyDescent="0.35">
      <c r="B900" s="311" t="str">
        <f>IF(LEN('Ch7'!H138)=0,"",'Ch7'!H138)</f>
        <v/>
      </c>
      <c r="C900" s="311" t="str">
        <f t="shared" si="21"/>
        <v/>
      </c>
      <c r="D900" s="934"/>
      <c r="E900" s="911"/>
      <c r="F900" s="911"/>
      <c r="G900" s="1332"/>
      <c r="J900" s="989"/>
    </row>
    <row r="901" spans="1:10" ht="15" thickTop="1" x14ac:dyDescent="0.3">
      <c r="A901" s="1196" t="str">
        <f ca="1">IF(COUNTIF(A902:A906,"P")&gt;0,"P","")</f>
        <v/>
      </c>
      <c r="B901" s="311" t="str">
        <f>IF(LEN('Ch7'!H139)=0,"",'Ch7'!H139)</f>
        <v/>
      </c>
      <c r="C901" s="311" t="str">
        <f t="shared" ca="1" si="21"/>
        <v/>
      </c>
      <c r="D901" s="111">
        <v>702.2</v>
      </c>
      <c r="E901" s="963"/>
      <c r="F901" s="963"/>
      <c r="G901" s="697" t="s">
        <v>1034</v>
      </c>
      <c r="J901" s="989"/>
    </row>
    <row r="902" spans="1:10" ht="15" customHeight="1" x14ac:dyDescent="0.3">
      <c r="A902" s="727" t="str">
        <f>IF(AND(LEN('Ch7'!W140)&gt;0,NOT('Ch7'!W140=FALSE)),"P","")</f>
        <v/>
      </c>
      <c r="B902" s="311" t="str">
        <f>IF(LEN('Ch7'!H140)=0,"",'Ch7'!H140)</f>
        <v/>
      </c>
      <c r="C902" s="311" t="str">
        <f t="shared" si="21"/>
        <v/>
      </c>
      <c r="D902" s="106" t="s">
        <v>1035</v>
      </c>
      <c r="E902" s="909"/>
      <c r="F902" s="909"/>
      <c r="G902" s="1313" t="s">
        <v>1036</v>
      </c>
      <c r="H902" s="89">
        <f>'Ch7'!W140</f>
        <v>0</v>
      </c>
      <c r="J902" s="1444" t="s">
        <v>4351</v>
      </c>
    </row>
    <row r="903" spans="1:10" x14ac:dyDescent="0.3">
      <c r="A903" s="727" t="str">
        <f>A902</f>
        <v/>
      </c>
      <c r="B903" s="311" t="str">
        <f>IF(LEN('Ch7'!H141)=0,"",'Ch7'!H141)</f>
        <v/>
      </c>
      <c r="C903" s="311" t="str">
        <f t="shared" si="21"/>
        <v/>
      </c>
      <c r="D903" s="204"/>
      <c r="E903" s="909"/>
      <c r="F903" s="909"/>
      <c r="G903" s="1313"/>
      <c r="J903" s="1444"/>
    </row>
    <row r="904" spans="1:10" x14ac:dyDescent="0.3">
      <c r="A904" s="727" t="str">
        <f>A903</f>
        <v/>
      </c>
      <c r="B904" s="311" t="str">
        <f>IF(LEN('Ch7'!H142)=0,"",'Ch7'!H142)</f>
        <v/>
      </c>
      <c r="C904" s="311" t="str">
        <f t="shared" ref="C904:C967" si="22">IF(LEN(B904)=0,IF(A904="P","P",""),B904)</f>
        <v/>
      </c>
      <c r="D904" s="204"/>
      <c r="E904" s="909"/>
      <c r="F904" s="909"/>
      <c r="G904" s="1313"/>
      <c r="J904" s="1444"/>
    </row>
    <row r="905" spans="1:10" x14ac:dyDescent="0.3">
      <c r="A905" s="727" t="str">
        <f>A904</f>
        <v/>
      </c>
      <c r="B905" s="311" t="str">
        <f>IF(LEN('Ch7'!H143)=0,"",'Ch7'!H143)</f>
        <v/>
      </c>
      <c r="C905" s="311" t="str">
        <f t="shared" si="22"/>
        <v/>
      </c>
      <c r="D905" s="232"/>
      <c r="E905" s="910"/>
      <c r="F905" s="910"/>
      <c r="G905" s="1350"/>
      <c r="J905" s="1444"/>
    </row>
    <row r="906" spans="1:10" ht="15" customHeight="1" x14ac:dyDescent="0.3">
      <c r="A906" s="727" t="str">
        <f ca="1">IF('Ch7'!O144&gt;0,"P","")</f>
        <v/>
      </c>
      <c r="B906" s="311" t="str">
        <f>IF(LEN('Ch7'!H144)=0,"",'Ch7'!H144)</f>
        <v/>
      </c>
      <c r="C906" s="311" t="str">
        <f t="shared" ca="1" si="22"/>
        <v/>
      </c>
      <c r="D906" s="152" t="s">
        <v>1037</v>
      </c>
      <c r="E906" s="913"/>
      <c r="F906" s="913"/>
      <c r="G906" s="1292" t="s">
        <v>1038</v>
      </c>
      <c r="I906" s="89">
        <f ca="1">'Ch7'!O144</f>
        <v>0</v>
      </c>
      <c r="J906" s="1443" t="s">
        <v>4406</v>
      </c>
    </row>
    <row r="907" spans="1:10" x14ac:dyDescent="0.3">
      <c r="A907" s="727" t="str">
        <f ca="1">A906</f>
        <v/>
      </c>
      <c r="B907" s="311" t="str">
        <f>IF(LEN('Ch7'!H145)=0,"",'Ch7'!H145)</f>
        <v/>
      </c>
      <c r="C907" s="311" t="str">
        <f t="shared" ca="1" si="22"/>
        <v/>
      </c>
      <c r="D907" s="919"/>
      <c r="E907" s="913"/>
      <c r="F907" s="913"/>
      <c r="G907" s="1292"/>
      <c r="J907" s="1443"/>
    </row>
    <row r="908" spans="1:10" x14ac:dyDescent="0.3">
      <c r="A908" s="727" t="str">
        <f ca="1">A907</f>
        <v/>
      </c>
      <c r="B908" s="311" t="str">
        <f>IF(LEN('Ch7'!H146)=0,"",'Ch7'!H146)</f>
        <v/>
      </c>
      <c r="C908" s="311" t="str">
        <f t="shared" ca="1" si="22"/>
        <v/>
      </c>
      <c r="D908" s="919"/>
      <c r="E908" s="913"/>
      <c r="F908" s="913"/>
      <c r="G908" s="1292"/>
      <c r="H908" s="89">
        <f>'Ch7'!W146</f>
        <v>0</v>
      </c>
      <c r="J908" s="1443"/>
    </row>
    <row r="909" spans="1:10" x14ac:dyDescent="0.3">
      <c r="A909" s="727" t="str">
        <f ca="1">A908</f>
        <v/>
      </c>
      <c r="B909" s="311" t="str">
        <f>IF(LEN('Ch7'!H147)=0,"",'Ch7'!H147)</f>
        <v/>
      </c>
      <c r="C909" s="311" t="str">
        <f t="shared" ca="1" si="22"/>
        <v/>
      </c>
      <c r="D909" s="919"/>
      <c r="E909" s="913"/>
      <c r="F909" s="913"/>
      <c r="G909" s="1292"/>
      <c r="J909" s="1443"/>
    </row>
    <row r="910" spans="1:10" x14ac:dyDescent="0.3">
      <c r="A910" s="727" t="str">
        <f ca="1">A909</f>
        <v/>
      </c>
      <c r="B910" s="311" t="str">
        <f>IF(LEN('Ch7'!H148)=0,"",'Ch7'!H148)</f>
        <v/>
      </c>
      <c r="C910" s="311" t="str">
        <f t="shared" ca="1" si="22"/>
        <v/>
      </c>
      <c r="D910" s="919"/>
      <c r="E910" s="913"/>
      <c r="F910" s="913"/>
      <c r="G910" s="1292"/>
      <c r="J910" s="1443"/>
    </row>
    <row r="911" spans="1:10" ht="119.25" customHeight="1" x14ac:dyDescent="0.3">
      <c r="A911" s="727" t="str">
        <f ca="1">A910</f>
        <v/>
      </c>
      <c r="B911" s="311" t="str">
        <f>IF(LEN('Ch7'!H149)=0,"",'Ch7'!H149)</f>
        <v/>
      </c>
      <c r="C911" s="311" t="str">
        <f t="shared" ca="1" si="22"/>
        <v/>
      </c>
      <c r="D911" s="919"/>
      <c r="E911" s="913"/>
      <c r="F911" s="913"/>
      <c r="G911" s="687" t="s">
        <v>1039</v>
      </c>
      <c r="J911" s="1443"/>
    </row>
    <row r="912" spans="1:10" x14ac:dyDescent="0.3">
      <c r="B912" s="311" t="str">
        <f>IF(LEN('Ch7'!H150)=0,"",'Ch7'!H150)</f>
        <v/>
      </c>
      <c r="C912" s="311" t="str">
        <f t="shared" si="22"/>
        <v/>
      </c>
      <c r="D912" s="204"/>
      <c r="E912" s="909"/>
      <c r="F912" s="909"/>
      <c r="G912" s="1369" t="s">
        <v>3201</v>
      </c>
      <c r="J912" s="1001"/>
    </row>
    <row r="913" spans="1:10" x14ac:dyDescent="0.3">
      <c r="B913" s="311" t="str">
        <f>IF(LEN('Ch7'!H151)=0,"",'Ch7'!H151)</f>
        <v/>
      </c>
      <c r="C913" s="311" t="str">
        <f t="shared" si="22"/>
        <v/>
      </c>
      <c r="D913" s="204"/>
      <c r="E913" s="909"/>
      <c r="F913" s="909"/>
      <c r="G913" s="1369"/>
      <c r="J913" s="1001"/>
    </row>
    <row r="914" spans="1:10" x14ac:dyDescent="0.3">
      <c r="B914" s="311" t="str">
        <f>IF(LEN('Ch7'!H152)=0,"",'Ch7'!H152)</f>
        <v/>
      </c>
      <c r="C914" s="311" t="str">
        <f t="shared" si="22"/>
        <v/>
      </c>
      <c r="D914" s="232"/>
      <c r="E914" s="910"/>
      <c r="F914" s="910"/>
      <c r="G914" s="1370"/>
      <c r="J914" s="1001"/>
    </row>
    <row r="915" spans="1:10" x14ac:dyDescent="0.3">
      <c r="A915" s="727" t="str">
        <f ca="1">A911</f>
        <v/>
      </c>
      <c r="B915" s="311" t="str">
        <f>IF(LEN('Ch7'!H153)=0,"",'Ch7'!H153)</f>
        <v/>
      </c>
      <c r="C915" s="311" t="str">
        <f t="shared" ca="1" si="22"/>
        <v/>
      </c>
      <c r="D915" s="929" t="s">
        <v>1040</v>
      </c>
      <c r="E915" s="915"/>
      <c r="F915" s="915"/>
      <c r="G915" s="1364" t="s">
        <v>1041</v>
      </c>
      <c r="J915" s="1442" t="s">
        <v>4407</v>
      </c>
    </row>
    <row r="916" spans="1:10" x14ac:dyDescent="0.3">
      <c r="A916" s="727" t="str">
        <f ca="1">A915</f>
        <v/>
      </c>
      <c r="B916" s="311" t="str">
        <f>IF(LEN('Ch7'!H154)=0,"",'Ch7'!H154)</f>
        <v/>
      </c>
      <c r="C916" s="311" t="str">
        <f t="shared" ca="1" si="22"/>
        <v/>
      </c>
      <c r="D916" s="204"/>
      <c r="E916" s="909"/>
      <c r="F916" s="909"/>
      <c r="G916" s="1313"/>
      <c r="J916" s="1442"/>
    </row>
    <row r="917" spans="1:10" ht="18" x14ac:dyDescent="0.3">
      <c r="A917" s="727" t="s">
        <v>4389</v>
      </c>
      <c r="B917" s="311" t="str">
        <f>IF(LEN('Ch7'!H155)=0,"",'Ch7'!H155)</f>
        <v/>
      </c>
      <c r="C917" s="311" t="str">
        <f t="shared" si="22"/>
        <v>P</v>
      </c>
      <c r="D917" s="72" t="s">
        <v>1042</v>
      </c>
      <c r="E917" s="258"/>
      <c r="F917" s="258"/>
      <c r="G917" s="87"/>
      <c r="H917" s="87"/>
      <c r="I917" s="87"/>
      <c r="J917" s="1000"/>
    </row>
    <row r="918" spans="1:10" x14ac:dyDescent="0.3">
      <c r="A918" s="1196" t="str">
        <f>IF(COUNTIF(A919:A935,"P")&gt;0,"P","")</f>
        <v/>
      </c>
      <c r="B918" s="311" t="str">
        <f>IF(LEN('Ch7'!H156)=0,"",'Ch7'!H156)</f>
        <v/>
      </c>
      <c r="C918" s="311" t="str">
        <f t="shared" si="22"/>
        <v/>
      </c>
      <c r="D918" s="152">
        <v>703.1</v>
      </c>
      <c r="E918" s="913"/>
      <c r="F918" s="913"/>
      <c r="G918" s="687" t="s">
        <v>1043</v>
      </c>
      <c r="I918" s="89">
        <f ca="1">'Ch7'!O156</f>
        <v>0</v>
      </c>
      <c r="J918" s="989"/>
    </row>
    <row r="919" spans="1:10" ht="15" customHeight="1" x14ac:dyDescent="0.3">
      <c r="A919" s="727" t="str">
        <f>IF(AND(LEN('Ch7'!W157)&gt;0,NOT('Ch7'!W157=FALSE)),"P","")</f>
        <v/>
      </c>
      <c r="B919" s="311" t="str">
        <f>IF(LEN('Ch7'!H157)=0,"",'Ch7'!H157)</f>
        <v/>
      </c>
      <c r="C919" s="311" t="str">
        <f t="shared" si="22"/>
        <v/>
      </c>
      <c r="D919" s="152" t="s">
        <v>1044</v>
      </c>
      <c r="E919" s="913"/>
      <c r="F919" s="913"/>
      <c r="G919" s="1292" t="s">
        <v>1045</v>
      </c>
      <c r="H919" s="89">
        <f>'Ch7'!W157</f>
        <v>0</v>
      </c>
      <c r="J919" s="1443" t="s">
        <v>4408</v>
      </c>
    </row>
    <row r="920" spans="1:10" x14ac:dyDescent="0.3">
      <c r="A920" s="727" t="str">
        <f>A919</f>
        <v/>
      </c>
      <c r="B920" s="311" t="str">
        <f>IF(LEN('Ch7'!H158)=0,"",'Ch7'!H158)</f>
        <v/>
      </c>
      <c r="C920" s="311" t="str">
        <f t="shared" si="22"/>
        <v/>
      </c>
      <c r="D920" s="919"/>
      <c r="E920" s="913"/>
      <c r="F920" s="913"/>
      <c r="G920" s="1292"/>
      <c r="J920" s="1443"/>
    </row>
    <row r="921" spans="1:10" x14ac:dyDescent="0.3">
      <c r="A921" s="727" t="str">
        <f>A920</f>
        <v/>
      </c>
      <c r="B921" s="311" t="str">
        <f>IF(LEN('Ch7'!H159)=0,"",'Ch7'!H159)</f>
        <v/>
      </c>
      <c r="C921" s="311" t="str">
        <f t="shared" si="22"/>
        <v/>
      </c>
      <c r="D921" s="232"/>
      <c r="E921" s="910"/>
      <c r="F921" s="910"/>
      <c r="G921" s="685" t="s">
        <v>3202</v>
      </c>
      <c r="J921" s="1443"/>
    </row>
    <row r="922" spans="1:10" x14ac:dyDescent="0.3">
      <c r="B922" s="311" t="str">
        <f>IF(LEN('Ch7'!H160)=0,"",'Ch7'!H160)</f>
        <v/>
      </c>
      <c r="C922" s="311" t="str">
        <f t="shared" si="22"/>
        <v/>
      </c>
      <c r="D922" s="929" t="s">
        <v>1047</v>
      </c>
      <c r="E922" s="915"/>
      <c r="F922" s="915"/>
      <c r="G922" s="1364" t="s">
        <v>1048</v>
      </c>
      <c r="J922" s="989"/>
    </row>
    <row r="923" spans="1:10" x14ac:dyDescent="0.3">
      <c r="B923" s="311" t="str">
        <f>IF(LEN('Ch7'!H161)=0,"",'Ch7'!H161)</f>
        <v/>
      </c>
      <c r="C923" s="311" t="str">
        <f t="shared" si="22"/>
        <v/>
      </c>
      <c r="D923" s="204"/>
      <c r="E923" s="909"/>
      <c r="F923" s="909"/>
      <c r="G923" s="1313"/>
      <c r="J923" s="989"/>
    </row>
    <row r="924" spans="1:10" x14ac:dyDescent="0.3">
      <c r="B924" s="311" t="str">
        <f>IF(LEN('Ch7'!H162)=0,"",'Ch7'!H162)</f>
        <v/>
      </c>
      <c r="C924" s="311" t="str">
        <f t="shared" si="22"/>
        <v/>
      </c>
      <c r="D924" s="204"/>
      <c r="E924" s="909"/>
      <c r="F924" s="909"/>
      <c r="G924" s="1313"/>
      <c r="J924" s="989"/>
    </row>
    <row r="925" spans="1:10" x14ac:dyDescent="0.3">
      <c r="B925" s="311" t="str">
        <f>IF(LEN('Ch7'!H163)=0,"",'Ch7'!H163)</f>
        <v/>
      </c>
      <c r="C925" s="311" t="str">
        <f t="shared" si="22"/>
        <v/>
      </c>
      <c r="D925" s="204"/>
      <c r="E925" s="909"/>
      <c r="F925" s="909"/>
      <c r="G925" s="1313"/>
      <c r="J925" s="989"/>
    </row>
    <row r="926" spans="1:10" x14ac:dyDescent="0.3">
      <c r="B926" s="311" t="str">
        <f>IF(LEN('Ch7'!H164)=0,"",'Ch7'!H164)</f>
        <v/>
      </c>
      <c r="C926" s="311" t="str">
        <f t="shared" si="22"/>
        <v/>
      </c>
      <c r="D926" s="204"/>
      <c r="E926" s="909"/>
      <c r="F926" s="909"/>
      <c r="G926" s="1313"/>
      <c r="J926" s="989"/>
    </row>
    <row r="927" spans="1:10" x14ac:dyDescent="0.3">
      <c r="B927" s="311" t="str">
        <f>IF(LEN('Ch7'!H165)=0,"",'Ch7'!H165)</f>
        <v/>
      </c>
      <c r="C927" s="311" t="str">
        <f t="shared" si="22"/>
        <v/>
      </c>
      <c r="D927" s="232"/>
      <c r="E927" s="910"/>
      <c r="F927" s="910"/>
      <c r="G927" s="1350"/>
      <c r="J927" s="989"/>
    </row>
    <row r="928" spans="1:10" x14ac:dyDescent="0.3">
      <c r="B928" s="311" t="str">
        <f>IF(LEN('Ch7'!H166)=0,"",'Ch7'!H166)</f>
        <v/>
      </c>
      <c r="C928" s="311" t="str">
        <f t="shared" si="22"/>
        <v/>
      </c>
      <c r="D928" s="929" t="s">
        <v>1050</v>
      </c>
      <c r="E928" s="915"/>
      <c r="F928" s="915"/>
      <c r="G928" s="1364" t="s">
        <v>1051</v>
      </c>
      <c r="J928" s="989"/>
    </row>
    <row r="929" spans="1:10" x14ac:dyDescent="0.3">
      <c r="B929" s="311" t="str">
        <f>IF(LEN('Ch7'!H167)=0,"",'Ch7'!H167)</f>
        <v/>
      </c>
      <c r="C929" s="311" t="str">
        <f t="shared" si="22"/>
        <v/>
      </c>
      <c r="D929" s="204"/>
      <c r="E929" s="909"/>
      <c r="F929" s="909"/>
      <c r="G929" s="1313"/>
      <c r="J929" s="989"/>
    </row>
    <row r="930" spans="1:10" x14ac:dyDescent="0.3">
      <c r="B930" s="311" t="str">
        <f>IF(LEN('Ch7'!H168)=0,"",'Ch7'!H168)</f>
        <v/>
      </c>
      <c r="C930" s="311" t="str">
        <f t="shared" si="22"/>
        <v/>
      </c>
      <c r="D930" s="204"/>
      <c r="E930" s="909"/>
      <c r="F930" s="909"/>
      <c r="G930" s="1313"/>
      <c r="J930" s="989"/>
    </row>
    <row r="931" spans="1:10" x14ac:dyDescent="0.3">
      <c r="B931" s="311" t="str">
        <f>IF(LEN('Ch7'!H169)=0,"",'Ch7'!H169)</f>
        <v/>
      </c>
      <c r="C931" s="311" t="str">
        <f t="shared" si="22"/>
        <v/>
      </c>
      <c r="D931" s="232"/>
      <c r="E931" s="910"/>
      <c r="F931" s="910"/>
      <c r="G931" s="1350"/>
      <c r="J931" s="989"/>
    </row>
    <row r="932" spans="1:10" x14ac:dyDescent="0.3">
      <c r="A932" s="727" t="str">
        <f>IF(AND(LEN('Ch7'!W170)&gt;0,NOT('Ch7'!W170=FALSE)),"P","")</f>
        <v/>
      </c>
      <c r="B932" s="311" t="str">
        <f>IF(LEN('Ch7'!H170)=0,"",'Ch7'!H170)</f>
        <v/>
      </c>
      <c r="C932" s="311" t="str">
        <f t="shared" si="22"/>
        <v/>
      </c>
      <c r="D932" s="152" t="s">
        <v>1052</v>
      </c>
      <c r="E932" s="913"/>
      <c r="F932" s="913"/>
      <c r="G932" s="1292" t="s">
        <v>1053</v>
      </c>
      <c r="H932" s="89">
        <f>'Ch7'!W170</f>
        <v>0</v>
      </c>
      <c r="J932" s="1441" t="s">
        <v>4409</v>
      </c>
    </row>
    <row r="933" spans="1:10" x14ac:dyDescent="0.3">
      <c r="A933" s="727" t="str">
        <f>A932</f>
        <v/>
      </c>
      <c r="B933" s="311" t="str">
        <f>IF(LEN('Ch7'!H171)=0,"",'Ch7'!H171)</f>
        <v/>
      </c>
      <c r="C933" s="311" t="str">
        <f t="shared" si="22"/>
        <v/>
      </c>
      <c r="D933" s="919"/>
      <c r="E933" s="913"/>
      <c r="F933" s="913"/>
      <c r="G933" s="1292"/>
      <c r="J933" s="1441"/>
    </row>
    <row r="934" spans="1:10" x14ac:dyDescent="0.3">
      <c r="B934" s="311" t="str">
        <f>IF(LEN('Ch7'!H172)=0,"",'Ch7'!H172)</f>
        <v/>
      </c>
      <c r="C934" s="311" t="str">
        <f t="shared" si="22"/>
        <v/>
      </c>
      <c r="D934" s="232"/>
      <c r="E934" s="910"/>
      <c r="F934" s="910"/>
      <c r="G934" s="688" t="s">
        <v>3759</v>
      </c>
      <c r="J934" s="989"/>
    </row>
    <row r="935" spans="1:10" x14ac:dyDescent="0.3">
      <c r="A935" s="727" t="str">
        <f>IF(AND(LEN('Ch7'!W173)&gt;0,NOT('Ch7'!W173=FALSE)),"P","")</f>
        <v/>
      </c>
      <c r="B935" s="311" t="str">
        <f>IF(LEN('Ch7'!H173)=0,"",'Ch7'!H173)</f>
        <v/>
      </c>
      <c r="C935" s="311" t="str">
        <f t="shared" si="22"/>
        <v/>
      </c>
      <c r="D935" s="929" t="s">
        <v>1054</v>
      </c>
      <c r="E935" s="915"/>
      <c r="F935" s="915"/>
      <c r="G935" s="1364" t="s">
        <v>1055</v>
      </c>
      <c r="H935" s="89">
        <f>'Ch7'!W173</f>
        <v>0</v>
      </c>
      <c r="J935" s="1441" t="s">
        <v>4410</v>
      </c>
    </row>
    <row r="936" spans="1:10" ht="15" thickBot="1" x14ac:dyDescent="0.35">
      <c r="A936" s="727" t="str">
        <f>A935</f>
        <v/>
      </c>
      <c r="B936" s="311" t="str">
        <f>IF(LEN('Ch7'!H174)=0,"",'Ch7'!H174)</f>
        <v/>
      </c>
      <c r="C936" s="311" t="str">
        <f t="shared" si="22"/>
        <v/>
      </c>
      <c r="D936" s="934"/>
      <c r="E936" s="911"/>
      <c r="F936" s="911"/>
      <c r="G936" s="1332"/>
      <c r="J936" s="1441"/>
    </row>
    <row r="937" spans="1:10" x14ac:dyDescent="0.3">
      <c r="A937" s="1196" t="str">
        <f ca="1">IF(COUNTIF(A938:A977,"P")&gt;0,"P","")</f>
        <v/>
      </c>
      <c r="B937" s="311" t="str">
        <f>IF(LEN('Ch7'!H175)=0,"",'Ch7'!H175)</f>
        <v/>
      </c>
      <c r="C937" s="311" t="str">
        <f t="shared" ca="1" si="22"/>
        <v/>
      </c>
      <c r="D937" s="152">
        <v>703.2</v>
      </c>
      <c r="E937" s="913"/>
      <c r="F937" s="913"/>
      <c r="G937" s="687" t="s">
        <v>1056</v>
      </c>
      <c r="J937" s="989"/>
    </row>
    <row r="938" spans="1:10" ht="15" customHeight="1" x14ac:dyDescent="0.3">
      <c r="A938" s="727" t="str">
        <f>IF('Ch7'!O176&gt;0,"P","")</f>
        <v/>
      </c>
      <c r="B938" s="311" t="str">
        <f>IF(LEN('Ch7'!H176)=0,"",'Ch7'!H176)</f>
        <v/>
      </c>
      <c r="C938" s="311" t="str">
        <f t="shared" si="22"/>
        <v/>
      </c>
      <c r="D938" s="152" t="s">
        <v>1057</v>
      </c>
      <c r="E938" s="913"/>
      <c r="F938" s="913"/>
      <c r="G938" s="1292" t="s">
        <v>1058</v>
      </c>
      <c r="H938" s="89">
        <f>'Ch7'!W176</f>
        <v>0</v>
      </c>
      <c r="I938" s="89">
        <f>'Ch7'!O176</f>
        <v>0</v>
      </c>
      <c r="J938" s="1443" t="s">
        <v>4352</v>
      </c>
    </row>
    <row r="939" spans="1:10" x14ac:dyDescent="0.3">
      <c r="A939" s="727" t="str">
        <f>A938</f>
        <v/>
      </c>
      <c r="B939" s="311" t="str">
        <f>IF(LEN('Ch7'!H177)=0,"",'Ch7'!H177)</f>
        <v/>
      </c>
      <c r="C939" s="311" t="str">
        <f t="shared" si="22"/>
        <v/>
      </c>
      <c r="D939" s="919"/>
      <c r="E939" s="913"/>
      <c r="F939" s="913"/>
      <c r="G939" s="1292"/>
      <c r="J939" s="1443"/>
    </row>
    <row r="940" spans="1:10" x14ac:dyDescent="0.3">
      <c r="A940" s="727" t="str">
        <f>A939</f>
        <v/>
      </c>
      <c r="B940" s="311" t="str">
        <f>IF(LEN('Ch7'!H178)=0,"",'Ch7'!H178)</f>
        <v/>
      </c>
      <c r="C940" s="311" t="str">
        <f t="shared" si="22"/>
        <v/>
      </c>
      <c r="D940" s="919"/>
      <c r="E940" s="913"/>
      <c r="F940" s="913"/>
      <c r="G940" s="1292"/>
      <c r="H940" s="89">
        <f>'Ch7'!W178</f>
        <v>0</v>
      </c>
      <c r="J940" s="1443"/>
    </row>
    <row r="941" spans="1:10" x14ac:dyDescent="0.3">
      <c r="A941" s="727" t="str">
        <f>A940</f>
        <v/>
      </c>
      <c r="B941" s="311" t="str">
        <f>IF(LEN('Ch7'!H179)=0,"",'Ch7'!H179)</f>
        <v/>
      </c>
      <c r="C941" s="311" t="str">
        <f t="shared" si="22"/>
        <v/>
      </c>
      <c r="D941" s="919"/>
      <c r="E941" s="913"/>
      <c r="F941" s="913"/>
      <c r="G941" s="1292"/>
      <c r="J941" s="1443"/>
    </row>
    <row r="942" spans="1:10" x14ac:dyDescent="0.3">
      <c r="A942" s="727" t="str">
        <f>A941</f>
        <v/>
      </c>
      <c r="B942" s="311" t="str">
        <f>IF(LEN('Ch7'!H180)=0,"",'Ch7'!H180)</f>
        <v/>
      </c>
      <c r="C942" s="311" t="str">
        <f t="shared" si="22"/>
        <v/>
      </c>
      <c r="D942" s="919"/>
      <c r="E942" s="913"/>
      <c r="F942" s="913"/>
      <c r="G942" s="1292"/>
      <c r="J942" s="1443"/>
    </row>
    <row r="943" spans="1:10" x14ac:dyDescent="0.3">
      <c r="A943" s="727" t="str">
        <f>A942</f>
        <v/>
      </c>
      <c r="B943" s="311" t="str">
        <f>IF(LEN('Ch7'!H181)=0,"",'Ch7'!H181)</f>
        <v/>
      </c>
      <c r="C943" s="311" t="str">
        <f t="shared" si="22"/>
        <v/>
      </c>
      <c r="D943" s="919"/>
      <c r="E943" s="913"/>
      <c r="F943" s="913"/>
      <c r="G943" s="1292"/>
      <c r="J943" s="1443"/>
    </row>
    <row r="944" spans="1:10" x14ac:dyDescent="0.3">
      <c r="B944" s="311" t="str">
        <f>IF(LEN('Ch7'!H182)=0,"",'Ch7'!H182)</f>
        <v/>
      </c>
      <c r="C944" s="311" t="str">
        <f t="shared" si="22"/>
        <v/>
      </c>
      <c r="D944" s="232"/>
      <c r="E944" s="910"/>
      <c r="F944" s="910"/>
      <c r="G944" s="634" t="s">
        <v>3760</v>
      </c>
      <c r="J944" s="989"/>
    </row>
    <row r="945" spans="1:10" x14ac:dyDescent="0.3">
      <c r="A945" s="727" t="str">
        <f>IF('Ch7'!O183&gt;0,"P","")</f>
        <v/>
      </c>
      <c r="B945" s="311" t="str">
        <f>IF(LEN('Ch7'!H183)=0,"",'Ch7'!H183)</f>
        <v/>
      </c>
      <c r="C945" s="311" t="str">
        <f t="shared" si="22"/>
        <v/>
      </c>
      <c r="D945" s="929" t="s">
        <v>1060</v>
      </c>
      <c r="E945" s="915"/>
      <c r="F945" s="915"/>
      <c r="G945" s="1364" t="s">
        <v>1061</v>
      </c>
      <c r="I945" s="89">
        <f>'Ch7'!O183</f>
        <v>0</v>
      </c>
      <c r="J945" s="1439" t="s">
        <v>4226</v>
      </c>
    </row>
    <row r="946" spans="1:10" x14ac:dyDescent="0.3">
      <c r="A946" s="727" t="str">
        <f>A945</f>
        <v/>
      </c>
      <c r="B946" s="311" t="str">
        <f>IF(LEN('Ch7'!H184)=0,"",'Ch7'!H184)</f>
        <v/>
      </c>
      <c r="C946" s="311" t="str">
        <f t="shared" si="22"/>
        <v/>
      </c>
      <c r="D946" s="232"/>
      <c r="E946" s="910"/>
      <c r="F946" s="910"/>
      <c r="G946" s="1350"/>
      <c r="H946" s="89">
        <f>'Ch7'!W184</f>
        <v>0</v>
      </c>
      <c r="J946" s="1439"/>
    </row>
    <row r="947" spans="1:10" x14ac:dyDescent="0.3">
      <c r="A947" s="727" t="str">
        <f>IF(AND(LEN('Ch7'!W185)&gt;0,NOT('Ch7'!W185=FALSE)),"P","")</f>
        <v/>
      </c>
      <c r="B947" s="311" t="str">
        <f>IF(LEN('Ch7'!H185)=0,"",'Ch7'!H185)</f>
        <v/>
      </c>
      <c r="C947" s="311" t="str">
        <f t="shared" si="22"/>
        <v/>
      </c>
      <c r="D947" s="929" t="s">
        <v>1063</v>
      </c>
      <c r="E947" s="915"/>
      <c r="F947" s="915"/>
      <c r="G947" s="1364" t="s">
        <v>1064</v>
      </c>
      <c r="H947" s="89">
        <f>'Ch7'!W185</f>
        <v>0</v>
      </c>
      <c r="I947" s="89">
        <f ca="1">'Ch7'!O185</f>
        <v>0</v>
      </c>
      <c r="J947" s="1439" t="s">
        <v>4275</v>
      </c>
    </row>
    <row r="948" spans="1:10" x14ac:dyDescent="0.3">
      <c r="A948" s="727" t="str">
        <f>A947</f>
        <v/>
      </c>
      <c r="B948" s="311" t="str">
        <f>IF(LEN('Ch7'!H186)=0,"",'Ch7'!H186)</f>
        <v/>
      </c>
      <c r="C948" s="311" t="str">
        <f t="shared" si="22"/>
        <v/>
      </c>
      <c r="D948" s="204"/>
      <c r="E948" s="909"/>
      <c r="F948" s="909"/>
      <c r="G948" s="1313"/>
      <c r="J948" s="1439"/>
    </row>
    <row r="949" spans="1:10" x14ac:dyDescent="0.3">
      <c r="A949" s="727" t="str">
        <f>A948</f>
        <v/>
      </c>
      <c r="B949" s="311" t="str">
        <f>IF(LEN('Ch7'!H187)=0,"",'Ch7'!H187)</f>
        <v/>
      </c>
      <c r="C949" s="311" t="str">
        <f t="shared" si="22"/>
        <v/>
      </c>
      <c r="D949" s="232"/>
      <c r="E949" s="910"/>
      <c r="F949" s="910"/>
      <c r="G949" s="1350"/>
      <c r="J949" s="1439"/>
    </row>
    <row r="950" spans="1:10" x14ac:dyDescent="0.3">
      <c r="A950" s="727" t="str">
        <f ca="1">IF('Ch7'!O188&gt;0,"P","")</f>
        <v/>
      </c>
      <c r="B950" s="311" t="str">
        <f>IF(LEN('Ch7'!H188)=0,"",'Ch7'!H188)</f>
        <v/>
      </c>
      <c r="C950" s="311" t="str">
        <f t="shared" ca="1" si="22"/>
        <v/>
      </c>
      <c r="D950" s="929" t="s">
        <v>1065</v>
      </c>
      <c r="E950" s="915"/>
      <c r="F950" s="915"/>
      <c r="G950" s="1364" t="s">
        <v>1066</v>
      </c>
      <c r="I950" s="89">
        <f ca="1">'Ch7'!O188</f>
        <v>0</v>
      </c>
      <c r="J950" s="1439" t="s">
        <v>4276</v>
      </c>
    </row>
    <row r="951" spans="1:10" x14ac:dyDescent="0.3">
      <c r="A951" s="727" t="str">
        <f ca="1">A950</f>
        <v/>
      </c>
      <c r="B951" s="311" t="str">
        <f>IF(LEN('Ch7'!H189)=0,"",'Ch7'!H189)</f>
        <v/>
      </c>
      <c r="C951" s="311" t="str">
        <f t="shared" ca="1" si="22"/>
        <v/>
      </c>
      <c r="D951" s="204"/>
      <c r="E951" s="909"/>
      <c r="F951" s="909"/>
      <c r="G951" s="1313"/>
      <c r="H951" s="89">
        <f>'Ch7'!W189</f>
        <v>0</v>
      </c>
      <c r="J951" s="1439"/>
    </row>
    <row r="952" spans="1:10" x14ac:dyDescent="0.3">
      <c r="A952" s="727" t="str">
        <f ca="1">A951</f>
        <v/>
      </c>
      <c r="B952" s="311" t="str">
        <f>IF(LEN('Ch7'!H190)=0,"",'Ch7'!H190)</f>
        <v/>
      </c>
      <c r="C952" s="311" t="str">
        <f t="shared" ca="1" si="22"/>
        <v/>
      </c>
      <c r="D952" s="232"/>
      <c r="E952" s="910"/>
      <c r="F952" s="910"/>
      <c r="G952" s="1350"/>
      <c r="J952" s="1439"/>
    </row>
    <row r="953" spans="1:10" x14ac:dyDescent="0.3">
      <c r="A953" s="1196" t="str">
        <f>IF(COUNTIF(A954:A977,"P")&gt;0,"P","")</f>
        <v/>
      </c>
      <c r="B953" s="311" t="str">
        <f>IF(LEN('Ch7'!H191)=0,"",'Ch7'!H191)</f>
        <v/>
      </c>
      <c r="C953" s="311" t="str">
        <f t="shared" si="22"/>
        <v/>
      </c>
      <c r="D953" s="152" t="s">
        <v>1068</v>
      </c>
      <c r="E953" s="913"/>
      <c r="F953" s="913"/>
      <c r="G953" s="687" t="s">
        <v>1069</v>
      </c>
      <c r="J953" s="989"/>
    </row>
    <row r="954" spans="1:10" x14ac:dyDescent="0.3">
      <c r="A954" s="727" t="str">
        <f>IF(AND(LEN('Ch7'!W192)&gt;0,NOT('Ch7'!W192=FALSE)),"P","")</f>
        <v/>
      </c>
      <c r="B954" s="311" t="str">
        <f>IF(LEN('Ch7'!H192)=0,"",'Ch7'!H192)</f>
        <v/>
      </c>
      <c r="C954" s="311" t="str">
        <f t="shared" si="22"/>
        <v/>
      </c>
      <c r="D954" s="106" t="s">
        <v>1070</v>
      </c>
      <c r="E954" s="909"/>
      <c r="F954" s="909"/>
      <c r="G954" s="1305" t="s">
        <v>1071</v>
      </c>
      <c r="H954" s="89">
        <f>'Ch7'!W192</f>
        <v>0</v>
      </c>
      <c r="J954" s="1441" t="s">
        <v>4411</v>
      </c>
    </row>
    <row r="955" spans="1:10" x14ac:dyDescent="0.3">
      <c r="A955" s="727" t="str">
        <f>A954</f>
        <v/>
      </c>
      <c r="B955" s="311" t="str">
        <f>IF(LEN('Ch7'!H193)=0,"",'Ch7'!H193)</f>
        <v/>
      </c>
      <c r="C955" s="311" t="str">
        <f t="shared" si="22"/>
        <v/>
      </c>
      <c r="D955" s="204"/>
      <c r="E955" s="909"/>
      <c r="F955" s="909"/>
      <c r="G955" s="1305"/>
      <c r="J955" s="1441"/>
    </row>
    <row r="956" spans="1:10" x14ac:dyDescent="0.3">
      <c r="A956" s="727" t="str">
        <f>A955</f>
        <v/>
      </c>
      <c r="B956" s="311" t="str">
        <f>IF(LEN('Ch7'!H194)=0,"",'Ch7'!H194)</f>
        <v/>
      </c>
      <c r="C956" s="311" t="str">
        <f t="shared" si="22"/>
        <v/>
      </c>
      <c r="D956" s="204"/>
      <c r="E956" s="909"/>
      <c r="F956" s="909"/>
      <c r="G956" s="1305"/>
      <c r="J956" s="1441"/>
    </row>
    <row r="957" spans="1:10" x14ac:dyDescent="0.3">
      <c r="A957" s="727" t="str">
        <f>A956</f>
        <v/>
      </c>
      <c r="B957" s="311" t="str">
        <f>IF(LEN('Ch7'!H195)=0,"",'Ch7'!H195)</f>
        <v/>
      </c>
      <c r="C957" s="311" t="str">
        <f t="shared" si="22"/>
        <v/>
      </c>
      <c r="D957" s="204"/>
      <c r="E957" s="909"/>
      <c r="F957" s="909"/>
      <c r="G957" s="1305"/>
      <c r="J957" s="1441"/>
    </row>
    <row r="958" spans="1:10" x14ac:dyDescent="0.3">
      <c r="A958" s="727" t="str">
        <f>A957</f>
        <v/>
      </c>
      <c r="B958" s="311" t="str">
        <f>IF(LEN('Ch7'!H196)=0,"",'Ch7'!H196)</f>
        <v/>
      </c>
      <c r="C958" s="311" t="str">
        <f t="shared" si="22"/>
        <v/>
      </c>
      <c r="D958" s="204"/>
      <c r="E958" s="909"/>
      <c r="F958" s="909"/>
      <c r="G958" s="1305"/>
      <c r="J958" s="1441"/>
    </row>
    <row r="959" spans="1:10" x14ac:dyDescent="0.3">
      <c r="A959" s="727" t="str">
        <f>A958</f>
        <v/>
      </c>
      <c r="B959" s="311" t="str">
        <f>IF(LEN('Ch7'!H197)=0,"",'Ch7'!H197)</f>
        <v/>
      </c>
      <c r="C959" s="311" t="str">
        <f t="shared" si="22"/>
        <v/>
      </c>
      <c r="D959" s="204"/>
      <c r="E959" s="909"/>
      <c r="F959" s="909"/>
      <c r="G959" s="1305"/>
      <c r="J959" s="1441"/>
    </row>
    <row r="960" spans="1:10" x14ac:dyDescent="0.3">
      <c r="B960" s="311" t="str">
        <f>IF(LEN('Ch7'!H198)=0,"",'Ch7'!H198)</f>
        <v/>
      </c>
      <c r="C960" s="311" t="str">
        <f t="shared" si="22"/>
        <v/>
      </c>
      <c r="D960" s="232"/>
      <c r="E960" s="910"/>
      <c r="F960" s="910"/>
      <c r="G960" s="634" t="s">
        <v>4047</v>
      </c>
      <c r="J960" s="989"/>
    </row>
    <row r="961" spans="1:10" x14ac:dyDescent="0.3">
      <c r="A961" s="727" t="str">
        <f>IF(AND(LEN('Ch7'!W199)&gt;0,NOT('Ch7'!W199=FALSE)),"P","")</f>
        <v/>
      </c>
      <c r="B961" s="311" t="str">
        <f>IF(LEN('Ch7'!H199)=0,"",'Ch7'!H199)</f>
        <v/>
      </c>
      <c r="C961" s="311" t="str">
        <f t="shared" si="22"/>
        <v/>
      </c>
      <c r="D961" s="929" t="s">
        <v>1072</v>
      </c>
      <c r="E961" s="915"/>
      <c r="F961" s="915"/>
      <c r="G961" s="1364" t="s">
        <v>1073</v>
      </c>
      <c r="H961" s="89">
        <f>'Ch7'!W199</f>
        <v>0</v>
      </c>
      <c r="J961" s="1439" t="s">
        <v>4277</v>
      </c>
    </row>
    <row r="962" spans="1:10" x14ac:dyDescent="0.3">
      <c r="A962" s="727" t="str">
        <f t="shared" ref="A962:A968" si="23">A961</f>
        <v/>
      </c>
      <c r="B962" s="311" t="str">
        <f>IF(LEN('Ch7'!H200)=0,"",'Ch7'!H200)</f>
        <v/>
      </c>
      <c r="C962" s="311" t="str">
        <f t="shared" si="22"/>
        <v/>
      </c>
      <c r="D962" s="204"/>
      <c r="E962" s="909"/>
      <c r="F962" s="909"/>
      <c r="G962" s="1313"/>
      <c r="J962" s="1439"/>
    </row>
    <row r="963" spans="1:10" x14ac:dyDescent="0.3">
      <c r="A963" s="727" t="str">
        <f t="shared" si="23"/>
        <v/>
      </c>
      <c r="B963" s="311" t="str">
        <f>IF(LEN('Ch7'!H201)=0,"",'Ch7'!H201)</f>
        <v/>
      </c>
      <c r="C963" s="311" t="str">
        <f t="shared" si="22"/>
        <v/>
      </c>
      <c r="D963" s="204"/>
      <c r="E963" s="909"/>
      <c r="F963" s="909"/>
      <c r="G963" s="1313"/>
      <c r="J963" s="1439"/>
    </row>
    <row r="964" spans="1:10" x14ac:dyDescent="0.3">
      <c r="A964" s="727" t="str">
        <f t="shared" si="23"/>
        <v/>
      </c>
      <c r="B964" s="311" t="str">
        <f>IF(LEN('Ch7'!H202)=0,"",'Ch7'!H202)</f>
        <v/>
      </c>
      <c r="C964" s="311" t="str">
        <f t="shared" si="22"/>
        <v/>
      </c>
      <c r="D964" s="204"/>
      <c r="E964" s="909"/>
      <c r="F964" s="909"/>
      <c r="G964" s="1313"/>
      <c r="J964" s="1439"/>
    </row>
    <row r="965" spans="1:10" x14ac:dyDescent="0.3">
      <c r="A965" s="727" t="str">
        <f t="shared" si="23"/>
        <v/>
      </c>
      <c r="B965" s="311" t="str">
        <f>IF(LEN('Ch7'!H203)=0,"",'Ch7'!H203)</f>
        <v/>
      </c>
      <c r="C965" s="311" t="str">
        <f t="shared" si="22"/>
        <v/>
      </c>
      <c r="D965" s="204"/>
      <c r="E965" s="909"/>
      <c r="F965" s="909"/>
      <c r="G965" s="1313"/>
      <c r="J965" s="1439"/>
    </row>
    <row r="966" spans="1:10" x14ac:dyDescent="0.3">
      <c r="A966" s="727" t="str">
        <f t="shared" si="23"/>
        <v/>
      </c>
      <c r="B966" s="311" t="str">
        <f>IF(LEN('Ch7'!H204)=0,"",'Ch7'!H204)</f>
        <v/>
      </c>
      <c r="C966" s="311" t="str">
        <f t="shared" si="22"/>
        <v/>
      </c>
      <c r="D966" s="204"/>
      <c r="E966" s="909"/>
      <c r="F966" s="909"/>
      <c r="G966" s="1313"/>
      <c r="J966" s="1439"/>
    </row>
    <row r="967" spans="1:10" x14ac:dyDescent="0.3">
      <c r="A967" s="727" t="str">
        <f t="shared" si="23"/>
        <v/>
      </c>
      <c r="B967" s="311" t="str">
        <f>IF(LEN('Ch7'!H205)=0,"",'Ch7'!H205)</f>
        <v/>
      </c>
      <c r="C967" s="311" t="str">
        <f t="shared" si="22"/>
        <v/>
      </c>
      <c r="D967" s="204"/>
      <c r="E967" s="909"/>
      <c r="F967" s="909"/>
      <c r="G967" s="1313"/>
      <c r="J967" s="1439"/>
    </row>
    <row r="968" spans="1:10" x14ac:dyDescent="0.3">
      <c r="A968" s="727" t="str">
        <f t="shared" si="23"/>
        <v/>
      </c>
      <c r="B968" s="311" t="str">
        <f>IF(LEN('Ch7'!H206)=0,"",'Ch7'!H206)</f>
        <v/>
      </c>
      <c r="C968" s="311" t="str">
        <f t="shared" ref="C968:C1031" si="24">IF(LEN(B968)=0,IF(A968="P","P",""),B968)</f>
        <v/>
      </c>
      <c r="D968" s="232"/>
      <c r="E968" s="910"/>
      <c r="F968" s="910"/>
      <c r="G968" s="1350"/>
      <c r="J968" s="1439"/>
    </row>
    <row r="969" spans="1:10" x14ac:dyDescent="0.3">
      <c r="A969" s="727" t="str">
        <f>IF(AND(LEN('Ch7'!W207)&gt;0,NOT('Ch7'!W207=FALSE)),"P","")</f>
        <v/>
      </c>
      <c r="B969" s="311" t="str">
        <f>IF(LEN('Ch7'!H207)=0,"",'Ch7'!H207)</f>
        <v/>
      </c>
      <c r="C969" s="311" t="str">
        <f t="shared" si="24"/>
        <v/>
      </c>
      <c r="D969" s="152" t="s">
        <v>1074</v>
      </c>
      <c r="E969" s="913"/>
      <c r="F969" s="913"/>
      <c r="G969" s="1292" t="s">
        <v>1075</v>
      </c>
      <c r="H969" s="89">
        <f>'Ch7'!W207</f>
        <v>0</v>
      </c>
      <c r="I969" s="89">
        <f ca="1">'Ch7'!O207</f>
        <v>0</v>
      </c>
      <c r="J969" s="1443" t="s">
        <v>4277</v>
      </c>
    </row>
    <row r="970" spans="1:10" x14ac:dyDescent="0.3">
      <c r="A970" s="727" t="str">
        <f>A969</f>
        <v/>
      </c>
      <c r="B970" s="311" t="str">
        <f>IF(LEN('Ch7'!H208)=0,"",'Ch7'!H208)</f>
        <v/>
      </c>
      <c r="C970" s="311" t="str">
        <f t="shared" si="24"/>
        <v/>
      </c>
      <c r="D970" s="919"/>
      <c r="E970" s="913"/>
      <c r="F970" s="913"/>
      <c r="G970" s="1292"/>
      <c r="J970" s="1443"/>
    </row>
    <row r="971" spans="1:10" x14ac:dyDescent="0.3">
      <c r="A971" s="727" t="str">
        <f>A970</f>
        <v/>
      </c>
      <c r="B971" s="311" t="str">
        <f>IF(LEN('Ch7'!H209)=0,"",'Ch7'!H209)</f>
        <v/>
      </c>
      <c r="C971" s="311" t="str">
        <f t="shared" si="24"/>
        <v/>
      </c>
      <c r="D971" s="919"/>
      <c r="E971" s="913"/>
      <c r="F971" s="913"/>
      <c r="G971" s="1292"/>
      <c r="J971" s="1443"/>
    </row>
    <row r="972" spans="1:10" x14ac:dyDescent="0.3">
      <c r="A972" s="727" t="str">
        <f>A971</f>
        <v/>
      </c>
      <c r="B972" s="311" t="str">
        <f>IF(LEN('Ch7'!H210)=0,"",'Ch7'!H210)</f>
        <v/>
      </c>
      <c r="C972" s="311" t="str">
        <f t="shared" si="24"/>
        <v/>
      </c>
      <c r="D972" s="919"/>
      <c r="E972" s="913"/>
      <c r="F972" s="913"/>
      <c r="G972" s="1292"/>
      <c r="J972" s="1443"/>
    </row>
    <row r="973" spans="1:10" x14ac:dyDescent="0.3">
      <c r="A973" s="727" t="str">
        <f>A972</f>
        <v/>
      </c>
      <c r="B973" s="311" t="str">
        <f>IF(LEN('Ch7'!H211)=0,"",'Ch7'!H211)</f>
        <v/>
      </c>
      <c r="C973" s="311" t="str">
        <f t="shared" si="24"/>
        <v/>
      </c>
      <c r="D973" s="919"/>
      <c r="E973" s="913"/>
      <c r="F973" s="913"/>
      <c r="G973" s="1292"/>
      <c r="J973" s="1443"/>
    </row>
    <row r="974" spans="1:10" x14ac:dyDescent="0.3">
      <c r="B974" s="311" t="str">
        <f>IF(LEN('Ch7'!H212)=0,"",'Ch7'!H212)</f>
        <v/>
      </c>
      <c r="C974" s="311" t="str">
        <f t="shared" si="24"/>
        <v/>
      </c>
      <c r="D974" s="919"/>
      <c r="E974" s="913"/>
      <c r="F974" s="962" t="s">
        <v>121</v>
      </c>
      <c r="G974" s="667" t="s">
        <v>3705</v>
      </c>
      <c r="J974" s="1001"/>
    </row>
    <row r="975" spans="1:10" x14ac:dyDescent="0.3">
      <c r="B975" s="311" t="str">
        <f>IF(LEN('Ch7'!H213)=0,"",'Ch7'!H213)</f>
        <v/>
      </c>
      <c r="C975" s="311" t="str">
        <f t="shared" si="24"/>
        <v/>
      </c>
      <c r="D975" s="919"/>
      <c r="E975" s="913"/>
      <c r="F975" s="962" t="s">
        <v>122</v>
      </c>
      <c r="G975" s="667" t="s">
        <v>3702</v>
      </c>
      <c r="J975" s="1001"/>
    </row>
    <row r="976" spans="1:10" x14ac:dyDescent="0.3">
      <c r="B976" s="311" t="str">
        <f>IF(LEN('Ch7'!H214)=0,"",'Ch7'!H214)</f>
        <v/>
      </c>
      <c r="C976" s="311" t="str">
        <f t="shared" si="24"/>
        <v/>
      </c>
      <c r="D976" s="232"/>
      <c r="E976" s="910"/>
      <c r="F976" s="970" t="s">
        <v>123</v>
      </c>
      <c r="G976" s="364" t="s">
        <v>3701</v>
      </c>
      <c r="J976" s="1001"/>
    </row>
    <row r="977" spans="1:10" x14ac:dyDescent="0.3">
      <c r="A977" s="727" t="str">
        <f>IF(AND(LEN('Ch7'!W215)&gt;0,NOT('Ch7'!W215=FALSE)),"P","")</f>
        <v/>
      </c>
      <c r="B977" s="311" t="str">
        <f>IF(LEN('Ch7'!H215)=0,"",'Ch7'!H215)</f>
        <v/>
      </c>
      <c r="C977" s="311" t="str">
        <f t="shared" si="24"/>
        <v/>
      </c>
      <c r="D977" s="929" t="s">
        <v>1076</v>
      </c>
      <c r="E977" s="915"/>
      <c r="F977" s="957"/>
      <c r="G977" s="1364" t="s">
        <v>1077</v>
      </c>
      <c r="H977" s="89">
        <f>'Ch7'!W215</f>
        <v>0</v>
      </c>
      <c r="J977" s="1439" t="s">
        <v>4277</v>
      </c>
    </row>
    <row r="978" spans="1:10" x14ac:dyDescent="0.3">
      <c r="A978" s="727" t="str">
        <f t="shared" ref="A978:A984" si="25">A977</f>
        <v/>
      </c>
      <c r="B978" s="311" t="str">
        <f>IF(LEN('Ch7'!H216)=0,"",'Ch7'!H216)</f>
        <v/>
      </c>
      <c r="C978" s="311" t="str">
        <f t="shared" si="24"/>
        <v/>
      </c>
      <c r="D978" s="204"/>
      <c r="E978" s="909"/>
      <c r="F978" s="909"/>
      <c r="G978" s="1313"/>
      <c r="J978" s="1439"/>
    </row>
    <row r="979" spans="1:10" x14ac:dyDescent="0.3">
      <c r="A979" s="727" t="str">
        <f t="shared" si="25"/>
        <v/>
      </c>
      <c r="B979" s="311" t="str">
        <f>IF(LEN('Ch7'!H217)=0,"",'Ch7'!H217)</f>
        <v/>
      </c>
      <c r="C979" s="311" t="str">
        <f t="shared" si="24"/>
        <v/>
      </c>
      <c r="D979" s="204"/>
      <c r="E979" s="909"/>
      <c r="F979" s="909"/>
      <c r="G979" s="1313"/>
      <c r="J979" s="1439"/>
    </row>
    <row r="980" spans="1:10" x14ac:dyDescent="0.3">
      <c r="A980" s="727" t="str">
        <f t="shared" si="25"/>
        <v/>
      </c>
      <c r="B980" s="311" t="str">
        <f>IF(LEN('Ch7'!H218)=0,"",'Ch7'!H218)</f>
        <v/>
      </c>
      <c r="C980" s="311" t="str">
        <f t="shared" si="24"/>
        <v/>
      </c>
      <c r="D980" s="204"/>
      <c r="E980" s="909"/>
      <c r="F980" s="909"/>
      <c r="G980" s="1313"/>
      <c r="J980" s="1439"/>
    </row>
    <row r="981" spans="1:10" x14ac:dyDescent="0.3">
      <c r="A981" s="727" t="str">
        <f t="shared" si="25"/>
        <v/>
      </c>
      <c r="B981" s="311" t="str">
        <f>IF(LEN('Ch7'!H219)=0,"",'Ch7'!H219)</f>
        <v/>
      </c>
      <c r="C981" s="311" t="str">
        <f t="shared" si="24"/>
        <v/>
      </c>
      <c r="D981" s="204"/>
      <c r="E981" s="909"/>
      <c r="F981" s="909"/>
      <c r="G981" s="1313"/>
      <c r="J981" s="1439"/>
    </row>
    <row r="982" spans="1:10" x14ac:dyDescent="0.3">
      <c r="A982" s="727" t="str">
        <f t="shared" si="25"/>
        <v/>
      </c>
      <c r="B982" s="311" t="str">
        <f>IF(LEN('Ch7'!H220)=0,"",'Ch7'!H220)</f>
        <v/>
      </c>
      <c r="C982" s="311" t="str">
        <f t="shared" si="24"/>
        <v/>
      </c>
      <c r="D982" s="204"/>
      <c r="E982" s="909"/>
      <c r="F982" s="909"/>
      <c r="G982" s="1313"/>
      <c r="J982" s="1439"/>
    </row>
    <row r="983" spans="1:10" x14ac:dyDescent="0.3">
      <c r="A983" s="727" t="str">
        <f t="shared" si="25"/>
        <v/>
      </c>
      <c r="B983" s="311" t="str">
        <f>IF(LEN('Ch7'!H221)=0,"",'Ch7'!H221)</f>
        <v/>
      </c>
      <c r="C983" s="311" t="str">
        <f t="shared" si="24"/>
        <v/>
      </c>
      <c r="D983" s="204"/>
      <c r="E983" s="909"/>
      <c r="F983" s="909"/>
      <c r="G983" s="1313"/>
      <c r="J983" s="1439"/>
    </row>
    <row r="984" spans="1:10" ht="15" thickBot="1" x14ac:dyDescent="0.35">
      <c r="A984" s="727" t="str">
        <f t="shared" si="25"/>
        <v/>
      </c>
      <c r="B984" s="311" t="str">
        <f>IF(LEN('Ch7'!H222)=0,"",'Ch7'!H222)</f>
        <v/>
      </c>
      <c r="C984" s="311" t="str">
        <f t="shared" si="24"/>
        <v/>
      </c>
      <c r="D984" s="934"/>
      <c r="E984" s="911"/>
      <c r="F984" s="911"/>
      <c r="G984" s="1332"/>
      <c r="J984" s="1439"/>
    </row>
    <row r="985" spans="1:10" x14ac:dyDescent="0.3">
      <c r="A985" s="1196" t="str">
        <f ca="1">IF(COUNTIF(A999:A1059,"P")&gt;0,"P","")</f>
        <v/>
      </c>
      <c r="B985" s="311" t="str">
        <f>IF(LEN('Ch7'!H223)=0,"",'Ch7'!H223)</f>
        <v/>
      </c>
      <c r="C985" s="311" t="str">
        <f t="shared" ca="1" si="24"/>
        <v/>
      </c>
      <c r="D985" s="925">
        <v>703.3</v>
      </c>
      <c r="E985" s="913"/>
      <c r="F985" s="913"/>
      <c r="G985" s="687" t="s">
        <v>1079</v>
      </c>
      <c r="J985" s="989"/>
    </row>
    <row r="986" spans="1:10" x14ac:dyDescent="0.3">
      <c r="B986" s="311" t="str">
        <f>IF(LEN('Ch7'!H224)=0,"",'Ch7'!H224)</f>
        <v/>
      </c>
      <c r="C986" s="311" t="str">
        <f t="shared" si="24"/>
        <v/>
      </c>
      <c r="D986" s="152" t="s">
        <v>1078</v>
      </c>
      <c r="E986" s="913"/>
      <c r="F986" s="913"/>
      <c r="G986" s="1292" t="s">
        <v>1080</v>
      </c>
      <c r="J986" s="989"/>
    </row>
    <row r="987" spans="1:10" x14ac:dyDescent="0.3">
      <c r="B987" s="311" t="str">
        <f>IF(LEN('Ch7'!H225)=0,"",'Ch7'!H225)</f>
        <v/>
      </c>
      <c r="C987" s="311" t="str">
        <f t="shared" si="24"/>
        <v/>
      </c>
      <c r="D987" s="919"/>
      <c r="E987" s="913"/>
      <c r="F987" s="913"/>
      <c r="G987" s="1292"/>
      <c r="H987" s="89">
        <f>'Ch7'!W225</f>
        <v>0</v>
      </c>
      <c r="J987" s="989"/>
    </row>
    <row r="988" spans="1:10" x14ac:dyDescent="0.3">
      <c r="B988" s="311" t="str">
        <f>IF(LEN('Ch7'!H226)=0,"",'Ch7'!H226)</f>
        <v/>
      </c>
      <c r="C988" s="311" t="str">
        <f t="shared" si="24"/>
        <v/>
      </c>
      <c r="D988" s="919"/>
      <c r="E988" s="913"/>
      <c r="F988" s="913"/>
      <c r="G988" s="1292"/>
      <c r="J988" s="989"/>
    </row>
    <row r="989" spans="1:10" x14ac:dyDescent="0.3">
      <c r="B989" s="311" t="str">
        <f>IF(LEN('Ch7'!H227)=0,"",'Ch7'!H227)</f>
        <v/>
      </c>
      <c r="C989" s="311" t="str">
        <f t="shared" si="24"/>
        <v/>
      </c>
      <c r="D989" s="919"/>
      <c r="E989" s="913"/>
      <c r="F989" s="913"/>
      <c r="G989" s="1292"/>
      <c r="J989" s="989"/>
    </row>
    <row r="990" spans="1:10" x14ac:dyDescent="0.3">
      <c r="B990" s="311" t="str">
        <f>IF(LEN('Ch7'!H228)=0,"",'Ch7'!H228)</f>
        <v/>
      </c>
      <c r="C990" s="311" t="str">
        <f t="shared" si="24"/>
        <v/>
      </c>
      <c r="D990" s="919"/>
      <c r="E990" s="913"/>
      <c r="F990" s="913"/>
      <c r="G990" s="1292"/>
      <c r="J990" s="989"/>
    </row>
    <row r="991" spans="1:10" x14ac:dyDescent="0.3">
      <c r="B991" s="311" t="str">
        <f>IF(LEN('Ch7'!H229)=0,"",'Ch7'!H229)</f>
        <v/>
      </c>
      <c r="C991" s="311" t="str">
        <f t="shared" si="24"/>
        <v/>
      </c>
      <c r="D991" s="919"/>
      <c r="E991" s="913"/>
      <c r="F991" s="913"/>
      <c r="G991" s="1292"/>
      <c r="J991" s="989"/>
    </row>
    <row r="992" spans="1:10" x14ac:dyDescent="0.3">
      <c r="B992" s="311" t="str">
        <f>IF(LEN('Ch7'!H230)=0,"",'Ch7'!H230)</f>
        <v/>
      </c>
      <c r="C992" s="311" t="str">
        <f t="shared" si="24"/>
        <v/>
      </c>
      <c r="D992" s="919"/>
      <c r="E992" s="913"/>
      <c r="F992" s="913"/>
      <c r="G992" s="1292"/>
      <c r="J992" s="989"/>
    </row>
    <row r="993" spans="1:10" x14ac:dyDescent="0.3">
      <c r="B993" s="311" t="str">
        <f>IF(LEN('Ch7'!H231)=0,"",'Ch7'!H231)</f>
        <v/>
      </c>
      <c r="C993" s="311" t="str">
        <f t="shared" si="24"/>
        <v/>
      </c>
      <c r="D993" s="919"/>
      <c r="E993" s="913"/>
      <c r="F993" s="913"/>
      <c r="G993" s="1292"/>
      <c r="H993" s="89">
        <f>'Ch7'!W231</f>
        <v>0</v>
      </c>
      <c r="J993" s="989"/>
    </row>
    <row r="994" spans="1:10" x14ac:dyDescent="0.3">
      <c r="B994" s="311" t="str">
        <f>IF(LEN('Ch7'!H232)=0,"",'Ch7'!H232)</f>
        <v/>
      </c>
      <c r="C994" s="311" t="str">
        <f t="shared" si="24"/>
        <v/>
      </c>
      <c r="D994" s="919"/>
      <c r="E994" s="913"/>
      <c r="F994" s="913"/>
      <c r="G994" s="1399" t="s">
        <v>1300</v>
      </c>
      <c r="J994" s="989"/>
    </row>
    <row r="995" spans="1:10" x14ac:dyDescent="0.3">
      <c r="B995" s="311" t="str">
        <f>IF(LEN('Ch7'!H233)=0,"",'Ch7'!H233)</f>
        <v/>
      </c>
      <c r="C995" s="311" t="str">
        <f t="shared" si="24"/>
        <v/>
      </c>
      <c r="D995" s="919"/>
      <c r="E995" s="913"/>
      <c r="F995" s="913"/>
      <c r="G995" s="1399"/>
      <c r="J995" s="989"/>
    </row>
    <row r="996" spans="1:10" x14ac:dyDescent="0.3">
      <c r="B996" s="311" t="str">
        <f>IF(LEN('Ch7'!H234)=0,"",'Ch7'!H234)</f>
        <v/>
      </c>
      <c r="C996" s="311" t="str">
        <f t="shared" si="24"/>
        <v/>
      </c>
      <c r="D996" s="919"/>
      <c r="E996" s="913"/>
      <c r="F996" s="913"/>
      <c r="G996" s="693" t="s">
        <v>1081</v>
      </c>
      <c r="J996" s="989"/>
    </row>
    <row r="997" spans="1:10" x14ac:dyDescent="0.3">
      <c r="B997" s="311" t="str">
        <f>IF(LEN('Ch7'!H235)=0,"",'Ch7'!H235)</f>
        <v/>
      </c>
      <c r="C997" s="311" t="str">
        <f t="shared" si="24"/>
        <v/>
      </c>
      <c r="D997" s="204"/>
      <c r="E997" s="909"/>
      <c r="F997" s="909"/>
      <c r="G997" s="638" t="s">
        <v>1082</v>
      </c>
      <c r="J997" s="989"/>
    </row>
    <row r="998" spans="1:10" x14ac:dyDescent="0.3">
      <c r="B998" s="311" t="str">
        <f>IF(LEN('Ch7'!H236)=0,"",'Ch7'!H236)</f>
        <v/>
      </c>
      <c r="C998" s="311" t="str">
        <f t="shared" si="24"/>
        <v/>
      </c>
      <c r="D998" s="232"/>
      <c r="E998" s="910"/>
      <c r="F998" s="910"/>
      <c r="G998" s="639" t="s">
        <v>1083</v>
      </c>
      <c r="J998" s="989"/>
    </row>
    <row r="999" spans="1:10" ht="15" customHeight="1" x14ac:dyDescent="0.3">
      <c r="A999" s="727" t="str">
        <f>IF(AND(LEN('Ch7'!W237)&gt;0,NOT('Ch7'!W237=FALSE)),"P","")</f>
        <v/>
      </c>
      <c r="B999" s="311" t="str">
        <f>IF(LEN('Ch7'!H237)=0,"",'Ch7'!H237)</f>
        <v/>
      </c>
      <c r="C999" s="311" t="str">
        <f t="shared" si="24"/>
        <v/>
      </c>
      <c r="D999" s="106" t="s">
        <v>1084</v>
      </c>
      <c r="E999" s="909"/>
      <c r="F999" s="909"/>
      <c r="G999" s="1313" t="s">
        <v>1085</v>
      </c>
      <c r="H999" s="89">
        <f>'Ch7'!W237</f>
        <v>0</v>
      </c>
      <c r="I999" s="89">
        <f ca="1">'Ch7'!O237</f>
        <v>0</v>
      </c>
      <c r="J999" s="1443" t="s">
        <v>4278</v>
      </c>
    </row>
    <row r="1000" spans="1:10" x14ac:dyDescent="0.3">
      <c r="A1000" s="727" t="str">
        <f>A999</f>
        <v/>
      </c>
      <c r="B1000" s="311" t="str">
        <f>IF(LEN('Ch7'!H238)=0,"",'Ch7'!H238)</f>
        <v/>
      </c>
      <c r="C1000" s="311" t="str">
        <f t="shared" si="24"/>
        <v/>
      </c>
      <c r="D1000" s="204"/>
      <c r="E1000" s="909"/>
      <c r="F1000" s="909"/>
      <c r="G1000" s="1313"/>
      <c r="J1000" s="1443"/>
    </row>
    <row r="1001" spans="1:10" x14ac:dyDescent="0.3">
      <c r="A1001" s="727" t="str">
        <f>A1000</f>
        <v/>
      </c>
      <c r="B1001" s="311" t="str">
        <f>IF(LEN('Ch7'!H239)=0,"",'Ch7'!H239)</f>
        <v/>
      </c>
      <c r="C1001" s="311" t="str">
        <f t="shared" si="24"/>
        <v/>
      </c>
      <c r="D1001" s="204"/>
      <c r="E1001" s="909"/>
      <c r="F1001" s="909"/>
      <c r="G1001" s="1313"/>
      <c r="J1001" s="1443"/>
    </row>
    <row r="1002" spans="1:10" x14ac:dyDescent="0.3">
      <c r="A1002" s="727" t="str">
        <f>A1001</f>
        <v/>
      </c>
      <c r="B1002" s="311" t="str">
        <f>IF(LEN('Ch7'!H240)=0,"",'Ch7'!H240)</f>
        <v/>
      </c>
      <c r="C1002" s="311" t="str">
        <f t="shared" si="24"/>
        <v/>
      </c>
      <c r="D1002" s="204"/>
      <c r="E1002" s="909"/>
      <c r="F1002" s="909"/>
      <c r="G1002" s="1313"/>
      <c r="J1002" s="1443"/>
    </row>
    <row r="1003" spans="1:10" x14ac:dyDescent="0.3">
      <c r="A1003" s="727" t="str">
        <f>A1002</f>
        <v/>
      </c>
      <c r="B1003" s="311" t="str">
        <f>IF(LEN('Ch7'!H241)=0,"",'Ch7'!H241)</f>
        <v/>
      </c>
      <c r="C1003" s="311" t="str">
        <f t="shared" si="24"/>
        <v/>
      </c>
      <c r="D1003" s="232"/>
      <c r="E1003" s="910"/>
      <c r="F1003" s="910"/>
      <c r="G1003" s="1350"/>
      <c r="J1003" s="1443"/>
    </row>
    <row r="1004" spans="1:10" x14ac:dyDescent="0.3">
      <c r="A1004" s="727" t="str">
        <f ca="1">IF(SUM(I1005:I1019)&gt;0,"P","")</f>
        <v/>
      </c>
      <c r="B1004" s="311" t="str">
        <f>IF(LEN('Ch7'!H242)=0,"",'Ch7'!H242)</f>
        <v/>
      </c>
      <c r="C1004" s="311" t="str">
        <f t="shared" ca="1" si="24"/>
        <v/>
      </c>
      <c r="D1004" s="152" t="s">
        <v>1086</v>
      </c>
      <c r="E1004" s="913"/>
      <c r="F1004" s="913"/>
      <c r="G1004" s="687" t="s">
        <v>1087</v>
      </c>
      <c r="J1004" s="989" t="s">
        <v>4279</v>
      </c>
    </row>
    <row r="1005" spans="1:10" x14ac:dyDescent="0.3">
      <c r="B1005" s="311" t="str">
        <f>IF(LEN('Ch7'!H243)=0,"",'Ch7'!H243)</f>
        <v/>
      </c>
      <c r="C1005" s="311" t="str">
        <f t="shared" si="24"/>
        <v/>
      </c>
      <c r="D1005" s="919"/>
      <c r="E1005" s="964" t="s">
        <v>271</v>
      </c>
      <c r="F1005" s="913"/>
      <c r="G1005" s="682" t="s">
        <v>1088</v>
      </c>
      <c r="I1005" s="89">
        <f ca="1">'Ch7'!O243</f>
        <v>0</v>
      </c>
      <c r="J1005" s="989"/>
    </row>
    <row r="1006" spans="1:10" x14ac:dyDescent="0.3">
      <c r="B1006" s="311" t="str">
        <f>IF(LEN('Ch7'!H244)=0,"",'Ch7'!H244)</f>
        <v/>
      </c>
      <c r="C1006" s="311" t="str">
        <f t="shared" si="24"/>
        <v/>
      </c>
      <c r="D1006" s="919"/>
      <c r="E1006" s="964"/>
      <c r="F1006" s="913"/>
      <c r="G1006" s="682" t="s">
        <v>4038</v>
      </c>
      <c r="H1006" s="89">
        <f>'Ch7'!W244</f>
        <v>0</v>
      </c>
      <c r="J1006" s="989"/>
    </row>
    <row r="1007" spans="1:10" x14ac:dyDescent="0.3">
      <c r="B1007" s="311" t="str">
        <f>IF(LEN('Ch7'!H245)=0,"",'Ch7'!H245)</f>
        <v/>
      </c>
      <c r="C1007" s="311" t="str">
        <f t="shared" si="24"/>
        <v/>
      </c>
      <c r="D1007" s="919"/>
      <c r="E1007" s="964"/>
      <c r="F1007" s="913"/>
      <c r="G1007" s="682" t="s">
        <v>4039</v>
      </c>
      <c r="J1007" s="989"/>
    </row>
    <row r="1008" spans="1:10" x14ac:dyDescent="0.3">
      <c r="B1008" s="311" t="str">
        <f>IF(LEN('Ch7'!H246)=0,"",'Ch7'!H246)</f>
        <v/>
      </c>
      <c r="C1008" s="311" t="str">
        <f t="shared" si="24"/>
        <v/>
      </c>
      <c r="D1008" s="919"/>
      <c r="E1008" s="964"/>
      <c r="F1008" s="913"/>
      <c r="G1008" s="682" t="s">
        <v>4040</v>
      </c>
      <c r="J1008" s="989"/>
    </row>
    <row r="1009" spans="1:10" x14ac:dyDescent="0.3">
      <c r="B1009" s="311" t="str">
        <f>IF(LEN('Ch7'!H247)=0,"",'Ch7'!H247)</f>
        <v/>
      </c>
      <c r="C1009" s="311" t="str">
        <f t="shared" si="24"/>
        <v/>
      </c>
      <c r="D1009" s="919"/>
      <c r="E1009" s="964"/>
      <c r="F1009" s="913"/>
      <c r="G1009" s="682" t="s">
        <v>4041</v>
      </c>
      <c r="J1009" s="989"/>
    </row>
    <row r="1010" spans="1:10" x14ac:dyDescent="0.3">
      <c r="B1010" s="311" t="str">
        <f>IF(LEN('Ch7'!H248)=0,"",'Ch7'!H248)</f>
        <v/>
      </c>
      <c r="C1010" s="311" t="str">
        <f t="shared" si="24"/>
        <v/>
      </c>
      <c r="D1010" s="919"/>
      <c r="E1010" s="910"/>
      <c r="F1010" s="910"/>
      <c r="G1010" s="676" t="s">
        <v>4042</v>
      </c>
      <c r="J1010" s="989"/>
    </row>
    <row r="1011" spans="1:10" x14ac:dyDescent="0.3">
      <c r="B1011" s="311" t="str">
        <f>IF(LEN('Ch7'!H249)=0,"",'Ch7'!H249)</f>
        <v/>
      </c>
      <c r="C1011" s="311" t="str">
        <f t="shared" si="24"/>
        <v/>
      </c>
      <c r="D1011" s="919"/>
      <c r="E1011" s="964" t="s">
        <v>273</v>
      </c>
      <c r="F1011" s="913"/>
      <c r="G1011" s="682" t="s">
        <v>1089</v>
      </c>
      <c r="I1011" s="89">
        <f ca="1">'Ch7'!O249</f>
        <v>0</v>
      </c>
      <c r="J1011" s="989"/>
    </row>
    <row r="1012" spans="1:10" x14ac:dyDescent="0.3">
      <c r="B1012" s="311" t="str">
        <f>IF(LEN('Ch7'!H250)=0,"",'Ch7'!H250)</f>
        <v/>
      </c>
      <c r="C1012" s="311" t="str">
        <f t="shared" si="24"/>
        <v/>
      </c>
      <c r="D1012" s="919"/>
      <c r="E1012" s="964"/>
      <c r="F1012" s="913"/>
      <c r="G1012" s="682" t="s">
        <v>4043</v>
      </c>
      <c r="H1012" s="89">
        <f>'Ch7'!W250</f>
        <v>0</v>
      </c>
      <c r="J1012" s="989"/>
    </row>
    <row r="1013" spans="1:10" x14ac:dyDescent="0.3">
      <c r="B1013" s="311" t="str">
        <f>IF(LEN('Ch7'!H251)=0,"",'Ch7'!H251)</f>
        <v/>
      </c>
      <c r="C1013" s="311" t="str">
        <f t="shared" si="24"/>
        <v/>
      </c>
      <c r="D1013" s="919"/>
      <c r="E1013" s="910"/>
      <c r="F1013" s="910"/>
      <c r="G1013" s="676" t="s">
        <v>4038</v>
      </c>
      <c r="J1013" s="989"/>
    </row>
    <row r="1014" spans="1:10" x14ac:dyDescent="0.3">
      <c r="B1014" s="311" t="str">
        <f>IF(LEN('Ch7'!H252)=0,"",'Ch7'!H252)</f>
        <v/>
      </c>
      <c r="C1014" s="311" t="str">
        <f t="shared" si="24"/>
        <v/>
      </c>
      <c r="D1014" s="919"/>
      <c r="E1014" s="964" t="s">
        <v>275</v>
      </c>
      <c r="F1014" s="913"/>
      <c r="G1014" s="682" t="s">
        <v>1090</v>
      </c>
      <c r="I1014" s="89">
        <f ca="1">'Ch7'!O252</f>
        <v>0</v>
      </c>
      <c r="J1014" s="989"/>
    </row>
    <row r="1015" spans="1:10" x14ac:dyDescent="0.3">
      <c r="B1015" s="311" t="str">
        <f>IF(LEN('Ch7'!H253)=0,"",'Ch7'!H253)</f>
        <v/>
      </c>
      <c r="C1015" s="311" t="str">
        <f t="shared" si="24"/>
        <v/>
      </c>
      <c r="D1015" s="919"/>
      <c r="E1015" s="964"/>
      <c r="F1015" s="913"/>
      <c r="G1015" s="682" t="s">
        <v>4043</v>
      </c>
      <c r="H1015" s="89">
        <f>'Ch7'!W253</f>
        <v>0</v>
      </c>
      <c r="J1015" s="989"/>
    </row>
    <row r="1016" spans="1:10" x14ac:dyDescent="0.3">
      <c r="B1016" s="311" t="str">
        <f>IF(LEN('Ch7'!H254)=0,"",'Ch7'!H254)</f>
        <v/>
      </c>
      <c r="C1016" s="311" t="str">
        <f t="shared" si="24"/>
        <v/>
      </c>
      <c r="D1016" s="919"/>
      <c r="E1016" s="964"/>
      <c r="F1016" s="913"/>
      <c r="G1016" s="682" t="s">
        <v>4038</v>
      </c>
      <c r="J1016" s="989"/>
    </row>
    <row r="1017" spans="1:10" x14ac:dyDescent="0.3">
      <c r="B1017" s="311" t="str">
        <f>IF(LEN('Ch7'!H255)=0,"",'Ch7'!H255)</f>
        <v/>
      </c>
      <c r="C1017" s="311" t="str">
        <f t="shared" si="24"/>
        <v/>
      </c>
      <c r="D1017" s="919"/>
      <c r="E1017" s="964"/>
      <c r="F1017" s="913"/>
      <c r="G1017" s="682" t="s">
        <v>4040</v>
      </c>
      <c r="J1017" s="989"/>
    </row>
    <row r="1018" spans="1:10" x14ac:dyDescent="0.3">
      <c r="B1018" s="311" t="str">
        <f>IF(LEN('Ch7'!H256)=0,"",'Ch7'!H256)</f>
        <v/>
      </c>
      <c r="C1018" s="311" t="str">
        <f t="shared" si="24"/>
        <v/>
      </c>
      <c r="D1018" s="919"/>
      <c r="E1018" s="910"/>
      <c r="F1018" s="910"/>
      <c r="G1018" s="676" t="s">
        <v>4041</v>
      </c>
      <c r="J1018" s="989"/>
    </row>
    <row r="1019" spans="1:10" x14ac:dyDescent="0.3">
      <c r="B1019" s="311" t="str">
        <f>IF(LEN('Ch7'!H257)=0,"",'Ch7'!H257)</f>
        <v/>
      </c>
      <c r="C1019" s="311" t="str">
        <f t="shared" si="24"/>
        <v/>
      </c>
      <c r="D1019" s="919"/>
      <c r="E1019" s="964" t="s">
        <v>285</v>
      </c>
      <c r="F1019" s="913"/>
      <c r="G1019" s="682" t="s">
        <v>1091</v>
      </c>
      <c r="I1019" s="89">
        <f ca="1">'Ch7'!O257</f>
        <v>0</v>
      </c>
      <c r="J1019" s="989"/>
    </row>
    <row r="1020" spans="1:10" x14ac:dyDescent="0.3">
      <c r="B1020" s="311" t="str">
        <f>IF(LEN('Ch7'!H258)=0,"",'Ch7'!H258)</f>
        <v/>
      </c>
      <c r="C1020" s="311" t="str">
        <f t="shared" si="24"/>
        <v/>
      </c>
      <c r="D1020" s="919"/>
      <c r="E1020" s="964"/>
      <c r="F1020" s="913"/>
      <c r="G1020" s="682" t="s">
        <v>4043</v>
      </c>
      <c r="H1020" s="89">
        <f>'Ch7'!W258</f>
        <v>0</v>
      </c>
      <c r="J1020" s="989"/>
    </row>
    <row r="1021" spans="1:10" x14ac:dyDescent="0.3">
      <c r="B1021" s="311" t="str">
        <f>IF(LEN('Ch7'!H259)=0,"",'Ch7'!H259)</f>
        <v/>
      </c>
      <c r="C1021" s="311" t="str">
        <f t="shared" si="24"/>
        <v/>
      </c>
      <c r="D1021" s="232"/>
      <c r="E1021" s="910"/>
      <c r="F1021" s="910"/>
      <c r="G1021" s="676" t="s">
        <v>4038</v>
      </c>
      <c r="J1021" s="989"/>
    </row>
    <row r="1022" spans="1:10" x14ac:dyDescent="0.3">
      <c r="A1022" s="727" t="str">
        <f ca="1">IF(SUM(I1025:I1030)&gt;0,"P","")</f>
        <v/>
      </c>
      <c r="B1022" s="311" t="str">
        <f>IF(LEN('Ch7'!H260)=0,"",'Ch7'!H260)</f>
        <v/>
      </c>
      <c r="C1022" s="311" t="str">
        <f t="shared" ca="1" si="24"/>
        <v/>
      </c>
      <c r="D1022" s="929" t="s">
        <v>1092</v>
      </c>
      <c r="E1022" s="915"/>
      <c r="F1022" s="915"/>
      <c r="G1022" s="1364" t="s">
        <v>1093</v>
      </c>
      <c r="J1022" s="1439" t="s">
        <v>4279</v>
      </c>
    </row>
    <row r="1023" spans="1:10" x14ac:dyDescent="0.3">
      <c r="A1023" s="727" t="str">
        <f t="shared" ref="A1023:A1024" ca="1" si="26">A1022</f>
        <v/>
      </c>
      <c r="B1023" s="311" t="str">
        <f>IF(LEN('Ch7'!H261)=0,"",'Ch7'!H261)</f>
        <v/>
      </c>
      <c r="C1023" s="311" t="str">
        <f t="shared" ca="1" si="24"/>
        <v/>
      </c>
      <c r="D1023" s="204"/>
      <c r="E1023" s="909"/>
      <c r="F1023" s="909"/>
      <c r="G1023" s="1313"/>
      <c r="J1023" s="1439"/>
    </row>
    <row r="1024" spans="1:10" x14ac:dyDescent="0.3">
      <c r="A1024" s="727" t="str">
        <f t="shared" ca="1" si="26"/>
        <v/>
      </c>
      <c r="B1024" s="311" t="str">
        <f>IF(LEN('Ch7'!H262)=0,"",'Ch7'!H262)</f>
        <v/>
      </c>
      <c r="C1024" s="311" t="str">
        <f t="shared" ca="1" si="24"/>
        <v/>
      </c>
      <c r="D1024" s="204"/>
      <c r="E1024" s="909"/>
      <c r="F1024" s="909"/>
      <c r="G1024" s="1313"/>
      <c r="J1024" s="1439"/>
    </row>
    <row r="1025" spans="1:10" x14ac:dyDescent="0.3">
      <c r="B1025" s="311" t="str">
        <f>IF(LEN('Ch7'!H263)=0,"",'Ch7'!H263)</f>
        <v/>
      </c>
      <c r="C1025" s="311" t="str">
        <f t="shared" si="24"/>
        <v/>
      </c>
      <c r="D1025" s="919"/>
      <c r="E1025" s="964" t="s">
        <v>271</v>
      </c>
      <c r="F1025" s="913"/>
      <c r="G1025" s="670" t="s">
        <v>3706</v>
      </c>
      <c r="I1025" s="89">
        <f ca="1">'Ch7'!O263</f>
        <v>0</v>
      </c>
      <c r="J1025" s="989"/>
    </row>
    <row r="1026" spans="1:10" x14ac:dyDescent="0.3">
      <c r="B1026" s="311" t="str">
        <f>IF(LEN('Ch7'!H264)=0,"",'Ch7'!H264)</f>
        <v/>
      </c>
      <c r="C1026" s="311" t="str">
        <f t="shared" si="24"/>
        <v/>
      </c>
      <c r="D1026" s="919"/>
      <c r="E1026" s="964"/>
      <c r="F1026" s="913"/>
      <c r="G1026" s="682" t="s">
        <v>4054</v>
      </c>
      <c r="H1026" s="89">
        <f>'Ch7'!W264</f>
        <v>0</v>
      </c>
      <c r="J1026" s="996"/>
    </row>
    <row r="1027" spans="1:10" x14ac:dyDescent="0.3">
      <c r="B1027" s="311" t="str">
        <f>IF(LEN('Ch7'!H265)=0,"",'Ch7'!H265)</f>
        <v/>
      </c>
      <c r="C1027" s="311" t="str">
        <f t="shared" si="24"/>
        <v/>
      </c>
      <c r="D1027" s="919"/>
      <c r="E1027" s="964"/>
      <c r="F1027" s="913"/>
      <c r="G1027" s="682" t="s">
        <v>4055</v>
      </c>
      <c r="J1027" s="989"/>
    </row>
    <row r="1028" spans="1:10" x14ac:dyDescent="0.3">
      <c r="B1028" s="311" t="str">
        <f>IF(LEN('Ch7'!H266)=0,"",'Ch7'!H266)</f>
        <v/>
      </c>
      <c r="C1028" s="311" t="str">
        <f t="shared" si="24"/>
        <v/>
      </c>
      <c r="D1028" s="919"/>
      <c r="E1028" s="964"/>
      <c r="F1028" s="913"/>
      <c r="G1028" s="682" t="s">
        <v>4056</v>
      </c>
      <c r="J1028" s="989"/>
    </row>
    <row r="1029" spans="1:10" x14ac:dyDescent="0.3">
      <c r="B1029" s="311" t="str">
        <f>IF(LEN('Ch7'!H267)=0,"",'Ch7'!H267)</f>
        <v/>
      </c>
      <c r="C1029" s="311" t="str">
        <f t="shared" si="24"/>
        <v/>
      </c>
      <c r="D1029" s="919"/>
      <c r="E1029" s="962"/>
      <c r="F1029" s="910"/>
      <c r="G1029" s="676" t="s">
        <v>4057</v>
      </c>
      <c r="J1029" s="989"/>
    </row>
    <row r="1030" spans="1:10" x14ac:dyDescent="0.3">
      <c r="B1030" s="311" t="str">
        <f>IF(LEN('Ch7'!H268)=0,"",'Ch7'!H268)</f>
        <v/>
      </c>
      <c r="C1030" s="311" t="str">
        <f t="shared" si="24"/>
        <v/>
      </c>
      <c r="D1030" s="232"/>
      <c r="E1030" s="962" t="s">
        <v>275</v>
      </c>
      <c r="F1030" s="910"/>
      <c r="G1030" s="667" t="s">
        <v>4058</v>
      </c>
      <c r="H1030" s="89">
        <f>'Ch7'!W268</f>
        <v>0</v>
      </c>
      <c r="I1030" s="89">
        <f ca="1">'Ch7'!O268</f>
        <v>0</v>
      </c>
      <c r="J1030" s="989"/>
    </row>
    <row r="1031" spans="1:10" x14ac:dyDescent="0.3">
      <c r="A1031" s="727" t="str">
        <f ca="1">IF(SUM(I1034:I1041)&gt;0,"P","")</f>
        <v/>
      </c>
      <c r="B1031" s="311" t="str">
        <f>IF(LEN('Ch7'!H269)=0,"",'Ch7'!H269)</f>
        <v/>
      </c>
      <c r="C1031" s="311" t="str">
        <f t="shared" ca="1" si="24"/>
        <v/>
      </c>
      <c r="D1031" s="929" t="s">
        <v>1094</v>
      </c>
      <c r="E1031" s="915"/>
      <c r="F1031" s="915"/>
      <c r="G1031" s="1393" t="s">
        <v>1095</v>
      </c>
      <c r="J1031" s="1439" t="s">
        <v>4279</v>
      </c>
    </row>
    <row r="1032" spans="1:10" x14ac:dyDescent="0.3">
      <c r="A1032" s="727" t="str">
        <f t="shared" ref="A1032:A1033" ca="1" si="27">A1031</f>
        <v/>
      </c>
      <c r="B1032" s="311" t="str">
        <f>IF(LEN('Ch7'!H270)=0,"",'Ch7'!H270)</f>
        <v/>
      </c>
      <c r="C1032" s="311" t="str">
        <f t="shared" ref="C1032:C1095" ca="1" si="28">IF(LEN(B1032)=0,IF(A1032="P","P",""),B1032)</f>
        <v/>
      </c>
      <c r="D1032" s="204"/>
      <c r="E1032" s="909"/>
      <c r="F1032" s="909"/>
      <c r="G1032" s="1390"/>
      <c r="J1032" s="1439"/>
    </row>
    <row r="1033" spans="1:10" x14ac:dyDescent="0.3">
      <c r="A1033" s="727" t="str">
        <f t="shared" ca="1" si="27"/>
        <v/>
      </c>
      <c r="B1033" s="311" t="str">
        <f>IF(LEN('Ch7'!H271)=0,"",'Ch7'!H271)</f>
        <v/>
      </c>
      <c r="C1033" s="311" t="str">
        <f t="shared" ca="1" si="28"/>
        <v/>
      </c>
      <c r="D1033" s="204"/>
      <c r="E1033" s="909"/>
      <c r="F1033" s="909"/>
      <c r="G1033" s="1390"/>
      <c r="J1033" s="1439"/>
    </row>
    <row r="1034" spans="1:10" x14ac:dyDescent="0.3">
      <c r="B1034" s="311" t="str">
        <f>IF(LEN('Ch7'!H272)=0,"",'Ch7'!H272)</f>
        <v/>
      </c>
      <c r="C1034" s="311" t="str">
        <f t="shared" si="28"/>
        <v/>
      </c>
      <c r="D1034" s="919"/>
      <c r="E1034" s="964" t="s">
        <v>271</v>
      </c>
      <c r="F1034" s="913"/>
      <c r="G1034" s="670" t="s">
        <v>4067</v>
      </c>
      <c r="I1034" s="89">
        <f ca="1">'Ch7'!O272</f>
        <v>0</v>
      </c>
      <c r="J1034" s="989"/>
    </row>
    <row r="1035" spans="1:10" x14ac:dyDescent="0.3">
      <c r="B1035" s="311" t="str">
        <f>IF(LEN('Ch7'!H273)=0,"",'Ch7'!H273)</f>
        <v/>
      </c>
      <c r="C1035" s="311" t="str">
        <f t="shared" si="28"/>
        <v/>
      </c>
      <c r="D1035" s="919"/>
      <c r="E1035" s="964"/>
      <c r="F1035" s="913"/>
      <c r="G1035" s="682" t="s">
        <v>4061</v>
      </c>
      <c r="H1035" s="89">
        <f>'Ch7'!W273</f>
        <v>0</v>
      </c>
      <c r="J1035" s="996"/>
    </row>
    <row r="1036" spans="1:10" x14ac:dyDescent="0.3">
      <c r="B1036" s="311" t="str">
        <f>IF(LEN('Ch7'!H274)=0,"",'Ch7'!H274)</f>
        <v/>
      </c>
      <c r="C1036" s="311" t="str">
        <f t="shared" si="28"/>
        <v/>
      </c>
      <c r="D1036" s="919"/>
      <c r="E1036" s="964"/>
      <c r="F1036" s="913"/>
      <c r="G1036" s="682" t="s">
        <v>4062</v>
      </c>
      <c r="J1036" s="989"/>
    </row>
    <row r="1037" spans="1:10" x14ac:dyDescent="0.3">
      <c r="B1037" s="311" t="str">
        <f>IF(LEN('Ch7'!H275)=0,"",'Ch7'!H275)</f>
        <v/>
      </c>
      <c r="C1037" s="311" t="str">
        <f t="shared" si="28"/>
        <v/>
      </c>
      <c r="D1037" s="919"/>
      <c r="E1037" s="964"/>
      <c r="F1037" s="913"/>
      <c r="G1037" s="682" t="s">
        <v>4063</v>
      </c>
      <c r="J1037" s="989"/>
    </row>
    <row r="1038" spans="1:10" x14ac:dyDescent="0.3">
      <c r="B1038" s="311" t="str">
        <f>IF(LEN('Ch7'!H276)=0,"",'Ch7'!H276)</f>
        <v/>
      </c>
      <c r="C1038" s="311" t="str">
        <f t="shared" si="28"/>
        <v/>
      </c>
      <c r="D1038" s="919"/>
      <c r="E1038" s="964"/>
      <c r="F1038" s="913"/>
      <c r="G1038" s="682" t="s">
        <v>4064</v>
      </c>
      <c r="J1038" s="989"/>
    </row>
    <row r="1039" spans="1:10" x14ac:dyDescent="0.3">
      <c r="B1039" s="311" t="str">
        <f>IF(LEN('Ch7'!H277)=0,"",'Ch7'!H277)</f>
        <v/>
      </c>
      <c r="C1039" s="311" t="str">
        <f t="shared" si="28"/>
        <v/>
      </c>
      <c r="D1039" s="919"/>
      <c r="E1039" s="3"/>
      <c r="F1039" s="961" t="s">
        <v>4066</v>
      </c>
      <c r="G1039" s="1293" t="s">
        <v>4065</v>
      </c>
      <c r="H1039" s="89">
        <f>'Ch7'!W277</f>
        <v>0</v>
      </c>
      <c r="I1039" s="89">
        <f ca="1">'Ch7'!O277</f>
        <v>0</v>
      </c>
      <c r="J1039" s="989"/>
    </row>
    <row r="1040" spans="1:10" x14ac:dyDescent="0.3">
      <c r="B1040" s="311" t="str">
        <f>IF(LEN('Ch7'!H278)=0,"",'Ch7'!H278)</f>
        <v/>
      </c>
      <c r="C1040" s="311" t="str">
        <f t="shared" si="28"/>
        <v/>
      </c>
      <c r="D1040" s="919"/>
      <c r="E1040" s="962"/>
      <c r="F1040" s="910"/>
      <c r="G1040" s="1294"/>
      <c r="J1040" s="989"/>
    </row>
    <row r="1041" spans="1:10" x14ac:dyDescent="0.3">
      <c r="B1041" s="311" t="str">
        <f>IF(LEN('Ch7'!H279)=0,"",'Ch7'!H279)</f>
        <v/>
      </c>
      <c r="C1041" s="311" t="str">
        <f t="shared" si="28"/>
        <v/>
      </c>
      <c r="D1041" s="232"/>
      <c r="E1041" s="962" t="s">
        <v>273</v>
      </c>
      <c r="F1041" s="910"/>
      <c r="G1041" s="667" t="s">
        <v>4068</v>
      </c>
      <c r="H1041" s="89">
        <f>'Ch7'!W279</f>
        <v>0</v>
      </c>
      <c r="I1041" s="89">
        <f ca="1">'Ch7'!O279</f>
        <v>0</v>
      </c>
      <c r="J1041" s="989"/>
    </row>
    <row r="1042" spans="1:10" x14ac:dyDescent="0.3">
      <c r="A1042" s="727" t="str">
        <f>IF(AND(LEN('Ch7'!W280)&gt;0,NOT('Ch7'!W280=FALSE)),"P","")</f>
        <v/>
      </c>
      <c r="B1042" s="311" t="str">
        <f>IF(LEN('Ch7'!H280)=0,"",'Ch7'!H280)</f>
        <v/>
      </c>
      <c r="C1042" s="311" t="str">
        <f t="shared" si="28"/>
        <v/>
      </c>
      <c r="D1042" s="929" t="s">
        <v>1096</v>
      </c>
      <c r="E1042" s="915"/>
      <c r="F1042" s="915"/>
      <c r="G1042" s="1364" t="s">
        <v>1097</v>
      </c>
      <c r="H1042" s="89">
        <f>'Ch7'!W280</f>
        <v>0</v>
      </c>
      <c r="I1042" s="89">
        <f ca="1">'Ch7'!O280</f>
        <v>0</v>
      </c>
      <c r="J1042" s="1443" t="s">
        <v>4279</v>
      </c>
    </row>
    <row r="1043" spans="1:10" x14ac:dyDescent="0.3">
      <c r="A1043" s="727" t="str">
        <f>A1042</f>
        <v/>
      </c>
      <c r="B1043" s="311" t="str">
        <f>IF(LEN('Ch7'!H281)=0,"",'Ch7'!H281)</f>
        <v/>
      </c>
      <c r="C1043" s="311" t="str">
        <f t="shared" si="28"/>
        <v/>
      </c>
      <c r="D1043" s="204"/>
      <c r="E1043" s="909"/>
      <c r="F1043" s="909"/>
      <c r="G1043" s="1313"/>
      <c r="J1043" s="1443"/>
    </row>
    <row r="1044" spans="1:10" x14ac:dyDescent="0.3">
      <c r="A1044" s="727" t="str">
        <f>A1043</f>
        <v/>
      </c>
      <c r="B1044" s="311" t="str">
        <f>IF(LEN('Ch7'!H282)=0,"",'Ch7'!H282)</f>
        <v/>
      </c>
      <c r="C1044" s="311" t="str">
        <f t="shared" si="28"/>
        <v/>
      </c>
      <c r="D1044" s="204"/>
      <c r="E1044" s="909"/>
      <c r="F1044" s="909"/>
      <c r="G1044" s="1313"/>
      <c r="J1044" s="1443"/>
    </row>
    <row r="1045" spans="1:10" x14ac:dyDescent="0.3">
      <c r="B1045" s="311" t="str">
        <f>IF(LEN('Ch7'!H283)=0,"",'Ch7'!H283)</f>
        <v/>
      </c>
      <c r="C1045" s="311" t="str">
        <f t="shared" si="28"/>
        <v/>
      </c>
      <c r="D1045" s="232"/>
      <c r="E1045" s="910"/>
      <c r="F1045" s="910"/>
      <c r="G1045" s="676" t="s">
        <v>4070</v>
      </c>
      <c r="J1045" s="989"/>
    </row>
    <row r="1046" spans="1:10" x14ac:dyDescent="0.3">
      <c r="A1046" s="727" t="str">
        <f ca="1">IF('Ch7'!O284&gt;0,"P","")</f>
        <v/>
      </c>
      <c r="B1046" s="311" t="str">
        <f>IF(LEN('Ch7'!H284)=0,"",'Ch7'!H284)</f>
        <v/>
      </c>
      <c r="C1046" s="311" t="str">
        <f t="shared" ca="1" si="28"/>
        <v/>
      </c>
      <c r="D1046" s="929" t="s">
        <v>1098</v>
      </c>
      <c r="E1046" s="915"/>
      <c r="F1046" s="915"/>
      <c r="G1046" s="1393" t="s">
        <v>4105</v>
      </c>
      <c r="I1046" s="89">
        <f ca="1">'Ch7'!O284</f>
        <v>0</v>
      </c>
      <c r="J1046" s="1439" t="s">
        <v>4279</v>
      </c>
    </row>
    <row r="1047" spans="1:10" x14ac:dyDescent="0.3">
      <c r="A1047" s="727" t="str">
        <f ca="1">A1046</f>
        <v/>
      </c>
      <c r="B1047" s="311" t="str">
        <f>IF(LEN('Ch7'!H285)=0,"",'Ch7'!H285)</f>
        <v/>
      </c>
      <c r="C1047" s="311" t="str">
        <f t="shared" ca="1" si="28"/>
        <v/>
      </c>
      <c r="D1047" s="204"/>
      <c r="E1047" s="909"/>
      <c r="F1047" s="909"/>
      <c r="G1047" s="1390"/>
      <c r="H1047" s="89">
        <f>'Ch7'!W285</f>
        <v>0</v>
      </c>
      <c r="J1047" s="1439"/>
    </row>
    <row r="1048" spans="1:10" x14ac:dyDescent="0.3">
      <c r="A1048" s="727" t="str">
        <f ca="1">A1047</f>
        <v/>
      </c>
      <c r="B1048" s="311" t="str">
        <f>IF(LEN('Ch7'!H286)=0,"",'Ch7'!H286)</f>
        <v/>
      </c>
      <c r="C1048" s="311" t="str">
        <f t="shared" ca="1" si="28"/>
        <v/>
      </c>
      <c r="D1048" s="204"/>
      <c r="E1048" s="909"/>
      <c r="F1048" s="909"/>
      <c r="G1048" s="1390"/>
      <c r="J1048" s="1439"/>
    </row>
    <row r="1049" spans="1:10" x14ac:dyDescent="0.3">
      <c r="B1049" s="311" t="str">
        <f>IF(LEN('Ch7'!H287)=0,"",'Ch7'!H287)</f>
        <v/>
      </c>
      <c r="C1049" s="311" t="str">
        <f t="shared" si="28"/>
        <v/>
      </c>
      <c r="D1049" s="919"/>
      <c r="E1049" s="913"/>
      <c r="F1049" s="913"/>
      <c r="G1049" s="682" t="s">
        <v>4071</v>
      </c>
      <c r="J1049" s="989"/>
    </row>
    <row r="1050" spans="1:10" x14ac:dyDescent="0.3">
      <c r="B1050" s="311" t="str">
        <f>IF(LEN('Ch7'!H288)=0,"",'Ch7'!H288)</f>
        <v/>
      </c>
      <c r="C1050" s="311" t="str">
        <f t="shared" si="28"/>
        <v/>
      </c>
      <c r="D1050" s="919"/>
      <c r="E1050" s="913"/>
      <c r="F1050" s="913"/>
      <c r="G1050" s="682" t="s">
        <v>4072</v>
      </c>
      <c r="J1050" s="989"/>
    </row>
    <row r="1051" spans="1:10" x14ac:dyDescent="0.3">
      <c r="B1051" s="311" t="str">
        <f>IF(LEN('Ch7'!H289)=0,"",'Ch7'!H289)</f>
        <v/>
      </c>
      <c r="C1051" s="311" t="str">
        <f t="shared" si="28"/>
        <v/>
      </c>
      <c r="D1051" s="232"/>
      <c r="E1051" s="910"/>
      <c r="F1051" s="910"/>
      <c r="G1051" s="676" t="s">
        <v>4073</v>
      </c>
      <c r="J1051" s="989"/>
    </row>
    <row r="1052" spans="1:10" x14ac:dyDescent="0.3">
      <c r="A1052" s="727" t="str">
        <f>IF(AND(LEN('Ch7'!W290)&gt;0,NOT('Ch7'!W290=FALSE)),"P","")</f>
        <v/>
      </c>
      <c r="B1052" s="311" t="str">
        <f>IF(LEN('Ch7'!H290)=0,"",'Ch7'!H290)</f>
        <v/>
      </c>
      <c r="C1052" s="311" t="str">
        <f t="shared" si="28"/>
        <v/>
      </c>
      <c r="D1052" s="152" t="s">
        <v>1099</v>
      </c>
      <c r="E1052" s="913"/>
      <c r="F1052" s="913"/>
      <c r="G1052" s="687" t="s">
        <v>1100</v>
      </c>
      <c r="H1052" s="89">
        <f>'Ch7'!W290</f>
        <v>0</v>
      </c>
      <c r="I1052" s="89">
        <f ca="1">'Ch7'!O290</f>
        <v>0</v>
      </c>
      <c r="J1052" s="1009" t="s">
        <v>4424</v>
      </c>
    </row>
    <row r="1053" spans="1:10" x14ac:dyDescent="0.3">
      <c r="B1053" s="311" t="str">
        <f>IF(LEN('Ch7'!H291)=0,"",'Ch7'!H291)</f>
        <v/>
      </c>
      <c r="C1053" s="311" t="str">
        <f t="shared" si="28"/>
        <v/>
      </c>
      <c r="D1053" s="919"/>
      <c r="E1053" s="913"/>
      <c r="F1053" s="913"/>
      <c r="G1053" s="700" t="s">
        <v>1101</v>
      </c>
      <c r="J1053" s="1009"/>
    </row>
    <row r="1054" spans="1:10" x14ac:dyDescent="0.3">
      <c r="B1054" s="311" t="str">
        <f>IF(LEN('Ch7'!H292)=0,"",'Ch7'!H292)</f>
        <v/>
      </c>
      <c r="C1054" s="311" t="str">
        <f t="shared" si="28"/>
        <v/>
      </c>
      <c r="D1054" s="919"/>
      <c r="E1054" s="913"/>
      <c r="F1054" s="913"/>
      <c r="G1054" s="1389" t="s">
        <v>1102</v>
      </c>
      <c r="H1054" s="89">
        <f>'Ch7'!W292</f>
        <v>0</v>
      </c>
      <c r="J1054" s="1009"/>
    </row>
    <row r="1055" spans="1:10" x14ac:dyDescent="0.3">
      <c r="B1055" s="311" t="str">
        <f>IF(LEN('Ch7'!H293)=0,"",'Ch7'!H293)</f>
        <v/>
      </c>
      <c r="C1055" s="311" t="str">
        <f t="shared" si="28"/>
        <v/>
      </c>
      <c r="D1055" s="919"/>
      <c r="E1055" s="913"/>
      <c r="F1055" s="913"/>
      <c r="G1055" s="1389"/>
      <c r="J1055" s="989"/>
    </row>
    <row r="1056" spans="1:10" x14ac:dyDescent="0.3">
      <c r="B1056" s="311" t="str">
        <f>IF(LEN('Ch7'!H294)=0,"",'Ch7'!H294)</f>
        <v/>
      </c>
      <c r="C1056" s="311" t="str">
        <f t="shared" si="28"/>
        <v/>
      </c>
      <c r="D1056" s="919"/>
      <c r="E1056" s="913"/>
      <c r="F1056" s="913"/>
      <c r="G1056" s="1389"/>
      <c r="J1056" s="989"/>
    </row>
    <row r="1057" spans="1:10" x14ac:dyDescent="0.3">
      <c r="B1057" s="311" t="str">
        <f>IF(LEN('Ch7'!H295)=0,"",'Ch7'!H295)</f>
        <v/>
      </c>
      <c r="C1057" s="311" t="str">
        <f t="shared" si="28"/>
        <v/>
      </c>
      <c r="D1057" s="919"/>
      <c r="E1057" s="913"/>
      <c r="F1057" s="913"/>
      <c r="G1057" s="1389"/>
      <c r="J1057" s="989"/>
    </row>
    <row r="1058" spans="1:10" x14ac:dyDescent="0.3">
      <c r="B1058" s="311" t="str">
        <f>IF(LEN('Ch7'!H296)=0,"",'Ch7'!H296)</f>
        <v/>
      </c>
      <c r="C1058" s="311" t="str">
        <f t="shared" si="28"/>
        <v/>
      </c>
      <c r="D1058" s="232"/>
      <c r="E1058" s="910"/>
      <c r="F1058" s="910"/>
      <c r="G1058" s="688" t="s">
        <v>4046</v>
      </c>
      <c r="J1058" s="989"/>
    </row>
    <row r="1059" spans="1:10" x14ac:dyDescent="0.3">
      <c r="A1059" s="727" t="str">
        <f>IF(AND(LEN('Ch7'!W297)&gt;0,NOT('Ch7'!W297=FALSE)),"P","")</f>
        <v/>
      </c>
      <c r="B1059" s="311" t="str">
        <f>IF(LEN('Ch7'!H297)=0,"",'Ch7'!H297)</f>
        <v/>
      </c>
      <c r="C1059" s="311" t="str">
        <f t="shared" si="28"/>
        <v/>
      </c>
      <c r="D1059" s="929" t="s">
        <v>1103</v>
      </c>
      <c r="E1059" s="915"/>
      <c r="F1059" s="915"/>
      <c r="G1059" s="1393" t="s">
        <v>1104</v>
      </c>
      <c r="H1059" s="89">
        <f>'Ch7'!W297</f>
        <v>0</v>
      </c>
      <c r="I1059" s="89">
        <f ca="1">'Ch7'!O297</f>
        <v>0</v>
      </c>
      <c r="J1059" s="1439" t="s">
        <v>4226</v>
      </c>
    </row>
    <row r="1060" spans="1:10" x14ac:dyDescent="0.3">
      <c r="A1060" s="727" t="str">
        <f>A1059</f>
        <v/>
      </c>
      <c r="B1060" s="311" t="str">
        <f>IF(LEN('Ch7'!H298)=0,"",'Ch7'!H298)</f>
        <v/>
      </c>
      <c r="C1060" s="311" t="str">
        <f t="shared" si="28"/>
        <v/>
      </c>
      <c r="D1060" s="204"/>
      <c r="E1060" s="909"/>
      <c r="F1060" s="909"/>
      <c r="G1060" s="1390"/>
      <c r="J1060" s="1439"/>
    </row>
    <row r="1061" spans="1:10" x14ac:dyDescent="0.3">
      <c r="B1061" s="311" t="str">
        <f>IF(LEN('Ch7'!H299)=0,"",'Ch7'!H299)</f>
        <v/>
      </c>
      <c r="C1061" s="311" t="str">
        <f t="shared" si="28"/>
        <v/>
      </c>
      <c r="D1061" s="204"/>
      <c r="E1061" s="909"/>
      <c r="F1061" s="909"/>
      <c r="G1061" s="683" t="s">
        <v>1101</v>
      </c>
      <c r="J1061" s="989"/>
    </row>
    <row r="1062" spans="1:10" x14ac:dyDescent="0.3">
      <c r="B1062" s="311" t="str">
        <f>IF(LEN('Ch7'!H300)=0,"",'Ch7'!H300)</f>
        <v/>
      </c>
      <c r="C1062" s="311" t="str">
        <f t="shared" si="28"/>
        <v/>
      </c>
      <c r="D1062" s="204"/>
      <c r="E1062" s="909"/>
      <c r="F1062" s="909"/>
      <c r="G1062" s="1394" t="s">
        <v>4045</v>
      </c>
      <c r="J1062" s="989"/>
    </row>
    <row r="1063" spans="1:10" ht="15" thickBot="1" x14ac:dyDescent="0.35">
      <c r="B1063" s="311" t="str">
        <f>IF(LEN('Ch7'!H301)=0,"",'Ch7'!H301)</f>
        <v/>
      </c>
      <c r="C1063" s="311" t="str">
        <f t="shared" si="28"/>
        <v/>
      </c>
      <c r="D1063" s="934"/>
      <c r="E1063" s="911"/>
      <c r="F1063" s="911"/>
      <c r="G1063" s="1395"/>
      <c r="J1063" s="989"/>
    </row>
    <row r="1064" spans="1:10" x14ac:dyDescent="0.3">
      <c r="A1064" s="1196" t="str">
        <f ca="1">IF(COUNTIF(A1065:A1075,"P")&gt;0,"P","")</f>
        <v/>
      </c>
      <c r="B1064" s="311" t="str">
        <f>IF(LEN('Ch7'!H302)=0,"",'Ch7'!H302)</f>
        <v/>
      </c>
      <c r="C1064" s="311" t="str">
        <f t="shared" ca="1" si="28"/>
        <v/>
      </c>
      <c r="D1064" s="152">
        <v>703.4</v>
      </c>
      <c r="E1064" s="913"/>
      <c r="F1064" s="913"/>
      <c r="G1064" s="687" t="s">
        <v>1105</v>
      </c>
      <c r="J1064" s="989"/>
    </row>
    <row r="1065" spans="1:10" x14ac:dyDescent="0.3">
      <c r="A1065" s="727" t="str">
        <f>IF(AND(LEN('Ch7'!W303)&gt;0,NOT('Ch7'!W303=FALSE)),"P","")</f>
        <v/>
      </c>
      <c r="B1065" s="311" t="str">
        <f>IF(LEN('Ch7'!H303)=0,"",'Ch7'!H303)</f>
        <v/>
      </c>
      <c r="C1065" s="311" t="str">
        <f t="shared" si="28"/>
        <v/>
      </c>
      <c r="D1065" s="106" t="s">
        <v>1106</v>
      </c>
      <c r="E1065" s="909"/>
      <c r="F1065" s="909"/>
      <c r="G1065" s="689" t="s">
        <v>1107</v>
      </c>
      <c r="H1065" s="89">
        <f>'Ch7'!W303</f>
        <v>0</v>
      </c>
      <c r="I1065" s="89">
        <f ca="1">'Ch7'!O303</f>
        <v>0</v>
      </c>
      <c r="J1065" s="989" t="s">
        <v>4226</v>
      </c>
    </row>
    <row r="1066" spans="1:10" x14ac:dyDescent="0.3">
      <c r="B1066" s="311" t="str">
        <f>IF(LEN('Ch7'!H304)=0,"",'Ch7'!H304)</f>
        <v/>
      </c>
      <c r="C1066" s="311" t="str">
        <f t="shared" si="28"/>
        <v/>
      </c>
      <c r="D1066" s="232"/>
      <c r="E1066" s="910"/>
      <c r="F1066" s="910"/>
      <c r="G1066" s="688" t="s">
        <v>1108</v>
      </c>
      <c r="J1066" s="989"/>
    </row>
    <row r="1067" spans="1:10" x14ac:dyDescent="0.3">
      <c r="A1067" s="727" t="str">
        <f>IF(AND(LEN('Ch7'!W305)&gt;0,NOT('Ch7'!W305=FALSE)),"P","")</f>
        <v/>
      </c>
      <c r="B1067" s="311" t="str">
        <f>IF(LEN('Ch7'!H305)=0,"",'Ch7'!H305)</f>
        <v/>
      </c>
      <c r="C1067" s="311" t="str">
        <f t="shared" si="28"/>
        <v/>
      </c>
      <c r="D1067" s="929" t="s">
        <v>1109</v>
      </c>
      <c r="E1067" s="915"/>
      <c r="F1067" s="915"/>
      <c r="G1067" s="691" t="s">
        <v>1110</v>
      </c>
      <c r="H1067" s="89">
        <f>'Ch7'!W305</f>
        <v>0</v>
      </c>
      <c r="I1067" s="89">
        <f ca="1">'Ch7'!O305</f>
        <v>0</v>
      </c>
      <c r="J1067" s="989" t="s">
        <v>4226</v>
      </c>
    </row>
    <row r="1068" spans="1:10" x14ac:dyDescent="0.3">
      <c r="B1068" s="311" t="str">
        <f>IF(LEN('Ch7'!H306)=0,"",'Ch7'!H306)</f>
        <v/>
      </c>
      <c r="C1068" s="311" t="str">
        <f t="shared" si="28"/>
        <v/>
      </c>
      <c r="D1068" s="232"/>
      <c r="E1068" s="910"/>
      <c r="F1068" s="910"/>
      <c r="G1068" s="688" t="s">
        <v>1108</v>
      </c>
      <c r="J1068" s="989"/>
    </row>
    <row r="1069" spans="1:10" x14ac:dyDescent="0.3">
      <c r="A1069" s="727" t="str">
        <f ca="1">IF('Ch7'!O307&gt;0,"P","")</f>
        <v/>
      </c>
      <c r="B1069" s="311" t="str">
        <f>IF(LEN('Ch7'!H307)=0,"",'Ch7'!H307)</f>
        <v/>
      </c>
      <c r="C1069" s="311" t="str">
        <f t="shared" ca="1" si="28"/>
        <v/>
      </c>
      <c r="D1069" s="929" t="s">
        <v>1111</v>
      </c>
      <c r="E1069" s="915"/>
      <c r="F1069" s="915"/>
      <c r="G1069" s="917" t="s">
        <v>1112</v>
      </c>
      <c r="I1069" s="89">
        <f ca="1">'Ch7'!O307</f>
        <v>0</v>
      </c>
      <c r="J1069" s="1001" t="s">
        <v>4226</v>
      </c>
    </row>
    <row r="1070" spans="1:10" x14ac:dyDescent="0.3">
      <c r="B1070" s="311" t="str">
        <f>IF(LEN('Ch7'!H308)=0,"",'Ch7'!H308)</f>
        <v/>
      </c>
      <c r="C1070" s="311" t="str">
        <f t="shared" si="28"/>
        <v/>
      </c>
      <c r="D1070" s="919"/>
      <c r="E1070" s="962" t="s">
        <v>271</v>
      </c>
      <c r="F1070" s="910"/>
      <c r="G1070" s="676" t="s">
        <v>1113</v>
      </c>
      <c r="H1070" s="89">
        <f>'Ch7'!W308</f>
        <v>0</v>
      </c>
      <c r="J1070" s="996"/>
    </row>
    <row r="1071" spans="1:10" x14ac:dyDescent="0.3">
      <c r="B1071" s="311" t="str">
        <f>IF(LEN('Ch7'!H309)=0,"",'Ch7'!H309)</f>
        <v/>
      </c>
      <c r="C1071" s="311" t="str">
        <f t="shared" si="28"/>
        <v/>
      </c>
      <c r="D1071" s="919"/>
      <c r="E1071" s="968" t="s">
        <v>273</v>
      </c>
      <c r="F1071" s="915"/>
      <c r="G1071" s="1356" t="s">
        <v>1114</v>
      </c>
      <c r="H1071" s="89">
        <f>'Ch7'!W309</f>
        <v>0</v>
      </c>
      <c r="J1071" s="1001"/>
    </row>
    <row r="1072" spans="1:10" x14ac:dyDescent="0.3">
      <c r="B1072" s="311" t="str">
        <f>IF(LEN('Ch7'!H310)=0,"",'Ch7'!H310)</f>
        <v/>
      </c>
      <c r="C1072" s="311" t="str">
        <f t="shared" si="28"/>
        <v/>
      </c>
      <c r="D1072" s="919"/>
      <c r="E1072" s="910"/>
      <c r="F1072" s="910"/>
      <c r="G1072" s="1306"/>
      <c r="J1072" s="1001"/>
    </row>
    <row r="1073" spans="1:10" x14ac:dyDescent="0.3">
      <c r="B1073" s="311" t="str">
        <f>IF(LEN('Ch7'!H311)=0,"",'Ch7'!H311)</f>
        <v/>
      </c>
      <c r="C1073" s="311" t="str">
        <f t="shared" si="28"/>
        <v/>
      </c>
      <c r="D1073" s="204"/>
      <c r="E1073" s="961" t="s">
        <v>275</v>
      </c>
      <c r="F1073" s="909"/>
      <c r="G1073" s="675" t="s">
        <v>1115</v>
      </c>
      <c r="H1073" s="89">
        <f>'Ch7'!W311</f>
        <v>0</v>
      </c>
      <c r="J1073" s="1001"/>
    </row>
    <row r="1074" spans="1:10" x14ac:dyDescent="0.3">
      <c r="B1074" s="311" t="str">
        <f>IF(LEN('Ch7'!H312)=0,"",'Ch7'!H312)</f>
        <v/>
      </c>
      <c r="C1074" s="311" t="str">
        <f t="shared" si="28"/>
        <v/>
      </c>
      <c r="D1074" s="232"/>
      <c r="E1074" s="910"/>
      <c r="F1074" s="910"/>
      <c r="G1074" s="688" t="s">
        <v>1108</v>
      </c>
      <c r="J1074" s="989"/>
    </row>
    <row r="1075" spans="1:10" x14ac:dyDescent="0.3">
      <c r="A1075" s="727" t="str">
        <f>IF(AND(LEN('Ch7'!W313)&gt;0,NOT('Ch7'!W313=FALSE)),"P","")</f>
        <v/>
      </c>
      <c r="B1075" s="311" t="str">
        <f>IF(LEN('Ch7'!H313)=0,"",'Ch7'!H313)</f>
        <v/>
      </c>
      <c r="C1075" s="311" t="str">
        <f t="shared" si="28"/>
        <v/>
      </c>
      <c r="D1075" s="929" t="s">
        <v>1116</v>
      </c>
      <c r="E1075" s="915"/>
      <c r="F1075" s="915"/>
      <c r="G1075" s="1364" t="s">
        <v>1117</v>
      </c>
      <c r="H1075" s="89">
        <f>'Ch7'!W313</f>
        <v>0</v>
      </c>
      <c r="I1075" s="89">
        <f ca="1">'Ch7'!O313</f>
        <v>0</v>
      </c>
      <c r="J1075" s="1439" t="s">
        <v>4353</v>
      </c>
    </row>
    <row r="1076" spans="1:10" x14ac:dyDescent="0.3">
      <c r="A1076" s="727" t="str">
        <f>A1075</f>
        <v/>
      </c>
      <c r="B1076" s="311" t="str">
        <f>IF(LEN('Ch7'!H314)=0,"",'Ch7'!H314)</f>
        <v/>
      </c>
      <c r="C1076" s="311" t="str">
        <f t="shared" si="28"/>
        <v/>
      </c>
      <c r="D1076" s="204"/>
      <c r="E1076" s="909"/>
      <c r="F1076" s="909"/>
      <c r="G1076" s="1313"/>
      <c r="J1076" s="1439"/>
    </row>
    <row r="1077" spans="1:10" x14ac:dyDescent="0.3">
      <c r="A1077" s="727" t="str">
        <f>A1076</f>
        <v/>
      </c>
      <c r="B1077" s="311" t="str">
        <f>IF(LEN('Ch7'!H315)=0,"",'Ch7'!H315)</f>
        <v/>
      </c>
      <c r="C1077" s="311" t="str">
        <f t="shared" si="28"/>
        <v/>
      </c>
      <c r="D1077" s="204"/>
      <c r="E1077" s="909"/>
      <c r="F1077" s="909"/>
      <c r="G1077" s="1313"/>
      <c r="J1077" s="1439"/>
    </row>
    <row r="1078" spans="1:10" x14ac:dyDescent="0.3">
      <c r="A1078" s="727" t="str">
        <f>A1077</f>
        <v/>
      </c>
      <c r="B1078" s="311" t="str">
        <f>IF(LEN('Ch7'!H316)=0,"",'Ch7'!H316)</f>
        <v/>
      </c>
      <c r="C1078" s="311" t="str">
        <f t="shared" si="28"/>
        <v/>
      </c>
      <c r="D1078" s="204"/>
      <c r="E1078" s="909"/>
      <c r="F1078" s="909"/>
      <c r="G1078" s="1313"/>
      <c r="J1078" s="1439"/>
    </row>
    <row r="1079" spans="1:10" x14ac:dyDescent="0.3">
      <c r="A1079" s="727" t="str">
        <f>A1078</f>
        <v/>
      </c>
      <c r="B1079" s="311" t="str">
        <f>IF(LEN('Ch7'!H317)=0,"",'Ch7'!H317)</f>
        <v/>
      </c>
      <c r="C1079" s="311" t="str">
        <f t="shared" si="28"/>
        <v/>
      </c>
      <c r="D1079" s="204"/>
      <c r="E1079" s="909"/>
      <c r="F1079" s="909"/>
      <c r="G1079" s="1313"/>
      <c r="J1079" s="1439"/>
    </row>
    <row r="1080" spans="1:10" x14ac:dyDescent="0.3">
      <c r="B1080" s="311" t="str">
        <f>IF(LEN('Ch7'!H318)=0,"",'Ch7'!H318)</f>
        <v/>
      </c>
      <c r="C1080" s="311" t="str">
        <f t="shared" si="28"/>
        <v/>
      </c>
      <c r="D1080" s="204"/>
      <c r="E1080" s="909"/>
      <c r="F1080" s="909"/>
      <c r="G1080" s="683" t="s">
        <v>1118</v>
      </c>
      <c r="J1080" s="989"/>
    </row>
    <row r="1081" spans="1:10" x14ac:dyDescent="0.3">
      <c r="B1081" s="311" t="str">
        <f>IF(LEN('Ch7'!H319)=0,"",'Ch7'!H319)</f>
        <v/>
      </c>
      <c r="C1081" s="311" t="str">
        <f t="shared" si="28"/>
        <v/>
      </c>
      <c r="D1081" s="204"/>
      <c r="E1081" s="962" t="s">
        <v>271</v>
      </c>
      <c r="F1081" s="910"/>
      <c r="G1081" s="676" t="s">
        <v>3908</v>
      </c>
      <c r="J1081" s="989"/>
    </row>
    <row r="1082" spans="1:10" x14ac:dyDescent="0.3">
      <c r="B1082" s="311" t="str">
        <f>IF(LEN('Ch7'!H320)=0,"",'Ch7'!H320)</f>
        <v/>
      </c>
      <c r="C1082" s="311" t="str">
        <f t="shared" si="28"/>
        <v/>
      </c>
      <c r="D1082" s="204"/>
      <c r="E1082" s="969" t="s">
        <v>273</v>
      </c>
      <c r="F1082" s="364"/>
      <c r="G1082" s="365" t="s">
        <v>3909</v>
      </c>
      <c r="J1082" s="989"/>
    </row>
    <row r="1083" spans="1:10" ht="15" thickBot="1" x14ac:dyDescent="0.35">
      <c r="B1083" s="311" t="str">
        <f>IF(LEN('Ch7'!H321)=0,"",'Ch7'!H321)</f>
        <v/>
      </c>
      <c r="C1083" s="311" t="str">
        <f t="shared" si="28"/>
        <v/>
      </c>
      <c r="D1083" s="934"/>
      <c r="E1083" s="971" t="s">
        <v>275</v>
      </c>
      <c r="F1083" s="911"/>
      <c r="G1083" s="678" t="s">
        <v>3910</v>
      </c>
      <c r="J1083" s="989"/>
    </row>
    <row r="1084" spans="1:10" ht="15" thickTop="1" x14ac:dyDescent="0.3">
      <c r="A1084" s="1196" t="str">
        <f ca="1">IF(COUNTIF(A1085:A1108,"P")&gt;0,"P","")</f>
        <v/>
      </c>
      <c r="B1084" s="311" t="str">
        <f>IF(LEN('Ch7'!H322)=0,"",'Ch7'!H322)</f>
        <v/>
      </c>
      <c r="C1084" s="311" t="str">
        <f t="shared" ca="1" si="28"/>
        <v/>
      </c>
      <c r="D1084" s="111">
        <v>703.5</v>
      </c>
      <c r="E1084" s="963"/>
      <c r="F1084" s="963"/>
      <c r="G1084" s="918" t="s">
        <v>1119</v>
      </c>
      <c r="J1084" s="989"/>
    </row>
    <row r="1085" spans="1:10" x14ac:dyDescent="0.3">
      <c r="A1085" s="727" t="str">
        <f ca="1">IF(SUM(I1088:I1099)&gt;0,"P","")</f>
        <v/>
      </c>
      <c r="B1085" s="311" t="str">
        <f>IF(LEN('Ch7'!H323)=0,"",'Ch7'!H323)</f>
        <v/>
      </c>
      <c r="C1085" s="311" t="str">
        <f t="shared" ca="1" si="28"/>
        <v/>
      </c>
      <c r="D1085" s="152" t="s">
        <v>1120</v>
      </c>
      <c r="E1085" s="913"/>
      <c r="F1085" s="913"/>
      <c r="G1085" s="687" t="s">
        <v>1121</v>
      </c>
      <c r="J1085" s="1001" t="s">
        <v>4280</v>
      </c>
    </row>
    <row r="1086" spans="1:10" x14ac:dyDescent="0.3">
      <c r="B1086" s="311" t="str">
        <f>IF(LEN('Ch7'!H324)=0,"",'Ch7'!H324)</f>
        <v/>
      </c>
      <c r="C1086" s="311" t="str">
        <f t="shared" si="28"/>
        <v/>
      </c>
      <c r="D1086" s="919"/>
      <c r="E1086" s="913"/>
      <c r="F1086" s="913"/>
      <c r="G1086" s="669" t="s">
        <v>3907</v>
      </c>
      <c r="H1086" s="89">
        <f>'Ch7'!W324</f>
        <v>0</v>
      </c>
      <c r="J1086" s="996"/>
    </row>
    <row r="1087" spans="1:10" x14ac:dyDescent="0.3">
      <c r="B1087" s="311" t="str">
        <f>IF(LEN('Ch7'!H325)=0,"",'Ch7'!H325)</f>
        <v/>
      </c>
      <c r="C1087" s="311" t="str">
        <f t="shared" si="28"/>
        <v/>
      </c>
      <c r="D1087" s="919"/>
      <c r="E1087" s="964" t="s">
        <v>271</v>
      </c>
      <c r="F1087" s="913"/>
      <c r="G1087" s="682" t="s">
        <v>1122</v>
      </c>
      <c r="J1087" s="1001"/>
    </row>
    <row r="1088" spans="1:10" x14ac:dyDescent="0.3">
      <c r="B1088" s="311" t="str">
        <f>IF(LEN('Ch7'!H326)=0,"",'Ch7'!H326)</f>
        <v/>
      </c>
      <c r="C1088" s="311" t="str">
        <f t="shared" si="28"/>
        <v/>
      </c>
      <c r="D1088" s="919"/>
      <c r="E1088" s="964"/>
      <c r="F1088" s="964" t="s">
        <v>121</v>
      </c>
      <c r="G1088" s="682" t="s">
        <v>1122</v>
      </c>
      <c r="H1088" s="89">
        <f>'Ch7'!W326</f>
        <v>0</v>
      </c>
      <c r="I1088" s="89">
        <f ca="1">'Ch7'!O326</f>
        <v>0</v>
      </c>
      <c r="J1088" s="1001"/>
    </row>
    <row r="1089" spans="1:10" x14ac:dyDescent="0.3">
      <c r="B1089" s="311" t="str">
        <f>IF(LEN('Ch7'!H327)=0,"",'Ch7'!H327)</f>
        <v/>
      </c>
      <c r="C1089" s="311" t="str">
        <f t="shared" si="28"/>
        <v/>
      </c>
      <c r="D1089" s="919"/>
      <c r="E1089" s="964"/>
      <c r="F1089" s="964"/>
      <c r="G1089" s="682" t="s">
        <v>3895</v>
      </c>
      <c r="J1089" s="1001"/>
    </row>
    <row r="1090" spans="1:10" x14ac:dyDescent="0.3">
      <c r="B1090" s="311" t="str">
        <f>IF(LEN('Ch7'!H328)=0,"",'Ch7'!H328)</f>
        <v/>
      </c>
      <c r="C1090" s="311" t="str">
        <f t="shared" si="28"/>
        <v/>
      </c>
      <c r="D1090" s="919"/>
      <c r="E1090" s="964"/>
      <c r="F1090" s="964"/>
      <c r="G1090" s="682" t="s">
        <v>3896</v>
      </c>
      <c r="J1090" s="1001"/>
    </row>
    <row r="1091" spans="1:10" x14ac:dyDescent="0.3">
      <c r="B1091" s="311" t="str">
        <f>IF(LEN('Ch7'!H329)=0,"",'Ch7'!H329)</f>
        <v/>
      </c>
      <c r="C1091" s="311" t="str">
        <f t="shared" si="28"/>
        <v/>
      </c>
      <c r="D1091" s="919"/>
      <c r="E1091" s="913"/>
      <c r="F1091" s="964" t="s">
        <v>122</v>
      </c>
      <c r="G1091" s="1367" t="s">
        <v>3892</v>
      </c>
      <c r="I1091" s="89">
        <f ca="1">'Ch7'!O329</f>
        <v>0</v>
      </c>
      <c r="J1091" s="1001"/>
    </row>
    <row r="1092" spans="1:10" x14ac:dyDescent="0.3">
      <c r="B1092" s="311" t="str">
        <f>IF(LEN('Ch7'!H330)=0,"",'Ch7'!H330)</f>
        <v/>
      </c>
      <c r="C1092" s="311" t="str">
        <f t="shared" si="28"/>
        <v/>
      </c>
      <c r="D1092" s="919"/>
      <c r="E1092" s="913"/>
      <c r="F1092" s="964"/>
      <c r="G1092" s="1367"/>
      <c r="J1092" s="1001"/>
    </row>
    <row r="1093" spans="1:10" x14ac:dyDescent="0.3">
      <c r="B1093" s="311" t="str">
        <f>IF(LEN('Ch7'!H331)=0,"",'Ch7'!H331)</f>
        <v/>
      </c>
      <c r="C1093" s="311" t="str">
        <f t="shared" si="28"/>
        <v/>
      </c>
      <c r="D1093" s="919"/>
      <c r="E1093" s="913"/>
      <c r="F1093" s="964"/>
      <c r="G1093" s="682" t="s">
        <v>3897</v>
      </c>
      <c r="J1093" s="1001"/>
    </row>
    <row r="1094" spans="1:10" x14ac:dyDescent="0.3">
      <c r="B1094" s="311" t="str">
        <f>IF(LEN('Ch7'!H332)=0,"",'Ch7'!H332)</f>
        <v/>
      </c>
      <c r="C1094" s="311" t="str">
        <f t="shared" si="28"/>
        <v/>
      </c>
      <c r="D1094" s="919"/>
      <c r="E1094" s="910"/>
      <c r="F1094" s="962"/>
      <c r="G1094" s="676" t="s">
        <v>3898</v>
      </c>
      <c r="J1094" s="1001"/>
    </row>
    <row r="1095" spans="1:10" x14ac:dyDescent="0.3">
      <c r="B1095" s="311" t="str">
        <f>IF(LEN('Ch7'!H333)=0,"",'Ch7'!H333)</f>
        <v/>
      </c>
      <c r="C1095" s="311" t="str">
        <f t="shared" si="28"/>
        <v/>
      </c>
      <c r="D1095" s="919"/>
      <c r="E1095" s="964" t="s">
        <v>273</v>
      </c>
      <c r="F1095" s="913"/>
      <c r="G1095" s="682" t="s">
        <v>1123</v>
      </c>
      <c r="J1095" s="1001"/>
    </row>
    <row r="1096" spans="1:10" x14ac:dyDescent="0.3">
      <c r="B1096" s="311" t="str">
        <f>IF(LEN('Ch7'!H334)=0,"",'Ch7'!H334)</f>
        <v/>
      </c>
      <c r="C1096" s="311" t="str">
        <f t="shared" ref="C1096:C1159" si="29">IF(LEN(B1096)=0,IF(A1096="P","P",""),B1096)</f>
        <v/>
      </c>
      <c r="D1096" s="919"/>
      <c r="E1096" s="964"/>
      <c r="F1096" s="964" t="s">
        <v>121</v>
      </c>
      <c r="G1096" s="682" t="s">
        <v>3890</v>
      </c>
      <c r="I1096" s="89">
        <f ca="1">'Ch7'!O334</f>
        <v>0</v>
      </c>
      <c r="J1096" s="1001"/>
    </row>
    <row r="1097" spans="1:10" x14ac:dyDescent="0.3">
      <c r="B1097" s="311" t="str">
        <f>IF(LEN('Ch7'!H335)=0,"",'Ch7'!H335)</f>
        <v/>
      </c>
      <c r="C1097" s="311" t="str">
        <f t="shared" si="29"/>
        <v/>
      </c>
      <c r="D1097" s="919"/>
      <c r="E1097" s="910"/>
      <c r="F1097" s="962" t="s">
        <v>122</v>
      </c>
      <c r="G1097" s="676" t="s">
        <v>3891</v>
      </c>
      <c r="I1097" s="89">
        <f ca="1">'Ch7'!O335</f>
        <v>0</v>
      </c>
      <c r="J1097" s="1001"/>
    </row>
    <row r="1098" spans="1:10" x14ac:dyDescent="0.3">
      <c r="B1098" s="311" t="str">
        <f>IF(LEN('Ch7'!H336)=0,"",'Ch7'!H336)</f>
        <v/>
      </c>
      <c r="C1098" s="311" t="str">
        <f t="shared" si="29"/>
        <v/>
      </c>
      <c r="D1098" s="919"/>
      <c r="E1098" s="969" t="s">
        <v>275</v>
      </c>
      <c r="F1098" s="364"/>
      <c r="G1098" s="365" t="s">
        <v>3889</v>
      </c>
      <c r="I1098" s="89">
        <f ca="1">'Ch7'!O336</f>
        <v>0</v>
      </c>
      <c r="J1098" s="1001"/>
    </row>
    <row r="1099" spans="1:10" x14ac:dyDescent="0.3">
      <c r="B1099" s="311" t="str">
        <f>IF(LEN('Ch7'!H337)=0,"",'Ch7'!H337)</f>
        <v/>
      </c>
      <c r="C1099" s="311" t="str">
        <f t="shared" si="29"/>
        <v/>
      </c>
      <c r="D1099" s="919"/>
      <c r="E1099" s="964" t="s">
        <v>285</v>
      </c>
      <c r="F1099" s="913"/>
      <c r="G1099" s="682" t="s">
        <v>1124</v>
      </c>
      <c r="I1099" s="89">
        <f ca="1">'Ch7'!O337</f>
        <v>0</v>
      </c>
      <c r="J1099" s="1001"/>
    </row>
    <row r="1100" spans="1:10" x14ac:dyDescent="0.3">
      <c r="B1100" s="311" t="str">
        <f>IF(LEN('Ch7'!H338)=0,"",'Ch7'!H338)</f>
        <v/>
      </c>
      <c r="C1100" s="311" t="str">
        <f t="shared" si="29"/>
        <v/>
      </c>
      <c r="D1100" s="919"/>
      <c r="E1100" s="964"/>
      <c r="F1100" s="913"/>
      <c r="G1100" s="682" t="s">
        <v>3899</v>
      </c>
      <c r="J1100" s="1001"/>
    </row>
    <row r="1101" spans="1:10" x14ac:dyDescent="0.3">
      <c r="B1101" s="311" t="str">
        <f>IF(LEN('Ch7'!H339)=0,"",'Ch7'!H339)</f>
        <v/>
      </c>
      <c r="C1101" s="311" t="str">
        <f t="shared" si="29"/>
        <v/>
      </c>
      <c r="D1101" s="919"/>
      <c r="E1101" s="964"/>
      <c r="F1101" s="913"/>
      <c r="G1101" s="682" t="s">
        <v>3900</v>
      </c>
      <c r="J1101" s="1001"/>
    </row>
    <row r="1102" spans="1:10" x14ac:dyDescent="0.3">
      <c r="B1102" s="311" t="str">
        <f>IF(LEN('Ch7'!H340)=0,"",'Ch7'!H340)</f>
        <v/>
      </c>
      <c r="C1102" s="311" t="str">
        <f t="shared" si="29"/>
        <v/>
      </c>
      <c r="D1102" s="232"/>
      <c r="E1102" s="910"/>
      <c r="F1102" s="910"/>
      <c r="G1102" s="676" t="s">
        <v>3901</v>
      </c>
      <c r="J1102" s="1001"/>
    </row>
    <row r="1103" spans="1:10" ht="15" customHeight="1" x14ac:dyDescent="0.3">
      <c r="A1103" s="727" t="str">
        <f>IF(AND(LEN('Ch7'!W341)&gt;0,NOT('Ch7'!W341=FALSE)),"P","")</f>
        <v/>
      </c>
      <c r="B1103" s="311" t="str">
        <f>IF(LEN('Ch7'!H341)=0,"",'Ch7'!H341)</f>
        <v/>
      </c>
      <c r="C1103" s="311" t="str">
        <f t="shared" si="29"/>
        <v/>
      </c>
      <c r="D1103" s="929" t="s">
        <v>1125</v>
      </c>
      <c r="E1103" s="915"/>
      <c r="F1103" s="915"/>
      <c r="G1103" s="1393" t="s">
        <v>1126</v>
      </c>
      <c r="H1103" s="89">
        <f>'Ch7'!W341</f>
        <v>0</v>
      </c>
      <c r="I1103" s="89">
        <f ca="1">'Ch7'!O341</f>
        <v>0</v>
      </c>
      <c r="J1103" s="1443" t="s">
        <v>4281</v>
      </c>
    </row>
    <row r="1104" spans="1:10" x14ac:dyDescent="0.3">
      <c r="A1104" s="727" t="str">
        <f>A1103</f>
        <v/>
      </c>
      <c r="B1104" s="311" t="str">
        <f>IF(LEN('Ch7'!H342)=0,"",'Ch7'!H342)</f>
        <v/>
      </c>
      <c r="C1104" s="311" t="str">
        <f t="shared" si="29"/>
        <v/>
      </c>
      <c r="D1104" s="927"/>
      <c r="E1104" s="910"/>
      <c r="F1104" s="910"/>
      <c r="G1104" s="1391"/>
      <c r="J1104" s="1443"/>
    </row>
    <row r="1105" spans="1:10" x14ac:dyDescent="0.3">
      <c r="A1105" s="727" t="str">
        <f>IF(AND(LEN('Ch7'!W343)&gt;0,NOT('Ch7'!W343=FALSE)),"P","")</f>
        <v/>
      </c>
      <c r="B1105" s="311" t="str">
        <f>IF(LEN('Ch7'!H343)=0,"",'Ch7'!H343)</f>
        <v/>
      </c>
      <c r="C1105" s="311" t="str">
        <f t="shared" si="29"/>
        <v/>
      </c>
      <c r="D1105" s="152" t="s">
        <v>1127</v>
      </c>
      <c r="E1105" s="913"/>
      <c r="F1105" s="913"/>
      <c r="G1105" s="687" t="s">
        <v>1128</v>
      </c>
      <c r="H1105" s="89">
        <f>'Ch7'!W343</f>
        <v>0</v>
      </c>
      <c r="I1105" s="89">
        <f ca="1">'Ch7'!O343</f>
        <v>0</v>
      </c>
      <c r="J1105" s="1439" t="s">
        <v>4226</v>
      </c>
    </row>
    <row r="1106" spans="1:10" x14ac:dyDescent="0.3">
      <c r="A1106" s="727" t="str">
        <f>A1105</f>
        <v/>
      </c>
      <c r="B1106" s="311" t="str">
        <f>IF(LEN('Ch7'!H344)=0,"",'Ch7'!H344)</f>
        <v/>
      </c>
      <c r="C1106" s="311" t="str">
        <f t="shared" si="29"/>
        <v/>
      </c>
      <c r="D1106" s="945"/>
      <c r="E1106" s="910"/>
      <c r="F1106" s="910"/>
      <c r="G1106" s="696" t="s">
        <v>1101</v>
      </c>
      <c r="J1106" s="1439"/>
    </row>
    <row r="1107" spans="1:10" ht="15" customHeight="1" x14ac:dyDescent="0.3">
      <c r="A1107" s="727" t="str">
        <f>IF(AND(LEN('Ch7'!W345)&gt;0,NOT('Ch7'!W345=FALSE)),"P","")</f>
        <v/>
      </c>
      <c r="B1107" s="311" t="str">
        <f>IF(LEN('Ch7'!H345)=0,"",'Ch7'!H345)</f>
        <v/>
      </c>
      <c r="C1107" s="311" t="str">
        <f t="shared" si="29"/>
        <v/>
      </c>
      <c r="D1107" s="927" t="s">
        <v>3886</v>
      </c>
      <c r="E1107" s="910"/>
      <c r="F1107" s="910"/>
      <c r="G1107" s="690" t="s">
        <v>1129</v>
      </c>
      <c r="H1107" s="89">
        <f>'Ch7'!W345</f>
        <v>0</v>
      </c>
      <c r="I1107" s="89">
        <f ca="1">'Ch7'!O345</f>
        <v>0</v>
      </c>
      <c r="J1107" s="989" t="s">
        <v>4226</v>
      </c>
    </row>
    <row r="1108" spans="1:10" x14ac:dyDescent="0.3">
      <c r="A1108" s="727" t="str">
        <f ca="1">IF('Ch7'!O346&gt;0,"P","")</f>
        <v/>
      </c>
      <c r="B1108" s="311" t="str">
        <f>IF(LEN('Ch7'!H346)=0,"",'Ch7'!H346)</f>
        <v/>
      </c>
      <c r="C1108" s="311" t="str">
        <f t="shared" ca="1" si="29"/>
        <v/>
      </c>
      <c r="D1108" s="929" t="s">
        <v>1130</v>
      </c>
      <c r="E1108" s="915"/>
      <c r="F1108" s="915"/>
      <c r="G1108" s="1364" t="s">
        <v>4106</v>
      </c>
      <c r="I1108" s="89">
        <f ca="1">'Ch7'!O346</f>
        <v>0</v>
      </c>
      <c r="J1108" s="1439" t="s">
        <v>4282</v>
      </c>
    </row>
    <row r="1109" spans="1:10" x14ac:dyDescent="0.3">
      <c r="A1109" s="727" t="str">
        <f ca="1">A1108</f>
        <v/>
      </c>
      <c r="B1109" s="311" t="str">
        <f>IF(LEN('Ch7'!H347)=0,"",'Ch7'!H347)</f>
        <v/>
      </c>
      <c r="C1109" s="311" t="str">
        <f t="shared" ca="1" si="29"/>
        <v/>
      </c>
      <c r="D1109" s="204"/>
      <c r="E1109" s="909"/>
      <c r="F1109" s="909"/>
      <c r="G1109" s="1313"/>
      <c r="H1109" s="89">
        <f>'Ch7'!W347</f>
        <v>0</v>
      </c>
      <c r="J1109" s="1439"/>
    </row>
    <row r="1110" spans="1:10" x14ac:dyDescent="0.3">
      <c r="A1110" s="727" t="str">
        <f ca="1">A1109</f>
        <v/>
      </c>
      <c r="B1110" s="311" t="str">
        <f>IF(LEN('Ch7'!H348)=0,"",'Ch7'!H348)</f>
        <v/>
      </c>
      <c r="C1110" s="311" t="str">
        <f t="shared" ca="1" si="29"/>
        <v/>
      </c>
      <c r="D1110" s="204"/>
      <c r="E1110" s="909"/>
      <c r="F1110" s="909"/>
      <c r="G1110" s="1313"/>
      <c r="J1110" s="1439"/>
    </row>
    <row r="1111" spans="1:10" x14ac:dyDescent="0.3">
      <c r="B1111" s="311" t="str">
        <f>IF(LEN('Ch7'!H349)=0,"",'Ch7'!H349)</f>
        <v/>
      </c>
      <c r="C1111" s="311" t="str">
        <f t="shared" si="29"/>
        <v/>
      </c>
      <c r="D1111" s="204"/>
      <c r="E1111" s="3"/>
      <c r="F1111" s="909"/>
      <c r="G1111" s="652" t="s">
        <v>3902</v>
      </c>
      <c r="J1111" s="989"/>
    </row>
    <row r="1112" spans="1:10" x14ac:dyDescent="0.3">
      <c r="B1112" s="311" t="str">
        <f>IF(LEN('Ch7'!H350)=0,"",'Ch7'!H350)</f>
        <v/>
      </c>
      <c r="C1112" s="311" t="str">
        <f t="shared" si="29"/>
        <v/>
      </c>
      <c r="D1112" s="204"/>
      <c r="E1112" s="3"/>
      <c r="F1112" s="909"/>
      <c r="G1112" s="653" t="s">
        <v>3903</v>
      </c>
      <c r="J1112" s="989"/>
    </row>
    <row r="1113" spans="1:10" x14ac:dyDescent="0.3">
      <c r="B1113" s="311" t="str">
        <f>IF(LEN('Ch7'!H351)=0,"",'Ch7'!H351)</f>
        <v/>
      </c>
      <c r="C1113" s="311" t="str">
        <f t="shared" si="29"/>
        <v/>
      </c>
      <c r="D1113" s="204"/>
      <c r="E1113" s="3"/>
      <c r="F1113" s="909"/>
      <c r="G1113" s="653" t="s">
        <v>3904</v>
      </c>
      <c r="J1113" s="989"/>
    </row>
    <row r="1114" spans="1:10" x14ac:dyDescent="0.3">
      <c r="B1114" s="311" t="str">
        <f>IF(LEN('Ch7'!H352)=0,"",'Ch7'!H352)</f>
        <v/>
      </c>
      <c r="C1114" s="311" t="str">
        <f t="shared" si="29"/>
        <v/>
      </c>
      <c r="D1114" s="204"/>
      <c r="E1114" s="3"/>
      <c r="F1114" s="909"/>
      <c r="G1114" s="653" t="s">
        <v>3905</v>
      </c>
      <c r="J1114" s="989"/>
    </row>
    <row r="1115" spans="1:10" ht="15" thickBot="1" x14ac:dyDescent="0.35">
      <c r="B1115" s="311" t="str">
        <f>IF(LEN('Ch7'!H353)=0,"",'Ch7'!H353)</f>
        <v/>
      </c>
      <c r="C1115" s="311" t="str">
        <f t="shared" si="29"/>
        <v/>
      </c>
      <c r="D1115" s="934"/>
      <c r="E1115" s="942"/>
      <c r="F1115" s="911"/>
      <c r="G1115" s="641" t="s">
        <v>3906</v>
      </c>
      <c r="J1115" s="989"/>
    </row>
    <row r="1116" spans="1:10" ht="15" thickTop="1" x14ac:dyDescent="0.3">
      <c r="A1116" s="1196" t="str">
        <f ca="1">IF(COUNTIF(A1117:A1125,"P")&gt;0,"P","")</f>
        <v/>
      </c>
      <c r="B1116" s="311" t="str">
        <f>IF(LEN('Ch7'!H354)=0,"",'Ch7'!H354)</f>
        <v/>
      </c>
      <c r="C1116" s="311" t="str">
        <f t="shared" ca="1" si="29"/>
        <v/>
      </c>
      <c r="D1116" s="111">
        <v>703.6</v>
      </c>
      <c r="E1116" s="963"/>
      <c r="F1116" s="963"/>
      <c r="G1116" s="918" t="s">
        <v>1131</v>
      </c>
      <c r="J1116" s="989"/>
    </row>
    <row r="1117" spans="1:10" x14ac:dyDescent="0.3">
      <c r="A1117" s="727" t="str">
        <f ca="1">IF(SUM(I1119:I1123)&gt;0,"P","")</f>
        <v/>
      </c>
      <c r="B1117" s="311" t="str">
        <f>IF(LEN('Ch7'!H355)=0,"",'Ch7'!H355)</f>
        <v/>
      </c>
      <c r="C1117" s="311" t="str">
        <f t="shared" ca="1" si="29"/>
        <v/>
      </c>
      <c r="D1117" s="152" t="s">
        <v>1132</v>
      </c>
      <c r="E1117" s="913"/>
      <c r="F1117" s="913"/>
      <c r="G1117" s="1389" t="s">
        <v>1133</v>
      </c>
      <c r="J1117" s="1443" t="s">
        <v>4226</v>
      </c>
    </row>
    <row r="1118" spans="1:10" x14ac:dyDescent="0.3">
      <c r="A1118" s="727" t="str">
        <f ca="1">A1117</f>
        <v/>
      </c>
      <c r="B1118" s="311" t="str">
        <f>IF(LEN('Ch7'!H356)=0,"",'Ch7'!H356)</f>
        <v/>
      </c>
      <c r="C1118" s="311" t="str">
        <f t="shared" ca="1" si="29"/>
        <v/>
      </c>
      <c r="D1118" s="152"/>
      <c r="E1118" s="913"/>
      <c r="F1118" s="913"/>
      <c r="G1118" s="1389"/>
      <c r="J1118" s="1443"/>
    </row>
    <row r="1119" spans="1:10" x14ac:dyDescent="0.3">
      <c r="B1119" s="311" t="str">
        <f>IF(LEN('Ch7'!H357)=0,"",'Ch7'!H357)</f>
        <v/>
      </c>
      <c r="C1119" s="311" t="str">
        <f t="shared" si="29"/>
        <v/>
      </c>
      <c r="D1119" s="919"/>
      <c r="E1119" s="961" t="s">
        <v>271</v>
      </c>
      <c r="F1119" s="909"/>
      <c r="G1119" s="1374" t="s">
        <v>3883</v>
      </c>
      <c r="H1119" s="89">
        <f>'Ch7'!W357</f>
        <v>0</v>
      </c>
      <c r="I1119" s="89">
        <f ca="1">'Ch7'!O357</f>
        <v>0</v>
      </c>
      <c r="J1119" s="996"/>
    </row>
    <row r="1120" spans="1:10" x14ac:dyDescent="0.3">
      <c r="B1120" s="311" t="str">
        <f>IF(LEN('Ch7'!H358)=0,"",'Ch7'!H358)</f>
        <v/>
      </c>
      <c r="C1120" s="311" t="str">
        <f t="shared" si="29"/>
        <v/>
      </c>
      <c r="D1120" s="919"/>
      <c r="E1120" s="962"/>
      <c r="F1120" s="910"/>
      <c r="G1120" s="1392"/>
      <c r="J1120" s="1001"/>
    </row>
    <row r="1121" spans="1:10" x14ac:dyDescent="0.3">
      <c r="B1121" s="311" t="str">
        <f>IF(LEN('Ch7'!H359)=0,"",'Ch7'!H359)</f>
        <v/>
      </c>
      <c r="C1121" s="311" t="str">
        <f t="shared" si="29"/>
        <v/>
      </c>
      <c r="D1121" s="919"/>
      <c r="E1121" s="968" t="s">
        <v>273</v>
      </c>
      <c r="F1121" s="915"/>
      <c r="G1121" s="1356" t="s">
        <v>1134</v>
      </c>
      <c r="H1121" s="89">
        <f>'Ch7'!W359</f>
        <v>0</v>
      </c>
      <c r="I1121" s="89">
        <f ca="1">'Ch7'!O359</f>
        <v>0</v>
      </c>
      <c r="J1121" s="1001"/>
    </row>
    <row r="1122" spans="1:10" x14ac:dyDescent="0.3">
      <c r="B1122" s="311" t="str">
        <f>IF(LEN('Ch7'!H360)=0,"",'Ch7'!H360)</f>
        <v/>
      </c>
      <c r="C1122" s="311" t="str">
        <f t="shared" si="29"/>
        <v/>
      </c>
      <c r="D1122" s="919"/>
      <c r="E1122" s="910"/>
      <c r="F1122" s="910"/>
      <c r="G1122" s="1306"/>
      <c r="J1122" s="1001"/>
    </row>
    <row r="1123" spans="1:10" x14ac:dyDescent="0.3">
      <c r="B1123" s="311" t="str">
        <f>IF(LEN('Ch7'!H361)=0,"",'Ch7'!H361)</f>
        <v/>
      </c>
      <c r="C1123" s="311" t="str">
        <f t="shared" si="29"/>
        <v/>
      </c>
      <c r="D1123" s="204"/>
      <c r="E1123" s="961" t="s">
        <v>275</v>
      </c>
      <c r="F1123" s="909"/>
      <c r="G1123" s="1305" t="s">
        <v>1135</v>
      </c>
      <c r="H1123" s="89">
        <f>'Ch7'!W361</f>
        <v>0</v>
      </c>
      <c r="I1123" s="89">
        <f ca="1">'Ch7'!O361</f>
        <v>0</v>
      </c>
      <c r="J1123" s="1001"/>
    </row>
    <row r="1124" spans="1:10" x14ac:dyDescent="0.3">
      <c r="B1124" s="311" t="str">
        <f>IF(LEN('Ch7'!H362)=0,"",'Ch7'!H362)</f>
        <v/>
      </c>
      <c r="C1124" s="311" t="str">
        <f t="shared" si="29"/>
        <v/>
      </c>
      <c r="D1124" s="232"/>
      <c r="E1124" s="910"/>
      <c r="F1124" s="910"/>
      <c r="G1124" s="1306"/>
      <c r="J1124" s="1001"/>
    </row>
    <row r="1125" spans="1:10" ht="27.6" x14ac:dyDescent="0.3">
      <c r="A1125" s="727" t="str">
        <f ca="1">IF(SUM(I1126:I1128)&gt;0,"P","")</f>
        <v/>
      </c>
      <c r="B1125" s="311" t="str">
        <f>IF(LEN('Ch7'!H363)=0,"",'Ch7'!H363)</f>
        <v/>
      </c>
      <c r="C1125" s="311" t="str">
        <f t="shared" ca="1" si="29"/>
        <v/>
      </c>
      <c r="D1125" s="929" t="s">
        <v>1136</v>
      </c>
      <c r="E1125" s="915"/>
      <c r="F1125" s="915"/>
      <c r="G1125" s="917" t="s">
        <v>1137</v>
      </c>
      <c r="J1125" s="1001" t="s">
        <v>4412</v>
      </c>
    </row>
    <row r="1126" spans="1:10" ht="15" customHeight="1" x14ac:dyDescent="0.3">
      <c r="B1126" s="311" t="str">
        <f>IF(LEN('Ch7'!H364)=0,"",'Ch7'!H364)</f>
        <v/>
      </c>
      <c r="C1126" s="311" t="str">
        <f t="shared" si="29"/>
        <v/>
      </c>
      <c r="D1126" s="919"/>
      <c r="E1126" s="962" t="s">
        <v>271</v>
      </c>
      <c r="F1126" s="910"/>
      <c r="G1126" s="652" t="s">
        <v>1138</v>
      </c>
      <c r="H1126" s="89">
        <f>'Ch7'!W364</f>
        <v>0</v>
      </c>
      <c r="I1126" s="89">
        <f ca="1">'Ch7'!O364</f>
        <v>0</v>
      </c>
      <c r="J1126" s="1001"/>
    </row>
    <row r="1127" spans="1:10" x14ac:dyDescent="0.3">
      <c r="B1127" s="311" t="str">
        <f>IF(LEN('Ch7'!H365)=0,"",'Ch7'!H365)</f>
        <v/>
      </c>
      <c r="C1127" s="311" t="str">
        <f t="shared" si="29"/>
        <v/>
      </c>
      <c r="D1127" s="919"/>
      <c r="E1127" s="969" t="s">
        <v>273</v>
      </c>
      <c r="F1127" s="364"/>
      <c r="G1127" s="365" t="s">
        <v>1139</v>
      </c>
      <c r="H1127" s="89">
        <f>'Ch7'!W365</f>
        <v>0</v>
      </c>
      <c r="I1127" s="89">
        <f ca="1">'Ch7'!O365</f>
        <v>0</v>
      </c>
      <c r="J1127" s="996"/>
    </row>
    <row r="1128" spans="1:10" x14ac:dyDescent="0.3">
      <c r="B1128" s="311" t="str">
        <f>IF(LEN('Ch7'!H366)=0,"",'Ch7'!H366)</f>
        <v/>
      </c>
      <c r="C1128" s="311" t="str">
        <f t="shared" si="29"/>
        <v/>
      </c>
      <c r="D1128" s="204"/>
      <c r="E1128" s="961" t="s">
        <v>275</v>
      </c>
      <c r="F1128" s="909"/>
      <c r="G1128" s="675" t="s">
        <v>1140</v>
      </c>
      <c r="H1128" s="89">
        <f>'Ch7'!W366</f>
        <v>0</v>
      </c>
      <c r="I1128" s="89">
        <f ca="1">'Ch7'!O366</f>
        <v>0</v>
      </c>
      <c r="J1128" s="996"/>
    </row>
    <row r="1129" spans="1:10" ht="15" thickBot="1" x14ac:dyDescent="0.35">
      <c r="B1129" s="311" t="str">
        <f>IF(LEN('Ch7'!H367)=0,"",'Ch7'!H367)</f>
        <v/>
      </c>
      <c r="C1129" s="311" t="str">
        <f t="shared" si="29"/>
        <v/>
      </c>
      <c r="D1129" s="934"/>
      <c r="E1129" s="971"/>
      <c r="F1129" s="911"/>
      <c r="G1129" s="692" t="s">
        <v>3878</v>
      </c>
      <c r="J1129" s="996"/>
    </row>
    <row r="1130" spans="1:10" ht="15" thickTop="1" x14ac:dyDescent="0.3">
      <c r="A1130" s="1196" t="str">
        <f ca="1">IF(COUNTIF(A1131:A1188,"P")&gt;0,"P","")</f>
        <v/>
      </c>
      <c r="B1130" s="311" t="str">
        <f>IF(LEN('Ch7'!H368)=0,"",'Ch7'!H368)</f>
        <v/>
      </c>
      <c r="C1130" s="311" t="str">
        <f t="shared" ca="1" si="29"/>
        <v/>
      </c>
      <c r="D1130" s="111">
        <v>703.7</v>
      </c>
      <c r="E1130" s="963"/>
      <c r="F1130" s="963"/>
      <c r="G1130" s="918" t="s">
        <v>1141</v>
      </c>
      <c r="J1130" s="989"/>
    </row>
    <row r="1131" spans="1:10" x14ac:dyDescent="0.3">
      <c r="A1131" s="727" t="str">
        <f>IF(AND(LEN('Ch7'!W369)&gt;0,NOT('Ch7'!W369=FALSE)),"P","")</f>
        <v/>
      </c>
      <c r="B1131" s="311" t="str">
        <f>IF(LEN('Ch7'!H369)=0,"",'Ch7'!H369)</f>
        <v/>
      </c>
      <c r="C1131" s="311" t="str">
        <f t="shared" si="29"/>
        <v/>
      </c>
      <c r="D1131" s="152" t="s">
        <v>1142</v>
      </c>
      <c r="E1131" s="913"/>
      <c r="F1131" s="913"/>
      <c r="G1131" s="1292" t="s">
        <v>1143</v>
      </c>
      <c r="H1131" s="89">
        <f>'Ch7'!W369</f>
        <v>0</v>
      </c>
      <c r="I1131" s="89">
        <f ca="1">'Ch7'!O369</f>
        <v>0</v>
      </c>
      <c r="J1131" s="1439" t="s">
        <v>4283</v>
      </c>
    </row>
    <row r="1132" spans="1:10" x14ac:dyDescent="0.3">
      <c r="A1132" s="727" t="str">
        <f>A1131</f>
        <v/>
      </c>
      <c r="B1132" s="311" t="str">
        <f>IF(LEN('Ch7'!H370)=0,"",'Ch7'!H370)</f>
        <v/>
      </c>
      <c r="C1132" s="311" t="str">
        <f t="shared" si="29"/>
        <v/>
      </c>
      <c r="D1132" s="919"/>
      <c r="E1132" s="913"/>
      <c r="F1132" s="913"/>
      <c r="G1132" s="1292"/>
      <c r="J1132" s="1439"/>
    </row>
    <row r="1133" spans="1:10" x14ac:dyDescent="0.3">
      <c r="B1133" s="311" t="str">
        <f>IF(LEN('Ch7'!H371)=0,"",'Ch7'!H371)</f>
        <v/>
      </c>
      <c r="C1133" s="311" t="str">
        <f t="shared" si="29"/>
        <v/>
      </c>
      <c r="D1133" s="919"/>
      <c r="E1133" s="961" t="s">
        <v>271</v>
      </c>
      <c r="F1133" s="909"/>
      <c r="G1133" s="1305" t="s">
        <v>1144</v>
      </c>
      <c r="J1133" s="989"/>
    </row>
    <row r="1134" spans="1:10" x14ac:dyDescent="0.3">
      <c r="B1134" s="311" t="str">
        <f>IF(LEN('Ch7'!H372)=0,"",'Ch7'!H372)</f>
        <v/>
      </c>
      <c r="C1134" s="311" t="str">
        <f t="shared" si="29"/>
        <v/>
      </c>
      <c r="D1134" s="919"/>
      <c r="E1134" s="962"/>
      <c r="F1134" s="910"/>
      <c r="G1134" s="1306"/>
      <c r="J1134" s="989"/>
    </row>
    <row r="1135" spans="1:10" x14ac:dyDescent="0.3">
      <c r="B1135" s="311" t="str">
        <f>IF(LEN('Ch7'!H373)=0,"",'Ch7'!H373)</f>
        <v/>
      </c>
      <c r="C1135" s="311" t="str">
        <f t="shared" si="29"/>
        <v/>
      </c>
      <c r="D1135" s="919"/>
      <c r="E1135" s="968" t="s">
        <v>273</v>
      </c>
      <c r="F1135" s="915"/>
      <c r="G1135" s="1356" t="s">
        <v>1145</v>
      </c>
      <c r="J1135" s="989"/>
    </row>
    <row r="1136" spans="1:10" x14ac:dyDescent="0.3">
      <c r="B1136" s="311" t="str">
        <f>IF(LEN('Ch7'!H374)=0,"",'Ch7'!H374)</f>
        <v/>
      </c>
      <c r="C1136" s="311" t="str">
        <f t="shared" si="29"/>
        <v/>
      </c>
      <c r="D1136" s="919"/>
      <c r="E1136" s="962"/>
      <c r="F1136" s="910"/>
      <c r="G1136" s="1306"/>
      <c r="J1136" s="989"/>
    </row>
    <row r="1137" spans="2:10" x14ac:dyDescent="0.3">
      <c r="B1137" s="311" t="str">
        <f>IF(LEN('Ch7'!H375)=0,"",'Ch7'!H375)</f>
        <v/>
      </c>
      <c r="C1137" s="311" t="str">
        <f t="shared" si="29"/>
        <v/>
      </c>
      <c r="D1137" s="919"/>
      <c r="E1137" s="968" t="s">
        <v>275</v>
      </c>
      <c r="F1137" s="915"/>
      <c r="G1137" s="1356" t="s">
        <v>1146</v>
      </c>
      <c r="J1137" s="989"/>
    </row>
    <row r="1138" spans="2:10" x14ac:dyDescent="0.3">
      <c r="B1138" s="311" t="str">
        <f>IF(LEN('Ch7'!H376)=0,"",'Ch7'!H376)</f>
        <v/>
      </c>
      <c r="C1138" s="311" t="str">
        <f t="shared" si="29"/>
        <v/>
      </c>
      <c r="D1138" s="919"/>
      <c r="E1138" s="910"/>
      <c r="F1138" s="910"/>
      <c r="G1138" s="1306"/>
      <c r="J1138" s="989"/>
    </row>
    <row r="1139" spans="2:10" x14ac:dyDescent="0.3">
      <c r="B1139" s="311" t="str">
        <f>IF(LEN('Ch7'!H377)=0,"",'Ch7'!H377)</f>
        <v/>
      </c>
      <c r="C1139" s="311" t="str">
        <f t="shared" si="29"/>
        <v/>
      </c>
      <c r="D1139" s="919"/>
      <c r="E1139" s="968" t="s">
        <v>285</v>
      </c>
      <c r="F1139" s="915"/>
      <c r="G1139" s="1356" t="s">
        <v>1147</v>
      </c>
      <c r="J1139" s="989"/>
    </row>
    <row r="1140" spans="2:10" x14ac:dyDescent="0.3">
      <c r="B1140" s="311" t="str">
        <f>IF(LEN('Ch7'!H378)=0,"",'Ch7'!H378)</f>
        <v/>
      </c>
      <c r="C1140" s="311" t="str">
        <f t="shared" si="29"/>
        <v/>
      </c>
      <c r="D1140" s="919"/>
      <c r="E1140" s="910"/>
      <c r="F1140" s="910"/>
      <c r="G1140" s="1306"/>
      <c r="J1140" s="989"/>
    </row>
    <row r="1141" spans="2:10" x14ac:dyDescent="0.3">
      <c r="B1141" s="311" t="str">
        <f>IF(LEN('Ch7'!H379)=0,"",'Ch7'!H379)</f>
        <v/>
      </c>
      <c r="C1141" s="311" t="str">
        <f t="shared" si="29"/>
        <v/>
      </c>
      <c r="D1141" s="919"/>
      <c r="E1141" s="968" t="s">
        <v>291</v>
      </c>
      <c r="F1141" s="915"/>
      <c r="G1141" s="1356" t="s">
        <v>1148</v>
      </c>
      <c r="J1141" s="989"/>
    </row>
    <row r="1142" spans="2:10" x14ac:dyDescent="0.3">
      <c r="B1142" s="311" t="str">
        <f>IF(LEN('Ch7'!H380)=0,"",'Ch7'!H380)</f>
        <v/>
      </c>
      <c r="C1142" s="311" t="str">
        <f t="shared" si="29"/>
        <v/>
      </c>
      <c r="D1142" s="919"/>
      <c r="E1142" s="910"/>
      <c r="F1142" s="910"/>
      <c r="G1142" s="1306"/>
      <c r="J1142" s="989"/>
    </row>
    <row r="1143" spans="2:10" x14ac:dyDescent="0.3">
      <c r="B1143" s="311" t="str">
        <f>IF(LEN('Ch7'!H381)=0,"",'Ch7'!H381)</f>
        <v/>
      </c>
      <c r="C1143" s="311" t="str">
        <f t="shared" si="29"/>
        <v/>
      </c>
      <c r="D1143" s="919"/>
      <c r="E1143" s="964" t="s">
        <v>293</v>
      </c>
      <c r="F1143" s="913"/>
      <c r="G1143" s="682" t="s">
        <v>1149</v>
      </c>
      <c r="J1143" s="989"/>
    </row>
    <row r="1144" spans="2:10" x14ac:dyDescent="0.3">
      <c r="B1144" s="311" t="str">
        <f>IF(LEN('Ch7'!H382)=0,"",'Ch7'!H382)</f>
        <v/>
      </c>
      <c r="C1144" s="311" t="str">
        <f t="shared" si="29"/>
        <v/>
      </c>
      <c r="D1144" s="919"/>
      <c r="E1144" s="913"/>
      <c r="F1144" s="964" t="s">
        <v>121</v>
      </c>
      <c r="G1144" s="1367" t="s">
        <v>1150</v>
      </c>
      <c r="J1144" s="989"/>
    </row>
    <row r="1145" spans="2:10" x14ac:dyDescent="0.3">
      <c r="B1145" s="311" t="str">
        <f>IF(LEN('Ch7'!H383)=0,"",'Ch7'!H383)</f>
        <v/>
      </c>
      <c r="C1145" s="311" t="str">
        <f t="shared" si="29"/>
        <v/>
      </c>
      <c r="D1145" s="919"/>
      <c r="E1145" s="913"/>
      <c r="F1145" s="964"/>
      <c r="G1145" s="1367"/>
      <c r="J1145" s="989"/>
    </row>
    <row r="1146" spans="2:10" x14ac:dyDescent="0.3">
      <c r="B1146" s="311" t="str">
        <f>IF(LEN('Ch7'!H384)=0,"",'Ch7'!H384)</f>
        <v/>
      </c>
      <c r="C1146" s="311" t="str">
        <f t="shared" si="29"/>
        <v/>
      </c>
      <c r="D1146" s="919"/>
      <c r="E1146" s="913"/>
      <c r="F1146" s="964" t="s">
        <v>122</v>
      </c>
      <c r="G1146" s="682" t="s">
        <v>1151</v>
      </c>
      <c r="J1146" s="989"/>
    </row>
    <row r="1147" spans="2:10" x14ac:dyDescent="0.3">
      <c r="B1147" s="311" t="str">
        <f>IF(LEN('Ch7'!H385)=0,"",'Ch7'!H385)</f>
        <v/>
      </c>
      <c r="C1147" s="311" t="str">
        <f t="shared" si="29"/>
        <v/>
      </c>
      <c r="D1147" s="919"/>
      <c r="E1147" s="909"/>
      <c r="F1147" s="972" t="s">
        <v>123</v>
      </c>
      <c r="G1147" s="1305" t="s">
        <v>1152</v>
      </c>
      <c r="J1147" s="989"/>
    </row>
    <row r="1148" spans="2:10" x14ac:dyDescent="0.3">
      <c r="B1148" s="311" t="str">
        <f>IF(LEN('Ch7'!H386)=0,"",'Ch7'!H386)</f>
        <v/>
      </c>
      <c r="C1148" s="311" t="str">
        <f t="shared" si="29"/>
        <v/>
      </c>
      <c r="D1148" s="919"/>
      <c r="E1148" s="910"/>
      <c r="F1148" s="910"/>
      <c r="G1148" s="1306"/>
      <c r="J1148" s="989"/>
    </row>
    <row r="1149" spans="2:10" x14ac:dyDescent="0.3">
      <c r="B1149" s="311" t="str">
        <f>IF(LEN('Ch7'!H387)=0,"",'Ch7'!H387)</f>
        <v/>
      </c>
      <c r="C1149" s="311" t="str">
        <f t="shared" si="29"/>
        <v/>
      </c>
      <c r="D1149" s="919"/>
      <c r="E1149" s="968" t="s">
        <v>405</v>
      </c>
      <c r="F1149" s="915"/>
      <c r="G1149" s="1356" t="s">
        <v>3880</v>
      </c>
      <c r="J1149" s="989"/>
    </row>
    <row r="1150" spans="2:10" x14ac:dyDescent="0.3">
      <c r="B1150" s="311" t="str">
        <f>IF(LEN('Ch7'!H388)=0,"",'Ch7'!H388)</f>
        <v/>
      </c>
      <c r="C1150" s="311" t="str">
        <f t="shared" si="29"/>
        <v/>
      </c>
      <c r="D1150" s="919"/>
      <c r="E1150" s="909"/>
      <c r="F1150" s="909"/>
      <c r="G1150" s="1305"/>
      <c r="J1150" s="989"/>
    </row>
    <row r="1151" spans="2:10" x14ac:dyDescent="0.3">
      <c r="B1151" s="311" t="str">
        <f>IF(LEN('Ch7'!H389)=0,"",'Ch7'!H389)</f>
        <v/>
      </c>
      <c r="C1151" s="311" t="str">
        <f t="shared" si="29"/>
        <v/>
      </c>
      <c r="D1151" s="919"/>
      <c r="E1151" s="910"/>
      <c r="F1151" s="910"/>
      <c r="G1151" s="634" t="s">
        <v>3881</v>
      </c>
      <c r="J1151" s="989"/>
    </row>
    <row r="1152" spans="2:10" x14ac:dyDescent="0.3">
      <c r="B1152" s="311" t="str">
        <f>IF(LEN('Ch7'!H390)=0,"",'Ch7'!H390)</f>
        <v/>
      </c>
      <c r="C1152" s="311" t="str">
        <f t="shared" si="29"/>
        <v/>
      </c>
      <c r="D1152" s="919"/>
      <c r="E1152" s="969" t="s">
        <v>456</v>
      </c>
      <c r="F1152" s="364"/>
      <c r="G1152" s="365" t="s">
        <v>1153</v>
      </c>
      <c r="J1152" s="989"/>
    </row>
    <row r="1153" spans="1:10" x14ac:dyDescent="0.3">
      <c r="B1153" s="311" t="str">
        <f>IF(LEN('Ch7'!H391)=0,"",'Ch7'!H391)</f>
        <v/>
      </c>
      <c r="C1153" s="311" t="str">
        <f t="shared" si="29"/>
        <v/>
      </c>
      <c r="D1153" s="919"/>
      <c r="E1153" s="964" t="s">
        <v>458</v>
      </c>
      <c r="F1153" s="913"/>
      <c r="G1153" s="682" t="s">
        <v>1154</v>
      </c>
      <c r="J1153" s="989"/>
    </row>
    <row r="1154" spans="1:10" x14ac:dyDescent="0.3">
      <c r="B1154" s="311" t="str">
        <f>IF(LEN('Ch7'!H392)=0,"",'Ch7'!H392)</f>
        <v/>
      </c>
      <c r="C1154" s="311" t="str">
        <f t="shared" si="29"/>
        <v/>
      </c>
      <c r="D1154" s="204"/>
      <c r="E1154" s="909"/>
      <c r="F1154" s="909"/>
      <c r="G1154" s="1394" t="s">
        <v>3877</v>
      </c>
      <c r="J1154" s="989"/>
    </row>
    <row r="1155" spans="1:10" x14ac:dyDescent="0.3">
      <c r="B1155" s="311" t="str">
        <f>IF(LEN('Ch7'!H393)=0,"",'Ch7'!H393)</f>
        <v/>
      </c>
      <c r="C1155" s="311" t="str">
        <f t="shared" si="29"/>
        <v/>
      </c>
      <c r="D1155" s="204"/>
      <c r="E1155" s="909"/>
      <c r="F1155" s="909"/>
      <c r="G1155" s="1394"/>
      <c r="J1155" s="989"/>
    </row>
    <row r="1156" spans="1:10" x14ac:dyDescent="0.3">
      <c r="B1156" s="311" t="str">
        <f>IF(LEN('Ch7'!H394)=0,"",'Ch7'!H394)</f>
        <v/>
      </c>
      <c r="C1156" s="311" t="str">
        <f t="shared" si="29"/>
        <v/>
      </c>
      <c r="D1156" s="204"/>
      <c r="E1156" s="909"/>
      <c r="F1156" s="909"/>
      <c r="G1156" s="1394"/>
      <c r="J1156" s="989"/>
    </row>
    <row r="1157" spans="1:10" x14ac:dyDescent="0.3">
      <c r="B1157" s="311" t="str">
        <f>IF(LEN('Ch7'!H395)=0,"",'Ch7'!H395)</f>
        <v/>
      </c>
      <c r="C1157" s="311" t="str">
        <f t="shared" si="29"/>
        <v/>
      </c>
      <c r="D1157" s="204"/>
      <c r="E1157" s="909"/>
      <c r="F1157" s="909"/>
      <c r="G1157" s="1394"/>
      <c r="J1157" s="989"/>
    </row>
    <row r="1158" spans="1:10" x14ac:dyDescent="0.3">
      <c r="B1158" s="311" t="str">
        <f>IF(LEN('Ch7'!H396)=0,"",'Ch7'!H396)</f>
        <v/>
      </c>
      <c r="C1158" s="311" t="str">
        <f t="shared" si="29"/>
        <v/>
      </c>
      <c r="D1158" s="232"/>
      <c r="E1158" s="910"/>
      <c r="F1158" s="910"/>
      <c r="G1158" s="1396"/>
      <c r="J1158" s="989"/>
    </row>
    <row r="1159" spans="1:10" x14ac:dyDescent="0.3">
      <c r="A1159" s="727" t="str">
        <f>IF(AND(LEN('Ch7'!W397)&gt;0,NOT('Ch7'!W397=FALSE)),"P","")</f>
        <v/>
      </c>
      <c r="B1159" s="311" t="str">
        <f>IF(LEN('Ch7'!H397)=0,"",'Ch7'!H397)</f>
        <v/>
      </c>
      <c r="C1159" s="311" t="str">
        <f t="shared" si="29"/>
        <v/>
      </c>
      <c r="D1159" s="929" t="s">
        <v>1155</v>
      </c>
      <c r="E1159" s="915"/>
      <c r="F1159" s="915"/>
      <c r="G1159" s="1364" t="s">
        <v>1156</v>
      </c>
      <c r="H1159" s="89">
        <f>'Ch7'!W397</f>
        <v>0</v>
      </c>
      <c r="I1159" s="89">
        <f ca="1">'Ch7'!O397</f>
        <v>0</v>
      </c>
      <c r="J1159" s="1439" t="s">
        <v>4226</v>
      </c>
    </row>
    <row r="1160" spans="1:10" x14ac:dyDescent="0.3">
      <c r="A1160" s="727" t="str">
        <f>A1159</f>
        <v/>
      </c>
      <c r="B1160" s="311" t="str">
        <f>IF(LEN('Ch7'!H398)=0,"",'Ch7'!H398)</f>
        <v/>
      </c>
      <c r="C1160" s="311" t="str">
        <f t="shared" ref="C1160:C1223" si="30">IF(LEN(B1160)=0,IF(A1160="P","P",""),B1160)</f>
        <v/>
      </c>
      <c r="D1160" s="232"/>
      <c r="E1160" s="910"/>
      <c r="F1160" s="910"/>
      <c r="G1160" s="1350"/>
      <c r="J1160" s="1439"/>
    </row>
    <row r="1161" spans="1:10" x14ac:dyDescent="0.3">
      <c r="A1161" s="727" t="str">
        <f ca="1">IF('Ch7'!O399&gt;0,"P","")</f>
        <v/>
      </c>
      <c r="B1161" s="311" t="str">
        <f>IF(LEN('Ch7'!H399)=0,"",'Ch7'!H399)</f>
        <v/>
      </c>
      <c r="C1161" s="311" t="str">
        <f t="shared" ca="1" si="30"/>
        <v/>
      </c>
      <c r="D1161" s="152" t="s">
        <v>1157</v>
      </c>
      <c r="E1161" s="913"/>
      <c r="F1161" s="913"/>
      <c r="G1161" s="1292" t="s">
        <v>1158</v>
      </c>
      <c r="I1161" s="89">
        <f ca="1">'Ch7'!O399</f>
        <v>0</v>
      </c>
      <c r="J1161" s="1443" t="s">
        <v>4284</v>
      </c>
    </row>
    <row r="1162" spans="1:10" x14ac:dyDescent="0.3">
      <c r="A1162" s="727" t="str">
        <f ca="1">A1161</f>
        <v/>
      </c>
      <c r="B1162" s="311" t="str">
        <f>IF(LEN('Ch7'!H400)=0,"",'Ch7'!H400)</f>
        <v/>
      </c>
      <c r="C1162" s="311" t="str">
        <f t="shared" ca="1" si="30"/>
        <v/>
      </c>
      <c r="D1162" s="919"/>
      <c r="E1162" s="913"/>
      <c r="F1162" s="913"/>
      <c r="G1162" s="1292"/>
      <c r="J1162" s="1443"/>
    </row>
    <row r="1163" spans="1:10" x14ac:dyDescent="0.3">
      <c r="B1163" s="311" t="str">
        <f>IF(LEN('Ch7'!H401)=0,"",'Ch7'!H401)</f>
        <v/>
      </c>
      <c r="C1163" s="311" t="str">
        <f t="shared" si="30"/>
        <v/>
      </c>
      <c r="D1163" s="919"/>
      <c r="E1163" s="913"/>
      <c r="F1163" s="913"/>
      <c r="G1163" s="681" t="s">
        <v>1159</v>
      </c>
      <c r="J1163" s="989"/>
    </row>
    <row r="1164" spans="1:10" x14ac:dyDescent="0.3">
      <c r="B1164" s="311" t="str">
        <f>IF(LEN('Ch7'!H402)=0,"",'Ch7'!H402)</f>
        <v/>
      </c>
      <c r="C1164" s="311" t="str">
        <f t="shared" si="30"/>
        <v/>
      </c>
      <c r="D1164" s="919"/>
      <c r="E1164" s="913"/>
      <c r="F1164" s="913"/>
      <c r="G1164" s="681" t="s">
        <v>1160</v>
      </c>
      <c r="J1164" s="989"/>
    </row>
    <row r="1165" spans="1:10" x14ac:dyDescent="0.3">
      <c r="B1165" s="311" t="str">
        <f>IF(LEN('Ch7'!H403)=0,"",'Ch7'!H403)</f>
        <v/>
      </c>
      <c r="C1165" s="311" t="str">
        <f t="shared" si="30"/>
        <v/>
      </c>
      <c r="D1165" s="919"/>
      <c r="E1165" s="964" t="s">
        <v>271</v>
      </c>
      <c r="F1165" s="913"/>
      <c r="G1165" s="1329" t="s">
        <v>1161</v>
      </c>
      <c r="J1165" s="989"/>
    </row>
    <row r="1166" spans="1:10" x14ac:dyDescent="0.3">
      <c r="B1166" s="311" t="str">
        <f>IF(LEN('Ch7'!H404)=0,"",'Ch7'!H404)</f>
        <v/>
      </c>
      <c r="C1166" s="311" t="str">
        <f t="shared" si="30"/>
        <v/>
      </c>
      <c r="D1166" s="919"/>
      <c r="E1166" s="913"/>
      <c r="F1166" s="913"/>
      <c r="G1166" s="1329"/>
      <c r="J1166" s="989"/>
    </row>
    <row r="1167" spans="1:10" ht="15" customHeight="1" x14ac:dyDescent="0.3">
      <c r="B1167" s="311" t="str">
        <f>IF(LEN('Ch7'!H405)=0,"",'Ch7'!H405)</f>
        <v/>
      </c>
      <c r="C1167" s="311" t="str">
        <f t="shared" si="30"/>
        <v/>
      </c>
      <c r="D1167" s="919"/>
      <c r="E1167" s="913"/>
      <c r="F1167" s="964" t="s">
        <v>121</v>
      </c>
      <c r="G1167" s="1329" t="s">
        <v>1162</v>
      </c>
      <c r="H1167" s="89">
        <f>'Ch7'!W405</f>
        <v>0</v>
      </c>
      <c r="J1167" s="996"/>
    </row>
    <row r="1168" spans="1:10" x14ac:dyDescent="0.3">
      <c r="B1168" s="311" t="str">
        <f>IF(LEN('Ch7'!H406)=0,"",'Ch7'!H406)</f>
        <v/>
      </c>
      <c r="C1168" s="311" t="str">
        <f t="shared" si="30"/>
        <v/>
      </c>
      <c r="D1168" s="919"/>
      <c r="E1168" s="913"/>
      <c r="F1168" s="913"/>
      <c r="G1168" s="1329"/>
      <c r="J1168" s="996"/>
    </row>
    <row r="1169" spans="2:10" x14ac:dyDescent="0.3">
      <c r="B1169" s="311" t="str">
        <f>IF(LEN('Ch7'!H407)=0,"",'Ch7'!H407)</f>
        <v/>
      </c>
      <c r="C1169" s="311" t="str">
        <f t="shared" si="30"/>
        <v/>
      </c>
      <c r="D1169" s="919"/>
      <c r="E1169" s="913"/>
      <c r="F1169" s="964" t="s">
        <v>122</v>
      </c>
      <c r="G1169" s="682" t="s">
        <v>1163</v>
      </c>
      <c r="H1169" s="89">
        <f>'Ch7'!W407</f>
        <v>0</v>
      </c>
      <c r="J1169" s="1001"/>
    </row>
    <row r="1170" spans="2:10" x14ac:dyDescent="0.3">
      <c r="B1170" s="311" t="str">
        <f>IF(LEN('Ch7'!H408)=0,"",'Ch7'!H408)</f>
        <v/>
      </c>
      <c r="C1170" s="311" t="str">
        <f t="shared" si="30"/>
        <v/>
      </c>
      <c r="D1170" s="919"/>
      <c r="E1170" s="913"/>
      <c r="F1170" s="965" t="s">
        <v>123</v>
      </c>
      <c r="G1170" s="682" t="s">
        <v>1164</v>
      </c>
      <c r="H1170" s="89">
        <f>'Ch7'!W408</f>
        <v>0</v>
      </c>
      <c r="J1170" s="1001"/>
    </row>
    <row r="1171" spans="2:10" x14ac:dyDescent="0.3">
      <c r="B1171" s="311" t="str">
        <f>IF(LEN('Ch7'!H409)=0,"",'Ch7'!H409)</f>
        <v/>
      </c>
      <c r="C1171" s="311" t="str">
        <f t="shared" si="30"/>
        <v/>
      </c>
      <c r="D1171" s="919"/>
      <c r="E1171" s="909"/>
      <c r="F1171" s="914" t="s">
        <v>423</v>
      </c>
      <c r="G1171" s="1305" t="s">
        <v>1165</v>
      </c>
      <c r="H1171" s="89">
        <f>'Ch7'!W409</f>
        <v>0</v>
      </c>
      <c r="J1171" s="1001"/>
    </row>
    <row r="1172" spans="2:10" x14ac:dyDescent="0.3">
      <c r="B1172" s="311" t="str">
        <f>IF(LEN('Ch7'!H410)=0,"",'Ch7'!H410)</f>
        <v/>
      </c>
      <c r="C1172" s="311" t="str">
        <f t="shared" si="30"/>
        <v/>
      </c>
      <c r="D1172" s="919"/>
      <c r="E1172" s="910"/>
      <c r="F1172" s="910"/>
      <c r="G1172" s="1306"/>
      <c r="J1172" s="1001"/>
    </row>
    <row r="1173" spans="2:10" x14ac:dyDescent="0.3">
      <c r="B1173" s="311" t="str">
        <f>IF(LEN('Ch7'!H411)=0,"",'Ch7'!H411)</f>
        <v/>
      </c>
      <c r="C1173" s="311" t="str">
        <f t="shared" si="30"/>
        <v/>
      </c>
      <c r="D1173" s="919"/>
      <c r="E1173" s="964" t="s">
        <v>273</v>
      </c>
      <c r="F1173" s="913"/>
      <c r="G1173" s="1329" t="s">
        <v>1166</v>
      </c>
      <c r="H1173" s="89">
        <f>'Ch7'!W411</f>
        <v>0</v>
      </c>
      <c r="J1173" s="1001"/>
    </row>
    <row r="1174" spans="2:10" x14ac:dyDescent="0.3">
      <c r="B1174" s="311" t="str">
        <f>IF(LEN('Ch7'!H412)=0,"",'Ch7'!H412)</f>
        <v/>
      </c>
      <c r="C1174" s="311" t="str">
        <f t="shared" si="30"/>
        <v/>
      </c>
      <c r="D1174" s="919"/>
      <c r="E1174" s="913"/>
      <c r="F1174" s="913"/>
      <c r="G1174" s="1329"/>
      <c r="J1174" s="1001"/>
    </row>
    <row r="1175" spans="2:10" x14ac:dyDescent="0.3">
      <c r="B1175" s="311" t="str">
        <f>IF(LEN('Ch7'!H413)=0,"",'Ch7'!H413)</f>
        <v/>
      </c>
      <c r="C1175" s="311" t="str">
        <f t="shared" si="30"/>
        <v/>
      </c>
      <c r="D1175" s="919"/>
      <c r="E1175" s="910"/>
      <c r="F1175" s="910"/>
      <c r="G1175" s="696" t="s">
        <v>1167</v>
      </c>
      <c r="J1175" s="1001"/>
    </row>
    <row r="1176" spans="2:10" x14ac:dyDescent="0.3">
      <c r="B1176" s="311" t="str">
        <f>IF(LEN('Ch7'!H414)=0,"",'Ch7'!H414)</f>
        <v/>
      </c>
      <c r="C1176" s="311" t="str">
        <f t="shared" si="30"/>
        <v/>
      </c>
      <c r="D1176" s="919"/>
      <c r="E1176" s="969" t="s">
        <v>275</v>
      </c>
      <c r="F1176" s="364"/>
      <c r="G1176" s="365" t="s">
        <v>1168</v>
      </c>
      <c r="H1176" s="89">
        <f>'Ch7'!W414</f>
        <v>0</v>
      </c>
      <c r="J1176" s="1001"/>
    </row>
    <row r="1177" spans="2:10" x14ac:dyDescent="0.3">
      <c r="B1177" s="311" t="str">
        <f>IF(LEN('Ch7'!H415)=0,"",'Ch7'!H415)</f>
        <v/>
      </c>
      <c r="C1177" s="311" t="str">
        <f t="shared" si="30"/>
        <v/>
      </c>
      <c r="D1177" s="919"/>
      <c r="E1177" s="968" t="s">
        <v>285</v>
      </c>
      <c r="F1177" s="915"/>
      <c r="G1177" s="1356" t="s">
        <v>1169</v>
      </c>
      <c r="H1177" s="89">
        <f>'Ch7'!W415</f>
        <v>0</v>
      </c>
      <c r="J1177" s="1001"/>
    </row>
    <row r="1178" spans="2:10" x14ac:dyDescent="0.3">
      <c r="B1178" s="311" t="str">
        <f>IF(LEN('Ch7'!H416)=0,"",'Ch7'!H416)</f>
        <v/>
      </c>
      <c r="C1178" s="311" t="str">
        <f t="shared" si="30"/>
        <v/>
      </c>
      <c r="D1178" s="919"/>
      <c r="E1178" s="910"/>
      <c r="F1178" s="910"/>
      <c r="G1178" s="1306"/>
      <c r="J1178" s="1001"/>
    </row>
    <row r="1179" spans="2:10" x14ac:dyDescent="0.3">
      <c r="B1179" s="311" t="str">
        <f>IF(LEN('Ch7'!H417)=0,"",'Ch7'!H417)</f>
        <v/>
      </c>
      <c r="C1179" s="311" t="str">
        <f t="shared" si="30"/>
        <v/>
      </c>
      <c r="D1179" s="919"/>
      <c r="E1179" s="964" t="s">
        <v>291</v>
      </c>
      <c r="F1179" s="913"/>
      <c r="G1179" s="1329" t="s">
        <v>1170</v>
      </c>
      <c r="J1179" s="1001"/>
    </row>
    <row r="1180" spans="2:10" x14ac:dyDescent="0.3">
      <c r="B1180" s="311" t="str">
        <f>IF(LEN('Ch7'!H418)=0,"",'Ch7'!H418)</f>
        <v/>
      </c>
      <c r="C1180" s="311" t="str">
        <f t="shared" si="30"/>
        <v/>
      </c>
      <c r="D1180" s="919"/>
      <c r="E1180" s="913"/>
      <c r="F1180" s="913"/>
      <c r="G1180" s="1329"/>
      <c r="J1180" s="1001"/>
    </row>
    <row r="1181" spans="2:10" x14ac:dyDescent="0.3">
      <c r="B1181" s="311" t="str">
        <f>IF(LEN('Ch7'!H419)=0,"",'Ch7'!H419)</f>
        <v/>
      </c>
      <c r="C1181" s="311" t="str">
        <f t="shared" si="30"/>
        <v/>
      </c>
      <c r="D1181" s="919"/>
      <c r="E1181" s="913"/>
      <c r="F1181" s="913"/>
      <c r="G1181" s="1329"/>
      <c r="J1181" s="1001"/>
    </row>
    <row r="1182" spans="2:10" x14ac:dyDescent="0.3">
      <c r="B1182" s="311" t="str">
        <f>IF(LEN('Ch7'!H420)=0,"",'Ch7'!H420)</f>
        <v/>
      </c>
      <c r="C1182" s="311" t="str">
        <f t="shared" si="30"/>
        <v/>
      </c>
      <c r="D1182" s="919"/>
      <c r="E1182" s="913"/>
      <c r="F1182" s="964" t="s">
        <v>121</v>
      </c>
      <c r="G1182" s="1329" t="s">
        <v>1171</v>
      </c>
      <c r="H1182" s="89">
        <f>'Ch7'!W420</f>
        <v>0</v>
      </c>
      <c r="J1182" s="1001"/>
    </row>
    <row r="1183" spans="2:10" x14ac:dyDescent="0.3">
      <c r="B1183" s="311" t="str">
        <f>IF(LEN('Ch7'!H421)=0,"",'Ch7'!H421)</f>
        <v/>
      </c>
      <c r="C1183" s="311" t="str">
        <f t="shared" si="30"/>
        <v/>
      </c>
      <c r="D1183" s="919"/>
      <c r="E1183" s="913"/>
      <c r="F1183" s="913"/>
      <c r="G1183" s="1329"/>
      <c r="J1183" s="1001"/>
    </row>
    <row r="1184" spans="2:10" x14ac:dyDescent="0.3">
      <c r="B1184" s="311" t="str">
        <f>IF(LEN('Ch7'!H422)=0,"",'Ch7'!H422)</f>
        <v/>
      </c>
      <c r="C1184" s="311" t="str">
        <f t="shared" si="30"/>
        <v/>
      </c>
      <c r="D1184" s="919"/>
      <c r="E1184" s="909"/>
      <c r="F1184" s="961" t="s">
        <v>122</v>
      </c>
      <c r="G1184" s="1305" t="s">
        <v>1172</v>
      </c>
      <c r="H1184" s="89">
        <f>'Ch7'!W422</f>
        <v>0</v>
      </c>
      <c r="J1184" s="1001"/>
    </row>
    <row r="1185" spans="1:10" x14ac:dyDescent="0.3">
      <c r="B1185" s="311" t="str">
        <f>IF(LEN('Ch7'!H423)=0,"",'Ch7'!H423)</f>
        <v/>
      </c>
      <c r="C1185" s="311" t="str">
        <f t="shared" si="30"/>
        <v/>
      </c>
      <c r="D1185" s="919"/>
      <c r="E1185" s="910"/>
      <c r="F1185" s="910"/>
      <c r="G1185" s="1306"/>
      <c r="J1185" s="1001"/>
    </row>
    <row r="1186" spans="1:10" x14ac:dyDescent="0.3">
      <c r="B1186" s="311" t="str">
        <f>IF(LEN('Ch7'!H424)=0,"",'Ch7'!H424)</f>
        <v/>
      </c>
      <c r="C1186" s="311" t="str">
        <f t="shared" si="30"/>
        <v/>
      </c>
      <c r="D1186" s="204"/>
      <c r="E1186" s="961" t="s">
        <v>293</v>
      </c>
      <c r="F1186" s="909"/>
      <c r="G1186" s="1305" t="s">
        <v>1173</v>
      </c>
      <c r="H1186" s="89">
        <f>'Ch7'!W424</f>
        <v>0</v>
      </c>
      <c r="J1186" s="1001"/>
    </row>
    <row r="1187" spans="1:10" x14ac:dyDescent="0.3">
      <c r="B1187" s="311" t="str">
        <f>IF(LEN('Ch7'!H425)=0,"",'Ch7'!H425)</f>
        <v/>
      </c>
      <c r="C1187" s="311" t="str">
        <f t="shared" si="30"/>
        <v/>
      </c>
      <c r="D1187" s="232"/>
      <c r="E1187" s="910"/>
      <c r="F1187" s="910"/>
      <c r="G1187" s="1306"/>
      <c r="J1187" s="1001"/>
    </row>
    <row r="1188" spans="1:10" ht="15" customHeight="1" x14ac:dyDescent="0.3">
      <c r="A1188" s="727" t="str">
        <f>IF(AND(LEN('Ch7'!W426)&gt;0,NOT('Ch7'!W426=FALSE)),"P","")</f>
        <v/>
      </c>
      <c r="B1188" s="311" t="str">
        <f>IF(LEN('Ch7'!H426)=0,"",'Ch7'!H426)</f>
        <v/>
      </c>
      <c r="C1188" s="311" t="str">
        <f t="shared" si="30"/>
        <v/>
      </c>
      <c r="D1188" s="929" t="s">
        <v>1174</v>
      </c>
      <c r="E1188" s="915"/>
      <c r="F1188" s="915"/>
      <c r="G1188" s="1456" t="s">
        <v>1175</v>
      </c>
      <c r="H1188" s="89">
        <f>'Ch7'!W426</f>
        <v>0</v>
      </c>
      <c r="I1188" s="89">
        <f ca="1">'Ch7'!O426</f>
        <v>0</v>
      </c>
      <c r="J1188" s="1443" t="s">
        <v>4285</v>
      </c>
    </row>
    <row r="1189" spans="1:10" x14ac:dyDescent="0.3">
      <c r="A1189" s="727" t="str">
        <f>A1188</f>
        <v/>
      </c>
      <c r="B1189" s="311" t="str">
        <f>IF(LEN('Ch7'!H427)=0,"",'Ch7'!H427)</f>
        <v/>
      </c>
      <c r="C1189" s="311" t="str">
        <f t="shared" si="30"/>
        <v/>
      </c>
      <c r="D1189" s="204"/>
      <c r="E1189" s="909"/>
      <c r="F1189" s="909"/>
      <c r="G1189" s="1342"/>
      <c r="J1189" s="1443"/>
    </row>
    <row r="1190" spans="1:10" x14ac:dyDescent="0.3">
      <c r="B1190" s="311" t="str">
        <f>IF(LEN('Ch7'!H428)=0,"",'Ch7'!H428)</f>
        <v/>
      </c>
      <c r="C1190" s="311" t="str">
        <f t="shared" si="30"/>
        <v/>
      </c>
      <c r="D1190" s="919"/>
      <c r="E1190" s="913"/>
      <c r="F1190" s="913"/>
      <c r="G1190" s="682" t="s">
        <v>1176</v>
      </c>
      <c r="J1190" s="1001"/>
    </row>
    <row r="1191" spans="1:10" x14ac:dyDescent="0.3">
      <c r="B1191" s="311" t="str">
        <f>IF(LEN('Ch7'!H429)=0,"",'Ch7'!H429)</f>
        <v/>
      </c>
      <c r="C1191" s="311" t="str">
        <f t="shared" si="30"/>
        <v/>
      </c>
      <c r="D1191" s="919"/>
      <c r="E1191" s="961" t="s">
        <v>271</v>
      </c>
      <c r="F1191" s="909"/>
      <c r="G1191" s="1305" t="s">
        <v>1177</v>
      </c>
      <c r="J1191" s="1001"/>
    </row>
    <row r="1192" spans="1:10" x14ac:dyDescent="0.3">
      <c r="B1192" s="311" t="str">
        <f>IF(LEN('Ch7'!H430)=0,"",'Ch7'!H430)</f>
        <v/>
      </c>
      <c r="C1192" s="311" t="str">
        <f t="shared" si="30"/>
        <v/>
      </c>
      <c r="D1192" s="919"/>
      <c r="E1192" s="910"/>
      <c r="F1192" s="910"/>
      <c r="G1192" s="1306"/>
      <c r="J1192" s="1001"/>
    </row>
    <row r="1193" spans="1:10" x14ac:dyDescent="0.3">
      <c r="B1193" s="311" t="str">
        <f>IF(LEN('Ch7'!H431)=0,"",'Ch7'!H431)</f>
        <v/>
      </c>
      <c r="C1193" s="311" t="str">
        <f t="shared" si="30"/>
        <v/>
      </c>
      <c r="D1193" s="919"/>
      <c r="E1193" s="964" t="s">
        <v>273</v>
      </c>
      <c r="F1193" s="913"/>
      <c r="G1193" s="1367" t="s">
        <v>1178</v>
      </c>
      <c r="J1193" s="1001"/>
    </row>
    <row r="1194" spans="1:10" x14ac:dyDescent="0.3">
      <c r="B1194" s="311" t="str">
        <f>IF(LEN('Ch7'!H432)=0,"",'Ch7'!H432)</f>
        <v/>
      </c>
      <c r="C1194" s="311" t="str">
        <f t="shared" si="30"/>
        <v/>
      </c>
      <c r="D1194" s="919"/>
      <c r="E1194" s="913"/>
      <c r="F1194" s="913"/>
      <c r="G1194" s="1367"/>
      <c r="J1194" s="1001"/>
    </row>
    <row r="1195" spans="1:10" x14ac:dyDescent="0.3">
      <c r="B1195" s="311" t="str">
        <f>IF(LEN('Ch7'!H433)=0,"",'Ch7'!H433)</f>
        <v/>
      </c>
      <c r="C1195" s="311" t="str">
        <f t="shared" si="30"/>
        <v/>
      </c>
      <c r="D1195" s="919"/>
      <c r="E1195" s="913"/>
      <c r="F1195" s="961" t="s">
        <v>121</v>
      </c>
      <c r="G1195" s="1305" t="s">
        <v>1179</v>
      </c>
      <c r="J1195" s="1001"/>
    </row>
    <row r="1196" spans="1:10" x14ac:dyDescent="0.3">
      <c r="B1196" s="311" t="str">
        <f>IF(LEN('Ch7'!H434)=0,"",'Ch7'!H434)</f>
        <v/>
      </c>
      <c r="C1196" s="311" t="str">
        <f t="shared" si="30"/>
        <v/>
      </c>
      <c r="D1196" s="919"/>
      <c r="E1196" s="913"/>
      <c r="F1196" s="909"/>
      <c r="G1196" s="1305"/>
      <c r="J1196" s="1001"/>
    </row>
    <row r="1197" spans="1:10" x14ac:dyDescent="0.3">
      <c r="B1197" s="311" t="str">
        <f>IF(LEN('Ch7'!H435)=0,"",'Ch7'!H435)</f>
        <v/>
      </c>
      <c r="C1197" s="311" t="str">
        <f t="shared" si="30"/>
        <v/>
      </c>
      <c r="D1197" s="919"/>
      <c r="E1197" s="913"/>
      <c r="F1197" s="910"/>
      <c r="G1197" s="1306"/>
      <c r="J1197" s="1001"/>
    </row>
    <row r="1198" spans="1:10" x14ac:dyDescent="0.3">
      <c r="B1198" s="311" t="str">
        <f>IF(LEN('Ch7'!H436)=0,"",'Ch7'!H436)</f>
        <v/>
      </c>
      <c r="C1198" s="311" t="str">
        <f t="shared" si="30"/>
        <v/>
      </c>
      <c r="D1198" s="919"/>
      <c r="E1198" s="913"/>
      <c r="F1198" s="964" t="s">
        <v>122</v>
      </c>
      <c r="G1198" s="1329" t="s">
        <v>1180</v>
      </c>
      <c r="J1198" s="1001"/>
    </row>
    <row r="1199" spans="1:10" x14ac:dyDescent="0.3">
      <c r="B1199" s="311" t="str">
        <f>IF(LEN('Ch7'!H437)=0,"",'Ch7'!H437)</f>
        <v/>
      </c>
      <c r="C1199" s="311" t="str">
        <f t="shared" si="30"/>
        <v/>
      </c>
      <c r="D1199" s="919"/>
      <c r="E1199" s="913"/>
      <c r="F1199" s="913"/>
      <c r="G1199" s="1329"/>
      <c r="J1199" s="1001"/>
    </row>
    <row r="1200" spans="1:10" x14ac:dyDescent="0.3">
      <c r="B1200" s="311" t="str">
        <f>IF(LEN('Ch7'!H438)=0,"",'Ch7'!H438)</f>
        <v/>
      </c>
      <c r="C1200" s="311" t="str">
        <f t="shared" si="30"/>
        <v/>
      </c>
      <c r="D1200" s="919"/>
      <c r="E1200" s="913"/>
      <c r="F1200" s="912" t="s">
        <v>985</v>
      </c>
      <c r="G1200" s="1329" t="s">
        <v>1181</v>
      </c>
      <c r="J1200" s="1001"/>
    </row>
    <row r="1201" spans="1:10" x14ac:dyDescent="0.3">
      <c r="B1201" s="311" t="str">
        <f>IF(LEN('Ch7'!H439)=0,"",'Ch7'!H439)</f>
        <v/>
      </c>
      <c r="C1201" s="311" t="str">
        <f t="shared" si="30"/>
        <v/>
      </c>
      <c r="D1201" s="919"/>
      <c r="E1201" s="913"/>
      <c r="F1201" s="913"/>
      <c r="G1201" s="1329"/>
      <c r="J1201" s="1001"/>
    </row>
    <row r="1202" spans="1:10" x14ac:dyDescent="0.3">
      <c r="B1202" s="311" t="str">
        <f>IF(LEN('Ch7'!H440)=0,"",'Ch7'!H440)</f>
        <v/>
      </c>
      <c r="C1202" s="311" t="str">
        <f t="shared" si="30"/>
        <v/>
      </c>
      <c r="D1202" s="919"/>
      <c r="E1202" s="913"/>
      <c r="F1202" s="912" t="s">
        <v>1182</v>
      </c>
      <c r="G1202" s="1329" t="s">
        <v>1183</v>
      </c>
      <c r="J1202" s="1001"/>
    </row>
    <row r="1203" spans="1:10" x14ac:dyDescent="0.3">
      <c r="B1203" s="311" t="str">
        <f>IF(LEN('Ch7'!H441)=0,"",'Ch7'!H441)</f>
        <v/>
      </c>
      <c r="C1203" s="311" t="str">
        <f t="shared" si="30"/>
        <v/>
      </c>
      <c r="D1203" s="919"/>
      <c r="E1203" s="913"/>
      <c r="F1203" s="913"/>
      <c r="G1203" s="1329"/>
      <c r="J1203" s="1001"/>
    </row>
    <row r="1204" spans="1:10" x14ac:dyDescent="0.3">
      <c r="B1204" s="311" t="str">
        <f>IF(LEN('Ch7'!H442)=0,"",'Ch7'!H442)</f>
        <v/>
      </c>
      <c r="C1204" s="311" t="str">
        <f t="shared" si="30"/>
        <v/>
      </c>
      <c r="D1204" s="919"/>
      <c r="E1204" s="913"/>
      <c r="F1204" s="914" t="s">
        <v>1184</v>
      </c>
      <c r="G1204" s="1305" t="s">
        <v>1185</v>
      </c>
      <c r="J1204" s="1001"/>
    </row>
    <row r="1205" spans="1:10" x14ac:dyDescent="0.3">
      <c r="B1205" s="311" t="str">
        <f>IF(LEN('Ch7'!H443)=0,"",'Ch7'!H443)</f>
        <v/>
      </c>
      <c r="C1205" s="311" t="str">
        <f t="shared" si="30"/>
        <v/>
      </c>
      <c r="D1205" s="919"/>
      <c r="E1205" s="913"/>
      <c r="F1205" s="910"/>
      <c r="G1205" s="1306"/>
      <c r="J1205" s="1001"/>
    </row>
    <row r="1206" spans="1:10" x14ac:dyDescent="0.3">
      <c r="B1206" s="311" t="str">
        <f>IF(LEN('Ch7'!H444)=0,"",'Ch7'!H444)</f>
        <v/>
      </c>
      <c r="C1206" s="311" t="str">
        <f t="shared" si="30"/>
        <v/>
      </c>
      <c r="D1206" s="919"/>
      <c r="E1206" s="909"/>
      <c r="F1206" s="961" t="s">
        <v>123</v>
      </c>
      <c r="G1206" s="1305" t="s">
        <v>1186</v>
      </c>
      <c r="J1206" s="1001"/>
    </row>
    <row r="1207" spans="1:10" x14ac:dyDescent="0.3">
      <c r="B1207" s="311" t="str">
        <f>IF(LEN('Ch7'!H445)=0,"",'Ch7'!H445)</f>
        <v/>
      </c>
      <c r="C1207" s="311" t="str">
        <f t="shared" si="30"/>
        <v/>
      </c>
      <c r="D1207" s="919"/>
      <c r="E1207" s="909"/>
      <c r="F1207" s="909"/>
      <c r="G1207" s="1305"/>
      <c r="J1207" s="1001"/>
    </row>
    <row r="1208" spans="1:10" x14ac:dyDescent="0.3">
      <c r="B1208" s="311" t="str">
        <f>IF(LEN('Ch7'!H446)=0,"",'Ch7'!H446)</f>
        <v/>
      </c>
      <c r="C1208" s="311" t="str">
        <f t="shared" si="30"/>
        <v/>
      </c>
      <c r="D1208" s="919"/>
      <c r="E1208" s="910"/>
      <c r="F1208" s="910"/>
      <c r="G1208" s="1306"/>
      <c r="J1208" s="1001"/>
    </row>
    <row r="1209" spans="1:10" x14ac:dyDescent="0.3">
      <c r="B1209" s="311" t="str">
        <f>IF(LEN('Ch7'!H447)=0,"",'Ch7'!H447)</f>
        <v/>
      </c>
      <c r="C1209" s="311" t="str">
        <f t="shared" si="30"/>
        <v/>
      </c>
      <c r="D1209" s="919"/>
      <c r="E1209" s="964" t="s">
        <v>275</v>
      </c>
      <c r="F1209" s="913"/>
      <c r="G1209" s="1329" t="s">
        <v>1187</v>
      </c>
      <c r="J1209" s="1001"/>
    </row>
    <row r="1210" spans="1:10" x14ac:dyDescent="0.3">
      <c r="B1210" s="311" t="str">
        <f>IF(LEN('Ch7'!H448)=0,"",'Ch7'!H448)</f>
        <v/>
      </c>
      <c r="C1210" s="311" t="str">
        <f t="shared" si="30"/>
        <v/>
      </c>
      <c r="D1210" s="919"/>
      <c r="E1210" s="913"/>
      <c r="F1210" s="913"/>
      <c r="G1210" s="1329"/>
      <c r="J1210" s="1001"/>
    </row>
    <row r="1211" spans="1:10" ht="18" x14ac:dyDescent="0.3">
      <c r="A1211" s="727" t="s">
        <v>4389</v>
      </c>
      <c r="B1211" s="311" t="str">
        <f>IF(LEN('Ch7'!H449)=0,"",'Ch7'!H449)</f>
        <v/>
      </c>
      <c r="C1211" s="311" t="str">
        <f t="shared" si="30"/>
        <v>P</v>
      </c>
      <c r="D1211" s="72" t="s">
        <v>1188</v>
      </c>
      <c r="E1211" s="258"/>
      <c r="F1211" s="258"/>
      <c r="G1211" s="87"/>
      <c r="J1211" s="1000"/>
    </row>
    <row r="1212" spans="1:10" x14ac:dyDescent="0.3">
      <c r="B1212" s="311" t="str">
        <f>IF(LEN('Ch7'!H450)=0,"",'Ch7'!H450)</f>
        <v/>
      </c>
      <c r="C1212" s="311" t="str">
        <f t="shared" si="30"/>
        <v/>
      </c>
      <c r="D1212" s="106">
        <v>704.1</v>
      </c>
      <c r="E1212" s="909"/>
      <c r="F1212" s="909"/>
      <c r="G1212" s="1313" t="s">
        <v>1189</v>
      </c>
      <c r="I1212" s="89">
        <f>'Ch7'!O450</f>
        <v>0</v>
      </c>
      <c r="J1212" s="989"/>
    </row>
    <row r="1213" spans="1:10" x14ac:dyDescent="0.3">
      <c r="B1213" s="311" t="str">
        <f>IF(LEN('Ch7'!H451)=0,"",'Ch7'!H451)</f>
        <v/>
      </c>
      <c r="C1213" s="311" t="str">
        <f t="shared" si="30"/>
        <v/>
      </c>
      <c r="D1213" s="204"/>
      <c r="E1213" s="909"/>
      <c r="F1213" s="909"/>
      <c r="G1213" s="1313"/>
      <c r="J1213" s="989"/>
    </row>
    <row r="1214" spans="1:10" x14ac:dyDescent="0.3">
      <c r="B1214" s="311" t="str">
        <f>IF(LEN('Ch7'!H452)=0,"",'Ch7'!H452)</f>
        <v/>
      </c>
      <c r="C1214" s="311" t="str">
        <f t="shared" si="30"/>
        <v/>
      </c>
      <c r="D1214" s="204"/>
      <c r="E1214" s="909"/>
      <c r="F1214" s="909"/>
      <c r="G1214" s="1313"/>
      <c r="J1214" s="989"/>
    </row>
    <row r="1215" spans="1:10" x14ac:dyDescent="0.3">
      <c r="B1215" s="311" t="str">
        <f>IF(LEN('Ch7'!H453)=0,"",'Ch7'!H453)</f>
        <v/>
      </c>
      <c r="C1215" s="311" t="str">
        <f t="shared" si="30"/>
        <v/>
      </c>
      <c r="D1215" s="232"/>
      <c r="E1215" s="910"/>
      <c r="F1215" s="910"/>
      <c r="G1215" s="1350"/>
      <c r="J1215" s="989"/>
    </row>
    <row r="1216" spans="1:10" x14ac:dyDescent="0.3">
      <c r="A1216" s="727" t="str">
        <f>IF(AND(LEN('Ch7'!W454)&gt;0,NOT('Ch7'!W454=FALSE)),"P","")</f>
        <v/>
      </c>
      <c r="B1216" s="311" t="str">
        <f>IF(LEN('Ch7'!H454)=0,"",'Ch7'!H454)</f>
        <v/>
      </c>
      <c r="C1216" s="311" t="str">
        <f t="shared" si="30"/>
        <v/>
      </c>
      <c r="D1216" s="152">
        <v>704.2</v>
      </c>
      <c r="E1216" s="913"/>
      <c r="F1216" s="913"/>
      <c r="G1216" s="1292" t="s">
        <v>1190</v>
      </c>
      <c r="H1216" s="89">
        <f>'Ch7'!W454</f>
        <v>0</v>
      </c>
      <c r="J1216" s="1439" t="s">
        <v>4413</v>
      </c>
    </row>
    <row r="1217" spans="1:10" x14ac:dyDescent="0.3">
      <c r="A1217" s="727" t="str">
        <f>A1216</f>
        <v/>
      </c>
      <c r="B1217" s="311" t="str">
        <f>IF(LEN('Ch7'!H455)=0,"",'Ch7'!H455)</f>
        <v/>
      </c>
      <c r="C1217" s="311" t="str">
        <f t="shared" si="30"/>
        <v/>
      </c>
      <c r="D1217" s="919"/>
      <c r="E1217" s="913"/>
      <c r="F1217" s="913"/>
      <c r="G1217" s="1292"/>
      <c r="J1217" s="1439"/>
    </row>
    <row r="1218" spans="1:10" x14ac:dyDescent="0.3">
      <c r="A1218" s="727" t="str">
        <f>A1217</f>
        <v/>
      </c>
      <c r="B1218" s="311" t="str">
        <f>IF(LEN('Ch7'!H456)=0,"",'Ch7'!H456)</f>
        <v/>
      </c>
      <c r="C1218" s="311" t="str">
        <f t="shared" si="30"/>
        <v/>
      </c>
      <c r="D1218" s="919"/>
      <c r="E1218" s="913"/>
      <c r="F1218" s="913"/>
      <c r="G1218" s="1292"/>
      <c r="J1218" s="1439"/>
    </row>
    <row r="1219" spans="1:10" x14ac:dyDescent="0.3">
      <c r="B1219" s="311" t="str">
        <f>IF(LEN('Ch7'!H457)=0,"",'Ch7'!H457)</f>
        <v/>
      </c>
      <c r="C1219" s="311" t="str">
        <f t="shared" si="30"/>
        <v/>
      </c>
      <c r="D1219" s="919"/>
      <c r="E1219" s="913"/>
      <c r="F1219" s="913"/>
      <c r="G1219" s="668" t="s">
        <v>3868</v>
      </c>
      <c r="J1219" s="989"/>
    </row>
    <row r="1220" spans="1:10" ht="18" x14ac:dyDescent="0.3">
      <c r="A1220" s="727" t="s">
        <v>4389</v>
      </c>
      <c r="B1220" s="311" t="str">
        <f>IF(LEN('Ch7'!H458)=0,"",'Ch7'!H458)</f>
        <v/>
      </c>
      <c r="C1220" s="311" t="str">
        <f t="shared" si="30"/>
        <v>P</v>
      </c>
      <c r="D1220" s="72" t="s">
        <v>1191</v>
      </c>
      <c r="E1220" s="258"/>
      <c r="F1220" s="258"/>
      <c r="G1220" s="87"/>
      <c r="J1220" s="1000"/>
    </row>
    <row r="1221" spans="1:10" x14ac:dyDescent="0.3">
      <c r="A1221" s="1196" t="str">
        <f>IF(COUNTIF(A1222:A1251,"P")&gt;0,"P","")</f>
        <v/>
      </c>
      <c r="B1221" s="311" t="str">
        <f>IF(LEN('Ch7'!H459)=0,"",'Ch7'!H459)</f>
        <v/>
      </c>
      <c r="C1221" s="311" t="str">
        <f t="shared" si="30"/>
        <v/>
      </c>
      <c r="D1221" s="152">
        <v>705.2</v>
      </c>
      <c r="E1221" s="913"/>
      <c r="F1221" s="913"/>
      <c r="G1221" s="687" t="s">
        <v>1192</v>
      </c>
      <c r="J1221" s="989"/>
    </row>
    <row r="1222" spans="1:10" x14ac:dyDescent="0.3">
      <c r="A1222" s="1196" t="str">
        <f>IF(COUNTIF(A1225:A1241,"P")&gt;0,"P","")</f>
        <v/>
      </c>
      <c r="B1222" s="311" t="str">
        <f>IF(LEN('Ch7'!H460)=0,"",'Ch7'!H460)</f>
        <v/>
      </c>
      <c r="C1222" s="311" t="str">
        <f t="shared" si="30"/>
        <v/>
      </c>
      <c r="D1222" s="152" t="s">
        <v>1193</v>
      </c>
      <c r="E1222" s="913"/>
      <c r="F1222" s="913"/>
      <c r="G1222" s="687" t="s">
        <v>1194</v>
      </c>
      <c r="J1222" s="989"/>
    </row>
    <row r="1223" spans="1:10" x14ac:dyDescent="0.3">
      <c r="B1223" s="311" t="str">
        <f>IF(LEN('Ch7'!H461)=0,"",'Ch7'!H461)</f>
        <v/>
      </c>
      <c r="C1223" s="311" t="str">
        <f t="shared" si="30"/>
        <v/>
      </c>
      <c r="D1223" s="152"/>
      <c r="E1223" s="913"/>
      <c r="F1223" s="913"/>
      <c r="G1223" s="1404" t="s">
        <v>1195</v>
      </c>
      <c r="J1223" s="989"/>
    </row>
    <row r="1224" spans="1:10" x14ac:dyDescent="0.3">
      <c r="B1224" s="311" t="str">
        <f>IF(LEN('Ch7'!H462)=0,"",'Ch7'!H462)</f>
        <v/>
      </c>
      <c r="C1224" s="311" t="str">
        <f t="shared" ref="C1224:C1287" si="31">IF(LEN(B1224)=0,IF(A1224="P","P",""),B1224)</f>
        <v/>
      </c>
      <c r="D1224" s="152"/>
      <c r="E1224" s="913"/>
      <c r="F1224" s="913"/>
      <c r="G1224" s="1404"/>
      <c r="J1224" s="989"/>
    </row>
    <row r="1225" spans="1:10" x14ac:dyDescent="0.3">
      <c r="A1225" s="727" t="str">
        <f>IF(AND(LEN('Ch7'!W463)&gt;0,NOT('Ch7'!W463=FALSE)),"P","")</f>
        <v/>
      </c>
      <c r="B1225" s="311" t="str">
        <f>IF(LEN('Ch7'!H463)=0,"",'Ch7'!H463)</f>
        <v/>
      </c>
      <c r="C1225" s="311" t="str">
        <f t="shared" si="31"/>
        <v/>
      </c>
      <c r="D1225" s="152" t="s">
        <v>1196</v>
      </c>
      <c r="E1225" s="913"/>
      <c r="F1225" s="913"/>
      <c r="G1225" s="1292" t="s">
        <v>1197</v>
      </c>
      <c r="H1225" s="89">
        <f>'Ch7'!W463</f>
        <v>0</v>
      </c>
      <c r="I1225" s="89">
        <f ca="1">'Ch7'!O463</f>
        <v>0</v>
      </c>
      <c r="J1225" s="1439" t="s">
        <v>4226</v>
      </c>
    </row>
    <row r="1226" spans="1:10" x14ac:dyDescent="0.3">
      <c r="A1226" s="727" t="str">
        <f>A1225</f>
        <v/>
      </c>
      <c r="B1226" s="311" t="str">
        <f>IF(LEN('Ch7'!H464)=0,"",'Ch7'!H464)</f>
        <v/>
      </c>
      <c r="C1226" s="311" t="str">
        <f t="shared" si="31"/>
        <v/>
      </c>
      <c r="D1226" s="919"/>
      <c r="E1226" s="913"/>
      <c r="F1226" s="913"/>
      <c r="G1226" s="1292"/>
      <c r="J1226" s="1439"/>
    </row>
    <row r="1227" spans="1:10" x14ac:dyDescent="0.3">
      <c r="B1227" s="311" t="str">
        <f>IF(LEN('Ch7'!H465)=0,"",'Ch7'!H465)</f>
        <v/>
      </c>
      <c r="C1227" s="311" t="str">
        <f t="shared" si="31"/>
        <v/>
      </c>
      <c r="D1227" s="919"/>
      <c r="E1227" s="962" t="s">
        <v>271</v>
      </c>
      <c r="F1227" s="910"/>
      <c r="G1227" s="676" t="s">
        <v>1198</v>
      </c>
      <c r="J1227" s="989"/>
    </row>
    <row r="1228" spans="1:10" x14ac:dyDescent="0.3">
      <c r="B1228" s="311" t="str">
        <f>IF(LEN('Ch7'!H466)=0,"",'Ch7'!H466)</f>
        <v/>
      </c>
      <c r="C1228" s="311" t="str">
        <f t="shared" si="31"/>
        <v/>
      </c>
      <c r="D1228" s="232"/>
      <c r="E1228" s="962" t="s">
        <v>273</v>
      </c>
      <c r="F1228" s="910"/>
      <c r="G1228" s="676" t="s">
        <v>1199</v>
      </c>
      <c r="J1228" s="989"/>
    </row>
    <row r="1229" spans="1:10" x14ac:dyDescent="0.3">
      <c r="A1229" s="727" t="str">
        <f>IF(AND(LEN('Ch7'!W467)&gt;0,NOT('Ch7'!W467=FALSE)),"P","")</f>
        <v/>
      </c>
      <c r="B1229" s="311" t="str">
        <f>IF(LEN('Ch7'!H467)=0,"",'Ch7'!H467)</f>
        <v/>
      </c>
      <c r="C1229" s="311" t="str">
        <f t="shared" si="31"/>
        <v/>
      </c>
      <c r="D1229" s="929" t="s">
        <v>1200</v>
      </c>
      <c r="E1229" s="968"/>
      <c r="F1229" s="915"/>
      <c r="G1229" s="1364" t="s">
        <v>1201</v>
      </c>
      <c r="H1229" s="89">
        <f>'Ch7'!W467</f>
        <v>0</v>
      </c>
      <c r="I1229" s="89">
        <f>'Ch7'!O467</f>
        <v>0</v>
      </c>
      <c r="J1229" s="1439" t="s">
        <v>4226</v>
      </c>
    </row>
    <row r="1230" spans="1:10" x14ac:dyDescent="0.3">
      <c r="A1230" s="727" t="str">
        <f>A1229</f>
        <v/>
      </c>
      <c r="B1230" s="311" t="str">
        <f>IF(LEN('Ch7'!H468)=0,"",'Ch7'!H468)</f>
        <v/>
      </c>
      <c r="C1230" s="311" t="str">
        <f t="shared" si="31"/>
        <v/>
      </c>
      <c r="D1230" s="232"/>
      <c r="E1230" s="910"/>
      <c r="F1230" s="910"/>
      <c r="G1230" s="1350"/>
      <c r="J1230" s="1439"/>
    </row>
    <row r="1231" spans="1:10" x14ac:dyDescent="0.3">
      <c r="A1231" s="1196" t="str">
        <f>IF(COUNTIF(A1232:A1236,"P")&gt;0,"P","")</f>
        <v/>
      </c>
      <c r="B1231" s="311" t="str">
        <f>IF(LEN('Ch7'!H469)=0,"",'Ch7'!H469)</f>
        <v/>
      </c>
      <c r="C1231" s="311" t="str">
        <f t="shared" si="31"/>
        <v/>
      </c>
      <c r="D1231" s="152" t="s">
        <v>1202</v>
      </c>
      <c r="E1231" s="913"/>
      <c r="F1231" s="913"/>
      <c r="G1231" s="687" t="s">
        <v>1203</v>
      </c>
      <c r="J1231" s="989"/>
    </row>
    <row r="1232" spans="1:10" x14ac:dyDescent="0.3">
      <c r="A1232" s="727" t="str">
        <f>IF(AND(LEN('Ch7'!W470)&gt;0,NOT('Ch7'!W470=FALSE)),"P","")</f>
        <v/>
      </c>
      <c r="B1232" s="311" t="str">
        <f>IF(LEN('Ch7'!H470)=0,"",'Ch7'!H470)</f>
        <v/>
      </c>
      <c r="C1232" s="311" t="str">
        <f t="shared" si="31"/>
        <v/>
      </c>
      <c r="D1232" s="919"/>
      <c r="E1232" s="964" t="s">
        <v>271</v>
      </c>
      <c r="F1232" s="913"/>
      <c r="G1232" s="1329" t="s">
        <v>1204</v>
      </c>
      <c r="H1232" s="89">
        <f>'Ch7'!W470</f>
        <v>0</v>
      </c>
      <c r="I1232" s="89">
        <f ca="1">'Ch7'!O470</f>
        <v>0</v>
      </c>
      <c r="J1232" s="1443" t="s">
        <v>4226</v>
      </c>
    </row>
    <row r="1233" spans="1:10" x14ac:dyDescent="0.3">
      <c r="A1233" s="727" t="str">
        <f>A1232</f>
        <v/>
      </c>
      <c r="B1233" s="311" t="str">
        <f>IF(LEN('Ch7'!H471)=0,"",'Ch7'!H471)</f>
        <v/>
      </c>
      <c r="C1233" s="311" t="str">
        <f t="shared" si="31"/>
        <v/>
      </c>
      <c r="D1233" s="919"/>
      <c r="E1233" s="913"/>
      <c r="F1233" s="913"/>
      <c r="G1233" s="1329"/>
      <c r="J1233" s="1443"/>
    </row>
    <row r="1234" spans="1:10" x14ac:dyDescent="0.3">
      <c r="B1234" s="311" t="str">
        <f>IF(LEN('Ch7'!H472)=0,"",'Ch7'!H472)</f>
        <v/>
      </c>
      <c r="C1234" s="311" t="str">
        <f t="shared" si="31"/>
        <v/>
      </c>
      <c r="D1234" s="919"/>
      <c r="E1234" s="913"/>
      <c r="F1234" s="964" t="s">
        <v>121</v>
      </c>
      <c r="G1234" s="682" t="s">
        <v>1198</v>
      </c>
      <c r="J1234" s="1001"/>
    </row>
    <row r="1235" spans="1:10" x14ac:dyDescent="0.3">
      <c r="B1235" s="311" t="str">
        <f>IF(LEN('Ch7'!H473)=0,"",'Ch7'!H473)</f>
        <v/>
      </c>
      <c r="C1235" s="311" t="str">
        <f t="shared" si="31"/>
        <v/>
      </c>
      <c r="D1235" s="919"/>
      <c r="E1235" s="910"/>
      <c r="F1235" s="962" t="s">
        <v>122</v>
      </c>
      <c r="G1235" s="676" t="s">
        <v>1199</v>
      </c>
      <c r="J1235" s="1001"/>
    </row>
    <row r="1236" spans="1:10" x14ac:dyDescent="0.3">
      <c r="A1236" s="727" t="str">
        <f>IF(AND(LEN('Ch7'!W474)&gt;0,NOT('Ch7'!W474=FALSE)),"P","")</f>
        <v/>
      </c>
      <c r="B1236" s="311" t="str">
        <f>IF(LEN('Ch7'!H474)=0,"",'Ch7'!H474)</f>
        <v/>
      </c>
      <c r="C1236" s="311" t="str">
        <f t="shared" si="31"/>
        <v/>
      </c>
      <c r="D1236" s="919"/>
      <c r="E1236" s="964" t="s">
        <v>273</v>
      </c>
      <c r="F1236" s="913"/>
      <c r="G1236" s="1329" t="s">
        <v>1205</v>
      </c>
      <c r="H1236" s="89">
        <f>'Ch7'!W474</f>
        <v>0</v>
      </c>
      <c r="I1236" s="89">
        <f ca="1">'Ch7'!O474</f>
        <v>0</v>
      </c>
      <c r="J1236" s="1443" t="s">
        <v>4226</v>
      </c>
    </row>
    <row r="1237" spans="1:10" x14ac:dyDescent="0.3">
      <c r="A1237" s="727" t="str">
        <f>A1236</f>
        <v/>
      </c>
      <c r="B1237" s="311" t="str">
        <f>IF(LEN('Ch7'!H475)=0,"",'Ch7'!H475)</f>
        <v/>
      </c>
      <c r="C1237" s="311" t="str">
        <f t="shared" si="31"/>
        <v/>
      </c>
      <c r="D1237" s="919"/>
      <c r="E1237" s="913"/>
      <c r="F1237" s="913"/>
      <c r="G1237" s="1329"/>
      <c r="J1237" s="1443"/>
    </row>
    <row r="1238" spans="1:10" x14ac:dyDescent="0.3">
      <c r="A1238" s="727" t="str">
        <f>A1237</f>
        <v/>
      </c>
      <c r="B1238" s="311" t="str">
        <f>IF(LEN('Ch7'!H476)=0,"",'Ch7'!H476)</f>
        <v/>
      </c>
      <c r="C1238" s="311" t="str">
        <f t="shared" si="31"/>
        <v/>
      </c>
      <c r="D1238" s="919"/>
      <c r="E1238" s="913"/>
      <c r="F1238" s="913"/>
      <c r="G1238" s="1329"/>
      <c r="J1238" s="1443"/>
    </row>
    <row r="1239" spans="1:10" x14ac:dyDescent="0.3">
      <c r="B1239" s="311" t="str">
        <f>IF(LEN('Ch7'!H477)=0,"",'Ch7'!H477)</f>
        <v/>
      </c>
      <c r="C1239" s="311" t="str">
        <f t="shared" si="31"/>
        <v/>
      </c>
      <c r="D1239" s="204"/>
      <c r="E1239" s="909"/>
      <c r="F1239" s="961" t="s">
        <v>121</v>
      </c>
      <c r="G1239" s="675" t="s">
        <v>1206</v>
      </c>
      <c r="J1239" s="1001"/>
    </row>
    <row r="1240" spans="1:10" x14ac:dyDescent="0.3">
      <c r="B1240" s="311" t="str">
        <f>IF(LEN('Ch7'!H478)=0,"",'Ch7'!H478)</f>
        <v/>
      </c>
      <c r="C1240" s="311" t="str">
        <f t="shared" si="31"/>
        <v/>
      </c>
      <c r="D1240" s="232"/>
      <c r="E1240" s="910"/>
      <c r="F1240" s="962" t="s">
        <v>122</v>
      </c>
      <c r="G1240" s="676" t="s">
        <v>1207</v>
      </c>
      <c r="J1240" s="1001"/>
    </row>
    <row r="1241" spans="1:10" x14ac:dyDescent="0.3">
      <c r="A1241" s="727" t="str">
        <f>IF(AND(LEN('Ch7'!W479)&gt;0,NOT('Ch7'!W479=FALSE)),"P","")</f>
        <v/>
      </c>
      <c r="B1241" s="311" t="str">
        <f>IF(LEN('Ch7'!H479)=0,"",'Ch7'!H479)</f>
        <v/>
      </c>
      <c r="C1241" s="311" t="str">
        <f t="shared" si="31"/>
        <v/>
      </c>
      <c r="D1241" s="929" t="s">
        <v>1208</v>
      </c>
      <c r="E1241" s="915"/>
      <c r="F1241" s="915"/>
      <c r="G1241" s="1364" t="s">
        <v>1209</v>
      </c>
      <c r="H1241" s="89">
        <f>'Ch7'!W479</f>
        <v>0</v>
      </c>
      <c r="I1241" s="89">
        <f ca="1">'Ch7'!O479</f>
        <v>0</v>
      </c>
      <c r="J1241" s="1439" t="s">
        <v>4226</v>
      </c>
    </row>
    <row r="1242" spans="1:10" x14ac:dyDescent="0.3">
      <c r="A1242" s="727" t="str">
        <f>A1241</f>
        <v/>
      </c>
      <c r="B1242" s="311" t="str">
        <f>IF(LEN('Ch7'!H480)=0,"",'Ch7'!H480)</f>
        <v/>
      </c>
      <c r="C1242" s="311" t="str">
        <f t="shared" si="31"/>
        <v/>
      </c>
      <c r="D1242" s="204"/>
      <c r="E1242" s="909"/>
      <c r="F1242" s="909"/>
      <c r="G1242" s="1313"/>
      <c r="J1242" s="1439"/>
    </row>
    <row r="1243" spans="1:10" x14ac:dyDescent="0.3">
      <c r="A1243" s="727" t="str">
        <f>A1242</f>
        <v/>
      </c>
      <c r="B1243" s="311" t="str">
        <f>IF(LEN('Ch7'!H481)=0,"",'Ch7'!H481)</f>
        <v/>
      </c>
      <c r="C1243" s="311" t="str">
        <f t="shared" si="31"/>
        <v/>
      </c>
      <c r="D1243" s="204"/>
      <c r="E1243" s="909"/>
      <c r="F1243" s="909"/>
      <c r="G1243" s="1313"/>
      <c r="J1243" s="1439"/>
    </row>
    <row r="1244" spans="1:10" x14ac:dyDescent="0.3">
      <c r="B1244" s="311" t="str">
        <f>IF(LEN('Ch7'!H482)=0,"",'Ch7'!H482)</f>
        <v/>
      </c>
      <c r="C1244" s="311" t="str">
        <f t="shared" si="31"/>
        <v/>
      </c>
      <c r="D1244" s="919"/>
      <c r="E1244" s="962" t="s">
        <v>271</v>
      </c>
      <c r="F1244" s="910"/>
      <c r="G1244" s="676" t="s">
        <v>1206</v>
      </c>
      <c r="J1244" s="989"/>
    </row>
    <row r="1245" spans="1:10" x14ac:dyDescent="0.3">
      <c r="B1245" s="311" t="str">
        <f>IF(LEN('Ch7'!H483)=0,"",'Ch7'!H483)</f>
        <v/>
      </c>
      <c r="C1245" s="311" t="str">
        <f t="shared" si="31"/>
        <v/>
      </c>
      <c r="D1245" s="232"/>
      <c r="E1245" s="962" t="s">
        <v>273</v>
      </c>
      <c r="F1245" s="910"/>
      <c r="G1245" s="676" t="s">
        <v>1210</v>
      </c>
      <c r="J1245" s="989"/>
    </row>
    <row r="1246" spans="1:10" x14ac:dyDescent="0.3">
      <c r="A1246" s="727" t="str">
        <f>IF(AND(LEN('Ch7'!W484)&gt;0,NOT('Ch7'!W484=FALSE)),"P","")</f>
        <v/>
      </c>
      <c r="B1246" s="311" t="str">
        <f>IF(LEN('Ch7'!H484)=0,"",'Ch7'!H484)</f>
        <v/>
      </c>
      <c r="C1246" s="311" t="str">
        <f t="shared" si="31"/>
        <v/>
      </c>
      <c r="D1246" s="929" t="s">
        <v>1211</v>
      </c>
      <c r="E1246" s="915"/>
      <c r="F1246" s="915"/>
      <c r="G1246" s="1364" t="s">
        <v>1212</v>
      </c>
      <c r="H1246" s="89">
        <f>'Ch7'!W484</f>
        <v>0</v>
      </c>
      <c r="I1246" s="89">
        <f>'Ch7'!O484</f>
        <v>0</v>
      </c>
      <c r="J1246" s="1439" t="s">
        <v>4286</v>
      </c>
    </row>
    <row r="1247" spans="1:10" x14ac:dyDescent="0.3">
      <c r="A1247" s="727" t="str">
        <f>A1246</f>
        <v/>
      </c>
      <c r="B1247" s="311" t="str">
        <f>IF(LEN('Ch7'!H485)=0,"",'Ch7'!H485)</f>
        <v/>
      </c>
      <c r="C1247" s="311" t="str">
        <f t="shared" si="31"/>
        <v/>
      </c>
      <c r="D1247" s="204"/>
      <c r="E1247" s="909"/>
      <c r="F1247" s="909"/>
      <c r="G1247" s="1313"/>
      <c r="J1247" s="1439"/>
    </row>
    <row r="1248" spans="1:10" x14ac:dyDescent="0.3">
      <c r="B1248" s="311" t="str">
        <f>IF(LEN('Ch7'!H486)=0,"",'Ch7'!H486)</f>
        <v/>
      </c>
      <c r="C1248" s="311" t="str">
        <f t="shared" si="31"/>
        <v/>
      </c>
      <c r="D1248" s="232"/>
      <c r="E1248" s="910"/>
      <c r="F1248" s="910"/>
      <c r="G1248" s="696" t="s">
        <v>1101</v>
      </c>
      <c r="J1248" s="989"/>
    </row>
    <row r="1249" spans="1:10" x14ac:dyDescent="0.3">
      <c r="A1249" s="727" t="str">
        <f>IF(AND(LEN('Ch7'!W487)&gt;0,NOT('Ch7'!W487=FALSE)),"P","")</f>
        <v/>
      </c>
      <c r="B1249" s="311" t="str">
        <f>IF(LEN('Ch7'!H487)=0,"",'Ch7'!H487)</f>
        <v/>
      </c>
      <c r="C1249" s="311" t="str">
        <f t="shared" si="31"/>
        <v/>
      </c>
      <c r="D1249" s="929" t="s">
        <v>1213</v>
      </c>
      <c r="E1249" s="915"/>
      <c r="F1249" s="915"/>
      <c r="G1249" s="1364" t="s">
        <v>1214</v>
      </c>
      <c r="H1249" s="89">
        <f>'Ch7'!W487</f>
        <v>0</v>
      </c>
      <c r="I1249" s="89">
        <f>'Ch7'!O487</f>
        <v>0</v>
      </c>
      <c r="J1249" s="1439" t="s">
        <v>4226</v>
      </c>
    </row>
    <row r="1250" spans="1:10" x14ac:dyDescent="0.3">
      <c r="A1250" s="727" t="str">
        <f>A1249</f>
        <v/>
      </c>
      <c r="B1250" s="311" t="str">
        <f>IF(LEN('Ch7'!H488)=0,"",'Ch7'!H488)</f>
        <v/>
      </c>
      <c r="C1250" s="311" t="str">
        <f t="shared" si="31"/>
        <v/>
      </c>
      <c r="D1250" s="232"/>
      <c r="E1250" s="910"/>
      <c r="F1250" s="910"/>
      <c r="G1250" s="1350"/>
      <c r="J1250" s="1439"/>
    </row>
    <row r="1251" spans="1:10" x14ac:dyDescent="0.3">
      <c r="A1251" s="727" t="str">
        <f>IF('Ch7'!O489&gt;0,"P","")</f>
        <v/>
      </c>
      <c r="B1251" s="311" t="str">
        <f>IF(LEN('Ch7'!H489)=0,"",'Ch7'!H489)</f>
        <v/>
      </c>
      <c r="C1251" s="311" t="str">
        <f t="shared" si="31"/>
        <v/>
      </c>
      <c r="D1251" s="106" t="s">
        <v>1215</v>
      </c>
      <c r="E1251" s="909"/>
      <c r="F1251" s="909"/>
      <c r="G1251" s="1313" t="s">
        <v>1216</v>
      </c>
      <c r="I1251" s="89">
        <f>'Ch7'!O489</f>
        <v>0</v>
      </c>
      <c r="J1251" s="1439" t="s">
        <v>4226</v>
      </c>
    </row>
    <row r="1252" spans="1:10" x14ac:dyDescent="0.3">
      <c r="A1252" s="727" t="str">
        <f>A1251</f>
        <v/>
      </c>
      <c r="B1252" s="311" t="str">
        <f>IF(LEN('Ch7'!H490)=0,"",'Ch7'!H490)</f>
        <v/>
      </c>
      <c r="C1252" s="311" t="str">
        <f t="shared" si="31"/>
        <v/>
      </c>
      <c r="D1252" s="204"/>
      <c r="E1252" s="909"/>
      <c r="F1252" s="909"/>
      <c r="G1252" s="1313"/>
      <c r="H1252" s="89">
        <f>'Ch7'!W490</f>
        <v>0</v>
      </c>
      <c r="J1252" s="1439"/>
    </row>
    <row r="1253" spans="1:10" ht="15" thickBot="1" x14ac:dyDescent="0.35">
      <c r="A1253" s="727" t="str">
        <f>A1252</f>
        <v/>
      </c>
      <c r="B1253" s="311" t="str">
        <f>IF(LEN('Ch7'!H491)=0,"",'Ch7'!H491)</f>
        <v/>
      </c>
      <c r="C1253" s="311" t="str">
        <f t="shared" si="31"/>
        <v/>
      </c>
      <c r="D1253" s="934"/>
      <c r="E1253" s="911"/>
      <c r="F1253" s="911"/>
      <c r="G1253" s="1332"/>
      <c r="J1253" s="1439"/>
    </row>
    <row r="1254" spans="1:10" ht="15.6" thickTop="1" thickBot="1" x14ac:dyDescent="0.35">
      <c r="A1254" s="727" t="str">
        <f>IF(AND(LEN('Ch7'!W492)&gt;0,NOT('Ch7'!W492=FALSE)),"P","")</f>
        <v/>
      </c>
      <c r="B1254" s="311" t="str">
        <f>IF(LEN('Ch7'!H492)=0,"",'Ch7'!H492)</f>
        <v/>
      </c>
      <c r="C1254" s="311" t="str">
        <f t="shared" si="31"/>
        <v/>
      </c>
      <c r="D1254" s="930">
        <v>705.3</v>
      </c>
      <c r="E1254" s="973"/>
      <c r="F1254" s="973"/>
      <c r="G1254" s="457" t="s">
        <v>1217</v>
      </c>
      <c r="H1254" s="89">
        <f>'Ch7'!W492</f>
        <v>0</v>
      </c>
      <c r="I1254" s="89">
        <f>'Ch7'!O492</f>
        <v>0</v>
      </c>
      <c r="J1254" s="989" t="s">
        <v>4226</v>
      </c>
    </row>
    <row r="1255" spans="1:10" ht="15" thickTop="1" x14ac:dyDescent="0.3">
      <c r="A1255" s="727" t="str">
        <f>IF(AND(LEN('Ch7'!W493)&gt;0,NOT('Ch7'!W493=FALSE)),"P","")</f>
        <v/>
      </c>
      <c r="B1255" s="311" t="str">
        <f>IF(LEN('Ch7'!H493)=0,"",'Ch7'!H493)</f>
        <v/>
      </c>
      <c r="C1255" s="311" t="str">
        <f t="shared" si="31"/>
        <v/>
      </c>
      <c r="D1255" s="111">
        <v>705.4</v>
      </c>
      <c r="E1255" s="963"/>
      <c r="F1255" s="963"/>
      <c r="G1255" s="1331" t="s">
        <v>1218</v>
      </c>
      <c r="H1255" s="89">
        <f>'Ch7'!W493</f>
        <v>0</v>
      </c>
      <c r="I1255" s="89">
        <f>'Ch7'!O493</f>
        <v>0</v>
      </c>
      <c r="J1255" s="1439" t="s">
        <v>4226</v>
      </c>
    </row>
    <row r="1256" spans="1:10" x14ac:dyDescent="0.3">
      <c r="A1256" s="727" t="str">
        <f>A1255</f>
        <v/>
      </c>
      <c r="B1256" s="311" t="str">
        <f>IF(LEN('Ch7'!H494)=0,"",'Ch7'!H494)</f>
        <v/>
      </c>
      <c r="C1256" s="311" t="str">
        <f t="shared" si="31"/>
        <v/>
      </c>
      <c r="D1256" s="204"/>
      <c r="E1256" s="909"/>
      <c r="F1256" s="909"/>
      <c r="G1256" s="1313"/>
      <c r="J1256" s="1439"/>
    </row>
    <row r="1257" spans="1:10" ht="15" thickBot="1" x14ac:dyDescent="0.35">
      <c r="A1257" s="727" t="str">
        <f>A1256</f>
        <v/>
      </c>
      <c r="B1257" s="311" t="str">
        <f>IF(LEN('Ch7'!H495)=0,"",'Ch7'!H495)</f>
        <v/>
      </c>
      <c r="C1257" s="311" t="str">
        <f t="shared" si="31"/>
        <v/>
      </c>
      <c r="D1257" s="934"/>
      <c r="E1257" s="911"/>
      <c r="F1257" s="911"/>
      <c r="G1257" s="1332"/>
      <c r="J1257" s="1439"/>
    </row>
    <row r="1258" spans="1:10" x14ac:dyDescent="0.3">
      <c r="A1258" s="1196" t="str">
        <f>IF(COUNTIF(A1259:A1264,"P")&gt;0,"P","")</f>
        <v/>
      </c>
      <c r="B1258" s="311" t="str">
        <f>IF(LEN('Ch7'!H496)=0,"",'Ch7'!H496)</f>
        <v/>
      </c>
      <c r="C1258" s="311" t="str">
        <f t="shared" si="31"/>
        <v/>
      </c>
      <c r="D1258" s="152">
        <v>705.5</v>
      </c>
      <c r="E1258" s="913"/>
      <c r="F1258" s="913"/>
      <c r="G1258" s="687" t="s">
        <v>1219</v>
      </c>
      <c r="J1258" s="989"/>
    </row>
    <row r="1259" spans="1:10" x14ac:dyDescent="0.3">
      <c r="A1259" s="727" t="str">
        <f>IF(AND(LEN('Ch7'!W497)&gt;0,NOT('Ch7'!W497=FALSE)),"P","")</f>
        <v/>
      </c>
      <c r="B1259" s="311" t="str">
        <f>IF(LEN('Ch7'!H497)=0,"",'Ch7'!H497)</f>
        <v/>
      </c>
      <c r="C1259" s="311" t="str">
        <f t="shared" si="31"/>
        <v/>
      </c>
      <c r="D1259" s="106" t="s">
        <v>1220</v>
      </c>
      <c r="E1259" s="909"/>
      <c r="F1259" s="909"/>
      <c r="G1259" s="1313" t="s">
        <v>1221</v>
      </c>
      <c r="H1259" s="89">
        <f>'Ch7'!W497</f>
        <v>0</v>
      </c>
      <c r="I1259" s="89">
        <f>'Ch7'!O497</f>
        <v>0</v>
      </c>
      <c r="J1259" s="1439" t="s">
        <v>4287</v>
      </c>
    </row>
    <row r="1260" spans="1:10" x14ac:dyDescent="0.3">
      <c r="A1260" s="727" t="str">
        <f>A1259</f>
        <v/>
      </c>
      <c r="B1260" s="311" t="str">
        <f>IF(LEN('Ch7'!H498)=0,"",'Ch7'!H498)</f>
        <v/>
      </c>
      <c r="C1260" s="311" t="str">
        <f t="shared" si="31"/>
        <v/>
      </c>
      <c r="D1260" s="204"/>
      <c r="E1260" s="909"/>
      <c r="F1260" s="909"/>
      <c r="G1260" s="1313"/>
      <c r="J1260" s="1439"/>
    </row>
    <row r="1261" spans="1:10" x14ac:dyDescent="0.3">
      <c r="A1261" s="727" t="str">
        <f>A1260</f>
        <v/>
      </c>
      <c r="B1261" s="311" t="str">
        <f>IF(LEN('Ch7'!H499)=0,"",'Ch7'!H499)</f>
        <v/>
      </c>
      <c r="C1261" s="311" t="str">
        <f t="shared" si="31"/>
        <v/>
      </c>
      <c r="D1261" s="204"/>
      <c r="E1261" s="909"/>
      <c r="F1261" s="909"/>
      <c r="G1261" s="1313"/>
      <c r="J1261" s="1439"/>
    </row>
    <row r="1262" spans="1:10" x14ac:dyDescent="0.3">
      <c r="A1262" s="727" t="str">
        <f>A1261</f>
        <v/>
      </c>
      <c r="B1262" s="311" t="str">
        <f>IF(LEN('Ch7'!H500)=0,"",'Ch7'!H500)</f>
        <v/>
      </c>
      <c r="C1262" s="311" t="str">
        <f t="shared" si="31"/>
        <v/>
      </c>
      <c r="D1262" s="204"/>
      <c r="E1262" s="909"/>
      <c r="F1262" s="909"/>
      <c r="G1262" s="1313"/>
      <c r="J1262" s="1439"/>
    </row>
    <row r="1263" spans="1:10" x14ac:dyDescent="0.3">
      <c r="A1263" s="727" t="str">
        <f>A1262</f>
        <v/>
      </c>
      <c r="B1263" s="311" t="str">
        <f>IF(LEN('Ch7'!H501)=0,"",'Ch7'!H501)</f>
        <v/>
      </c>
      <c r="C1263" s="311" t="str">
        <f t="shared" si="31"/>
        <v/>
      </c>
      <c r="D1263" s="232"/>
      <c r="E1263" s="910"/>
      <c r="F1263" s="910"/>
      <c r="G1263" s="1350"/>
      <c r="J1263" s="1439"/>
    </row>
    <row r="1264" spans="1:10" x14ac:dyDescent="0.3">
      <c r="A1264" s="727" t="str">
        <f>IF(AND(LEN('Ch7'!W502)&gt;0,NOT('Ch7'!W502=FALSE)),"P","")</f>
        <v/>
      </c>
      <c r="B1264" s="311" t="str">
        <f>IF(LEN('Ch7'!H502)=0,"",'Ch7'!H502)</f>
        <v/>
      </c>
      <c r="C1264" s="311" t="str">
        <f t="shared" si="31"/>
        <v/>
      </c>
      <c r="D1264" s="152" t="s">
        <v>1222</v>
      </c>
      <c r="E1264" s="913"/>
      <c r="F1264" s="913"/>
      <c r="G1264" s="1292" t="s">
        <v>1223</v>
      </c>
      <c r="H1264" s="89">
        <f>'Ch7'!W502</f>
        <v>0</v>
      </c>
      <c r="I1264" s="89">
        <f>'Ch7'!O502</f>
        <v>0</v>
      </c>
      <c r="J1264" s="1439" t="s">
        <v>4288</v>
      </c>
    </row>
    <row r="1265" spans="1:10" x14ac:dyDescent="0.3">
      <c r="A1265" s="727" t="str">
        <f>A1264</f>
        <v/>
      </c>
      <c r="B1265" s="311" t="str">
        <f>IF(LEN('Ch7'!H503)=0,"",'Ch7'!H503)</f>
        <v/>
      </c>
      <c r="C1265" s="311" t="str">
        <f t="shared" si="31"/>
        <v/>
      </c>
      <c r="D1265" s="919"/>
      <c r="E1265" s="913"/>
      <c r="F1265" s="913"/>
      <c r="G1265" s="1292"/>
      <c r="J1265" s="1439"/>
    </row>
    <row r="1266" spans="1:10" x14ac:dyDescent="0.3">
      <c r="B1266" s="311" t="str">
        <f>IF(LEN('Ch7'!H504)=0,"",'Ch7'!H504)</f>
        <v/>
      </c>
      <c r="C1266" s="311" t="str">
        <f t="shared" si="31"/>
        <v/>
      </c>
      <c r="D1266" s="919"/>
      <c r="E1266" s="964" t="s">
        <v>271</v>
      </c>
      <c r="F1266" s="913"/>
      <c r="G1266" s="682" t="s">
        <v>1224</v>
      </c>
      <c r="J1266" s="989"/>
    </row>
    <row r="1267" spans="1:10" x14ac:dyDescent="0.3">
      <c r="B1267" s="311" t="str">
        <f>IF(LEN('Ch7'!H505)=0,"",'Ch7'!H505)</f>
        <v/>
      </c>
      <c r="C1267" s="311" t="str">
        <f t="shared" si="31"/>
        <v/>
      </c>
      <c r="D1267" s="919"/>
      <c r="E1267" s="962" t="s">
        <v>273</v>
      </c>
      <c r="F1267" s="910"/>
      <c r="G1267" s="676" t="s">
        <v>1225</v>
      </c>
      <c r="J1267" s="989"/>
    </row>
    <row r="1268" spans="1:10" x14ac:dyDescent="0.3">
      <c r="B1268" s="311" t="str">
        <f>IF(LEN('Ch7'!H506)=0,"",'Ch7'!H506)</f>
        <v/>
      </c>
      <c r="C1268" s="311" t="str">
        <f t="shared" si="31"/>
        <v/>
      </c>
      <c r="D1268" s="919"/>
      <c r="E1268" s="969" t="s">
        <v>275</v>
      </c>
      <c r="F1268" s="364"/>
      <c r="G1268" s="365" t="s">
        <v>1226</v>
      </c>
      <c r="J1268" s="989"/>
    </row>
    <row r="1269" spans="1:10" x14ac:dyDescent="0.3">
      <c r="B1269" s="311" t="str">
        <f>IF(LEN('Ch7'!H507)=0,"",'Ch7'!H507)</f>
        <v/>
      </c>
      <c r="C1269" s="311" t="str">
        <f t="shared" si="31"/>
        <v/>
      </c>
      <c r="D1269" s="204"/>
      <c r="E1269" s="969" t="s">
        <v>285</v>
      </c>
      <c r="F1269" s="364"/>
      <c r="G1269" s="365" t="s">
        <v>1227</v>
      </c>
      <c r="J1269" s="989"/>
    </row>
    <row r="1270" spans="1:10" x14ac:dyDescent="0.3">
      <c r="B1270" s="311" t="str">
        <f>IF(LEN('Ch7'!H508)=0,"",'Ch7'!H508)</f>
        <v/>
      </c>
      <c r="C1270" s="311" t="str">
        <f t="shared" si="31"/>
        <v/>
      </c>
      <c r="D1270" s="204"/>
      <c r="E1270" s="969" t="s">
        <v>291</v>
      </c>
      <c r="F1270" s="364"/>
      <c r="G1270" s="365" t="s">
        <v>1228</v>
      </c>
      <c r="J1270" s="989"/>
    </row>
    <row r="1271" spans="1:10" ht="15" thickBot="1" x14ac:dyDescent="0.35">
      <c r="B1271" s="311" t="str">
        <f>IF(LEN('Ch7'!H509)=0,"",'Ch7'!H509)</f>
        <v/>
      </c>
      <c r="C1271" s="311" t="str">
        <f t="shared" si="31"/>
        <v/>
      </c>
      <c r="D1271" s="934"/>
      <c r="E1271" s="971" t="s">
        <v>293</v>
      </c>
      <c r="F1271" s="911"/>
      <c r="G1271" s="678" t="s">
        <v>1229</v>
      </c>
      <c r="J1271" s="989"/>
    </row>
    <row r="1272" spans="1:10" ht="15" thickTop="1" x14ac:dyDescent="0.3">
      <c r="A1272" s="1196" t="str">
        <f>IF(COUNTIF(A1273:A1318,"P")&gt;0,"P","")</f>
        <v>P</v>
      </c>
      <c r="B1272" s="311" t="str">
        <f>IF(LEN('Ch7'!H510)=0,"",'Ch7'!H510)</f>
        <v/>
      </c>
      <c r="C1272" s="311" t="str">
        <f t="shared" si="31"/>
        <v>P</v>
      </c>
      <c r="D1272" s="111">
        <v>705.6</v>
      </c>
      <c r="E1272" s="963"/>
      <c r="F1272" s="963"/>
      <c r="G1272" s="918" t="s">
        <v>1230</v>
      </c>
      <c r="J1272" s="989"/>
    </row>
    <row r="1273" spans="1:10" x14ac:dyDescent="0.3">
      <c r="A1273" s="727" t="str">
        <f>IF('Ch7'!O511&gt;0,"P","")</f>
        <v>P</v>
      </c>
      <c r="B1273" s="311" t="str">
        <f>IF(LEN('Ch7'!H511)=0,"",'Ch7'!H511)</f>
        <v/>
      </c>
      <c r="C1273" s="311" t="str">
        <f t="shared" si="31"/>
        <v>P</v>
      </c>
      <c r="D1273" s="106" t="s">
        <v>1231</v>
      </c>
      <c r="E1273" s="909"/>
      <c r="F1273" s="909"/>
      <c r="G1273" s="1313" t="s">
        <v>1232</v>
      </c>
      <c r="I1273" s="89">
        <f>'Ch7'!O511</f>
        <v>3</v>
      </c>
      <c r="J1273" s="1445" t="s">
        <v>4414</v>
      </c>
    </row>
    <row r="1274" spans="1:10" x14ac:dyDescent="0.3">
      <c r="A1274" s="727" t="str">
        <f>A1273</f>
        <v>P</v>
      </c>
      <c r="B1274" s="311" t="str">
        <f>IF(LEN('Ch7'!H512)=0,"",'Ch7'!H512)</f>
        <v/>
      </c>
      <c r="C1274" s="311" t="str">
        <f t="shared" si="31"/>
        <v>P</v>
      </c>
      <c r="D1274" s="204"/>
      <c r="E1274" s="909"/>
      <c r="F1274" s="909"/>
      <c r="G1274" s="1313"/>
      <c r="J1274" s="1445"/>
    </row>
    <row r="1275" spans="1:10" x14ac:dyDescent="0.3">
      <c r="A1275" s="727" t="str">
        <f>A1274</f>
        <v>P</v>
      </c>
      <c r="B1275" s="311" t="str">
        <f>IF(LEN('Ch7'!H513)=0,"",'Ch7'!H513)</f>
        <v/>
      </c>
      <c r="C1275" s="311" t="str">
        <f t="shared" si="31"/>
        <v>P</v>
      </c>
      <c r="D1275" s="204"/>
      <c r="E1275" s="909"/>
      <c r="F1275" s="909"/>
      <c r="G1275" s="1313"/>
      <c r="J1275" s="1445"/>
    </row>
    <row r="1276" spans="1:10" x14ac:dyDescent="0.3">
      <c r="A1276" s="727" t="str">
        <f>A1275</f>
        <v>P</v>
      </c>
      <c r="B1276" s="311" t="str">
        <f>IF(LEN('Ch7'!H514)=0,"",'Ch7'!H514)</f>
        <v/>
      </c>
      <c r="C1276" s="311" t="str">
        <f t="shared" si="31"/>
        <v>P</v>
      </c>
      <c r="D1276" s="204"/>
      <c r="E1276" s="909"/>
      <c r="F1276" s="909"/>
      <c r="G1276" s="1313"/>
      <c r="J1276" s="1445"/>
    </row>
    <row r="1277" spans="1:10" x14ac:dyDescent="0.3">
      <c r="A1277" s="727" t="str">
        <f>A1276</f>
        <v>P</v>
      </c>
      <c r="B1277" s="311" t="str">
        <f>IF(LEN('Ch7'!H515)=0,"",'Ch7'!H515)</f>
        <v/>
      </c>
      <c r="C1277" s="311" t="str">
        <f t="shared" si="31"/>
        <v>P</v>
      </c>
      <c r="D1277" s="204"/>
      <c r="E1277" s="909"/>
      <c r="F1277" s="909"/>
      <c r="G1277" s="1313"/>
      <c r="J1277" s="1445"/>
    </row>
    <row r="1278" spans="1:10" x14ac:dyDescent="0.3">
      <c r="A1278" s="727" t="str">
        <f>A1277</f>
        <v>P</v>
      </c>
      <c r="B1278" s="311" t="str">
        <f>IF(LEN('Ch7'!H516)=0,"",'Ch7'!H516)</f>
        <v/>
      </c>
      <c r="C1278" s="311" t="str">
        <f t="shared" si="31"/>
        <v>P</v>
      </c>
      <c r="D1278" s="232"/>
      <c r="E1278" s="910"/>
      <c r="F1278" s="910"/>
      <c r="G1278" s="1350"/>
      <c r="J1278" s="1445"/>
    </row>
    <row r="1279" spans="1:10" x14ac:dyDescent="0.3">
      <c r="A1279" s="1196" t="str">
        <f>IF(COUNTIF(A1280:A1298,"P")&gt;0,"P","")</f>
        <v/>
      </c>
      <c r="B1279" s="311" t="str">
        <f>IF(LEN('Ch7'!H517)=0,"",'Ch7'!H517)</f>
        <v/>
      </c>
      <c r="C1279" s="311" t="str">
        <f t="shared" si="31"/>
        <v/>
      </c>
      <c r="D1279" s="152" t="s">
        <v>3869</v>
      </c>
      <c r="E1279" s="913"/>
      <c r="F1279" s="913"/>
      <c r="G1279" s="687" t="s">
        <v>3870</v>
      </c>
      <c r="J1279" s="989"/>
    </row>
    <row r="1280" spans="1:10" x14ac:dyDescent="0.3">
      <c r="A1280" s="727" t="str">
        <f>IF(SUM(I1286:I1287)&gt;0,"P","")</f>
        <v/>
      </c>
      <c r="B1280" s="311" t="str">
        <f>IF(LEN('Ch7'!H518)=0,"",'Ch7'!H518)</f>
        <v/>
      </c>
      <c r="C1280" s="311" t="str">
        <f t="shared" si="31"/>
        <v/>
      </c>
      <c r="D1280" s="152" t="s">
        <v>1234</v>
      </c>
      <c r="E1280" s="913"/>
      <c r="F1280" s="913"/>
      <c r="G1280" s="1292" t="s">
        <v>1235</v>
      </c>
      <c r="J1280" s="1443" t="s">
        <v>4289</v>
      </c>
    </row>
    <row r="1281" spans="1:10" x14ac:dyDescent="0.3">
      <c r="A1281" s="727" t="str">
        <f t="shared" ref="A1281:A1282" si="32">A1280</f>
        <v/>
      </c>
      <c r="B1281" s="311" t="str">
        <f>IF(LEN('Ch7'!H519)=0,"",'Ch7'!H519)</f>
        <v/>
      </c>
      <c r="C1281" s="311" t="str">
        <f t="shared" si="31"/>
        <v/>
      </c>
      <c r="D1281" s="919"/>
      <c r="E1281" s="913"/>
      <c r="F1281" s="913"/>
      <c r="G1281" s="1292"/>
      <c r="J1281" s="1443"/>
    </row>
    <row r="1282" spans="1:10" x14ac:dyDescent="0.3">
      <c r="A1282" s="727" t="str">
        <f t="shared" si="32"/>
        <v/>
      </c>
      <c r="B1282" s="311" t="str">
        <f>IF(LEN('Ch7'!H520)=0,"",'Ch7'!H520)</f>
        <v/>
      </c>
      <c r="C1282" s="311" t="str">
        <f t="shared" si="31"/>
        <v/>
      </c>
      <c r="D1282" s="919"/>
      <c r="E1282" s="913"/>
      <c r="F1282" s="913"/>
      <c r="G1282" s="1292"/>
      <c r="J1282" s="1443"/>
    </row>
    <row r="1283" spans="1:10" x14ac:dyDescent="0.3">
      <c r="B1283" s="311" t="str">
        <f>IF(LEN('Ch7'!H521)=0,"",'Ch7'!H521)</f>
        <v/>
      </c>
      <c r="C1283" s="311" t="str">
        <f t="shared" si="31"/>
        <v/>
      </c>
      <c r="D1283" s="919"/>
      <c r="E1283" s="913"/>
      <c r="F1283" s="913"/>
      <c r="G1283" s="1365" t="s">
        <v>1233</v>
      </c>
      <c r="J1283" s="989"/>
    </row>
    <row r="1284" spans="1:10" x14ac:dyDescent="0.3">
      <c r="B1284" s="311" t="str">
        <f>IF(LEN('Ch7'!H522)=0,"",'Ch7'!H522)</f>
        <v/>
      </c>
      <c r="C1284" s="311" t="str">
        <f t="shared" si="31"/>
        <v/>
      </c>
      <c r="D1284" s="919"/>
      <c r="E1284" s="913"/>
      <c r="F1284" s="913"/>
      <c r="G1284" s="1365"/>
      <c r="J1284" s="989"/>
    </row>
    <row r="1285" spans="1:10" x14ac:dyDescent="0.3">
      <c r="B1285" s="311" t="str">
        <f>IF(LEN('Ch7'!H523)=0,"",'Ch7'!H523)</f>
        <v/>
      </c>
      <c r="C1285" s="311" t="str">
        <f t="shared" si="31"/>
        <v/>
      </c>
      <c r="D1285" s="919"/>
      <c r="E1285" s="913"/>
      <c r="F1285" s="913"/>
      <c r="G1285" s="681" t="s">
        <v>3872</v>
      </c>
      <c r="J1285" s="989"/>
    </row>
    <row r="1286" spans="1:10" x14ac:dyDescent="0.3">
      <c r="B1286" s="311" t="str">
        <f>IF(LEN('Ch7'!H524)=0,"",'Ch7'!H524)</f>
        <v/>
      </c>
      <c r="C1286" s="311" t="str">
        <f t="shared" si="31"/>
        <v/>
      </c>
      <c r="D1286" s="919"/>
      <c r="E1286" s="962" t="s">
        <v>271</v>
      </c>
      <c r="F1286" s="910"/>
      <c r="G1286" s="676" t="s">
        <v>1236</v>
      </c>
      <c r="H1286" s="89">
        <f>'Ch7'!W524</f>
        <v>0</v>
      </c>
      <c r="I1286" s="89">
        <f>'Ch7'!O524</f>
        <v>0</v>
      </c>
      <c r="J1286" s="996"/>
    </row>
    <row r="1287" spans="1:10" x14ac:dyDescent="0.3">
      <c r="B1287" s="311" t="str">
        <f>IF(LEN('Ch7'!H525)=0,"",'Ch7'!H525)</f>
        <v/>
      </c>
      <c r="C1287" s="311" t="str">
        <f t="shared" si="31"/>
        <v/>
      </c>
      <c r="D1287" s="919"/>
      <c r="E1287" s="964" t="s">
        <v>273</v>
      </c>
      <c r="F1287" s="913"/>
      <c r="G1287" s="682" t="s">
        <v>1237</v>
      </c>
      <c r="H1287" s="89">
        <f>'Ch7'!W525</f>
        <v>0</v>
      </c>
      <c r="I1287" s="89">
        <f>'Ch7'!O525</f>
        <v>0</v>
      </c>
      <c r="J1287" s="996"/>
    </row>
    <row r="1288" spans="1:10" x14ac:dyDescent="0.3">
      <c r="B1288" s="311" t="str">
        <f>IF(LEN('Ch7'!H526)=0,"",'Ch7'!H526)</f>
        <v/>
      </c>
      <c r="C1288" s="311" t="str">
        <f t="shared" ref="C1288:C1351" si="33">IF(LEN(B1288)=0,IF(A1288="P","P",""),B1288)</f>
        <v/>
      </c>
      <c r="D1288" s="204"/>
      <c r="E1288" s="961"/>
      <c r="F1288" s="909"/>
      <c r="G1288" s="1394" t="s">
        <v>3873</v>
      </c>
      <c r="J1288" s="989"/>
    </row>
    <row r="1289" spans="1:10" x14ac:dyDescent="0.3">
      <c r="B1289" s="311" t="str">
        <f>IF(LEN('Ch7'!H527)=0,"",'Ch7'!H527)</f>
        <v/>
      </c>
      <c r="C1289" s="311" t="str">
        <f t="shared" si="33"/>
        <v/>
      </c>
      <c r="D1289" s="232"/>
      <c r="E1289" s="962"/>
      <c r="F1289" s="910"/>
      <c r="G1289" s="1396"/>
      <c r="J1289" s="989"/>
    </row>
    <row r="1290" spans="1:10" ht="15" customHeight="1" x14ac:dyDescent="0.3">
      <c r="A1290" s="727" t="str">
        <f>IF(AND(LEN('Ch7'!W528)&gt;0,NOT('Ch7'!W528=FALSE)),"P","")</f>
        <v/>
      </c>
      <c r="B1290" s="311" t="str">
        <f>IF(LEN('Ch7'!H528)=0,"",'Ch7'!H528)</f>
        <v/>
      </c>
      <c r="C1290" s="311" t="str">
        <f t="shared" si="33"/>
        <v/>
      </c>
      <c r="D1290" s="929" t="s">
        <v>1238</v>
      </c>
      <c r="E1290" s="915"/>
      <c r="F1290" s="915"/>
      <c r="G1290" s="1364" t="s">
        <v>1239</v>
      </c>
      <c r="H1290" s="89">
        <f>'Ch7'!W528</f>
        <v>0</v>
      </c>
      <c r="I1290" s="89">
        <f>'Ch7'!O528</f>
        <v>0</v>
      </c>
      <c r="J1290" s="1443" t="s">
        <v>4354</v>
      </c>
    </row>
    <row r="1291" spans="1:10" x14ac:dyDescent="0.3">
      <c r="A1291" s="727" t="str">
        <f>A1290</f>
        <v/>
      </c>
      <c r="B1291" s="311" t="str">
        <f>IF(LEN('Ch7'!H529)=0,"",'Ch7'!H529)</f>
        <v/>
      </c>
      <c r="C1291" s="311" t="str">
        <f t="shared" si="33"/>
        <v/>
      </c>
      <c r="D1291" s="204"/>
      <c r="E1291" s="909"/>
      <c r="F1291" s="909"/>
      <c r="G1291" s="1313"/>
      <c r="J1291" s="1443"/>
    </row>
    <row r="1292" spans="1:10" x14ac:dyDescent="0.3">
      <c r="A1292" s="727" t="str">
        <f>A1291</f>
        <v/>
      </c>
      <c r="B1292" s="311" t="str">
        <f>IF(LEN('Ch7'!H530)=0,"",'Ch7'!H530)</f>
        <v/>
      </c>
      <c r="C1292" s="311" t="str">
        <f t="shared" si="33"/>
        <v/>
      </c>
      <c r="D1292" s="204"/>
      <c r="E1292" s="909"/>
      <c r="F1292" s="909"/>
      <c r="G1292" s="1313"/>
      <c r="J1292" s="1443"/>
    </row>
    <row r="1293" spans="1:10" x14ac:dyDescent="0.3">
      <c r="B1293" s="311" t="str">
        <f>IF(LEN('Ch7'!H531)=0,"",'Ch7'!H531)</f>
        <v/>
      </c>
      <c r="C1293" s="311" t="str">
        <f t="shared" si="33"/>
        <v/>
      </c>
      <c r="D1293" s="919"/>
      <c r="E1293" s="961" t="s">
        <v>271</v>
      </c>
      <c r="F1293" s="909"/>
      <c r="G1293" s="1305" t="s">
        <v>1240</v>
      </c>
      <c r="J1293" s="1001"/>
    </row>
    <row r="1294" spans="1:10" x14ac:dyDescent="0.3">
      <c r="B1294" s="311" t="str">
        <f>IF(LEN('Ch7'!H532)=0,"",'Ch7'!H532)</f>
        <v/>
      </c>
      <c r="C1294" s="311" t="str">
        <f t="shared" si="33"/>
        <v/>
      </c>
      <c r="D1294" s="919"/>
      <c r="E1294" s="962"/>
      <c r="F1294" s="910"/>
      <c r="G1294" s="1306"/>
      <c r="J1294" s="1001"/>
    </row>
    <row r="1295" spans="1:10" x14ac:dyDescent="0.3">
      <c r="B1295" s="311" t="str">
        <f>IF(LEN('Ch7'!H533)=0,"",'Ch7'!H533)</f>
        <v/>
      </c>
      <c r="C1295" s="311" t="str">
        <f t="shared" si="33"/>
        <v/>
      </c>
      <c r="D1295" s="919"/>
      <c r="E1295" s="964" t="s">
        <v>273</v>
      </c>
      <c r="F1295" s="913"/>
      <c r="G1295" s="682" t="s">
        <v>1241</v>
      </c>
      <c r="J1295" s="1001"/>
    </row>
    <row r="1296" spans="1:10" x14ac:dyDescent="0.3">
      <c r="B1296" s="311" t="str">
        <f>IF(LEN('Ch7'!H534)=0,"",'Ch7'!H534)</f>
        <v/>
      </c>
      <c r="C1296" s="311" t="str">
        <f t="shared" si="33"/>
        <v/>
      </c>
      <c r="D1296" s="204"/>
      <c r="E1296" s="961"/>
      <c r="F1296" s="909"/>
      <c r="G1296" s="1394" t="s">
        <v>3874</v>
      </c>
      <c r="J1296" s="989"/>
    </row>
    <row r="1297" spans="1:10" x14ac:dyDescent="0.3">
      <c r="B1297" s="311" t="str">
        <f>IF(LEN('Ch7'!H535)=0,"",'Ch7'!H535)</f>
        <v/>
      </c>
      <c r="C1297" s="311" t="str">
        <f t="shared" si="33"/>
        <v/>
      </c>
      <c r="D1297" s="232"/>
      <c r="E1297" s="962"/>
      <c r="F1297" s="910"/>
      <c r="G1297" s="1396"/>
      <c r="J1297" s="989"/>
    </row>
    <row r="1298" spans="1:10" x14ac:dyDescent="0.3">
      <c r="A1298" s="727" t="str">
        <f>IF(AND(LEN('Ch7'!W536)&gt;0,NOT('Ch7'!W536=FALSE)),"P","")</f>
        <v/>
      </c>
      <c r="B1298" s="311" t="str">
        <f>IF(LEN('Ch7'!H536)=0,"",'Ch7'!H536)</f>
        <v/>
      </c>
      <c r="C1298" s="311" t="str">
        <f t="shared" si="33"/>
        <v/>
      </c>
      <c r="D1298" s="929" t="s">
        <v>1242</v>
      </c>
      <c r="E1298" s="915"/>
      <c r="F1298" s="915"/>
      <c r="G1298" s="917" t="s">
        <v>1243</v>
      </c>
      <c r="H1298" s="89">
        <f>'Ch7'!W536</f>
        <v>0</v>
      </c>
      <c r="I1298" s="89">
        <f ca="1">'Ch7'!O536</f>
        <v>0</v>
      </c>
      <c r="J1298" s="1009" t="s">
        <v>4415</v>
      </c>
    </row>
    <row r="1299" spans="1:10" x14ac:dyDescent="0.3">
      <c r="B1299" s="311" t="str">
        <f>IF(LEN('Ch7'!H537)=0,"",'Ch7'!H537)</f>
        <v/>
      </c>
      <c r="C1299" s="311" t="str">
        <f t="shared" si="33"/>
        <v/>
      </c>
      <c r="D1299" s="919"/>
      <c r="E1299" s="913"/>
      <c r="F1299" s="913"/>
      <c r="G1299" s="681" t="s">
        <v>1244</v>
      </c>
      <c r="J1299" s="989"/>
    </row>
    <row r="1300" spans="1:10" x14ac:dyDescent="0.3">
      <c r="B1300" s="311" t="str">
        <f>IF(LEN('Ch7'!H538)=0,"",'Ch7'!H538)</f>
        <v/>
      </c>
      <c r="C1300" s="311" t="str">
        <f t="shared" si="33"/>
        <v/>
      </c>
      <c r="D1300" s="919"/>
      <c r="E1300" s="913"/>
      <c r="F1300" s="913"/>
      <c r="G1300" s="681" t="s">
        <v>3779</v>
      </c>
      <c r="J1300" s="989"/>
    </row>
    <row r="1301" spans="1:10" x14ac:dyDescent="0.3">
      <c r="B1301" s="311" t="str">
        <f>IF(LEN('Ch7'!H539)=0,"",'Ch7'!H539)</f>
        <v/>
      </c>
      <c r="C1301" s="311" t="str">
        <f t="shared" si="33"/>
        <v/>
      </c>
      <c r="D1301" s="919"/>
      <c r="E1301" s="962" t="s">
        <v>271</v>
      </c>
      <c r="F1301" s="910"/>
      <c r="G1301" s="676" t="s">
        <v>3780</v>
      </c>
      <c r="J1301" s="989"/>
    </row>
    <row r="1302" spans="1:10" x14ac:dyDescent="0.3">
      <c r="B1302" s="311" t="str">
        <f>IF(LEN('Ch7'!H540)=0,"",'Ch7'!H540)</f>
        <v/>
      </c>
      <c r="C1302" s="311" t="str">
        <f t="shared" si="33"/>
        <v/>
      </c>
      <c r="D1302" s="204"/>
      <c r="E1302" s="961" t="s">
        <v>273</v>
      </c>
      <c r="F1302" s="909"/>
      <c r="G1302" s="1305" t="s">
        <v>3781</v>
      </c>
      <c r="J1302" s="989"/>
    </row>
    <row r="1303" spans="1:10" x14ac:dyDescent="0.3">
      <c r="B1303" s="311" t="str">
        <f>IF(LEN('Ch7'!H541)=0,"",'Ch7'!H541)</f>
        <v/>
      </c>
      <c r="C1303" s="311" t="str">
        <f t="shared" si="33"/>
        <v/>
      </c>
      <c r="D1303" s="232"/>
      <c r="E1303" s="945"/>
      <c r="F1303" s="910"/>
      <c r="G1303" s="1306"/>
      <c r="J1303" s="989"/>
    </row>
    <row r="1304" spans="1:10" x14ac:dyDescent="0.3">
      <c r="A1304" s="727" t="str">
        <f>IF(AND(LEN('Ch7'!W542)&gt;0,NOT('Ch7'!W542=FALSE)),"P","")</f>
        <v/>
      </c>
      <c r="B1304" s="311" t="str">
        <f>IF(LEN('Ch7'!H542)=0,"",'Ch7'!H542)</f>
        <v/>
      </c>
      <c r="C1304" s="311" t="str">
        <f t="shared" si="33"/>
        <v/>
      </c>
      <c r="D1304" s="929" t="s">
        <v>3778</v>
      </c>
      <c r="E1304" s="915"/>
      <c r="F1304" s="915"/>
      <c r="G1304" s="1393" t="s">
        <v>3782</v>
      </c>
      <c r="H1304" s="89">
        <f>'Ch7'!W542</f>
        <v>0</v>
      </c>
      <c r="I1304" s="89">
        <f>'Ch7'!O542</f>
        <v>0</v>
      </c>
      <c r="J1304" s="1441" t="s">
        <v>4416</v>
      </c>
    </row>
    <row r="1305" spans="1:10" x14ac:dyDescent="0.3">
      <c r="A1305" s="727" t="str">
        <f>A1304</f>
        <v/>
      </c>
      <c r="B1305" s="311" t="str">
        <f>IF(LEN('Ch7'!H543)=0,"",'Ch7'!H543)</f>
        <v/>
      </c>
      <c r="C1305" s="311" t="str">
        <f t="shared" si="33"/>
        <v/>
      </c>
      <c r="D1305" s="204"/>
      <c r="E1305" s="909"/>
      <c r="F1305" s="909"/>
      <c r="G1305" s="1390"/>
      <c r="J1305" s="1441"/>
    </row>
    <row r="1306" spans="1:10" x14ac:dyDescent="0.3">
      <c r="B1306" s="311" t="str">
        <f>IF(LEN('Ch7'!H544)=0,"",'Ch7'!H544)</f>
        <v/>
      </c>
      <c r="C1306" s="311" t="str">
        <f t="shared" si="33"/>
        <v/>
      </c>
      <c r="D1306" s="919"/>
      <c r="E1306" s="913"/>
      <c r="F1306" s="913"/>
      <c r="G1306" s="681" t="s">
        <v>1244</v>
      </c>
      <c r="J1306" s="989"/>
    </row>
    <row r="1307" spans="1:10" x14ac:dyDescent="0.3">
      <c r="B1307" s="311" t="str">
        <f>IF(LEN('Ch7'!H545)=0,"",'Ch7'!H545)</f>
        <v/>
      </c>
      <c r="C1307" s="311" t="str">
        <f t="shared" si="33"/>
        <v/>
      </c>
      <c r="D1307" s="919"/>
      <c r="E1307" s="913"/>
      <c r="F1307" s="964" t="s">
        <v>121</v>
      </c>
      <c r="G1307" s="682" t="s">
        <v>1245</v>
      </c>
      <c r="J1307" s="989"/>
    </row>
    <row r="1308" spans="1:10" x14ac:dyDescent="0.3">
      <c r="B1308" s="311" t="str">
        <f>IF(LEN('Ch7'!H546)=0,"",'Ch7'!H546)</f>
        <v/>
      </c>
      <c r="C1308" s="311" t="str">
        <f t="shared" si="33"/>
        <v/>
      </c>
      <c r="D1308" s="919"/>
      <c r="E1308" s="913"/>
      <c r="F1308" s="964" t="s">
        <v>122</v>
      </c>
      <c r="G1308" s="682" t="s">
        <v>1246</v>
      </c>
      <c r="J1308" s="989"/>
    </row>
    <row r="1309" spans="1:10" x14ac:dyDescent="0.3">
      <c r="B1309" s="311" t="str">
        <f>IF(LEN('Ch7'!H547)=0,"",'Ch7'!H547)</f>
        <v/>
      </c>
      <c r="C1309" s="311" t="str">
        <f t="shared" si="33"/>
        <v/>
      </c>
      <c r="D1309" s="919"/>
      <c r="E1309" s="913"/>
      <c r="F1309" s="965" t="s">
        <v>123</v>
      </c>
      <c r="G1309" s="682" t="s">
        <v>1247</v>
      </c>
      <c r="J1309" s="989"/>
    </row>
    <row r="1310" spans="1:10" x14ac:dyDescent="0.3">
      <c r="B1310" s="311" t="str">
        <f>IF(LEN('Ch7'!H548)=0,"",'Ch7'!H548)</f>
        <v/>
      </c>
      <c r="C1310" s="311" t="str">
        <f t="shared" si="33"/>
        <v/>
      </c>
      <c r="D1310" s="919"/>
      <c r="E1310" s="913"/>
      <c r="F1310" s="912" t="s">
        <v>423</v>
      </c>
      <c r="G1310" s="682" t="s">
        <v>1248</v>
      </c>
      <c r="J1310" s="989"/>
    </row>
    <row r="1311" spans="1:10" x14ac:dyDescent="0.3">
      <c r="B1311" s="311" t="str">
        <f>IF(LEN('Ch7'!H549)=0,"",'Ch7'!H549)</f>
        <v/>
      </c>
      <c r="C1311" s="311" t="str">
        <f t="shared" si="33"/>
        <v/>
      </c>
      <c r="D1311" s="919"/>
      <c r="E1311" s="913"/>
      <c r="F1311" s="912" t="s">
        <v>578</v>
      </c>
      <c r="G1311" s="682" t="s">
        <v>1249</v>
      </c>
      <c r="J1311" s="989"/>
    </row>
    <row r="1312" spans="1:10" x14ac:dyDescent="0.3">
      <c r="B1312" s="311" t="str">
        <f>IF(LEN('Ch7'!H550)=0,"",'Ch7'!H550)</f>
        <v/>
      </c>
      <c r="C1312" s="311" t="str">
        <f t="shared" si="33"/>
        <v/>
      </c>
      <c r="D1312" s="919"/>
      <c r="E1312" s="913"/>
      <c r="F1312" s="965" t="s">
        <v>645</v>
      </c>
      <c r="G1312" s="682" t="s">
        <v>1250</v>
      </c>
      <c r="J1312" s="989"/>
    </row>
    <row r="1313" spans="1:10" x14ac:dyDescent="0.3">
      <c r="B1313" s="311" t="str">
        <f>IF(LEN('Ch7'!H551)=0,"",'Ch7'!H551)</f>
        <v/>
      </c>
      <c r="C1313" s="311" t="str">
        <f t="shared" si="33"/>
        <v/>
      </c>
      <c r="D1313" s="204"/>
      <c r="E1313" s="909"/>
      <c r="F1313" s="914" t="s">
        <v>647</v>
      </c>
      <c r="G1313" s="1293" t="s">
        <v>1251</v>
      </c>
      <c r="J1313" s="989"/>
    </row>
    <row r="1314" spans="1:10" x14ac:dyDescent="0.3">
      <c r="B1314" s="311" t="str">
        <f>IF(LEN('Ch7'!H552)=0,"",'Ch7'!H552)</f>
        <v/>
      </c>
      <c r="C1314" s="311" t="str">
        <f t="shared" si="33"/>
        <v/>
      </c>
      <c r="D1314" s="232"/>
      <c r="E1314" s="910"/>
      <c r="F1314" s="916"/>
      <c r="G1314" s="1294"/>
      <c r="J1314" s="989"/>
    </row>
    <row r="1315" spans="1:10" x14ac:dyDescent="0.3">
      <c r="A1315" s="1196" t="str">
        <f>IF(COUNTIF(A1316:A1318,"P")&gt;0,"P","")</f>
        <v/>
      </c>
      <c r="B1315" s="311" t="str">
        <f>IF(LEN('Ch7'!H553)=0,"",'Ch7'!H553)</f>
        <v/>
      </c>
      <c r="C1315" s="311" t="str">
        <f t="shared" si="33"/>
        <v/>
      </c>
      <c r="D1315" s="929" t="s">
        <v>1252</v>
      </c>
      <c r="E1315" s="915"/>
      <c r="F1315" s="915"/>
      <c r="G1315" s="975" t="s">
        <v>1253</v>
      </c>
      <c r="J1315" s="989"/>
    </row>
    <row r="1316" spans="1:10" x14ac:dyDescent="0.3">
      <c r="A1316" s="727" t="str">
        <f>IF(AND(LEN('Ch7'!W554)&gt;0,NOT('Ch7'!W554=FALSE)),"P","")</f>
        <v/>
      </c>
      <c r="B1316" s="311" t="str">
        <f>IF(LEN('Ch7'!H554)=0,"",'Ch7'!H554)</f>
        <v/>
      </c>
      <c r="C1316" s="311" t="str">
        <f t="shared" si="33"/>
        <v/>
      </c>
      <c r="D1316" s="106" t="s">
        <v>1254</v>
      </c>
      <c r="E1316" s="909"/>
      <c r="F1316" s="909"/>
      <c r="G1316" s="1402" t="s">
        <v>1255</v>
      </c>
      <c r="H1316" s="89">
        <f>'Ch7'!W554</f>
        <v>0</v>
      </c>
      <c r="I1316" s="89">
        <f ca="1">'Ch7'!O554</f>
        <v>0</v>
      </c>
      <c r="J1316" s="1441" t="s">
        <v>4226</v>
      </c>
    </row>
    <row r="1317" spans="1:10" x14ac:dyDescent="0.3">
      <c r="A1317" s="727" t="str">
        <f>A1316</f>
        <v/>
      </c>
      <c r="B1317" s="311" t="str">
        <f>IF(LEN('Ch7'!H555)=0,"",'Ch7'!H555)</f>
        <v/>
      </c>
      <c r="C1317" s="311" t="str">
        <f t="shared" si="33"/>
        <v/>
      </c>
      <c r="D1317" s="927"/>
      <c r="E1317" s="910"/>
      <c r="F1317" s="910"/>
      <c r="G1317" s="1403"/>
      <c r="J1317" s="1441"/>
    </row>
    <row r="1318" spans="1:10" x14ac:dyDescent="0.3">
      <c r="A1318" s="727" t="str">
        <f>IF(AND(LEN('Ch7'!W556)&gt;0,NOT('Ch7'!W556=FALSE)),"P","")</f>
        <v/>
      </c>
      <c r="B1318" s="311" t="str">
        <f>IF(LEN('Ch7'!H556)=0,"",'Ch7'!H556)</f>
        <v/>
      </c>
      <c r="C1318" s="311" t="str">
        <f t="shared" si="33"/>
        <v/>
      </c>
      <c r="D1318" s="106" t="s">
        <v>1256</v>
      </c>
      <c r="E1318" s="909"/>
      <c r="F1318" s="909"/>
      <c r="G1318" s="1397" t="s">
        <v>1257</v>
      </c>
      <c r="H1318" s="89">
        <f>'Ch7'!W556</f>
        <v>0</v>
      </c>
      <c r="I1318" s="89">
        <f ca="1">'Ch7'!O556</f>
        <v>0</v>
      </c>
      <c r="J1318" s="1443" t="s">
        <v>4226</v>
      </c>
    </row>
    <row r="1319" spans="1:10" ht="15" thickBot="1" x14ac:dyDescent="0.35">
      <c r="A1319" s="727" t="str">
        <f>A1318</f>
        <v/>
      </c>
      <c r="B1319" s="311" t="str">
        <f>IF(LEN('Ch7'!H557)=0,"",'Ch7'!H557)</f>
        <v/>
      </c>
      <c r="C1319" s="311" t="str">
        <f t="shared" si="33"/>
        <v/>
      </c>
      <c r="D1319" s="934"/>
      <c r="E1319" s="911"/>
      <c r="F1319" s="911"/>
      <c r="G1319" s="1398"/>
      <c r="J1319" s="1443"/>
    </row>
    <row r="1320" spans="1:10" x14ac:dyDescent="0.3">
      <c r="A1320" s="727" t="str">
        <f>IF(AND(LEN('Ch7'!W558)&gt;0,NOT('Ch7'!W558=FALSE)),"P","")</f>
        <v/>
      </c>
      <c r="B1320" s="311" t="str">
        <f>IF(LEN('Ch7'!H558)=0,"",'Ch7'!H558)</f>
        <v/>
      </c>
      <c r="C1320" s="311" t="str">
        <f t="shared" si="33"/>
        <v/>
      </c>
      <c r="D1320" s="152">
        <v>705.7</v>
      </c>
      <c r="E1320" s="913"/>
      <c r="F1320" s="913"/>
      <c r="G1320" s="1401" t="s">
        <v>1258</v>
      </c>
      <c r="H1320" s="89">
        <f>'Ch7'!W558</f>
        <v>0</v>
      </c>
      <c r="I1320" s="89">
        <f ca="1">'Ch7'!O558</f>
        <v>0</v>
      </c>
      <c r="J1320" s="1439" t="s">
        <v>4226</v>
      </c>
    </row>
    <row r="1321" spans="1:10" x14ac:dyDescent="0.3">
      <c r="A1321" s="727" t="str">
        <f>A1320</f>
        <v/>
      </c>
      <c r="B1321" s="311" t="str">
        <f>IF(LEN('Ch7'!H559)=0,"",'Ch7'!H559)</f>
        <v/>
      </c>
      <c r="C1321" s="311" t="str">
        <f t="shared" si="33"/>
        <v/>
      </c>
      <c r="D1321" s="919"/>
      <c r="E1321" s="913"/>
      <c r="F1321" s="913"/>
      <c r="G1321" s="1401"/>
      <c r="J1321" s="1439"/>
    </row>
    <row r="1322" spans="1:10" x14ac:dyDescent="0.3">
      <c r="A1322" s="727" t="str">
        <f>A1321</f>
        <v/>
      </c>
      <c r="B1322" s="311" t="str">
        <f>IF(LEN('Ch7'!H560)=0,"",'Ch7'!H560)</f>
        <v/>
      </c>
      <c r="C1322" s="311" t="str">
        <f t="shared" si="33"/>
        <v/>
      </c>
      <c r="D1322" s="919"/>
      <c r="E1322" s="913"/>
      <c r="F1322" s="913"/>
      <c r="G1322" s="1401"/>
      <c r="J1322" s="1439"/>
    </row>
    <row r="1323" spans="1:10" x14ac:dyDescent="0.3">
      <c r="A1323" s="727" t="str">
        <f>A1322</f>
        <v/>
      </c>
      <c r="B1323" s="311" t="str">
        <f>IF(LEN('Ch7'!H561)=0,"",'Ch7'!H561)</f>
        <v/>
      </c>
      <c r="C1323" s="311" t="str">
        <f t="shared" si="33"/>
        <v/>
      </c>
      <c r="D1323" s="919"/>
      <c r="E1323" s="913"/>
      <c r="F1323" s="913"/>
      <c r="G1323" s="1401"/>
      <c r="J1323" s="1439"/>
    </row>
    <row r="1324" spans="1:10" ht="18" x14ac:dyDescent="0.3">
      <c r="A1324" s="727" t="s">
        <v>4389</v>
      </c>
      <c r="B1324" s="311" t="str">
        <f>IF(LEN('Ch7'!H562)=0,"",'Ch7'!H562)</f>
        <v/>
      </c>
      <c r="C1324" s="311" t="str">
        <f t="shared" si="33"/>
        <v>P</v>
      </c>
      <c r="D1324" s="72" t="s">
        <v>1259</v>
      </c>
      <c r="E1324" s="258"/>
      <c r="F1324" s="258"/>
      <c r="G1324" s="87"/>
      <c r="J1324" s="1000"/>
    </row>
    <row r="1325" spans="1:10" x14ac:dyDescent="0.3">
      <c r="A1325" s="727" t="str">
        <f>IF('Ch7'!O563&gt;0,"P","")</f>
        <v/>
      </c>
      <c r="B1325" s="311" t="str">
        <f>IF(LEN('Ch7'!H563)=0,"",'Ch7'!H563)</f>
        <v/>
      </c>
      <c r="C1325" s="311" t="str">
        <f t="shared" si="33"/>
        <v/>
      </c>
      <c r="D1325" s="152">
        <v>706.1</v>
      </c>
      <c r="E1325" s="913"/>
      <c r="F1325" s="913"/>
      <c r="G1325" s="1292" t="s">
        <v>1260</v>
      </c>
      <c r="I1325" s="89">
        <f>'Ch7'!O563</f>
        <v>0</v>
      </c>
      <c r="J1325" s="1443" t="s">
        <v>4290</v>
      </c>
    </row>
    <row r="1326" spans="1:10" x14ac:dyDescent="0.3">
      <c r="A1326" s="727" t="str">
        <f>A1325</f>
        <v/>
      </c>
      <c r="B1326" s="311" t="str">
        <f>IF(LEN('Ch7'!H564)=0,"",'Ch7'!H564)</f>
        <v/>
      </c>
      <c r="C1326" s="311" t="str">
        <f t="shared" si="33"/>
        <v/>
      </c>
      <c r="D1326" s="919"/>
      <c r="E1326" s="913"/>
      <c r="F1326" s="913"/>
      <c r="G1326" s="1292"/>
      <c r="J1326" s="1443"/>
    </row>
    <row r="1327" spans="1:10" x14ac:dyDescent="0.3">
      <c r="B1327" s="311" t="str">
        <f>IF(LEN('Ch7'!H565)=0,"",'Ch7'!H565)</f>
        <v/>
      </c>
      <c r="C1327" s="311" t="str">
        <f t="shared" si="33"/>
        <v/>
      </c>
      <c r="D1327" s="919"/>
      <c r="E1327" s="962" t="s">
        <v>271</v>
      </c>
      <c r="F1327" s="910"/>
      <c r="G1327" s="676" t="s">
        <v>1261</v>
      </c>
      <c r="H1327" s="89">
        <f>'Ch7'!W565</f>
        <v>0</v>
      </c>
      <c r="J1327" s="996"/>
    </row>
    <row r="1328" spans="1:10" x14ac:dyDescent="0.3">
      <c r="B1328" s="311" t="str">
        <f>IF(LEN('Ch7'!H566)=0,"",'Ch7'!H566)</f>
        <v/>
      </c>
      <c r="C1328" s="311" t="str">
        <f t="shared" si="33"/>
        <v/>
      </c>
      <c r="D1328" s="919"/>
      <c r="E1328" s="969" t="s">
        <v>273</v>
      </c>
      <c r="F1328" s="364"/>
      <c r="G1328" s="365" t="s">
        <v>1262</v>
      </c>
      <c r="H1328" s="89">
        <f>'Ch7'!W566</f>
        <v>0</v>
      </c>
      <c r="J1328" s="1001"/>
    </row>
    <row r="1329" spans="1:10" x14ac:dyDescent="0.3">
      <c r="B1329" s="311" t="str">
        <f>IF(LEN('Ch7'!H567)=0,"",'Ch7'!H567)</f>
        <v/>
      </c>
      <c r="C1329" s="311" t="str">
        <f t="shared" si="33"/>
        <v/>
      </c>
      <c r="D1329" s="919"/>
      <c r="E1329" s="969" t="s">
        <v>275</v>
      </c>
      <c r="F1329" s="364"/>
      <c r="G1329" s="365" t="s">
        <v>1263</v>
      </c>
      <c r="H1329" s="89">
        <f>'Ch7'!W567</f>
        <v>0</v>
      </c>
      <c r="J1329" s="1001"/>
    </row>
    <row r="1330" spans="1:10" x14ac:dyDescent="0.3">
      <c r="B1330" s="311" t="str">
        <f>IF(LEN('Ch7'!H568)=0,"",'Ch7'!H568)</f>
        <v/>
      </c>
      <c r="C1330" s="311" t="str">
        <f t="shared" si="33"/>
        <v/>
      </c>
      <c r="D1330" s="919"/>
      <c r="E1330" s="968" t="s">
        <v>285</v>
      </c>
      <c r="F1330" s="915"/>
      <c r="G1330" s="1355" t="s">
        <v>1264</v>
      </c>
      <c r="H1330" s="89">
        <f>'Ch7'!W568</f>
        <v>0</v>
      </c>
      <c r="J1330" s="1001"/>
    </row>
    <row r="1331" spans="1:10" x14ac:dyDescent="0.3">
      <c r="B1331" s="311" t="str">
        <f>IF(LEN('Ch7'!H569)=0,"",'Ch7'!H569)</f>
        <v/>
      </c>
      <c r="C1331" s="311" t="str">
        <f t="shared" si="33"/>
        <v/>
      </c>
      <c r="D1331" s="919"/>
      <c r="E1331" s="962"/>
      <c r="F1331" s="910"/>
      <c r="G1331" s="1294"/>
      <c r="J1331" s="1001"/>
    </row>
    <row r="1332" spans="1:10" ht="15" thickBot="1" x14ac:dyDescent="0.35">
      <c r="B1332" s="311" t="str">
        <f>IF(LEN('Ch7'!H570)=0,"",'Ch7'!H570)</f>
        <v/>
      </c>
      <c r="C1332" s="311" t="str">
        <f t="shared" si="33"/>
        <v/>
      </c>
      <c r="D1332" s="934"/>
      <c r="E1332" s="971" t="s">
        <v>291</v>
      </c>
      <c r="F1332" s="911"/>
      <c r="G1332" s="678" t="s">
        <v>1265</v>
      </c>
      <c r="H1332" s="89">
        <f>'Ch7'!W570</f>
        <v>0</v>
      </c>
      <c r="J1332" s="1001"/>
    </row>
    <row r="1333" spans="1:10" ht="15" thickTop="1" x14ac:dyDescent="0.3">
      <c r="A1333" s="1196" t="str">
        <f>IF(COUNTIF(A1335:A1338,"P")&gt;0,"P","")</f>
        <v/>
      </c>
      <c r="B1333" s="311" t="str">
        <f>IF(LEN('Ch7'!H571)=0,"",'Ch7'!H571)</f>
        <v/>
      </c>
      <c r="C1333" s="311" t="str">
        <f t="shared" si="33"/>
        <v/>
      </c>
      <c r="D1333" s="111">
        <v>706.2</v>
      </c>
      <c r="E1333" s="963"/>
      <c r="F1333" s="963"/>
      <c r="G1333" s="1427" t="s">
        <v>1266</v>
      </c>
      <c r="J1333" s="989"/>
    </row>
    <row r="1334" spans="1:10" x14ac:dyDescent="0.3">
      <c r="A1334" s="727" t="str">
        <f>A1333</f>
        <v/>
      </c>
      <c r="B1334" s="311" t="str">
        <f>IF(LEN('Ch7'!H572)=0,"",'Ch7'!H572)</f>
        <v/>
      </c>
      <c r="C1334" s="311" t="str">
        <f t="shared" si="33"/>
        <v/>
      </c>
      <c r="D1334" s="106"/>
      <c r="E1334" s="909"/>
      <c r="F1334" s="909"/>
      <c r="G1334" s="1390"/>
      <c r="J1334" s="989"/>
    </row>
    <row r="1335" spans="1:10" ht="15" customHeight="1" x14ac:dyDescent="0.3">
      <c r="A1335" s="727" t="str">
        <f>IF(AND(LEN('Ch7'!W573)&gt;0,NOT('Ch7'!W573=FALSE)),"P","")</f>
        <v/>
      </c>
      <c r="B1335" s="311" t="str">
        <f>IF(LEN('Ch7'!H573)=0,"",'Ch7'!H573)</f>
        <v/>
      </c>
      <c r="C1335" s="311" t="str">
        <f t="shared" si="33"/>
        <v/>
      </c>
      <c r="D1335" s="919"/>
      <c r="E1335" s="961" t="s">
        <v>271</v>
      </c>
      <c r="F1335" s="909"/>
      <c r="G1335" s="1305" t="s">
        <v>1267</v>
      </c>
      <c r="H1335" s="89">
        <f>'Ch7'!W573</f>
        <v>0</v>
      </c>
      <c r="I1335" s="89">
        <f>'Ch7'!O573</f>
        <v>0</v>
      </c>
      <c r="J1335" s="1443" t="s">
        <v>4291</v>
      </c>
    </row>
    <row r="1336" spans="1:10" x14ac:dyDescent="0.3">
      <c r="A1336" s="727" t="str">
        <f>A1335</f>
        <v/>
      </c>
      <c r="B1336" s="311" t="str">
        <f>IF(LEN('Ch7'!H574)=0,"",'Ch7'!H574)</f>
        <v/>
      </c>
      <c r="C1336" s="311" t="str">
        <f t="shared" si="33"/>
        <v/>
      </c>
      <c r="D1336" s="919"/>
      <c r="E1336" s="909"/>
      <c r="F1336" s="909"/>
      <c r="G1336" s="1305"/>
      <c r="J1336" s="1443"/>
    </row>
    <row r="1337" spans="1:10" x14ac:dyDescent="0.3">
      <c r="A1337" s="727" t="str">
        <f>A1336</f>
        <v/>
      </c>
      <c r="B1337" s="311" t="str">
        <f>IF(LEN('Ch7'!H575)=0,"",'Ch7'!H575)</f>
        <v/>
      </c>
      <c r="C1337" s="311" t="str">
        <f t="shared" si="33"/>
        <v/>
      </c>
      <c r="D1337" s="919"/>
      <c r="E1337" s="910"/>
      <c r="F1337" s="910"/>
      <c r="G1337" s="1306"/>
      <c r="J1337" s="1443"/>
    </row>
    <row r="1338" spans="1:10" ht="15" customHeight="1" x14ac:dyDescent="0.3">
      <c r="A1338" s="727" t="str">
        <f>IF(AND(LEN('Ch7'!W576)&gt;0,NOT('Ch7'!W576=FALSE)),"P","")</f>
        <v/>
      </c>
      <c r="B1338" s="311" t="str">
        <f>IF(LEN('Ch7'!H576)=0,"",'Ch7'!H576)</f>
        <v/>
      </c>
      <c r="C1338" s="311" t="str">
        <f t="shared" si="33"/>
        <v/>
      </c>
      <c r="D1338" s="204"/>
      <c r="E1338" s="961" t="s">
        <v>273</v>
      </c>
      <c r="F1338" s="909"/>
      <c r="G1338" s="1305" t="s">
        <v>1268</v>
      </c>
      <c r="H1338" s="89">
        <f>'Ch7'!W576</f>
        <v>0</v>
      </c>
      <c r="I1338" s="89">
        <f ca="1">'Ch7'!O576</f>
        <v>0</v>
      </c>
      <c r="J1338" s="1443" t="s">
        <v>4292</v>
      </c>
    </row>
    <row r="1339" spans="1:10" x14ac:dyDescent="0.3">
      <c r="A1339" s="727" t="str">
        <f>A1338</f>
        <v/>
      </c>
      <c r="B1339" s="311" t="str">
        <f>IF(LEN('Ch7'!H577)=0,"",'Ch7'!H577)</f>
        <v/>
      </c>
      <c r="C1339" s="311" t="str">
        <f t="shared" si="33"/>
        <v/>
      </c>
      <c r="D1339" s="204"/>
      <c r="E1339" s="909"/>
      <c r="F1339" s="909"/>
      <c r="G1339" s="1305"/>
      <c r="J1339" s="1443"/>
    </row>
    <row r="1340" spans="1:10" x14ac:dyDescent="0.3">
      <c r="A1340" s="727" t="str">
        <f>A1339</f>
        <v/>
      </c>
      <c r="B1340" s="311" t="str">
        <f>IF(LEN('Ch7'!H578)=0,"",'Ch7'!H578)</f>
        <v/>
      </c>
      <c r="C1340" s="311" t="str">
        <f t="shared" si="33"/>
        <v/>
      </c>
      <c r="D1340" s="204"/>
      <c r="E1340" s="909"/>
      <c r="F1340" s="909"/>
      <c r="G1340" s="1305"/>
      <c r="J1340" s="1443"/>
    </row>
    <row r="1341" spans="1:10" x14ac:dyDescent="0.3">
      <c r="B1341" s="311" t="str">
        <f>IF(LEN('Ch7'!H579)=0,"",'Ch7'!H579)</f>
        <v/>
      </c>
      <c r="C1341" s="311" t="str">
        <f t="shared" si="33"/>
        <v/>
      </c>
      <c r="D1341" s="204"/>
      <c r="E1341" s="909"/>
      <c r="F1341" s="961" t="s">
        <v>121</v>
      </c>
      <c r="G1341" s="1305" t="s">
        <v>1269</v>
      </c>
      <c r="J1341" s="1001"/>
    </row>
    <row r="1342" spans="1:10" x14ac:dyDescent="0.3">
      <c r="B1342" s="311" t="str">
        <f>IF(LEN('Ch7'!H580)=0,"",'Ch7'!H580)</f>
        <v/>
      </c>
      <c r="C1342" s="311" t="str">
        <f t="shared" si="33"/>
        <v/>
      </c>
      <c r="D1342" s="204"/>
      <c r="E1342" s="909"/>
      <c r="F1342" s="962"/>
      <c r="G1342" s="1306"/>
      <c r="J1342" s="1001"/>
    </row>
    <row r="1343" spans="1:10" x14ac:dyDescent="0.3">
      <c r="B1343" s="311" t="str">
        <f>IF(LEN('Ch7'!H581)=0,"",'Ch7'!H581)</f>
        <v/>
      </c>
      <c r="C1343" s="311" t="str">
        <f t="shared" si="33"/>
        <v/>
      </c>
      <c r="D1343" s="204"/>
      <c r="E1343" s="909"/>
      <c r="F1343" s="961" t="s">
        <v>122</v>
      </c>
      <c r="G1343" s="1305" t="s">
        <v>1270</v>
      </c>
      <c r="J1343" s="1001"/>
    </row>
    <row r="1344" spans="1:10" ht="15" thickBot="1" x14ac:dyDescent="0.35">
      <c r="B1344" s="311" t="str">
        <f>IF(LEN('Ch7'!H582)=0,"",'Ch7'!H582)</f>
        <v/>
      </c>
      <c r="C1344" s="311" t="str">
        <f t="shared" si="33"/>
        <v/>
      </c>
      <c r="D1344" s="934"/>
      <c r="E1344" s="911"/>
      <c r="F1344" s="911"/>
      <c r="G1344" s="1330"/>
      <c r="J1344" s="1001"/>
    </row>
    <row r="1345" spans="1:10" ht="15" thickTop="1" x14ac:dyDescent="0.3">
      <c r="A1345" s="727" t="str">
        <f>IF('Ch7'!O583&gt;0,"P","")</f>
        <v/>
      </c>
      <c r="B1345" s="311" t="str">
        <f>IF(LEN('Ch7'!H583)=0,"",'Ch7'!H583)</f>
        <v/>
      </c>
      <c r="C1345" s="311" t="str">
        <f t="shared" si="33"/>
        <v/>
      </c>
      <c r="D1345" s="111">
        <v>706.3</v>
      </c>
      <c r="E1345" s="963"/>
      <c r="F1345" s="963"/>
      <c r="G1345" s="1427" t="s">
        <v>1271</v>
      </c>
      <c r="I1345" s="89">
        <f>'Ch7'!O583</f>
        <v>0</v>
      </c>
      <c r="J1345" s="1443" t="s">
        <v>4293</v>
      </c>
    </row>
    <row r="1346" spans="1:10" x14ac:dyDescent="0.3">
      <c r="A1346" s="727" t="str">
        <f>A1345</f>
        <v/>
      </c>
      <c r="B1346" s="311" t="str">
        <f>IF(LEN('Ch7'!H584)=0,"",'Ch7'!H584)</f>
        <v/>
      </c>
      <c r="C1346" s="311" t="str">
        <f t="shared" si="33"/>
        <v/>
      </c>
      <c r="D1346" s="106"/>
      <c r="E1346" s="909"/>
      <c r="F1346" s="909"/>
      <c r="G1346" s="1390"/>
      <c r="J1346" s="1443"/>
    </row>
    <row r="1347" spans="1:10" x14ac:dyDescent="0.3">
      <c r="B1347" s="311" t="str">
        <f>IF(LEN('Ch7'!H585)=0,"",'Ch7'!H585)</f>
        <v/>
      </c>
      <c r="C1347" s="311" t="str">
        <f t="shared" si="33"/>
        <v/>
      </c>
      <c r="D1347" s="919"/>
      <c r="E1347" s="913"/>
      <c r="F1347" s="913"/>
      <c r="G1347" s="695" t="s">
        <v>1272</v>
      </c>
      <c r="J1347" s="1001"/>
    </row>
    <row r="1348" spans="1:10" x14ac:dyDescent="0.3">
      <c r="B1348" s="311" t="str">
        <f>IF(LEN('Ch7'!H586)=0,"",'Ch7'!H586)</f>
        <v/>
      </c>
      <c r="C1348" s="311" t="str">
        <f t="shared" si="33"/>
        <v/>
      </c>
      <c r="D1348" s="919"/>
      <c r="E1348" s="913"/>
      <c r="F1348" s="913"/>
      <c r="G1348" s="695" t="s">
        <v>1273</v>
      </c>
      <c r="J1348" s="1001"/>
    </row>
    <row r="1349" spans="1:10" x14ac:dyDescent="0.3">
      <c r="B1349" s="311" t="str">
        <f>IF(LEN('Ch7'!H587)=0,"",'Ch7'!H587)</f>
        <v/>
      </c>
      <c r="C1349" s="311" t="str">
        <f t="shared" si="33"/>
        <v/>
      </c>
      <c r="D1349" s="919"/>
      <c r="F1349" s="912"/>
      <c r="G1349" s="1365" t="s">
        <v>1274</v>
      </c>
      <c r="J1349" s="1001"/>
    </row>
    <row r="1350" spans="1:10" x14ac:dyDescent="0.3">
      <c r="B1350" s="311" t="str">
        <f>IF(LEN('Ch7'!H588)=0,"",'Ch7'!H588)</f>
        <v/>
      </c>
      <c r="C1350" s="311" t="str">
        <f t="shared" si="33"/>
        <v/>
      </c>
      <c r="D1350" s="919"/>
      <c r="F1350" s="912"/>
      <c r="G1350" s="1365"/>
      <c r="J1350" s="1001"/>
    </row>
    <row r="1351" spans="1:10" x14ac:dyDescent="0.3">
      <c r="B1351" s="311" t="str">
        <f>IF(LEN('Ch7'!H589)=0,"",'Ch7'!H589)</f>
        <v/>
      </c>
      <c r="C1351" s="311" t="str">
        <f t="shared" si="33"/>
        <v/>
      </c>
      <c r="D1351" s="919"/>
      <c r="E1351" s="913"/>
      <c r="G1351" s="1365" t="s">
        <v>1275</v>
      </c>
      <c r="J1351" s="1001"/>
    </row>
    <row r="1352" spans="1:10" x14ac:dyDescent="0.3">
      <c r="B1352" s="311" t="str">
        <f>IF(LEN('Ch7'!H590)=0,"",'Ch7'!H590)</f>
        <v/>
      </c>
      <c r="C1352" s="311" t="str">
        <f t="shared" ref="C1352:C1415" si="34">IF(LEN(B1352)=0,IF(A1352="P","P",""),B1352)</f>
        <v/>
      </c>
      <c r="D1352" s="919"/>
      <c r="E1352" s="913"/>
      <c r="G1352" s="1365"/>
      <c r="J1352" s="1001"/>
    </row>
    <row r="1353" spans="1:10" x14ac:dyDescent="0.3">
      <c r="B1353" s="311" t="str">
        <f>IF(LEN('Ch7'!H591)=0,"",'Ch7'!H591)</f>
        <v/>
      </c>
      <c r="C1353" s="311" t="str">
        <f t="shared" si="34"/>
        <v/>
      </c>
      <c r="D1353" s="919"/>
      <c r="E1353" s="962" t="s">
        <v>271</v>
      </c>
      <c r="F1353" s="910"/>
      <c r="G1353" s="676" t="s">
        <v>1138</v>
      </c>
      <c r="H1353" s="89">
        <f>'Ch7'!W591</f>
        <v>0</v>
      </c>
      <c r="J1353" s="996"/>
    </row>
    <row r="1354" spans="1:10" x14ac:dyDescent="0.3">
      <c r="B1354" s="311" t="str">
        <f>IF(LEN('Ch7'!H592)=0,"",'Ch7'!H592)</f>
        <v/>
      </c>
      <c r="C1354" s="311" t="str">
        <f t="shared" si="34"/>
        <v/>
      </c>
      <c r="D1354" s="919"/>
      <c r="E1354" s="969" t="s">
        <v>273</v>
      </c>
      <c r="F1354" s="364"/>
      <c r="G1354" s="365" t="s">
        <v>1276</v>
      </c>
      <c r="H1354" s="89">
        <f>'Ch7'!W592</f>
        <v>0</v>
      </c>
      <c r="J1354" s="996"/>
    </row>
    <row r="1355" spans="1:10" x14ac:dyDescent="0.3">
      <c r="B1355" s="311" t="str">
        <f>IF(LEN('Ch7'!H593)=0,"",'Ch7'!H593)</f>
        <v/>
      </c>
      <c r="C1355" s="311" t="str">
        <f t="shared" si="34"/>
        <v/>
      </c>
      <c r="D1355" s="919"/>
      <c r="E1355" s="969" t="s">
        <v>275</v>
      </c>
      <c r="F1355" s="364"/>
      <c r="G1355" s="365" t="s">
        <v>1139</v>
      </c>
      <c r="H1355" s="89">
        <f>'Ch7'!W593</f>
        <v>0</v>
      </c>
      <c r="J1355" s="996"/>
    </row>
    <row r="1356" spans="1:10" x14ac:dyDescent="0.3">
      <c r="B1356" s="311" t="str">
        <f>IF(LEN('Ch7'!H594)=0,"",'Ch7'!H594)</f>
        <v/>
      </c>
      <c r="C1356" s="311" t="str">
        <f t="shared" si="34"/>
        <v/>
      </c>
      <c r="D1356" s="919"/>
      <c r="E1356" s="969" t="s">
        <v>285</v>
      </c>
      <c r="F1356" s="364"/>
      <c r="G1356" s="365" t="s">
        <v>1277</v>
      </c>
      <c r="H1356" s="89">
        <f>'Ch7'!W594</f>
        <v>0</v>
      </c>
      <c r="J1356" s="996"/>
    </row>
    <row r="1357" spans="1:10" x14ac:dyDescent="0.3">
      <c r="B1357" s="311" t="str">
        <f>IF(LEN('Ch7'!H595)=0,"",'Ch7'!H595)</f>
        <v/>
      </c>
      <c r="C1357" s="311" t="str">
        <f t="shared" si="34"/>
        <v/>
      </c>
      <c r="D1357" s="919"/>
      <c r="E1357" s="969" t="s">
        <v>291</v>
      </c>
      <c r="F1357" s="364"/>
      <c r="G1357" s="365" t="s">
        <v>1278</v>
      </c>
      <c r="H1357" s="89">
        <f>'Ch7'!W595</f>
        <v>0</v>
      </c>
      <c r="J1357" s="996"/>
    </row>
    <row r="1358" spans="1:10" x14ac:dyDescent="0.3">
      <c r="B1358" s="311" t="str">
        <f>IF(LEN('Ch7'!H596)=0,"",'Ch7'!H596)</f>
        <v/>
      </c>
      <c r="C1358" s="311" t="str">
        <f t="shared" si="34"/>
        <v/>
      </c>
      <c r="D1358" s="919"/>
      <c r="E1358" s="969" t="s">
        <v>293</v>
      </c>
      <c r="F1358" s="364"/>
      <c r="G1358" s="365" t="s">
        <v>1279</v>
      </c>
      <c r="H1358" s="89">
        <f>'Ch7'!W596</f>
        <v>0</v>
      </c>
      <c r="J1358" s="996"/>
    </row>
    <row r="1359" spans="1:10" x14ac:dyDescent="0.3">
      <c r="B1359" s="311" t="str">
        <f>IF(LEN('Ch7'!H597)=0,"",'Ch7'!H597)</f>
        <v/>
      </c>
      <c r="C1359" s="311" t="str">
        <f t="shared" si="34"/>
        <v/>
      </c>
      <c r="D1359" s="919"/>
      <c r="E1359" s="969" t="s">
        <v>405</v>
      </c>
      <c r="F1359" s="364"/>
      <c r="G1359" s="365" t="s">
        <v>1280</v>
      </c>
      <c r="H1359" s="89">
        <f>'Ch7'!W597</f>
        <v>0</v>
      </c>
      <c r="J1359" s="996"/>
    </row>
    <row r="1360" spans="1:10" ht="15" thickBot="1" x14ac:dyDescent="0.35">
      <c r="B1360" s="311" t="str">
        <f>IF(LEN('Ch7'!H598)=0,"",'Ch7'!H598)</f>
        <v/>
      </c>
      <c r="C1360" s="311" t="str">
        <f t="shared" si="34"/>
        <v/>
      </c>
      <c r="D1360" s="934"/>
      <c r="E1360" s="971" t="s">
        <v>456</v>
      </c>
      <c r="F1360" s="911"/>
      <c r="G1360" s="678" t="s">
        <v>1281</v>
      </c>
      <c r="H1360" s="89">
        <f>'Ch7'!W598</f>
        <v>0</v>
      </c>
      <c r="J1360" s="996"/>
    </row>
    <row r="1361" spans="1:10" ht="15" thickTop="1" x14ac:dyDescent="0.3">
      <c r="A1361" s="1196" t="str">
        <f>IF(COUNTIF(A1362:A1367,"P")&gt;0,"P","")</f>
        <v/>
      </c>
      <c r="B1361" s="311" t="str">
        <f>IF(LEN('Ch7'!H599)=0,"",'Ch7'!H599)</f>
        <v/>
      </c>
      <c r="C1361" s="311" t="str">
        <f t="shared" si="34"/>
        <v/>
      </c>
      <c r="D1361" s="111">
        <v>706.4</v>
      </c>
      <c r="E1361" s="963"/>
      <c r="F1361" s="963"/>
      <c r="G1361" s="918" t="s">
        <v>1282</v>
      </c>
      <c r="J1361" s="989"/>
    </row>
    <row r="1362" spans="1:10" x14ac:dyDescent="0.3">
      <c r="A1362" s="727" t="str">
        <f>IF(SUM(I1363:I1365)&gt;0,"P","")</f>
        <v/>
      </c>
      <c r="B1362" s="311" t="str">
        <f>IF(LEN('Ch7'!H600)=0,"",'Ch7'!H600)</f>
        <v/>
      </c>
      <c r="C1362" s="311" t="str">
        <f t="shared" si="34"/>
        <v/>
      </c>
      <c r="D1362" s="152" t="s">
        <v>1283</v>
      </c>
      <c r="E1362" s="913"/>
      <c r="F1362" s="913"/>
      <c r="G1362" s="687" t="s">
        <v>1284</v>
      </c>
      <c r="J1362" s="1001" t="s">
        <v>4280</v>
      </c>
    </row>
    <row r="1363" spans="1:10" x14ac:dyDescent="0.3">
      <c r="B1363" s="311" t="str">
        <f>IF(LEN('Ch7'!H601)=0,"",'Ch7'!H601)</f>
        <v/>
      </c>
      <c r="C1363" s="311" t="str">
        <f t="shared" si="34"/>
        <v/>
      </c>
      <c r="D1363" s="919"/>
      <c r="E1363" s="961" t="s">
        <v>271</v>
      </c>
      <c r="F1363" s="909"/>
      <c r="G1363" s="1305" t="s">
        <v>1285</v>
      </c>
      <c r="H1363" s="89">
        <f>'Ch7'!W601</f>
        <v>0</v>
      </c>
      <c r="I1363" s="89">
        <f>'Ch7'!O601</f>
        <v>0</v>
      </c>
      <c r="J1363" s="996"/>
    </row>
    <row r="1364" spans="1:10" x14ac:dyDescent="0.3">
      <c r="B1364" s="311" t="str">
        <f>IF(LEN('Ch7'!H602)=0,"",'Ch7'!H602)</f>
        <v/>
      </c>
      <c r="C1364" s="311" t="str">
        <f t="shared" si="34"/>
        <v/>
      </c>
      <c r="D1364" s="919"/>
      <c r="E1364" s="962"/>
      <c r="F1364" s="910"/>
      <c r="G1364" s="1306"/>
      <c r="J1364" s="1001"/>
    </row>
    <row r="1365" spans="1:10" x14ac:dyDescent="0.3">
      <c r="B1365" s="311" t="str">
        <f>IF(LEN('Ch7'!H603)=0,"",'Ch7'!H603)</f>
        <v/>
      </c>
      <c r="C1365" s="311" t="str">
        <f t="shared" si="34"/>
        <v/>
      </c>
      <c r="D1365" s="204"/>
      <c r="E1365" s="961" t="s">
        <v>273</v>
      </c>
      <c r="F1365" s="909"/>
      <c r="G1365" s="1305" t="s">
        <v>1286</v>
      </c>
      <c r="H1365" s="89">
        <f>'Ch7'!W603</f>
        <v>0</v>
      </c>
      <c r="I1365" s="89">
        <f>'Ch7'!O603</f>
        <v>0</v>
      </c>
      <c r="J1365" s="1001"/>
    </row>
    <row r="1366" spans="1:10" x14ac:dyDescent="0.3">
      <c r="B1366" s="311" t="str">
        <f>IF(LEN('Ch7'!H604)=0,"",'Ch7'!H604)</f>
        <v/>
      </c>
      <c r="C1366" s="311" t="str">
        <f t="shared" si="34"/>
        <v/>
      </c>
      <c r="D1366" s="232"/>
      <c r="E1366" s="910"/>
      <c r="F1366" s="910"/>
      <c r="G1366" s="1306"/>
      <c r="J1366" s="1001"/>
    </row>
    <row r="1367" spans="1:10" x14ac:dyDescent="0.3">
      <c r="A1367" s="727" t="str">
        <f>IF(AND(LEN('Ch7'!W605)&gt;0,NOT('Ch7'!W605=FALSE)),"P","")</f>
        <v/>
      </c>
      <c r="B1367" s="311" t="str">
        <f>IF(LEN('Ch7'!H605)=0,"",'Ch7'!H605)</f>
        <v/>
      </c>
      <c r="C1367" s="311" t="str">
        <f t="shared" si="34"/>
        <v/>
      </c>
      <c r="D1367" s="929" t="s">
        <v>1287</v>
      </c>
      <c r="E1367" s="915"/>
      <c r="F1367" s="915"/>
      <c r="G1367" s="1364" t="s">
        <v>1288</v>
      </c>
      <c r="H1367" s="89">
        <f>'Ch7'!W605</f>
        <v>0</v>
      </c>
      <c r="I1367" s="89">
        <f>'Ch7'!O605</f>
        <v>0</v>
      </c>
      <c r="J1367" s="1439" t="s">
        <v>4280</v>
      </c>
    </row>
    <row r="1368" spans="1:10" ht="15" thickBot="1" x14ac:dyDescent="0.35">
      <c r="A1368" s="727" t="str">
        <f>A1367</f>
        <v/>
      </c>
      <c r="B1368" s="311" t="str">
        <f>IF(LEN('Ch7'!H606)=0,"",'Ch7'!H606)</f>
        <v/>
      </c>
      <c r="C1368" s="311" t="str">
        <f t="shared" si="34"/>
        <v/>
      </c>
      <c r="D1368" s="934"/>
      <c r="E1368" s="911"/>
      <c r="F1368" s="911"/>
      <c r="G1368" s="1332"/>
      <c r="J1368" s="1439"/>
    </row>
    <row r="1369" spans="1:10" ht="15.75" customHeight="1" thickTop="1" x14ac:dyDescent="0.3">
      <c r="A1369" s="727" t="str">
        <f ca="1">IF('Ch7'!O607&gt;0,"P","")</f>
        <v/>
      </c>
      <c r="B1369" s="311" t="str">
        <f>IF(LEN('Ch7'!H607)=0,"",'Ch7'!H607)</f>
        <v/>
      </c>
      <c r="C1369" s="311" t="str">
        <f t="shared" ca="1" si="34"/>
        <v/>
      </c>
      <c r="D1369" s="111">
        <v>706.5</v>
      </c>
      <c r="E1369" s="963"/>
      <c r="F1369" s="963"/>
      <c r="G1369" s="1331" t="s">
        <v>1289</v>
      </c>
      <c r="I1369" s="89">
        <f ca="1">'Ch7'!O607</f>
        <v>0</v>
      </c>
      <c r="J1369" s="1443" t="s">
        <v>4294</v>
      </c>
    </row>
    <row r="1370" spans="1:10" x14ac:dyDescent="0.3">
      <c r="A1370" s="727" t="str">
        <f ca="1">A1369</f>
        <v/>
      </c>
      <c r="B1370" s="311" t="str">
        <f>IF(LEN('Ch7'!H608)=0,"",'Ch7'!H608)</f>
        <v/>
      </c>
      <c r="C1370" s="311" t="str">
        <f t="shared" ca="1" si="34"/>
        <v/>
      </c>
      <c r="D1370" s="204"/>
      <c r="E1370" s="909"/>
      <c r="F1370" s="909"/>
      <c r="G1370" s="1313"/>
      <c r="H1370" s="89">
        <f>'Ch7'!W608</f>
        <v>0</v>
      </c>
      <c r="J1370" s="1443"/>
    </row>
    <row r="1371" spans="1:10" x14ac:dyDescent="0.3">
      <c r="B1371" s="311" t="str">
        <f>IF(LEN('Ch7'!H609)=0,"",'Ch7'!H609)</f>
        <v/>
      </c>
      <c r="C1371" s="311" t="str">
        <f t="shared" si="34"/>
        <v/>
      </c>
      <c r="D1371" s="204"/>
      <c r="E1371" s="909"/>
      <c r="F1371" s="909"/>
      <c r="G1371" s="1313"/>
      <c r="J1371" s="1001"/>
    </row>
    <row r="1372" spans="1:10" x14ac:dyDescent="0.3">
      <c r="B1372" s="311" t="str">
        <f>IF(LEN('Ch7'!H610)=0,"",'Ch7'!H610)</f>
        <v/>
      </c>
      <c r="C1372" s="311" t="str">
        <f t="shared" si="34"/>
        <v/>
      </c>
      <c r="D1372" s="204"/>
      <c r="E1372" s="909"/>
      <c r="F1372" s="909"/>
      <c r="G1372" s="1313"/>
      <c r="J1372" s="989"/>
    </row>
    <row r="1373" spans="1:10" x14ac:dyDescent="0.3">
      <c r="B1373" s="311" t="str">
        <f>IF(LEN('Ch7'!H611)=0,"",'Ch7'!H611)</f>
        <v/>
      </c>
      <c r="C1373" s="311" t="str">
        <f t="shared" si="34"/>
        <v/>
      </c>
      <c r="D1373" s="204"/>
      <c r="E1373" s="909"/>
      <c r="F1373" s="909"/>
      <c r="G1373" s="1368" t="s">
        <v>1290</v>
      </c>
      <c r="J1373" s="989"/>
    </row>
    <row r="1374" spans="1:10" x14ac:dyDescent="0.3">
      <c r="B1374" s="311" t="str">
        <f>IF(LEN('Ch7'!H612)=0,"",'Ch7'!H612)</f>
        <v/>
      </c>
      <c r="C1374" s="311" t="str">
        <f t="shared" si="34"/>
        <v/>
      </c>
      <c r="D1374" s="204"/>
      <c r="E1374" s="909"/>
      <c r="F1374" s="909"/>
      <c r="G1374" s="1368"/>
      <c r="J1374" s="989"/>
    </row>
    <row r="1375" spans="1:10" x14ac:dyDescent="0.3">
      <c r="B1375" s="311" t="str">
        <f>IF(LEN('Ch7'!H613)=0,"",'Ch7'!H613)</f>
        <v/>
      </c>
      <c r="C1375" s="311" t="str">
        <f t="shared" si="34"/>
        <v/>
      </c>
      <c r="D1375" s="204"/>
      <c r="E1375" s="909"/>
      <c r="F1375" s="909"/>
      <c r="G1375" s="1368"/>
      <c r="J1375" s="989"/>
    </row>
    <row r="1376" spans="1:10" x14ac:dyDescent="0.3">
      <c r="B1376" s="311" t="str">
        <f>IF(LEN('Ch7'!H614)=0,"",'Ch7'!H614)</f>
        <v/>
      </c>
      <c r="C1376" s="311" t="str">
        <f t="shared" si="34"/>
        <v/>
      </c>
      <c r="D1376" s="204"/>
      <c r="E1376" s="909"/>
      <c r="F1376" s="909"/>
      <c r="G1376" s="1368" t="s">
        <v>1291</v>
      </c>
      <c r="J1376" s="989"/>
    </row>
    <row r="1377" spans="1:10" ht="15" thickBot="1" x14ac:dyDescent="0.35">
      <c r="B1377" s="311" t="str">
        <f>IF(LEN('Ch7'!H615)=0,"",'Ch7'!H615)</f>
        <v/>
      </c>
      <c r="C1377" s="311" t="str">
        <f t="shared" si="34"/>
        <v/>
      </c>
      <c r="D1377" s="934"/>
      <c r="E1377" s="911"/>
      <c r="F1377" s="911"/>
      <c r="G1377" s="1400"/>
      <c r="J1377" s="989"/>
    </row>
    <row r="1378" spans="1:10" ht="15" thickTop="1" x14ac:dyDescent="0.3">
      <c r="A1378" s="727" t="str">
        <f>IF(AND(LEN('Ch7'!W616)&gt;0,NOT('Ch7'!W616=FALSE)),"P","")</f>
        <v/>
      </c>
      <c r="B1378" s="311" t="str">
        <f>IF(LEN('Ch7'!H616)=0,"",'Ch7'!H616)</f>
        <v/>
      </c>
      <c r="C1378" s="311" t="str">
        <f t="shared" si="34"/>
        <v/>
      </c>
      <c r="D1378" s="111">
        <v>706.6</v>
      </c>
      <c r="E1378" s="963"/>
      <c r="F1378" s="963"/>
      <c r="G1378" s="1331" t="s">
        <v>1292</v>
      </c>
      <c r="H1378" s="89">
        <f>'Ch7'!W616</f>
        <v>0</v>
      </c>
      <c r="I1378" s="89">
        <f ca="1">'Ch7'!O616</f>
        <v>0</v>
      </c>
      <c r="J1378" s="1439" t="s">
        <v>4226</v>
      </c>
    </row>
    <row r="1379" spans="1:10" ht="15" thickBot="1" x14ac:dyDescent="0.35">
      <c r="A1379" s="727" t="str">
        <f>A1378</f>
        <v/>
      </c>
      <c r="B1379" s="311" t="str">
        <f>IF(LEN('Ch7'!H617)=0,"",'Ch7'!H617)</f>
        <v/>
      </c>
      <c r="C1379" s="311" t="str">
        <f t="shared" si="34"/>
        <v/>
      </c>
      <c r="D1379" s="934"/>
      <c r="E1379" s="911"/>
      <c r="F1379" s="911"/>
      <c r="G1379" s="1332"/>
      <c r="J1379" s="1439"/>
    </row>
    <row r="1380" spans="1:10" x14ac:dyDescent="0.3">
      <c r="A1380" s="727" t="str">
        <f>IF(SUM(I1382:I1383)&gt;0,"P","")</f>
        <v/>
      </c>
      <c r="B1380" s="311" t="str">
        <f>IF(LEN('Ch7'!H618)=0,"",'Ch7'!H618)</f>
        <v/>
      </c>
      <c r="C1380" s="311" t="str">
        <f t="shared" si="34"/>
        <v/>
      </c>
      <c r="D1380" s="152">
        <v>706.7</v>
      </c>
      <c r="E1380" s="913"/>
      <c r="F1380" s="913"/>
      <c r="G1380" s="1292" t="s">
        <v>1293</v>
      </c>
      <c r="J1380" s="1443" t="s">
        <v>4226</v>
      </c>
    </row>
    <row r="1381" spans="1:10" x14ac:dyDescent="0.3">
      <c r="A1381" s="727" t="str">
        <f>A1380</f>
        <v/>
      </c>
      <c r="B1381" s="311" t="str">
        <f>IF(LEN('Ch7'!H619)=0,"",'Ch7'!H619)</f>
        <v/>
      </c>
      <c r="C1381" s="311" t="str">
        <f t="shared" si="34"/>
        <v/>
      </c>
      <c r="D1381" s="919"/>
      <c r="E1381" s="913"/>
      <c r="F1381" s="913"/>
      <c r="G1381" s="1292"/>
      <c r="J1381" s="1443"/>
    </row>
    <row r="1382" spans="1:10" x14ac:dyDescent="0.3">
      <c r="B1382" s="311" t="str">
        <f>IF(LEN('Ch7'!H620)=0,"",'Ch7'!H620)</f>
        <v/>
      </c>
      <c r="C1382" s="311" t="str">
        <f t="shared" si="34"/>
        <v/>
      </c>
      <c r="D1382" s="919"/>
      <c r="E1382" s="962" t="s">
        <v>271</v>
      </c>
      <c r="F1382" s="910"/>
      <c r="G1382" s="676" t="s">
        <v>1294</v>
      </c>
      <c r="H1382" s="89">
        <f>'Ch7'!W620</f>
        <v>0</v>
      </c>
      <c r="I1382" s="89">
        <f>'Ch7'!O620</f>
        <v>0</v>
      </c>
      <c r="J1382" s="996"/>
    </row>
    <row r="1383" spans="1:10" x14ac:dyDescent="0.3">
      <c r="B1383" s="311" t="str">
        <f>IF(LEN('Ch7'!H621)=0,"",'Ch7'!H621)</f>
        <v/>
      </c>
      <c r="C1383" s="311" t="str">
        <f t="shared" si="34"/>
        <v/>
      </c>
      <c r="D1383" s="204"/>
      <c r="E1383" s="961" t="s">
        <v>273</v>
      </c>
      <c r="F1383" s="909"/>
      <c r="G1383" s="675" t="s">
        <v>1295</v>
      </c>
      <c r="H1383" s="89">
        <f>'Ch7'!W621</f>
        <v>0</v>
      </c>
      <c r="I1383" s="89">
        <f>'Ch7'!O621</f>
        <v>0</v>
      </c>
      <c r="J1383" s="996"/>
    </row>
    <row r="1384" spans="1:10" x14ac:dyDescent="0.3">
      <c r="B1384" s="311" t="str">
        <f>IF(LEN('Ch7'!H622)=0,"",'Ch7'!H622)</f>
        <v/>
      </c>
      <c r="C1384" s="311" t="str">
        <f t="shared" si="34"/>
        <v/>
      </c>
      <c r="D1384" s="204"/>
      <c r="E1384" s="909"/>
      <c r="F1384" s="909"/>
      <c r="G1384" s="1313" t="s">
        <v>1296</v>
      </c>
      <c r="J1384" s="989"/>
    </row>
    <row r="1385" spans="1:10" ht="15" thickBot="1" x14ac:dyDescent="0.35">
      <c r="B1385" s="311" t="str">
        <f>IF(LEN('Ch7'!H623)=0,"",'Ch7'!H623)</f>
        <v/>
      </c>
      <c r="C1385" s="311" t="str">
        <f t="shared" si="34"/>
        <v/>
      </c>
      <c r="D1385" s="934"/>
      <c r="E1385" s="911"/>
      <c r="F1385" s="911"/>
      <c r="G1385" s="1332"/>
      <c r="J1385" s="989"/>
    </row>
    <row r="1386" spans="1:10" ht="15" thickTop="1" x14ac:dyDescent="0.3">
      <c r="A1386" s="727" t="str">
        <f>IF(AND(LEN('Ch7'!W624)&gt;0,NOT('Ch7'!W624=FALSE)),"P","")</f>
        <v/>
      </c>
      <c r="B1386" s="311" t="str">
        <f>IF(LEN('Ch7'!H624)=0,"",'Ch7'!H624)</f>
        <v/>
      </c>
      <c r="C1386" s="311" t="str">
        <f t="shared" si="34"/>
        <v/>
      </c>
      <c r="D1386" s="111">
        <v>706.8</v>
      </c>
      <c r="E1386" s="963"/>
      <c r="F1386" s="963"/>
      <c r="G1386" s="1331" t="s">
        <v>1297</v>
      </c>
      <c r="H1386" s="89">
        <f>'Ch7'!W624</f>
        <v>0</v>
      </c>
      <c r="I1386" s="89">
        <f>'Ch7'!O624</f>
        <v>0</v>
      </c>
      <c r="J1386" s="1439" t="s">
        <v>4226</v>
      </c>
    </row>
    <row r="1387" spans="1:10" x14ac:dyDescent="0.3">
      <c r="A1387" s="727" t="str">
        <f>A1386</f>
        <v/>
      </c>
      <c r="B1387" s="311" t="str">
        <f>IF(LEN('Ch7'!H625)=0,"",'Ch7'!H625)</f>
        <v/>
      </c>
      <c r="C1387" s="311" t="str">
        <f t="shared" si="34"/>
        <v/>
      </c>
      <c r="D1387" s="204"/>
      <c r="E1387" s="909"/>
      <c r="F1387" s="909"/>
      <c r="G1387" s="1313"/>
      <c r="J1387" s="1439"/>
    </row>
    <row r="1388" spans="1:10" ht="15" thickBot="1" x14ac:dyDescent="0.35">
      <c r="A1388" s="727" t="str">
        <f>A1387</f>
        <v/>
      </c>
      <c r="B1388" s="311" t="str">
        <f>IF(LEN('Ch7'!H626)=0,"",'Ch7'!H626)</f>
        <v/>
      </c>
      <c r="C1388" s="311" t="str">
        <f t="shared" si="34"/>
        <v/>
      </c>
      <c r="D1388" s="934"/>
      <c r="E1388" s="911"/>
      <c r="F1388" s="911"/>
      <c r="G1388" s="1332"/>
      <c r="J1388" s="1439"/>
    </row>
    <row r="1389" spans="1:10" x14ac:dyDescent="0.3">
      <c r="A1389" s="727" t="str">
        <f>IF(AND(LEN('Ch7'!W627)&gt;0,NOT('Ch7'!W627=FALSE)),"P","")</f>
        <v/>
      </c>
      <c r="B1389" s="311" t="str">
        <f>IF(LEN('Ch7'!H627)=0,"",'Ch7'!H627)</f>
        <v/>
      </c>
      <c r="C1389" s="311" t="str">
        <f t="shared" si="34"/>
        <v/>
      </c>
      <c r="D1389" s="152">
        <v>706.9</v>
      </c>
      <c r="E1389" s="913"/>
      <c r="F1389" s="913"/>
      <c r="G1389" s="1292" t="s">
        <v>1298</v>
      </c>
      <c r="H1389" s="89">
        <f>'Ch7'!W627</f>
        <v>0</v>
      </c>
      <c r="I1389" s="89">
        <f>'Ch7'!O627</f>
        <v>0</v>
      </c>
      <c r="J1389" s="1439" t="s">
        <v>4226</v>
      </c>
    </row>
    <row r="1390" spans="1:10" x14ac:dyDescent="0.3">
      <c r="A1390" s="727" t="str">
        <f>A1389</f>
        <v/>
      </c>
      <c r="B1390" s="311" t="str">
        <f>IF(LEN('Ch7'!H628)=0,"",'Ch7'!H628)</f>
        <v/>
      </c>
      <c r="C1390" s="311" t="str">
        <f t="shared" si="34"/>
        <v/>
      </c>
      <c r="D1390" s="919"/>
      <c r="E1390" s="913"/>
      <c r="F1390" s="913"/>
      <c r="G1390" s="1292"/>
      <c r="J1390" s="1439"/>
    </row>
    <row r="1391" spans="1:10" x14ac:dyDescent="0.3">
      <c r="A1391" s="727" t="str">
        <f>A1390</f>
        <v/>
      </c>
      <c r="B1391" s="311" t="str">
        <f>IF(LEN('Ch7'!H629)=0,"",'Ch7'!H629)</f>
        <v/>
      </c>
      <c r="C1391" s="311" t="str">
        <f t="shared" si="34"/>
        <v/>
      </c>
      <c r="D1391" s="919"/>
      <c r="E1391" s="913"/>
      <c r="F1391" s="913"/>
      <c r="G1391" s="1292"/>
      <c r="J1391" s="1439"/>
    </row>
    <row r="1392" spans="1:10" x14ac:dyDescent="0.3">
      <c r="B1392" s="311" t="str">
        <f>IF(LEN('Ch7'!H630)=0,"",'Ch7'!H630)</f>
        <v/>
      </c>
      <c r="C1392" s="311" t="str">
        <f t="shared" si="34"/>
        <v/>
      </c>
      <c r="D1392" s="919"/>
      <c r="E1392" s="913"/>
      <c r="F1392" s="913"/>
      <c r="G1392" s="1292" t="s">
        <v>1299</v>
      </c>
      <c r="J1392" s="989"/>
    </row>
    <row r="1393" spans="1:10" x14ac:dyDescent="0.3">
      <c r="B1393" s="311" t="str">
        <f>IF(LEN('Ch7'!H631)=0,"",'Ch7'!H631)</f>
        <v/>
      </c>
      <c r="C1393" s="311" t="str">
        <f t="shared" si="34"/>
        <v/>
      </c>
      <c r="D1393" s="919"/>
      <c r="E1393" s="913"/>
      <c r="F1393" s="913"/>
      <c r="G1393" s="1292"/>
      <c r="J1393" s="989"/>
    </row>
    <row r="1394" spans="1:10" ht="18" x14ac:dyDescent="0.35">
      <c r="A1394" s="727" t="s">
        <v>4389</v>
      </c>
      <c r="B1394" s="311" t="str">
        <f>IF(LEN('Ch8'!H9)=0,"",'Ch8'!H9)</f>
        <v/>
      </c>
      <c r="C1394" s="311" t="str">
        <f t="shared" si="34"/>
        <v>P</v>
      </c>
      <c r="D1394" s="82" t="s">
        <v>844</v>
      </c>
      <c r="E1394" s="82"/>
      <c r="F1394" s="82"/>
      <c r="G1394" s="23"/>
      <c r="J1394" s="1003"/>
    </row>
    <row r="1395" spans="1:10" ht="15" thickBot="1" x14ac:dyDescent="0.35">
      <c r="B1395" s="311" t="str">
        <f>IF(LEN('Ch8'!H10)=0,"",'Ch8'!H10)</f>
        <v/>
      </c>
      <c r="C1395" s="311" t="str">
        <f t="shared" si="34"/>
        <v/>
      </c>
      <c r="D1395" s="931" t="s">
        <v>845</v>
      </c>
      <c r="E1395" s="934"/>
      <c r="F1395" s="934"/>
      <c r="G1395" s="698" t="s">
        <v>846</v>
      </c>
      <c r="J1395" s="989"/>
    </row>
    <row r="1396" spans="1:10" ht="15.75" customHeight="1" thickTop="1" x14ac:dyDescent="0.3">
      <c r="A1396" s="727" t="str">
        <f ca="1">IF('Ch8'!O11&gt;0,"P","")</f>
        <v/>
      </c>
      <c r="B1396" s="311" t="str">
        <f>IF(LEN('Ch8'!H11)=0,"",'Ch8'!H11)</f>
        <v/>
      </c>
      <c r="C1396" s="311" t="str">
        <f t="shared" ca="1" si="34"/>
        <v/>
      </c>
      <c r="D1396" s="152">
        <v>801.1</v>
      </c>
      <c r="E1396" s="919"/>
      <c r="F1396" s="919"/>
      <c r="G1396" s="1292" t="s">
        <v>847</v>
      </c>
      <c r="I1396" s="89">
        <f ca="1">'Ch8'!O11</f>
        <v>0</v>
      </c>
      <c r="J1396" s="1443" t="s">
        <v>4295</v>
      </c>
    </row>
    <row r="1397" spans="1:10" x14ac:dyDescent="0.3">
      <c r="A1397" s="727" t="str">
        <f ca="1">A1396</f>
        <v/>
      </c>
      <c r="B1397" s="311" t="str">
        <f>IF(LEN('Ch8'!H12)=0,"",'Ch8'!H12)</f>
        <v/>
      </c>
      <c r="C1397" s="311" t="str">
        <f t="shared" ca="1" si="34"/>
        <v/>
      </c>
      <c r="D1397" s="152"/>
      <c r="E1397" s="919"/>
      <c r="F1397" s="919"/>
      <c r="G1397" s="1292"/>
      <c r="H1397" s="89">
        <f>'Ch8'!W12</f>
        <v>0</v>
      </c>
      <c r="J1397" s="1443"/>
    </row>
    <row r="1398" spans="1:10" x14ac:dyDescent="0.3">
      <c r="A1398" s="727" t="str">
        <f ca="1">A1397</f>
        <v/>
      </c>
      <c r="B1398" s="311" t="str">
        <f>IF(LEN('Ch8'!H13)=0,"",'Ch8'!H13)</f>
        <v/>
      </c>
      <c r="C1398" s="311" t="str">
        <f t="shared" ca="1" si="34"/>
        <v/>
      </c>
      <c r="D1398" s="152"/>
      <c r="E1398" s="919"/>
      <c r="F1398" s="919"/>
      <c r="G1398" s="1292"/>
      <c r="J1398" s="1443"/>
    </row>
    <row r="1399" spans="1:10" x14ac:dyDescent="0.3">
      <c r="A1399" s="727" t="str">
        <f ca="1">A1398</f>
        <v/>
      </c>
      <c r="B1399" s="311" t="str">
        <f>IF(LEN('Ch8'!H14)=0,"",'Ch8'!H14)</f>
        <v/>
      </c>
      <c r="C1399" s="311" t="str">
        <f t="shared" ca="1" si="34"/>
        <v/>
      </c>
      <c r="D1399" s="152"/>
      <c r="E1399" s="919"/>
      <c r="F1399" s="919"/>
      <c r="G1399" s="1292"/>
      <c r="J1399" s="1443"/>
    </row>
    <row r="1400" spans="1:10" x14ac:dyDescent="0.3">
      <c r="A1400" s="727" t="str">
        <f ca="1">A1399</f>
        <v/>
      </c>
      <c r="B1400" s="311" t="str">
        <f>IF(LEN('Ch8'!H15)=0,"",'Ch8'!H15)</f>
        <v/>
      </c>
      <c r="C1400" s="311" t="str">
        <f t="shared" ca="1" si="34"/>
        <v/>
      </c>
      <c r="D1400" s="152"/>
      <c r="E1400" s="919"/>
      <c r="F1400" s="919"/>
      <c r="G1400" s="1292"/>
      <c r="J1400" s="1443"/>
    </row>
    <row r="1401" spans="1:10" x14ac:dyDescent="0.3">
      <c r="B1401" s="311" t="str">
        <f>IF(LEN('Ch8'!H16)=0,"",'Ch8'!H16)</f>
        <v/>
      </c>
      <c r="C1401" s="311" t="str">
        <f t="shared" si="34"/>
        <v/>
      </c>
      <c r="D1401" s="152"/>
      <c r="E1401" s="919"/>
      <c r="F1401" s="919"/>
      <c r="G1401" s="1431" t="s">
        <v>848</v>
      </c>
      <c r="J1401" s="989"/>
    </row>
    <row r="1402" spans="1:10" x14ac:dyDescent="0.3">
      <c r="B1402" s="311" t="str">
        <f>IF(LEN('Ch8'!H17)=0,"",'Ch8'!H17)</f>
        <v/>
      </c>
      <c r="C1402" s="311" t="str">
        <f t="shared" si="34"/>
        <v/>
      </c>
      <c r="D1402" s="152"/>
      <c r="E1402" s="919"/>
      <c r="F1402" s="919"/>
      <c r="G1402" s="1431"/>
      <c r="J1402" s="989"/>
    </row>
    <row r="1403" spans="1:10" x14ac:dyDescent="0.3">
      <c r="B1403" s="311" t="str">
        <f>IF(LEN('Ch8'!H18)=0,"",'Ch8'!H18)</f>
        <v/>
      </c>
      <c r="C1403" s="311" t="str">
        <f t="shared" si="34"/>
        <v/>
      </c>
      <c r="D1403" s="152"/>
      <c r="E1403" s="919"/>
      <c r="F1403" s="919"/>
      <c r="G1403" s="1431"/>
      <c r="J1403" s="989"/>
    </row>
    <row r="1404" spans="1:10" x14ac:dyDescent="0.3">
      <c r="B1404" s="311" t="str">
        <f>IF(LEN('Ch8'!H19)=0,"",'Ch8'!H19)</f>
        <v/>
      </c>
      <c r="C1404" s="311" t="str">
        <f t="shared" si="34"/>
        <v/>
      </c>
      <c r="D1404" s="152"/>
      <c r="E1404" s="919"/>
      <c r="F1404" s="919"/>
      <c r="G1404" s="1431" t="s">
        <v>849</v>
      </c>
      <c r="J1404" s="989"/>
    </row>
    <row r="1405" spans="1:10" x14ac:dyDescent="0.3">
      <c r="B1405" s="311" t="str">
        <f>IF(LEN('Ch8'!H20)=0,"",'Ch8'!H20)</f>
        <v/>
      </c>
      <c r="C1405" s="311" t="str">
        <f t="shared" si="34"/>
        <v/>
      </c>
      <c r="D1405" s="152"/>
      <c r="E1405" s="919"/>
      <c r="F1405" s="919"/>
      <c r="G1405" s="1431"/>
      <c r="J1405" s="989"/>
    </row>
    <row r="1406" spans="1:10" x14ac:dyDescent="0.3">
      <c r="B1406" s="311" t="str">
        <f>IF(LEN('Ch8'!H21)=0,"",'Ch8'!H21)</f>
        <v/>
      </c>
      <c r="C1406" s="311" t="str">
        <f t="shared" si="34"/>
        <v/>
      </c>
      <c r="D1406" s="152"/>
      <c r="E1406" s="919"/>
      <c r="F1406" s="919"/>
      <c r="G1406" s="1431"/>
      <c r="J1406" s="989"/>
    </row>
    <row r="1407" spans="1:10" x14ac:dyDescent="0.3">
      <c r="B1407" s="311" t="str">
        <f>IF(LEN('Ch8'!H22)=0,"",'Ch8'!H22)</f>
        <v/>
      </c>
      <c r="C1407" s="311" t="str">
        <f t="shared" si="34"/>
        <v/>
      </c>
      <c r="D1407" s="152"/>
      <c r="E1407" s="919"/>
      <c r="F1407" s="919"/>
      <c r="G1407" s="669" t="s">
        <v>850</v>
      </c>
      <c r="J1407" s="989"/>
    </row>
    <row r="1408" spans="1:10" x14ac:dyDescent="0.3">
      <c r="B1408" s="311" t="str">
        <f>IF(LEN('Ch8'!H23)=0,"",'Ch8'!H23)</f>
        <v/>
      </c>
      <c r="C1408" s="311" t="str">
        <f t="shared" si="34"/>
        <v/>
      </c>
      <c r="D1408" s="152"/>
      <c r="E1408" s="919"/>
      <c r="F1408" s="919"/>
      <c r="G1408" s="711" t="s">
        <v>3783</v>
      </c>
      <c r="J1408" s="989"/>
    </row>
    <row r="1409" spans="2:10" x14ac:dyDescent="0.3">
      <c r="B1409" s="311" t="str">
        <f>IF(LEN('Ch8'!H24)=0,"",'Ch8'!H24)</f>
        <v/>
      </c>
      <c r="C1409" s="311" t="str">
        <f t="shared" si="34"/>
        <v/>
      </c>
      <c r="D1409" s="152"/>
      <c r="E1409" s="919"/>
      <c r="F1409" s="919"/>
      <c r="G1409" s="711" t="s">
        <v>3784</v>
      </c>
      <c r="J1409" s="989"/>
    </row>
    <row r="1410" spans="2:10" x14ac:dyDescent="0.3">
      <c r="B1410" s="311" t="str">
        <f>IF(LEN('Ch8'!H25)=0,"",'Ch8'!H25)</f>
        <v/>
      </c>
      <c r="C1410" s="311" t="str">
        <f t="shared" si="34"/>
        <v/>
      </c>
      <c r="D1410" s="152"/>
      <c r="E1410" s="926" t="s">
        <v>271</v>
      </c>
      <c r="F1410" s="204"/>
      <c r="G1410" s="1305" t="s">
        <v>851</v>
      </c>
      <c r="J1410" s="989"/>
    </row>
    <row r="1411" spans="2:10" x14ac:dyDescent="0.3">
      <c r="B1411" s="311" t="str">
        <f>IF(LEN('Ch8'!H26)=0,"",'Ch8'!H26)</f>
        <v/>
      </c>
      <c r="C1411" s="311" t="str">
        <f t="shared" si="34"/>
        <v/>
      </c>
      <c r="D1411" s="152"/>
      <c r="E1411" s="946"/>
      <c r="F1411" s="232"/>
      <c r="G1411" s="1306"/>
      <c r="J1411" s="989"/>
    </row>
    <row r="1412" spans="2:10" x14ac:dyDescent="0.3">
      <c r="B1412" s="311" t="str">
        <f>IF(LEN('Ch8'!H27)=0,"",'Ch8'!H27)</f>
        <v/>
      </c>
      <c r="C1412" s="311" t="str">
        <f t="shared" si="34"/>
        <v/>
      </c>
      <c r="D1412" s="152"/>
      <c r="E1412" s="926" t="s">
        <v>273</v>
      </c>
      <c r="F1412" s="204"/>
      <c r="G1412" s="1305" t="s">
        <v>852</v>
      </c>
      <c r="J1412" s="989"/>
    </row>
    <row r="1413" spans="2:10" x14ac:dyDescent="0.3">
      <c r="B1413" s="311" t="str">
        <f>IF(LEN('Ch8'!H28)=0,"",'Ch8'!H28)</f>
        <v/>
      </c>
      <c r="C1413" s="311" t="str">
        <f t="shared" si="34"/>
        <v/>
      </c>
      <c r="D1413" s="152"/>
      <c r="E1413" s="946"/>
      <c r="F1413" s="232"/>
      <c r="G1413" s="1306"/>
      <c r="J1413" s="989"/>
    </row>
    <row r="1414" spans="2:10" x14ac:dyDescent="0.3">
      <c r="B1414" s="311" t="str">
        <f>IF(LEN('Ch8'!H29)=0,"",'Ch8'!H29)</f>
        <v/>
      </c>
      <c r="C1414" s="311" t="str">
        <f t="shared" si="34"/>
        <v/>
      </c>
      <c r="D1414" s="152"/>
      <c r="E1414" s="926" t="s">
        <v>275</v>
      </c>
      <c r="F1414" s="204"/>
      <c r="G1414" s="1305" t="s">
        <v>853</v>
      </c>
      <c r="J1414" s="989"/>
    </row>
    <row r="1415" spans="2:10" x14ac:dyDescent="0.3">
      <c r="B1415" s="311" t="str">
        <f>IF(LEN('Ch8'!H30)=0,"",'Ch8'!H30)</f>
        <v/>
      </c>
      <c r="C1415" s="311" t="str">
        <f t="shared" si="34"/>
        <v/>
      </c>
      <c r="D1415" s="152"/>
      <c r="E1415" s="946"/>
      <c r="F1415" s="232"/>
      <c r="G1415" s="1306"/>
      <c r="J1415" s="989"/>
    </row>
    <row r="1416" spans="2:10" x14ac:dyDescent="0.3">
      <c r="B1416" s="311" t="str">
        <f>IF(LEN('Ch8'!H31)=0,"",'Ch8'!H31)</f>
        <v/>
      </c>
      <c r="C1416" s="311" t="str">
        <f t="shared" ref="C1416:C1479" si="35">IF(LEN(B1416)=0,IF(A1416="P","P",""),B1416)</f>
        <v/>
      </c>
      <c r="D1416" s="152"/>
      <c r="E1416" s="925" t="s">
        <v>285</v>
      </c>
      <c r="F1416" s="919"/>
      <c r="G1416" s="1329" t="s">
        <v>854</v>
      </c>
      <c r="J1416" s="989"/>
    </row>
    <row r="1417" spans="2:10" x14ac:dyDescent="0.3">
      <c r="B1417" s="311" t="str">
        <f>IF(LEN('Ch8'!H32)=0,"",'Ch8'!H32)</f>
        <v/>
      </c>
      <c r="C1417" s="311" t="str">
        <f t="shared" si="35"/>
        <v/>
      </c>
      <c r="D1417" s="152"/>
      <c r="E1417" s="919"/>
      <c r="F1417" s="919"/>
      <c r="G1417" s="1329"/>
      <c r="J1417" s="989"/>
    </row>
    <row r="1418" spans="2:10" x14ac:dyDescent="0.3">
      <c r="B1418" s="311" t="str">
        <f>IF(LEN('Ch8'!H33)=0,"",'Ch8'!H33)</f>
        <v/>
      </c>
      <c r="C1418" s="311" t="str">
        <f t="shared" si="35"/>
        <v/>
      </c>
      <c r="D1418" s="152"/>
      <c r="E1418" s="919"/>
      <c r="F1418" s="919"/>
      <c r="G1418" s="1329"/>
      <c r="J1418" s="989"/>
    </row>
    <row r="1419" spans="2:10" x14ac:dyDescent="0.3">
      <c r="B1419" s="311" t="str">
        <f>IF(LEN('Ch8'!H34)=0,"",'Ch8'!H34)</f>
        <v/>
      </c>
      <c r="C1419" s="311" t="str">
        <f t="shared" si="35"/>
        <v/>
      </c>
      <c r="D1419" s="919"/>
      <c r="E1419" s="204"/>
      <c r="F1419" s="926" t="s">
        <v>121</v>
      </c>
      <c r="G1419" s="1305" t="s">
        <v>855</v>
      </c>
      <c r="J1419" s="989"/>
    </row>
    <row r="1420" spans="2:10" x14ac:dyDescent="0.3">
      <c r="B1420" s="311" t="str">
        <f>IF(LEN('Ch8'!H35)=0,"",'Ch8'!H35)</f>
        <v/>
      </c>
      <c r="C1420" s="311" t="str">
        <f t="shared" si="35"/>
        <v/>
      </c>
      <c r="D1420" s="152"/>
      <c r="E1420" s="232"/>
      <c r="F1420" s="232"/>
      <c r="G1420" s="1306"/>
      <c r="J1420" s="989"/>
    </row>
    <row r="1421" spans="2:10" x14ac:dyDescent="0.3">
      <c r="B1421" s="311" t="str">
        <f>IF(LEN('Ch8'!H36)=0,"",'Ch8'!H36)</f>
        <v/>
      </c>
      <c r="C1421" s="311" t="str">
        <f t="shared" si="35"/>
        <v/>
      </c>
      <c r="D1421" s="152"/>
      <c r="E1421" s="926" t="s">
        <v>291</v>
      </c>
      <c r="F1421" s="204"/>
      <c r="G1421" s="1305" t="s">
        <v>857</v>
      </c>
      <c r="J1421" s="989"/>
    </row>
    <row r="1422" spans="2:10" x14ac:dyDescent="0.3">
      <c r="B1422" s="311" t="str">
        <f>IF(LEN('Ch8'!H37)=0,"",'Ch8'!H37)</f>
        <v/>
      </c>
      <c r="C1422" s="311" t="str">
        <f t="shared" si="35"/>
        <v/>
      </c>
      <c r="D1422" s="152"/>
      <c r="E1422" s="204"/>
      <c r="F1422" s="204"/>
      <c r="G1422" s="1305"/>
      <c r="J1422" s="989"/>
    </row>
    <row r="1423" spans="2:10" x14ac:dyDescent="0.3">
      <c r="B1423" s="311" t="str">
        <f>IF(LEN('Ch8'!H38)=0,"",'Ch8'!H38)</f>
        <v/>
      </c>
      <c r="C1423" s="311" t="str">
        <f t="shared" si="35"/>
        <v/>
      </c>
      <c r="D1423" s="152"/>
      <c r="E1423" s="204"/>
      <c r="F1423" s="204"/>
      <c r="G1423" s="1305"/>
      <c r="J1423" s="989"/>
    </row>
    <row r="1424" spans="2:10" x14ac:dyDescent="0.3">
      <c r="B1424" s="311" t="str">
        <f>IF(LEN('Ch8'!H39)=0,"",'Ch8'!H39)</f>
        <v/>
      </c>
      <c r="C1424" s="311" t="str">
        <f t="shared" si="35"/>
        <v/>
      </c>
      <c r="D1424" s="152"/>
      <c r="E1424" s="204"/>
      <c r="F1424" s="204"/>
      <c r="G1424" s="1305"/>
      <c r="J1424" s="989"/>
    </row>
    <row r="1425" spans="1:10" x14ac:dyDescent="0.3">
      <c r="B1425" s="311" t="str">
        <f>IF(LEN('Ch8'!H40)=0,"",'Ch8'!H40)</f>
        <v/>
      </c>
      <c r="C1425" s="311" t="str">
        <f t="shared" si="35"/>
        <v/>
      </c>
      <c r="D1425" s="152"/>
      <c r="E1425" s="232"/>
      <c r="F1425" s="232"/>
      <c r="G1425" s="1306"/>
      <c r="J1425" s="989"/>
    </row>
    <row r="1426" spans="1:10" x14ac:dyDescent="0.3">
      <c r="B1426" s="311" t="str">
        <f>IF(LEN('Ch8'!H41)=0,"",'Ch8'!H41)</f>
        <v/>
      </c>
      <c r="C1426" s="311" t="str">
        <f t="shared" si="35"/>
        <v/>
      </c>
      <c r="D1426" s="106"/>
      <c r="E1426" s="926" t="s">
        <v>293</v>
      </c>
      <c r="F1426" s="204"/>
      <c r="G1426" s="1305" t="s">
        <v>858</v>
      </c>
      <c r="H1426" s="89">
        <f>'Ch8'!W41</f>
        <v>0</v>
      </c>
      <c r="I1426" s="89">
        <f>'Ch8'!O41</f>
        <v>0</v>
      </c>
      <c r="J1426" s="989"/>
    </row>
    <row r="1427" spans="1:10" x14ac:dyDescent="0.3">
      <c r="B1427" s="311" t="str">
        <f>IF(LEN('Ch8'!H42)=0,"",'Ch8'!H42)</f>
        <v/>
      </c>
      <c r="C1427" s="311" t="str">
        <f t="shared" si="35"/>
        <v/>
      </c>
      <c r="D1427" s="106"/>
      <c r="E1427" s="204"/>
      <c r="F1427" s="204"/>
      <c r="G1427" s="1305"/>
      <c r="J1427" s="989"/>
    </row>
    <row r="1428" spans="1:10" ht="15" thickBot="1" x14ac:dyDescent="0.35">
      <c r="B1428" s="311" t="str">
        <f>IF(LEN('Ch8'!H43)=0,"",'Ch8'!H43)</f>
        <v/>
      </c>
      <c r="C1428" s="311" t="str">
        <f t="shared" si="35"/>
        <v/>
      </c>
      <c r="D1428" s="928"/>
      <c r="E1428" s="934"/>
      <c r="F1428" s="934"/>
      <c r="G1428" s="1330"/>
      <c r="J1428" s="989"/>
    </row>
    <row r="1429" spans="1:10" ht="15.75" customHeight="1" thickTop="1" x14ac:dyDescent="0.3">
      <c r="A1429" s="727" t="str">
        <f ca="1">IF(SUM(I1430:I1432)&gt;0,"P","")</f>
        <v>P</v>
      </c>
      <c r="B1429" s="311" t="str">
        <f>IF(LEN('Ch8'!H44)=0,"",'Ch8'!H44)</f>
        <v/>
      </c>
      <c r="C1429" s="311" t="str">
        <f t="shared" ca="1" si="35"/>
        <v>P</v>
      </c>
      <c r="D1429" s="111">
        <v>801.2</v>
      </c>
      <c r="E1429" s="954"/>
      <c r="F1429" s="954"/>
      <c r="G1429" s="1331" t="s">
        <v>859</v>
      </c>
      <c r="J1429" s="1443" t="s">
        <v>4417</v>
      </c>
    </row>
    <row r="1430" spans="1:10" x14ac:dyDescent="0.3">
      <c r="A1430" s="727" t="str">
        <f ca="1">A1429</f>
        <v>P</v>
      </c>
      <c r="B1430" s="311" t="str">
        <f>IF(LEN('Ch8'!H45)=0,"",'Ch8'!H45)</f>
        <v/>
      </c>
      <c r="C1430" s="311" t="str">
        <f t="shared" ca="1" si="35"/>
        <v>P</v>
      </c>
      <c r="D1430" s="106"/>
      <c r="E1430" s="204"/>
      <c r="F1430" s="204"/>
      <c r="G1430" s="1313"/>
      <c r="J1430" s="1443"/>
    </row>
    <row r="1431" spans="1:10" ht="15" customHeight="1" x14ac:dyDescent="0.3">
      <c r="B1431" s="311" t="str">
        <f>IF(LEN('Ch8'!H46)=0,"",'Ch8'!H46)</f>
        <v/>
      </c>
      <c r="C1431" s="311" t="str">
        <f t="shared" si="35"/>
        <v/>
      </c>
      <c r="D1431" s="152"/>
      <c r="E1431" s="946" t="s">
        <v>271</v>
      </c>
      <c r="F1431" s="232"/>
      <c r="G1431" s="676" t="s">
        <v>860</v>
      </c>
      <c r="H1431" s="89" t="b">
        <f>'Ch8'!W46</f>
        <v>1</v>
      </c>
      <c r="I1431" s="89">
        <f>'Ch8'!O46</f>
        <v>2</v>
      </c>
      <c r="J1431" s="1001"/>
    </row>
    <row r="1432" spans="1:10" x14ac:dyDescent="0.3">
      <c r="B1432" s="311" t="str">
        <f>IF(LEN('Ch8'!H47)=0,"",'Ch8'!H47)</f>
        <v/>
      </c>
      <c r="C1432" s="311" t="str">
        <f t="shared" si="35"/>
        <v/>
      </c>
      <c r="D1432" s="106"/>
      <c r="E1432" s="946" t="s">
        <v>273</v>
      </c>
      <c r="F1432" s="232"/>
      <c r="G1432" s="676" t="s">
        <v>861</v>
      </c>
      <c r="H1432" s="89" t="str">
        <f>'Ch8'!W47</f>
        <v>(2)</v>
      </c>
      <c r="I1432" s="89">
        <f ca="1">'Ch8'!O47</f>
        <v>13</v>
      </c>
      <c r="J1432" s="996"/>
    </row>
    <row r="1433" spans="1:10" x14ac:dyDescent="0.3">
      <c r="B1433" s="311" t="str">
        <f>IF(LEN('Ch8'!H48)=0,"",'Ch8'!H48)</f>
        <v/>
      </c>
      <c r="C1433" s="311" t="str">
        <f t="shared" si="35"/>
        <v/>
      </c>
      <c r="D1433" s="106"/>
      <c r="E1433" s="926" t="s">
        <v>275</v>
      </c>
      <c r="F1433" s="204"/>
      <c r="G1433" s="675" t="s">
        <v>862</v>
      </c>
      <c r="J1433" s="996"/>
    </row>
    <row r="1434" spans="1:10" x14ac:dyDescent="0.3">
      <c r="B1434" s="311" t="str">
        <f>IF(LEN('Ch8'!H49)=0,"",'Ch8'!H49)</f>
        <v/>
      </c>
      <c r="C1434" s="311" t="str">
        <f t="shared" si="35"/>
        <v/>
      </c>
      <c r="D1434" s="106"/>
      <c r="E1434" s="926"/>
      <c r="F1434" s="204"/>
      <c r="G1434" s="1432" t="s">
        <v>3828</v>
      </c>
      <c r="J1434" s="996"/>
    </row>
    <row r="1435" spans="1:10" x14ac:dyDescent="0.3">
      <c r="B1435" s="311" t="str">
        <f>IF(LEN('Ch8'!H50)=0,"",'Ch8'!H50)</f>
        <v/>
      </c>
      <c r="C1435" s="311" t="str">
        <f t="shared" si="35"/>
        <v/>
      </c>
      <c r="D1435" s="106"/>
      <c r="E1435" s="926"/>
      <c r="F1435" s="204"/>
      <c r="G1435" s="1433"/>
      <c r="J1435" s="996"/>
    </row>
    <row r="1436" spans="1:10" x14ac:dyDescent="0.3">
      <c r="B1436" s="311" t="str">
        <f>IF(LEN('Ch8'!H51)=0,"",'Ch8'!H51)</f>
        <v/>
      </c>
      <c r="C1436" s="311" t="str">
        <f t="shared" si="35"/>
        <v/>
      </c>
      <c r="D1436" s="106"/>
      <c r="E1436" s="3"/>
      <c r="F1436" s="3"/>
      <c r="G1436" s="1394" t="s">
        <v>3829</v>
      </c>
      <c r="J1436" s="996"/>
    </row>
    <row r="1437" spans="1:10" ht="15" thickBot="1" x14ac:dyDescent="0.35">
      <c r="B1437" s="311" t="str">
        <f>IF(LEN('Ch8'!H52)=0,"",'Ch8'!H52)</f>
        <v/>
      </c>
      <c r="C1437" s="311" t="str">
        <f t="shared" si="35"/>
        <v/>
      </c>
      <c r="D1437" s="928"/>
      <c r="E1437" s="942"/>
      <c r="F1437" s="942"/>
      <c r="G1437" s="1395"/>
      <c r="J1437" s="989"/>
    </row>
    <row r="1438" spans="1:10" ht="15" thickTop="1" x14ac:dyDescent="0.3">
      <c r="A1438" s="727" t="str">
        <f ca="1">IF(SUM(I1439:I1453)&gt;0,"P","")</f>
        <v/>
      </c>
      <c r="B1438" s="311" t="str">
        <f>IF(LEN('Ch8'!H53)=0,"",'Ch8'!H53)</f>
        <v/>
      </c>
      <c r="C1438" s="311" t="str">
        <f t="shared" ca="1" si="35"/>
        <v/>
      </c>
      <c r="D1438" s="111">
        <v>801.3</v>
      </c>
      <c r="E1438" s="954"/>
      <c r="F1438" s="954"/>
      <c r="G1438" s="918" t="s">
        <v>863</v>
      </c>
      <c r="J1438" s="1001" t="s">
        <v>4296</v>
      </c>
    </row>
    <row r="1439" spans="1:10" x14ac:dyDescent="0.3">
      <c r="B1439" s="311" t="str">
        <f>IF(LEN('Ch8'!H54)=0,"",'Ch8'!H54)</f>
        <v/>
      </c>
      <c r="C1439" s="311" t="str">
        <f t="shared" si="35"/>
        <v/>
      </c>
      <c r="D1439" s="152"/>
      <c r="E1439" s="925" t="s">
        <v>271</v>
      </c>
      <c r="F1439" s="919"/>
      <c r="G1439" s="1329" t="s">
        <v>865</v>
      </c>
      <c r="H1439" s="89">
        <f>'Ch8'!W54</f>
        <v>0</v>
      </c>
      <c r="I1439" s="89">
        <f ca="1">'Ch8'!O54</f>
        <v>0</v>
      </c>
      <c r="J1439" s="996"/>
    </row>
    <row r="1440" spans="1:10" x14ac:dyDescent="0.3">
      <c r="B1440" s="311" t="str">
        <f>IF(LEN('Ch8'!H55)=0,"",'Ch8'!H55)</f>
        <v/>
      </c>
      <c r="C1440" s="311" t="str">
        <f t="shared" si="35"/>
        <v/>
      </c>
      <c r="D1440" s="152"/>
      <c r="E1440" s="919"/>
      <c r="F1440" s="919"/>
      <c r="G1440" s="1329"/>
      <c r="J1440" s="1001"/>
    </row>
    <row r="1441" spans="1:10" x14ac:dyDescent="0.3">
      <c r="B1441" s="311" t="str">
        <f>IF(LEN('Ch8'!H56)=0,"",'Ch8'!H56)</f>
        <v/>
      </c>
      <c r="C1441" s="311" t="str">
        <f t="shared" si="35"/>
        <v/>
      </c>
      <c r="D1441" s="152"/>
      <c r="E1441" s="919"/>
      <c r="F1441" s="919"/>
      <c r="G1441" s="1329"/>
      <c r="J1441" s="1001"/>
    </row>
    <row r="1442" spans="1:10" x14ac:dyDescent="0.3">
      <c r="B1442" s="311" t="str">
        <f>IF(LEN('Ch8'!H57)=0,"",'Ch8'!H57)</f>
        <v/>
      </c>
      <c r="C1442" s="311" t="str">
        <f t="shared" si="35"/>
        <v/>
      </c>
      <c r="D1442" s="152"/>
      <c r="E1442" s="919"/>
      <c r="F1442" s="919"/>
      <c r="G1442" s="1329"/>
      <c r="J1442" s="1001"/>
    </row>
    <row r="1443" spans="1:10" x14ac:dyDescent="0.3">
      <c r="B1443" s="311" t="str">
        <f>IF(LEN('Ch8'!H58)=0,"",'Ch8'!H58)</f>
        <v/>
      </c>
      <c r="C1443" s="311" t="str">
        <f t="shared" si="35"/>
        <v/>
      </c>
      <c r="D1443" s="152"/>
      <c r="E1443" s="919"/>
      <c r="F1443" s="919"/>
      <c r="G1443" s="1329"/>
      <c r="J1443" s="1001"/>
    </row>
    <row r="1444" spans="1:10" x14ac:dyDescent="0.3">
      <c r="B1444" s="311" t="str">
        <f>IF(LEN('Ch8'!H59)=0,"",'Ch8'!H59)</f>
        <v/>
      </c>
      <c r="C1444" s="311" t="str">
        <f t="shared" si="35"/>
        <v/>
      </c>
      <c r="D1444" s="152"/>
      <c r="E1444" s="919"/>
      <c r="F1444" s="919"/>
      <c r="G1444" s="1329"/>
      <c r="J1444" s="1001"/>
    </row>
    <row r="1445" spans="1:10" x14ac:dyDescent="0.3">
      <c r="B1445" s="311" t="str">
        <f>IF(LEN('Ch8'!H60)=0,"",'Ch8'!H60)</f>
        <v/>
      </c>
      <c r="C1445" s="311" t="str">
        <f t="shared" si="35"/>
        <v/>
      </c>
      <c r="D1445" s="152"/>
      <c r="E1445" s="204"/>
      <c r="F1445" s="204"/>
      <c r="G1445" s="1368" t="s">
        <v>867</v>
      </c>
      <c r="J1445" s="1001"/>
    </row>
    <row r="1446" spans="1:10" x14ac:dyDescent="0.3">
      <c r="B1446" s="311" t="str">
        <f>IF(LEN('Ch8'!H61)=0,"",'Ch8'!H61)</f>
        <v/>
      </c>
      <c r="C1446" s="311" t="str">
        <f t="shared" si="35"/>
        <v/>
      </c>
      <c r="D1446" s="152"/>
      <c r="E1446" s="204"/>
      <c r="F1446" s="204"/>
      <c r="G1446" s="1368"/>
      <c r="J1446" s="1001"/>
    </row>
    <row r="1447" spans="1:10" x14ac:dyDescent="0.3">
      <c r="B1447" s="311" t="str">
        <f>IF(LEN('Ch8'!H62)=0,"",'Ch8'!H62)</f>
        <v/>
      </c>
      <c r="C1447" s="311" t="str">
        <f t="shared" si="35"/>
        <v/>
      </c>
      <c r="D1447" s="152"/>
      <c r="E1447" s="232"/>
      <c r="F1447" s="232"/>
      <c r="G1447" s="1424"/>
      <c r="J1447" s="1001"/>
    </row>
    <row r="1448" spans="1:10" x14ac:dyDescent="0.3">
      <c r="B1448" s="311" t="str">
        <f>IF(LEN('Ch8'!H63)=0,"",'Ch8'!H63)</f>
        <v/>
      </c>
      <c r="C1448" s="311" t="str">
        <f t="shared" si="35"/>
        <v/>
      </c>
      <c r="D1448" s="152"/>
      <c r="E1448" s="925" t="s">
        <v>273</v>
      </c>
      <c r="F1448" s="919"/>
      <c r="G1448" s="1329" t="s">
        <v>869</v>
      </c>
      <c r="H1448" s="89">
        <f>'Ch8'!W63</f>
        <v>0</v>
      </c>
      <c r="I1448" s="89">
        <f ca="1">'Ch8'!O63</f>
        <v>0</v>
      </c>
      <c r="J1448" s="1001"/>
    </row>
    <row r="1449" spans="1:10" x14ac:dyDescent="0.3">
      <c r="B1449" s="311" t="str">
        <f>IF(LEN('Ch8'!H64)=0,"",'Ch8'!H64)</f>
        <v/>
      </c>
      <c r="C1449" s="311" t="str">
        <f t="shared" si="35"/>
        <v/>
      </c>
      <c r="D1449" s="152"/>
      <c r="E1449" s="919"/>
      <c r="F1449" s="919"/>
      <c r="G1449" s="1329"/>
      <c r="J1449" s="1001"/>
    </row>
    <row r="1450" spans="1:10" x14ac:dyDescent="0.3">
      <c r="B1450" s="311" t="str">
        <f>IF(LEN('Ch8'!H65)=0,"",'Ch8'!H65)</f>
        <v/>
      </c>
      <c r="C1450" s="311" t="str">
        <f t="shared" si="35"/>
        <v/>
      </c>
      <c r="D1450" s="919"/>
      <c r="E1450" s="919"/>
      <c r="F1450" s="925" t="s">
        <v>121</v>
      </c>
      <c r="G1450" s="682" t="s">
        <v>870</v>
      </c>
      <c r="J1450" s="1001"/>
    </row>
    <row r="1451" spans="1:10" x14ac:dyDescent="0.3">
      <c r="B1451" s="311" t="str">
        <f>IF(LEN('Ch8'!H66)=0,"",'Ch8'!H66)</f>
        <v/>
      </c>
      <c r="C1451" s="311" t="str">
        <f t="shared" si="35"/>
        <v/>
      </c>
      <c r="D1451" s="919"/>
      <c r="E1451" s="919"/>
      <c r="F1451" s="925" t="s">
        <v>122</v>
      </c>
      <c r="G1451" s="682" t="s">
        <v>872</v>
      </c>
      <c r="J1451" s="1001"/>
    </row>
    <row r="1452" spans="1:10" x14ac:dyDescent="0.3">
      <c r="B1452" s="311" t="str">
        <f>IF(LEN('Ch8'!H67)=0,"",'Ch8'!H67)</f>
        <v/>
      </c>
      <c r="C1452" s="311" t="str">
        <f t="shared" si="35"/>
        <v/>
      </c>
      <c r="D1452" s="919"/>
      <c r="E1452" s="232"/>
      <c r="F1452" s="946" t="s">
        <v>123</v>
      </c>
      <c r="G1452" s="676" t="s">
        <v>874</v>
      </c>
      <c r="J1452" s="1001"/>
    </row>
    <row r="1453" spans="1:10" ht="15" customHeight="1" x14ac:dyDescent="0.3">
      <c r="B1453" s="311" t="str">
        <f>IF(LEN('Ch8'!H68)=0,"",'Ch8'!H68)</f>
        <v/>
      </c>
      <c r="C1453" s="311" t="str">
        <f t="shared" si="35"/>
        <v/>
      </c>
      <c r="D1453" s="106"/>
      <c r="E1453" s="926" t="s">
        <v>275</v>
      </c>
      <c r="F1453" s="204"/>
      <c r="G1453" s="675" t="s">
        <v>876</v>
      </c>
      <c r="H1453" s="89">
        <f>'Ch8'!W68</f>
        <v>0</v>
      </c>
      <c r="I1453" s="89">
        <f ca="1">'Ch8'!O68</f>
        <v>0</v>
      </c>
      <c r="J1453" s="1001"/>
    </row>
    <row r="1454" spans="1:10" ht="15" thickBot="1" x14ac:dyDescent="0.35">
      <c r="B1454" s="311" t="str">
        <f>IF(LEN('Ch8'!H69)=0,"",'Ch8'!H69)</f>
        <v/>
      </c>
      <c r="C1454" s="311" t="str">
        <f t="shared" si="35"/>
        <v/>
      </c>
      <c r="D1454" s="928"/>
      <c r="E1454" s="934"/>
      <c r="F1454" s="934"/>
      <c r="G1454" s="694" t="s">
        <v>877</v>
      </c>
      <c r="J1454" s="1001"/>
    </row>
    <row r="1455" spans="1:10" ht="15" thickTop="1" x14ac:dyDescent="0.3">
      <c r="A1455" s="727" t="str">
        <f ca="1">IF(SUM(I1458:I1462)&gt;0,"P","")</f>
        <v>P</v>
      </c>
      <c r="B1455" s="311" t="str">
        <f>IF(LEN('Ch8'!H70)=0,"",'Ch8'!H70)</f>
        <v/>
      </c>
      <c r="C1455" s="311" t="str">
        <f t="shared" ca="1" si="35"/>
        <v>P</v>
      </c>
      <c r="D1455" s="111">
        <v>801.4</v>
      </c>
      <c r="E1455" s="954"/>
      <c r="F1455" s="954"/>
      <c r="G1455" s="697" t="s">
        <v>879</v>
      </c>
      <c r="J1455" s="989"/>
    </row>
    <row r="1456" spans="1:10" x14ac:dyDescent="0.3">
      <c r="A1456" s="727" t="str">
        <f ca="1">A1455</f>
        <v>P</v>
      </c>
      <c r="B1456" s="311" t="str">
        <f>IF(LEN('Ch8'!H71)=0,"",'Ch8'!H71)</f>
        <v/>
      </c>
      <c r="C1456" s="311" t="str">
        <f t="shared" ca="1" si="35"/>
        <v>P</v>
      </c>
      <c r="D1456" s="106" t="s">
        <v>880</v>
      </c>
      <c r="E1456" s="204"/>
      <c r="F1456" s="204"/>
      <c r="G1456" s="1313" t="s">
        <v>881</v>
      </c>
      <c r="J1456" s="1443" t="s">
        <v>4297</v>
      </c>
    </row>
    <row r="1457" spans="1:10" x14ac:dyDescent="0.3">
      <c r="A1457" s="727" t="str">
        <f ca="1">A1456</f>
        <v>P</v>
      </c>
      <c r="B1457" s="311" t="str">
        <f>IF(LEN('Ch8'!H72)=0,"",'Ch8'!H72)</f>
        <v/>
      </c>
      <c r="C1457" s="311" t="str">
        <f t="shared" ca="1" si="35"/>
        <v>P</v>
      </c>
      <c r="D1457" s="106"/>
      <c r="E1457" s="204"/>
      <c r="F1457" s="204"/>
      <c r="G1457" s="1313"/>
      <c r="J1457" s="1443"/>
    </row>
    <row r="1458" spans="1:10" x14ac:dyDescent="0.3">
      <c r="B1458" s="311" t="str">
        <f>IF(LEN('Ch8'!H73)=0,"",'Ch8'!H73)</f>
        <v/>
      </c>
      <c r="C1458" s="311" t="str">
        <f t="shared" si="35"/>
        <v/>
      </c>
      <c r="D1458" s="152"/>
      <c r="E1458" s="926" t="s">
        <v>271</v>
      </c>
      <c r="F1458" s="204"/>
      <c r="G1458" s="675" t="s">
        <v>882</v>
      </c>
      <c r="H1458" s="89" t="str">
        <f>'Ch8'!W73</f>
        <v>2 bathrooms</v>
      </c>
      <c r="I1458" s="89">
        <f ca="1">'Ch8'!O73</f>
        <v>2</v>
      </c>
      <c r="J1458" s="996"/>
    </row>
    <row r="1459" spans="1:10" x14ac:dyDescent="0.3">
      <c r="B1459" s="311" t="str">
        <f>IF(LEN('Ch8'!H74)=0,"",'Ch8'!H74)</f>
        <v/>
      </c>
      <c r="C1459" s="311" t="str">
        <f t="shared" si="35"/>
        <v/>
      </c>
      <c r="D1459" s="152"/>
      <c r="E1459" s="204"/>
      <c r="F1459" s="204"/>
      <c r="G1459" s="1368" t="s">
        <v>883</v>
      </c>
      <c r="J1459" s="1001"/>
    </row>
    <row r="1460" spans="1:10" x14ac:dyDescent="0.3">
      <c r="B1460" s="311" t="str">
        <f>IF(LEN('Ch8'!H75)=0,"",'Ch8'!H75)</f>
        <v/>
      </c>
      <c r="C1460" s="311" t="str">
        <f t="shared" si="35"/>
        <v/>
      </c>
      <c r="D1460" s="152"/>
      <c r="E1460" s="204"/>
      <c r="F1460" s="204"/>
      <c r="G1460" s="1368"/>
      <c r="J1460" s="1001"/>
    </row>
    <row r="1461" spans="1:10" x14ac:dyDescent="0.3">
      <c r="B1461" s="311" t="str">
        <f>IF(LEN('Ch8'!H76)=0,"",'Ch8'!H76)</f>
        <v/>
      </c>
      <c r="C1461" s="311" t="str">
        <f t="shared" si="35"/>
        <v/>
      </c>
      <c r="D1461" s="152"/>
      <c r="E1461" s="232"/>
      <c r="F1461" s="232"/>
      <c r="G1461" s="1424"/>
      <c r="J1461" s="1001"/>
    </row>
    <row r="1462" spans="1:10" x14ac:dyDescent="0.3">
      <c r="B1462" s="311" t="str">
        <f>IF(LEN('Ch8'!H77)=0,"",'Ch8'!H77)</f>
        <v/>
      </c>
      <c r="C1462" s="311" t="str">
        <f t="shared" si="35"/>
        <v/>
      </c>
      <c r="D1462" s="927"/>
      <c r="E1462" s="946" t="s">
        <v>273</v>
      </c>
      <c r="F1462" s="232"/>
      <c r="G1462" s="676" t="s">
        <v>884</v>
      </c>
      <c r="H1462" s="89" t="b">
        <f>'Ch8'!W77</f>
        <v>1</v>
      </c>
      <c r="I1462" s="89">
        <f>'Ch8'!O77</f>
        <v>6</v>
      </c>
      <c r="J1462" s="1001"/>
    </row>
    <row r="1463" spans="1:10" x14ac:dyDescent="0.3">
      <c r="A1463" s="727" t="str">
        <f>IF(AND(LEN('Ch8'!W78)&gt;0,NOT('Ch8'!W78=FALSE)),"P","")</f>
        <v/>
      </c>
      <c r="B1463" s="311" t="str">
        <f>IF(LEN('Ch8'!H78)=0,"",'Ch8'!H78)</f>
        <v/>
      </c>
      <c r="C1463" s="311" t="str">
        <f t="shared" si="35"/>
        <v/>
      </c>
      <c r="D1463" s="929" t="s">
        <v>885</v>
      </c>
      <c r="E1463" s="959"/>
      <c r="F1463" s="959"/>
      <c r="G1463" s="1364" t="s">
        <v>886</v>
      </c>
      <c r="H1463" s="89">
        <f>'Ch8'!W78</f>
        <v>0</v>
      </c>
      <c r="I1463" s="89">
        <f ca="1">'Ch8'!O78</f>
        <v>0</v>
      </c>
      <c r="J1463" s="1439" t="s">
        <v>4226</v>
      </c>
    </row>
    <row r="1464" spans="1:10" x14ac:dyDescent="0.3">
      <c r="A1464" s="727" t="str">
        <f>A1463</f>
        <v/>
      </c>
      <c r="B1464" s="311" t="str">
        <f>IF(LEN('Ch8'!H79)=0,"",'Ch8'!H79)</f>
        <v/>
      </c>
      <c r="C1464" s="311" t="str">
        <f t="shared" si="35"/>
        <v/>
      </c>
      <c r="D1464" s="106"/>
      <c r="E1464" s="204"/>
      <c r="F1464" s="204"/>
      <c r="G1464" s="1313"/>
      <c r="J1464" s="1439"/>
    </row>
    <row r="1465" spans="1:10" ht="15" thickBot="1" x14ac:dyDescent="0.35">
      <c r="B1465" s="311" t="str">
        <f>IF(LEN('Ch8'!H80)=0,"",'Ch8'!H80)</f>
        <v/>
      </c>
      <c r="C1465" s="311" t="str">
        <f t="shared" si="35"/>
        <v/>
      </c>
      <c r="D1465" s="928"/>
      <c r="E1465" s="934"/>
      <c r="F1465" s="934"/>
      <c r="G1465" s="694" t="s">
        <v>887</v>
      </c>
      <c r="J1465" s="989"/>
    </row>
    <row r="1466" spans="1:10" ht="15" thickTop="1" x14ac:dyDescent="0.3">
      <c r="A1466" s="727" t="str">
        <f ca="1">IF(SUM(I1470:I1485)&gt;0,"P","")</f>
        <v>P</v>
      </c>
      <c r="B1466" s="311" t="str">
        <f>IF(LEN('Ch8'!H81)=0,"",'Ch8'!H81)</f>
        <v/>
      </c>
      <c r="C1466" s="311" t="str">
        <f t="shared" ca="1" si="35"/>
        <v>P</v>
      </c>
      <c r="D1466" s="111">
        <v>801.5</v>
      </c>
      <c r="E1466" s="954"/>
      <c r="F1466" s="954"/>
      <c r="G1466" s="1427" t="s">
        <v>888</v>
      </c>
      <c r="J1466" s="1443" t="s">
        <v>4298</v>
      </c>
    </row>
    <row r="1467" spans="1:10" x14ac:dyDescent="0.3">
      <c r="A1467" s="727" t="str">
        <f ca="1">A1466</f>
        <v>P</v>
      </c>
      <c r="B1467" s="311" t="str">
        <f>IF(LEN('Ch8'!H82)=0,"",'Ch8'!H82)</f>
        <v/>
      </c>
      <c r="C1467" s="311" t="str">
        <f t="shared" ca="1" si="35"/>
        <v>P</v>
      </c>
      <c r="D1467" s="106"/>
      <c r="E1467" s="204"/>
      <c r="F1467" s="204"/>
      <c r="G1467" s="1390"/>
      <c r="J1467" s="1443"/>
    </row>
    <row r="1468" spans="1:10" x14ac:dyDescent="0.3">
      <c r="B1468" s="311" t="str">
        <f>IF(LEN('Ch8'!H83)=0,"",'Ch8'!H83)</f>
        <v/>
      </c>
      <c r="C1468" s="311" t="str">
        <f t="shared" si="35"/>
        <v/>
      </c>
      <c r="D1468" s="152"/>
      <c r="E1468" s="926" t="s">
        <v>271</v>
      </c>
      <c r="F1468" s="204"/>
      <c r="G1468" s="1293" t="s">
        <v>889</v>
      </c>
      <c r="J1468" s="996"/>
    </row>
    <row r="1469" spans="1:10" x14ac:dyDescent="0.3">
      <c r="B1469" s="311" t="str">
        <f>IF(LEN('Ch8'!H84)=0,"",'Ch8'!H84)</f>
        <v/>
      </c>
      <c r="C1469" s="311" t="str">
        <f t="shared" si="35"/>
        <v/>
      </c>
      <c r="D1469" s="106"/>
      <c r="E1469" s="946"/>
      <c r="F1469" s="232"/>
      <c r="G1469" s="1294"/>
      <c r="J1469" s="1001"/>
    </row>
    <row r="1470" spans="1:10" x14ac:dyDescent="0.3">
      <c r="B1470" s="311" t="str">
        <f>IF(LEN('Ch8'!H85)=0,"",'Ch8'!H85)</f>
        <v/>
      </c>
      <c r="C1470" s="311" t="str">
        <f t="shared" si="35"/>
        <v/>
      </c>
      <c r="D1470" s="152"/>
      <c r="E1470" s="925" t="s">
        <v>273</v>
      </c>
      <c r="F1470" s="919"/>
      <c r="G1470" s="1329" t="s">
        <v>890</v>
      </c>
      <c r="H1470" s="89" t="str">
        <f>'Ch8'!W85</f>
        <v>2 fixtures</v>
      </c>
      <c r="I1470" s="89">
        <f ca="1">'Ch8'!O85</f>
        <v>4</v>
      </c>
      <c r="J1470" s="1001"/>
    </row>
    <row r="1471" spans="1:10" x14ac:dyDescent="0.3">
      <c r="B1471" s="311" t="str">
        <f>IF(LEN('Ch8'!H86)=0,"",'Ch8'!H86)</f>
        <v/>
      </c>
      <c r="C1471" s="311" t="str">
        <f t="shared" si="35"/>
        <v/>
      </c>
      <c r="D1471" s="152"/>
      <c r="E1471" s="919"/>
      <c r="F1471" s="919"/>
      <c r="G1471" s="1329"/>
      <c r="J1471" s="1001"/>
    </row>
    <row r="1472" spans="1:10" x14ac:dyDescent="0.3">
      <c r="B1472" s="311" t="str">
        <f>IF(LEN('Ch8'!H87)=0,"",'Ch8'!H87)</f>
        <v/>
      </c>
      <c r="C1472" s="311" t="str">
        <f t="shared" si="35"/>
        <v/>
      </c>
      <c r="D1472" s="152"/>
      <c r="E1472" s="919"/>
      <c r="F1472" s="919"/>
      <c r="G1472" s="1329"/>
      <c r="J1472" s="1001"/>
    </row>
    <row r="1473" spans="1:10" x14ac:dyDescent="0.3">
      <c r="B1473" s="311" t="str">
        <f>IF(LEN('Ch8'!H88)=0,"",'Ch8'!H88)</f>
        <v/>
      </c>
      <c r="C1473" s="311" t="str">
        <f t="shared" si="35"/>
        <v/>
      </c>
      <c r="D1473" s="152"/>
      <c r="E1473" s="204"/>
      <c r="F1473" s="204"/>
      <c r="G1473" s="1368" t="s">
        <v>891</v>
      </c>
      <c r="J1473" s="1001"/>
    </row>
    <row r="1474" spans="1:10" x14ac:dyDescent="0.3">
      <c r="B1474" s="311" t="str">
        <f>IF(LEN('Ch8'!H89)=0,"",'Ch8'!H89)</f>
        <v/>
      </c>
      <c r="C1474" s="311" t="str">
        <f t="shared" si="35"/>
        <v/>
      </c>
      <c r="D1474" s="152"/>
      <c r="E1474" s="204"/>
      <c r="F1474" s="204"/>
      <c r="G1474" s="1368"/>
      <c r="J1474" s="1001"/>
    </row>
    <row r="1475" spans="1:10" x14ac:dyDescent="0.3">
      <c r="B1475" s="311" t="str">
        <f>IF(LEN('Ch8'!H90)=0,"",'Ch8'!H90)</f>
        <v/>
      </c>
      <c r="C1475" s="311" t="str">
        <f t="shared" si="35"/>
        <v/>
      </c>
      <c r="D1475" s="152"/>
      <c r="E1475" s="232"/>
      <c r="F1475" s="232"/>
      <c r="G1475" s="1424"/>
      <c r="J1475" s="1001"/>
    </row>
    <row r="1476" spans="1:10" x14ac:dyDescent="0.3">
      <c r="B1476" s="311" t="str">
        <f>IF(LEN('Ch8'!H91)=0,"",'Ch8'!H91)</f>
        <v/>
      </c>
      <c r="C1476" s="311" t="str">
        <f t="shared" si="35"/>
        <v/>
      </c>
      <c r="D1476" s="152"/>
      <c r="E1476" s="946" t="s">
        <v>275</v>
      </c>
      <c r="F1476" s="232"/>
      <c r="G1476" s="676" t="s">
        <v>892</v>
      </c>
      <c r="H1476" s="89" t="b">
        <f>'Ch8'!W91</f>
        <v>1</v>
      </c>
      <c r="I1476" s="89">
        <f ca="1">'Ch8'!O91</f>
        <v>7</v>
      </c>
      <c r="J1476" s="1001"/>
    </row>
    <row r="1477" spans="1:10" x14ac:dyDescent="0.3">
      <c r="B1477" s="311" t="str">
        <f>IF(LEN('Ch8'!H92)=0,"",'Ch8'!H92)</f>
        <v/>
      </c>
      <c r="C1477" s="311" t="str">
        <f t="shared" si="35"/>
        <v/>
      </c>
      <c r="D1477" s="152"/>
      <c r="E1477" s="925" t="s">
        <v>285</v>
      </c>
      <c r="F1477" s="919"/>
      <c r="G1477" s="1329" t="s">
        <v>893</v>
      </c>
      <c r="J1477" s="1001"/>
    </row>
    <row r="1478" spans="1:10" x14ac:dyDescent="0.3">
      <c r="B1478" s="311" t="str">
        <f>IF(LEN('Ch8'!H93)=0,"",'Ch8'!H93)</f>
        <v/>
      </c>
      <c r="C1478" s="311" t="str">
        <f t="shared" si="35"/>
        <v/>
      </c>
      <c r="D1478" s="152"/>
      <c r="E1478" s="919"/>
      <c r="F1478" s="919"/>
      <c r="G1478" s="1329"/>
      <c r="J1478" s="1001"/>
    </row>
    <row r="1479" spans="1:10" x14ac:dyDescent="0.3">
      <c r="B1479" s="311" t="str">
        <f>IF(LEN('Ch8'!H94)=0,"",'Ch8'!H94)</f>
        <v/>
      </c>
      <c r="C1479" s="311" t="str">
        <f t="shared" si="35"/>
        <v/>
      </c>
      <c r="D1479" s="919"/>
      <c r="E1479" s="919"/>
      <c r="F1479" s="926" t="s">
        <v>121</v>
      </c>
      <c r="G1479" s="675" t="s">
        <v>894</v>
      </c>
      <c r="H1479" s="89">
        <f>'Ch8'!W94</f>
        <v>0</v>
      </c>
      <c r="I1479" s="89">
        <f ca="1">'Ch8'!O94</f>
        <v>0</v>
      </c>
      <c r="J1479" s="1001"/>
    </row>
    <row r="1480" spans="1:10" x14ac:dyDescent="0.3">
      <c r="B1480" s="311" t="str">
        <f>IF(LEN('Ch8'!H95)=0,"",'Ch8'!H95)</f>
        <v/>
      </c>
      <c r="C1480" s="311" t="str">
        <f t="shared" ref="C1480:C1543" si="36">IF(LEN(B1480)=0,IF(A1480="P","P",""),B1480)</f>
        <v/>
      </c>
      <c r="D1480" s="919"/>
      <c r="E1480" s="919"/>
      <c r="F1480" s="204"/>
      <c r="G1480" s="1368" t="s">
        <v>896</v>
      </c>
      <c r="J1480" s="1001"/>
    </row>
    <row r="1481" spans="1:10" x14ac:dyDescent="0.3">
      <c r="B1481" s="311" t="str">
        <f>IF(LEN('Ch8'!H96)=0,"",'Ch8'!H96)</f>
        <v/>
      </c>
      <c r="C1481" s="311" t="str">
        <f t="shared" si="36"/>
        <v/>
      </c>
      <c r="D1481" s="919"/>
      <c r="E1481" s="919"/>
      <c r="F1481" s="204"/>
      <c r="G1481" s="1368"/>
      <c r="J1481" s="1001"/>
    </row>
    <row r="1482" spans="1:10" x14ac:dyDescent="0.3">
      <c r="B1482" s="311" t="str">
        <f>IF(LEN('Ch8'!H97)=0,"",'Ch8'!H97)</f>
        <v/>
      </c>
      <c r="C1482" s="311" t="str">
        <f t="shared" si="36"/>
        <v/>
      </c>
      <c r="D1482" s="919"/>
      <c r="E1482" s="919"/>
      <c r="F1482" s="232"/>
      <c r="G1482" s="1424"/>
      <c r="J1482" s="1001"/>
    </row>
    <row r="1483" spans="1:10" x14ac:dyDescent="0.3">
      <c r="B1483" s="311" t="str">
        <f>IF(LEN('Ch8'!H98)=0,"",'Ch8'!H98)</f>
        <v/>
      </c>
      <c r="C1483" s="311" t="str">
        <f t="shared" si="36"/>
        <v/>
      </c>
      <c r="D1483" s="919"/>
      <c r="E1483" s="919"/>
      <c r="F1483" s="926" t="s">
        <v>122</v>
      </c>
      <c r="G1483" s="1305" t="s">
        <v>897</v>
      </c>
      <c r="H1483" s="89">
        <f>'Ch8'!W98</f>
        <v>0</v>
      </c>
      <c r="I1483" s="89">
        <f>'Ch8'!O98</f>
        <v>0</v>
      </c>
      <c r="J1483" s="1001"/>
    </row>
    <row r="1484" spans="1:10" x14ac:dyDescent="0.3">
      <c r="B1484" s="311" t="str">
        <f>IF(LEN('Ch8'!H99)=0,"",'Ch8'!H99)</f>
        <v/>
      </c>
      <c r="C1484" s="311" t="str">
        <f t="shared" si="36"/>
        <v/>
      </c>
      <c r="D1484" s="919"/>
      <c r="E1484" s="919"/>
      <c r="F1484" s="946"/>
      <c r="G1484" s="1306"/>
      <c r="J1484" s="1001"/>
    </row>
    <row r="1485" spans="1:10" ht="15" thickBot="1" x14ac:dyDescent="0.35">
      <c r="B1485" s="311" t="str">
        <f>IF(LEN('Ch8'!H100)=0,"",'Ch8'!H100)</f>
        <v/>
      </c>
      <c r="C1485" s="311" t="str">
        <f t="shared" si="36"/>
        <v/>
      </c>
      <c r="D1485" s="934"/>
      <c r="E1485" s="934"/>
      <c r="F1485" s="931" t="s">
        <v>123</v>
      </c>
      <c r="G1485" s="678" t="s">
        <v>898</v>
      </c>
      <c r="H1485" s="89">
        <f>'Ch8'!W100</f>
        <v>0</v>
      </c>
      <c r="I1485" s="89">
        <f>'Ch8'!O100</f>
        <v>0</v>
      </c>
      <c r="J1485" s="1001"/>
    </row>
    <row r="1486" spans="1:10" ht="15" thickTop="1" x14ac:dyDescent="0.3">
      <c r="A1486" s="1196" t="str">
        <f>IF(COUNTIF(A1487:A1508,"P")&gt;0,"P","")</f>
        <v>P</v>
      </c>
      <c r="B1486" s="311" t="str">
        <f>IF(LEN('Ch8'!H101)=0,"",'Ch8'!H101)</f>
        <v/>
      </c>
      <c r="C1486" s="311" t="str">
        <f t="shared" si="36"/>
        <v>P</v>
      </c>
      <c r="D1486" s="111">
        <v>801.6</v>
      </c>
      <c r="E1486" s="954"/>
      <c r="F1486" s="954"/>
      <c r="G1486" s="918" t="s">
        <v>900</v>
      </c>
      <c r="J1486" s="989"/>
    </row>
    <row r="1487" spans="1:10" ht="15" customHeight="1" x14ac:dyDescent="0.3">
      <c r="A1487" s="727" t="str">
        <f>IF(AND(LEN('Ch8'!W102)&gt;0,NOT('Ch8'!W102=FALSE)),"P","")</f>
        <v/>
      </c>
      <c r="B1487" s="311" t="str">
        <f>IF(LEN('Ch8'!H102)=0,"",'Ch8'!H102)</f>
        <v/>
      </c>
      <c r="C1487" s="311" t="str">
        <f t="shared" si="36"/>
        <v/>
      </c>
      <c r="D1487" s="106" t="s">
        <v>901</v>
      </c>
      <c r="E1487" s="204"/>
      <c r="F1487" s="204"/>
      <c r="G1487" s="1313" t="s">
        <v>902</v>
      </c>
      <c r="H1487" s="89">
        <f>'Ch8'!W102</f>
        <v>0</v>
      </c>
      <c r="I1487" s="89">
        <f>'Ch8'!O102</f>
        <v>0</v>
      </c>
      <c r="J1487" s="1443" t="s">
        <v>4418</v>
      </c>
    </row>
    <row r="1488" spans="1:10" x14ac:dyDescent="0.3">
      <c r="A1488" s="727" t="str">
        <f>A1487</f>
        <v/>
      </c>
      <c r="B1488" s="311" t="str">
        <f>IF(LEN('Ch8'!H103)=0,"",'Ch8'!H103)</f>
        <v/>
      </c>
      <c r="C1488" s="311" t="str">
        <f t="shared" si="36"/>
        <v/>
      </c>
      <c r="D1488" s="106"/>
      <c r="E1488" s="204"/>
      <c r="F1488" s="204"/>
      <c r="G1488" s="1313"/>
      <c r="J1488" s="1443"/>
    </row>
    <row r="1489" spans="1:10" x14ac:dyDescent="0.3">
      <c r="A1489" s="727" t="str">
        <f>A1488</f>
        <v/>
      </c>
      <c r="B1489" s="311" t="str">
        <f>IF(LEN('Ch8'!H104)=0,"",'Ch8'!H104)</f>
        <v/>
      </c>
      <c r="C1489" s="311" t="str">
        <f t="shared" si="36"/>
        <v/>
      </c>
      <c r="D1489" s="927"/>
      <c r="E1489" s="232"/>
      <c r="F1489" s="232"/>
      <c r="G1489" s="1350"/>
      <c r="J1489" s="1443"/>
    </row>
    <row r="1490" spans="1:10" x14ac:dyDescent="0.3">
      <c r="A1490" s="727" t="str">
        <f>IF(SUM(I1491:I1493)&gt;0,"P","")</f>
        <v/>
      </c>
      <c r="B1490" s="311" t="str">
        <f>IF(LEN('Ch8'!H105)=0,"",'Ch8'!H105)</f>
        <v/>
      </c>
      <c r="C1490" s="311" t="str">
        <f t="shared" si="36"/>
        <v/>
      </c>
      <c r="D1490" s="152" t="s">
        <v>903</v>
      </c>
      <c r="E1490" s="919"/>
      <c r="F1490" s="919"/>
      <c r="G1490" s="687" t="s">
        <v>904</v>
      </c>
      <c r="J1490" s="1010" t="s">
        <v>4226</v>
      </c>
    </row>
    <row r="1491" spans="1:10" x14ac:dyDescent="0.3">
      <c r="B1491" s="311" t="str">
        <f>IF(LEN('Ch8'!H106)=0,"",'Ch8'!H106)</f>
        <v/>
      </c>
      <c r="C1491" s="311" t="str">
        <f t="shared" si="36"/>
        <v/>
      </c>
      <c r="D1491" s="152"/>
      <c r="E1491" s="946" t="s">
        <v>271</v>
      </c>
      <c r="F1491" s="232"/>
      <c r="G1491" s="676" t="s">
        <v>905</v>
      </c>
      <c r="H1491" s="89">
        <f>'Ch8'!W106</f>
        <v>0</v>
      </c>
      <c r="I1491" s="89">
        <f>'Ch8'!O106</f>
        <v>0</v>
      </c>
      <c r="J1491" s="996"/>
    </row>
    <row r="1492" spans="1:10" x14ac:dyDescent="0.3">
      <c r="B1492" s="311" t="str">
        <f>IF(LEN('Ch8'!H107)=0,"",'Ch8'!H107)</f>
        <v/>
      </c>
      <c r="C1492" s="311" t="str">
        <f t="shared" si="36"/>
        <v/>
      </c>
      <c r="D1492" s="152"/>
      <c r="E1492" s="946" t="s">
        <v>273</v>
      </c>
      <c r="F1492" s="232"/>
      <c r="G1492" s="676" t="s">
        <v>906</v>
      </c>
      <c r="H1492" s="89">
        <f>'Ch8'!W107</f>
        <v>0</v>
      </c>
      <c r="I1492" s="89">
        <f>'Ch8'!O107</f>
        <v>0</v>
      </c>
      <c r="J1492" s="1010"/>
    </row>
    <row r="1493" spans="1:10" x14ac:dyDescent="0.3">
      <c r="B1493" s="311" t="str">
        <f>IF(LEN('Ch8'!H108)=0,"",'Ch8'!H108)</f>
        <v/>
      </c>
      <c r="C1493" s="311" t="str">
        <f t="shared" si="36"/>
        <v/>
      </c>
      <c r="D1493" s="106"/>
      <c r="E1493" s="926" t="s">
        <v>275</v>
      </c>
      <c r="F1493" s="204"/>
      <c r="G1493" s="1305" t="s">
        <v>907</v>
      </c>
      <c r="H1493" s="89">
        <f>'Ch8'!W108</f>
        <v>0</v>
      </c>
      <c r="I1493" s="89">
        <f>'Ch8'!O108</f>
        <v>0</v>
      </c>
      <c r="J1493" s="1010"/>
    </row>
    <row r="1494" spans="1:10" x14ac:dyDescent="0.3">
      <c r="B1494" s="311" t="str">
        <f>IF(LEN('Ch8'!H109)=0,"",'Ch8'!H109)</f>
        <v/>
      </c>
      <c r="C1494" s="311" t="str">
        <f t="shared" si="36"/>
        <v/>
      </c>
      <c r="D1494" s="927"/>
      <c r="E1494" s="232"/>
      <c r="F1494" s="232"/>
      <c r="G1494" s="1306"/>
      <c r="J1494" s="1010"/>
    </row>
    <row r="1495" spans="1:10" x14ac:dyDescent="0.3">
      <c r="A1495" s="727" t="str">
        <f>IF(AND(LEN('Ch8'!W110)&gt;0,NOT('Ch8'!W110=FALSE)),"P","")</f>
        <v/>
      </c>
      <c r="B1495" s="311" t="str">
        <f>IF(LEN('Ch8'!H110)=0,"",'Ch8'!H110)</f>
        <v/>
      </c>
      <c r="C1495" s="311" t="str">
        <f t="shared" si="36"/>
        <v/>
      </c>
      <c r="D1495" s="929" t="s">
        <v>908</v>
      </c>
      <c r="E1495" s="959"/>
      <c r="F1495" s="959"/>
      <c r="G1495" s="1364" t="s">
        <v>909</v>
      </c>
      <c r="H1495" s="89">
        <f>'Ch8'!W110</f>
        <v>0</v>
      </c>
      <c r="J1495" s="1446" t="s">
        <v>4419</v>
      </c>
    </row>
    <row r="1496" spans="1:10" x14ac:dyDescent="0.3">
      <c r="A1496" s="727" t="str">
        <f>A1495</f>
        <v/>
      </c>
      <c r="B1496" s="311" t="str">
        <f>IF(LEN('Ch8'!H111)=0,"",'Ch8'!H111)</f>
        <v/>
      </c>
      <c r="C1496" s="311" t="str">
        <f t="shared" si="36"/>
        <v/>
      </c>
      <c r="D1496" s="106"/>
      <c r="E1496" s="204"/>
      <c r="F1496" s="204"/>
      <c r="G1496" s="1313"/>
      <c r="J1496" s="1446"/>
    </row>
    <row r="1497" spans="1:10" x14ac:dyDescent="0.3">
      <c r="A1497" s="727" t="str">
        <f>A1496</f>
        <v/>
      </c>
      <c r="B1497" s="311" t="str">
        <f>IF(LEN('Ch8'!H112)=0,"",'Ch8'!H112)</f>
        <v/>
      </c>
      <c r="C1497" s="311" t="str">
        <f t="shared" si="36"/>
        <v/>
      </c>
      <c r="D1497" s="106"/>
      <c r="E1497" s="204"/>
      <c r="F1497" s="204"/>
      <c r="G1497" s="1313"/>
      <c r="J1497" s="1446"/>
    </row>
    <row r="1498" spans="1:10" x14ac:dyDescent="0.3">
      <c r="A1498" s="1196" t="str">
        <f>IF(COUNTIF(A1501:A1504,"P")&gt;0,"P","")</f>
        <v>P</v>
      </c>
      <c r="B1498" s="311" t="str">
        <f>IF(LEN('Ch8'!H113)=0,"",'Ch8'!H113)</f>
        <v/>
      </c>
      <c r="C1498" s="311" t="str">
        <f t="shared" si="36"/>
        <v>P</v>
      </c>
      <c r="D1498" s="929" t="s">
        <v>910</v>
      </c>
      <c r="E1498" s="959"/>
      <c r="F1498" s="959"/>
      <c r="G1498" s="1393" t="s">
        <v>911</v>
      </c>
      <c r="J1498" s="989"/>
    </row>
    <row r="1499" spans="1:10" x14ac:dyDescent="0.3">
      <c r="A1499" s="727" t="str">
        <f>A1498</f>
        <v>P</v>
      </c>
      <c r="B1499" s="311" t="str">
        <f>IF(LEN('Ch8'!H114)=0,"",'Ch8'!H114)</f>
        <v/>
      </c>
      <c r="C1499" s="311" t="str">
        <f t="shared" si="36"/>
        <v>P</v>
      </c>
      <c r="D1499" s="106"/>
      <c r="E1499" s="204"/>
      <c r="F1499" s="204"/>
      <c r="G1499" s="1390"/>
      <c r="J1499" s="989"/>
    </row>
    <row r="1500" spans="1:10" x14ac:dyDescent="0.3">
      <c r="B1500" s="311" t="str">
        <f>IF(LEN('Ch8'!H115)=0,"",'Ch8'!H115)</f>
        <v/>
      </c>
      <c r="C1500" s="311" t="str">
        <f t="shared" si="36"/>
        <v/>
      </c>
      <c r="D1500" s="152"/>
      <c r="E1500" s="919"/>
      <c r="F1500" s="919"/>
      <c r="G1500" s="681" t="s">
        <v>912</v>
      </c>
      <c r="J1500" s="989"/>
    </row>
    <row r="1501" spans="1:10" x14ac:dyDescent="0.3">
      <c r="A1501" s="727" t="str">
        <f>IF(AND(LEN('Ch8'!W116)&gt;0,NOT('Ch8'!W116=FALSE)),"P","")</f>
        <v/>
      </c>
      <c r="B1501" s="311" t="str">
        <f>IF(LEN('Ch8'!H116)=0,"",'Ch8'!H116)</f>
        <v/>
      </c>
      <c r="C1501" s="311" t="str">
        <f t="shared" si="36"/>
        <v/>
      </c>
      <c r="D1501" s="152"/>
      <c r="E1501" s="926" t="s">
        <v>271</v>
      </c>
      <c r="F1501" s="204"/>
      <c r="G1501" s="1305" t="s">
        <v>913</v>
      </c>
      <c r="H1501" s="89">
        <f>'Ch8'!W116</f>
        <v>0</v>
      </c>
      <c r="I1501" s="89">
        <f>'Ch8'!O116</f>
        <v>0</v>
      </c>
      <c r="J1501" s="1446" t="s">
        <v>4280</v>
      </c>
    </row>
    <row r="1502" spans="1:10" x14ac:dyDescent="0.3">
      <c r="A1502" s="727" t="str">
        <f>A1501</f>
        <v/>
      </c>
      <c r="B1502" s="311" t="str">
        <f>IF(LEN('Ch8'!H117)=0,"",'Ch8'!H117)</f>
        <v/>
      </c>
      <c r="C1502" s="311" t="str">
        <f t="shared" si="36"/>
        <v/>
      </c>
      <c r="D1502" s="152"/>
      <c r="E1502" s="232"/>
      <c r="F1502" s="232"/>
      <c r="G1502" s="1306"/>
      <c r="J1502" s="1446"/>
    </row>
    <row r="1503" spans="1:10" x14ac:dyDescent="0.3">
      <c r="A1503" s="727" t="str">
        <f>IF(AND(LEN('Ch8'!W118)&gt;0,NOT('Ch8'!W118=FALSE)),"P","")</f>
        <v/>
      </c>
      <c r="B1503" s="311" t="str">
        <f>IF(LEN('Ch8'!H118)=0,"",'Ch8'!H118)</f>
        <v/>
      </c>
      <c r="C1503" s="311" t="str">
        <f t="shared" si="36"/>
        <v/>
      </c>
      <c r="D1503" s="152"/>
      <c r="E1503" s="946" t="s">
        <v>273</v>
      </c>
      <c r="F1503" s="232"/>
      <c r="G1503" s="676" t="s">
        <v>914</v>
      </c>
      <c r="H1503" s="89">
        <f>'Ch8'!W118</f>
        <v>0</v>
      </c>
      <c r="J1503" s="1010" t="s">
        <v>4280</v>
      </c>
    </row>
    <row r="1504" spans="1:10" x14ac:dyDescent="0.3">
      <c r="A1504" s="727" t="str">
        <f>IF(AND(LEN('Ch8'!W119)&gt;0,NOT('Ch8'!W119=FALSE)),"P","")</f>
        <v>P</v>
      </c>
      <c r="B1504" s="311" t="str">
        <f>IF(LEN('Ch8'!H119)=0,"",'Ch8'!H119)</f>
        <v/>
      </c>
      <c r="C1504" s="311" t="str">
        <f t="shared" si="36"/>
        <v>P</v>
      </c>
      <c r="D1504" s="106"/>
      <c r="E1504" s="926" t="s">
        <v>275</v>
      </c>
      <c r="F1504" s="204"/>
      <c r="G1504" s="1305" t="s">
        <v>915</v>
      </c>
      <c r="H1504" s="89" t="b">
        <f>'Ch8'!W119</f>
        <v>1</v>
      </c>
      <c r="I1504" s="89">
        <f ca="1">'Ch8'!O119</f>
        <v>15</v>
      </c>
      <c r="J1504" s="1446" t="s">
        <v>4299</v>
      </c>
    </row>
    <row r="1505" spans="1:10" x14ac:dyDescent="0.3">
      <c r="A1505" s="727" t="str">
        <f>A1504</f>
        <v>P</v>
      </c>
      <c r="B1505" s="311" t="str">
        <f>IF(LEN('Ch8'!H120)=0,"",'Ch8'!H120)</f>
        <v/>
      </c>
      <c r="C1505" s="311" t="str">
        <f t="shared" si="36"/>
        <v>P</v>
      </c>
      <c r="D1505" s="106"/>
      <c r="E1505" s="204"/>
      <c r="F1505" s="204"/>
      <c r="G1505" s="1305"/>
      <c r="J1505" s="1446"/>
    </row>
    <row r="1506" spans="1:10" x14ac:dyDescent="0.3">
      <c r="B1506" s="311" t="str">
        <f>IF(LEN('Ch8'!H121)=0,"",'Ch8'!H121)</f>
        <v/>
      </c>
      <c r="C1506" s="311" t="str">
        <f t="shared" si="36"/>
        <v/>
      </c>
      <c r="D1506" s="106"/>
      <c r="E1506" s="204"/>
      <c r="F1506" s="204"/>
      <c r="G1506" s="1394" t="s">
        <v>3851</v>
      </c>
      <c r="J1506" s="989"/>
    </row>
    <row r="1507" spans="1:10" x14ac:dyDescent="0.3">
      <c r="B1507" s="311" t="str">
        <f>IF(LEN('Ch8'!H122)=0,"",'Ch8'!H122)</f>
        <v/>
      </c>
      <c r="C1507" s="311" t="str">
        <f t="shared" si="36"/>
        <v/>
      </c>
      <c r="D1507" s="927"/>
      <c r="E1507" s="232"/>
      <c r="F1507" s="232"/>
      <c r="G1507" s="1396"/>
      <c r="J1507" s="989"/>
    </row>
    <row r="1508" spans="1:10" x14ac:dyDescent="0.3">
      <c r="A1508" s="727" t="str">
        <f>IF(AND(LEN('Ch8'!W123)&gt;0,NOT('Ch8'!W123=FALSE)),"P","")</f>
        <v/>
      </c>
      <c r="B1508" s="311" t="str">
        <f>IF(LEN('Ch8'!H123)=0,"",'Ch8'!H123)</f>
        <v/>
      </c>
      <c r="C1508" s="311" t="str">
        <f t="shared" si="36"/>
        <v/>
      </c>
      <c r="D1508" s="929" t="s">
        <v>916</v>
      </c>
      <c r="E1508" s="959"/>
      <c r="F1508" s="959"/>
      <c r="G1508" s="1364" t="s">
        <v>917</v>
      </c>
      <c r="H1508" s="89">
        <f>'Ch8'!W123</f>
        <v>0</v>
      </c>
      <c r="I1508" s="89">
        <f>'Ch8'!O123</f>
        <v>0</v>
      </c>
      <c r="J1508" s="989" t="s">
        <v>4300</v>
      </c>
    </row>
    <row r="1509" spans="1:10" x14ac:dyDescent="0.3">
      <c r="A1509" s="727" t="str">
        <f>A1508</f>
        <v/>
      </c>
      <c r="B1509" s="311" t="str">
        <f>IF(LEN('Ch8'!H124)=0,"",'Ch8'!H124)</f>
        <v/>
      </c>
      <c r="C1509" s="311" t="str">
        <f t="shared" si="36"/>
        <v/>
      </c>
      <c r="D1509" s="106"/>
      <c r="E1509" s="204"/>
      <c r="F1509" s="204"/>
      <c r="G1509" s="1313"/>
      <c r="J1509" s="989"/>
    </row>
    <row r="1510" spans="1:10" ht="15" thickTop="1" x14ac:dyDescent="0.3">
      <c r="A1510" s="1196" t="str">
        <f ca="1">IF(COUNTIF(A1512:A1523,"P")&gt;0,"P","")</f>
        <v/>
      </c>
      <c r="B1510" s="311" t="str">
        <f>IF(LEN('Ch8'!H125)=0,"",'Ch8'!H125)</f>
        <v/>
      </c>
      <c r="C1510" s="311" t="str">
        <f t="shared" ca="1" si="36"/>
        <v/>
      </c>
      <c r="D1510" s="111">
        <v>801.7</v>
      </c>
      <c r="E1510" s="954"/>
      <c r="F1510" s="954"/>
      <c r="G1510" s="1429" t="s">
        <v>918</v>
      </c>
      <c r="J1510" s="989"/>
    </row>
    <row r="1511" spans="1:10" x14ac:dyDescent="0.3">
      <c r="A1511" s="727" t="str">
        <f ca="1">A1510</f>
        <v/>
      </c>
      <c r="B1511" s="311" t="str">
        <f>IF(LEN('Ch8'!H126)=0,"",'Ch8'!H126)</f>
        <v/>
      </c>
      <c r="C1511" s="311" t="str">
        <f t="shared" ca="1" si="36"/>
        <v/>
      </c>
      <c r="D1511" s="106"/>
      <c r="E1511" s="204"/>
      <c r="F1511" s="204"/>
      <c r="G1511" s="1430"/>
      <c r="J1511" s="989"/>
    </row>
    <row r="1512" spans="1:10" x14ac:dyDescent="0.3">
      <c r="A1512" s="727" t="str">
        <f>IF(AND(LEN('Ch8'!W127)&gt;0,NOT('Ch8'!W127=FALSE)),"P","")</f>
        <v/>
      </c>
      <c r="B1512" s="311" t="str">
        <f>IF(LEN('Ch8'!H127)=0,"",'Ch8'!H127)</f>
        <v/>
      </c>
      <c r="C1512" s="311" t="str">
        <f t="shared" si="36"/>
        <v/>
      </c>
      <c r="D1512" s="106" t="s">
        <v>1307</v>
      </c>
      <c r="E1512" s="204"/>
      <c r="F1512" s="204"/>
      <c r="G1512" s="699" t="s">
        <v>1308</v>
      </c>
      <c r="H1512" s="89">
        <f>'Ch8'!W127</f>
        <v>0</v>
      </c>
      <c r="I1512" s="89">
        <f ca="1">'Ch8'!O127</f>
        <v>0</v>
      </c>
      <c r="J1512" s="989" t="s">
        <v>4226</v>
      </c>
    </row>
    <row r="1513" spans="1:10" x14ac:dyDescent="0.3">
      <c r="B1513" s="311" t="str">
        <f>IF(LEN('Ch8'!H128)=0,"",'Ch8'!H128)</f>
        <v/>
      </c>
      <c r="C1513" s="311" t="str">
        <f t="shared" si="36"/>
        <v/>
      </c>
      <c r="D1513" s="106"/>
      <c r="E1513" s="946" t="s">
        <v>271</v>
      </c>
      <c r="F1513" s="232"/>
      <c r="G1513" s="676" t="s">
        <v>919</v>
      </c>
      <c r="J1513" s="989"/>
    </row>
    <row r="1514" spans="1:10" x14ac:dyDescent="0.3">
      <c r="B1514" s="311" t="str">
        <f>IF(LEN('Ch8'!H129)=0,"",'Ch8'!H129)</f>
        <v/>
      </c>
      <c r="C1514" s="311" t="str">
        <f t="shared" si="36"/>
        <v/>
      </c>
      <c r="D1514" s="106"/>
      <c r="E1514" s="926" t="s">
        <v>273</v>
      </c>
      <c r="F1514" s="204"/>
      <c r="G1514" s="1305" t="s">
        <v>920</v>
      </c>
      <c r="J1514" s="989"/>
    </row>
    <row r="1515" spans="1:10" x14ac:dyDescent="0.3">
      <c r="B1515" s="311" t="str">
        <f>IF(LEN('Ch8'!H130)=0,"",'Ch8'!H130)</f>
        <v/>
      </c>
      <c r="C1515" s="311" t="str">
        <f t="shared" si="36"/>
        <v/>
      </c>
      <c r="D1515" s="106"/>
      <c r="E1515" s="204"/>
      <c r="F1515" s="204"/>
      <c r="G1515" s="1305"/>
      <c r="J1515" s="989"/>
    </row>
    <row r="1516" spans="1:10" x14ac:dyDescent="0.3">
      <c r="B1516" s="311" t="str">
        <f>IF(LEN('Ch8'!H131)=0,"",'Ch8'!H131)</f>
        <v/>
      </c>
      <c r="C1516" s="311" t="str">
        <f t="shared" si="36"/>
        <v/>
      </c>
      <c r="D1516" s="204"/>
      <c r="E1516" s="204"/>
      <c r="F1516" s="946" t="s">
        <v>121</v>
      </c>
      <c r="G1516" s="676" t="s">
        <v>921</v>
      </c>
      <c r="J1516" s="989"/>
    </row>
    <row r="1517" spans="1:10" x14ac:dyDescent="0.3">
      <c r="B1517" s="311" t="str">
        <f>IF(LEN('Ch8'!H132)=0,"",'Ch8'!H132)</f>
        <v/>
      </c>
      <c r="C1517" s="311" t="str">
        <f t="shared" si="36"/>
        <v/>
      </c>
      <c r="D1517" s="204"/>
      <c r="E1517" s="204"/>
      <c r="F1517" s="946" t="s">
        <v>122</v>
      </c>
      <c r="G1517" s="676" t="s">
        <v>922</v>
      </c>
      <c r="J1517" s="989"/>
    </row>
    <row r="1518" spans="1:10" x14ac:dyDescent="0.3">
      <c r="B1518" s="311" t="str">
        <f>IF(LEN('Ch8'!H133)=0,"",'Ch8'!H133)</f>
        <v/>
      </c>
      <c r="C1518" s="311" t="str">
        <f t="shared" si="36"/>
        <v/>
      </c>
      <c r="D1518" s="204"/>
      <c r="E1518" s="204"/>
      <c r="F1518" s="926" t="s">
        <v>123</v>
      </c>
      <c r="G1518" s="1305" t="s">
        <v>923</v>
      </c>
      <c r="J1518" s="989"/>
    </row>
    <row r="1519" spans="1:10" x14ac:dyDescent="0.3">
      <c r="B1519" s="311" t="str">
        <f>IF(LEN('Ch8'!H134)=0,"",'Ch8'!H134)</f>
        <v/>
      </c>
      <c r="C1519" s="311" t="str">
        <f t="shared" si="36"/>
        <v/>
      </c>
      <c r="D1519" s="204"/>
      <c r="E1519" s="204"/>
      <c r="F1519" s="232"/>
      <c r="G1519" s="1306"/>
      <c r="J1519" s="989"/>
    </row>
    <row r="1520" spans="1:10" x14ac:dyDescent="0.3">
      <c r="B1520" s="311" t="str">
        <f>IF(LEN('Ch8'!H135)=0,"",'Ch8'!H135)</f>
        <v/>
      </c>
      <c r="C1520" s="311" t="str">
        <f t="shared" si="36"/>
        <v/>
      </c>
      <c r="D1520" s="204"/>
      <c r="E1520" s="204"/>
      <c r="F1520" s="926" t="s">
        <v>423</v>
      </c>
      <c r="G1520" s="1305" t="s">
        <v>924</v>
      </c>
      <c r="J1520" s="989"/>
    </row>
    <row r="1521" spans="1:10" x14ac:dyDescent="0.3">
      <c r="B1521" s="311" t="str">
        <f>IF(LEN('Ch8'!H136)=0,"",'Ch8'!H136)</f>
        <v/>
      </c>
      <c r="C1521" s="311" t="str">
        <f t="shared" si="36"/>
        <v/>
      </c>
      <c r="D1521" s="106"/>
      <c r="E1521" s="204"/>
      <c r="F1521" s="204"/>
      <c r="G1521" s="1305"/>
      <c r="J1521" s="989"/>
    </row>
    <row r="1522" spans="1:10" x14ac:dyDescent="0.3">
      <c r="B1522" s="311" t="str">
        <f>IF(LEN('Ch8'!H137)=0,"",'Ch8'!H137)</f>
        <v/>
      </c>
      <c r="C1522" s="311" t="str">
        <f t="shared" si="36"/>
        <v/>
      </c>
      <c r="D1522" s="927"/>
      <c r="E1522" s="232"/>
      <c r="F1522" s="232"/>
      <c r="G1522" s="1306"/>
      <c r="J1522" s="989"/>
    </row>
    <row r="1523" spans="1:10" x14ac:dyDescent="0.3">
      <c r="A1523" s="727" t="str">
        <f ca="1">IF('Ch8'!O138&gt;0,"P","")</f>
        <v/>
      </c>
      <c r="B1523" s="311" t="str">
        <f>IF(LEN('Ch8'!H138)=0,"",'Ch8'!H138)</f>
        <v/>
      </c>
      <c r="C1523" s="311" t="str">
        <f t="shared" ca="1" si="36"/>
        <v/>
      </c>
      <c r="D1523" s="929" t="s">
        <v>925</v>
      </c>
      <c r="E1523" s="959"/>
      <c r="F1523" s="959"/>
      <c r="G1523" s="1364" t="s">
        <v>926</v>
      </c>
      <c r="I1523" s="89">
        <f ca="1">'Ch8'!O138</f>
        <v>0</v>
      </c>
      <c r="J1523" s="989"/>
    </row>
    <row r="1524" spans="1:10" x14ac:dyDescent="0.3">
      <c r="A1524" s="727" t="str">
        <f ca="1">A1523</f>
        <v/>
      </c>
      <c r="B1524" s="311" t="str">
        <f>IF(LEN('Ch8'!H139)=0,"",'Ch8'!H139)</f>
        <v/>
      </c>
      <c r="C1524" s="311" t="str">
        <f t="shared" ca="1" si="36"/>
        <v/>
      </c>
      <c r="D1524" s="106"/>
      <c r="E1524" s="204"/>
      <c r="F1524" s="204"/>
      <c r="G1524" s="1313"/>
      <c r="J1524" s="989"/>
    </row>
    <row r="1525" spans="1:10" x14ac:dyDescent="0.3">
      <c r="A1525" s="727" t="str">
        <f ca="1">A1524</f>
        <v/>
      </c>
      <c r="B1525" s="311" t="str">
        <f>IF(LEN('Ch8'!H140)=0,"",'Ch8'!H140)</f>
        <v/>
      </c>
      <c r="C1525" s="311" t="str">
        <f t="shared" ca="1" si="36"/>
        <v/>
      </c>
      <c r="D1525" s="106"/>
      <c r="E1525" s="204"/>
      <c r="F1525" s="204"/>
      <c r="G1525" s="1313"/>
      <c r="J1525" s="989"/>
    </row>
    <row r="1526" spans="1:10" ht="15" customHeight="1" x14ac:dyDescent="0.3">
      <c r="A1526" s="727" t="str">
        <f>IF(AND(LEN('Ch8'!W141)&gt;0,NOT('Ch8'!W141=FALSE)),"P","")</f>
        <v/>
      </c>
      <c r="B1526" s="311" t="str">
        <f>IF(LEN('Ch8'!H141)=0,"",'Ch8'!H141)</f>
        <v/>
      </c>
      <c r="C1526" s="311" t="str">
        <f t="shared" si="36"/>
        <v/>
      </c>
      <c r="D1526" s="152"/>
      <c r="E1526" s="926" t="s">
        <v>271</v>
      </c>
      <c r="F1526" s="204"/>
      <c r="G1526" s="675" t="s">
        <v>927</v>
      </c>
      <c r="H1526" s="89">
        <f>'Ch8'!W141</f>
        <v>0</v>
      </c>
      <c r="J1526" s="1439" t="s">
        <v>4355</v>
      </c>
    </row>
    <row r="1527" spans="1:10" x14ac:dyDescent="0.3">
      <c r="A1527" s="727" t="str">
        <f>A1526</f>
        <v/>
      </c>
      <c r="B1527" s="311" t="str">
        <f>IF(LEN('Ch8'!H142)=0,"",'Ch8'!H142)</f>
        <v/>
      </c>
      <c r="C1527" s="311" t="str">
        <f t="shared" si="36"/>
        <v/>
      </c>
      <c r="D1527" s="152"/>
      <c r="E1527" s="232"/>
      <c r="F1527" s="232"/>
      <c r="G1527" s="696" t="s">
        <v>928</v>
      </c>
      <c r="J1527" s="1439"/>
    </row>
    <row r="1528" spans="1:10" ht="28.2" thickBot="1" x14ac:dyDescent="0.35">
      <c r="A1528" s="727" t="str">
        <f>IF(AND(LEN('Ch8'!W143)&gt;0,NOT('Ch8'!W143=FALSE)),"P","")</f>
        <v/>
      </c>
      <c r="B1528" s="311" t="str">
        <f>IF(LEN('Ch8'!H143)=0,"",'Ch8'!H143)</f>
        <v/>
      </c>
      <c r="C1528" s="311" t="str">
        <f t="shared" si="36"/>
        <v/>
      </c>
      <c r="D1528" s="928"/>
      <c r="E1528" s="931" t="s">
        <v>273</v>
      </c>
      <c r="F1528" s="934"/>
      <c r="G1528" s="678" t="s">
        <v>929</v>
      </c>
      <c r="H1528" s="89">
        <f>'Ch8'!W143</f>
        <v>0</v>
      </c>
      <c r="J1528" s="1001" t="s">
        <v>4301</v>
      </c>
    </row>
    <row r="1529" spans="1:10" x14ac:dyDescent="0.3">
      <c r="A1529" s="727" t="str">
        <f>IF(AND(LEN('Ch8'!W144)&gt;0,NOT('Ch8'!W144=FALSE)),"P","")</f>
        <v/>
      </c>
      <c r="B1529" s="311" t="str">
        <f>IF(LEN('Ch8'!H144)=0,"",'Ch8'!H144)</f>
        <v/>
      </c>
      <c r="C1529" s="311" t="str">
        <f t="shared" si="36"/>
        <v/>
      </c>
      <c r="D1529" s="152">
        <v>801.8</v>
      </c>
      <c r="E1529" s="919"/>
      <c r="F1529" s="919"/>
      <c r="G1529" s="1292" t="s">
        <v>930</v>
      </c>
      <c r="H1529" s="89">
        <f>'Ch8'!W144</f>
        <v>0</v>
      </c>
      <c r="I1529" s="89">
        <f>'Ch8'!O144</f>
        <v>0</v>
      </c>
      <c r="J1529" s="1439" t="s">
        <v>4226</v>
      </c>
    </row>
    <row r="1530" spans="1:10" x14ac:dyDescent="0.3">
      <c r="A1530" s="727" t="str">
        <f>A1529</f>
        <v/>
      </c>
      <c r="B1530" s="311" t="str">
        <f>IF(LEN('Ch8'!H145)=0,"",'Ch8'!H145)</f>
        <v/>
      </c>
      <c r="C1530" s="311" t="str">
        <f t="shared" si="36"/>
        <v/>
      </c>
      <c r="D1530" s="152"/>
      <c r="E1530" s="919"/>
      <c r="F1530" s="919"/>
      <c r="G1530" s="1292"/>
      <c r="J1530" s="1439"/>
    </row>
    <row r="1531" spans="1:10" ht="18" x14ac:dyDescent="0.3">
      <c r="A1531" s="727" t="s">
        <v>4389</v>
      </c>
      <c r="B1531" s="311" t="str">
        <f>IF(LEN('Ch8'!H146)=0,"",'Ch8'!H146)</f>
        <v/>
      </c>
      <c r="C1531" s="311" t="str">
        <f t="shared" si="36"/>
        <v>P</v>
      </c>
      <c r="D1531" s="72" t="s">
        <v>931</v>
      </c>
      <c r="E1531" s="72"/>
      <c r="F1531" s="72"/>
      <c r="G1531" s="259"/>
      <c r="J1531" s="1005"/>
    </row>
    <row r="1532" spans="1:10" x14ac:dyDescent="0.3">
      <c r="A1532" s="727" t="str">
        <f ca="1">IF('Ch8'!O147&gt;0,"P","")</f>
        <v/>
      </c>
      <c r="B1532" s="311" t="str">
        <f>IF(LEN('Ch8'!H147)=0,"",'Ch8'!H147)</f>
        <v/>
      </c>
      <c r="C1532" s="311" t="str">
        <f t="shared" ca="1" si="36"/>
        <v/>
      </c>
      <c r="D1532" s="152">
        <v>802.1</v>
      </c>
      <c r="E1532" s="919"/>
      <c r="F1532" s="919"/>
      <c r="G1532" s="1292" t="s">
        <v>932</v>
      </c>
      <c r="I1532" s="89">
        <f ca="1">'Ch8'!O147</f>
        <v>0</v>
      </c>
      <c r="J1532" s="1439" t="s">
        <v>4355</v>
      </c>
    </row>
    <row r="1533" spans="1:10" x14ac:dyDescent="0.3">
      <c r="A1533" s="727" t="str">
        <f ca="1">A1532</f>
        <v/>
      </c>
      <c r="B1533" s="311" t="str">
        <f>IF(LEN('Ch8'!H148)=0,"",'Ch8'!H148)</f>
        <v/>
      </c>
      <c r="C1533" s="311" t="str">
        <f t="shared" ca="1" si="36"/>
        <v/>
      </c>
      <c r="D1533" s="152"/>
      <c r="E1533" s="919"/>
      <c r="F1533" s="919"/>
      <c r="G1533" s="1292"/>
      <c r="J1533" s="1439"/>
    </row>
    <row r="1534" spans="1:10" x14ac:dyDescent="0.3">
      <c r="B1534" s="311" t="str">
        <f>IF(LEN('Ch8'!H149)=0,"",'Ch8'!H149)</f>
        <v/>
      </c>
      <c r="C1534" s="311" t="str">
        <f t="shared" si="36"/>
        <v/>
      </c>
      <c r="D1534" s="152"/>
      <c r="E1534" s="919"/>
      <c r="F1534" s="919"/>
      <c r="G1534" s="681" t="s">
        <v>933</v>
      </c>
      <c r="J1534" s="989"/>
    </row>
    <row r="1535" spans="1:10" x14ac:dyDescent="0.3">
      <c r="B1535" s="311" t="str">
        <f>IF(LEN('Ch8'!H150)=0,"",'Ch8'!H150)</f>
        <v/>
      </c>
      <c r="C1535" s="311" t="str">
        <f t="shared" si="36"/>
        <v/>
      </c>
      <c r="D1535" s="152"/>
      <c r="E1535" s="919"/>
      <c r="F1535" s="919"/>
      <c r="G1535" s="681" t="s">
        <v>934</v>
      </c>
      <c r="J1535" s="989"/>
    </row>
    <row r="1536" spans="1:10" x14ac:dyDescent="0.3">
      <c r="B1536" s="311" t="str">
        <f>IF(LEN('Ch8'!H151)=0,"",'Ch8'!H151)</f>
        <v/>
      </c>
      <c r="C1536" s="311" t="str">
        <f t="shared" si="36"/>
        <v/>
      </c>
      <c r="D1536" s="152"/>
      <c r="E1536" s="926" t="s">
        <v>271</v>
      </c>
      <c r="F1536" s="204"/>
      <c r="G1536" s="675" t="s">
        <v>935</v>
      </c>
      <c r="H1536" s="89">
        <f>'Ch8'!W151</f>
        <v>0</v>
      </c>
      <c r="J1536" s="996"/>
    </row>
    <row r="1537" spans="1:10" x14ac:dyDescent="0.3">
      <c r="B1537" s="311" t="str">
        <f>IF(LEN('Ch8'!H152)=0,"",'Ch8'!H152)</f>
        <v/>
      </c>
      <c r="C1537" s="311" t="str">
        <f t="shared" si="36"/>
        <v/>
      </c>
      <c r="D1537" s="152"/>
      <c r="E1537" s="232"/>
      <c r="F1537" s="232"/>
      <c r="G1537" s="696" t="s">
        <v>936</v>
      </c>
      <c r="J1537" s="989"/>
    </row>
    <row r="1538" spans="1:10" ht="15" thickBot="1" x14ac:dyDescent="0.35">
      <c r="B1538" s="311" t="str">
        <f>IF(LEN('Ch8'!H153)=0,"",'Ch8'!H153)</f>
        <v/>
      </c>
      <c r="C1538" s="311" t="str">
        <f t="shared" si="36"/>
        <v/>
      </c>
      <c r="D1538" s="928"/>
      <c r="E1538" s="931" t="s">
        <v>273</v>
      </c>
      <c r="F1538" s="934"/>
      <c r="G1538" s="678" t="s">
        <v>937</v>
      </c>
      <c r="H1538" s="89">
        <f>'Ch8'!W153</f>
        <v>0</v>
      </c>
      <c r="J1538" s="1009"/>
    </row>
    <row r="1539" spans="1:10" ht="15" thickTop="1" x14ac:dyDescent="0.3">
      <c r="A1539" s="727" t="str">
        <f>IF('Ch8'!O154&gt;0,"P","")</f>
        <v/>
      </c>
      <c r="B1539" s="311" t="str">
        <f>IF(LEN('Ch8'!H154)=0,"",'Ch8'!H154)</f>
        <v/>
      </c>
      <c r="C1539" s="311" t="str">
        <f t="shared" si="36"/>
        <v/>
      </c>
      <c r="D1539" s="111">
        <v>802.2</v>
      </c>
      <c r="E1539" s="954"/>
      <c r="F1539" s="954"/>
      <c r="G1539" s="1331" t="s">
        <v>938</v>
      </c>
      <c r="I1539" s="89">
        <f>'Ch8'!O154</f>
        <v>0</v>
      </c>
      <c r="J1539" s="1439" t="s">
        <v>4302</v>
      </c>
    </row>
    <row r="1540" spans="1:10" x14ac:dyDescent="0.3">
      <c r="A1540" s="727" t="str">
        <f>A1539</f>
        <v/>
      </c>
      <c r="B1540" s="311" t="str">
        <f>IF(LEN('Ch8'!H155)=0,"",'Ch8'!H155)</f>
        <v/>
      </c>
      <c r="C1540" s="311" t="str">
        <f t="shared" si="36"/>
        <v/>
      </c>
      <c r="D1540" s="106"/>
      <c r="E1540" s="204"/>
      <c r="F1540" s="204"/>
      <c r="G1540" s="1313"/>
      <c r="H1540" s="89">
        <f>'Ch8'!W155</f>
        <v>0</v>
      </c>
      <c r="J1540" s="1439"/>
    </row>
    <row r="1541" spans="1:10" ht="15" thickBot="1" x14ac:dyDescent="0.35">
      <c r="A1541" s="727" t="str">
        <f>A1540</f>
        <v/>
      </c>
      <c r="B1541" s="311" t="str">
        <f>IF(LEN('Ch8'!H156)=0,"",'Ch8'!H156)</f>
        <v/>
      </c>
      <c r="C1541" s="311" t="str">
        <f t="shared" si="36"/>
        <v/>
      </c>
      <c r="D1541" s="928"/>
      <c r="E1541" s="934"/>
      <c r="F1541" s="934"/>
      <c r="G1541" s="1332"/>
      <c r="J1541" s="1439"/>
    </row>
    <row r="1542" spans="1:10" x14ac:dyDescent="0.3">
      <c r="A1542" s="727" t="str">
        <f>IF('Ch8'!O157&gt;0,"P","")</f>
        <v/>
      </c>
      <c r="B1542" s="311" t="str">
        <f>IF(LEN('Ch8'!H157)=0,"",'Ch8'!H157)</f>
        <v/>
      </c>
      <c r="C1542" s="311" t="str">
        <f t="shared" si="36"/>
        <v/>
      </c>
      <c r="D1542" s="152">
        <v>802.3</v>
      </c>
      <c r="E1542" s="919"/>
      <c r="F1542" s="919"/>
      <c r="G1542" s="1389" t="s">
        <v>940</v>
      </c>
      <c r="I1542" s="89">
        <f>'Ch8'!O157</f>
        <v>0</v>
      </c>
      <c r="J1542" s="1443" t="s">
        <v>4303</v>
      </c>
    </row>
    <row r="1543" spans="1:10" x14ac:dyDescent="0.3">
      <c r="A1543" s="727" t="str">
        <f>A1542</f>
        <v/>
      </c>
      <c r="B1543" s="311" t="str">
        <f>IF(LEN('Ch8'!H158)=0,"",'Ch8'!H158)</f>
        <v/>
      </c>
      <c r="C1543" s="311" t="str">
        <f t="shared" si="36"/>
        <v/>
      </c>
      <c r="D1543" s="152"/>
      <c r="E1543" s="919"/>
      <c r="F1543" s="919"/>
      <c r="G1543" s="1389"/>
      <c r="J1543" s="1443"/>
    </row>
    <row r="1544" spans="1:10" x14ac:dyDescent="0.3">
      <c r="A1544" s="727" t="str">
        <f>A1543</f>
        <v/>
      </c>
      <c r="B1544" s="311" t="str">
        <f>IF(LEN('Ch8'!H159)=0,"",'Ch8'!H159)</f>
        <v/>
      </c>
      <c r="C1544" s="311" t="str">
        <f t="shared" ref="C1544:C1607" si="37">IF(LEN(B1544)=0,IF(A1544="P","P",""),B1544)</f>
        <v/>
      </c>
      <c r="D1544" s="152"/>
      <c r="E1544" s="919"/>
      <c r="F1544" s="919"/>
      <c r="G1544" s="1389"/>
      <c r="J1544" s="1443"/>
    </row>
    <row r="1545" spans="1:10" ht="15" customHeight="1" x14ac:dyDescent="0.3">
      <c r="B1545" s="311" t="str">
        <f>IF(LEN('Ch8'!H160)=0,"",'Ch8'!H160)</f>
        <v/>
      </c>
      <c r="C1545" s="311" t="str">
        <f t="shared" si="37"/>
        <v/>
      </c>
      <c r="D1545" s="106"/>
      <c r="E1545" s="946" t="s">
        <v>271</v>
      </c>
      <c r="F1545" s="232"/>
      <c r="G1545" s="676" t="s">
        <v>941</v>
      </c>
      <c r="H1545" s="89">
        <f>'Ch8'!W160</f>
        <v>0</v>
      </c>
      <c r="J1545" s="996"/>
    </row>
    <row r="1546" spans="1:10" ht="15" thickBot="1" x14ac:dyDescent="0.35">
      <c r="B1546" s="311" t="str">
        <f>IF(LEN('Ch8'!H161)=0,"",'Ch8'!H161)</f>
        <v/>
      </c>
      <c r="C1546" s="311" t="str">
        <f t="shared" si="37"/>
        <v/>
      </c>
      <c r="D1546" s="928"/>
      <c r="E1546" s="931" t="s">
        <v>273</v>
      </c>
      <c r="F1546" s="934"/>
      <c r="G1546" s="678" t="s">
        <v>942</v>
      </c>
      <c r="H1546" s="89">
        <f>'Ch8'!W161</f>
        <v>0</v>
      </c>
      <c r="J1546" s="996"/>
    </row>
    <row r="1547" spans="1:10" ht="15" thickTop="1" x14ac:dyDescent="0.3">
      <c r="A1547" s="727" t="str">
        <f>IF(AND(LEN('Ch8'!W162)&gt;0,NOT('Ch8'!W162=FALSE)),"P","")</f>
        <v/>
      </c>
      <c r="B1547" s="311" t="str">
        <f>IF(LEN('Ch8'!H162)=0,"",'Ch8'!H162)</f>
        <v/>
      </c>
      <c r="C1547" s="311" t="str">
        <f t="shared" si="37"/>
        <v/>
      </c>
      <c r="D1547" s="111">
        <v>802.4</v>
      </c>
      <c r="E1547" s="954"/>
      <c r="F1547" s="954"/>
      <c r="G1547" s="1331" t="s">
        <v>943</v>
      </c>
      <c r="H1547" s="89">
        <f>'Ch8'!W162</f>
        <v>0</v>
      </c>
      <c r="I1547" s="89">
        <f>'Ch8'!O162</f>
        <v>0</v>
      </c>
      <c r="J1547" s="1439" t="s">
        <v>4304</v>
      </c>
    </row>
    <row r="1548" spans="1:10" x14ac:dyDescent="0.3">
      <c r="A1548" s="727" t="str">
        <f>A1547</f>
        <v/>
      </c>
      <c r="B1548" s="311" t="str">
        <f>IF(LEN('Ch8'!H163)=0,"",'Ch8'!H163)</f>
        <v/>
      </c>
      <c r="C1548" s="311" t="str">
        <f t="shared" si="37"/>
        <v/>
      </c>
      <c r="D1548" s="106"/>
      <c r="E1548" s="204"/>
      <c r="F1548" s="204"/>
      <c r="G1548" s="1313"/>
      <c r="J1548" s="1439"/>
    </row>
    <row r="1549" spans="1:10" ht="15" thickBot="1" x14ac:dyDescent="0.35">
      <c r="A1549" s="727" t="str">
        <f>A1548</f>
        <v/>
      </c>
      <c r="B1549" s="311" t="str">
        <f>IF(LEN('Ch8'!H164)=0,"",'Ch8'!H164)</f>
        <v/>
      </c>
      <c r="C1549" s="311" t="str">
        <f t="shared" si="37"/>
        <v/>
      </c>
      <c r="D1549" s="928"/>
      <c r="E1549" s="934"/>
      <c r="F1549" s="934"/>
      <c r="G1549" s="1332"/>
      <c r="J1549" s="1439"/>
    </row>
    <row r="1550" spans="1:10" ht="15" thickTop="1" x14ac:dyDescent="0.3">
      <c r="A1550" s="727" t="str">
        <f>IF(AND(LEN('Ch8'!W165)&gt;0,NOT('Ch8'!W165=FALSE)),"P","")</f>
        <v/>
      </c>
      <c r="B1550" s="311" t="str">
        <f>IF(LEN('Ch8'!H165)=0,"",'Ch8'!H165)</f>
        <v/>
      </c>
      <c r="C1550" s="311" t="str">
        <f t="shared" si="37"/>
        <v/>
      </c>
      <c r="D1550" s="111">
        <v>802.5</v>
      </c>
      <c r="E1550" s="954"/>
      <c r="F1550" s="954"/>
      <c r="G1550" s="1427" t="s">
        <v>944</v>
      </c>
      <c r="H1550" s="89">
        <f>'Ch8'!W165</f>
        <v>0</v>
      </c>
      <c r="I1550" s="89">
        <f>'Ch8'!O165</f>
        <v>0</v>
      </c>
      <c r="J1550" s="1439" t="s">
        <v>4226</v>
      </c>
    </row>
    <row r="1551" spans="1:10" ht="15" thickBot="1" x14ac:dyDescent="0.35">
      <c r="A1551" s="727" t="str">
        <f>A1550</f>
        <v/>
      </c>
      <c r="B1551" s="311" t="str">
        <f>IF(LEN('Ch8'!H166)=0,"",'Ch8'!H166)</f>
        <v/>
      </c>
      <c r="C1551" s="311" t="str">
        <f t="shared" si="37"/>
        <v/>
      </c>
      <c r="D1551" s="928"/>
      <c r="E1551" s="934"/>
      <c r="F1551" s="934"/>
      <c r="G1551" s="1428"/>
      <c r="J1551" s="1439"/>
    </row>
    <row r="1552" spans="1:10" x14ac:dyDescent="0.3">
      <c r="A1552" s="727" t="str">
        <f>IF(AND(LEN('Ch8'!W167)&gt;0,NOT('Ch8'!W167=FALSE)),"P","")</f>
        <v/>
      </c>
      <c r="B1552" s="311" t="str">
        <f>IF(LEN('Ch8'!H167)=0,"",'Ch8'!H167)</f>
        <v/>
      </c>
      <c r="C1552" s="311" t="str">
        <f t="shared" si="37"/>
        <v/>
      </c>
      <c r="D1552" s="152">
        <v>802.6</v>
      </c>
      <c r="E1552" s="919"/>
      <c r="F1552" s="919"/>
      <c r="G1552" s="1292" t="s">
        <v>945</v>
      </c>
      <c r="H1552" s="89">
        <f>'Ch8'!W167</f>
        <v>0</v>
      </c>
      <c r="I1552" s="89">
        <f>'Ch8'!O167</f>
        <v>0</v>
      </c>
      <c r="J1552" s="1439" t="s">
        <v>4305</v>
      </c>
    </row>
    <row r="1553" spans="1:10" x14ac:dyDescent="0.3">
      <c r="A1553" s="727" t="str">
        <f>A1552</f>
        <v/>
      </c>
      <c r="B1553" s="311" t="str">
        <f>IF(LEN('Ch8'!H168)=0,"",'Ch8'!H168)</f>
        <v/>
      </c>
      <c r="C1553" s="311" t="str">
        <f t="shared" si="37"/>
        <v/>
      </c>
      <c r="D1553" s="152"/>
      <c r="E1553" s="919"/>
      <c r="F1553" s="919"/>
      <c r="G1553" s="1292"/>
      <c r="J1553" s="1439"/>
    </row>
    <row r="1554" spans="1:10" x14ac:dyDescent="0.3">
      <c r="A1554" s="727" t="str">
        <f>A1553</f>
        <v/>
      </c>
      <c r="B1554" s="311" t="str">
        <f>IF(LEN('Ch8'!H169)=0,"",'Ch8'!H169)</f>
        <v/>
      </c>
      <c r="C1554" s="311" t="str">
        <f t="shared" si="37"/>
        <v/>
      </c>
      <c r="D1554" s="152"/>
      <c r="E1554" s="919"/>
      <c r="F1554" s="919"/>
      <c r="G1554" s="681" t="s">
        <v>934</v>
      </c>
      <c r="J1554" s="989"/>
    </row>
    <row r="1555" spans="1:10" ht="18" x14ac:dyDescent="0.35">
      <c r="A1555" s="727" t="s">
        <v>4389</v>
      </c>
      <c r="B1555" s="311" t="str">
        <f>IF(LEN('Ch9'!H9)=0,"",'Ch9'!H9)</f>
        <v/>
      </c>
      <c r="C1555" s="311" t="str">
        <f t="shared" si="37"/>
        <v>P</v>
      </c>
      <c r="D1555" s="82" t="s">
        <v>3348</v>
      </c>
      <c r="E1555" s="82"/>
      <c r="F1555" s="82"/>
      <c r="G1555" s="23"/>
      <c r="J1555" s="1003"/>
    </row>
    <row r="1556" spans="1:10" x14ac:dyDescent="0.3">
      <c r="B1556" s="311" t="str">
        <f>IF(LEN('Ch9'!H10)=0,"",'Ch9'!H10)</f>
        <v/>
      </c>
      <c r="C1556" s="311" t="str">
        <f t="shared" si="37"/>
        <v/>
      </c>
      <c r="D1556" s="932">
        <v>901</v>
      </c>
      <c r="E1556" s="919"/>
      <c r="F1556" s="919"/>
      <c r="G1556" s="687" t="s">
        <v>3349</v>
      </c>
      <c r="J1556" s="989"/>
    </row>
    <row r="1557" spans="1:10" x14ac:dyDescent="0.3">
      <c r="A1557" s="1196" t="str">
        <f ca="1">IF(COUNTIF(A1558:A1582,"P")&gt;0,"P","")</f>
        <v>P</v>
      </c>
      <c r="B1557" s="311" t="str">
        <f>IF(LEN('Ch9'!H11)=0,"",'Ch9'!H11)</f>
        <v/>
      </c>
      <c r="C1557" s="311" t="str">
        <f t="shared" ca="1" si="37"/>
        <v>P</v>
      </c>
      <c r="D1557" s="933">
        <v>901.1</v>
      </c>
      <c r="E1557" s="204"/>
      <c r="F1557" s="204"/>
      <c r="G1557" s="689" t="s">
        <v>3350</v>
      </c>
      <c r="J1557" s="989"/>
    </row>
    <row r="1558" spans="1:10" x14ac:dyDescent="0.3">
      <c r="A1558" s="727" t="str">
        <f>IF(AND(LEN('Ch9'!W12)&gt;0,NOT('Ch9'!W12=FALSE)),"P","")</f>
        <v/>
      </c>
      <c r="B1558" s="311" t="str">
        <f>IF(LEN('Ch9'!H12)=0,"",'Ch9'!H12)</f>
        <v/>
      </c>
      <c r="C1558" s="311" t="str">
        <f t="shared" si="37"/>
        <v/>
      </c>
      <c r="D1558" s="933" t="s">
        <v>3351</v>
      </c>
      <c r="E1558" s="204"/>
      <c r="F1558" s="204"/>
      <c r="G1558" s="1313" t="s">
        <v>3352</v>
      </c>
      <c r="H1558" s="89">
        <f>'Ch9'!W12</f>
        <v>0</v>
      </c>
      <c r="I1558" s="89">
        <f>'Ch9'!O12</f>
        <v>0</v>
      </c>
      <c r="J1558" s="1439" t="s">
        <v>4226</v>
      </c>
    </row>
    <row r="1559" spans="1:10" x14ac:dyDescent="0.3">
      <c r="A1559" s="727" t="str">
        <f>A1558</f>
        <v/>
      </c>
      <c r="B1559" s="311" t="str">
        <f>IF(LEN('Ch9'!H13)=0,"",'Ch9'!H13)</f>
        <v/>
      </c>
      <c r="C1559" s="311" t="str">
        <f t="shared" si="37"/>
        <v/>
      </c>
      <c r="D1559" s="204"/>
      <c r="E1559" s="204"/>
      <c r="F1559" s="204"/>
      <c r="G1559" s="1313"/>
      <c r="J1559" s="1439"/>
    </row>
    <row r="1560" spans="1:10" x14ac:dyDescent="0.3">
      <c r="A1560" s="727" t="str">
        <f>A1559</f>
        <v/>
      </c>
      <c r="B1560" s="311" t="str">
        <f>IF(LEN('Ch9'!H14)=0,"",'Ch9'!H14)</f>
        <v/>
      </c>
      <c r="C1560" s="311" t="str">
        <f t="shared" si="37"/>
        <v/>
      </c>
      <c r="D1560" s="204"/>
      <c r="E1560" s="204"/>
      <c r="F1560" s="204"/>
      <c r="G1560" s="1313"/>
      <c r="J1560" s="1439"/>
    </row>
    <row r="1561" spans="1:10" x14ac:dyDescent="0.3">
      <c r="A1561" s="727" t="str">
        <f>A1560</f>
        <v/>
      </c>
      <c r="B1561" s="311" t="str">
        <f>IF(LEN('Ch9'!H15)=0,"",'Ch9'!H15)</f>
        <v/>
      </c>
      <c r="C1561" s="311" t="str">
        <f t="shared" si="37"/>
        <v/>
      </c>
      <c r="D1561" s="204"/>
      <c r="E1561" s="204"/>
      <c r="F1561" s="204"/>
      <c r="G1561" s="1313"/>
      <c r="J1561" s="1439"/>
    </row>
    <row r="1562" spans="1:10" x14ac:dyDescent="0.3">
      <c r="B1562" s="311" t="str">
        <f>IF(LEN('Ch9'!H16)=0,"",'Ch9'!H16)</f>
        <v/>
      </c>
      <c r="C1562" s="311" t="str">
        <f t="shared" si="37"/>
        <v/>
      </c>
      <c r="D1562" s="204"/>
      <c r="E1562" s="204"/>
      <c r="F1562" s="204"/>
      <c r="G1562" s="1434" t="s">
        <v>3597</v>
      </c>
      <c r="J1562" s="989"/>
    </row>
    <row r="1563" spans="1:10" x14ac:dyDescent="0.3">
      <c r="B1563" s="311" t="str">
        <f>IF(LEN('Ch9'!H17)=0,"",'Ch9'!H17)</f>
        <v/>
      </c>
      <c r="C1563" s="311" t="str">
        <f t="shared" si="37"/>
        <v/>
      </c>
      <c r="D1563" s="232"/>
      <c r="E1563" s="232"/>
      <c r="F1563" s="232"/>
      <c r="G1563" s="1435"/>
      <c r="J1563" s="989"/>
    </row>
    <row r="1564" spans="1:10" x14ac:dyDescent="0.3">
      <c r="A1564" s="727" t="str">
        <f>IF(AND(LEN('Ch9'!W18)&gt;0,NOT('Ch9'!W18=FALSE)),"P","")</f>
        <v>P</v>
      </c>
      <c r="B1564" s="311" t="str">
        <f>IF(LEN('Ch9'!H18)=0,"",'Ch9'!H18)</f>
        <v/>
      </c>
      <c r="C1564" s="311" t="str">
        <f t="shared" si="37"/>
        <v>P</v>
      </c>
      <c r="D1564" s="929" t="s">
        <v>3353</v>
      </c>
      <c r="E1564" s="959"/>
      <c r="F1564" s="959"/>
      <c r="G1564" s="1364" t="s">
        <v>3354</v>
      </c>
      <c r="H1564" s="89" t="b">
        <f>'Ch9'!W18</f>
        <v>1</v>
      </c>
      <c r="I1564" s="89">
        <f>'Ch9'!O18</f>
        <v>5</v>
      </c>
      <c r="J1564" s="1439" t="s">
        <v>4226</v>
      </c>
    </row>
    <row r="1565" spans="1:10" x14ac:dyDescent="0.3">
      <c r="A1565" s="727" t="str">
        <f>A1564</f>
        <v>P</v>
      </c>
      <c r="B1565" s="311" t="str">
        <f>IF(LEN('Ch9'!H19)=0,"",'Ch9'!H19)</f>
        <v/>
      </c>
      <c r="C1565" s="311" t="str">
        <f t="shared" si="37"/>
        <v>P</v>
      </c>
      <c r="D1565" s="204"/>
      <c r="E1565" s="204"/>
      <c r="F1565" s="204"/>
      <c r="G1565" s="1313"/>
      <c r="J1565" s="1439"/>
    </row>
    <row r="1566" spans="1:10" x14ac:dyDescent="0.3">
      <c r="B1566" s="311" t="str">
        <f>IF(LEN('Ch9'!H20)=0,"",'Ch9'!H20)</f>
        <v/>
      </c>
      <c r="C1566" s="311" t="str">
        <f t="shared" si="37"/>
        <v/>
      </c>
      <c r="D1566" s="232"/>
      <c r="E1566" s="232"/>
      <c r="F1566" s="232"/>
      <c r="G1566" s="688" t="s">
        <v>3928</v>
      </c>
      <c r="J1566" s="1439"/>
    </row>
    <row r="1567" spans="1:10" x14ac:dyDescent="0.3">
      <c r="A1567" s="727" t="str">
        <f ca="1">IF(SUM(I1569:I1572)&gt;0,"P","")</f>
        <v>P</v>
      </c>
      <c r="B1567" s="311" t="str">
        <f>IF(LEN('Ch9'!H21)=0,"",'Ch9'!H21)</f>
        <v/>
      </c>
      <c r="C1567" s="311" t="str">
        <f t="shared" ca="1" si="37"/>
        <v>P</v>
      </c>
      <c r="D1567" s="152" t="s">
        <v>3355</v>
      </c>
      <c r="E1567" s="919"/>
      <c r="F1567" s="919"/>
      <c r="G1567" s="1292" t="s">
        <v>3356</v>
      </c>
      <c r="J1567" s="1443" t="s">
        <v>4226</v>
      </c>
    </row>
    <row r="1568" spans="1:10" x14ac:dyDescent="0.3">
      <c r="A1568" s="727" t="str">
        <f ca="1">A1567</f>
        <v>P</v>
      </c>
      <c r="B1568" s="311" t="str">
        <f>IF(LEN('Ch9'!H22)=0,"",'Ch9'!H22)</f>
        <v/>
      </c>
      <c r="C1568" s="311" t="str">
        <f t="shared" ca="1" si="37"/>
        <v>P</v>
      </c>
      <c r="D1568" s="919"/>
      <c r="E1568" s="919"/>
      <c r="F1568" s="919"/>
      <c r="G1568" s="1292"/>
      <c r="J1568" s="1443"/>
    </row>
    <row r="1569" spans="1:10" x14ac:dyDescent="0.3">
      <c r="B1569" s="311" t="str">
        <f>IF(LEN('Ch9'!H23)=0,"",'Ch9'!H23)</f>
        <v/>
      </c>
      <c r="C1569" s="311" t="str">
        <f t="shared" si="37"/>
        <v/>
      </c>
      <c r="D1569" s="919"/>
      <c r="E1569" s="925" t="s">
        <v>271</v>
      </c>
      <c r="F1569" s="919"/>
      <c r="G1569" s="682" t="s">
        <v>3357</v>
      </c>
      <c r="H1569" s="89" t="str">
        <f>'Ch9'!W23</f>
        <v>(b)</v>
      </c>
      <c r="I1569" s="89">
        <f ca="1">'Ch9'!O23</f>
        <v>5</v>
      </c>
      <c r="J1569" s="996"/>
    </row>
    <row r="1570" spans="1:10" x14ac:dyDescent="0.3">
      <c r="B1570" s="311" t="str">
        <f>IF(LEN('Ch9'!H24)=0,"",'Ch9'!H24)</f>
        <v/>
      </c>
      <c r="C1570" s="311" t="str">
        <f t="shared" si="37"/>
        <v/>
      </c>
      <c r="D1570" s="919"/>
      <c r="E1570" s="925"/>
      <c r="F1570" s="925" t="s">
        <v>121</v>
      </c>
      <c r="G1570" s="682" t="s">
        <v>3358</v>
      </c>
      <c r="J1570" s="1001"/>
    </row>
    <row r="1571" spans="1:10" x14ac:dyDescent="0.3">
      <c r="B1571" s="311" t="str">
        <f>IF(LEN('Ch9'!H25)=0,"",'Ch9'!H25)</f>
        <v/>
      </c>
      <c r="C1571" s="311" t="str">
        <f t="shared" si="37"/>
        <v/>
      </c>
      <c r="D1571" s="919"/>
      <c r="E1571" s="946"/>
      <c r="F1571" s="946" t="s">
        <v>122</v>
      </c>
      <c r="G1571" s="676" t="s">
        <v>3359</v>
      </c>
      <c r="J1571" s="1001"/>
    </row>
    <row r="1572" spans="1:10" x14ac:dyDescent="0.3">
      <c r="B1572" s="311" t="str">
        <f>IF(LEN('Ch9'!H26)=0,"",'Ch9'!H26)</f>
        <v/>
      </c>
      <c r="C1572" s="311" t="str">
        <f t="shared" si="37"/>
        <v/>
      </c>
      <c r="D1572" s="204"/>
      <c r="E1572" s="926" t="s">
        <v>273</v>
      </c>
      <c r="F1572" s="204"/>
      <c r="G1572" s="675" t="s">
        <v>3360</v>
      </c>
      <c r="H1572" s="89" t="str">
        <f>'Ch9'!W26</f>
        <v>(b)</v>
      </c>
      <c r="I1572" s="89">
        <f ca="1">'Ch9'!O26</f>
        <v>5</v>
      </c>
      <c r="J1572" s="1001"/>
    </row>
    <row r="1573" spans="1:10" x14ac:dyDescent="0.3">
      <c r="B1573" s="311" t="str">
        <f>IF(LEN('Ch9'!H27)=0,"",'Ch9'!H27)</f>
        <v/>
      </c>
      <c r="C1573" s="311" t="str">
        <f t="shared" si="37"/>
        <v/>
      </c>
      <c r="D1573" s="204"/>
      <c r="E1573" s="204"/>
      <c r="F1573" s="926" t="s">
        <v>121</v>
      </c>
      <c r="G1573" s="675" t="s">
        <v>3361</v>
      </c>
      <c r="J1573" s="1001"/>
    </row>
    <row r="1574" spans="1:10" x14ac:dyDescent="0.3">
      <c r="B1574" s="311" t="str">
        <f>IF(LEN('Ch9'!H28)=0,"",'Ch9'!H28)</f>
        <v/>
      </c>
      <c r="C1574" s="311" t="str">
        <f t="shared" si="37"/>
        <v/>
      </c>
      <c r="D1574" s="232"/>
      <c r="E1574" s="232"/>
      <c r="F1574" s="946" t="s">
        <v>122</v>
      </c>
      <c r="G1574" s="676" t="s">
        <v>3362</v>
      </c>
      <c r="J1574" s="1001"/>
    </row>
    <row r="1575" spans="1:10" x14ac:dyDescent="0.3">
      <c r="A1575" s="727" t="str">
        <f>IF(AND(LEN('Ch9'!W29)&gt;0,NOT('Ch9'!W29=FALSE)),"P","")</f>
        <v>P</v>
      </c>
      <c r="B1575" s="311" t="str">
        <f>IF(LEN('Ch9'!H29)=0,"",'Ch9'!H29)</f>
        <v/>
      </c>
      <c r="C1575" s="311" t="str">
        <f t="shared" si="37"/>
        <v>P</v>
      </c>
      <c r="D1575" s="929" t="s">
        <v>3363</v>
      </c>
      <c r="E1575" s="959"/>
      <c r="F1575" s="959"/>
      <c r="G1575" s="1364" t="s">
        <v>3364</v>
      </c>
      <c r="H1575" s="89" t="str">
        <f>'Ch9'!W29</f>
        <v>Met</v>
      </c>
      <c r="J1575" s="1440" t="s">
        <v>4344</v>
      </c>
    </row>
    <row r="1576" spans="1:10" x14ac:dyDescent="0.3">
      <c r="A1576" s="727" t="str">
        <f>A1575</f>
        <v>P</v>
      </c>
      <c r="B1576" s="311" t="str">
        <f>IF(LEN('Ch9'!H30)=0,"",'Ch9'!H30)</f>
        <v/>
      </c>
      <c r="C1576" s="311" t="str">
        <f t="shared" si="37"/>
        <v>P</v>
      </c>
      <c r="D1576" s="204"/>
      <c r="E1576" s="204"/>
      <c r="F1576" s="204"/>
      <c r="G1576" s="1313"/>
      <c r="J1576" s="1440"/>
    </row>
    <row r="1577" spans="1:10" x14ac:dyDescent="0.3">
      <c r="A1577" s="727" t="str">
        <f>A1576</f>
        <v>P</v>
      </c>
      <c r="B1577" s="311" t="str">
        <f>IF(LEN('Ch9'!H31)=0,"",'Ch9'!H31)</f>
        <v/>
      </c>
      <c r="C1577" s="311" t="str">
        <f t="shared" si="37"/>
        <v>P</v>
      </c>
      <c r="D1577" s="204"/>
      <c r="E1577" s="204"/>
      <c r="F1577" s="204"/>
      <c r="G1577" s="1313"/>
      <c r="J1577" s="1440"/>
    </row>
    <row r="1578" spans="1:10" x14ac:dyDescent="0.3">
      <c r="A1578" s="727" t="str">
        <f>A1577</f>
        <v>P</v>
      </c>
      <c r="B1578" s="311" t="str">
        <f>IF(LEN('Ch9'!H32)=0,"",'Ch9'!H32)</f>
        <v/>
      </c>
      <c r="C1578" s="311" t="str">
        <f t="shared" si="37"/>
        <v>P</v>
      </c>
      <c r="D1578" s="232"/>
      <c r="E1578" s="232"/>
      <c r="F1578" s="232"/>
      <c r="G1578" s="1350"/>
      <c r="J1578" s="1440"/>
    </row>
    <row r="1579" spans="1:10" x14ac:dyDescent="0.3">
      <c r="A1579" s="727" t="str">
        <f>IF(AND(LEN('Ch9'!W33)&gt;0,NOT('Ch9'!W33=FALSE)),"P","")</f>
        <v>P</v>
      </c>
      <c r="B1579" s="311" t="str">
        <f>IF(LEN('Ch9'!H33)=0,"",'Ch9'!H33)</f>
        <v/>
      </c>
      <c r="C1579" s="311" t="str">
        <f t="shared" si="37"/>
        <v>P</v>
      </c>
      <c r="D1579" s="106" t="s">
        <v>3365</v>
      </c>
      <c r="E1579" s="204"/>
      <c r="F1579" s="204"/>
      <c r="G1579" s="1313" t="s">
        <v>3366</v>
      </c>
      <c r="H1579" s="89" t="b">
        <f>'Ch9'!W33</f>
        <v>1</v>
      </c>
      <c r="I1579" s="89">
        <f>'Ch9'!O33</f>
        <v>7</v>
      </c>
      <c r="J1579" s="1439" t="s">
        <v>4280</v>
      </c>
    </row>
    <row r="1580" spans="1:10" x14ac:dyDescent="0.3">
      <c r="A1580" s="727" t="str">
        <f>A1579</f>
        <v>P</v>
      </c>
      <c r="B1580" s="311" t="str">
        <f>IF(LEN('Ch9'!H34)=0,"",'Ch9'!H34)</f>
        <v/>
      </c>
      <c r="C1580" s="311" t="str">
        <f t="shared" si="37"/>
        <v>P</v>
      </c>
      <c r="D1580" s="204"/>
      <c r="E1580" s="204"/>
      <c r="F1580" s="204"/>
      <c r="G1580" s="1313"/>
      <c r="J1580" s="1439"/>
    </row>
    <row r="1581" spans="1:10" x14ac:dyDescent="0.3">
      <c r="A1581" s="727" t="str">
        <f>A1580</f>
        <v>P</v>
      </c>
      <c r="B1581" s="311" t="str">
        <f>IF(LEN('Ch9'!H35)=0,"",'Ch9'!H35)</f>
        <v/>
      </c>
      <c r="C1581" s="311" t="str">
        <f t="shared" si="37"/>
        <v>P</v>
      </c>
      <c r="D1581" s="232"/>
      <c r="E1581" s="232"/>
      <c r="F1581" s="232"/>
      <c r="G1581" s="1350"/>
      <c r="J1581" s="1439"/>
    </row>
    <row r="1582" spans="1:10" x14ac:dyDescent="0.3">
      <c r="A1582" s="727" t="str">
        <f>IF(AND(LEN('Ch9'!W36)&gt;0,NOT('Ch9'!W36=FALSE)),"P","")</f>
        <v/>
      </c>
      <c r="B1582" s="311" t="str">
        <f>IF(LEN('Ch9'!H36)=0,"",'Ch9'!H36)</f>
        <v/>
      </c>
      <c r="C1582" s="311" t="str">
        <f t="shared" si="37"/>
        <v/>
      </c>
      <c r="D1582" s="106" t="s">
        <v>3367</v>
      </c>
      <c r="E1582" s="204"/>
      <c r="F1582" s="204"/>
      <c r="G1582" s="689" t="s">
        <v>3368</v>
      </c>
      <c r="H1582" s="89">
        <f>'Ch9'!W36</f>
        <v>0</v>
      </c>
      <c r="I1582" s="89">
        <f ca="1">'Ch9'!O36</f>
        <v>0</v>
      </c>
      <c r="J1582" s="989" t="s">
        <v>4226</v>
      </c>
    </row>
    <row r="1583" spans="1:10" x14ac:dyDescent="0.3">
      <c r="B1583" s="311" t="str">
        <f>IF(LEN('Ch9'!H37)=0,"",'Ch9'!H37)</f>
        <v/>
      </c>
      <c r="C1583" s="311" t="str">
        <f t="shared" si="37"/>
        <v/>
      </c>
      <c r="D1583" s="204"/>
      <c r="E1583" s="946" t="s">
        <v>271</v>
      </c>
      <c r="F1583" s="232"/>
      <c r="G1583" s="676" t="s">
        <v>3369</v>
      </c>
      <c r="J1583" s="989"/>
    </row>
    <row r="1584" spans="1:10" ht="15" thickBot="1" x14ac:dyDescent="0.35">
      <c r="B1584" s="311" t="str">
        <f>IF(LEN('Ch9'!H38)=0,"",'Ch9'!H38)</f>
        <v/>
      </c>
      <c r="C1584" s="311" t="str">
        <f t="shared" si="37"/>
        <v/>
      </c>
      <c r="D1584" s="934"/>
      <c r="E1584" s="931" t="s">
        <v>273</v>
      </c>
      <c r="F1584" s="934"/>
      <c r="G1584" s="678" t="s">
        <v>3370</v>
      </c>
      <c r="J1584" s="989"/>
    </row>
    <row r="1585" spans="1:10" ht="15" thickTop="1" x14ac:dyDescent="0.3">
      <c r="A1585" s="1196" t="str">
        <f>IF(COUNTIF(A1586:A1600,"P")&gt;0,"P","")</f>
        <v>P</v>
      </c>
      <c r="B1585" s="311" t="str">
        <f>IF(LEN('Ch9'!H39)=0,"",'Ch9'!H39)</f>
        <v/>
      </c>
      <c r="C1585" s="311" t="str">
        <f t="shared" si="37"/>
        <v>P</v>
      </c>
      <c r="D1585" s="111">
        <v>901.2</v>
      </c>
      <c r="E1585" s="954"/>
      <c r="F1585" s="954"/>
      <c r="G1585" s="697" t="s">
        <v>3371</v>
      </c>
      <c r="J1585" s="989"/>
    </row>
    <row r="1586" spans="1:10" x14ac:dyDescent="0.3">
      <c r="A1586" s="1196" t="str">
        <f>IF(COUNTIF(A1588:A1598,"P")&gt;0,"P","")</f>
        <v>P</v>
      </c>
      <c r="B1586" s="311" t="str">
        <f>IF(LEN('Ch9'!H40)=0,"",'Ch9'!H40)</f>
        <v/>
      </c>
      <c r="C1586" s="311" t="str">
        <f t="shared" si="37"/>
        <v>P</v>
      </c>
      <c r="D1586" s="152" t="s">
        <v>3372</v>
      </c>
      <c r="E1586" s="919"/>
      <c r="F1586" s="919"/>
      <c r="G1586" s="1292" t="s">
        <v>3373</v>
      </c>
      <c r="J1586" s="989"/>
    </row>
    <row r="1587" spans="1:10" x14ac:dyDescent="0.3">
      <c r="A1587" s="727" t="str">
        <f>A1586</f>
        <v>P</v>
      </c>
      <c r="B1587" s="311" t="str">
        <f>IF(LEN('Ch9'!H41)=0,"",'Ch9'!H41)</f>
        <v/>
      </c>
      <c r="C1587" s="311" t="str">
        <f t="shared" si="37"/>
        <v>P</v>
      </c>
      <c r="D1587" s="919"/>
      <c r="E1587" s="919"/>
      <c r="F1587" s="919"/>
      <c r="G1587" s="1292"/>
      <c r="J1587" s="989"/>
    </row>
    <row r="1588" spans="1:10" x14ac:dyDescent="0.3">
      <c r="A1588" s="727" t="str">
        <f>IF(AND(LEN('Ch9'!W42)&gt;0,NOT('Ch9'!W42=FALSE)),"P","")</f>
        <v>P</v>
      </c>
      <c r="B1588" s="311" t="str">
        <f>IF(LEN('Ch9'!H42)=0,"",'Ch9'!H42)</f>
        <v/>
      </c>
      <c r="C1588" s="311" t="str">
        <f t="shared" si="37"/>
        <v>P</v>
      </c>
      <c r="D1588" s="919"/>
      <c r="E1588" s="926" t="s">
        <v>271</v>
      </c>
      <c r="F1588" s="204"/>
      <c r="G1588" s="1305" t="s">
        <v>3374</v>
      </c>
      <c r="H1588" s="89" t="str">
        <f>'Ch9'!W42</f>
        <v>Met</v>
      </c>
      <c r="I1588" s="89">
        <f>'Ch9'!O42</f>
        <v>4</v>
      </c>
      <c r="J1588" s="1439" t="s">
        <v>4420</v>
      </c>
    </row>
    <row r="1589" spans="1:10" x14ac:dyDescent="0.3">
      <c r="A1589" s="727" t="str">
        <f>A1588</f>
        <v>P</v>
      </c>
      <c r="B1589" s="311" t="str">
        <f>IF(LEN('Ch9'!H43)=0,"",'Ch9'!H43)</f>
        <v/>
      </c>
      <c r="C1589" s="311" t="str">
        <f t="shared" si="37"/>
        <v>P</v>
      </c>
      <c r="D1589" s="919"/>
      <c r="E1589" s="204"/>
      <c r="F1589" s="204"/>
      <c r="G1589" s="1305"/>
      <c r="J1589" s="1439"/>
    </row>
    <row r="1590" spans="1:10" x14ac:dyDescent="0.3">
      <c r="A1590" s="727" t="str">
        <f>A1589</f>
        <v>P</v>
      </c>
      <c r="B1590" s="311" t="str">
        <f>IF(LEN('Ch9'!H44)=0,"",'Ch9'!H44)</f>
        <v/>
      </c>
      <c r="C1590" s="311" t="str">
        <f t="shared" si="37"/>
        <v>P</v>
      </c>
      <c r="D1590" s="919"/>
      <c r="E1590" s="232"/>
      <c r="F1590" s="232"/>
      <c r="G1590" s="1306"/>
      <c r="J1590" s="1439"/>
    </row>
    <row r="1591" spans="1:10" ht="15" customHeight="1" x14ac:dyDescent="0.3">
      <c r="A1591" s="727" t="str">
        <f>IF(AND(LEN('Ch9'!W45)&gt;0,NOT('Ch9'!W45=FALSE)),"P","")</f>
        <v>P</v>
      </c>
      <c r="B1591" s="311" t="str">
        <f>IF(LEN('Ch9'!H45)=0,"",'Ch9'!H45)</f>
        <v/>
      </c>
      <c r="C1591" s="311" t="str">
        <f t="shared" si="37"/>
        <v>P</v>
      </c>
      <c r="D1591" s="919"/>
      <c r="E1591" s="926" t="s">
        <v>273</v>
      </c>
      <c r="F1591" s="204"/>
      <c r="G1591" s="1305" t="s">
        <v>3375</v>
      </c>
      <c r="H1591" s="89" t="str">
        <f>'Ch9'!W45</f>
        <v>N/A</v>
      </c>
      <c r="I1591" s="89">
        <f>'Ch9'!O45</f>
        <v>0</v>
      </c>
      <c r="J1591" s="1443" t="s">
        <v>4306</v>
      </c>
    </row>
    <row r="1592" spans="1:10" x14ac:dyDescent="0.3">
      <c r="A1592" s="727" t="str">
        <f>A1591</f>
        <v>P</v>
      </c>
      <c r="B1592" s="311" t="str">
        <f>IF(LEN('Ch9'!H46)=0,"",'Ch9'!H46)</f>
        <v/>
      </c>
      <c r="C1592" s="311" t="str">
        <f t="shared" si="37"/>
        <v>P</v>
      </c>
      <c r="D1592" s="919"/>
      <c r="E1592" s="946"/>
      <c r="F1592" s="232"/>
      <c r="G1592" s="1306"/>
      <c r="J1592" s="1443"/>
    </row>
    <row r="1593" spans="1:10" x14ac:dyDescent="0.3">
      <c r="A1593" s="727" t="str">
        <f>IF(AND(LEN('Ch9'!W47)&gt;0,NOT('Ch9'!W47=FALSE)),"P","")</f>
        <v>P</v>
      </c>
      <c r="B1593" s="311" t="str">
        <f>IF(LEN('Ch9'!H47)=0,"",'Ch9'!H47)</f>
        <v/>
      </c>
      <c r="C1593" s="311" t="str">
        <f t="shared" si="37"/>
        <v>P</v>
      </c>
      <c r="D1593" s="919"/>
      <c r="E1593" s="926" t="s">
        <v>275</v>
      </c>
      <c r="F1593" s="204"/>
      <c r="G1593" s="1305" t="s">
        <v>3376</v>
      </c>
      <c r="H1593" s="89" t="str">
        <f>'Ch9'!W47</f>
        <v>N/A</v>
      </c>
      <c r="I1593" s="89">
        <f>'Ch9'!O47</f>
        <v>0</v>
      </c>
      <c r="J1593" s="1439" t="s">
        <v>4293</v>
      </c>
    </row>
    <row r="1594" spans="1:10" x14ac:dyDescent="0.3">
      <c r="A1594" s="727" t="str">
        <f>A1593</f>
        <v>P</v>
      </c>
      <c r="B1594" s="311" t="str">
        <f>IF(LEN('Ch9'!H48)=0,"",'Ch9'!H48)</f>
        <v/>
      </c>
      <c r="C1594" s="311" t="str">
        <f t="shared" si="37"/>
        <v>P</v>
      </c>
      <c r="D1594" s="919"/>
      <c r="E1594" s="926"/>
      <c r="F1594" s="204"/>
      <c r="G1594" s="1305"/>
      <c r="J1594" s="1439"/>
    </row>
    <row r="1595" spans="1:10" x14ac:dyDescent="0.3">
      <c r="A1595" s="727" t="str">
        <f>A1594</f>
        <v>P</v>
      </c>
      <c r="B1595" s="311" t="str">
        <f>IF(LEN('Ch9'!H49)=0,"",'Ch9'!H49)</f>
        <v/>
      </c>
      <c r="C1595" s="311" t="str">
        <f t="shared" si="37"/>
        <v>P</v>
      </c>
      <c r="D1595" s="919"/>
      <c r="E1595" s="946"/>
      <c r="F1595" s="232"/>
      <c r="G1595" s="1306"/>
      <c r="J1595" s="1439"/>
    </row>
    <row r="1596" spans="1:10" x14ac:dyDescent="0.3">
      <c r="A1596" s="727" t="str">
        <f>IF(AND(LEN('Ch9'!W50)&gt;0,NOT('Ch9'!W50=FALSE)),"P","")</f>
        <v>P</v>
      </c>
      <c r="B1596" s="311" t="str">
        <f>IF(LEN('Ch9'!H50)=0,"",'Ch9'!H50)</f>
        <v/>
      </c>
      <c r="C1596" s="311" t="str">
        <f t="shared" si="37"/>
        <v>P</v>
      </c>
      <c r="D1596" s="919"/>
      <c r="E1596" s="926" t="s">
        <v>285</v>
      </c>
      <c r="F1596" s="204"/>
      <c r="G1596" s="1293" t="s">
        <v>3377</v>
      </c>
      <c r="H1596" s="89" t="str">
        <f>'Ch9'!W50</f>
        <v>N/A</v>
      </c>
      <c r="I1596" s="89">
        <f>'Ch9'!O50</f>
        <v>0</v>
      </c>
      <c r="J1596" s="1439" t="s">
        <v>4307</v>
      </c>
    </row>
    <row r="1597" spans="1:10" x14ac:dyDescent="0.3">
      <c r="A1597" s="727" t="str">
        <f>A1596</f>
        <v>P</v>
      </c>
      <c r="B1597" s="311" t="str">
        <f>IF(LEN('Ch9'!H51)=0,"",'Ch9'!H51)</f>
        <v/>
      </c>
      <c r="C1597" s="311" t="str">
        <f t="shared" si="37"/>
        <v>P</v>
      </c>
      <c r="D1597" s="919"/>
      <c r="E1597" s="946"/>
      <c r="F1597" s="232"/>
      <c r="G1597" s="1294"/>
      <c r="J1597" s="1439"/>
    </row>
    <row r="1598" spans="1:10" x14ac:dyDescent="0.3">
      <c r="A1598" s="727" t="str">
        <f>IF(AND(LEN('Ch9'!W52)&gt;0,NOT('Ch9'!W52=FALSE)),"P","")</f>
        <v>P</v>
      </c>
      <c r="B1598" s="311" t="str">
        <f>IF(LEN('Ch9'!H52)=0,"",'Ch9'!H52)</f>
        <v/>
      </c>
      <c r="C1598" s="311" t="str">
        <f t="shared" si="37"/>
        <v>P</v>
      </c>
      <c r="D1598" s="204"/>
      <c r="E1598" s="926" t="s">
        <v>291</v>
      </c>
      <c r="F1598" s="204"/>
      <c r="G1598" s="1305" t="s">
        <v>3378</v>
      </c>
      <c r="H1598" s="89" t="str">
        <f>'Ch9'!W52</f>
        <v>N/A</v>
      </c>
      <c r="I1598" s="89">
        <f>'Ch9'!O52</f>
        <v>0</v>
      </c>
      <c r="J1598" s="1439" t="s">
        <v>4307</v>
      </c>
    </row>
    <row r="1599" spans="1:10" x14ac:dyDescent="0.3">
      <c r="A1599" s="727" t="str">
        <f>A1598</f>
        <v>P</v>
      </c>
      <c r="B1599" s="311" t="str">
        <f>IF(LEN('Ch9'!H53)=0,"",'Ch9'!H53)</f>
        <v/>
      </c>
      <c r="C1599" s="311" t="str">
        <f t="shared" si="37"/>
        <v>P</v>
      </c>
      <c r="D1599" s="232"/>
      <c r="E1599" s="946"/>
      <c r="F1599" s="232"/>
      <c r="G1599" s="1306"/>
      <c r="J1599" s="1439"/>
    </row>
    <row r="1600" spans="1:10" ht="15" thickBot="1" x14ac:dyDescent="0.35">
      <c r="A1600" s="727" t="str">
        <f>IF(AND(LEN('Ch9'!W54)&gt;0,NOT('Ch9'!W54=FALSE)),"P","")</f>
        <v/>
      </c>
      <c r="B1600" s="311" t="str">
        <f>IF(LEN('Ch9'!H54)=0,"",'Ch9'!H54)</f>
        <v/>
      </c>
      <c r="C1600" s="311" t="str">
        <f t="shared" si="37"/>
        <v/>
      </c>
      <c r="D1600" s="928" t="s">
        <v>3379</v>
      </c>
      <c r="E1600" s="934"/>
      <c r="F1600" s="934"/>
      <c r="G1600" s="621" t="s">
        <v>3380</v>
      </c>
      <c r="H1600" s="89">
        <f>'Ch9'!W54</f>
        <v>0</v>
      </c>
      <c r="I1600" s="89">
        <f>'Ch9'!O54</f>
        <v>0</v>
      </c>
      <c r="J1600" s="989" t="s">
        <v>4226</v>
      </c>
    </row>
    <row r="1601" spans="1:10" x14ac:dyDescent="0.3">
      <c r="A1601" s="1196" t="str">
        <f>IF(COUNTIF(A1602:A1613,"P")&gt;0,"P","")</f>
        <v>P</v>
      </c>
      <c r="B1601" s="311" t="str">
        <f>IF(LEN('Ch9'!H55)=0,"",'Ch9'!H55)</f>
        <v/>
      </c>
      <c r="C1601" s="311" t="str">
        <f t="shared" si="37"/>
        <v>P</v>
      </c>
      <c r="D1601" s="152">
        <v>901.3</v>
      </c>
      <c r="E1601" s="919"/>
      <c r="F1601" s="919"/>
      <c r="G1601" s="687" t="s">
        <v>3381</v>
      </c>
      <c r="J1601" s="989" t="s">
        <v>4356</v>
      </c>
    </row>
    <row r="1602" spans="1:10" x14ac:dyDescent="0.3">
      <c r="A1602" s="1196" t="str">
        <f>IF(COUNTIF(A1603:A1607,"P")&gt;0,"P","")</f>
        <v>P</v>
      </c>
      <c r="B1602" s="311" t="str">
        <f>IF(LEN('Ch9'!H56)=0,"",'Ch9'!H56)</f>
        <v/>
      </c>
      <c r="C1602" s="311" t="str">
        <f t="shared" si="37"/>
        <v>P</v>
      </c>
      <c r="D1602" s="919"/>
      <c r="E1602" s="925" t="s">
        <v>271</v>
      </c>
      <c r="F1602" s="919"/>
      <c r="G1602" s="682" t="s">
        <v>3382</v>
      </c>
      <c r="J1602" s="989"/>
    </row>
    <row r="1603" spans="1:10" x14ac:dyDescent="0.3">
      <c r="A1603" s="727" t="str">
        <f>IF(AND(LEN('Ch9'!W57)&gt;0,NOT('Ch9'!W57=FALSE)),"P","")</f>
        <v>P</v>
      </c>
      <c r="B1603" s="311" t="str">
        <f>IF(LEN('Ch9'!H57)=0,"",'Ch9'!H57)</f>
        <v/>
      </c>
      <c r="C1603" s="311" t="str">
        <f t="shared" si="37"/>
        <v>P</v>
      </c>
      <c r="D1603" s="919"/>
      <c r="E1603" s="919"/>
      <c r="F1603" s="926" t="s">
        <v>121</v>
      </c>
      <c r="G1603" s="1305" t="s">
        <v>3383</v>
      </c>
      <c r="H1603" s="89" t="str">
        <f>'Ch9'!W57</f>
        <v>Met</v>
      </c>
      <c r="I1603" s="89">
        <f>'Ch9'!O57</f>
        <v>2</v>
      </c>
      <c r="J1603" s="1439" t="s">
        <v>4226</v>
      </c>
    </row>
    <row r="1604" spans="1:10" x14ac:dyDescent="0.3">
      <c r="A1604" s="727" t="str">
        <f>A1603</f>
        <v>P</v>
      </c>
      <c r="B1604" s="311" t="str">
        <f>IF(LEN('Ch9'!H58)=0,"",'Ch9'!H58)</f>
        <v/>
      </c>
      <c r="C1604" s="311" t="str">
        <f t="shared" si="37"/>
        <v>P</v>
      </c>
      <c r="D1604" s="919"/>
      <c r="E1604" s="919"/>
      <c r="F1604" s="946"/>
      <c r="G1604" s="1306"/>
      <c r="J1604" s="1439"/>
    </row>
    <row r="1605" spans="1:10" x14ac:dyDescent="0.3">
      <c r="A1605" s="727" t="str">
        <f>IF(AND(LEN('Ch9'!W59)&gt;0,NOT('Ch9'!W59=FALSE)),"P","")</f>
        <v>P</v>
      </c>
      <c r="B1605" s="311" t="str">
        <f>IF(LEN('Ch9'!H59)=0,"",'Ch9'!H59)</f>
        <v/>
      </c>
      <c r="C1605" s="311" t="str">
        <f t="shared" si="37"/>
        <v>P</v>
      </c>
      <c r="D1605" s="919"/>
      <c r="E1605" s="919"/>
      <c r="F1605" s="926" t="s">
        <v>122</v>
      </c>
      <c r="G1605" s="1305" t="s">
        <v>3384</v>
      </c>
      <c r="H1605" s="89" t="str">
        <f>'Ch9'!W59</f>
        <v>Met</v>
      </c>
      <c r="I1605" s="89">
        <f>'Ch9'!O59</f>
        <v>2</v>
      </c>
      <c r="J1605" s="1439" t="s">
        <v>4226</v>
      </c>
    </row>
    <row r="1606" spans="1:10" x14ac:dyDescent="0.3">
      <c r="A1606" s="727" t="str">
        <f>A1605</f>
        <v>P</v>
      </c>
      <c r="B1606" s="311" t="str">
        <f>IF(LEN('Ch9'!H60)=0,"",'Ch9'!H60)</f>
        <v/>
      </c>
      <c r="C1606" s="311" t="str">
        <f t="shared" si="37"/>
        <v>P</v>
      </c>
      <c r="D1606" s="919"/>
      <c r="E1606" s="919"/>
      <c r="F1606" s="232"/>
      <c r="G1606" s="1306"/>
      <c r="J1606" s="1439"/>
    </row>
    <row r="1607" spans="1:10" x14ac:dyDescent="0.3">
      <c r="A1607" s="727" t="str">
        <f>IF(AND(LEN('Ch9'!W61)&gt;0,NOT('Ch9'!W61=FALSE)),"P","")</f>
        <v>P</v>
      </c>
      <c r="B1607" s="311" t="str">
        <f>IF(LEN('Ch9'!H61)=0,"",'Ch9'!H61)</f>
        <v/>
      </c>
      <c r="C1607" s="311" t="str">
        <f t="shared" si="37"/>
        <v>P</v>
      </c>
      <c r="D1607" s="919"/>
      <c r="E1607" s="204"/>
      <c r="F1607" s="926" t="s">
        <v>123</v>
      </c>
      <c r="G1607" s="1305" t="s">
        <v>3385</v>
      </c>
      <c r="H1607" s="89" t="b">
        <f>'Ch9'!W61</f>
        <v>1</v>
      </c>
      <c r="I1607" s="89">
        <f ca="1">'Ch9'!O61</f>
        <v>8</v>
      </c>
      <c r="J1607" s="1439" t="s">
        <v>4308</v>
      </c>
    </row>
    <row r="1608" spans="1:10" x14ac:dyDescent="0.3">
      <c r="A1608" s="727" t="str">
        <f>A1607</f>
        <v>P</v>
      </c>
      <c r="B1608" s="311" t="str">
        <f>IF(LEN('Ch9'!H62)=0,"",'Ch9'!H62)</f>
        <v/>
      </c>
      <c r="C1608" s="311" t="str">
        <f t="shared" ref="C1608:C1671" si="38">IF(LEN(B1608)=0,IF(A1608="P","P",""),B1608)</f>
        <v>P</v>
      </c>
      <c r="D1608" s="919"/>
      <c r="E1608" s="204"/>
      <c r="F1608" s="204"/>
      <c r="G1608" s="1305"/>
      <c r="J1608" s="1439"/>
    </row>
    <row r="1609" spans="1:10" x14ac:dyDescent="0.3">
      <c r="A1609" s="727" t="str">
        <f>A1608</f>
        <v>P</v>
      </c>
      <c r="B1609" s="311" t="str">
        <f>IF(LEN('Ch9'!H63)=0,"",'Ch9'!H63)</f>
        <v/>
      </c>
      <c r="C1609" s="311" t="str">
        <f t="shared" si="38"/>
        <v>P</v>
      </c>
      <c r="D1609" s="919"/>
      <c r="E1609" s="204"/>
      <c r="F1609" s="204"/>
      <c r="G1609" s="1305"/>
      <c r="J1609" s="1439"/>
    </row>
    <row r="1610" spans="1:10" x14ac:dyDescent="0.3">
      <c r="A1610" s="727" t="str">
        <f>A1609</f>
        <v>P</v>
      </c>
      <c r="B1610" s="311" t="str">
        <f>IF(LEN('Ch9'!H64)=0,"",'Ch9'!H64)</f>
        <v/>
      </c>
      <c r="C1610" s="311" t="str">
        <f t="shared" si="38"/>
        <v>P</v>
      </c>
      <c r="D1610" s="919"/>
      <c r="E1610" s="204"/>
      <c r="F1610" s="204"/>
      <c r="G1610" s="1305"/>
      <c r="J1610" s="1439"/>
    </row>
    <row r="1611" spans="1:10" x14ac:dyDescent="0.3">
      <c r="A1611" s="727" t="str">
        <f>A1610</f>
        <v>P</v>
      </c>
      <c r="B1611" s="311" t="str">
        <f>IF(LEN('Ch9'!H65)=0,"",'Ch9'!H65)</f>
        <v/>
      </c>
      <c r="C1611" s="311" t="str">
        <f t="shared" si="38"/>
        <v>P</v>
      </c>
      <c r="D1611" s="919"/>
      <c r="E1611" s="204"/>
      <c r="F1611" s="204"/>
      <c r="G1611" s="1305"/>
      <c r="J1611" s="1439"/>
    </row>
    <row r="1612" spans="1:10" x14ac:dyDescent="0.3">
      <c r="A1612" s="727" t="str">
        <f>A1611</f>
        <v>P</v>
      </c>
      <c r="B1612" s="311" t="str">
        <f>IF(LEN('Ch9'!H66)=0,"",'Ch9'!H66)</f>
        <v/>
      </c>
      <c r="C1612" s="311" t="str">
        <f t="shared" si="38"/>
        <v>P</v>
      </c>
      <c r="D1612" s="919"/>
      <c r="E1612" s="232"/>
      <c r="F1612" s="232"/>
      <c r="G1612" s="1306"/>
      <c r="J1612" s="1439"/>
    </row>
    <row r="1613" spans="1:10" ht="15" customHeight="1" thickBot="1" x14ac:dyDescent="0.35">
      <c r="A1613" s="727" t="str">
        <f>IF(AND(LEN('Ch9'!W67)&gt;0,NOT('Ch9'!W67=FALSE)),"P","")</f>
        <v/>
      </c>
      <c r="B1613" s="311" t="str">
        <f>IF(LEN('Ch9'!H67)=0,"",'Ch9'!H67)</f>
        <v/>
      </c>
      <c r="C1613" s="311" t="str">
        <f t="shared" si="38"/>
        <v/>
      </c>
      <c r="D1613" s="934"/>
      <c r="E1613" s="931" t="s">
        <v>273</v>
      </c>
      <c r="F1613" s="934"/>
      <c r="G1613" s="678" t="s">
        <v>3386</v>
      </c>
      <c r="H1613" s="89">
        <f>'Ch9'!W67</f>
        <v>0</v>
      </c>
      <c r="I1613" s="89">
        <f>'Ch9'!O67</f>
        <v>0</v>
      </c>
      <c r="J1613" s="989" t="s">
        <v>4226</v>
      </c>
    </row>
    <row r="1614" spans="1:10" x14ac:dyDescent="0.3">
      <c r="A1614" s="727" t="str">
        <f ca="1">IF('Ch9'!O68&gt;0,"P","")</f>
        <v>P</v>
      </c>
      <c r="B1614" s="311" t="str">
        <f>IF(LEN('Ch9'!H68)=0,"",'Ch9'!H68)</f>
        <v/>
      </c>
      <c r="C1614" s="311" t="str">
        <f t="shared" ca="1" si="38"/>
        <v>P</v>
      </c>
      <c r="D1614" s="152">
        <v>901.4</v>
      </c>
      <c r="E1614" s="919"/>
      <c r="F1614" s="919"/>
      <c r="G1614" s="1329" t="s">
        <v>3387</v>
      </c>
      <c r="I1614" s="89">
        <f ca="1">'Ch9'!O68</f>
        <v>4</v>
      </c>
      <c r="J1614" s="1002"/>
    </row>
    <row r="1615" spans="1:10" x14ac:dyDescent="0.3">
      <c r="A1615" s="727" t="str">
        <f ca="1">A1614</f>
        <v>P</v>
      </c>
      <c r="B1615" s="311" t="str">
        <f>IF(LEN('Ch9'!H69)=0,"",'Ch9'!H69)</f>
        <v/>
      </c>
      <c r="C1615" s="311" t="str">
        <f t="shared" ca="1" si="38"/>
        <v>P</v>
      </c>
      <c r="D1615" s="919"/>
      <c r="E1615" s="919"/>
      <c r="F1615" s="919"/>
      <c r="G1615" s="1329"/>
      <c r="J1615" s="1002"/>
    </row>
    <row r="1616" spans="1:10" x14ac:dyDescent="0.3">
      <c r="A1616" s="727" t="str">
        <f ca="1">A1615</f>
        <v>P</v>
      </c>
      <c r="B1616" s="311" t="str">
        <f>IF(LEN('Ch9'!H70)=0,"",'Ch9'!H70)</f>
        <v/>
      </c>
      <c r="C1616" s="311" t="str">
        <f t="shared" ca="1" si="38"/>
        <v>P</v>
      </c>
      <c r="D1616" s="919"/>
      <c r="E1616" s="919"/>
      <c r="F1616" s="919"/>
      <c r="G1616" s="1329"/>
      <c r="J1616" s="1002"/>
    </row>
    <row r="1617" spans="1:10" ht="15" customHeight="1" x14ac:dyDescent="0.3">
      <c r="A1617" s="727" t="str">
        <f>IF(AND(LEN('Ch9'!W71)&gt;0,NOT('Ch9'!W71=FALSE)),"P","")</f>
        <v>P</v>
      </c>
      <c r="B1617" s="311" t="str">
        <f>IF(LEN('Ch9'!H71)=0,"",'Ch9'!H71)</f>
        <v/>
      </c>
      <c r="C1617" s="311" t="str">
        <f t="shared" si="38"/>
        <v>P</v>
      </c>
      <c r="D1617" s="919"/>
      <c r="E1617" s="926" t="s">
        <v>271</v>
      </c>
      <c r="F1617" s="204"/>
      <c r="G1617" s="1305" t="s">
        <v>3388</v>
      </c>
      <c r="H1617" s="89" t="str">
        <f>'Ch9'!W71</f>
        <v>Met</v>
      </c>
      <c r="J1617" s="1441" t="s">
        <v>4309</v>
      </c>
    </row>
    <row r="1618" spans="1:10" x14ac:dyDescent="0.3">
      <c r="A1618" s="727" t="str">
        <f>A1617</f>
        <v>P</v>
      </c>
      <c r="B1618" s="311" t="str">
        <f>IF(LEN('Ch9'!H72)=0,"",'Ch9'!H72)</f>
        <v/>
      </c>
      <c r="C1618" s="311" t="str">
        <f t="shared" si="38"/>
        <v>P</v>
      </c>
      <c r="D1618" s="919"/>
      <c r="E1618" s="204"/>
      <c r="F1618" s="204"/>
      <c r="G1618" s="1305"/>
      <c r="J1618" s="1441"/>
    </row>
    <row r="1619" spans="1:10" x14ac:dyDescent="0.3">
      <c r="A1619" s="727" t="str">
        <f>A1618</f>
        <v>P</v>
      </c>
      <c r="B1619" s="311" t="str">
        <f>IF(LEN('Ch9'!H73)=0,"",'Ch9'!H73)</f>
        <v/>
      </c>
      <c r="C1619" s="311" t="str">
        <f t="shared" si="38"/>
        <v>P</v>
      </c>
      <c r="D1619" s="919"/>
      <c r="E1619" s="204"/>
      <c r="F1619" s="204"/>
      <c r="G1619" s="1305"/>
      <c r="J1619" s="1441"/>
    </row>
    <row r="1620" spans="1:10" s="922" customFormat="1" x14ac:dyDescent="0.3">
      <c r="A1620" s="727" t="str">
        <f>A1619</f>
        <v>P</v>
      </c>
      <c r="B1620" s="311" t="str">
        <f>IF(LEN('Ch9'!H74)=0,"",'Ch9'!H74)</f>
        <v/>
      </c>
      <c r="C1620" s="311" t="str">
        <f t="shared" si="38"/>
        <v>P</v>
      </c>
      <c r="D1620" s="924"/>
      <c r="E1620" s="974"/>
      <c r="F1620" s="974"/>
      <c r="G1620" s="1305"/>
      <c r="H1620" s="89"/>
      <c r="I1620" s="89"/>
      <c r="J1620" s="1441"/>
    </row>
    <row r="1621" spans="1:10" x14ac:dyDescent="0.3">
      <c r="B1621" s="311" t="str">
        <f>IF(LEN('Ch9'!H75)=0,"",'Ch9'!H75)</f>
        <v/>
      </c>
      <c r="C1621" s="311" t="str">
        <f t="shared" si="38"/>
        <v/>
      </c>
      <c r="D1621" s="919"/>
      <c r="E1621" s="232"/>
      <c r="F1621" s="232"/>
      <c r="G1621" s="923" t="s">
        <v>4382</v>
      </c>
      <c r="J1621" s="1009"/>
    </row>
    <row r="1622" spans="1:10" x14ac:dyDescent="0.3">
      <c r="A1622" s="727" t="str">
        <f>A1620</f>
        <v>P</v>
      </c>
      <c r="B1622" s="311" t="str">
        <f>IF(LEN('Ch9'!H76)=0,"",'Ch9'!H76)</f>
        <v/>
      </c>
      <c r="C1622" s="311" t="str">
        <f t="shared" si="38"/>
        <v>P</v>
      </c>
      <c r="D1622" s="204"/>
      <c r="E1622" s="204"/>
      <c r="F1622" s="204"/>
      <c r="G1622" s="675" t="s">
        <v>3913</v>
      </c>
      <c r="H1622" s="89">
        <f>'Ch9'!W76</f>
        <v>0</v>
      </c>
      <c r="J1622" s="1009"/>
    </row>
    <row r="1623" spans="1:10" x14ac:dyDescent="0.3">
      <c r="A1623" s="727" t="str">
        <f>A1622</f>
        <v>P</v>
      </c>
      <c r="B1623" s="311" t="str">
        <f>IF(LEN('Ch9'!H77)=0,"",'Ch9'!H77)</f>
        <v/>
      </c>
      <c r="C1623" s="311" t="str">
        <f t="shared" si="38"/>
        <v>P</v>
      </c>
      <c r="D1623" s="204"/>
      <c r="E1623" s="204"/>
      <c r="F1623" s="204"/>
      <c r="G1623" s="675" t="s">
        <v>3914</v>
      </c>
      <c r="H1623" s="89" t="str">
        <f>'Ch9'!W77</f>
        <v>(3)</v>
      </c>
      <c r="J1623" s="1002"/>
    </row>
    <row r="1624" spans="1:10" x14ac:dyDescent="0.3">
      <c r="A1624" s="727" t="str">
        <f t="shared" ref="A1624:A1632" si="39">A1623</f>
        <v>P</v>
      </c>
      <c r="B1624" s="311" t="str">
        <f>IF(LEN('Ch9'!H78)=0,"",'Ch9'!H78)</f>
        <v/>
      </c>
      <c r="C1624" s="311" t="str">
        <f t="shared" si="38"/>
        <v>P</v>
      </c>
      <c r="D1624" s="204"/>
      <c r="E1624" s="204"/>
      <c r="F1624" s="204"/>
      <c r="G1624" s="675" t="s">
        <v>3915</v>
      </c>
      <c r="H1624" s="89">
        <f>'Ch9'!W78</f>
        <v>0</v>
      </c>
      <c r="J1624" s="1002"/>
    </row>
    <row r="1625" spans="1:10" x14ac:dyDescent="0.3">
      <c r="A1625" s="727" t="str">
        <f t="shared" si="39"/>
        <v>P</v>
      </c>
      <c r="B1625" s="311" t="str">
        <f>IF(LEN('Ch9'!H79)=0,"",'Ch9'!H79)</f>
        <v/>
      </c>
      <c r="C1625" s="311" t="str">
        <f t="shared" si="38"/>
        <v>P</v>
      </c>
      <c r="D1625" s="204"/>
      <c r="E1625" s="204"/>
      <c r="F1625" s="204"/>
      <c r="G1625" s="675" t="s">
        <v>3916</v>
      </c>
      <c r="H1625" s="89" t="str">
        <f>'Ch9'!W79</f>
        <v>(2)</v>
      </c>
      <c r="J1625" s="1002"/>
    </row>
    <row r="1626" spans="1:10" x14ac:dyDescent="0.3">
      <c r="A1626" s="727" t="str">
        <f t="shared" si="39"/>
        <v>P</v>
      </c>
      <c r="B1626" s="311" t="str">
        <f>IF(LEN('Ch9'!H80)=0,"",'Ch9'!H80)</f>
        <v/>
      </c>
      <c r="C1626" s="311" t="str">
        <f t="shared" si="38"/>
        <v>P</v>
      </c>
      <c r="D1626" s="204"/>
      <c r="E1626" s="926" t="s">
        <v>273</v>
      </c>
      <c r="F1626" s="204"/>
      <c r="G1626" s="1305" t="s">
        <v>3389</v>
      </c>
      <c r="J1626" s="1009" t="s">
        <v>4314</v>
      </c>
    </row>
    <row r="1627" spans="1:10" x14ac:dyDescent="0.3">
      <c r="A1627" s="727" t="str">
        <f t="shared" si="39"/>
        <v>P</v>
      </c>
      <c r="B1627" s="311" t="str">
        <f>IF(LEN('Ch9'!H81)=0,"",'Ch9'!H81)</f>
        <v/>
      </c>
      <c r="C1627" s="311" t="str">
        <f t="shared" si="38"/>
        <v>P</v>
      </c>
      <c r="D1627" s="204"/>
      <c r="E1627" s="232"/>
      <c r="F1627" s="232"/>
      <c r="G1627" s="1306"/>
      <c r="J1627" s="1002"/>
    </row>
    <row r="1628" spans="1:10" x14ac:dyDescent="0.3">
      <c r="A1628" s="727" t="str">
        <f t="shared" si="39"/>
        <v>P</v>
      </c>
      <c r="B1628" s="311" t="str">
        <f>IF(LEN('Ch9'!H82)=0,"",'Ch9'!H82)</f>
        <v/>
      </c>
      <c r="C1628" s="311" t="str">
        <f t="shared" si="38"/>
        <v>P</v>
      </c>
      <c r="D1628" s="204"/>
      <c r="E1628" s="946" t="s">
        <v>275</v>
      </c>
      <c r="F1628" s="232"/>
      <c r="G1628" s="676" t="s">
        <v>3390</v>
      </c>
      <c r="J1628" s="1009" t="s">
        <v>4313</v>
      </c>
    </row>
    <row r="1629" spans="1:10" x14ac:dyDescent="0.3">
      <c r="A1629" s="727" t="str">
        <f t="shared" si="39"/>
        <v>P</v>
      </c>
      <c r="B1629" s="311" t="str">
        <f>IF(LEN('Ch9'!H83)=0,"",'Ch9'!H83)</f>
        <v/>
      </c>
      <c r="C1629" s="311" t="str">
        <f t="shared" si="38"/>
        <v>P</v>
      </c>
      <c r="D1629" s="204"/>
      <c r="E1629" s="946" t="s">
        <v>285</v>
      </c>
      <c r="F1629" s="232"/>
      <c r="G1629" s="676" t="s">
        <v>3391</v>
      </c>
      <c r="J1629" s="1009" t="s">
        <v>4312</v>
      </c>
    </row>
    <row r="1630" spans="1:10" x14ac:dyDescent="0.3">
      <c r="A1630" s="727" t="str">
        <f t="shared" si="39"/>
        <v>P</v>
      </c>
      <c r="B1630" s="311" t="str">
        <f>IF(LEN('Ch9'!H84)=0,"",'Ch9'!H84)</f>
        <v/>
      </c>
      <c r="C1630" s="311" t="str">
        <f t="shared" si="38"/>
        <v>P</v>
      </c>
      <c r="D1630" s="204"/>
      <c r="E1630" s="926" t="s">
        <v>291</v>
      </c>
      <c r="F1630" s="204"/>
      <c r="G1630" s="1305" t="s">
        <v>3392</v>
      </c>
      <c r="J1630" s="1441" t="s">
        <v>4311</v>
      </c>
    </row>
    <row r="1631" spans="1:10" x14ac:dyDescent="0.3">
      <c r="A1631" s="727" t="str">
        <f t="shared" si="39"/>
        <v>P</v>
      </c>
      <c r="B1631" s="311" t="str">
        <f>IF(LEN('Ch9'!H85)=0,"",'Ch9'!H85)</f>
        <v/>
      </c>
      <c r="C1631" s="311" t="str">
        <f t="shared" si="38"/>
        <v>P</v>
      </c>
      <c r="D1631" s="204"/>
      <c r="E1631" s="946"/>
      <c r="F1631" s="232"/>
      <c r="G1631" s="1306"/>
      <c r="J1631" s="1441"/>
    </row>
    <row r="1632" spans="1:10" ht="15" thickBot="1" x14ac:dyDescent="0.35">
      <c r="A1632" s="727" t="str">
        <f t="shared" si="39"/>
        <v>P</v>
      </c>
      <c r="B1632" s="311" t="str">
        <f>IF(LEN('Ch9'!H86)=0,"",'Ch9'!H86)</f>
        <v/>
      </c>
      <c r="C1632" s="311" t="str">
        <f t="shared" si="38"/>
        <v>P</v>
      </c>
      <c r="D1632" s="934"/>
      <c r="E1632" s="931" t="s">
        <v>293</v>
      </c>
      <c r="F1632" s="934"/>
      <c r="G1632" s="678" t="s">
        <v>3393</v>
      </c>
      <c r="J1632" s="1009" t="s">
        <v>4310</v>
      </c>
    </row>
    <row r="1633" spans="1:10" x14ac:dyDescent="0.3">
      <c r="A1633" s="1196" t="str">
        <f>IF(COUNTIF(A1636:A1638,"P")&gt;0,"P","")</f>
        <v/>
      </c>
      <c r="B1633" s="311" t="str">
        <f>IF(LEN('Ch9'!H87)=0,"",'Ch9'!H87)</f>
        <v/>
      </c>
      <c r="C1633" s="311" t="str">
        <f t="shared" si="38"/>
        <v/>
      </c>
      <c r="D1633" s="152">
        <v>901.5</v>
      </c>
      <c r="E1633" s="919"/>
      <c r="F1633" s="919"/>
      <c r="G1633" s="1292" t="s">
        <v>3394</v>
      </c>
      <c r="J1633" s="989"/>
    </row>
    <row r="1634" spans="1:10" x14ac:dyDescent="0.3">
      <c r="A1634" s="727" t="str">
        <f>A1633</f>
        <v/>
      </c>
      <c r="B1634" s="311" t="str">
        <f>IF(LEN('Ch9'!H88)=0,"",'Ch9'!H88)</f>
        <v/>
      </c>
      <c r="C1634" s="311" t="str">
        <f t="shared" si="38"/>
        <v/>
      </c>
      <c r="D1634" s="919"/>
      <c r="E1634" s="919"/>
      <c r="F1634" s="919"/>
      <c r="G1634" s="1292"/>
      <c r="J1634" s="989"/>
    </row>
    <row r="1635" spans="1:10" x14ac:dyDescent="0.3">
      <c r="B1635" s="311" t="str">
        <f>IF(LEN('Ch9'!H89)=0,"",'Ch9'!H89)</f>
        <v/>
      </c>
      <c r="C1635" s="311" t="str">
        <f t="shared" si="38"/>
        <v/>
      </c>
      <c r="D1635" s="919"/>
      <c r="E1635" s="919"/>
      <c r="F1635" s="919"/>
      <c r="G1635" s="681" t="s">
        <v>3395</v>
      </c>
      <c r="J1635" s="989"/>
    </row>
    <row r="1636" spans="1:10" x14ac:dyDescent="0.3">
      <c r="A1636" s="727" t="str">
        <f>IF(AND(LEN('Ch9'!W90)&gt;0,NOT('Ch9'!W90=FALSE)),"P","")</f>
        <v/>
      </c>
      <c r="B1636" s="311" t="str">
        <f>IF(LEN('Ch9'!H90)=0,"",'Ch9'!H90)</f>
        <v/>
      </c>
      <c r="C1636" s="311" t="str">
        <f t="shared" si="38"/>
        <v/>
      </c>
      <c r="D1636" s="919"/>
      <c r="E1636" s="926" t="s">
        <v>271</v>
      </c>
      <c r="F1636" s="204"/>
      <c r="G1636" s="1305" t="s">
        <v>3396</v>
      </c>
      <c r="H1636" s="89">
        <f>'Ch9'!W90</f>
        <v>0</v>
      </c>
      <c r="I1636" s="89">
        <f>'Ch9'!O90</f>
        <v>0</v>
      </c>
      <c r="J1636" s="1439" t="s">
        <v>4226</v>
      </c>
    </row>
    <row r="1637" spans="1:10" x14ac:dyDescent="0.3">
      <c r="A1637" s="727" t="str">
        <f>A1636</f>
        <v/>
      </c>
      <c r="B1637" s="311" t="str">
        <f>IF(LEN('Ch9'!H91)=0,"",'Ch9'!H91)</f>
        <v/>
      </c>
      <c r="C1637" s="311" t="str">
        <f t="shared" si="38"/>
        <v/>
      </c>
      <c r="D1637" s="919"/>
      <c r="E1637" s="232"/>
      <c r="F1637" s="232"/>
      <c r="G1637" s="1306"/>
      <c r="J1637" s="1439"/>
    </row>
    <row r="1638" spans="1:10" x14ac:dyDescent="0.3">
      <c r="A1638" s="727" t="str">
        <f>IF(AND(LEN('Ch9'!W92)&gt;0,NOT('Ch9'!W92=FALSE)),"P","")</f>
        <v/>
      </c>
      <c r="B1638" s="311" t="str">
        <f>IF(LEN('Ch9'!H92)=0,"",'Ch9'!H92)</f>
        <v/>
      </c>
      <c r="C1638" s="311" t="str">
        <f t="shared" si="38"/>
        <v/>
      </c>
      <c r="D1638" s="204"/>
      <c r="E1638" s="926" t="s">
        <v>273</v>
      </c>
      <c r="F1638" s="204"/>
      <c r="G1638" s="1305" t="s">
        <v>3397</v>
      </c>
      <c r="H1638" s="89">
        <f>'Ch9'!W92</f>
        <v>0</v>
      </c>
      <c r="I1638" s="89">
        <f>'Ch9'!O92</f>
        <v>0</v>
      </c>
      <c r="J1638" s="1439" t="s">
        <v>4315</v>
      </c>
    </row>
    <row r="1639" spans="1:10" x14ac:dyDescent="0.3">
      <c r="A1639" s="727" t="str">
        <f>A1638</f>
        <v/>
      </c>
      <c r="B1639" s="311" t="str">
        <f>IF(LEN('Ch9'!H93)=0,"",'Ch9'!H93)</f>
        <v/>
      </c>
      <c r="C1639" s="311" t="str">
        <f t="shared" si="38"/>
        <v/>
      </c>
      <c r="D1639" s="204"/>
      <c r="E1639" s="204"/>
      <c r="F1639" s="204"/>
      <c r="G1639" s="1305"/>
      <c r="J1639" s="1439"/>
    </row>
    <row r="1640" spans="1:10" ht="15" thickBot="1" x14ac:dyDescent="0.35">
      <c r="A1640" s="727" t="str">
        <f>A1639</f>
        <v/>
      </c>
      <c r="B1640" s="311" t="str">
        <f>IF(LEN('Ch9'!H94)=0,"",'Ch9'!H94)</f>
        <v/>
      </c>
      <c r="C1640" s="311" t="str">
        <f t="shared" si="38"/>
        <v/>
      </c>
      <c r="D1640" s="934"/>
      <c r="E1640" s="934"/>
      <c r="F1640" s="934"/>
      <c r="G1640" s="1330"/>
      <c r="J1640" s="1439"/>
    </row>
    <row r="1641" spans="1:10" ht="15.75" customHeight="1" thickTop="1" x14ac:dyDescent="0.3">
      <c r="A1641" s="727" t="str">
        <f>IF(AND(LEN('Ch9'!W95)&gt;0,NOT('Ch9'!W95=FALSE)),"P","")</f>
        <v>P</v>
      </c>
      <c r="B1641" s="311" t="str">
        <f>IF(LEN('Ch9'!H95)=0,"",'Ch9'!H95)</f>
        <v/>
      </c>
      <c r="C1641" s="311" t="str">
        <f t="shared" si="38"/>
        <v>P</v>
      </c>
      <c r="D1641" s="111">
        <v>901.6</v>
      </c>
      <c r="E1641" s="954"/>
      <c r="F1641" s="954"/>
      <c r="G1641" s="1331" t="s">
        <v>3398</v>
      </c>
      <c r="H1641" s="89" t="b">
        <f>'Ch9'!W95</f>
        <v>1</v>
      </c>
      <c r="J1641" s="1443" t="s">
        <v>4421</v>
      </c>
    </row>
    <row r="1642" spans="1:10" ht="15" thickBot="1" x14ac:dyDescent="0.35">
      <c r="A1642" s="727" t="str">
        <f>A1641</f>
        <v>P</v>
      </c>
      <c r="B1642" s="311" t="str">
        <f>IF(LEN('Ch9'!H96)=0,"",'Ch9'!H96)</f>
        <v/>
      </c>
      <c r="C1642" s="311" t="str">
        <f t="shared" si="38"/>
        <v>P</v>
      </c>
      <c r="D1642" s="934"/>
      <c r="E1642" s="934"/>
      <c r="F1642" s="934"/>
      <c r="G1642" s="1332"/>
      <c r="J1642" s="1443"/>
    </row>
    <row r="1643" spans="1:10" x14ac:dyDescent="0.3">
      <c r="A1643" s="727" t="str">
        <f>IF('Ch9'!O97&gt;0,"P","")</f>
        <v/>
      </c>
      <c r="B1643" s="311" t="str">
        <f>IF(LEN('Ch9'!H97)=0,"",'Ch9'!H97)</f>
        <v/>
      </c>
      <c r="C1643" s="311" t="str">
        <f t="shared" si="38"/>
        <v/>
      </c>
      <c r="D1643" s="152">
        <v>901.7</v>
      </c>
      <c r="E1643" s="919"/>
      <c r="F1643" s="919"/>
      <c r="G1643" s="1292" t="s">
        <v>3399</v>
      </c>
      <c r="I1643" s="89">
        <f>'Ch9'!O97</f>
        <v>0</v>
      </c>
      <c r="J1643" s="1443" t="s">
        <v>4442</v>
      </c>
    </row>
    <row r="1644" spans="1:10" x14ac:dyDescent="0.3">
      <c r="A1644" s="727" t="str">
        <f>A1643</f>
        <v/>
      </c>
      <c r="B1644" s="311" t="str">
        <f>IF(LEN('Ch9'!H98)=0,"",'Ch9'!H98)</f>
        <v/>
      </c>
      <c r="C1644" s="311" t="str">
        <f t="shared" si="38"/>
        <v/>
      </c>
      <c r="D1644" s="919"/>
      <c r="E1644" s="919"/>
      <c r="F1644" s="919"/>
      <c r="G1644" s="1292"/>
      <c r="J1644" s="1443"/>
    </row>
    <row r="1645" spans="1:10" x14ac:dyDescent="0.3">
      <c r="A1645" s="727" t="str">
        <f>A1644</f>
        <v/>
      </c>
      <c r="B1645" s="311" t="str">
        <f>IF(LEN('Ch9'!H99)=0,"",'Ch9'!H99)</f>
        <v/>
      </c>
      <c r="C1645" s="311" t="str">
        <f t="shared" si="38"/>
        <v/>
      </c>
      <c r="D1645" s="919"/>
      <c r="E1645" s="919"/>
      <c r="F1645" s="919"/>
      <c r="G1645" s="1292"/>
      <c r="J1645" s="1443"/>
    </row>
    <row r="1646" spans="1:10" x14ac:dyDescent="0.3">
      <c r="A1646" s="727" t="str">
        <f>A1645</f>
        <v/>
      </c>
      <c r="B1646" s="311" t="str">
        <f>IF(LEN('Ch9'!H100)=0,"",'Ch9'!H100)</f>
        <v/>
      </c>
      <c r="C1646" s="311" t="str">
        <f t="shared" si="38"/>
        <v/>
      </c>
      <c r="D1646" s="919"/>
      <c r="E1646" s="919"/>
      <c r="F1646" s="919"/>
      <c r="G1646" s="1292"/>
      <c r="J1646" s="1443"/>
    </row>
    <row r="1647" spans="1:10" x14ac:dyDescent="0.3">
      <c r="A1647" s="727" t="str">
        <f>A1646</f>
        <v/>
      </c>
      <c r="B1647" s="311" t="str">
        <f>IF(LEN('Ch9'!H101)=0,"",'Ch9'!H101)</f>
        <v/>
      </c>
      <c r="C1647" s="311" t="str">
        <f t="shared" si="38"/>
        <v/>
      </c>
      <c r="D1647" s="919"/>
      <c r="E1647" s="919"/>
      <c r="F1647" s="919"/>
      <c r="G1647" s="1292"/>
      <c r="J1647" s="1443"/>
    </row>
    <row r="1648" spans="1:10" x14ac:dyDescent="0.3">
      <c r="B1648" s="311" t="str">
        <f>IF(LEN('Ch9'!H102)=0,"",'Ch9'!H102)</f>
        <v/>
      </c>
      <c r="C1648" s="311" t="str">
        <f t="shared" si="38"/>
        <v/>
      </c>
      <c r="D1648" s="919"/>
      <c r="E1648" s="919"/>
      <c r="F1648" s="919"/>
      <c r="G1648" s="1365" t="s">
        <v>3400</v>
      </c>
      <c r="I1648" s="769"/>
      <c r="J1648" s="1443"/>
    </row>
    <row r="1649" spans="1:10" x14ac:dyDescent="0.3">
      <c r="B1649" s="311" t="str">
        <f>IF(LEN('Ch9'!H103)=0,"",'Ch9'!H103)</f>
        <v/>
      </c>
      <c r="C1649" s="311" t="str">
        <f t="shared" si="38"/>
        <v/>
      </c>
      <c r="D1649" s="919"/>
      <c r="E1649" s="919"/>
      <c r="F1649" s="919"/>
      <c r="G1649" s="1365"/>
      <c r="H1649" s="769"/>
      <c r="J1649" s="1443"/>
    </row>
    <row r="1650" spans="1:10" ht="15" customHeight="1" x14ac:dyDescent="0.3">
      <c r="A1650" s="727" t="str">
        <f>A1647</f>
        <v/>
      </c>
      <c r="B1650" s="311" t="str">
        <f>IF(LEN('Ch9'!H104)=0,"",'Ch9'!H104)</f>
        <v/>
      </c>
      <c r="C1650" s="311" t="str">
        <f t="shared" si="38"/>
        <v/>
      </c>
      <c r="D1650" s="919"/>
      <c r="E1650" s="925" t="s">
        <v>271</v>
      </c>
      <c r="F1650" s="919"/>
      <c r="G1650" s="1329" t="s">
        <v>3401</v>
      </c>
      <c r="H1650" s="89">
        <f>'Ch9'!W104</f>
        <v>0</v>
      </c>
      <c r="J1650" s="1443"/>
    </row>
    <row r="1651" spans="1:10" x14ac:dyDescent="0.3">
      <c r="A1651" s="727" t="str">
        <f t="shared" ref="A1651:A1659" si="40">A1650</f>
        <v/>
      </c>
      <c r="B1651" s="311" t="str">
        <f>IF(LEN('Ch9'!H105)=0,"",'Ch9'!H105)</f>
        <v/>
      </c>
      <c r="C1651" s="311" t="str">
        <f t="shared" si="38"/>
        <v/>
      </c>
      <c r="D1651" s="919"/>
      <c r="E1651" s="919"/>
      <c r="F1651" s="919"/>
      <c r="G1651" s="1329"/>
      <c r="J1651" s="1443"/>
    </row>
    <row r="1652" spans="1:10" x14ac:dyDescent="0.3">
      <c r="A1652" s="727" t="str">
        <f t="shared" si="40"/>
        <v/>
      </c>
      <c r="B1652" s="311" t="str">
        <f>IF(LEN('Ch9'!H106)=0,"",'Ch9'!H106)</f>
        <v/>
      </c>
      <c r="C1652" s="311" t="str">
        <f t="shared" si="38"/>
        <v/>
      </c>
      <c r="D1652" s="919"/>
      <c r="E1652" s="919"/>
      <c r="F1652" s="919"/>
      <c r="G1652" s="1329"/>
      <c r="J1652" s="1443"/>
    </row>
    <row r="1653" spans="1:10" x14ac:dyDescent="0.3">
      <c r="A1653" s="727" t="str">
        <f t="shared" si="40"/>
        <v/>
      </c>
      <c r="B1653" s="311" t="str">
        <f>IF(LEN('Ch9'!H107)=0,"",'Ch9'!H107)</f>
        <v/>
      </c>
      <c r="C1653" s="311" t="str">
        <f t="shared" si="38"/>
        <v/>
      </c>
      <c r="D1653" s="919"/>
      <c r="E1653" s="919"/>
      <c r="F1653" s="919"/>
      <c r="G1653" s="1329"/>
      <c r="J1653" s="1443"/>
    </row>
    <row r="1654" spans="1:10" x14ac:dyDescent="0.3">
      <c r="A1654" s="727" t="str">
        <f t="shared" si="40"/>
        <v/>
      </c>
      <c r="B1654" s="311" t="str">
        <f>IF(LEN('Ch9'!H108)=0,"",'Ch9'!H108)</f>
        <v/>
      </c>
      <c r="C1654" s="311" t="str">
        <f t="shared" si="38"/>
        <v/>
      </c>
      <c r="D1654" s="919"/>
      <c r="E1654" s="919"/>
      <c r="F1654" s="925" t="s">
        <v>121</v>
      </c>
      <c r="G1654" s="682" t="s">
        <v>3402</v>
      </c>
      <c r="J1654" s="1443"/>
    </row>
    <row r="1655" spans="1:10" x14ac:dyDescent="0.3">
      <c r="A1655" s="727" t="str">
        <f t="shared" si="40"/>
        <v/>
      </c>
      <c r="B1655" s="311" t="str">
        <f>IF(LEN('Ch9'!H109)=0,"",'Ch9'!H109)</f>
        <v/>
      </c>
      <c r="C1655" s="311" t="str">
        <f t="shared" si="38"/>
        <v/>
      </c>
      <c r="D1655" s="919"/>
      <c r="E1655" s="919"/>
      <c r="F1655" s="925" t="s">
        <v>122</v>
      </c>
      <c r="G1655" s="682" t="s">
        <v>3403</v>
      </c>
      <c r="J1655" s="1443"/>
    </row>
    <row r="1656" spans="1:10" x14ac:dyDescent="0.3">
      <c r="A1656" s="727" t="str">
        <f t="shared" si="40"/>
        <v/>
      </c>
      <c r="B1656" s="311" t="str">
        <f>IF(LEN('Ch9'!H110)=0,"",'Ch9'!H110)</f>
        <v/>
      </c>
      <c r="C1656" s="311" t="str">
        <f t="shared" si="38"/>
        <v/>
      </c>
      <c r="D1656" s="919"/>
      <c r="E1656" s="919"/>
      <c r="F1656" s="925" t="s">
        <v>123</v>
      </c>
      <c r="G1656" s="682" t="s">
        <v>3404</v>
      </c>
      <c r="J1656" s="1443"/>
    </row>
    <row r="1657" spans="1:10" x14ac:dyDescent="0.3">
      <c r="A1657" s="727" t="str">
        <f t="shared" si="40"/>
        <v/>
      </c>
      <c r="B1657" s="311" t="str">
        <f>IF(LEN('Ch9'!H111)=0,"",'Ch9'!H111)</f>
        <v/>
      </c>
      <c r="C1657" s="311" t="str">
        <f t="shared" si="38"/>
        <v/>
      </c>
      <c r="D1657" s="919"/>
      <c r="E1657" s="919"/>
      <c r="F1657" s="925" t="s">
        <v>423</v>
      </c>
      <c r="G1657" s="682" t="s">
        <v>3405</v>
      </c>
      <c r="J1657" s="1443"/>
    </row>
    <row r="1658" spans="1:10" x14ac:dyDescent="0.3">
      <c r="A1658" s="727" t="str">
        <f t="shared" si="40"/>
        <v/>
      </c>
      <c r="B1658" s="311" t="str">
        <f>IF(LEN('Ch9'!H112)=0,"",'Ch9'!H112)</f>
        <v/>
      </c>
      <c r="C1658" s="311" t="str">
        <f t="shared" si="38"/>
        <v/>
      </c>
      <c r="D1658" s="919"/>
      <c r="E1658" s="919"/>
      <c r="F1658" s="925" t="s">
        <v>578</v>
      </c>
      <c r="G1658" s="682" t="s">
        <v>3406</v>
      </c>
      <c r="I1658" s="769"/>
      <c r="J1658" s="1443"/>
    </row>
    <row r="1659" spans="1:10" x14ac:dyDescent="0.3">
      <c r="A1659" s="727" t="str">
        <f t="shared" si="40"/>
        <v/>
      </c>
      <c r="B1659" s="311" t="str">
        <f>IF(LEN('Ch9'!H113)=0,"",'Ch9'!H113)</f>
        <v/>
      </c>
      <c r="C1659" s="311" t="str">
        <f t="shared" si="38"/>
        <v/>
      </c>
      <c r="D1659" s="919"/>
      <c r="E1659" s="232"/>
      <c r="F1659" s="946" t="s">
        <v>645</v>
      </c>
      <c r="G1659" s="676" t="s">
        <v>3407</v>
      </c>
      <c r="H1659" s="769"/>
      <c r="J1659" s="1443"/>
    </row>
    <row r="1660" spans="1:10" x14ac:dyDescent="0.3">
      <c r="B1660" s="311" t="str">
        <f>IF(LEN('Ch9'!H114)=0,"",'Ch9'!H114)</f>
        <v/>
      </c>
      <c r="C1660" s="311" t="str">
        <f t="shared" si="38"/>
        <v/>
      </c>
      <c r="D1660" s="204"/>
      <c r="E1660" s="946" t="s">
        <v>273</v>
      </c>
      <c r="F1660" s="232"/>
      <c r="G1660" s="676" t="s">
        <v>4107</v>
      </c>
      <c r="H1660" s="89">
        <f>'Ch9'!W114</f>
        <v>0</v>
      </c>
      <c r="J1660" s="1001"/>
    </row>
    <row r="1661" spans="1:10" x14ac:dyDescent="0.3">
      <c r="B1661" s="311" t="str">
        <f>IF(LEN('Ch9'!H115)=0,"",'Ch9'!H115)</f>
        <v/>
      </c>
      <c r="C1661" s="311" t="str">
        <f t="shared" si="38"/>
        <v/>
      </c>
      <c r="D1661" s="204"/>
      <c r="E1661" s="926" t="s">
        <v>275</v>
      </c>
      <c r="F1661" s="204"/>
      <c r="G1661" s="675" t="s">
        <v>3917</v>
      </c>
      <c r="H1661" s="89">
        <f>'Ch9'!W115</f>
        <v>0</v>
      </c>
      <c r="J1661" s="1001"/>
    </row>
    <row r="1662" spans="1:10" x14ac:dyDescent="0.3">
      <c r="B1662" s="311" t="str">
        <f>IF(LEN('Ch9'!H116)=0,"",'Ch9'!H116)</f>
        <v/>
      </c>
      <c r="C1662" s="311" t="str">
        <f t="shared" si="38"/>
        <v/>
      </c>
      <c r="D1662" s="204"/>
      <c r="E1662" s="204"/>
      <c r="F1662" s="204"/>
      <c r="G1662" s="1368" t="s">
        <v>3408</v>
      </c>
      <c r="J1662" s="989"/>
    </row>
    <row r="1663" spans="1:10" ht="15" thickBot="1" x14ac:dyDescent="0.35">
      <c r="B1663" s="311" t="str">
        <f>IF(LEN('Ch9'!H117)=0,"",'Ch9'!H117)</f>
        <v/>
      </c>
      <c r="C1663" s="311" t="str">
        <f t="shared" si="38"/>
        <v/>
      </c>
      <c r="D1663" s="934"/>
      <c r="E1663" s="934"/>
      <c r="F1663" s="934"/>
      <c r="G1663" s="1400"/>
      <c r="J1663" s="989"/>
    </row>
    <row r="1664" spans="1:10" ht="15.75" customHeight="1" thickTop="1" x14ac:dyDescent="0.3">
      <c r="A1664" s="727" t="str">
        <f>IF(AND(LEN('Ch9'!W118)&gt;0,NOT('Ch9'!W118=FALSE)),"P","")</f>
        <v/>
      </c>
      <c r="B1664" s="311" t="str">
        <f>IF(LEN('Ch9'!H118)=0,"",'Ch9'!H118)</f>
        <v/>
      </c>
      <c r="C1664" s="311" t="str">
        <f t="shared" si="38"/>
        <v/>
      </c>
      <c r="D1664" s="111">
        <v>901.8</v>
      </c>
      <c r="E1664" s="954"/>
      <c r="F1664" s="954"/>
      <c r="G1664" s="1331" t="s">
        <v>3409</v>
      </c>
      <c r="H1664" s="89">
        <f>'Ch9'!W118</f>
        <v>0</v>
      </c>
      <c r="I1664" s="89">
        <f>'Ch9'!O118</f>
        <v>0</v>
      </c>
      <c r="J1664" s="1443" t="s">
        <v>4357</v>
      </c>
    </row>
    <row r="1665" spans="1:10" x14ac:dyDescent="0.3">
      <c r="A1665" s="727" t="str">
        <f>A1664</f>
        <v/>
      </c>
      <c r="B1665" s="311" t="str">
        <f>IF(LEN('Ch9'!H119)=0,"",'Ch9'!H119)</f>
        <v/>
      </c>
      <c r="C1665" s="311" t="str">
        <f t="shared" si="38"/>
        <v/>
      </c>
      <c r="D1665" s="204"/>
      <c r="E1665" s="204"/>
      <c r="F1665" s="204"/>
      <c r="G1665" s="1313"/>
      <c r="J1665" s="1443"/>
    </row>
    <row r="1666" spans="1:10" x14ac:dyDescent="0.3">
      <c r="A1666" s="727" t="str">
        <f>A1665</f>
        <v/>
      </c>
      <c r="B1666" s="311" t="str">
        <f>IF(LEN('Ch9'!H120)=0,"",'Ch9'!H120)</f>
        <v/>
      </c>
      <c r="C1666" s="311" t="str">
        <f t="shared" si="38"/>
        <v/>
      </c>
      <c r="D1666" s="204"/>
      <c r="E1666" s="204"/>
      <c r="F1666" s="204"/>
      <c r="G1666" s="1313"/>
      <c r="J1666" s="1443"/>
    </row>
    <row r="1667" spans="1:10" x14ac:dyDescent="0.3">
      <c r="A1667" s="727" t="str">
        <f>A1666</f>
        <v/>
      </c>
      <c r="B1667" s="311" t="str">
        <f>IF(LEN('Ch9'!H121)=0,"",'Ch9'!H121)</f>
        <v/>
      </c>
      <c r="C1667" s="311" t="str">
        <f t="shared" si="38"/>
        <v/>
      </c>
      <c r="D1667" s="204"/>
      <c r="E1667" s="204"/>
      <c r="F1667" s="204"/>
      <c r="G1667" s="1313"/>
      <c r="J1667" s="1443"/>
    </row>
    <row r="1668" spans="1:10" x14ac:dyDescent="0.3">
      <c r="A1668" s="727" t="str">
        <f>A1667</f>
        <v/>
      </c>
      <c r="B1668" s="311" t="str">
        <f>IF(LEN('Ch9'!H122)=0,"",'Ch9'!H122)</f>
        <v/>
      </c>
      <c r="C1668" s="311" t="str">
        <f t="shared" si="38"/>
        <v/>
      </c>
      <c r="D1668" s="204"/>
      <c r="E1668" s="204"/>
      <c r="F1668" s="204"/>
      <c r="G1668" s="1313"/>
      <c r="J1668" s="1443"/>
    </row>
    <row r="1669" spans="1:10" ht="15" thickBot="1" x14ac:dyDescent="0.35">
      <c r="A1669" s="727" t="str">
        <f>A1668</f>
        <v/>
      </c>
      <c r="B1669" s="311" t="str">
        <f>IF(LEN('Ch9'!H123)=0,"",'Ch9'!H123)</f>
        <v/>
      </c>
      <c r="C1669" s="311" t="str">
        <f t="shared" si="38"/>
        <v/>
      </c>
      <c r="D1669" s="934"/>
      <c r="E1669" s="934"/>
      <c r="F1669" s="934"/>
      <c r="G1669" s="1332"/>
      <c r="J1669" s="1443"/>
    </row>
    <row r="1670" spans="1:10" ht="15" thickTop="1" x14ac:dyDescent="0.3">
      <c r="B1670" s="311" t="str">
        <f>IF(LEN('Ch9'!H124)=0,"",'Ch9'!H124)</f>
        <v/>
      </c>
      <c r="C1670" s="311" t="str">
        <f t="shared" si="38"/>
        <v/>
      </c>
      <c r="D1670" s="111">
        <v>901.9</v>
      </c>
      <c r="E1670" s="954"/>
      <c r="F1670" s="954"/>
      <c r="G1670" s="1331" t="s">
        <v>3410</v>
      </c>
      <c r="J1670" s="989"/>
    </row>
    <row r="1671" spans="1:10" x14ac:dyDescent="0.3">
      <c r="B1671" s="311" t="str">
        <f>IF(LEN('Ch9'!H125)=0,"",'Ch9'!H125)</f>
        <v/>
      </c>
      <c r="C1671" s="311" t="str">
        <f t="shared" si="38"/>
        <v/>
      </c>
      <c r="D1671" s="204"/>
      <c r="E1671" s="204"/>
      <c r="F1671" s="204"/>
      <c r="G1671" s="1313"/>
      <c r="J1671" s="989"/>
    </row>
    <row r="1672" spans="1:10" x14ac:dyDescent="0.3">
      <c r="B1672" s="311" t="str">
        <f>IF(LEN('Ch9'!H126)=0,"",'Ch9'!H126)</f>
        <v/>
      </c>
      <c r="C1672" s="311" t="str">
        <f t="shared" ref="C1672:C1735" si="41">IF(LEN(B1672)=0,IF(A1672="P","P",""),B1672)</f>
        <v/>
      </c>
      <c r="D1672" s="204"/>
      <c r="E1672" s="204"/>
      <c r="F1672" s="204"/>
      <c r="G1672" s="1313"/>
      <c r="J1672" s="989"/>
    </row>
    <row r="1673" spans="1:10" x14ac:dyDescent="0.3">
      <c r="A1673" s="727" t="str">
        <f>IF('Ch9'!O127&gt;0,"P","")</f>
        <v>P</v>
      </c>
      <c r="B1673" s="311" t="str">
        <f>IF(LEN('Ch9'!H127)=0,"",'Ch9'!H127)</f>
        <v/>
      </c>
      <c r="C1673" s="311" t="str">
        <f t="shared" si="41"/>
        <v>P</v>
      </c>
      <c r="D1673" s="152" t="s">
        <v>3411</v>
      </c>
      <c r="E1673" s="919"/>
      <c r="F1673" s="919"/>
      <c r="G1673" s="1292" t="s">
        <v>3412</v>
      </c>
      <c r="I1673" s="89">
        <f>'Ch9'!O127</f>
        <v>5</v>
      </c>
      <c r="J1673" s="1443" t="s">
        <v>4316</v>
      </c>
    </row>
    <row r="1674" spans="1:10" ht="25.5" customHeight="1" x14ac:dyDescent="0.3">
      <c r="A1674" s="727" t="str">
        <f>A1673</f>
        <v>P</v>
      </c>
      <c r="B1674" s="311" t="str">
        <f>IF(LEN('Ch9'!H128)=0,"",'Ch9'!H128)</f>
        <v/>
      </c>
      <c r="C1674" s="311" t="str">
        <f t="shared" si="41"/>
        <v>P</v>
      </c>
      <c r="D1674" s="919"/>
      <c r="E1674" s="919"/>
      <c r="F1674" s="919"/>
      <c r="G1674" s="1292"/>
      <c r="J1674" s="1443"/>
    </row>
    <row r="1675" spans="1:10" ht="15" customHeight="1" x14ac:dyDescent="0.3">
      <c r="B1675" s="311" t="str">
        <f>IF(LEN('Ch9'!H129)=0,"",'Ch9'!H129)</f>
        <v/>
      </c>
      <c r="C1675" s="311" t="str">
        <f t="shared" si="41"/>
        <v/>
      </c>
      <c r="D1675" s="919"/>
      <c r="E1675" s="926" t="s">
        <v>271</v>
      </c>
      <c r="F1675" s="204"/>
      <c r="G1675" s="1305" t="s">
        <v>3413</v>
      </c>
      <c r="H1675" s="89">
        <f>'Ch9'!W129</f>
        <v>0</v>
      </c>
      <c r="J1675" s="996"/>
    </row>
    <row r="1676" spans="1:10" x14ac:dyDescent="0.3">
      <c r="B1676" s="311" t="str">
        <f>IF(LEN('Ch9'!H130)=0,"",'Ch9'!H130)</f>
        <v/>
      </c>
      <c r="C1676" s="311" t="str">
        <f t="shared" si="41"/>
        <v/>
      </c>
      <c r="D1676" s="919"/>
      <c r="E1676" s="232"/>
      <c r="F1676" s="232"/>
      <c r="G1676" s="1306"/>
      <c r="J1676" s="996"/>
    </row>
    <row r="1677" spans="1:10" x14ac:dyDescent="0.3">
      <c r="B1677" s="311" t="str">
        <f>IF(LEN('Ch9'!H131)=0,"",'Ch9'!H131)</f>
        <v/>
      </c>
      <c r="C1677" s="311" t="str">
        <f t="shared" si="41"/>
        <v/>
      </c>
      <c r="D1677" s="919"/>
      <c r="E1677" s="946" t="s">
        <v>273</v>
      </c>
      <c r="F1677" s="232"/>
      <c r="G1677" s="676" t="s">
        <v>3414</v>
      </c>
      <c r="H1677" s="89">
        <f>'Ch9'!W131</f>
        <v>0</v>
      </c>
      <c r="J1677" s="1001"/>
    </row>
    <row r="1678" spans="1:10" x14ac:dyDescent="0.3">
      <c r="B1678" s="311" t="str">
        <f>IF(LEN('Ch9'!H132)=0,"",'Ch9'!H132)</f>
        <v/>
      </c>
      <c r="C1678" s="311" t="str">
        <f t="shared" si="41"/>
        <v/>
      </c>
      <c r="D1678" s="204"/>
      <c r="E1678" s="926" t="s">
        <v>275</v>
      </c>
      <c r="F1678" s="204"/>
      <c r="G1678" s="675" t="s">
        <v>3415</v>
      </c>
      <c r="H1678" s="89" t="b">
        <f>'Ch9'!W132</f>
        <v>1</v>
      </c>
      <c r="J1678" s="1001"/>
    </row>
    <row r="1679" spans="1:10" x14ac:dyDescent="0.3">
      <c r="B1679" s="311" t="str">
        <f>IF(LEN('Ch9'!H133)=0,"",'Ch9'!H133)</f>
        <v/>
      </c>
      <c r="C1679" s="311" t="str">
        <f t="shared" si="41"/>
        <v/>
      </c>
      <c r="D1679" s="945"/>
      <c r="E1679" s="945"/>
      <c r="F1679" s="945"/>
      <c r="G1679" s="623" t="s">
        <v>3931</v>
      </c>
      <c r="J1679" s="1001"/>
    </row>
    <row r="1680" spans="1:10" ht="15" customHeight="1" x14ac:dyDescent="0.3">
      <c r="A1680" s="727" t="str">
        <f>IF(AND(LEN('Ch9'!W134)&gt;0,NOT('Ch9'!W134=FALSE)),"P","")</f>
        <v/>
      </c>
      <c r="B1680" s="311" t="str">
        <f>IF(LEN('Ch9'!H134)=0,"",'Ch9'!H134)</f>
        <v/>
      </c>
      <c r="C1680" s="311" t="str">
        <f t="shared" si="41"/>
        <v/>
      </c>
      <c r="D1680" s="929" t="s">
        <v>3416</v>
      </c>
      <c r="E1680" s="959"/>
      <c r="F1680" s="959"/>
      <c r="G1680" s="1364" t="s">
        <v>3417</v>
      </c>
      <c r="H1680" s="89">
        <f>'Ch9'!W134</f>
        <v>0</v>
      </c>
      <c r="I1680" s="89">
        <f>'Ch9'!O134</f>
        <v>0</v>
      </c>
      <c r="J1680" s="1443" t="s">
        <v>4317</v>
      </c>
    </row>
    <row r="1681" spans="1:10" ht="24" customHeight="1" x14ac:dyDescent="0.3">
      <c r="A1681" s="727" t="str">
        <f>A1680</f>
        <v/>
      </c>
      <c r="B1681" s="311" t="str">
        <f>IF(LEN('Ch9'!H135)=0,"",'Ch9'!H135)</f>
        <v/>
      </c>
      <c r="C1681" s="311" t="str">
        <f t="shared" si="41"/>
        <v/>
      </c>
      <c r="D1681" s="204"/>
      <c r="E1681" s="204"/>
      <c r="F1681" s="204"/>
      <c r="G1681" s="1313"/>
      <c r="J1681" s="1443"/>
    </row>
    <row r="1682" spans="1:10" x14ac:dyDescent="0.3">
      <c r="B1682" s="311" t="str">
        <f>IF(LEN('Ch9'!H136)=0,"",'Ch9'!H136)</f>
        <v/>
      </c>
      <c r="C1682" s="311" t="str">
        <f t="shared" si="41"/>
        <v/>
      </c>
      <c r="D1682" s="204"/>
      <c r="E1682" s="204"/>
      <c r="F1682" s="204"/>
      <c r="G1682" s="1434" t="s">
        <v>3418</v>
      </c>
      <c r="J1682" s="989"/>
    </row>
    <row r="1683" spans="1:10" x14ac:dyDescent="0.3">
      <c r="B1683" s="311" t="str">
        <f>IF(LEN('Ch9'!H137)=0,"",'Ch9'!H137)</f>
        <v/>
      </c>
      <c r="C1683" s="311" t="str">
        <f t="shared" si="41"/>
        <v/>
      </c>
      <c r="D1683" s="204"/>
      <c r="E1683" s="204"/>
      <c r="F1683" s="204"/>
      <c r="G1683" s="1434"/>
      <c r="J1683" s="989"/>
    </row>
    <row r="1684" spans="1:10" x14ac:dyDescent="0.3">
      <c r="B1684" s="311" t="str">
        <f>IF(LEN('Ch9'!H138)=0,"",'Ch9'!H138)</f>
        <v/>
      </c>
      <c r="C1684" s="311" t="str">
        <f t="shared" si="41"/>
        <v/>
      </c>
      <c r="D1684" s="232"/>
      <c r="E1684" s="232"/>
      <c r="F1684" s="232"/>
      <c r="G1684" s="623" t="s">
        <v>4026</v>
      </c>
      <c r="J1684" s="989"/>
    </row>
    <row r="1685" spans="1:10" ht="15" customHeight="1" x14ac:dyDescent="0.3">
      <c r="A1685" s="727" t="str">
        <f>IF(AND(LEN('Ch9'!W139)&gt;0,NOT('Ch9'!W139=FALSE)),"P","")</f>
        <v/>
      </c>
      <c r="B1685" s="311" t="str">
        <f>IF(LEN('Ch9'!H139)=0,"",'Ch9'!H139)</f>
        <v/>
      </c>
      <c r="C1685" s="311" t="str">
        <f t="shared" si="41"/>
        <v/>
      </c>
      <c r="D1685" s="106" t="s">
        <v>3419</v>
      </c>
      <c r="E1685" s="204"/>
      <c r="F1685" s="204"/>
      <c r="G1685" s="1313" t="s">
        <v>3420</v>
      </c>
      <c r="H1685" s="89">
        <f>'Ch9'!W139</f>
        <v>0</v>
      </c>
      <c r="I1685" s="89">
        <f>'Ch9'!O139</f>
        <v>0</v>
      </c>
      <c r="J1685" s="1443" t="s">
        <v>4318</v>
      </c>
    </row>
    <row r="1686" spans="1:10" x14ac:dyDescent="0.3">
      <c r="A1686" s="727" t="str">
        <f>A1685</f>
        <v/>
      </c>
      <c r="B1686" s="311" t="str">
        <f>IF(LEN('Ch9'!H140)=0,"",'Ch9'!H140)</f>
        <v/>
      </c>
      <c r="C1686" s="311" t="str">
        <f t="shared" si="41"/>
        <v/>
      </c>
      <c r="D1686" s="204"/>
      <c r="E1686" s="204"/>
      <c r="F1686" s="204"/>
      <c r="G1686" s="1313"/>
      <c r="J1686" s="1443"/>
    </row>
    <row r="1687" spans="1:10" x14ac:dyDescent="0.3">
      <c r="A1687" s="727" t="str">
        <f>A1686</f>
        <v/>
      </c>
      <c r="B1687" s="311" t="str">
        <f>IF(LEN('Ch9'!H141)=0,"",'Ch9'!H141)</f>
        <v/>
      </c>
      <c r="C1687" s="311" t="str">
        <f t="shared" si="41"/>
        <v/>
      </c>
      <c r="D1687" s="204"/>
      <c r="E1687" s="204"/>
      <c r="F1687" s="204"/>
      <c r="G1687" s="1313"/>
      <c r="J1687" s="1443"/>
    </row>
    <row r="1688" spans="1:10" x14ac:dyDescent="0.3">
      <c r="A1688" s="727" t="str">
        <f>A1687</f>
        <v/>
      </c>
      <c r="B1688" s="311" t="str">
        <f>IF(LEN('Ch9'!H142)=0,"",'Ch9'!H142)</f>
        <v/>
      </c>
      <c r="C1688" s="311" t="str">
        <f t="shared" si="41"/>
        <v/>
      </c>
      <c r="D1688" s="204"/>
      <c r="E1688" s="204"/>
      <c r="F1688" s="204"/>
      <c r="G1688" s="1313"/>
      <c r="J1688" s="1443"/>
    </row>
    <row r="1689" spans="1:10" x14ac:dyDescent="0.3">
      <c r="A1689" s="727" t="str">
        <f>A1688</f>
        <v/>
      </c>
      <c r="B1689" s="311" t="str">
        <f>IF(LEN('Ch9'!H143)=0,"",'Ch9'!H143)</f>
        <v/>
      </c>
      <c r="C1689" s="311" t="str">
        <f t="shared" si="41"/>
        <v/>
      </c>
      <c r="D1689" s="204"/>
      <c r="E1689" s="204"/>
      <c r="F1689" s="204"/>
      <c r="G1689" s="1313"/>
      <c r="J1689" s="1443"/>
    </row>
    <row r="1690" spans="1:10" ht="15" thickBot="1" x14ac:dyDescent="0.35">
      <c r="A1690" s="727" t="str">
        <f>A1689</f>
        <v/>
      </c>
      <c r="B1690" s="311" t="str">
        <f>IF(LEN('Ch9'!H144)=0,"",'Ch9'!H144)</f>
        <v/>
      </c>
      <c r="C1690" s="311" t="str">
        <f t="shared" si="41"/>
        <v/>
      </c>
      <c r="D1690" s="934"/>
      <c r="E1690" s="934"/>
      <c r="F1690" s="934"/>
      <c r="G1690" s="1332"/>
      <c r="J1690" s="1443"/>
    </row>
    <row r="1691" spans="1:10" x14ac:dyDescent="0.3">
      <c r="A1691" s="727" t="str">
        <f>IF('Ch9'!O145&gt;0,"P","")</f>
        <v/>
      </c>
      <c r="B1691" s="311" t="str">
        <f>IF(LEN('Ch9'!H145)=0,"",'Ch9'!H145)</f>
        <v/>
      </c>
      <c r="C1691" s="311" t="str">
        <f t="shared" si="41"/>
        <v/>
      </c>
      <c r="D1691" s="935">
        <v>901.1</v>
      </c>
      <c r="E1691" s="919"/>
      <c r="F1691" s="919"/>
      <c r="G1691" s="1292" t="s">
        <v>3421</v>
      </c>
      <c r="I1691" s="89">
        <f>'Ch9'!O145</f>
        <v>0</v>
      </c>
      <c r="J1691" s="1443" t="s">
        <v>4319</v>
      </c>
    </row>
    <row r="1692" spans="1:10" x14ac:dyDescent="0.3">
      <c r="A1692" s="727" t="str">
        <f>A1691</f>
        <v/>
      </c>
      <c r="B1692" s="311" t="str">
        <f>IF(LEN('Ch9'!H146)=0,"",'Ch9'!H146)</f>
        <v/>
      </c>
      <c r="C1692" s="311" t="str">
        <f t="shared" si="41"/>
        <v/>
      </c>
      <c r="D1692" s="919"/>
      <c r="E1692" s="919"/>
      <c r="F1692" s="919"/>
      <c r="G1692" s="1292"/>
      <c r="J1692" s="1443"/>
    </row>
    <row r="1693" spans="1:10" x14ac:dyDescent="0.3">
      <c r="A1693" s="727" t="str">
        <f>A1692</f>
        <v/>
      </c>
      <c r="B1693" s="311" t="str">
        <f>IF(LEN('Ch9'!H147)=0,"",'Ch9'!H147)</f>
        <v/>
      </c>
      <c r="C1693" s="311" t="str">
        <f t="shared" si="41"/>
        <v/>
      </c>
      <c r="D1693" s="919"/>
      <c r="E1693" s="919"/>
      <c r="F1693" s="919"/>
      <c r="G1693" s="1292"/>
      <c r="J1693" s="1443"/>
    </row>
    <row r="1694" spans="1:10" ht="15" customHeight="1" x14ac:dyDescent="0.3">
      <c r="B1694" s="311" t="str">
        <f>IF(LEN('Ch9'!H148)=0,"",'Ch9'!H148)</f>
        <v/>
      </c>
      <c r="C1694" s="311" t="str">
        <f t="shared" si="41"/>
        <v/>
      </c>
      <c r="D1694" s="919"/>
      <c r="E1694" s="926" t="s">
        <v>271</v>
      </c>
      <c r="F1694" s="204"/>
      <c r="G1694" s="1305" t="s">
        <v>3422</v>
      </c>
      <c r="H1694" s="89">
        <f>'Ch9'!W148</f>
        <v>0</v>
      </c>
      <c r="J1694" s="996"/>
    </row>
    <row r="1695" spans="1:10" x14ac:dyDescent="0.3">
      <c r="B1695" s="311" t="str">
        <f>IF(LEN('Ch9'!H149)=0,"",'Ch9'!H149)</f>
        <v/>
      </c>
      <c r="C1695" s="311" t="str">
        <f t="shared" si="41"/>
        <v/>
      </c>
      <c r="D1695" s="919"/>
      <c r="E1695" s="204"/>
      <c r="F1695" s="204"/>
      <c r="G1695" s="1305"/>
      <c r="J1695" s="996"/>
    </row>
    <row r="1696" spans="1:10" x14ac:dyDescent="0.3">
      <c r="B1696" s="311" t="str">
        <f>IF(LEN('Ch9'!H150)=0,"",'Ch9'!H150)</f>
        <v/>
      </c>
      <c r="C1696" s="311" t="str">
        <f t="shared" si="41"/>
        <v/>
      </c>
      <c r="D1696" s="919"/>
      <c r="E1696" s="204"/>
      <c r="F1696" s="204"/>
      <c r="G1696" s="1305"/>
      <c r="J1696" s="996"/>
    </row>
    <row r="1697" spans="1:10" x14ac:dyDescent="0.3">
      <c r="B1697" s="311" t="str">
        <f>IF(LEN('Ch9'!H151)=0,"",'Ch9'!H151)</f>
        <v/>
      </c>
      <c r="C1697" s="311" t="str">
        <f t="shared" si="41"/>
        <v/>
      </c>
      <c r="D1697" s="919"/>
      <c r="E1697" s="204"/>
      <c r="F1697" s="204"/>
      <c r="G1697" s="1305"/>
      <c r="J1697" s="1001"/>
    </row>
    <row r="1698" spans="1:10" x14ac:dyDescent="0.3">
      <c r="B1698" s="311" t="str">
        <f>IF(LEN('Ch9'!H152)=0,"",'Ch9'!H152)</f>
        <v/>
      </c>
      <c r="C1698" s="311" t="str">
        <f t="shared" si="41"/>
        <v/>
      </c>
      <c r="D1698" s="919"/>
      <c r="E1698" s="232"/>
      <c r="F1698" s="232"/>
      <c r="G1698" s="1306"/>
      <c r="J1698" s="1001"/>
    </row>
    <row r="1699" spans="1:10" x14ac:dyDescent="0.3">
      <c r="B1699" s="311" t="str">
        <f>IF(LEN('Ch9'!H153)=0,"",'Ch9'!H153)</f>
        <v/>
      </c>
      <c r="C1699" s="311" t="str">
        <f t="shared" si="41"/>
        <v/>
      </c>
      <c r="D1699" s="919"/>
      <c r="E1699" s="946" t="s">
        <v>273</v>
      </c>
      <c r="F1699" s="232"/>
      <c r="G1699" s="676" t="s">
        <v>3423</v>
      </c>
      <c r="H1699" s="89">
        <f>'Ch9'!W153</f>
        <v>0</v>
      </c>
      <c r="J1699" s="1001"/>
    </row>
    <row r="1700" spans="1:10" x14ac:dyDescent="0.3">
      <c r="B1700" s="311" t="str">
        <f>IF(LEN('Ch9'!H154)=0,"",'Ch9'!H154)</f>
        <v/>
      </c>
      <c r="C1700" s="311" t="str">
        <f t="shared" si="41"/>
        <v/>
      </c>
      <c r="D1700" s="204"/>
      <c r="E1700" s="926" t="s">
        <v>275</v>
      </c>
      <c r="F1700" s="204"/>
      <c r="G1700" s="1305" t="s">
        <v>3424</v>
      </c>
      <c r="H1700" s="89">
        <f>'Ch9'!W154</f>
        <v>0</v>
      </c>
      <c r="J1700" s="1001"/>
    </row>
    <row r="1701" spans="1:10" x14ac:dyDescent="0.3">
      <c r="B1701" s="311" t="str">
        <f>IF(LEN('Ch9'!H155)=0,"",'Ch9'!H155)</f>
        <v/>
      </c>
      <c r="C1701" s="311" t="str">
        <f t="shared" si="41"/>
        <v/>
      </c>
      <c r="D1701" s="204"/>
      <c r="E1701" s="204"/>
      <c r="F1701" s="204"/>
      <c r="G1701" s="1305"/>
      <c r="J1701" s="1001"/>
    </row>
    <row r="1702" spans="1:10" x14ac:dyDescent="0.3">
      <c r="B1702" s="311" t="str">
        <f>IF(LEN('Ch9'!H156)=0,"",'Ch9'!H156)</f>
        <v/>
      </c>
      <c r="C1702" s="311" t="str">
        <f t="shared" si="41"/>
        <v/>
      </c>
      <c r="D1702" s="204"/>
      <c r="E1702" s="204"/>
      <c r="F1702" s="204"/>
      <c r="G1702" s="1305"/>
      <c r="J1702" s="1001"/>
    </row>
    <row r="1703" spans="1:10" ht="15" thickBot="1" x14ac:dyDescent="0.35">
      <c r="B1703" s="311" t="str">
        <f>IF(LEN('Ch9'!H157)=0,"",'Ch9'!H157)</f>
        <v/>
      </c>
      <c r="C1703" s="311" t="str">
        <f t="shared" si="41"/>
        <v/>
      </c>
      <c r="D1703" s="934"/>
      <c r="E1703" s="934"/>
      <c r="F1703" s="934"/>
      <c r="G1703" s="578" t="s">
        <v>4027</v>
      </c>
      <c r="J1703" s="1001"/>
    </row>
    <row r="1704" spans="1:10" ht="15.75" customHeight="1" thickTop="1" x14ac:dyDescent="0.3">
      <c r="A1704" s="727" t="str">
        <f>IF(AND(LEN('Ch9'!W158)&gt;0,NOT('Ch9'!W158=FALSE)),"P","")</f>
        <v/>
      </c>
      <c r="B1704" s="311" t="str">
        <f>IF(LEN('Ch9'!H158)=0,"",'Ch9'!H158)</f>
        <v/>
      </c>
      <c r="C1704" s="311" t="str">
        <f t="shared" si="41"/>
        <v/>
      </c>
      <c r="D1704" s="111">
        <v>901.11</v>
      </c>
      <c r="E1704" s="954"/>
      <c r="F1704" s="954"/>
      <c r="G1704" s="1331" t="s">
        <v>3425</v>
      </c>
      <c r="H1704" s="89">
        <f>'Ch9'!W158</f>
        <v>0</v>
      </c>
      <c r="I1704" s="89">
        <f>'Ch9'!O158</f>
        <v>0</v>
      </c>
      <c r="J1704" s="1443" t="s">
        <v>4320</v>
      </c>
    </row>
    <row r="1705" spans="1:10" x14ac:dyDescent="0.3">
      <c r="A1705" s="727" t="str">
        <f>A1704</f>
        <v/>
      </c>
      <c r="B1705" s="311" t="str">
        <f>IF(LEN('Ch9'!H159)=0,"",'Ch9'!H159)</f>
        <v/>
      </c>
      <c r="C1705" s="311" t="str">
        <f t="shared" si="41"/>
        <v/>
      </c>
      <c r="D1705" s="204"/>
      <c r="E1705" s="204"/>
      <c r="F1705" s="204"/>
      <c r="G1705" s="1313"/>
      <c r="J1705" s="1443"/>
    </row>
    <row r="1706" spans="1:10" x14ac:dyDescent="0.3">
      <c r="A1706" s="727" t="str">
        <f>A1705</f>
        <v/>
      </c>
      <c r="B1706" s="311" t="str">
        <f>IF(LEN('Ch9'!H160)=0,"",'Ch9'!H160)</f>
        <v/>
      </c>
      <c r="C1706" s="311" t="str">
        <f t="shared" si="41"/>
        <v/>
      </c>
      <c r="D1706" s="204"/>
      <c r="E1706" s="204"/>
      <c r="F1706" s="204"/>
      <c r="G1706" s="1313"/>
      <c r="J1706" s="1443"/>
    </row>
    <row r="1707" spans="1:10" x14ac:dyDescent="0.3">
      <c r="A1707" s="727" t="str">
        <f>A1706</f>
        <v/>
      </c>
      <c r="B1707" s="311" t="str">
        <f>IF(LEN('Ch9'!H161)=0,"",'Ch9'!H161)</f>
        <v/>
      </c>
      <c r="C1707" s="311" t="str">
        <f t="shared" si="41"/>
        <v/>
      </c>
      <c r="D1707" s="204"/>
      <c r="E1707" s="204"/>
      <c r="F1707" s="204"/>
      <c r="G1707" s="1313"/>
      <c r="J1707" s="1443"/>
    </row>
    <row r="1708" spans="1:10" ht="15" thickBot="1" x14ac:dyDescent="0.35">
      <c r="A1708" s="727" t="str">
        <f>A1707</f>
        <v/>
      </c>
      <c r="B1708" s="311" t="str">
        <f>IF(LEN('Ch9'!H162)=0,"",'Ch9'!H162)</f>
        <v/>
      </c>
      <c r="C1708" s="311" t="str">
        <f t="shared" si="41"/>
        <v/>
      </c>
      <c r="D1708" s="934"/>
      <c r="E1708" s="934"/>
      <c r="F1708" s="934"/>
      <c r="G1708" s="1332"/>
      <c r="J1708" s="1443"/>
    </row>
    <row r="1709" spans="1:10" ht="15.75" customHeight="1" thickTop="1" x14ac:dyDescent="0.3">
      <c r="A1709" s="727" t="str">
        <f>IF(AND(LEN('Ch9'!W163)&gt;0,NOT('Ch9'!W163=FALSE)),"P","")</f>
        <v>P</v>
      </c>
      <c r="B1709" s="311" t="str">
        <f>IF(LEN('Ch9'!H163)=0,"",'Ch9'!H163)</f>
        <v/>
      </c>
      <c r="C1709" s="311" t="str">
        <f t="shared" si="41"/>
        <v>P</v>
      </c>
      <c r="D1709" s="111">
        <v>901.12</v>
      </c>
      <c r="E1709" s="954"/>
      <c r="F1709" s="954"/>
      <c r="G1709" s="1331" t="s">
        <v>3426</v>
      </c>
      <c r="H1709" s="89" t="str">
        <f>'Ch9'!W163</f>
        <v>Met</v>
      </c>
      <c r="J1709" s="1443" t="s">
        <v>4321</v>
      </c>
    </row>
    <row r="1710" spans="1:10" ht="15" thickBot="1" x14ac:dyDescent="0.35">
      <c r="A1710" s="727" t="str">
        <f>A1709</f>
        <v>P</v>
      </c>
      <c r="B1710" s="311" t="str">
        <f>IF(LEN('Ch9'!H164)=0,"",'Ch9'!H164)</f>
        <v/>
      </c>
      <c r="C1710" s="311" t="str">
        <f t="shared" si="41"/>
        <v>P</v>
      </c>
      <c r="D1710" s="934"/>
      <c r="E1710" s="934"/>
      <c r="F1710" s="934"/>
      <c r="G1710" s="1332"/>
      <c r="J1710" s="1443"/>
    </row>
    <row r="1711" spans="1:10" ht="15" thickTop="1" x14ac:dyDescent="0.3">
      <c r="A1711" s="727" t="str">
        <f ca="1">IF('Ch9'!O165&gt;0,"P","")</f>
        <v/>
      </c>
      <c r="B1711" s="311" t="str">
        <f>IF(LEN('Ch9'!H165)=0,"",'Ch9'!H165)</f>
        <v/>
      </c>
      <c r="C1711" s="311" t="str">
        <f t="shared" ca="1" si="41"/>
        <v/>
      </c>
      <c r="D1711" s="111">
        <v>901.13</v>
      </c>
      <c r="E1711" s="954"/>
      <c r="F1711" s="954"/>
      <c r="G1711" s="1331" t="s">
        <v>3427</v>
      </c>
      <c r="I1711" s="89">
        <f ca="1">'Ch9'!O165</f>
        <v>0</v>
      </c>
      <c r="J1711" s="1443" t="s">
        <v>4226</v>
      </c>
    </row>
    <row r="1712" spans="1:10" x14ac:dyDescent="0.3">
      <c r="A1712" s="727" t="str">
        <f ca="1">A1711</f>
        <v/>
      </c>
      <c r="B1712" s="311" t="str">
        <f>IF(LEN('Ch9'!H166)=0,"",'Ch9'!H166)</f>
        <v/>
      </c>
      <c r="C1712" s="311" t="str">
        <f t="shared" ca="1" si="41"/>
        <v/>
      </c>
      <c r="D1712" s="204"/>
      <c r="E1712" s="204"/>
      <c r="F1712" s="204"/>
      <c r="G1712" s="1313"/>
      <c r="J1712" s="1443"/>
    </row>
    <row r="1713" spans="1:10" ht="15" customHeight="1" x14ac:dyDescent="0.3">
      <c r="B1713" s="311" t="str">
        <f>IF(LEN('Ch9'!H167)=0,"",'Ch9'!H167)</f>
        <v/>
      </c>
      <c r="C1713" s="311" t="str">
        <f t="shared" si="41"/>
        <v/>
      </c>
      <c r="D1713" s="204"/>
      <c r="E1713" s="946" t="s">
        <v>271</v>
      </c>
      <c r="F1713" s="232"/>
      <c r="G1713" s="676" t="s">
        <v>3428</v>
      </c>
      <c r="H1713" s="89">
        <f>'Ch9'!W167</f>
        <v>0</v>
      </c>
      <c r="J1713" s="996"/>
    </row>
    <row r="1714" spans="1:10" ht="15" customHeight="1" thickBot="1" x14ac:dyDescent="0.35">
      <c r="B1714" s="311" t="str">
        <f>IF(LEN('Ch9'!H168)=0,"",'Ch9'!H168)</f>
        <v/>
      </c>
      <c r="C1714" s="311" t="str">
        <f t="shared" si="41"/>
        <v/>
      </c>
      <c r="D1714" s="934"/>
      <c r="E1714" s="931" t="s">
        <v>273</v>
      </c>
      <c r="F1714" s="934"/>
      <c r="G1714" s="678" t="s">
        <v>3429</v>
      </c>
      <c r="H1714" s="89">
        <f>'Ch9'!W168</f>
        <v>0</v>
      </c>
      <c r="J1714" s="996"/>
    </row>
    <row r="1715" spans="1:10" ht="15" thickTop="1" x14ac:dyDescent="0.3">
      <c r="A1715" s="727" t="str">
        <f ca="1">IF(SUM(I1717:I1719)&gt;0,"P","")</f>
        <v/>
      </c>
      <c r="B1715" s="311" t="str">
        <f>IF(LEN('Ch9'!H169)=0,"",'Ch9'!H169)</f>
        <v/>
      </c>
      <c r="C1715" s="311" t="str">
        <f t="shared" ca="1" si="41"/>
        <v/>
      </c>
      <c r="D1715" s="111">
        <v>901.14</v>
      </c>
      <c r="E1715" s="954"/>
      <c r="F1715" s="954"/>
      <c r="G1715" s="1331" t="s">
        <v>3430</v>
      </c>
      <c r="J1715" s="1443" t="s">
        <v>4226</v>
      </c>
    </row>
    <row r="1716" spans="1:10" x14ac:dyDescent="0.3">
      <c r="A1716" s="727" t="str">
        <f ca="1">A1715</f>
        <v/>
      </c>
      <c r="B1716" s="311" t="str">
        <f>IF(LEN('Ch9'!H170)=0,"",'Ch9'!H170)</f>
        <v/>
      </c>
      <c r="C1716" s="311" t="str">
        <f t="shared" ca="1" si="41"/>
        <v/>
      </c>
      <c r="D1716" s="204"/>
      <c r="E1716" s="204"/>
      <c r="F1716" s="204"/>
      <c r="G1716" s="1313"/>
      <c r="J1716" s="1443"/>
    </row>
    <row r="1717" spans="1:10" x14ac:dyDescent="0.3">
      <c r="B1717" s="311" t="str">
        <f>IF(LEN('Ch9'!H171)=0,"",'Ch9'!H171)</f>
        <v/>
      </c>
      <c r="C1717" s="311" t="str">
        <f t="shared" si="41"/>
        <v/>
      </c>
      <c r="D1717" s="919"/>
      <c r="E1717" s="926" t="s">
        <v>271</v>
      </c>
      <c r="F1717" s="204"/>
      <c r="G1717" s="1305" t="s">
        <v>3431</v>
      </c>
      <c r="H1717" s="89">
        <f>'Ch9'!W171</f>
        <v>0</v>
      </c>
      <c r="I1717" s="89">
        <f ca="1">'Ch9'!O171</f>
        <v>0</v>
      </c>
      <c r="J1717" s="996"/>
    </row>
    <row r="1718" spans="1:10" x14ac:dyDescent="0.3">
      <c r="B1718" s="311" t="str">
        <f>IF(LEN('Ch9'!H172)=0,"",'Ch9'!H172)</f>
        <v/>
      </c>
      <c r="C1718" s="311" t="str">
        <f t="shared" si="41"/>
        <v/>
      </c>
      <c r="D1718" s="919"/>
      <c r="E1718" s="232"/>
      <c r="F1718" s="232"/>
      <c r="G1718" s="1306"/>
      <c r="J1718" s="1001"/>
    </row>
    <row r="1719" spans="1:10" x14ac:dyDescent="0.3">
      <c r="B1719" s="311" t="str">
        <f>IF(LEN('Ch9'!H173)=0,"",'Ch9'!H173)</f>
        <v/>
      </c>
      <c r="C1719" s="311" t="str">
        <f t="shared" si="41"/>
        <v/>
      </c>
      <c r="D1719" s="919"/>
      <c r="E1719" s="925" t="s">
        <v>273</v>
      </c>
      <c r="F1719" s="919"/>
      <c r="G1719" s="1329" t="s">
        <v>3432</v>
      </c>
      <c r="H1719" s="89">
        <f>'Ch9'!W173</f>
        <v>0</v>
      </c>
      <c r="I1719" s="89">
        <f ca="1">'Ch9'!O173</f>
        <v>0</v>
      </c>
      <c r="J1719" s="1001"/>
    </row>
    <row r="1720" spans="1:10" x14ac:dyDescent="0.3">
      <c r="B1720" s="311" t="str">
        <f>IF(LEN('Ch9'!H174)=0,"",'Ch9'!H174)</f>
        <v/>
      </c>
      <c r="C1720" s="311" t="str">
        <f t="shared" si="41"/>
        <v/>
      </c>
      <c r="D1720" s="919"/>
      <c r="E1720" s="919"/>
      <c r="F1720" s="919"/>
      <c r="G1720" s="1329"/>
      <c r="J1720" s="1001"/>
    </row>
    <row r="1721" spans="1:10" ht="18" x14ac:dyDescent="0.3">
      <c r="A1721" s="727" t="s">
        <v>4389</v>
      </c>
      <c r="B1721" s="311" t="str">
        <f>IF(LEN('Ch9'!H175)=0,"",'Ch9'!H175)</f>
        <v/>
      </c>
      <c r="C1721" s="311" t="str">
        <f t="shared" si="41"/>
        <v>P</v>
      </c>
      <c r="D1721" s="72" t="s">
        <v>3433</v>
      </c>
      <c r="E1721" s="72"/>
      <c r="F1721" s="72"/>
      <c r="G1721" s="87"/>
      <c r="J1721" s="1000"/>
    </row>
    <row r="1722" spans="1:10" ht="15" thickBot="1" x14ac:dyDescent="0.35">
      <c r="B1722" s="311" t="str">
        <f>IF(LEN('Ch9'!H176)=0,"",'Ch9'!H176)</f>
        <v/>
      </c>
      <c r="C1722" s="311" t="str">
        <f t="shared" si="41"/>
        <v/>
      </c>
      <c r="D1722" s="936">
        <v>902</v>
      </c>
      <c r="E1722" s="934"/>
      <c r="F1722" s="934"/>
      <c r="G1722" s="698" t="s">
        <v>3434</v>
      </c>
      <c r="J1722" s="989"/>
    </row>
    <row r="1723" spans="1:10" x14ac:dyDescent="0.3">
      <c r="A1723" s="1196" t="str">
        <f>IF(COUNTIF(A1724:A1747,"P")&gt;0,"P","")</f>
        <v>P</v>
      </c>
      <c r="B1723" s="311" t="str">
        <f>IF(LEN('Ch9'!H177)=0,"",'Ch9'!H177)</f>
        <v/>
      </c>
      <c r="C1723" s="311" t="str">
        <f t="shared" si="41"/>
        <v>P</v>
      </c>
      <c r="D1723" s="152">
        <v>902.1</v>
      </c>
      <c r="E1723" s="919"/>
      <c r="F1723" s="919"/>
      <c r="G1723" s="687" t="s">
        <v>3435</v>
      </c>
      <c r="J1723" s="989"/>
    </row>
    <row r="1724" spans="1:10" x14ac:dyDescent="0.3">
      <c r="A1724" s="1196" t="str">
        <f>IF(COUNTIF(A1725:A1731,"P")&gt;0,"P","")</f>
        <v>P</v>
      </c>
      <c r="B1724" s="311" t="str">
        <f>IF(LEN('Ch9'!H178)=0,"",'Ch9'!H178)</f>
        <v/>
      </c>
      <c r="C1724" s="311" t="str">
        <f t="shared" si="41"/>
        <v>P</v>
      </c>
      <c r="D1724" s="152" t="s">
        <v>4076</v>
      </c>
      <c r="E1724" s="919"/>
      <c r="F1724" s="919"/>
      <c r="G1724" s="687" t="s">
        <v>4077</v>
      </c>
      <c r="J1724" s="989"/>
    </row>
    <row r="1725" spans="1:10" x14ac:dyDescent="0.3">
      <c r="A1725" s="727" t="str">
        <f>IF(AND(LEN('Ch9'!W179)&gt;0,NOT('Ch9'!W179=FALSE)),"P","")</f>
        <v>P</v>
      </c>
      <c r="B1725" s="311" t="str">
        <f>IF(LEN('Ch9'!H179)=0,"",'Ch9'!H179)</f>
        <v/>
      </c>
      <c r="C1725" s="311" t="str">
        <f t="shared" si="41"/>
        <v>P</v>
      </c>
      <c r="D1725" s="919"/>
      <c r="E1725" s="925" t="s">
        <v>271</v>
      </c>
      <c r="F1725" s="919"/>
      <c r="G1725" s="1329" t="s">
        <v>3436</v>
      </c>
      <c r="H1725" s="89" t="b">
        <f>'Ch9'!W179</f>
        <v>1</v>
      </c>
      <c r="J1725" s="1443" t="s">
        <v>4322</v>
      </c>
    </row>
    <row r="1726" spans="1:10" x14ac:dyDescent="0.3">
      <c r="A1726" s="727" t="str">
        <f>A1725</f>
        <v>P</v>
      </c>
      <c r="B1726" s="311" t="str">
        <f>IF(LEN('Ch9'!H180)=0,"",'Ch9'!H180)</f>
        <v/>
      </c>
      <c r="C1726" s="311" t="str">
        <f t="shared" si="41"/>
        <v>P</v>
      </c>
      <c r="D1726" s="919"/>
      <c r="E1726" s="919"/>
      <c r="F1726" s="919"/>
      <c r="G1726" s="1329"/>
      <c r="J1726" s="1443"/>
    </row>
    <row r="1727" spans="1:10" x14ac:dyDescent="0.3">
      <c r="A1727" s="727" t="str">
        <f>IF(AND(LEN('Ch9'!W181)&gt;0,NOT('Ch9'!W181=FALSE)),"P","")</f>
        <v/>
      </c>
      <c r="B1727" s="311" t="str">
        <f>IF(LEN('Ch9'!H181)=0,"",'Ch9'!H181)</f>
        <v/>
      </c>
      <c r="C1727" s="311" t="str">
        <f t="shared" si="41"/>
        <v/>
      </c>
      <c r="D1727" s="919"/>
      <c r="E1727" s="926"/>
      <c r="F1727" s="926" t="s">
        <v>121</v>
      </c>
      <c r="G1727" s="1305" t="s">
        <v>3918</v>
      </c>
      <c r="H1727" s="89">
        <f>'Ch9'!W181</f>
        <v>0</v>
      </c>
      <c r="I1727" s="89">
        <f>'Ch9'!O181</f>
        <v>0</v>
      </c>
      <c r="J1727" s="1443"/>
    </row>
    <row r="1728" spans="1:10" x14ac:dyDescent="0.3">
      <c r="A1728" s="727" t="str">
        <f>A1727</f>
        <v/>
      </c>
      <c r="B1728" s="311" t="str">
        <f>IF(LEN('Ch9'!H182)=0,"",'Ch9'!H182)</f>
        <v/>
      </c>
      <c r="C1728" s="311" t="str">
        <f t="shared" si="41"/>
        <v/>
      </c>
      <c r="D1728" s="919"/>
      <c r="E1728" s="946"/>
      <c r="F1728" s="232"/>
      <c r="G1728" s="1306"/>
      <c r="J1728" s="1443"/>
    </row>
    <row r="1729" spans="1:10" x14ac:dyDescent="0.3">
      <c r="A1729" s="727" t="str">
        <f>IF(AND(LEN('Ch9'!W183)&gt;0,NOT('Ch9'!W183=FALSE)),"P","")</f>
        <v>P</v>
      </c>
      <c r="B1729" s="311" t="str">
        <f>IF(LEN('Ch9'!H183)=0,"",'Ch9'!H183)</f>
        <v/>
      </c>
      <c r="C1729" s="311" t="str">
        <f t="shared" si="41"/>
        <v>P</v>
      </c>
      <c r="D1729" s="919"/>
      <c r="E1729" s="926" t="s">
        <v>273</v>
      </c>
      <c r="F1729" s="204"/>
      <c r="G1729" s="1305" t="s">
        <v>3437</v>
      </c>
      <c r="H1729" s="89" t="str">
        <f>'Ch9'!W183</f>
        <v>Met</v>
      </c>
      <c r="J1729" s="1439" t="s">
        <v>4226</v>
      </c>
    </row>
    <row r="1730" spans="1:10" x14ac:dyDescent="0.3">
      <c r="A1730" s="727" t="str">
        <f>A1729</f>
        <v>P</v>
      </c>
      <c r="B1730" s="311" t="str">
        <f>IF(LEN('Ch9'!H184)=0,"",'Ch9'!H184)</f>
        <v/>
      </c>
      <c r="C1730" s="311" t="str">
        <f t="shared" si="41"/>
        <v>P</v>
      </c>
      <c r="D1730" s="919"/>
      <c r="E1730" s="946"/>
      <c r="F1730" s="232"/>
      <c r="G1730" s="1306"/>
      <c r="J1730" s="1439"/>
    </row>
    <row r="1731" spans="1:10" x14ac:dyDescent="0.3">
      <c r="A1731" s="727" t="str">
        <f>IF(AND(LEN('Ch9'!W185)&gt;0,NOT('Ch9'!W185=FALSE)),"P","")</f>
        <v>P</v>
      </c>
      <c r="B1731" s="311" t="str">
        <f>IF(LEN('Ch9'!H185)=0,"",'Ch9'!H185)</f>
        <v/>
      </c>
      <c r="C1731" s="311" t="str">
        <f t="shared" si="41"/>
        <v>P</v>
      </c>
      <c r="D1731" s="204"/>
      <c r="E1731" s="926" t="s">
        <v>275</v>
      </c>
      <c r="F1731" s="204"/>
      <c r="G1731" s="1305" t="s">
        <v>3438</v>
      </c>
      <c r="H1731" s="89" t="b">
        <f>'Ch9'!W185</f>
        <v>1</v>
      </c>
      <c r="I1731" s="89">
        <f>'Ch9'!O185</f>
        <v>8</v>
      </c>
      <c r="J1731" s="1439" t="s">
        <v>4323</v>
      </c>
    </row>
    <row r="1732" spans="1:10" x14ac:dyDescent="0.3">
      <c r="A1732" s="727" t="str">
        <f>A1731</f>
        <v>P</v>
      </c>
      <c r="B1732" s="311" t="str">
        <f>IF(LEN('Ch9'!H186)=0,"",'Ch9'!H186)</f>
        <v/>
      </c>
      <c r="C1732" s="311" t="str">
        <f t="shared" si="41"/>
        <v>P</v>
      </c>
      <c r="D1732" s="204"/>
      <c r="E1732" s="926"/>
      <c r="F1732" s="204"/>
      <c r="G1732" s="1305"/>
      <c r="J1732" s="1439"/>
    </row>
    <row r="1733" spans="1:10" x14ac:dyDescent="0.3">
      <c r="A1733" s="727" t="str">
        <f>A1732</f>
        <v>P</v>
      </c>
      <c r="B1733" s="311" t="str">
        <f>IF(LEN('Ch9'!H187)=0,"",'Ch9'!H187)</f>
        <v/>
      </c>
      <c r="C1733" s="311" t="str">
        <f t="shared" si="41"/>
        <v>P</v>
      </c>
      <c r="D1733" s="232"/>
      <c r="E1733" s="232"/>
      <c r="F1733" s="232"/>
      <c r="G1733" s="1306"/>
      <c r="J1733" s="1439"/>
    </row>
    <row r="1734" spans="1:10" x14ac:dyDescent="0.3">
      <c r="A1734" s="727" t="str">
        <f>IF('Ch9'!O188&gt;0,"P","")</f>
        <v/>
      </c>
      <c r="B1734" s="311" t="str">
        <f>IF(LEN('Ch9'!H188)=0,"",'Ch9'!H188)</f>
        <v/>
      </c>
      <c r="C1734" s="311" t="str">
        <f t="shared" si="41"/>
        <v/>
      </c>
      <c r="D1734" s="929" t="s">
        <v>3439</v>
      </c>
      <c r="E1734" s="959"/>
      <c r="F1734" s="959"/>
      <c r="G1734" s="1364" t="s">
        <v>3440</v>
      </c>
      <c r="I1734" s="89">
        <f>'Ch9'!O188</f>
        <v>0</v>
      </c>
      <c r="J1734" s="1443" t="s">
        <v>4226</v>
      </c>
    </row>
    <row r="1735" spans="1:10" x14ac:dyDescent="0.3">
      <c r="A1735" s="727" t="str">
        <f>A1734</f>
        <v/>
      </c>
      <c r="B1735" s="311" t="str">
        <f>IF(LEN('Ch9'!H189)=0,"",'Ch9'!H189)</f>
        <v/>
      </c>
      <c r="C1735" s="311" t="str">
        <f t="shared" si="41"/>
        <v/>
      </c>
      <c r="D1735" s="204"/>
      <c r="E1735" s="204"/>
      <c r="F1735" s="204"/>
      <c r="G1735" s="1313"/>
      <c r="H1735" s="89">
        <f>'Ch9'!W189</f>
        <v>0</v>
      </c>
      <c r="J1735" s="1443"/>
    </row>
    <row r="1736" spans="1:10" x14ac:dyDescent="0.3">
      <c r="B1736" s="311" t="str">
        <f>IF(LEN('Ch9'!H190)=0,"",'Ch9'!H190)</f>
        <v/>
      </c>
      <c r="C1736" s="311" t="str">
        <f t="shared" ref="C1736:C1799" si="42">IF(LEN(B1736)=0,IF(A1736="P","P",""),B1736)</f>
        <v/>
      </c>
      <c r="D1736" s="204"/>
      <c r="E1736" s="946" t="s">
        <v>271</v>
      </c>
      <c r="F1736" s="232"/>
      <c r="G1736" s="676" t="s">
        <v>3442</v>
      </c>
      <c r="J1736" s="1001"/>
    </row>
    <row r="1737" spans="1:10" x14ac:dyDescent="0.3">
      <c r="B1737" s="311" t="str">
        <f>IF(LEN('Ch9'!H191)=0,"",'Ch9'!H191)</f>
        <v/>
      </c>
      <c r="C1737" s="311" t="str">
        <f t="shared" si="42"/>
        <v/>
      </c>
      <c r="D1737" s="232"/>
      <c r="E1737" s="946" t="s">
        <v>273</v>
      </c>
      <c r="F1737" s="232"/>
      <c r="G1737" s="676" t="s">
        <v>3443</v>
      </c>
      <c r="H1737" s="89">
        <f>'Ch9'!W191</f>
        <v>0</v>
      </c>
      <c r="J1737" s="1001"/>
    </row>
    <row r="1738" spans="1:10" x14ac:dyDescent="0.3">
      <c r="A1738" s="727" t="str">
        <f>IF(AND(LEN('Ch9'!W192)&gt;0,NOT('Ch9'!W192=FALSE)),"P","")</f>
        <v>P</v>
      </c>
      <c r="B1738" s="311" t="str">
        <f>IF(LEN('Ch9'!H192)=0,"",'Ch9'!H192)</f>
        <v/>
      </c>
      <c r="C1738" s="311" t="str">
        <f t="shared" si="42"/>
        <v>P</v>
      </c>
      <c r="D1738" s="929" t="s">
        <v>3444</v>
      </c>
      <c r="E1738" s="959"/>
      <c r="F1738" s="959"/>
      <c r="G1738" s="1364" t="s">
        <v>3445</v>
      </c>
      <c r="H1738" s="89" t="b">
        <f>'Ch9'!W192</f>
        <v>1</v>
      </c>
      <c r="I1738" s="89">
        <f>'Ch9'!O192</f>
        <v>8</v>
      </c>
      <c r="J1738" s="1439" t="s">
        <v>4358</v>
      </c>
    </row>
    <row r="1739" spans="1:10" x14ac:dyDescent="0.3">
      <c r="A1739" s="727" t="str">
        <f>A1738</f>
        <v>P</v>
      </c>
      <c r="B1739" s="311" t="str">
        <f>IF(LEN('Ch9'!H193)=0,"",'Ch9'!H193)</f>
        <v/>
      </c>
      <c r="C1739" s="311" t="str">
        <f t="shared" si="42"/>
        <v>P</v>
      </c>
      <c r="D1739" s="204"/>
      <c r="E1739" s="204"/>
      <c r="F1739" s="204"/>
      <c r="G1739" s="1313"/>
      <c r="J1739" s="1439"/>
    </row>
    <row r="1740" spans="1:10" x14ac:dyDescent="0.3">
      <c r="B1740" s="311" t="str">
        <f>IF(LEN('Ch9'!H194)=0,"",'Ch9'!H194)</f>
        <v/>
      </c>
      <c r="C1740" s="311" t="str">
        <f t="shared" si="42"/>
        <v/>
      </c>
      <c r="D1740" s="204"/>
      <c r="E1740" s="204"/>
      <c r="F1740" s="926" t="s">
        <v>121</v>
      </c>
      <c r="G1740" s="675" t="s">
        <v>3446</v>
      </c>
      <c r="J1740" s="996"/>
    </row>
    <row r="1741" spans="1:10" ht="15" customHeight="1" x14ac:dyDescent="0.3">
      <c r="B1741" s="311" t="str">
        <f>IF(LEN('Ch9'!H195)=0,"",'Ch9'!H195)</f>
        <v/>
      </c>
      <c r="C1741" s="311" t="str">
        <f t="shared" si="42"/>
        <v/>
      </c>
      <c r="D1741" s="232"/>
      <c r="E1741" s="232"/>
      <c r="F1741" s="946" t="s">
        <v>122</v>
      </c>
      <c r="G1741" s="676" t="s">
        <v>3447</v>
      </c>
      <c r="J1741" s="996"/>
    </row>
    <row r="1742" spans="1:10" ht="27.6" x14ac:dyDescent="0.3">
      <c r="A1742" s="727" t="str">
        <f>IF('Ch9'!O196&gt;0,"P","")</f>
        <v>P</v>
      </c>
      <c r="B1742" s="311" t="str">
        <f>IF(LEN('Ch9'!H196)=0,"",'Ch9'!H196)</f>
        <v/>
      </c>
      <c r="C1742" s="311" t="str">
        <f t="shared" si="42"/>
        <v>P</v>
      </c>
      <c r="D1742" s="929" t="s">
        <v>3448</v>
      </c>
      <c r="E1742" s="959"/>
      <c r="F1742" s="959"/>
      <c r="G1742" s="691" t="s">
        <v>3449</v>
      </c>
      <c r="I1742" s="89">
        <f>'Ch9'!O196</f>
        <v>6</v>
      </c>
      <c r="J1742" s="1001" t="s">
        <v>4422</v>
      </c>
    </row>
    <row r="1743" spans="1:10" x14ac:dyDescent="0.3">
      <c r="B1743" s="311" t="str">
        <f>IF(LEN('Ch9'!H197)=0,"",'Ch9'!H197)</f>
        <v/>
      </c>
      <c r="C1743" s="311" t="str">
        <f t="shared" si="42"/>
        <v/>
      </c>
      <c r="D1743" s="204"/>
      <c r="E1743" s="926" t="s">
        <v>271</v>
      </c>
      <c r="F1743" s="204"/>
      <c r="G1743" s="675" t="s">
        <v>3921</v>
      </c>
      <c r="J1743" s="1001"/>
    </row>
    <row r="1744" spans="1:10" ht="15" customHeight="1" x14ac:dyDescent="0.3">
      <c r="B1744" s="311" t="str">
        <f>IF(LEN('Ch9'!H198)=0,"",'Ch9'!H198)</f>
        <v/>
      </c>
      <c r="C1744" s="311" t="str">
        <f t="shared" si="42"/>
        <v/>
      </c>
      <c r="D1744" s="204"/>
      <c r="E1744" s="946"/>
      <c r="F1744" s="232"/>
      <c r="G1744" s="696" t="s">
        <v>3450</v>
      </c>
      <c r="H1744" s="89">
        <f>'Ch9'!W198</f>
        <v>0</v>
      </c>
      <c r="J1744" s="1001"/>
    </row>
    <row r="1745" spans="1:10" x14ac:dyDescent="0.3">
      <c r="B1745" s="311" t="str">
        <f>IF(LEN('Ch9'!H199)=0,"",'Ch9'!H199)</f>
        <v/>
      </c>
      <c r="C1745" s="311" t="str">
        <f t="shared" si="42"/>
        <v/>
      </c>
      <c r="D1745" s="204"/>
      <c r="E1745" s="926" t="s">
        <v>273</v>
      </c>
      <c r="F1745" s="204"/>
      <c r="G1745" s="675" t="s">
        <v>3451</v>
      </c>
      <c r="J1745" s="1001"/>
    </row>
    <row r="1746" spans="1:10" x14ac:dyDescent="0.3">
      <c r="B1746" s="311" t="str">
        <f>IF(LEN('Ch9'!H200)=0,"",'Ch9'!H200)</f>
        <v/>
      </c>
      <c r="C1746" s="311" t="str">
        <f t="shared" si="42"/>
        <v/>
      </c>
      <c r="D1746" s="232"/>
      <c r="E1746" s="232"/>
      <c r="F1746" s="232"/>
      <c r="G1746" s="696" t="s">
        <v>3450</v>
      </c>
      <c r="H1746" s="89">
        <f>'Ch9'!W200</f>
        <v>2</v>
      </c>
      <c r="J1746" s="1001"/>
    </row>
    <row r="1747" spans="1:10" x14ac:dyDescent="0.3">
      <c r="A1747" s="727" t="str">
        <f>IF('Ch9'!O201&gt;0,"P","")</f>
        <v/>
      </c>
      <c r="B1747" s="311" t="str">
        <f>IF(LEN('Ch9'!H201)=0,"",'Ch9'!H201)</f>
        <v/>
      </c>
      <c r="C1747" s="311" t="str">
        <f t="shared" si="42"/>
        <v/>
      </c>
      <c r="D1747" s="929" t="s">
        <v>3452</v>
      </c>
      <c r="E1747" s="959"/>
      <c r="F1747" s="959"/>
      <c r="G1747" s="1364" t="s">
        <v>3453</v>
      </c>
      <c r="I1747" s="89">
        <f>'Ch9'!O201</f>
        <v>0</v>
      </c>
      <c r="J1747" s="1443" t="s">
        <v>4226</v>
      </c>
    </row>
    <row r="1748" spans="1:10" x14ac:dyDescent="0.3">
      <c r="A1748" s="727" t="str">
        <f>A1747</f>
        <v/>
      </c>
      <c r="B1748" s="311" t="str">
        <f>IF(LEN('Ch9'!H202)=0,"",'Ch9'!H202)</f>
        <v/>
      </c>
      <c r="C1748" s="311" t="str">
        <f t="shared" si="42"/>
        <v/>
      </c>
      <c r="D1748" s="204"/>
      <c r="E1748" s="204"/>
      <c r="F1748" s="204"/>
      <c r="G1748" s="1313"/>
      <c r="J1748" s="1443"/>
    </row>
    <row r="1749" spans="1:10" x14ac:dyDescent="0.3">
      <c r="B1749" s="311" t="str">
        <f>IF(LEN('Ch9'!H203)=0,"",'Ch9'!H203)</f>
        <v/>
      </c>
      <c r="C1749" s="311" t="str">
        <f t="shared" si="42"/>
        <v/>
      </c>
      <c r="D1749" s="919"/>
      <c r="E1749" s="926" t="s">
        <v>271</v>
      </c>
      <c r="F1749" s="204"/>
      <c r="G1749" s="1305" t="s">
        <v>3454</v>
      </c>
      <c r="H1749" s="89">
        <f>'Ch9'!W203</f>
        <v>0</v>
      </c>
      <c r="J1749" s="996"/>
    </row>
    <row r="1750" spans="1:10" x14ac:dyDescent="0.3">
      <c r="B1750" s="311" t="str">
        <f>IF(LEN('Ch9'!H204)=0,"",'Ch9'!H204)</f>
        <v/>
      </c>
      <c r="C1750" s="311" t="str">
        <f t="shared" si="42"/>
        <v/>
      </c>
      <c r="D1750" s="919"/>
      <c r="E1750" s="946"/>
      <c r="F1750" s="232"/>
      <c r="G1750" s="1306"/>
      <c r="J1750" s="1001"/>
    </row>
    <row r="1751" spans="1:10" x14ac:dyDescent="0.3">
      <c r="B1751" s="311" t="str">
        <f>IF(LEN('Ch9'!H205)=0,"",'Ch9'!H205)</f>
        <v/>
      </c>
      <c r="C1751" s="311" t="str">
        <f t="shared" si="42"/>
        <v/>
      </c>
      <c r="D1751" s="919"/>
      <c r="E1751" s="926" t="s">
        <v>273</v>
      </c>
      <c r="F1751" s="204"/>
      <c r="G1751" s="1305" t="s">
        <v>3455</v>
      </c>
      <c r="H1751" s="89">
        <f>'Ch9'!W205</f>
        <v>0</v>
      </c>
      <c r="J1751" s="1001"/>
    </row>
    <row r="1752" spans="1:10" x14ac:dyDescent="0.3">
      <c r="B1752" s="311" t="str">
        <f>IF(LEN('Ch9'!H206)=0,"",'Ch9'!H206)</f>
        <v/>
      </c>
      <c r="C1752" s="311" t="str">
        <f t="shared" si="42"/>
        <v/>
      </c>
      <c r="D1752" s="919"/>
      <c r="E1752" s="232"/>
      <c r="F1752" s="232"/>
      <c r="G1752" s="1306"/>
      <c r="J1752" s="1001"/>
    </row>
    <row r="1753" spans="1:10" x14ac:dyDescent="0.3">
      <c r="B1753" s="311" t="str">
        <f>IF(LEN('Ch9'!H207)=0,"",'Ch9'!H207)</f>
        <v/>
      </c>
      <c r="C1753" s="311" t="str">
        <f t="shared" si="42"/>
        <v/>
      </c>
      <c r="D1753" s="204"/>
      <c r="E1753" s="926" t="s">
        <v>275</v>
      </c>
      <c r="F1753" s="204"/>
      <c r="G1753" s="1305" t="s">
        <v>3456</v>
      </c>
      <c r="H1753" s="89">
        <f>'Ch9'!W207</f>
        <v>0</v>
      </c>
      <c r="J1753" s="1001"/>
    </row>
    <row r="1754" spans="1:10" x14ac:dyDescent="0.3">
      <c r="B1754" s="311" t="str">
        <f>IF(LEN('Ch9'!H208)=0,"",'Ch9'!H208)</f>
        <v/>
      </c>
      <c r="C1754" s="311" t="str">
        <f t="shared" si="42"/>
        <v/>
      </c>
      <c r="D1754" s="204"/>
      <c r="E1754" s="204"/>
      <c r="F1754" s="204"/>
      <c r="G1754" s="1305"/>
      <c r="J1754" s="1001"/>
    </row>
    <row r="1755" spans="1:10" ht="15" thickBot="1" x14ac:dyDescent="0.35">
      <c r="B1755" s="311" t="str">
        <f>IF(LEN('Ch9'!H209)=0,"",'Ch9'!H209)</f>
        <v/>
      </c>
      <c r="C1755" s="311" t="str">
        <f t="shared" si="42"/>
        <v/>
      </c>
      <c r="D1755" s="934"/>
      <c r="E1755" s="934"/>
      <c r="F1755" s="934"/>
      <c r="G1755" s="1330"/>
      <c r="J1755" s="1001"/>
    </row>
    <row r="1756" spans="1:10" ht="28.2" thickTop="1" x14ac:dyDescent="0.3">
      <c r="A1756" s="1196" t="str">
        <f>IF(COUNTIF(A1757:A1771,"P")&gt;0,"P","")</f>
        <v>P</v>
      </c>
      <c r="B1756" s="311" t="str">
        <f>IF(LEN('Ch9'!H210)=0,"",'Ch9'!H210)</f>
        <v/>
      </c>
      <c r="C1756" s="311" t="str">
        <f t="shared" si="42"/>
        <v>P</v>
      </c>
      <c r="D1756" s="111">
        <v>902.2</v>
      </c>
      <c r="E1756" s="954"/>
      <c r="F1756" s="954"/>
      <c r="G1756" s="697" t="s">
        <v>3457</v>
      </c>
      <c r="J1756" s="1011" t="s">
        <v>4324</v>
      </c>
    </row>
    <row r="1757" spans="1:10" ht="15" customHeight="1" x14ac:dyDescent="0.3">
      <c r="A1757" s="727" t="str">
        <f>IF(AND(LEN('Ch9'!W211)&gt;0,NOT('Ch9'!W211=FALSE)),"P","")</f>
        <v>P</v>
      </c>
      <c r="B1757" s="311" t="str">
        <f>IF(LEN('Ch9'!H211)=0,"",'Ch9'!H211)</f>
        <v/>
      </c>
      <c r="C1757" s="311" t="str">
        <f t="shared" si="42"/>
        <v>P</v>
      </c>
      <c r="D1757" s="106" t="s">
        <v>3923</v>
      </c>
      <c r="E1757" s="204"/>
      <c r="F1757" s="204"/>
      <c r="G1757" s="1313" t="s">
        <v>4033</v>
      </c>
      <c r="H1757" s="89" t="str">
        <f>'Ch9'!W211</f>
        <v>(1)</v>
      </c>
      <c r="I1757" s="89">
        <f ca="1">'Ch9'!O211</f>
        <v>3</v>
      </c>
      <c r="J1757" s="1443" t="s">
        <v>4325</v>
      </c>
    </row>
    <row r="1758" spans="1:10" x14ac:dyDescent="0.3">
      <c r="A1758" s="727" t="str">
        <f>A1757</f>
        <v>P</v>
      </c>
      <c r="B1758" s="311" t="str">
        <f>IF(LEN('Ch9'!H212)=0,"",'Ch9'!H212)</f>
        <v/>
      </c>
      <c r="C1758" s="311" t="str">
        <f t="shared" si="42"/>
        <v>P</v>
      </c>
      <c r="D1758" s="204"/>
      <c r="E1758" s="204"/>
      <c r="F1758" s="204"/>
      <c r="G1758" s="1313"/>
      <c r="J1758" s="1443"/>
    </row>
    <row r="1759" spans="1:10" x14ac:dyDescent="0.3">
      <c r="A1759" s="727" t="str">
        <f>A1758</f>
        <v>P</v>
      </c>
      <c r="B1759" s="311" t="str">
        <f>IF(LEN('Ch9'!H213)=0,"",'Ch9'!H213)</f>
        <v/>
      </c>
      <c r="C1759" s="311" t="str">
        <f t="shared" si="42"/>
        <v>P</v>
      </c>
      <c r="D1759" s="204"/>
      <c r="E1759" s="204"/>
      <c r="F1759" s="204"/>
      <c r="G1759" s="1313"/>
      <c r="J1759" s="1443"/>
    </row>
    <row r="1760" spans="1:10" x14ac:dyDescent="0.3">
      <c r="B1760" s="311" t="str">
        <f>IF(LEN('Ch9'!H214)=0,"",'Ch9'!H214)</f>
        <v/>
      </c>
      <c r="C1760" s="311" t="str">
        <f t="shared" si="42"/>
        <v/>
      </c>
      <c r="D1760" s="204"/>
      <c r="E1760" s="926" t="s">
        <v>271</v>
      </c>
      <c r="F1760" s="204"/>
      <c r="G1760" s="1293" t="s">
        <v>3458</v>
      </c>
      <c r="J1760" s="1001"/>
    </row>
    <row r="1761" spans="1:10" x14ac:dyDescent="0.3">
      <c r="B1761" s="311" t="str">
        <f>IF(LEN('Ch9'!H215)=0,"",'Ch9'!H215)</f>
        <v/>
      </c>
      <c r="C1761" s="311" t="str">
        <f t="shared" si="42"/>
        <v/>
      </c>
      <c r="D1761" s="204"/>
      <c r="E1761" s="946"/>
      <c r="F1761" s="232"/>
      <c r="G1761" s="1294"/>
      <c r="J1761" s="1001"/>
    </row>
    <row r="1762" spans="1:10" x14ac:dyDescent="0.3">
      <c r="B1762" s="311" t="str">
        <f>IF(LEN('Ch9'!H216)=0,"",'Ch9'!H216)</f>
        <v/>
      </c>
      <c r="C1762" s="311" t="str">
        <f t="shared" si="42"/>
        <v/>
      </c>
      <c r="D1762" s="204"/>
      <c r="E1762" s="926" t="s">
        <v>273</v>
      </c>
      <c r="F1762" s="204"/>
      <c r="G1762" s="1305" t="s">
        <v>3459</v>
      </c>
      <c r="J1762" s="1001"/>
    </row>
    <row r="1763" spans="1:10" x14ac:dyDescent="0.3">
      <c r="B1763" s="311" t="str">
        <f>IF(LEN('Ch9'!H217)=0,"",'Ch9'!H217)</f>
        <v/>
      </c>
      <c r="C1763" s="311" t="str">
        <f t="shared" si="42"/>
        <v/>
      </c>
      <c r="D1763" s="204"/>
      <c r="E1763" s="232"/>
      <c r="F1763" s="232"/>
      <c r="G1763" s="1306"/>
      <c r="J1763" s="1001"/>
    </row>
    <row r="1764" spans="1:10" x14ac:dyDescent="0.3">
      <c r="B1764" s="311" t="str">
        <f>IF(LEN('Ch9'!H218)=0,"",'Ch9'!H218)</f>
        <v/>
      </c>
      <c r="C1764" s="311" t="str">
        <f t="shared" si="42"/>
        <v/>
      </c>
      <c r="D1764" s="204"/>
      <c r="E1764" s="946" t="s">
        <v>275</v>
      </c>
      <c r="F1764" s="232"/>
      <c r="G1764" s="676" t="s">
        <v>3460</v>
      </c>
      <c r="J1764" s="1001"/>
    </row>
    <row r="1765" spans="1:10" x14ac:dyDescent="0.3">
      <c r="B1765" s="311" t="str">
        <f>IF(LEN('Ch9'!H219)=0,"",'Ch9'!H219)</f>
        <v/>
      </c>
      <c r="C1765" s="311" t="str">
        <f t="shared" si="42"/>
        <v/>
      </c>
      <c r="D1765" s="232"/>
      <c r="E1765" s="946" t="s">
        <v>285</v>
      </c>
      <c r="F1765" s="232"/>
      <c r="G1765" s="676" t="s">
        <v>3461</v>
      </c>
      <c r="J1765" s="1001"/>
    </row>
    <row r="1766" spans="1:10" x14ac:dyDescent="0.3">
      <c r="A1766" s="727" t="str">
        <f>IF(AND(LEN('Ch9'!W220)&gt;0,NOT('Ch9'!W220=FALSE)),"P","")</f>
        <v>P</v>
      </c>
      <c r="B1766" s="311" t="str">
        <f>IF(LEN('Ch9'!H220)=0,"",'Ch9'!H220)</f>
        <v/>
      </c>
      <c r="C1766" s="311" t="str">
        <f t="shared" si="42"/>
        <v>P</v>
      </c>
      <c r="D1766" s="929" t="s">
        <v>3462</v>
      </c>
      <c r="E1766" s="959"/>
      <c r="F1766" s="959"/>
      <c r="G1766" s="1364" t="s">
        <v>3463</v>
      </c>
      <c r="H1766" s="89" t="b">
        <f>'Ch9'!W220</f>
        <v>1</v>
      </c>
      <c r="I1766" s="89">
        <f ca="1">'Ch9'!O220</f>
        <v>4</v>
      </c>
      <c r="J1766" s="1439" t="s">
        <v>4326</v>
      </c>
    </row>
    <row r="1767" spans="1:10" x14ac:dyDescent="0.3">
      <c r="A1767" s="727" t="str">
        <f>A1766</f>
        <v>P</v>
      </c>
      <c r="B1767" s="311" t="str">
        <f>IF(LEN('Ch9'!H221)=0,"",'Ch9'!H221)</f>
        <v/>
      </c>
      <c r="C1767" s="311" t="str">
        <f t="shared" si="42"/>
        <v>P</v>
      </c>
      <c r="D1767" s="232"/>
      <c r="E1767" s="232"/>
      <c r="F1767" s="232"/>
      <c r="G1767" s="1350"/>
      <c r="J1767" s="1439"/>
    </row>
    <row r="1768" spans="1:10" x14ac:dyDescent="0.3">
      <c r="A1768" s="727" t="str">
        <f>IF(AND(LEN('Ch9'!W222)&gt;0,NOT('Ch9'!W222=FALSE)),"P","")</f>
        <v>P</v>
      </c>
      <c r="B1768" s="311" t="str">
        <f>IF(LEN('Ch9'!H222)=0,"",'Ch9'!H222)</f>
        <v/>
      </c>
      <c r="C1768" s="311" t="str">
        <f t="shared" si="42"/>
        <v>P</v>
      </c>
      <c r="D1768" s="929" t="s">
        <v>3464</v>
      </c>
      <c r="E1768" s="959"/>
      <c r="F1768" s="959"/>
      <c r="G1768" s="1364" t="s">
        <v>3465</v>
      </c>
      <c r="H1768" s="89" t="b">
        <f>'Ch9'!W222</f>
        <v>1</v>
      </c>
      <c r="I1768" s="89">
        <f>'Ch9'!O222</f>
        <v>2</v>
      </c>
      <c r="J1768" s="1439" t="s">
        <v>4327</v>
      </c>
    </row>
    <row r="1769" spans="1:10" x14ac:dyDescent="0.3">
      <c r="A1769" s="727" t="str">
        <f>A1768</f>
        <v>P</v>
      </c>
      <c r="B1769" s="311" t="str">
        <f>IF(LEN('Ch9'!H223)=0,"",'Ch9'!H223)</f>
        <v/>
      </c>
      <c r="C1769" s="311" t="str">
        <f t="shared" si="42"/>
        <v>P</v>
      </c>
      <c r="D1769" s="204"/>
      <c r="E1769" s="204"/>
      <c r="F1769" s="204"/>
      <c r="G1769" s="1313"/>
      <c r="J1769" s="1439"/>
    </row>
    <row r="1770" spans="1:10" x14ac:dyDescent="0.3">
      <c r="A1770" s="727" t="str">
        <f>A1769</f>
        <v>P</v>
      </c>
      <c r="B1770" s="311" t="str">
        <f>IF(LEN('Ch9'!H224)=0,"",'Ch9'!H224)</f>
        <v/>
      </c>
      <c r="C1770" s="311" t="str">
        <f t="shared" si="42"/>
        <v>P</v>
      </c>
      <c r="D1770" s="232"/>
      <c r="E1770" s="232"/>
      <c r="F1770" s="232"/>
      <c r="G1770" s="1350"/>
      <c r="J1770" s="1439"/>
    </row>
    <row r="1771" spans="1:10" x14ac:dyDescent="0.3">
      <c r="A1771" s="727" t="str">
        <f>IF(AND(LEN('Ch9'!W225)&gt;0,NOT('Ch9'!W225=FALSE)),"P","")</f>
        <v/>
      </c>
      <c r="B1771" s="311" t="str">
        <f>IF(LEN('Ch9'!H225)=0,"",'Ch9'!H225)</f>
        <v/>
      </c>
      <c r="C1771" s="311" t="str">
        <f t="shared" si="42"/>
        <v/>
      </c>
      <c r="D1771" s="106" t="s">
        <v>3466</v>
      </c>
      <c r="E1771" s="204"/>
      <c r="F1771" s="204"/>
      <c r="G1771" s="1313" t="s">
        <v>3467</v>
      </c>
      <c r="H1771" s="89">
        <f>'Ch9'!W225</f>
        <v>0</v>
      </c>
      <c r="I1771" s="89">
        <f>'Ch9'!O225</f>
        <v>0</v>
      </c>
      <c r="J1771" s="1439" t="s">
        <v>4327</v>
      </c>
    </row>
    <row r="1772" spans="1:10" x14ac:dyDescent="0.3">
      <c r="A1772" s="727" t="str">
        <f>A1771</f>
        <v/>
      </c>
      <c r="B1772" s="311" t="str">
        <f>IF(LEN('Ch9'!H226)=0,"",'Ch9'!H226)</f>
        <v/>
      </c>
      <c r="C1772" s="311" t="str">
        <f t="shared" si="42"/>
        <v/>
      </c>
      <c r="D1772" s="204"/>
      <c r="E1772" s="204"/>
      <c r="F1772" s="204"/>
      <c r="G1772" s="1313"/>
      <c r="J1772" s="1439"/>
    </row>
    <row r="1773" spans="1:10" ht="15" thickBot="1" x14ac:dyDescent="0.35">
      <c r="A1773" s="727" t="str">
        <f>A1772</f>
        <v/>
      </c>
      <c r="B1773" s="311" t="str">
        <f>IF(LEN('Ch9'!H227)=0,"",'Ch9'!H227)</f>
        <v/>
      </c>
      <c r="C1773" s="311" t="str">
        <f t="shared" si="42"/>
        <v/>
      </c>
      <c r="D1773" s="934"/>
      <c r="E1773" s="934"/>
      <c r="F1773" s="934"/>
      <c r="G1773" s="1332"/>
      <c r="J1773" s="1439"/>
    </row>
    <row r="1774" spans="1:10" ht="15" thickTop="1" x14ac:dyDescent="0.3">
      <c r="A1774" s="1196" t="str">
        <f>IF(COUNTIF(A1776:A1780,"P")&gt;0,"P","")</f>
        <v/>
      </c>
      <c r="B1774" s="311" t="str">
        <f>IF(LEN('Ch9'!H228)=0,"",'Ch9'!H228)</f>
        <v/>
      </c>
      <c r="C1774" s="311" t="str">
        <f t="shared" si="42"/>
        <v/>
      </c>
      <c r="D1774" s="111">
        <v>902.3</v>
      </c>
      <c r="E1774" s="954"/>
      <c r="F1774" s="954"/>
      <c r="G1774" s="1331" t="s">
        <v>3468</v>
      </c>
      <c r="J1774" s="989"/>
    </row>
    <row r="1775" spans="1:10" x14ac:dyDescent="0.3">
      <c r="A1775" s="727" t="str">
        <f>A1774</f>
        <v/>
      </c>
      <c r="B1775" s="311" t="str">
        <f>IF(LEN('Ch9'!H229)=0,"",'Ch9'!H229)</f>
        <v/>
      </c>
      <c r="C1775" s="311" t="str">
        <f t="shared" si="42"/>
        <v/>
      </c>
      <c r="D1775" s="204"/>
      <c r="E1775" s="204"/>
      <c r="F1775" s="204"/>
      <c r="G1775" s="1313"/>
      <c r="J1775" s="989"/>
    </row>
    <row r="1776" spans="1:10" ht="15" customHeight="1" x14ac:dyDescent="0.3">
      <c r="A1776" s="727" t="str">
        <f>IF(AND(LEN('Ch9'!W230)&gt;0,NOT('Ch9'!W230=FALSE)),"P","")</f>
        <v/>
      </c>
      <c r="B1776" s="311" t="str">
        <f>IF(LEN('Ch9'!H230)=0,"",'Ch9'!H230)</f>
        <v/>
      </c>
      <c r="C1776" s="311" t="str">
        <f t="shared" si="42"/>
        <v/>
      </c>
      <c r="D1776" s="204"/>
      <c r="E1776" s="926" t="s">
        <v>271</v>
      </c>
      <c r="F1776" s="204"/>
      <c r="G1776" s="675" t="s">
        <v>3469</v>
      </c>
      <c r="H1776" s="89">
        <f>'Ch9'!W230</f>
        <v>0</v>
      </c>
      <c r="I1776" s="89">
        <f ca="1">'Ch9'!O230</f>
        <v>0</v>
      </c>
      <c r="J1776" s="996"/>
    </row>
    <row r="1777" spans="1:10" x14ac:dyDescent="0.3">
      <c r="A1777" s="727" t="str">
        <f>A1776</f>
        <v/>
      </c>
      <c r="B1777" s="311" t="str">
        <f>IF(LEN('Ch9'!H231)=0,"",'Ch9'!H231)</f>
        <v/>
      </c>
      <c r="C1777" s="311" t="str">
        <f t="shared" si="42"/>
        <v/>
      </c>
      <c r="D1777" s="204"/>
      <c r="E1777" s="204"/>
      <c r="F1777" s="926" t="s">
        <v>121</v>
      </c>
      <c r="G1777" s="675" t="s">
        <v>3470</v>
      </c>
      <c r="J1777" s="1001" t="s">
        <v>4328</v>
      </c>
    </row>
    <row r="1778" spans="1:10" x14ac:dyDescent="0.3">
      <c r="A1778" s="727" t="str">
        <f>A1777</f>
        <v/>
      </c>
      <c r="B1778" s="311" t="str">
        <f>IF(LEN('Ch9'!H232)=0,"",'Ch9'!H232)</f>
        <v/>
      </c>
      <c r="C1778" s="311" t="str">
        <f t="shared" si="42"/>
        <v/>
      </c>
      <c r="D1778" s="204"/>
      <c r="E1778" s="232"/>
      <c r="F1778" s="946" t="s">
        <v>122</v>
      </c>
      <c r="G1778" s="676" t="s">
        <v>3471</v>
      </c>
      <c r="J1778" s="1001" t="s">
        <v>4441</v>
      </c>
    </row>
    <row r="1779" spans="1:10" x14ac:dyDescent="0.3">
      <c r="A1779" s="727" t="str">
        <f>IF(SUM(I1780)&gt;0,"P","")</f>
        <v/>
      </c>
      <c r="B1779" s="311" t="str">
        <f>IF(LEN('Ch9'!H233)=0,"",'Ch9'!H233)</f>
        <v/>
      </c>
      <c r="C1779" s="311" t="str">
        <f t="shared" si="42"/>
        <v/>
      </c>
      <c r="D1779" s="204"/>
      <c r="E1779" s="926" t="s">
        <v>273</v>
      </c>
      <c r="F1779" s="204"/>
      <c r="G1779" s="675" t="s">
        <v>3472</v>
      </c>
      <c r="J1779" s="1439" t="s">
        <v>4328</v>
      </c>
    </row>
    <row r="1780" spans="1:10" ht="15" thickBot="1" x14ac:dyDescent="0.35">
      <c r="A1780" s="727" t="str">
        <f>IF(AND(LEN('Ch9'!W234)&gt;0,NOT('Ch9'!W234=FALSE)),"P","")</f>
        <v/>
      </c>
      <c r="B1780" s="311" t="str">
        <f>IF(LEN('Ch9'!H234)=0,"",'Ch9'!H234)</f>
        <v/>
      </c>
      <c r="C1780" s="311" t="str">
        <f t="shared" si="42"/>
        <v/>
      </c>
      <c r="D1780" s="934"/>
      <c r="E1780" s="934"/>
      <c r="F1780" s="931" t="s">
        <v>121</v>
      </c>
      <c r="G1780" s="678" t="s">
        <v>3473</v>
      </c>
      <c r="H1780" s="89">
        <f>'Ch9'!W234</f>
        <v>0</v>
      </c>
      <c r="I1780" s="89">
        <f>'Ch9'!O234</f>
        <v>0</v>
      </c>
      <c r="J1780" s="1439"/>
    </row>
    <row r="1781" spans="1:10" x14ac:dyDescent="0.3">
      <c r="A1781" s="727" t="str">
        <f>IF('Ch9'!O235&gt;0,"P","")</f>
        <v>P</v>
      </c>
      <c r="B1781" s="311" t="str">
        <f>IF(LEN('Ch9'!H235)=0,"",'Ch9'!H235)</f>
        <v/>
      </c>
      <c r="C1781" s="311" t="str">
        <f t="shared" si="42"/>
        <v>P</v>
      </c>
      <c r="D1781" s="152">
        <v>902.4</v>
      </c>
      <c r="E1781" s="919"/>
      <c r="F1781" s="919"/>
      <c r="G1781" s="1292" t="s">
        <v>3474</v>
      </c>
      <c r="I1781" s="89">
        <f>'Ch9'!O235</f>
        <v>3</v>
      </c>
      <c r="J1781" s="989"/>
    </row>
    <row r="1782" spans="1:10" x14ac:dyDescent="0.3">
      <c r="A1782" s="727" t="str">
        <f>A1781</f>
        <v>P</v>
      </c>
      <c r="B1782" s="311" t="str">
        <f>IF(LEN('Ch9'!H236)=0,"",'Ch9'!H236)</f>
        <v/>
      </c>
      <c r="C1782" s="311" t="str">
        <f t="shared" si="42"/>
        <v>P</v>
      </c>
      <c r="D1782" s="919"/>
      <c r="E1782" s="919"/>
      <c r="F1782" s="919"/>
      <c r="G1782" s="1292"/>
      <c r="J1782" s="989"/>
    </row>
    <row r="1783" spans="1:10" x14ac:dyDescent="0.3">
      <c r="A1783" s="727" t="str">
        <f>IF(AND(LEN('Ch9'!W237)&gt;0,NOT('Ch9'!W237=FALSE)),"P","")</f>
        <v>P</v>
      </c>
      <c r="B1783" s="311" t="str">
        <f>IF(LEN('Ch9'!H237)=0,"",'Ch9'!H237)</f>
        <v/>
      </c>
      <c r="C1783" s="311" t="str">
        <f t="shared" si="42"/>
        <v>P</v>
      </c>
      <c r="D1783" s="919"/>
      <c r="E1783" s="926" t="s">
        <v>271</v>
      </c>
      <c r="F1783" s="204"/>
      <c r="G1783" s="1305" t="s">
        <v>3475</v>
      </c>
      <c r="H1783" s="89" t="b">
        <f>'Ch9'!W237</f>
        <v>1</v>
      </c>
      <c r="J1783" s="1439" t="s">
        <v>4226</v>
      </c>
    </row>
    <row r="1784" spans="1:10" x14ac:dyDescent="0.3">
      <c r="A1784" s="727" t="str">
        <f>A1783</f>
        <v>P</v>
      </c>
      <c r="B1784" s="311" t="str">
        <f>IF(LEN('Ch9'!H238)=0,"",'Ch9'!H238)</f>
        <v/>
      </c>
      <c r="C1784" s="311" t="str">
        <f t="shared" si="42"/>
        <v>P</v>
      </c>
      <c r="D1784" s="919"/>
      <c r="E1784" s="946"/>
      <c r="F1784" s="232"/>
      <c r="G1784" s="1306"/>
      <c r="J1784" s="1439"/>
    </row>
    <row r="1785" spans="1:10" x14ac:dyDescent="0.3">
      <c r="A1785" s="727" t="str">
        <f>IF(AND(LEN('Ch9'!W239)&gt;0,NOT('Ch9'!W239=FALSE)),"P","")</f>
        <v>P</v>
      </c>
      <c r="B1785" s="311" t="str">
        <f>IF(LEN('Ch9'!H239)=0,"",'Ch9'!H239)</f>
        <v/>
      </c>
      <c r="C1785" s="311" t="str">
        <f t="shared" si="42"/>
        <v>P</v>
      </c>
      <c r="D1785" s="204"/>
      <c r="E1785" s="926" t="s">
        <v>273</v>
      </c>
      <c r="F1785" s="204"/>
      <c r="G1785" s="1305" t="s">
        <v>3476</v>
      </c>
      <c r="H1785" s="89" t="b">
        <f>'Ch9'!W239</f>
        <v>1</v>
      </c>
      <c r="J1785" s="1439" t="s">
        <v>4329</v>
      </c>
    </row>
    <row r="1786" spans="1:10" x14ac:dyDescent="0.3">
      <c r="A1786" s="727" t="str">
        <f>A1785</f>
        <v>P</v>
      </c>
      <c r="B1786" s="311" t="str">
        <f>IF(LEN('Ch9'!H240)=0,"",'Ch9'!H240)</f>
        <v/>
      </c>
      <c r="C1786" s="311" t="str">
        <f t="shared" si="42"/>
        <v>P</v>
      </c>
      <c r="D1786" s="204"/>
      <c r="E1786" s="204"/>
      <c r="F1786" s="204"/>
      <c r="G1786" s="1305"/>
      <c r="J1786" s="1439"/>
    </row>
    <row r="1787" spans="1:10" ht="15" thickBot="1" x14ac:dyDescent="0.35">
      <c r="A1787" s="727" t="str">
        <f>A1786</f>
        <v>P</v>
      </c>
      <c r="B1787" s="311" t="str">
        <f>IF(LEN('Ch9'!H241)=0,"",'Ch9'!H241)</f>
        <v/>
      </c>
      <c r="C1787" s="311" t="str">
        <f t="shared" si="42"/>
        <v>P</v>
      </c>
      <c r="D1787" s="934"/>
      <c r="E1787" s="934"/>
      <c r="F1787" s="934"/>
      <c r="G1787" s="1330"/>
      <c r="J1787" s="1439"/>
    </row>
    <row r="1788" spans="1:10" ht="15" thickTop="1" x14ac:dyDescent="0.3">
      <c r="A1788" s="727" t="str">
        <f>IF(AND(LEN('Ch9'!W242)&gt;0,NOT('Ch9'!W242=FALSE)),"P","")</f>
        <v/>
      </c>
      <c r="B1788" s="311" t="str">
        <f>IF(LEN('Ch9'!H242)=0,"",'Ch9'!H242)</f>
        <v/>
      </c>
      <c r="C1788" s="311" t="str">
        <f t="shared" si="42"/>
        <v/>
      </c>
      <c r="D1788" s="111">
        <v>902.5</v>
      </c>
      <c r="E1788" s="954"/>
      <c r="F1788" s="954"/>
      <c r="G1788" s="1427" t="s">
        <v>3477</v>
      </c>
      <c r="H1788" s="89">
        <f>'Ch9'!W242</f>
        <v>0</v>
      </c>
      <c r="I1788" s="89">
        <f>'Ch9'!O242</f>
        <v>0</v>
      </c>
      <c r="J1788" s="1439" t="s">
        <v>4226</v>
      </c>
    </row>
    <row r="1789" spans="1:10" ht="15" thickBot="1" x14ac:dyDescent="0.35">
      <c r="A1789" s="727" t="str">
        <f>A1788</f>
        <v/>
      </c>
      <c r="B1789" s="311" t="str">
        <f>IF(LEN('Ch9'!H243)=0,"",'Ch9'!H243)</f>
        <v/>
      </c>
      <c r="C1789" s="311" t="str">
        <f t="shared" si="42"/>
        <v/>
      </c>
      <c r="D1789" s="928"/>
      <c r="E1789" s="934"/>
      <c r="F1789" s="934"/>
      <c r="G1789" s="1428"/>
      <c r="J1789" s="1439"/>
    </row>
    <row r="1790" spans="1:10" x14ac:dyDescent="0.3">
      <c r="A1790" s="727" t="str">
        <f>IF(AND(LEN('Ch9'!W244)&gt;0,NOT('Ch9'!W244=FALSE)),"P","")</f>
        <v>P</v>
      </c>
      <c r="B1790" s="311" t="str">
        <f>IF(LEN('Ch9'!H244)=0,"",'Ch9'!H244)</f>
        <v/>
      </c>
      <c r="C1790" s="311" t="str">
        <f t="shared" si="42"/>
        <v>P</v>
      </c>
      <c r="D1790" s="152">
        <v>902.6</v>
      </c>
      <c r="E1790" s="919"/>
      <c r="F1790" s="919"/>
      <c r="G1790" s="1292" t="s">
        <v>3478</v>
      </c>
      <c r="H1790" s="89" t="b">
        <f>'Ch9'!W244</f>
        <v>1</v>
      </c>
      <c r="J1790" s="1439" t="s">
        <v>4226</v>
      </c>
    </row>
    <row r="1791" spans="1:10" x14ac:dyDescent="0.3">
      <c r="A1791" s="727" t="str">
        <f>A1790</f>
        <v>P</v>
      </c>
      <c r="B1791" s="311" t="str">
        <f>IF(LEN('Ch9'!H245)=0,"",'Ch9'!H245)</f>
        <v/>
      </c>
      <c r="C1791" s="311" t="str">
        <f t="shared" si="42"/>
        <v>P</v>
      </c>
      <c r="D1791" s="919"/>
      <c r="E1791" s="919"/>
      <c r="F1791" s="919"/>
      <c r="G1791" s="1292"/>
      <c r="J1791" s="1439"/>
    </row>
    <row r="1792" spans="1:10" ht="18" x14ac:dyDescent="0.3">
      <c r="A1792" s="727" t="s">
        <v>4389</v>
      </c>
      <c r="B1792" s="311" t="str">
        <f>IF(LEN('Ch9'!H246)=0,"",'Ch9'!H246)</f>
        <v/>
      </c>
      <c r="C1792" s="311" t="str">
        <f t="shared" si="42"/>
        <v>P</v>
      </c>
      <c r="D1792" s="72" t="s">
        <v>3479</v>
      </c>
      <c r="E1792" s="72"/>
      <c r="F1792" s="72"/>
      <c r="G1792" s="87"/>
      <c r="J1792" s="1000"/>
    </row>
    <row r="1793" spans="1:10" ht="15" thickBot="1" x14ac:dyDescent="0.35">
      <c r="B1793" s="311" t="str">
        <f>IF(LEN('Ch9'!H247)=0,"",'Ch9'!H247)</f>
        <v/>
      </c>
      <c r="C1793" s="311" t="str">
        <f t="shared" si="42"/>
        <v/>
      </c>
      <c r="D1793" s="936">
        <v>903</v>
      </c>
      <c r="E1793" s="934"/>
      <c r="F1793" s="934"/>
      <c r="G1793" s="698" t="s">
        <v>3480</v>
      </c>
      <c r="J1793" s="989"/>
    </row>
    <row r="1794" spans="1:10" ht="15" thickTop="1" x14ac:dyDescent="0.3">
      <c r="A1794" s="727" t="str">
        <f>IF(AND(LEN('Ch9'!W248)&gt;0,NOT('Ch9'!W248=FALSE)),"P","")</f>
        <v/>
      </c>
      <c r="B1794" s="311" t="str">
        <f>IF(LEN('Ch9'!H248)=0,"",'Ch9'!H248)</f>
        <v/>
      </c>
      <c r="C1794" s="311" t="str">
        <f t="shared" si="42"/>
        <v/>
      </c>
      <c r="D1794" s="937">
        <v>903.1</v>
      </c>
      <c r="E1794" s="954"/>
      <c r="F1794" s="954"/>
      <c r="G1794" s="697" t="s">
        <v>3926</v>
      </c>
      <c r="H1794" s="89">
        <f>'Ch9'!W248</f>
        <v>0</v>
      </c>
      <c r="I1794" s="89">
        <f ca="1">'Ch9'!O248</f>
        <v>0</v>
      </c>
      <c r="J1794" s="1001" t="s">
        <v>4226</v>
      </c>
    </row>
    <row r="1795" spans="1:10" x14ac:dyDescent="0.3">
      <c r="B1795" s="311" t="str">
        <f>IF(LEN('Ch9'!H249)=0,"",'Ch9'!H249)</f>
        <v/>
      </c>
      <c r="C1795" s="311" t="str">
        <f t="shared" si="42"/>
        <v/>
      </c>
      <c r="D1795" s="204"/>
      <c r="E1795" s="926" t="s">
        <v>271</v>
      </c>
      <c r="F1795" s="204"/>
      <c r="G1795" s="1305" t="s">
        <v>3924</v>
      </c>
      <c r="J1795" s="1001"/>
    </row>
    <row r="1796" spans="1:10" x14ac:dyDescent="0.3">
      <c r="B1796" s="311" t="str">
        <f>IF(LEN('Ch9'!H250)=0,"",'Ch9'!H250)</f>
        <v/>
      </c>
      <c r="C1796" s="311" t="str">
        <f t="shared" si="42"/>
        <v/>
      </c>
      <c r="D1796" s="204"/>
      <c r="E1796" s="946"/>
      <c r="F1796" s="232"/>
      <c r="G1796" s="1350"/>
      <c r="J1796" s="1001"/>
    </row>
    <row r="1797" spans="1:10" ht="15" thickBot="1" x14ac:dyDescent="0.35">
      <c r="B1797" s="311" t="str">
        <f>IF(LEN('Ch9'!H251)=0,"",'Ch9'!H251)</f>
        <v/>
      </c>
      <c r="C1797" s="311" t="str">
        <f t="shared" si="42"/>
        <v/>
      </c>
      <c r="D1797" s="934"/>
      <c r="E1797" s="931" t="s">
        <v>273</v>
      </c>
      <c r="F1797" s="934"/>
      <c r="G1797" s="678" t="s">
        <v>3925</v>
      </c>
      <c r="J1797" s="1001"/>
    </row>
    <row r="1798" spans="1:10" ht="15" thickTop="1" x14ac:dyDescent="0.3">
      <c r="A1798" s="727" t="str">
        <f>IF(AND(LEN('Ch9'!W252)&gt;0,NOT('Ch9'!W252=FALSE)),"P","")</f>
        <v>P</v>
      </c>
      <c r="B1798" s="311" t="str">
        <f>IF(LEN('Ch9'!H252)=0,"",'Ch9'!H252)</f>
        <v/>
      </c>
      <c r="C1798" s="311" t="str">
        <f t="shared" si="42"/>
        <v>P</v>
      </c>
      <c r="D1798" s="111">
        <v>903.2</v>
      </c>
      <c r="E1798" s="954"/>
      <c r="F1798" s="954"/>
      <c r="G1798" s="697" t="s">
        <v>3483</v>
      </c>
      <c r="H1798" s="89" t="str">
        <f>'Ch9'!W252</f>
        <v>(1)</v>
      </c>
      <c r="I1798" s="89">
        <f ca="1">'Ch9'!O252</f>
        <v>1</v>
      </c>
      <c r="J1798" s="1001" t="s">
        <v>4226</v>
      </c>
    </row>
    <row r="1799" spans="1:10" x14ac:dyDescent="0.3">
      <c r="B1799" s="311" t="str">
        <f>IF(LEN('Ch9'!H253)=0,"",'Ch9'!H253)</f>
        <v/>
      </c>
      <c r="C1799" s="311" t="str">
        <f t="shared" si="42"/>
        <v/>
      </c>
      <c r="D1799" s="204"/>
      <c r="E1799" s="946" t="s">
        <v>271</v>
      </c>
      <c r="F1799" s="232"/>
      <c r="G1799" s="676" t="s">
        <v>3484</v>
      </c>
      <c r="J1799" s="1001"/>
    </row>
    <row r="1800" spans="1:10" x14ac:dyDescent="0.3">
      <c r="B1800" s="311" t="str">
        <f>IF(LEN('Ch9'!H254)=0,"",'Ch9'!H254)</f>
        <v/>
      </c>
      <c r="C1800" s="311" t="str">
        <f t="shared" ref="C1800:C1863" si="43">IF(LEN(B1800)=0,IF(A1800="P","P",""),B1800)</f>
        <v/>
      </c>
      <c r="D1800" s="204"/>
      <c r="E1800" s="926" t="s">
        <v>273</v>
      </c>
      <c r="F1800" s="204"/>
      <c r="G1800" s="1305" t="s">
        <v>3485</v>
      </c>
      <c r="J1800" s="1001"/>
    </row>
    <row r="1801" spans="1:10" ht="15" thickBot="1" x14ac:dyDescent="0.35">
      <c r="B1801" s="311" t="str">
        <f>IF(LEN('Ch9'!H255)=0,"",'Ch9'!H255)</f>
        <v/>
      </c>
      <c r="C1801" s="311" t="str">
        <f t="shared" si="43"/>
        <v/>
      </c>
      <c r="D1801" s="934"/>
      <c r="E1801" s="934"/>
      <c r="F1801" s="934"/>
      <c r="G1801" s="1330"/>
      <c r="J1801" s="1001"/>
    </row>
    <row r="1802" spans="1:10" ht="15" thickTop="1" x14ac:dyDescent="0.3">
      <c r="A1802" s="727" t="str">
        <f>IF('Ch9'!O256&gt;0,"P","")</f>
        <v>P</v>
      </c>
      <c r="B1802" s="311" t="str">
        <f>IF(LEN('Ch9'!H256)=0,"",'Ch9'!H256)</f>
        <v/>
      </c>
      <c r="C1802" s="311" t="str">
        <f t="shared" si="43"/>
        <v>P</v>
      </c>
      <c r="D1802" s="111">
        <v>903.3</v>
      </c>
      <c r="E1802" s="954"/>
      <c r="F1802" s="954"/>
      <c r="G1802" s="1331" t="s">
        <v>3927</v>
      </c>
      <c r="I1802" s="89">
        <f>'Ch9'!O256</f>
        <v>7</v>
      </c>
      <c r="J1802" s="1443" t="s">
        <v>4330</v>
      </c>
    </row>
    <row r="1803" spans="1:10" x14ac:dyDescent="0.3">
      <c r="A1803" s="727" t="str">
        <f>A1802</f>
        <v>P</v>
      </c>
      <c r="B1803" s="311" t="str">
        <f>IF(LEN('Ch9'!H257)=0,"",'Ch9'!H257)</f>
        <v/>
      </c>
      <c r="C1803" s="311" t="str">
        <f t="shared" si="43"/>
        <v>P</v>
      </c>
      <c r="D1803" s="204"/>
      <c r="E1803" s="204"/>
      <c r="F1803" s="204"/>
      <c r="G1803" s="1313"/>
      <c r="J1803" s="1443"/>
    </row>
    <row r="1804" spans="1:10" ht="15" customHeight="1" x14ac:dyDescent="0.3">
      <c r="B1804" s="311" t="str">
        <f>IF(LEN('Ch9'!H258)=0,"",'Ch9'!H258)</f>
        <v/>
      </c>
      <c r="C1804" s="311" t="str">
        <f t="shared" si="43"/>
        <v/>
      </c>
      <c r="D1804" s="919"/>
      <c r="E1804" s="946" t="s">
        <v>271</v>
      </c>
      <c r="F1804" s="945"/>
      <c r="G1804" s="676" t="s">
        <v>3486</v>
      </c>
      <c r="H1804" s="89">
        <f>'Ch9'!W258</f>
        <v>0</v>
      </c>
      <c r="J1804" s="1443"/>
    </row>
    <row r="1805" spans="1:10" x14ac:dyDescent="0.3">
      <c r="B1805" s="311" t="str">
        <f>IF(LEN('Ch9'!H259)=0,"",'Ch9'!H259)</f>
        <v/>
      </c>
      <c r="C1805" s="311" t="str">
        <f t="shared" si="43"/>
        <v/>
      </c>
      <c r="D1805" s="919"/>
      <c r="E1805" s="925" t="s">
        <v>273</v>
      </c>
      <c r="G1805" s="1367" t="s">
        <v>3487</v>
      </c>
      <c r="H1805" s="89" t="b">
        <f>'Ch9'!W259</f>
        <v>1</v>
      </c>
      <c r="J1805" s="1443"/>
    </row>
    <row r="1806" spans="1:10" x14ac:dyDescent="0.3">
      <c r="B1806" s="311" t="str">
        <f>IF(LEN('Ch9'!H260)=0,"",'Ch9'!H260)</f>
        <v/>
      </c>
      <c r="C1806" s="311" t="str">
        <f t="shared" si="43"/>
        <v/>
      </c>
      <c r="D1806" s="919"/>
      <c r="E1806" s="919"/>
      <c r="F1806" s="925"/>
      <c r="G1806" s="1367"/>
      <c r="J1806" s="1443"/>
    </row>
    <row r="1807" spans="1:10" ht="18" x14ac:dyDescent="0.3">
      <c r="A1807" s="727" t="s">
        <v>4389</v>
      </c>
      <c r="B1807" s="311" t="str">
        <f>IF(LEN('Ch9'!H261)=0,"",'Ch9'!H261)</f>
        <v/>
      </c>
      <c r="C1807" s="311" t="str">
        <f t="shared" si="43"/>
        <v>P</v>
      </c>
      <c r="D1807" s="72" t="s">
        <v>3488</v>
      </c>
      <c r="E1807" s="72"/>
      <c r="F1807" s="72"/>
      <c r="G1807" s="87"/>
      <c r="J1807" s="1000"/>
    </row>
    <row r="1808" spans="1:10" x14ac:dyDescent="0.3">
      <c r="B1808" s="311" t="str">
        <f>IF(LEN('Ch9'!H262)=0,"",'Ch9'!H262)</f>
        <v/>
      </c>
      <c r="C1808" s="311" t="str">
        <f t="shared" si="43"/>
        <v/>
      </c>
      <c r="D1808" s="933">
        <v>904</v>
      </c>
      <c r="E1808" s="204"/>
      <c r="F1808" s="204"/>
      <c r="G1808" s="1313" t="s">
        <v>3489</v>
      </c>
      <c r="J1808" s="989"/>
    </row>
    <row r="1809" spans="1:10" ht="15" thickBot="1" x14ac:dyDescent="0.35">
      <c r="B1809" s="311" t="str">
        <f>IF(LEN('Ch9'!H263)=0,"",'Ch9'!H263)</f>
        <v/>
      </c>
      <c r="C1809" s="311" t="str">
        <f t="shared" si="43"/>
        <v/>
      </c>
      <c r="D1809" s="934"/>
      <c r="E1809" s="934"/>
      <c r="F1809" s="934"/>
      <c r="G1809" s="1332"/>
      <c r="J1809" s="989"/>
    </row>
    <row r="1810" spans="1:10" ht="15" thickTop="1" x14ac:dyDescent="0.3">
      <c r="A1810" s="727" t="str">
        <f>IF(AND(LEN('Ch9'!W264)&gt;0,NOT('Ch9'!W264=FALSE)),"P","")</f>
        <v/>
      </c>
      <c r="B1810" s="311" t="str">
        <f>IF(LEN('Ch9'!H264)=0,"",'Ch9'!H264)</f>
        <v/>
      </c>
      <c r="C1810" s="311" t="str">
        <f t="shared" si="43"/>
        <v/>
      </c>
      <c r="D1810" s="937">
        <v>904.1</v>
      </c>
      <c r="E1810" s="954"/>
      <c r="F1810" s="954"/>
      <c r="G1810" s="1331" t="s">
        <v>3490</v>
      </c>
      <c r="H1810" s="89">
        <f>'Ch9'!W264</f>
        <v>0</v>
      </c>
      <c r="I1810" s="89">
        <f>'Ch9'!O264</f>
        <v>0</v>
      </c>
      <c r="J1810" s="1441" t="s">
        <v>4226</v>
      </c>
    </row>
    <row r="1811" spans="1:10" x14ac:dyDescent="0.3">
      <c r="A1811" s="727" t="str">
        <f>A1810</f>
        <v/>
      </c>
      <c r="B1811" s="311" t="str">
        <f>IF(LEN('Ch9'!H265)=0,"",'Ch9'!H265)</f>
        <v/>
      </c>
      <c r="C1811" s="311" t="str">
        <f t="shared" si="43"/>
        <v/>
      </c>
      <c r="D1811" s="204"/>
      <c r="E1811" s="204"/>
      <c r="F1811" s="204"/>
      <c r="G1811" s="1313"/>
      <c r="J1811" s="1441"/>
    </row>
    <row r="1812" spans="1:10" x14ac:dyDescent="0.3">
      <c r="A1812" s="727" t="str">
        <f>A1811</f>
        <v/>
      </c>
      <c r="B1812" s="311" t="str">
        <f>IF(LEN('Ch9'!H266)=0,"",'Ch9'!H266)</f>
        <v/>
      </c>
      <c r="C1812" s="311" t="str">
        <f t="shared" si="43"/>
        <v/>
      </c>
      <c r="D1812" s="204"/>
      <c r="E1812" s="204"/>
      <c r="F1812" s="204"/>
      <c r="G1812" s="1313"/>
      <c r="J1812" s="1441"/>
    </row>
    <row r="1813" spans="1:10" x14ac:dyDescent="0.3">
      <c r="A1813" s="727" t="str">
        <f>A1812</f>
        <v/>
      </c>
      <c r="B1813" s="311" t="str">
        <f>IF(LEN('Ch9'!H267)=0,"",'Ch9'!H267)</f>
        <v/>
      </c>
      <c r="C1813" s="311" t="str">
        <f t="shared" si="43"/>
        <v/>
      </c>
      <c r="D1813" s="204"/>
      <c r="E1813" s="204"/>
      <c r="F1813" s="204"/>
      <c r="G1813" s="1313"/>
      <c r="J1813" s="1441"/>
    </row>
    <row r="1814" spans="1:10" ht="15" thickBot="1" x14ac:dyDescent="0.35">
      <c r="A1814" s="727" t="str">
        <f>A1813</f>
        <v/>
      </c>
      <c r="B1814" s="311" t="str">
        <f>IF(LEN('Ch9'!H268)=0,"",'Ch9'!H268)</f>
        <v/>
      </c>
      <c r="C1814" s="311" t="str">
        <f t="shared" si="43"/>
        <v/>
      </c>
      <c r="D1814" s="934"/>
      <c r="E1814" s="934"/>
      <c r="F1814" s="934"/>
      <c r="G1814" s="1332"/>
      <c r="J1814" s="1441"/>
    </row>
    <row r="1815" spans="1:10" x14ac:dyDescent="0.3">
      <c r="A1815" s="727" t="str">
        <f>IF(AND(LEN('Ch9'!W269)&gt;0,NOT('Ch9'!W269=FALSE)),"P","")</f>
        <v/>
      </c>
      <c r="B1815" s="311" t="str">
        <f>IF(LEN('Ch9'!H269)=0,"",'Ch9'!H269)</f>
        <v/>
      </c>
      <c r="C1815" s="311" t="str">
        <f t="shared" si="43"/>
        <v/>
      </c>
      <c r="D1815" s="152">
        <v>904.2</v>
      </c>
      <c r="E1815" s="919"/>
      <c r="F1815" s="919"/>
      <c r="G1815" s="1292" t="s">
        <v>3491</v>
      </c>
      <c r="H1815" s="89">
        <f>'Ch9'!W269</f>
        <v>0</v>
      </c>
      <c r="I1815" s="89">
        <f>'Ch9'!O269</f>
        <v>0</v>
      </c>
      <c r="J1815" s="1439" t="s">
        <v>4331</v>
      </c>
    </row>
    <row r="1816" spans="1:10" x14ac:dyDescent="0.3">
      <c r="A1816" s="727" t="str">
        <f>A1815</f>
        <v/>
      </c>
      <c r="B1816" s="311" t="str">
        <f>IF(LEN('Ch9'!H270)=0,"",'Ch9'!H270)</f>
        <v/>
      </c>
      <c r="C1816" s="311" t="str">
        <f t="shared" si="43"/>
        <v/>
      </c>
      <c r="D1816" s="919"/>
      <c r="E1816" s="919"/>
      <c r="F1816" s="919"/>
      <c r="G1816" s="1292"/>
      <c r="J1816" s="1439"/>
    </row>
    <row r="1817" spans="1:10" x14ac:dyDescent="0.3">
      <c r="A1817" s="727" t="str">
        <f>A1816</f>
        <v/>
      </c>
      <c r="B1817" s="311" t="str">
        <f>IF(LEN('Ch9'!H271)=0,"",'Ch9'!H271)</f>
        <v/>
      </c>
      <c r="C1817" s="311" t="str">
        <f t="shared" si="43"/>
        <v/>
      </c>
      <c r="D1817" s="919"/>
      <c r="E1817" s="919"/>
      <c r="F1817" s="919"/>
      <c r="G1817" s="1292"/>
      <c r="J1817" s="1439"/>
    </row>
    <row r="1818" spans="1:10" ht="18" x14ac:dyDescent="0.3">
      <c r="A1818" s="727" t="s">
        <v>4389</v>
      </c>
      <c r="B1818" s="311" t="str">
        <f>IF(LEN('Ch9'!H272)=0,"",'Ch9'!H272)</f>
        <v/>
      </c>
      <c r="C1818" s="311" t="str">
        <f t="shared" si="43"/>
        <v>P</v>
      </c>
      <c r="D1818" s="72" t="s">
        <v>3492</v>
      </c>
      <c r="E1818" s="72"/>
      <c r="F1818" s="72"/>
      <c r="G1818" s="87"/>
      <c r="J1818" s="1000"/>
    </row>
    <row r="1819" spans="1:10" x14ac:dyDescent="0.3">
      <c r="A1819" s="727" t="str">
        <f>IF(AND(LEN('Ch9'!W273)&gt;0,NOT('Ch9'!W273=FALSE)),"P","")</f>
        <v/>
      </c>
      <c r="B1819" s="311" t="str">
        <f>IF(LEN('Ch9'!H273)=0,"",'Ch9'!H273)</f>
        <v/>
      </c>
      <c r="C1819" s="311" t="str">
        <f t="shared" si="43"/>
        <v/>
      </c>
      <c r="D1819" s="106">
        <v>905.1</v>
      </c>
      <c r="E1819" s="204"/>
      <c r="F1819" s="204"/>
      <c r="G1819" s="1313" t="s">
        <v>3493</v>
      </c>
      <c r="H1819" s="89">
        <f>'Ch9'!W273</f>
        <v>0</v>
      </c>
      <c r="I1819" s="89">
        <f>'Ch9'!O273</f>
        <v>0</v>
      </c>
      <c r="J1819" s="1439" t="s">
        <v>4226</v>
      </c>
    </row>
    <row r="1820" spans="1:10" x14ac:dyDescent="0.3">
      <c r="A1820" s="727" t="str">
        <f>A1819</f>
        <v/>
      </c>
      <c r="B1820" s="311" t="str">
        <f>IF(LEN('Ch9'!H274)=0,"",'Ch9'!H274)</f>
        <v/>
      </c>
      <c r="C1820" s="311" t="str">
        <f t="shared" si="43"/>
        <v/>
      </c>
      <c r="D1820" s="204"/>
      <c r="E1820" s="204"/>
      <c r="F1820" s="204"/>
      <c r="G1820" s="1313"/>
      <c r="J1820" s="1439"/>
    </row>
    <row r="1821" spans="1:10" x14ac:dyDescent="0.3">
      <c r="A1821" s="727" t="str">
        <f>A1820</f>
        <v/>
      </c>
      <c r="B1821" s="311" t="str">
        <f>IF(LEN('Ch9'!H275)=0,"",'Ch9'!H275)</f>
        <v/>
      </c>
      <c r="C1821" s="311" t="str">
        <f t="shared" si="43"/>
        <v/>
      </c>
      <c r="D1821" s="204"/>
      <c r="E1821" s="204"/>
      <c r="F1821" s="204"/>
      <c r="G1821" s="1313"/>
      <c r="J1821" s="1439"/>
    </row>
    <row r="1822" spans="1:10" x14ac:dyDescent="0.3">
      <c r="A1822" s="727" t="str">
        <f>A1821</f>
        <v/>
      </c>
      <c r="B1822" s="311" t="str">
        <f>IF(LEN('Ch9'!H276)=0,"",'Ch9'!H276)</f>
        <v/>
      </c>
      <c r="C1822" s="311" t="str">
        <f t="shared" si="43"/>
        <v/>
      </c>
      <c r="D1822" s="204"/>
      <c r="E1822" s="204"/>
      <c r="F1822" s="204"/>
      <c r="G1822" s="1313"/>
      <c r="J1822" s="1439"/>
    </row>
    <row r="1823" spans="1:10" ht="15" thickBot="1" x14ac:dyDescent="0.35">
      <c r="A1823" s="727" t="str">
        <f>A1822</f>
        <v/>
      </c>
      <c r="B1823" s="311" t="str">
        <f>IF(LEN('Ch9'!H277)=0,"",'Ch9'!H277)</f>
        <v/>
      </c>
      <c r="C1823" s="311" t="str">
        <f t="shared" si="43"/>
        <v/>
      </c>
      <c r="D1823" s="934"/>
      <c r="E1823" s="934"/>
      <c r="F1823" s="934"/>
      <c r="G1823" s="1332"/>
      <c r="J1823" s="1439"/>
    </row>
    <row r="1824" spans="1:10" x14ac:dyDescent="0.3">
      <c r="A1824" s="727" t="str">
        <f>IF(AND(LEN('Ch9'!W278)&gt;0,NOT('Ch9'!W278=FALSE)),"P","")</f>
        <v/>
      </c>
      <c r="B1824" s="311" t="str">
        <f>IF(LEN('Ch9'!H278)=0,"",'Ch9'!H278)</f>
        <v/>
      </c>
      <c r="C1824" s="311" t="str">
        <f t="shared" si="43"/>
        <v/>
      </c>
      <c r="D1824" s="152">
        <v>905.2</v>
      </c>
      <c r="E1824" s="919"/>
      <c r="F1824" s="919"/>
      <c r="G1824" s="1292" t="s">
        <v>3494</v>
      </c>
      <c r="H1824" s="89">
        <f>'Ch9'!W278</f>
        <v>0</v>
      </c>
      <c r="I1824" s="89">
        <f>'Ch9'!O278</f>
        <v>0</v>
      </c>
      <c r="J1824" s="1439" t="s">
        <v>4331</v>
      </c>
    </row>
    <row r="1825" spans="1:10" x14ac:dyDescent="0.3">
      <c r="A1825" s="727" t="str">
        <f>A1824</f>
        <v/>
      </c>
      <c r="B1825" s="311" t="str">
        <f>IF(LEN('Ch9'!H279)=0,"",'Ch9'!H279)</f>
        <v/>
      </c>
      <c r="C1825" s="311" t="str">
        <f t="shared" si="43"/>
        <v/>
      </c>
      <c r="D1825" s="919"/>
      <c r="E1825" s="919"/>
      <c r="F1825" s="919"/>
      <c r="G1825" s="1292"/>
      <c r="J1825" s="1439"/>
    </row>
    <row r="1826" spans="1:10" ht="18" x14ac:dyDescent="0.35">
      <c r="A1826" s="727" t="s">
        <v>4389</v>
      </c>
      <c r="B1826" s="311" t="str">
        <f>IF(LEN('Ch10'!H9)=0,"",'Ch10'!H9)</f>
        <v/>
      </c>
      <c r="C1826" s="311" t="str">
        <f t="shared" si="43"/>
        <v>P</v>
      </c>
      <c r="D1826" s="82" t="s">
        <v>3590</v>
      </c>
      <c r="E1826" s="82"/>
      <c r="F1826" s="82"/>
      <c r="G1826" s="23"/>
      <c r="J1826" s="1003"/>
    </row>
    <row r="1827" spans="1:10" x14ac:dyDescent="0.3">
      <c r="B1827" s="311" t="str">
        <f>IF(LEN('Ch10'!H10)=0,"",'Ch10'!H10)</f>
        <v/>
      </c>
      <c r="C1827" s="311" t="str">
        <f t="shared" si="43"/>
        <v/>
      </c>
      <c r="D1827" s="933">
        <v>1001</v>
      </c>
      <c r="E1827" s="204"/>
      <c r="F1827" s="204"/>
      <c r="G1827" s="1313" t="s">
        <v>3495</v>
      </c>
      <c r="J1827" s="989"/>
    </row>
    <row r="1828" spans="1:10" ht="15" thickBot="1" x14ac:dyDescent="0.35">
      <c r="B1828" s="311" t="str">
        <f>IF(LEN('Ch10'!H11)=0,"",'Ch10'!H11)</f>
        <v/>
      </c>
      <c r="C1828" s="311" t="str">
        <f t="shared" si="43"/>
        <v/>
      </c>
      <c r="D1828" s="934"/>
      <c r="E1828" s="934"/>
      <c r="F1828" s="934"/>
      <c r="G1828" s="1332"/>
      <c r="J1828" s="989"/>
    </row>
    <row r="1829" spans="1:10" x14ac:dyDescent="0.3">
      <c r="A1829" s="727" t="str">
        <f>IF('Ch10'!O12&gt;0,"P","")</f>
        <v>P</v>
      </c>
      <c r="B1829" s="311" t="str">
        <f>IF(LEN('Ch10'!H12)=0,"",'Ch10'!H12)</f>
        <v/>
      </c>
      <c r="C1829" s="311" t="str">
        <f t="shared" si="43"/>
        <v>P</v>
      </c>
      <c r="D1829" s="152">
        <v>1001.1</v>
      </c>
      <c r="E1829" s="919"/>
      <c r="F1829" s="919"/>
      <c r="G1829" s="1292" t="s">
        <v>3496</v>
      </c>
      <c r="I1829" s="89">
        <f>'Ch10'!O12</f>
        <v>8</v>
      </c>
      <c r="J1829" s="1443" t="s">
        <v>4359</v>
      </c>
    </row>
    <row r="1830" spans="1:10" x14ac:dyDescent="0.3">
      <c r="A1830" s="727" t="str">
        <f t="shared" ref="A1830:A1837" si="44">A1829</f>
        <v>P</v>
      </c>
      <c r="B1830" s="311" t="str">
        <f>IF(LEN('Ch10'!H13)=0,"",'Ch10'!H13)</f>
        <v/>
      </c>
      <c r="C1830" s="311" t="str">
        <f t="shared" si="43"/>
        <v>P</v>
      </c>
      <c r="D1830" s="919"/>
      <c r="E1830" s="919"/>
      <c r="F1830" s="919"/>
      <c r="G1830" s="1292"/>
      <c r="J1830" s="1443"/>
    </row>
    <row r="1831" spans="1:10" x14ac:dyDescent="0.3">
      <c r="A1831" s="727" t="str">
        <f t="shared" si="44"/>
        <v>P</v>
      </c>
      <c r="B1831" s="311" t="str">
        <f>IF(LEN('Ch10'!H14)=0,"",'Ch10'!H14)</f>
        <v/>
      </c>
      <c r="C1831" s="311" t="str">
        <f t="shared" si="43"/>
        <v>P</v>
      </c>
      <c r="D1831" s="919"/>
      <c r="E1831" s="919"/>
      <c r="F1831" s="919"/>
      <c r="G1831" s="253" t="s">
        <v>3589</v>
      </c>
      <c r="J1831" s="1443"/>
    </row>
    <row r="1832" spans="1:10" ht="15" customHeight="1" x14ac:dyDescent="0.3">
      <c r="A1832" s="727" t="str">
        <f t="shared" si="44"/>
        <v>P</v>
      </c>
      <c r="B1832" s="311" t="str">
        <f>IF(LEN('Ch10'!H15)=0,"",'Ch10'!H15)</f>
        <v/>
      </c>
      <c r="C1832" s="311" t="str">
        <f t="shared" si="43"/>
        <v>P</v>
      </c>
      <c r="D1832" s="919"/>
      <c r="E1832" s="946" t="s">
        <v>271</v>
      </c>
      <c r="F1832" s="232"/>
      <c r="G1832" s="706" t="s">
        <v>3497</v>
      </c>
      <c r="H1832" s="89" t="b">
        <f>'Ch10'!W15</f>
        <v>1</v>
      </c>
      <c r="J1832" s="1443"/>
    </row>
    <row r="1833" spans="1:10" x14ac:dyDescent="0.3">
      <c r="A1833" s="727" t="str">
        <f t="shared" si="44"/>
        <v>P</v>
      </c>
      <c r="B1833" s="311" t="str">
        <f>IF(LEN('Ch10'!H16)=0,"",'Ch10'!H16)</f>
        <v/>
      </c>
      <c r="C1833" s="311" t="str">
        <f t="shared" si="43"/>
        <v>P</v>
      </c>
      <c r="D1833" s="919"/>
      <c r="E1833" s="955" t="s">
        <v>273</v>
      </c>
      <c r="F1833" s="235"/>
      <c r="G1833" s="275" t="s">
        <v>3498</v>
      </c>
      <c r="H1833" s="89" t="b">
        <f>'Ch10'!W16</f>
        <v>1</v>
      </c>
      <c r="J1833" s="1443"/>
    </row>
    <row r="1834" spans="1:10" x14ac:dyDescent="0.3">
      <c r="A1834" s="727" t="str">
        <f t="shared" si="44"/>
        <v>P</v>
      </c>
      <c r="B1834" s="311" t="str">
        <f>IF(LEN('Ch10'!H17)=0,"",'Ch10'!H17)</f>
        <v/>
      </c>
      <c r="C1834" s="311" t="str">
        <f t="shared" si="43"/>
        <v>P</v>
      </c>
      <c r="D1834" s="919"/>
      <c r="E1834" s="958" t="s">
        <v>275</v>
      </c>
      <c r="F1834" s="959"/>
      <c r="G1834" s="1356" t="s">
        <v>3499</v>
      </c>
      <c r="H1834" s="89" t="b">
        <f>'Ch10'!W17</f>
        <v>1</v>
      </c>
      <c r="J1834" s="1443"/>
    </row>
    <row r="1835" spans="1:10" x14ac:dyDescent="0.3">
      <c r="A1835" s="727" t="str">
        <f t="shared" si="44"/>
        <v>P</v>
      </c>
      <c r="B1835" s="311" t="str">
        <f>IF(LEN('Ch10'!H18)=0,"",'Ch10'!H18)</f>
        <v/>
      </c>
      <c r="C1835" s="311" t="str">
        <f t="shared" si="43"/>
        <v>P</v>
      </c>
      <c r="D1835" s="919"/>
      <c r="E1835" s="926"/>
      <c r="F1835" s="204"/>
      <c r="G1835" s="1305"/>
      <c r="J1835" s="1443"/>
    </row>
    <row r="1836" spans="1:10" x14ac:dyDescent="0.3">
      <c r="A1836" s="727" t="str">
        <f t="shared" si="44"/>
        <v>P</v>
      </c>
      <c r="B1836" s="311" t="str">
        <f>IF(LEN('Ch10'!H19)=0,"",'Ch10'!H19)</f>
        <v/>
      </c>
      <c r="C1836" s="311" t="str">
        <f t="shared" si="43"/>
        <v>P</v>
      </c>
      <c r="D1836" s="919"/>
      <c r="E1836" s="926"/>
      <c r="F1836" s="204"/>
      <c r="G1836" s="1305"/>
      <c r="J1836" s="1443"/>
    </row>
    <row r="1837" spans="1:10" x14ac:dyDescent="0.3">
      <c r="A1837" s="727" t="str">
        <f t="shared" si="44"/>
        <v>P</v>
      </c>
      <c r="B1837" s="311" t="str">
        <f>IF(LEN('Ch10'!H20)=0,"",'Ch10'!H20)</f>
        <v/>
      </c>
      <c r="C1837" s="311" t="str">
        <f t="shared" si="43"/>
        <v>P</v>
      </c>
      <c r="D1837" s="919"/>
      <c r="E1837" s="946"/>
      <c r="F1837" s="232"/>
      <c r="G1837" s="1306"/>
      <c r="J1837" s="1443"/>
    </row>
    <row r="1838" spans="1:10" x14ac:dyDescent="0.3">
      <c r="B1838" s="311" t="str">
        <f>IF(LEN('Ch10'!H21)=0,"",'Ch10'!H21)</f>
        <v/>
      </c>
      <c r="C1838" s="311" t="str">
        <f t="shared" si="43"/>
        <v/>
      </c>
      <c r="D1838" s="919"/>
      <c r="E1838" s="955" t="s">
        <v>285</v>
      </c>
      <c r="F1838" s="235"/>
      <c r="G1838" s="275" t="s">
        <v>3500</v>
      </c>
      <c r="H1838" s="89" t="b">
        <f>'Ch10'!W21</f>
        <v>1</v>
      </c>
      <c r="J1838" s="1001"/>
    </row>
    <row r="1839" spans="1:10" x14ac:dyDescent="0.3">
      <c r="B1839" s="311" t="str">
        <f>IF(LEN('Ch10'!H22)=0,"",'Ch10'!H22)</f>
        <v/>
      </c>
      <c r="C1839" s="311" t="str">
        <f t="shared" si="43"/>
        <v/>
      </c>
      <c r="D1839" s="919"/>
      <c r="E1839" s="955" t="s">
        <v>291</v>
      </c>
      <c r="F1839" s="235"/>
      <c r="G1839" s="275" t="s">
        <v>3501</v>
      </c>
      <c r="H1839" s="89" t="b">
        <f>'Ch10'!W22</f>
        <v>1</v>
      </c>
      <c r="J1839" s="1001"/>
    </row>
    <row r="1840" spans="1:10" x14ac:dyDescent="0.3">
      <c r="B1840" s="311" t="str">
        <f>IF(LEN('Ch10'!H23)=0,"",'Ch10'!H23)</f>
        <v/>
      </c>
      <c r="C1840" s="311" t="str">
        <f t="shared" si="43"/>
        <v/>
      </c>
      <c r="D1840" s="919"/>
      <c r="E1840" s="958" t="s">
        <v>293</v>
      </c>
      <c r="F1840" s="959"/>
      <c r="G1840" s="1449" t="s">
        <v>3502</v>
      </c>
      <c r="H1840" s="89" t="b">
        <f>'Ch10'!W23</f>
        <v>1</v>
      </c>
      <c r="J1840" s="1001"/>
    </row>
    <row r="1841" spans="1:10" x14ac:dyDescent="0.3">
      <c r="B1841" s="311" t="str">
        <f>IF(LEN('Ch10'!H24)=0,"",'Ch10'!H24)</f>
        <v/>
      </c>
      <c r="C1841" s="311" t="str">
        <f t="shared" si="43"/>
        <v/>
      </c>
      <c r="D1841" s="919"/>
      <c r="E1841" s="946"/>
      <c r="F1841" s="232"/>
      <c r="G1841" s="1450"/>
      <c r="J1841" s="996"/>
    </row>
    <row r="1842" spans="1:10" x14ac:dyDescent="0.3">
      <c r="B1842" s="311" t="str">
        <f>IF(LEN('Ch10'!H25)=0,"",'Ch10'!H25)</f>
        <v/>
      </c>
      <c r="C1842" s="311" t="str">
        <f t="shared" si="43"/>
        <v/>
      </c>
      <c r="D1842" s="919"/>
      <c r="E1842" s="958" t="s">
        <v>405</v>
      </c>
      <c r="F1842" s="959"/>
      <c r="G1842" s="1356" t="s">
        <v>3503</v>
      </c>
      <c r="H1842" s="89" t="b">
        <f>'Ch10'!W25</f>
        <v>1</v>
      </c>
      <c r="J1842" s="996"/>
    </row>
    <row r="1843" spans="1:10" x14ac:dyDescent="0.3">
      <c r="B1843" s="311" t="str">
        <f>IF(LEN('Ch10'!H26)=0,"",'Ch10'!H26)</f>
        <v/>
      </c>
      <c r="C1843" s="311" t="str">
        <f t="shared" si="43"/>
        <v/>
      </c>
      <c r="D1843" s="919"/>
      <c r="E1843" s="946"/>
      <c r="F1843" s="232"/>
      <c r="G1843" s="1306"/>
      <c r="J1843" s="996"/>
    </row>
    <row r="1844" spans="1:10" x14ac:dyDescent="0.3">
      <c r="B1844" s="311" t="str">
        <f>IF(LEN('Ch10'!H27)=0,"",'Ch10'!H27)</f>
        <v/>
      </c>
      <c r="C1844" s="311" t="str">
        <f t="shared" si="43"/>
        <v/>
      </c>
      <c r="D1844" s="919"/>
      <c r="E1844" s="955" t="s">
        <v>456</v>
      </c>
      <c r="F1844" s="235"/>
      <c r="G1844" s="275" t="s">
        <v>3504</v>
      </c>
      <c r="H1844" s="89" t="b">
        <f>'Ch10'!W27</f>
        <v>1</v>
      </c>
      <c r="J1844" s="996"/>
    </row>
    <row r="1845" spans="1:10" ht="15" customHeight="1" x14ac:dyDescent="0.3">
      <c r="B1845" s="311" t="str">
        <f>IF(LEN('Ch10'!H28)=0,"",'Ch10'!H28)</f>
        <v/>
      </c>
      <c r="C1845" s="311" t="str">
        <f t="shared" si="43"/>
        <v/>
      </c>
      <c r="D1845" s="919"/>
      <c r="E1845" s="925" t="s">
        <v>458</v>
      </c>
      <c r="F1845" s="919"/>
      <c r="G1845" s="1355" t="s">
        <v>3505</v>
      </c>
      <c r="H1845" s="89" t="b">
        <f>'Ch10'!W28</f>
        <v>1</v>
      </c>
      <c r="J1845" s="996"/>
    </row>
    <row r="1846" spans="1:10" s="1082" customFormat="1" ht="15" customHeight="1" x14ac:dyDescent="0.3">
      <c r="A1846" s="727"/>
      <c r="B1846" s="311" t="str">
        <f>IF(LEN('Ch10'!H29)=0,"",'Ch10'!H29)</f>
        <v/>
      </c>
      <c r="C1846" s="311" t="str">
        <f t="shared" si="43"/>
        <v/>
      </c>
      <c r="D1846" s="924"/>
      <c r="E1846" s="925"/>
      <c r="F1846" s="924"/>
      <c r="G1846" s="1294"/>
      <c r="H1846" s="89"/>
      <c r="I1846" s="89"/>
      <c r="J1846" s="996"/>
    </row>
    <row r="1847" spans="1:10" x14ac:dyDescent="0.3">
      <c r="B1847" s="311" t="str">
        <f>IF(LEN('Ch10'!H30)=0,"",'Ch10'!H30)</f>
        <v/>
      </c>
      <c r="C1847" s="311" t="str">
        <f t="shared" si="43"/>
        <v/>
      </c>
      <c r="D1847" s="919"/>
      <c r="E1847" s="955" t="s">
        <v>460</v>
      </c>
      <c r="F1847" s="235"/>
      <c r="G1847" s="275" t="s">
        <v>3506</v>
      </c>
      <c r="H1847" s="89" t="b">
        <f>'Ch10'!W30</f>
        <v>1</v>
      </c>
      <c r="J1847" s="996"/>
    </row>
    <row r="1848" spans="1:10" ht="15" customHeight="1" x14ac:dyDescent="0.3">
      <c r="B1848" s="311" t="str">
        <f>IF(LEN('Ch10'!H31)=0,"",'Ch10'!H31)</f>
        <v/>
      </c>
      <c r="C1848" s="311" t="str">
        <f t="shared" si="43"/>
        <v/>
      </c>
      <c r="D1848" s="919"/>
      <c r="E1848" s="925" t="s">
        <v>462</v>
      </c>
      <c r="F1848" s="919"/>
      <c r="G1848" s="704" t="s">
        <v>3507</v>
      </c>
      <c r="H1848" s="89" t="b">
        <f>'Ch10'!W31</f>
        <v>1</v>
      </c>
      <c r="J1848" s="1001"/>
    </row>
    <row r="1849" spans="1:10" x14ac:dyDescent="0.3">
      <c r="B1849" s="311" t="str">
        <f>IF(LEN('Ch10'!H32)=0,"",'Ch10'!H32)</f>
        <v/>
      </c>
      <c r="C1849" s="311" t="str">
        <f t="shared" si="43"/>
        <v/>
      </c>
      <c r="D1849" s="919"/>
      <c r="E1849" s="958" t="s">
        <v>464</v>
      </c>
      <c r="F1849" s="959"/>
      <c r="G1849" s="1356" t="s">
        <v>3508</v>
      </c>
      <c r="H1849" s="89">
        <f>'Ch10'!W32</f>
        <v>0</v>
      </c>
      <c r="J1849" s="1001"/>
    </row>
    <row r="1850" spans="1:10" x14ac:dyDescent="0.3">
      <c r="B1850" s="311" t="str">
        <f>IF(LEN('Ch10'!H33)=0,"",'Ch10'!H33)</f>
        <v/>
      </c>
      <c r="C1850" s="311" t="str">
        <f t="shared" si="43"/>
        <v/>
      </c>
      <c r="D1850" s="919"/>
      <c r="E1850" s="204"/>
      <c r="F1850" s="204"/>
      <c r="G1850" s="1305"/>
      <c r="J1850" s="1001"/>
    </row>
    <row r="1851" spans="1:10" x14ac:dyDescent="0.3">
      <c r="B1851" s="311" t="str">
        <f>IF(LEN('Ch10'!H34)=0,"",'Ch10'!H34)</f>
        <v/>
      </c>
      <c r="C1851" s="311" t="str">
        <f t="shared" si="43"/>
        <v/>
      </c>
      <c r="D1851" s="919"/>
      <c r="E1851" s="204"/>
      <c r="F1851" s="926" t="s">
        <v>121</v>
      </c>
      <c r="G1851" s="702" t="s">
        <v>3509</v>
      </c>
      <c r="J1851" s="1001"/>
    </row>
    <row r="1852" spans="1:10" x14ac:dyDescent="0.3">
      <c r="B1852" s="311" t="str">
        <f>IF(LEN('Ch10'!H35)=0,"",'Ch10'!H35)</f>
        <v/>
      </c>
      <c r="C1852" s="311" t="str">
        <f t="shared" si="43"/>
        <v/>
      </c>
      <c r="D1852" s="919"/>
      <c r="E1852" s="204"/>
      <c r="F1852" s="926" t="s">
        <v>122</v>
      </c>
      <c r="G1852" s="702" t="s">
        <v>3510</v>
      </c>
      <c r="J1852" s="1001"/>
    </row>
    <row r="1853" spans="1:10" x14ac:dyDescent="0.3">
      <c r="B1853" s="311" t="str">
        <f>IF(LEN('Ch10'!H36)=0,"",'Ch10'!H36)</f>
        <v/>
      </c>
      <c r="C1853" s="311" t="str">
        <f t="shared" si="43"/>
        <v/>
      </c>
      <c r="D1853" s="919"/>
      <c r="E1853" s="204"/>
      <c r="F1853" s="926" t="s">
        <v>123</v>
      </c>
      <c r="G1853" s="1305" t="s">
        <v>3511</v>
      </c>
      <c r="J1853" s="1001"/>
    </row>
    <row r="1854" spans="1:10" x14ac:dyDescent="0.3">
      <c r="B1854" s="311" t="str">
        <f>IF(LEN('Ch10'!H37)=0,"",'Ch10'!H37)</f>
        <v/>
      </c>
      <c r="C1854" s="311" t="str">
        <f t="shared" si="43"/>
        <v/>
      </c>
      <c r="D1854" s="919"/>
      <c r="E1854" s="232"/>
      <c r="F1854" s="232"/>
      <c r="G1854" s="1306"/>
      <c r="J1854" s="1001"/>
    </row>
    <row r="1855" spans="1:10" x14ac:dyDescent="0.3">
      <c r="B1855" s="311" t="str">
        <f>IF(LEN('Ch10'!H38)=0,"",'Ch10'!H38)</f>
        <v/>
      </c>
      <c r="C1855" s="311" t="str">
        <f t="shared" si="43"/>
        <v/>
      </c>
      <c r="D1855" s="919"/>
      <c r="E1855" s="958" t="s">
        <v>3512</v>
      </c>
      <c r="F1855" s="959"/>
      <c r="G1855" s="1356" t="s">
        <v>3513</v>
      </c>
      <c r="H1855" s="89" t="b">
        <f>'Ch10'!W38</f>
        <v>1</v>
      </c>
      <c r="J1855" s="1001"/>
    </row>
    <row r="1856" spans="1:10" x14ac:dyDescent="0.3">
      <c r="B1856" s="311" t="str">
        <f>IF(LEN('Ch10'!H39)=0,"",'Ch10'!H39)</f>
        <v/>
      </c>
      <c r="C1856" s="311" t="str">
        <f t="shared" si="43"/>
        <v/>
      </c>
      <c r="D1856" s="919"/>
      <c r="E1856" s="204"/>
      <c r="F1856" s="204"/>
      <c r="G1856" s="1305"/>
      <c r="J1856" s="1001"/>
    </row>
    <row r="1857" spans="2:10" x14ac:dyDescent="0.3">
      <c r="B1857" s="311" t="str">
        <f>IF(LEN('Ch10'!H40)=0,"",'Ch10'!H40)</f>
        <v/>
      </c>
      <c r="C1857" s="311" t="str">
        <f t="shared" si="43"/>
        <v/>
      </c>
      <c r="D1857" s="919"/>
      <c r="E1857" s="204"/>
      <c r="F1857" s="204"/>
      <c r="G1857" s="1305"/>
      <c r="J1857" s="1001"/>
    </row>
    <row r="1858" spans="2:10" x14ac:dyDescent="0.3">
      <c r="B1858" s="311" t="str">
        <f>IF(LEN('Ch10'!H41)=0,"",'Ch10'!H41)</f>
        <v/>
      </c>
      <c r="C1858" s="311" t="str">
        <f t="shared" si="43"/>
        <v/>
      </c>
      <c r="D1858" s="919"/>
      <c r="E1858" s="232"/>
      <c r="F1858" s="232"/>
      <c r="G1858" s="1306"/>
      <c r="J1858" s="1001"/>
    </row>
    <row r="1859" spans="2:10" x14ac:dyDescent="0.3">
      <c r="B1859" s="311" t="str">
        <f>IF(LEN('Ch10'!H42)=0,"",'Ch10'!H42)</f>
        <v/>
      </c>
      <c r="C1859" s="311" t="str">
        <f t="shared" si="43"/>
        <v/>
      </c>
      <c r="D1859" s="919"/>
      <c r="E1859" s="958" t="s">
        <v>3514</v>
      </c>
      <c r="F1859" s="959"/>
      <c r="G1859" s="1356" t="s">
        <v>3515</v>
      </c>
      <c r="H1859" s="89" t="b">
        <f>'Ch10'!W42</f>
        <v>1</v>
      </c>
      <c r="J1859" s="1001"/>
    </row>
    <row r="1860" spans="2:10" x14ac:dyDescent="0.3">
      <c r="B1860" s="311" t="str">
        <f>IF(LEN('Ch10'!H43)=0,"",'Ch10'!H43)</f>
        <v/>
      </c>
      <c r="C1860" s="311" t="str">
        <f t="shared" si="43"/>
        <v/>
      </c>
      <c r="D1860" s="919"/>
      <c r="E1860" s="232"/>
      <c r="F1860" s="232"/>
      <c r="G1860" s="1306"/>
      <c r="J1860" s="1001"/>
    </row>
    <row r="1861" spans="2:10" x14ac:dyDescent="0.3">
      <c r="B1861" s="311" t="str">
        <f>IF(LEN('Ch10'!H44)=0,"",'Ch10'!H44)</f>
        <v/>
      </c>
      <c r="C1861" s="311" t="str">
        <f t="shared" si="43"/>
        <v/>
      </c>
      <c r="D1861" s="919"/>
      <c r="E1861" s="958" t="s">
        <v>3516</v>
      </c>
      <c r="F1861" s="959"/>
      <c r="G1861" s="1356" t="s">
        <v>3517</v>
      </c>
      <c r="H1861" s="89" t="b">
        <f>'Ch10'!W44</f>
        <v>1</v>
      </c>
      <c r="J1861" s="1001"/>
    </row>
    <row r="1862" spans="2:10" x14ac:dyDescent="0.3">
      <c r="B1862" s="311" t="str">
        <f>IF(LEN('Ch10'!H45)=0,"",'Ch10'!H45)</f>
        <v/>
      </c>
      <c r="C1862" s="311" t="str">
        <f t="shared" si="43"/>
        <v/>
      </c>
      <c r="D1862" s="919"/>
      <c r="E1862" s="232"/>
      <c r="F1862" s="232"/>
      <c r="G1862" s="1306"/>
      <c r="J1862" s="1001"/>
    </row>
    <row r="1863" spans="2:10" x14ac:dyDescent="0.3">
      <c r="B1863" s="311" t="str">
        <f>IF(LEN('Ch10'!H46)=0,"",'Ch10'!H46)</f>
        <v/>
      </c>
      <c r="C1863" s="311" t="str">
        <f t="shared" si="43"/>
        <v/>
      </c>
      <c r="D1863" s="919"/>
      <c r="E1863" s="955" t="s">
        <v>3518</v>
      </c>
      <c r="F1863" s="235"/>
      <c r="G1863" s="275" t="s">
        <v>3519</v>
      </c>
      <c r="H1863" s="89">
        <f>'Ch10'!W46</f>
        <v>0</v>
      </c>
      <c r="J1863" s="1001"/>
    </row>
    <row r="1864" spans="2:10" x14ac:dyDescent="0.3">
      <c r="B1864" s="311" t="str">
        <f>IF(LEN('Ch10'!H47)=0,"",'Ch10'!H47)</f>
        <v/>
      </c>
      <c r="C1864" s="311" t="str">
        <f t="shared" ref="C1864:C1927" si="45">IF(LEN(B1864)=0,IF(A1864="P","P",""),B1864)</f>
        <v/>
      </c>
      <c r="D1864" s="919"/>
      <c r="E1864" s="958" t="s">
        <v>3520</v>
      </c>
      <c r="F1864" s="959"/>
      <c r="G1864" s="1454" t="s">
        <v>3521</v>
      </c>
      <c r="H1864" s="89" t="b">
        <f>'Ch10'!W47</f>
        <v>1</v>
      </c>
      <c r="J1864" s="1001"/>
    </row>
    <row r="1865" spans="2:10" x14ac:dyDescent="0.3">
      <c r="B1865" s="311" t="str">
        <f>IF(LEN('Ch10'!H48)=0,"",'Ch10'!H48)</f>
        <v/>
      </c>
      <c r="C1865" s="311" t="str">
        <f t="shared" si="45"/>
        <v/>
      </c>
      <c r="D1865" s="919"/>
      <c r="E1865" s="946"/>
      <c r="F1865" s="232"/>
      <c r="G1865" s="1455"/>
      <c r="J1865" s="1001"/>
    </row>
    <row r="1866" spans="2:10" x14ac:dyDescent="0.3">
      <c r="B1866" s="311" t="str">
        <f>IF(LEN('Ch10'!H49)=0,"",'Ch10'!H49)</f>
        <v/>
      </c>
      <c r="C1866" s="311" t="str">
        <f t="shared" si="45"/>
        <v/>
      </c>
      <c r="D1866" s="919"/>
      <c r="E1866" s="958" t="s">
        <v>3522</v>
      </c>
      <c r="F1866" s="959"/>
      <c r="G1866" s="1356" t="s">
        <v>3523</v>
      </c>
      <c r="H1866" s="89" t="b">
        <f>'Ch10'!W49</f>
        <v>1</v>
      </c>
      <c r="J1866" s="1001"/>
    </row>
    <row r="1867" spans="2:10" x14ac:dyDescent="0.3">
      <c r="B1867" s="311" t="str">
        <f>IF(LEN('Ch10'!H50)=0,"",'Ch10'!H50)</f>
        <v/>
      </c>
      <c r="C1867" s="311" t="str">
        <f t="shared" si="45"/>
        <v/>
      </c>
      <c r="D1867" s="919"/>
      <c r="E1867" s="232"/>
      <c r="F1867" s="232"/>
      <c r="G1867" s="1306"/>
      <c r="J1867" s="1001"/>
    </row>
    <row r="1868" spans="2:10" x14ac:dyDescent="0.3">
      <c r="B1868" s="311" t="str">
        <f>IF(LEN('Ch10'!H51)=0,"",'Ch10'!H51)</f>
        <v/>
      </c>
      <c r="C1868" s="311" t="str">
        <f t="shared" si="45"/>
        <v/>
      </c>
      <c r="D1868" s="919"/>
      <c r="E1868" s="955" t="s">
        <v>3524</v>
      </c>
      <c r="F1868" s="235"/>
      <c r="G1868" s="275" t="s">
        <v>3525</v>
      </c>
      <c r="H1868" s="89" t="b">
        <f>'Ch10'!W51</f>
        <v>1</v>
      </c>
      <c r="J1868" s="1001"/>
    </row>
    <row r="1869" spans="2:10" x14ac:dyDescent="0.3">
      <c r="B1869" s="311" t="str">
        <f>IF(LEN('Ch10'!H52)=0,"",'Ch10'!H52)</f>
        <v/>
      </c>
      <c r="C1869" s="311" t="str">
        <f t="shared" si="45"/>
        <v/>
      </c>
      <c r="D1869" s="919"/>
      <c r="E1869" s="958" t="s">
        <v>3526</v>
      </c>
      <c r="F1869" s="959"/>
      <c r="G1869" s="1356" t="s">
        <v>3527</v>
      </c>
      <c r="H1869" s="89" t="b">
        <f>'Ch10'!W52</f>
        <v>1</v>
      </c>
      <c r="J1869" s="1001"/>
    </row>
    <row r="1870" spans="2:10" x14ac:dyDescent="0.3">
      <c r="B1870" s="311" t="str">
        <f>IF(LEN('Ch10'!H53)=0,"",'Ch10'!H53)</f>
        <v/>
      </c>
      <c r="C1870" s="311" t="str">
        <f t="shared" si="45"/>
        <v/>
      </c>
      <c r="D1870" s="919"/>
      <c r="E1870" s="232"/>
      <c r="F1870" s="232"/>
      <c r="G1870" s="1306"/>
      <c r="J1870" s="1001"/>
    </row>
    <row r="1871" spans="2:10" x14ac:dyDescent="0.3">
      <c r="B1871" s="311" t="str">
        <f>IF(LEN('Ch10'!H54)=0,"",'Ch10'!H54)</f>
        <v/>
      </c>
      <c r="C1871" s="311" t="str">
        <f t="shared" si="45"/>
        <v/>
      </c>
      <c r="D1871" s="919"/>
      <c r="E1871" s="958" t="s">
        <v>3528</v>
      </c>
      <c r="F1871" s="959"/>
      <c r="G1871" s="1356" t="s">
        <v>3529</v>
      </c>
      <c r="H1871" s="89" t="b">
        <f>'Ch10'!W54</f>
        <v>1</v>
      </c>
      <c r="J1871" s="1001"/>
    </row>
    <row r="1872" spans="2:10" x14ac:dyDescent="0.3">
      <c r="B1872" s="311" t="str">
        <f>IF(LEN('Ch10'!H55)=0,"",'Ch10'!H55)</f>
        <v/>
      </c>
      <c r="C1872" s="311" t="str">
        <f t="shared" si="45"/>
        <v/>
      </c>
      <c r="D1872" s="919"/>
      <c r="E1872" s="232"/>
      <c r="F1872" s="232"/>
      <c r="G1872" s="1306"/>
      <c r="J1872" s="1001"/>
    </row>
    <row r="1873" spans="1:10" x14ac:dyDescent="0.3">
      <c r="B1873" s="311" t="str">
        <f>IF(LEN('Ch10'!H56)=0,"",'Ch10'!H56)</f>
        <v/>
      </c>
      <c r="C1873" s="311" t="str">
        <f t="shared" si="45"/>
        <v/>
      </c>
      <c r="D1873" s="919"/>
      <c r="E1873" s="958" t="s">
        <v>3530</v>
      </c>
      <c r="F1873" s="959"/>
      <c r="G1873" s="1356" t="s">
        <v>3531</v>
      </c>
      <c r="H1873" s="89">
        <f>'Ch10'!W56</f>
        <v>0</v>
      </c>
      <c r="J1873" s="1001"/>
    </row>
    <row r="1874" spans="1:10" x14ac:dyDescent="0.3">
      <c r="B1874" s="311" t="str">
        <f>IF(LEN('Ch10'!H57)=0,"",'Ch10'!H57)</f>
        <v/>
      </c>
      <c r="C1874" s="311" t="str">
        <f t="shared" si="45"/>
        <v/>
      </c>
      <c r="D1874" s="919"/>
      <c r="E1874" s="232"/>
      <c r="F1874" s="232"/>
      <c r="G1874" s="1306"/>
      <c r="J1874" s="1001"/>
    </row>
    <row r="1875" spans="1:10" x14ac:dyDescent="0.3">
      <c r="B1875" s="311" t="str">
        <f>IF(LEN('Ch10'!H58)=0,"",'Ch10'!H58)</f>
        <v/>
      </c>
      <c r="C1875" s="311" t="str">
        <f t="shared" si="45"/>
        <v/>
      </c>
      <c r="D1875" s="919"/>
      <c r="E1875" s="955" t="s">
        <v>3532</v>
      </c>
      <c r="F1875" s="235"/>
      <c r="G1875" s="275" t="s">
        <v>3533</v>
      </c>
      <c r="H1875" s="89">
        <f>'Ch10'!W58</f>
        <v>0</v>
      </c>
      <c r="J1875" s="1001"/>
    </row>
    <row r="1876" spans="1:10" ht="15" thickBot="1" x14ac:dyDescent="0.35">
      <c r="B1876" s="311" t="str">
        <f>IF(LEN('Ch10'!H59)=0,"",'Ch10'!H59)</f>
        <v/>
      </c>
      <c r="C1876" s="311" t="str">
        <f t="shared" si="45"/>
        <v/>
      </c>
      <c r="D1876" s="934"/>
      <c r="E1876" s="931" t="s">
        <v>3534</v>
      </c>
      <c r="F1876" s="934"/>
      <c r="G1876" s="703" t="s">
        <v>3535</v>
      </c>
      <c r="H1876" s="89">
        <f>'Ch10'!W59</f>
        <v>0</v>
      </c>
      <c r="J1876" s="1001"/>
    </row>
    <row r="1877" spans="1:10" ht="15.75" customHeight="1" thickTop="1" x14ac:dyDescent="0.3">
      <c r="A1877" s="727" t="str">
        <f>IF(AND(LEN('Ch10'!W60)&gt;0,NOT('Ch10'!W60=FALSE)),"P","")</f>
        <v>P</v>
      </c>
      <c r="B1877" s="311" t="str">
        <f>IF(LEN('Ch10'!H60)=0,"",'Ch10'!H60)</f>
        <v/>
      </c>
      <c r="C1877" s="311" t="str">
        <f t="shared" si="45"/>
        <v>P</v>
      </c>
      <c r="D1877" s="111">
        <v>1001.2</v>
      </c>
      <c r="E1877" s="954"/>
      <c r="F1877" s="954"/>
      <c r="G1877" s="1331" t="s">
        <v>3536</v>
      </c>
      <c r="H1877" s="89" t="b">
        <f>'Ch10'!W60</f>
        <v>1</v>
      </c>
      <c r="J1877" s="1443" t="s">
        <v>4332</v>
      </c>
    </row>
    <row r="1878" spans="1:10" x14ac:dyDescent="0.3">
      <c r="A1878" s="727" t="str">
        <f>A1877</f>
        <v>P</v>
      </c>
      <c r="B1878" s="311" t="str">
        <f>IF(LEN('Ch10'!H61)=0,"",'Ch10'!H61)</f>
        <v/>
      </c>
      <c r="C1878" s="311" t="str">
        <f t="shared" si="45"/>
        <v>P</v>
      </c>
      <c r="D1878" s="204"/>
      <c r="E1878" s="204"/>
      <c r="F1878" s="204"/>
      <c r="G1878" s="1313"/>
      <c r="J1878" s="1443"/>
    </row>
    <row r="1879" spans="1:10" x14ac:dyDescent="0.3">
      <c r="A1879" s="727" t="str">
        <f>A1878</f>
        <v>P</v>
      </c>
      <c r="B1879" s="311" t="str">
        <f>IF(LEN('Ch10'!H62)=0,"",'Ch10'!H62)</f>
        <v/>
      </c>
      <c r="C1879" s="311" t="str">
        <f t="shared" si="45"/>
        <v>P</v>
      </c>
      <c r="D1879" s="204"/>
      <c r="E1879" s="204"/>
      <c r="F1879" s="204"/>
      <c r="G1879" s="1313"/>
      <c r="J1879" s="1443"/>
    </row>
    <row r="1880" spans="1:10" x14ac:dyDescent="0.3">
      <c r="A1880" s="727" t="str">
        <f>A1879</f>
        <v>P</v>
      </c>
      <c r="B1880" s="311" t="str">
        <f>IF(LEN('Ch10'!H63)=0,"",'Ch10'!H63)</f>
        <v/>
      </c>
      <c r="C1880" s="311" t="str">
        <f t="shared" si="45"/>
        <v>P</v>
      </c>
      <c r="D1880" s="204"/>
      <c r="E1880" s="204"/>
      <c r="F1880" s="204"/>
      <c r="G1880" s="1313"/>
      <c r="J1880" s="1443"/>
    </row>
    <row r="1881" spans="1:10" x14ac:dyDescent="0.3">
      <c r="B1881" s="311" t="str">
        <f>IF(LEN('Ch10'!H64)=0,"",'Ch10'!H64)</f>
        <v/>
      </c>
      <c r="C1881" s="311" t="str">
        <f t="shared" si="45"/>
        <v/>
      </c>
      <c r="D1881" s="919"/>
      <c r="E1881" s="926" t="s">
        <v>271</v>
      </c>
      <c r="F1881" s="204"/>
      <c r="G1881" s="702" t="s">
        <v>3537</v>
      </c>
      <c r="J1881" s="1001"/>
    </row>
    <row r="1882" spans="1:10" x14ac:dyDescent="0.3">
      <c r="B1882" s="311" t="str">
        <f>IF(LEN('Ch10'!H65)=0,"",'Ch10'!H65)</f>
        <v/>
      </c>
      <c r="C1882" s="311" t="str">
        <f t="shared" si="45"/>
        <v/>
      </c>
      <c r="D1882" s="919"/>
      <c r="E1882" s="926" t="s">
        <v>273</v>
      </c>
      <c r="F1882" s="204"/>
      <c r="G1882" s="702" t="s">
        <v>3538</v>
      </c>
      <c r="J1882" s="1001"/>
    </row>
    <row r="1883" spans="1:10" x14ac:dyDescent="0.3">
      <c r="B1883" s="311" t="str">
        <f>IF(LEN('Ch10'!H66)=0,"",'Ch10'!H66)</f>
        <v/>
      </c>
      <c r="C1883" s="311" t="str">
        <f t="shared" si="45"/>
        <v/>
      </c>
      <c r="D1883" s="919"/>
      <c r="E1883" s="926" t="s">
        <v>275</v>
      </c>
      <c r="F1883" s="204"/>
      <c r="G1883" s="702" t="s">
        <v>3539</v>
      </c>
      <c r="J1883" s="1001"/>
    </row>
    <row r="1884" spans="1:10" x14ac:dyDescent="0.3">
      <c r="B1884" s="311" t="str">
        <f>IF(LEN('Ch10'!H67)=0,"",'Ch10'!H67)</f>
        <v/>
      </c>
      <c r="C1884" s="311" t="str">
        <f t="shared" si="45"/>
        <v/>
      </c>
      <c r="D1884" s="919"/>
      <c r="E1884" s="926" t="s">
        <v>285</v>
      </c>
      <c r="F1884" s="204"/>
      <c r="G1884" s="702" t="s">
        <v>3540</v>
      </c>
      <c r="J1884" s="1001"/>
    </row>
    <row r="1885" spans="1:10" x14ac:dyDescent="0.3">
      <c r="B1885" s="311" t="str">
        <f>IF(LEN('Ch10'!H68)=0,"",'Ch10'!H68)</f>
        <v/>
      </c>
      <c r="C1885" s="311" t="str">
        <f t="shared" si="45"/>
        <v/>
      </c>
      <c r="D1885" s="919"/>
      <c r="E1885" s="926" t="s">
        <v>291</v>
      </c>
      <c r="F1885" s="204"/>
      <c r="G1885" s="702" t="s">
        <v>3541</v>
      </c>
      <c r="J1885" s="1001"/>
    </row>
    <row r="1886" spans="1:10" x14ac:dyDescent="0.3">
      <c r="B1886" s="311" t="str">
        <f>IF(LEN('Ch10'!H69)=0,"",'Ch10'!H69)</f>
        <v/>
      </c>
      <c r="C1886" s="311" t="str">
        <f t="shared" si="45"/>
        <v/>
      </c>
      <c r="D1886" s="919"/>
      <c r="E1886" s="926" t="s">
        <v>293</v>
      </c>
      <c r="F1886" s="204"/>
      <c r="G1886" s="702" t="s">
        <v>3542</v>
      </c>
      <c r="J1886" s="1001"/>
    </row>
    <row r="1887" spans="1:10" x14ac:dyDescent="0.3">
      <c r="B1887" s="311" t="str">
        <f>IF(LEN('Ch10'!H70)=0,"",'Ch10'!H70)</f>
        <v/>
      </c>
      <c r="C1887" s="311" t="str">
        <f t="shared" si="45"/>
        <v/>
      </c>
      <c r="D1887" s="919"/>
      <c r="E1887" s="925" t="s">
        <v>405</v>
      </c>
      <c r="F1887" s="919"/>
      <c r="G1887" s="704" t="s">
        <v>3543</v>
      </c>
      <c r="J1887" s="1001"/>
    </row>
    <row r="1888" spans="1:10" ht="18" x14ac:dyDescent="0.3">
      <c r="A1888" s="727" t="s">
        <v>4389</v>
      </c>
      <c r="B1888" s="311" t="str">
        <f>IF(LEN('Ch10'!H71)=0,"",'Ch10'!H71)</f>
        <v/>
      </c>
      <c r="C1888" s="311" t="str">
        <f t="shared" si="45"/>
        <v>P</v>
      </c>
      <c r="D1888" s="72" t="s">
        <v>3544</v>
      </c>
      <c r="E1888" s="72"/>
      <c r="F1888" s="72"/>
      <c r="G1888" s="258"/>
      <c r="J1888" s="1012"/>
    </row>
    <row r="1889" spans="1:10" x14ac:dyDescent="0.3">
      <c r="B1889" s="311" t="str">
        <f>IF(LEN('Ch10'!H72)=0,"",'Ch10'!H72)</f>
        <v/>
      </c>
      <c r="C1889" s="311" t="str">
        <f t="shared" si="45"/>
        <v/>
      </c>
      <c r="D1889" s="933">
        <v>1002</v>
      </c>
      <c r="E1889" s="204"/>
      <c r="F1889" s="204"/>
      <c r="G1889" s="1313" t="s">
        <v>3545</v>
      </c>
      <c r="J1889" s="989"/>
    </row>
    <row r="1890" spans="1:10" x14ac:dyDescent="0.3">
      <c r="B1890" s="311" t="str">
        <f>IF(LEN('Ch10'!H73)=0,"",'Ch10'!H73)</f>
        <v/>
      </c>
      <c r="C1890" s="311" t="str">
        <f t="shared" si="45"/>
        <v/>
      </c>
      <c r="D1890" s="204"/>
      <c r="E1890" s="204"/>
      <c r="F1890" s="204"/>
      <c r="G1890" s="1313"/>
      <c r="J1890" s="996"/>
    </row>
    <row r="1891" spans="1:10" x14ac:dyDescent="0.3">
      <c r="B1891" s="311" t="str">
        <f>IF(LEN('Ch10'!H74)=0,"",'Ch10'!H74)</f>
        <v/>
      </c>
      <c r="C1891" s="311" t="str">
        <f t="shared" si="45"/>
        <v/>
      </c>
      <c r="D1891" s="204"/>
      <c r="E1891" s="204"/>
      <c r="F1891" s="204"/>
      <c r="G1891" s="1313"/>
      <c r="J1891" s="996"/>
    </row>
    <row r="1892" spans="1:10" x14ac:dyDescent="0.3">
      <c r="B1892" s="311" t="str">
        <f>IF(LEN('Ch10'!H75)=0,"",'Ch10'!H75)</f>
        <v/>
      </c>
      <c r="C1892" s="311" t="str">
        <f t="shared" si="45"/>
        <v/>
      </c>
      <c r="D1892" s="204"/>
      <c r="E1892" s="204"/>
      <c r="F1892" s="204"/>
      <c r="G1892" s="1313"/>
      <c r="J1892" s="996"/>
    </row>
    <row r="1893" spans="1:10" x14ac:dyDescent="0.3">
      <c r="B1893" s="311" t="str">
        <f>IF(LEN('Ch10'!H76)=0,"",'Ch10'!H76)</f>
        <v/>
      </c>
      <c r="C1893" s="311" t="str">
        <f t="shared" si="45"/>
        <v/>
      </c>
      <c r="D1893" s="204"/>
      <c r="E1893" s="204"/>
      <c r="F1893" s="204"/>
      <c r="G1893" s="1313"/>
      <c r="J1893" s="996"/>
    </row>
    <row r="1894" spans="1:10" ht="15" thickBot="1" x14ac:dyDescent="0.35">
      <c r="B1894" s="311" t="str">
        <f>IF(LEN('Ch10'!H77)=0,"",'Ch10'!H77)</f>
        <v/>
      </c>
      <c r="C1894" s="311" t="str">
        <f t="shared" si="45"/>
        <v/>
      </c>
      <c r="D1894" s="934"/>
      <c r="E1894" s="934"/>
      <c r="F1894" s="934"/>
      <c r="G1894" s="1332"/>
      <c r="J1894" s="996"/>
    </row>
    <row r="1895" spans="1:10" x14ac:dyDescent="0.3">
      <c r="A1895" s="727" t="str">
        <f>IF('Ch10'!O78&gt;0,"P","")</f>
        <v/>
      </c>
      <c r="B1895" s="311" t="str">
        <f>IF(LEN('Ch10'!H78)=0,"",'Ch10'!H78)</f>
        <v/>
      </c>
      <c r="C1895" s="311" t="str">
        <f t="shared" si="45"/>
        <v/>
      </c>
      <c r="D1895" s="152">
        <v>1002.1</v>
      </c>
      <c r="E1895" s="919"/>
      <c r="F1895" s="919"/>
      <c r="G1895" s="1292" t="s">
        <v>3593</v>
      </c>
      <c r="I1895" s="89">
        <f>'Ch10'!O78</f>
        <v>0</v>
      </c>
      <c r="J1895" s="1443" t="s">
        <v>4360</v>
      </c>
    </row>
    <row r="1896" spans="1:10" x14ac:dyDescent="0.3">
      <c r="A1896" s="727" t="str">
        <f t="shared" ref="A1896:A1905" si="46">A1895</f>
        <v/>
      </c>
      <c r="B1896" s="311" t="str">
        <f>IF(LEN('Ch10'!H79)=0,"",'Ch10'!H79)</f>
        <v/>
      </c>
      <c r="C1896" s="311" t="str">
        <f t="shared" si="45"/>
        <v/>
      </c>
      <c r="D1896" s="919"/>
      <c r="E1896" s="919"/>
      <c r="F1896" s="919"/>
      <c r="G1896" s="1292"/>
      <c r="J1896" s="1443"/>
    </row>
    <row r="1897" spans="1:10" x14ac:dyDescent="0.3">
      <c r="A1897" s="727" t="str">
        <f t="shared" si="46"/>
        <v/>
      </c>
      <c r="B1897" s="311" t="str">
        <f>IF(LEN('Ch10'!H80)=0,"",'Ch10'!H80)</f>
        <v/>
      </c>
      <c r="C1897" s="311" t="str">
        <f t="shared" si="45"/>
        <v/>
      </c>
      <c r="D1897" s="919"/>
      <c r="E1897" s="919"/>
      <c r="F1897" s="919"/>
      <c r="G1897" s="255" t="s">
        <v>3591</v>
      </c>
      <c r="J1897" s="1443"/>
    </row>
    <row r="1898" spans="1:10" ht="15" customHeight="1" x14ac:dyDescent="0.3">
      <c r="A1898" s="727" t="str">
        <f t="shared" si="46"/>
        <v/>
      </c>
      <c r="B1898" s="311" t="str">
        <f>IF(LEN('Ch10'!H81)=0,"",'Ch10'!H81)</f>
        <v/>
      </c>
      <c r="C1898" s="311" t="str">
        <f t="shared" si="45"/>
        <v/>
      </c>
      <c r="D1898" s="919"/>
      <c r="E1898" s="925" t="s">
        <v>271</v>
      </c>
      <c r="F1898" s="919"/>
      <c r="G1898" s="1329" t="s">
        <v>3546</v>
      </c>
      <c r="H1898" s="89">
        <f>'Ch10'!W81</f>
        <v>0</v>
      </c>
      <c r="J1898" s="1443"/>
    </row>
    <row r="1899" spans="1:10" x14ac:dyDescent="0.3">
      <c r="A1899" s="727" t="str">
        <f t="shared" si="46"/>
        <v/>
      </c>
      <c r="B1899" s="311" t="str">
        <f>IF(LEN('Ch10'!H82)=0,"",'Ch10'!H82)</f>
        <v/>
      </c>
      <c r="C1899" s="311" t="str">
        <f t="shared" si="45"/>
        <v/>
      </c>
      <c r="D1899" s="919"/>
      <c r="E1899" s="925"/>
      <c r="F1899" s="919"/>
      <c r="G1899" s="1329"/>
      <c r="J1899" s="1443"/>
    </row>
    <row r="1900" spans="1:10" x14ac:dyDescent="0.3">
      <c r="A1900" s="727" t="str">
        <f t="shared" si="46"/>
        <v/>
      </c>
      <c r="B1900" s="311" t="str">
        <f>IF(LEN('Ch10'!H83)=0,"",'Ch10'!H83)</f>
        <v/>
      </c>
      <c r="C1900" s="311" t="str">
        <f t="shared" si="45"/>
        <v/>
      </c>
      <c r="D1900" s="919"/>
      <c r="E1900" s="925"/>
      <c r="F1900" s="919"/>
      <c r="G1900" s="1329"/>
      <c r="J1900" s="1443"/>
    </row>
    <row r="1901" spans="1:10" x14ac:dyDescent="0.3">
      <c r="A1901" s="727" t="str">
        <f t="shared" si="46"/>
        <v/>
      </c>
      <c r="B1901" s="311" t="str">
        <f>IF(LEN('Ch10'!H84)=0,"",'Ch10'!H84)</f>
        <v/>
      </c>
      <c r="C1901" s="311" t="str">
        <f t="shared" si="45"/>
        <v/>
      </c>
      <c r="D1901" s="919"/>
      <c r="E1901" s="958" t="s">
        <v>273</v>
      </c>
      <c r="F1901" s="959"/>
      <c r="G1901" s="1356" t="s">
        <v>3547</v>
      </c>
      <c r="H1901" s="89">
        <f>'Ch10'!W84</f>
        <v>0</v>
      </c>
      <c r="J1901" s="1443"/>
    </row>
    <row r="1902" spans="1:10" x14ac:dyDescent="0.3">
      <c r="A1902" s="727" t="str">
        <f t="shared" si="46"/>
        <v/>
      </c>
      <c r="B1902" s="311" t="str">
        <f>IF(LEN('Ch10'!H85)=0,"",'Ch10'!H85)</f>
        <v/>
      </c>
      <c r="C1902" s="311" t="str">
        <f t="shared" si="45"/>
        <v/>
      </c>
      <c r="D1902" s="919"/>
      <c r="E1902" s="926"/>
      <c r="F1902" s="204"/>
      <c r="G1902" s="1305"/>
      <c r="J1902" s="1443"/>
    </row>
    <row r="1903" spans="1:10" x14ac:dyDescent="0.3">
      <c r="A1903" s="727" t="str">
        <f t="shared" si="46"/>
        <v/>
      </c>
      <c r="B1903" s="311" t="str">
        <f>IF(LEN('Ch10'!H86)=0,"",'Ch10'!H86)</f>
        <v/>
      </c>
      <c r="C1903" s="311" t="str">
        <f t="shared" si="45"/>
        <v/>
      </c>
      <c r="D1903" s="919"/>
      <c r="E1903" s="946"/>
      <c r="F1903" s="232"/>
      <c r="G1903" s="1306"/>
      <c r="J1903" s="1443"/>
    </row>
    <row r="1904" spans="1:10" x14ac:dyDescent="0.3">
      <c r="A1904" s="727" t="str">
        <f t="shared" si="46"/>
        <v/>
      </c>
      <c r="B1904" s="311" t="str">
        <f>IF(LEN('Ch10'!H87)=0,"",'Ch10'!H87)</f>
        <v/>
      </c>
      <c r="C1904" s="311" t="str">
        <f t="shared" si="45"/>
        <v/>
      </c>
      <c r="D1904" s="919"/>
      <c r="E1904" s="925" t="s">
        <v>275</v>
      </c>
      <c r="F1904" s="919"/>
      <c r="G1904" s="1329" t="s">
        <v>3548</v>
      </c>
      <c r="H1904" s="89">
        <f>'Ch10'!W87</f>
        <v>0</v>
      </c>
      <c r="J1904" s="1443"/>
    </row>
    <row r="1905" spans="1:10" x14ac:dyDescent="0.3">
      <c r="A1905" s="727" t="str">
        <f t="shared" si="46"/>
        <v/>
      </c>
      <c r="B1905" s="311" t="str">
        <f>IF(LEN('Ch10'!H88)=0,"",'Ch10'!H88)</f>
        <v/>
      </c>
      <c r="C1905" s="311" t="str">
        <f t="shared" si="45"/>
        <v/>
      </c>
      <c r="D1905" s="919"/>
      <c r="E1905" s="925"/>
      <c r="F1905" s="919"/>
      <c r="G1905" s="1329"/>
      <c r="J1905" s="1443"/>
    </row>
    <row r="1906" spans="1:10" x14ac:dyDescent="0.3">
      <c r="B1906" s="311" t="str">
        <f>IF(LEN('Ch10'!H89)=0,"",'Ch10'!H89)</f>
        <v/>
      </c>
      <c r="C1906" s="311" t="str">
        <f t="shared" si="45"/>
        <v/>
      </c>
      <c r="D1906" s="919"/>
      <c r="E1906" s="955" t="s">
        <v>285</v>
      </c>
      <c r="F1906" s="235"/>
      <c r="G1906" s="275" t="s">
        <v>3549</v>
      </c>
      <c r="H1906" s="89">
        <f>'Ch10'!W89</f>
        <v>0</v>
      </c>
      <c r="J1906" s="996"/>
    </row>
    <row r="1907" spans="1:10" x14ac:dyDescent="0.3">
      <c r="B1907" s="311" t="str">
        <f>IF(LEN('Ch10'!H90)=0,"",'Ch10'!H90)</f>
        <v/>
      </c>
      <c r="C1907" s="311" t="str">
        <f t="shared" si="45"/>
        <v/>
      </c>
      <c r="D1907" s="919"/>
      <c r="E1907" s="925" t="s">
        <v>291</v>
      </c>
      <c r="F1907" s="919"/>
      <c r="G1907" s="1329" t="s">
        <v>3550</v>
      </c>
      <c r="H1907" s="89">
        <f>'Ch10'!W90</f>
        <v>0</v>
      </c>
      <c r="J1907" s="996"/>
    </row>
    <row r="1908" spans="1:10" x14ac:dyDescent="0.3">
      <c r="B1908" s="311" t="str">
        <f>IF(LEN('Ch10'!H91)=0,"",'Ch10'!H91)</f>
        <v/>
      </c>
      <c r="C1908" s="311" t="str">
        <f t="shared" si="45"/>
        <v/>
      </c>
      <c r="D1908" s="919"/>
      <c r="E1908" s="925"/>
      <c r="F1908" s="919"/>
      <c r="G1908" s="1329"/>
      <c r="J1908" s="996"/>
    </row>
    <row r="1909" spans="1:10" ht="15" customHeight="1" x14ac:dyDescent="0.3">
      <c r="B1909" s="311" t="str">
        <f>IF(LEN('Ch10'!H92)=0,"",'Ch10'!H92)</f>
        <v/>
      </c>
      <c r="C1909" s="311" t="str">
        <f t="shared" si="45"/>
        <v/>
      </c>
      <c r="D1909" s="919"/>
      <c r="E1909" s="955" t="s">
        <v>293</v>
      </c>
      <c r="F1909" s="235"/>
      <c r="G1909" s="275" t="s">
        <v>3507</v>
      </c>
      <c r="H1909" s="89">
        <f>'Ch10'!W92</f>
        <v>0</v>
      </c>
      <c r="J1909" s="996"/>
    </row>
    <row r="1910" spans="1:10" x14ac:dyDescent="0.3">
      <c r="B1910" s="311" t="str">
        <f>IF(LEN('Ch10'!H93)=0,"",'Ch10'!H93)</f>
        <v/>
      </c>
      <c r="C1910" s="311" t="str">
        <f t="shared" si="45"/>
        <v/>
      </c>
      <c r="D1910" s="919"/>
      <c r="E1910" s="955" t="s">
        <v>405</v>
      </c>
      <c r="F1910" s="235"/>
      <c r="G1910" s="275" t="s">
        <v>3551</v>
      </c>
      <c r="H1910" s="89">
        <f>'Ch10'!W93</f>
        <v>0</v>
      </c>
      <c r="J1910" s="996"/>
    </row>
    <row r="1911" spans="1:10" x14ac:dyDescent="0.3">
      <c r="B1911" s="311" t="str">
        <f>IF(LEN('Ch10'!H94)=0,"",'Ch10'!H94)</f>
        <v/>
      </c>
      <c r="C1911" s="311" t="str">
        <f t="shared" si="45"/>
        <v/>
      </c>
      <c r="D1911" s="204"/>
      <c r="E1911" s="926" t="s">
        <v>456</v>
      </c>
      <c r="F1911" s="204"/>
      <c r="G1911" s="1305" t="s">
        <v>3552</v>
      </c>
      <c r="H1911" s="89">
        <f>'Ch10'!W94</f>
        <v>0</v>
      </c>
      <c r="J1911" s="996"/>
    </row>
    <row r="1912" spans="1:10" ht="15" thickBot="1" x14ac:dyDescent="0.35">
      <c r="B1912" s="311" t="str">
        <f>IF(LEN('Ch10'!H95)=0,"",'Ch10'!H95)</f>
        <v/>
      </c>
      <c r="C1912" s="311" t="str">
        <f t="shared" si="45"/>
        <v/>
      </c>
      <c r="D1912" s="934"/>
      <c r="E1912" s="934"/>
      <c r="F1912" s="934"/>
      <c r="G1912" s="1330"/>
      <c r="J1912" s="996"/>
    </row>
    <row r="1913" spans="1:10" ht="15" thickTop="1" x14ac:dyDescent="0.3">
      <c r="A1913" s="727" t="str">
        <f>IF('Ch10'!O96&gt;0,"P","")</f>
        <v/>
      </c>
      <c r="B1913" s="311" t="str">
        <f>IF(LEN('Ch10'!H96)=0,"",'Ch10'!H96)</f>
        <v/>
      </c>
      <c r="C1913" s="311" t="str">
        <f t="shared" si="45"/>
        <v/>
      </c>
      <c r="D1913" s="111">
        <v>1002.2</v>
      </c>
      <c r="E1913" s="954"/>
      <c r="F1913" s="954"/>
      <c r="G1913" s="1331" t="s">
        <v>3594</v>
      </c>
      <c r="I1913" s="89">
        <f>'Ch10'!O96</f>
        <v>0</v>
      </c>
      <c r="J1913" s="1443" t="s">
        <v>4333</v>
      </c>
    </row>
    <row r="1914" spans="1:10" x14ac:dyDescent="0.3">
      <c r="A1914" s="727" t="str">
        <f t="shared" ref="A1914:A1915" si="47">A1913</f>
        <v/>
      </c>
      <c r="B1914" s="311" t="str">
        <f>IF(LEN('Ch10'!H97)=0,"",'Ch10'!H97)</f>
        <v/>
      </c>
      <c r="C1914" s="311" t="str">
        <f t="shared" si="45"/>
        <v/>
      </c>
      <c r="D1914" s="204"/>
      <c r="E1914" s="204"/>
      <c r="F1914" s="204"/>
      <c r="G1914" s="1313"/>
      <c r="J1914" s="1443"/>
    </row>
    <row r="1915" spans="1:10" x14ac:dyDescent="0.3">
      <c r="A1915" s="727" t="str">
        <f t="shared" si="47"/>
        <v/>
      </c>
      <c r="B1915" s="311" t="str">
        <f>IF(LEN('Ch10'!H98)=0,"",'Ch10'!H98)</f>
        <v/>
      </c>
      <c r="C1915" s="311" t="str">
        <f t="shared" si="45"/>
        <v/>
      </c>
      <c r="D1915" s="204"/>
      <c r="E1915" s="204"/>
      <c r="F1915" s="204"/>
      <c r="G1915" s="1313"/>
      <c r="J1915" s="1443"/>
    </row>
    <row r="1916" spans="1:10" x14ac:dyDescent="0.3">
      <c r="B1916" s="311" t="str">
        <f>IF(LEN('Ch10'!H99)=0,"",'Ch10'!H99)</f>
        <v/>
      </c>
      <c r="C1916" s="311" t="str">
        <f t="shared" si="45"/>
        <v/>
      </c>
      <c r="D1916" s="919"/>
      <c r="E1916" s="919"/>
      <c r="F1916" s="919"/>
      <c r="G1916" s="256" t="s">
        <v>3591</v>
      </c>
      <c r="J1916" s="1443"/>
    </row>
    <row r="1917" spans="1:10" ht="15" customHeight="1" x14ac:dyDescent="0.3">
      <c r="A1917" s="727" t="str">
        <f>A1915</f>
        <v/>
      </c>
      <c r="B1917" s="311" t="str">
        <f>IF(LEN('Ch10'!H100)=0,"",'Ch10'!H100)</f>
        <v/>
      </c>
      <c r="C1917" s="311" t="str">
        <f t="shared" si="45"/>
        <v/>
      </c>
      <c r="D1917" s="919"/>
      <c r="E1917" s="926" t="s">
        <v>271</v>
      </c>
      <c r="F1917" s="204"/>
      <c r="G1917" s="1305" t="s">
        <v>3553</v>
      </c>
      <c r="H1917" s="89">
        <f>'Ch10'!W100</f>
        <v>0</v>
      </c>
      <c r="J1917" s="1443"/>
    </row>
    <row r="1918" spans="1:10" x14ac:dyDescent="0.3">
      <c r="A1918" s="727" t="str">
        <f t="shared" ref="A1918:A1921" si="48">A1917</f>
        <v/>
      </c>
      <c r="B1918" s="311" t="str">
        <f>IF(LEN('Ch10'!H101)=0,"",'Ch10'!H101)</f>
        <v/>
      </c>
      <c r="C1918" s="311" t="str">
        <f t="shared" si="45"/>
        <v/>
      </c>
      <c r="D1918" s="919"/>
      <c r="E1918" s="946"/>
      <c r="F1918" s="232"/>
      <c r="G1918" s="1306"/>
      <c r="J1918" s="1443"/>
    </row>
    <row r="1919" spans="1:10" x14ac:dyDescent="0.3">
      <c r="A1919" s="727" t="str">
        <f t="shared" si="48"/>
        <v/>
      </c>
      <c r="B1919" s="311" t="str">
        <f>IF(LEN('Ch10'!H102)=0,"",'Ch10'!H102)</f>
        <v/>
      </c>
      <c r="C1919" s="311" t="str">
        <f t="shared" si="45"/>
        <v/>
      </c>
      <c r="D1919" s="919"/>
      <c r="E1919" s="958" t="s">
        <v>273</v>
      </c>
      <c r="F1919" s="959"/>
      <c r="G1919" s="1356" t="s">
        <v>3554</v>
      </c>
      <c r="H1919" s="89">
        <f>'Ch10'!W102</f>
        <v>0</v>
      </c>
      <c r="J1919" s="1443"/>
    </row>
    <row r="1920" spans="1:10" x14ac:dyDescent="0.3">
      <c r="A1920" s="727" t="str">
        <f t="shared" si="48"/>
        <v/>
      </c>
      <c r="B1920" s="311" t="str">
        <f>IF(LEN('Ch10'!H103)=0,"",'Ch10'!H103)</f>
        <v/>
      </c>
      <c r="C1920" s="311" t="str">
        <f t="shared" si="45"/>
        <v/>
      </c>
      <c r="D1920" s="919"/>
      <c r="E1920" s="926"/>
      <c r="F1920" s="204"/>
      <c r="G1920" s="1305"/>
      <c r="J1920" s="1443"/>
    </row>
    <row r="1921" spans="1:10" x14ac:dyDescent="0.3">
      <c r="A1921" s="727" t="str">
        <f t="shared" si="48"/>
        <v/>
      </c>
      <c r="B1921" s="311" t="str">
        <f>IF(LEN('Ch10'!H104)=0,"",'Ch10'!H104)</f>
        <v/>
      </c>
      <c r="C1921" s="311" t="str">
        <f t="shared" si="45"/>
        <v/>
      </c>
      <c r="D1921" s="919"/>
      <c r="E1921" s="946"/>
      <c r="F1921" s="232"/>
      <c r="G1921" s="1306"/>
      <c r="J1921" s="1443"/>
    </row>
    <row r="1922" spans="1:10" x14ac:dyDescent="0.3">
      <c r="B1922" s="311" t="str">
        <f>IF(LEN('Ch10'!H105)=0,"",'Ch10'!H105)</f>
        <v/>
      </c>
      <c r="C1922" s="311" t="str">
        <f t="shared" si="45"/>
        <v/>
      </c>
      <c r="D1922" s="919"/>
      <c r="E1922" s="958" t="s">
        <v>275</v>
      </c>
      <c r="F1922" s="959"/>
      <c r="G1922" s="1356" t="s">
        <v>3523</v>
      </c>
      <c r="H1922" s="89">
        <f>'Ch10'!W105</f>
        <v>0</v>
      </c>
      <c r="J1922" s="1001"/>
    </row>
    <row r="1923" spans="1:10" x14ac:dyDescent="0.3">
      <c r="B1923" s="311" t="str">
        <f>IF(LEN('Ch10'!H106)=0,"",'Ch10'!H106)</f>
        <v/>
      </c>
      <c r="C1923" s="311" t="str">
        <f t="shared" si="45"/>
        <v/>
      </c>
      <c r="D1923" s="919"/>
      <c r="E1923" s="232"/>
      <c r="F1923" s="232"/>
      <c r="G1923" s="1306"/>
      <c r="J1923" s="1001"/>
    </row>
    <row r="1924" spans="1:10" x14ac:dyDescent="0.3">
      <c r="B1924" s="311" t="str">
        <f>IF(LEN('Ch10'!H107)=0,"",'Ch10'!H107)</f>
        <v/>
      </c>
      <c r="C1924" s="311" t="str">
        <f t="shared" si="45"/>
        <v/>
      </c>
      <c r="D1924" s="919"/>
      <c r="E1924" s="925" t="s">
        <v>285</v>
      </c>
      <c r="F1924" s="919"/>
      <c r="G1924" s="1329" t="s">
        <v>3555</v>
      </c>
      <c r="H1924" s="89">
        <f>'Ch10'!W107</f>
        <v>0</v>
      </c>
      <c r="J1924" s="1001"/>
    </row>
    <row r="1925" spans="1:10" x14ac:dyDescent="0.3">
      <c r="B1925" s="311" t="str">
        <f>IF(LEN('Ch10'!H108)=0,"",'Ch10'!H108)</f>
        <v/>
      </c>
      <c r="C1925" s="311" t="str">
        <f t="shared" si="45"/>
        <v/>
      </c>
      <c r="D1925" s="919"/>
      <c r="E1925" s="919"/>
      <c r="F1925" s="919"/>
      <c r="G1925" s="1329"/>
      <c r="J1925" s="1001"/>
    </row>
    <row r="1926" spans="1:10" x14ac:dyDescent="0.3">
      <c r="B1926" s="311" t="str">
        <f>IF(LEN('Ch10'!H109)=0,"",'Ch10'!H109)</f>
        <v/>
      </c>
      <c r="C1926" s="311" t="str">
        <f t="shared" si="45"/>
        <v/>
      </c>
      <c r="D1926" s="919"/>
      <c r="E1926" s="919"/>
      <c r="F1926" s="919"/>
      <c r="G1926" s="1329"/>
      <c r="J1926" s="1001"/>
    </row>
    <row r="1927" spans="1:10" x14ac:dyDescent="0.3">
      <c r="B1927" s="311" t="str">
        <f>IF(LEN('Ch10'!H110)=0,"",'Ch10'!H110)</f>
        <v/>
      </c>
      <c r="C1927" s="311" t="str">
        <f t="shared" si="45"/>
        <v/>
      </c>
      <c r="D1927" s="919"/>
      <c r="E1927" s="958" t="s">
        <v>291</v>
      </c>
      <c r="F1927" s="959"/>
      <c r="G1927" s="1356" t="s">
        <v>3556</v>
      </c>
      <c r="H1927" s="89">
        <f>'Ch10'!W110</f>
        <v>0</v>
      </c>
      <c r="J1927" s="1001"/>
    </row>
    <row r="1928" spans="1:10" x14ac:dyDescent="0.3">
      <c r="B1928" s="311" t="str">
        <f>IF(LEN('Ch10'!H111)=0,"",'Ch10'!H111)</f>
        <v/>
      </c>
      <c r="C1928" s="311" t="str">
        <f t="shared" ref="C1928:C1991" si="49">IF(LEN(B1928)=0,IF(A1928="P","P",""),B1928)</f>
        <v/>
      </c>
      <c r="D1928" s="919"/>
      <c r="E1928" s="946"/>
      <c r="F1928" s="232"/>
      <c r="G1928" s="1306"/>
      <c r="J1928" s="1001"/>
    </row>
    <row r="1929" spans="1:10" x14ac:dyDescent="0.3">
      <c r="B1929" s="311" t="str">
        <f>IF(LEN('Ch10'!H112)=0,"",'Ch10'!H112)</f>
        <v/>
      </c>
      <c r="C1929" s="311" t="str">
        <f t="shared" si="49"/>
        <v/>
      </c>
      <c r="D1929" s="919"/>
      <c r="E1929" s="925" t="s">
        <v>293</v>
      </c>
      <c r="F1929" s="919"/>
      <c r="G1929" s="704" t="s">
        <v>3506</v>
      </c>
      <c r="H1929" s="89">
        <f>'Ch10'!W112</f>
        <v>0</v>
      </c>
      <c r="J1929" s="1001"/>
    </row>
    <row r="1930" spans="1:10" x14ac:dyDescent="0.3">
      <c r="B1930" s="311" t="str">
        <f>IF(LEN('Ch10'!H113)=0,"",'Ch10'!H113)</f>
        <v/>
      </c>
      <c r="C1930" s="311" t="str">
        <f t="shared" si="49"/>
        <v/>
      </c>
      <c r="D1930" s="919"/>
      <c r="E1930" s="958" t="s">
        <v>405</v>
      </c>
      <c r="F1930" s="959"/>
      <c r="G1930" s="1356" t="s">
        <v>3557</v>
      </c>
      <c r="H1930" s="89">
        <f>'Ch10'!W113</f>
        <v>0</v>
      </c>
      <c r="J1930" s="1001"/>
    </row>
    <row r="1931" spans="1:10" x14ac:dyDescent="0.3">
      <c r="B1931" s="311" t="str">
        <f>IF(LEN('Ch10'!H114)=0,"",'Ch10'!H114)</f>
        <v/>
      </c>
      <c r="C1931" s="311" t="str">
        <f t="shared" si="49"/>
        <v/>
      </c>
      <c r="D1931" s="919"/>
      <c r="E1931" s="232"/>
      <c r="F1931" s="232"/>
      <c r="G1931" s="1306"/>
      <c r="J1931" s="1001"/>
    </row>
    <row r="1932" spans="1:10" x14ac:dyDescent="0.3">
      <c r="B1932" s="311" t="str">
        <f>IF(LEN('Ch10'!H115)=0,"",'Ch10'!H115)</f>
        <v/>
      </c>
      <c r="C1932" s="311" t="str">
        <f t="shared" si="49"/>
        <v/>
      </c>
      <c r="D1932" s="919"/>
      <c r="E1932" s="925" t="s">
        <v>456</v>
      </c>
      <c r="F1932" s="919"/>
      <c r="G1932" s="1451" t="s">
        <v>3521</v>
      </c>
      <c r="H1932" s="89">
        <f>'Ch10'!W115</f>
        <v>0</v>
      </c>
      <c r="J1932" s="1001"/>
    </row>
    <row r="1933" spans="1:10" x14ac:dyDescent="0.3">
      <c r="B1933" s="311" t="str">
        <f>IF(LEN('Ch10'!H116)=0,"",'Ch10'!H116)</f>
        <v/>
      </c>
      <c r="C1933" s="311" t="str">
        <f t="shared" si="49"/>
        <v/>
      </c>
      <c r="D1933" s="919"/>
      <c r="E1933" s="925"/>
      <c r="F1933" s="919"/>
      <c r="G1933" s="1451"/>
      <c r="J1933" s="1001"/>
    </row>
    <row r="1934" spans="1:10" x14ac:dyDescent="0.3">
      <c r="B1934" s="311" t="str">
        <f>IF(LEN('Ch10'!H117)=0,"",'Ch10'!H117)</f>
        <v/>
      </c>
      <c r="C1934" s="311" t="str">
        <f t="shared" si="49"/>
        <v/>
      </c>
      <c r="D1934" s="919"/>
      <c r="E1934" s="958" t="s">
        <v>458</v>
      </c>
      <c r="F1934" s="959"/>
      <c r="G1934" s="705" t="s">
        <v>3558</v>
      </c>
      <c r="H1934" s="89">
        <f>'Ch10'!W117</f>
        <v>0</v>
      </c>
      <c r="J1934" s="1001"/>
    </row>
    <row r="1935" spans="1:10" x14ac:dyDescent="0.3">
      <c r="B1935" s="311" t="str">
        <f>IF(LEN('Ch10'!H118)=0,"",'Ch10'!H118)</f>
        <v/>
      </c>
      <c r="C1935" s="311" t="str">
        <f t="shared" si="49"/>
        <v/>
      </c>
      <c r="D1935" s="919"/>
      <c r="E1935" s="958" t="s">
        <v>460</v>
      </c>
      <c r="F1935" s="959"/>
      <c r="G1935" s="1356" t="s">
        <v>3559</v>
      </c>
      <c r="H1935" s="89">
        <f>'Ch10'!W118</f>
        <v>0</v>
      </c>
      <c r="J1935" s="1001"/>
    </row>
    <row r="1936" spans="1:10" x14ac:dyDescent="0.3">
      <c r="B1936" s="311" t="str">
        <f>IF(LEN('Ch10'!H119)=0,"",'Ch10'!H119)</f>
        <v/>
      </c>
      <c r="C1936" s="311" t="str">
        <f t="shared" si="49"/>
        <v/>
      </c>
      <c r="D1936" s="919"/>
      <c r="E1936" s="926"/>
      <c r="F1936" s="204"/>
      <c r="G1936" s="1305"/>
      <c r="J1936" s="1001"/>
    </row>
    <row r="1937" spans="1:10" x14ac:dyDescent="0.3">
      <c r="B1937" s="311" t="str">
        <f>IF(LEN('Ch10'!H120)=0,"",'Ch10'!H120)</f>
        <v/>
      </c>
      <c r="C1937" s="311" t="str">
        <f t="shared" si="49"/>
        <v/>
      </c>
      <c r="D1937" s="919"/>
      <c r="E1937" s="946"/>
      <c r="F1937" s="232"/>
      <c r="G1937" s="1306"/>
      <c r="J1937" s="1001"/>
    </row>
    <row r="1938" spans="1:10" x14ac:dyDescent="0.3">
      <c r="B1938" s="311" t="str">
        <f>IF(LEN('Ch10'!H121)=0,"",'Ch10'!H121)</f>
        <v/>
      </c>
      <c r="C1938" s="311" t="str">
        <f t="shared" si="49"/>
        <v/>
      </c>
      <c r="D1938" s="204"/>
      <c r="E1938" s="926" t="s">
        <v>462</v>
      </c>
      <c r="F1938" s="204"/>
      <c r="G1938" s="1452" t="s">
        <v>3560</v>
      </c>
      <c r="H1938" s="89">
        <f>'Ch10'!W121</f>
        <v>0</v>
      </c>
      <c r="J1938" s="1001"/>
    </row>
    <row r="1939" spans="1:10" ht="15" thickBot="1" x14ac:dyDescent="0.35">
      <c r="B1939" s="311" t="str">
        <f>IF(LEN('Ch10'!H122)=0,"",'Ch10'!H122)</f>
        <v/>
      </c>
      <c r="C1939" s="311" t="str">
        <f t="shared" si="49"/>
        <v/>
      </c>
      <c r="D1939" s="934"/>
      <c r="E1939" s="931"/>
      <c r="F1939" s="934"/>
      <c r="G1939" s="1453"/>
      <c r="J1939" s="1001"/>
    </row>
    <row r="1940" spans="1:10" ht="15" thickTop="1" x14ac:dyDescent="0.3">
      <c r="A1940" s="727" t="str">
        <f>IF('Ch10'!O123&gt;0,"P","")</f>
        <v/>
      </c>
      <c r="B1940" s="311" t="str">
        <f>IF(LEN('Ch10'!H123)=0,"",'Ch10'!H123)</f>
        <v/>
      </c>
      <c r="C1940" s="311" t="str">
        <f t="shared" si="49"/>
        <v/>
      </c>
      <c r="D1940" s="111">
        <v>1002.3</v>
      </c>
      <c r="E1940" s="954"/>
      <c r="F1940" s="954"/>
      <c r="G1940" s="1331" t="s">
        <v>3595</v>
      </c>
      <c r="I1940" s="89">
        <f>'Ch10'!O123</f>
        <v>0</v>
      </c>
      <c r="J1940" s="1443" t="s">
        <v>4334</v>
      </c>
    </row>
    <row r="1941" spans="1:10" x14ac:dyDescent="0.3">
      <c r="A1941" s="727" t="str">
        <f t="shared" ref="A1941:A1942" si="50">A1940</f>
        <v/>
      </c>
      <c r="B1941" s="311" t="str">
        <f>IF(LEN('Ch10'!H124)=0,"",'Ch10'!H124)</f>
        <v/>
      </c>
      <c r="C1941" s="311" t="str">
        <f t="shared" si="49"/>
        <v/>
      </c>
      <c r="D1941" s="204"/>
      <c r="E1941" s="204"/>
      <c r="F1941" s="204"/>
      <c r="G1941" s="1313"/>
      <c r="J1941" s="1443"/>
    </row>
    <row r="1942" spans="1:10" x14ac:dyDescent="0.3">
      <c r="A1942" s="727" t="str">
        <f t="shared" si="50"/>
        <v/>
      </c>
      <c r="B1942" s="311" t="str">
        <f>IF(LEN('Ch10'!H125)=0,"",'Ch10'!H125)</f>
        <v/>
      </c>
      <c r="C1942" s="311" t="str">
        <f t="shared" si="49"/>
        <v/>
      </c>
      <c r="D1942" s="204"/>
      <c r="E1942" s="204"/>
      <c r="F1942" s="204"/>
      <c r="G1942" s="1313"/>
      <c r="J1942" s="1443"/>
    </row>
    <row r="1943" spans="1:10" x14ac:dyDescent="0.3">
      <c r="B1943" s="311" t="str">
        <f>IF(LEN('Ch10'!H126)=0,"",'Ch10'!H126)</f>
        <v/>
      </c>
      <c r="C1943" s="311" t="str">
        <f t="shared" si="49"/>
        <v/>
      </c>
      <c r="D1943" s="919"/>
      <c r="E1943" s="919"/>
      <c r="F1943" s="919"/>
      <c r="G1943" s="256" t="s">
        <v>3591</v>
      </c>
      <c r="J1943" s="1443"/>
    </row>
    <row r="1944" spans="1:10" ht="15" customHeight="1" x14ac:dyDescent="0.3">
      <c r="A1944" s="727" t="str">
        <f>A1942</f>
        <v/>
      </c>
      <c r="B1944" s="311" t="str">
        <f>IF(LEN('Ch10'!H127)=0,"",'Ch10'!H127)</f>
        <v/>
      </c>
      <c r="C1944" s="311" t="str">
        <f t="shared" si="49"/>
        <v/>
      </c>
      <c r="D1944" s="919"/>
      <c r="E1944" s="926" t="s">
        <v>271</v>
      </c>
      <c r="F1944" s="204"/>
      <c r="G1944" s="1305" t="s">
        <v>3561</v>
      </c>
      <c r="H1944" s="89">
        <f>'Ch10'!W127</f>
        <v>0</v>
      </c>
      <c r="J1944" s="1443"/>
    </row>
    <row r="1945" spans="1:10" x14ac:dyDescent="0.3">
      <c r="A1945" s="727" t="str">
        <f t="shared" ref="A1945" si="51">A1944</f>
        <v/>
      </c>
      <c r="B1945" s="311" t="str">
        <f>IF(LEN('Ch10'!H128)=0,"",'Ch10'!H128)</f>
        <v/>
      </c>
      <c r="C1945" s="311" t="str">
        <f t="shared" si="49"/>
        <v/>
      </c>
      <c r="D1945" s="919"/>
      <c r="E1945" s="946"/>
      <c r="F1945" s="232"/>
      <c r="G1945" s="1306"/>
      <c r="J1945" s="1443"/>
    </row>
    <row r="1946" spans="1:10" x14ac:dyDescent="0.3">
      <c r="B1946" s="311" t="str">
        <f>IF(LEN('Ch10'!H129)=0,"",'Ch10'!H129)</f>
        <v/>
      </c>
      <c r="C1946" s="311" t="str">
        <f t="shared" si="49"/>
        <v/>
      </c>
      <c r="D1946" s="919"/>
      <c r="E1946" s="958" t="s">
        <v>273</v>
      </c>
      <c r="F1946" s="959"/>
      <c r="G1946" s="1356" t="s">
        <v>3513</v>
      </c>
      <c r="H1946" s="89">
        <f>'Ch10'!W129</f>
        <v>0</v>
      </c>
      <c r="J1946" s="1001"/>
    </row>
    <row r="1947" spans="1:10" x14ac:dyDescent="0.3">
      <c r="B1947" s="311" t="str">
        <f>IF(LEN('Ch10'!H130)=0,"",'Ch10'!H130)</f>
        <v/>
      </c>
      <c r="C1947" s="311" t="str">
        <f t="shared" si="49"/>
        <v/>
      </c>
      <c r="D1947" s="919"/>
      <c r="E1947" s="204"/>
      <c r="F1947" s="204"/>
      <c r="G1947" s="1305"/>
      <c r="J1947" s="1001"/>
    </row>
    <row r="1948" spans="1:10" x14ac:dyDescent="0.3">
      <c r="B1948" s="311" t="str">
        <f>IF(LEN('Ch10'!H131)=0,"",'Ch10'!H131)</f>
        <v/>
      </c>
      <c r="C1948" s="311" t="str">
        <f t="shared" si="49"/>
        <v/>
      </c>
      <c r="D1948" s="919"/>
      <c r="E1948" s="204"/>
      <c r="F1948" s="204"/>
      <c r="G1948" s="1305"/>
      <c r="J1948" s="1001"/>
    </row>
    <row r="1949" spans="1:10" x14ac:dyDescent="0.3">
      <c r="B1949" s="311" t="str">
        <f>IF(LEN('Ch10'!H132)=0,"",'Ch10'!H132)</f>
        <v/>
      </c>
      <c r="C1949" s="311" t="str">
        <f t="shared" si="49"/>
        <v/>
      </c>
      <c r="D1949" s="919"/>
      <c r="E1949" s="232"/>
      <c r="F1949" s="232"/>
      <c r="G1949" s="1306"/>
      <c r="J1949" s="1001"/>
    </row>
    <row r="1950" spans="1:10" x14ac:dyDescent="0.3">
      <c r="B1950" s="311" t="str">
        <f>IF(LEN('Ch10'!H133)=0,"",'Ch10'!H133)</f>
        <v/>
      </c>
      <c r="C1950" s="311" t="str">
        <f t="shared" si="49"/>
        <v/>
      </c>
      <c r="D1950" s="919"/>
      <c r="E1950" s="958" t="s">
        <v>275</v>
      </c>
      <c r="F1950" s="959"/>
      <c r="G1950" s="705" t="s">
        <v>3562</v>
      </c>
      <c r="H1950" s="89">
        <f>'Ch10'!W133</f>
        <v>0</v>
      </c>
      <c r="J1950" s="1001"/>
    </row>
    <row r="1951" spans="1:10" x14ac:dyDescent="0.3">
      <c r="B1951" s="311" t="str">
        <f>IF(LEN('Ch10'!H134)=0,"",'Ch10'!H134)</f>
        <v/>
      </c>
      <c r="C1951" s="311" t="str">
        <f t="shared" si="49"/>
        <v/>
      </c>
      <c r="D1951" s="919"/>
      <c r="E1951" s="204"/>
      <c r="F1951" s="926" t="s">
        <v>121</v>
      </c>
      <c r="G1951" s="702" t="s">
        <v>3563</v>
      </c>
      <c r="J1951" s="1001"/>
    </row>
    <row r="1952" spans="1:10" x14ac:dyDescent="0.3">
      <c r="B1952" s="311" t="str">
        <f>IF(LEN('Ch10'!H135)=0,"",'Ch10'!H135)</f>
        <v/>
      </c>
      <c r="C1952" s="311" t="str">
        <f t="shared" si="49"/>
        <v/>
      </c>
      <c r="D1952" s="919"/>
      <c r="E1952" s="204"/>
      <c r="F1952" s="926" t="s">
        <v>122</v>
      </c>
      <c r="G1952" s="702" t="s">
        <v>3564</v>
      </c>
      <c r="J1952" s="1001"/>
    </row>
    <row r="1953" spans="1:10" x14ac:dyDescent="0.3">
      <c r="B1953" s="311" t="str">
        <f>IF(LEN('Ch10'!H136)=0,"",'Ch10'!H136)</f>
        <v/>
      </c>
      <c r="C1953" s="311" t="str">
        <f t="shared" si="49"/>
        <v/>
      </c>
      <c r="D1953" s="919"/>
      <c r="E1953" s="204"/>
      <c r="F1953" s="926" t="s">
        <v>123</v>
      </c>
      <c r="G1953" s="702" t="s">
        <v>3565</v>
      </c>
      <c r="J1953" s="1001"/>
    </row>
    <row r="1954" spans="1:10" x14ac:dyDescent="0.3">
      <c r="B1954" s="311" t="str">
        <f>IF(LEN('Ch10'!H137)=0,"",'Ch10'!H137)</f>
        <v/>
      </c>
      <c r="C1954" s="311" t="str">
        <f t="shared" si="49"/>
        <v/>
      </c>
      <c r="D1954" s="919"/>
      <c r="E1954" s="204"/>
      <c r="F1954" s="926" t="s">
        <v>423</v>
      </c>
      <c r="G1954" s="702" t="s">
        <v>3566</v>
      </c>
      <c r="J1954" s="1001"/>
    </row>
    <row r="1955" spans="1:10" x14ac:dyDescent="0.3">
      <c r="B1955" s="311" t="str">
        <f>IF(LEN('Ch10'!H138)=0,"",'Ch10'!H138)</f>
        <v/>
      </c>
      <c r="C1955" s="311" t="str">
        <f t="shared" si="49"/>
        <v/>
      </c>
      <c r="D1955" s="919"/>
      <c r="E1955" s="204"/>
      <c r="F1955" s="926" t="s">
        <v>578</v>
      </c>
      <c r="G1955" s="702" t="s">
        <v>3567</v>
      </c>
      <c r="J1955" s="1001"/>
    </row>
    <row r="1956" spans="1:10" x14ac:dyDescent="0.3">
      <c r="B1956" s="311" t="str">
        <f>IF(LEN('Ch10'!H139)=0,"",'Ch10'!H139)</f>
        <v/>
      </c>
      <c r="C1956" s="311" t="str">
        <f t="shared" si="49"/>
        <v/>
      </c>
      <c r="D1956" s="919"/>
      <c r="E1956" s="232"/>
      <c r="F1956" s="946" t="s">
        <v>645</v>
      </c>
      <c r="G1956" s="706" t="s">
        <v>3568</v>
      </c>
      <c r="J1956" s="1001"/>
    </row>
    <row r="1957" spans="1:10" x14ac:dyDescent="0.3">
      <c r="B1957" s="311" t="str">
        <f>IF(LEN('Ch10'!H140)=0,"",'Ch10'!H140)</f>
        <v/>
      </c>
      <c r="C1957" s="311" t="str">
        <f t="shared" si="49"/>
        <v/>
      </c>
      <c r="D1957" s="919"/>
      <c r="E1957" s="925" t="s">
        <v>285</v>
      </c>
      <c r="F1957" s="919"/>
      <c r="G1957" s="1329" t="s">
        <v>3517</v>
      </c>
      <c r="H1957" s="89">
        <f>'Ch10'!W140</f>
        <v>0</v>
      </c>
      <c r="J1957" s="1001"/>
    </row>
    <row r="1958" spans="1:10" x14ac:dyDescent="0.3">
      <c r="B1958" s="311" t="str">
        <f>IF(LEN('Ch10'!H141)=0,"",'Ch10'!H141)</f>
        <v/>
      </c>
      <c r="C1958" s="311" t="str">
        <f t="shared" si="49"/>
        <v/>
      </c>
      <c r="D1958" s="919"/>
      <c r="E1958" s="919"/>
      <c r="F1958" s="919"/>
      <c r="G1958" s="1329"/>
      <c r="J1958" s="1001"/>
    </row>
    <row r="1959" spans="1:10" x14ac:dyDescent="0.3">
      <c r="B1959" s="311" t="str">
        <f>IF(LEN('Ch10'!H142)=0,"",'Ch10'!H142)</f>
        <v/>
      </c>
      <c r="C1959" s="311" t="str">
        <f t="shared" si="49"/>
        <v/>
      </c>
      <c r="D1959" s="919"/>
      <c r="E1959" s="955" t="s">
        <v>291</v>
      </c>
      <c r="F1959" s="235"/>
      <c r="G1959" s="275" t="s">
        <v>3519</v>
      </c>
      <c r="H1959" s="89">
        <f>'Ch10'!W142</f>
        <v>0</v>
      </c>
      <c r="J1959" s="1001"/>
    </row>
    <row r="1960" spans="1:10" x14ac:dyDescent="0.3">
      <c r="B1960" s="311" t="str">
        <f>IF(LEN('Ch10'!H143)=0,"",'Ch10'!H143)</f>
        <v/>
      </c>
      <c r="C1960" s="311" t="str">
        <f t="shared" si="49"/>
        <v/>
      </c>
      <c r="D1960" s="919"/>
      <c r="E1960" s="925" t="s">
        <v>293</v>
      </c>
      <c r="F1960" s="919"/>
      <c r="G1960" s="1329" t="s">
        <v>3569</v>
      </c>
      <c r="H1960" s="89">
        <f>'Ch10'!W143</f>
        <v>0</v>
      </c>
      <c r="J1960" s="1001"/>
    </row>
    <row r="1961" spans="1:10" x14ac:dyDescent="0.3">
      <c r="B1961" s="311" t="str">
        <f>IF(LEN('Ch10'!H144)=0,"",'Ch10'!H144)</f>
        <v/>
      </c>
      <c r="C1961" s="311" t="str">
        <f t="shared" si="49"/>
        <v/>
      </c>
      <c r="D1961" s="919"/>
      <c r="E1961" s="925"/>
      <c r="F1961" s="919"/>
      <c r="G1961" s="1329"/>
      <c r="J1961" s="1001"/>
    </row>
    <row r="1962" spans="1:10" x14ac:dyDescent="0.3">
      <c r="B1962" s="311" t="str">
        <f>IF(LEN('Ch10'!H145)=0,"",'Ch10'!H145)</f>
        <v/>
      </c>
      <c r="C1962" s="311" t="str">
        <f t="shared" si="49"/>
        <v/>
      </c>
      <c r="D1962" s="919"/>
      <c r="E1962" s="955" t="s">
        <v>405</v>
      </c>
      <c r="F1962" s="235"/>
      <c r="G1962" s="275" t="s">
        <v>3525</v>
      </c>
      <c r="H1962" s="89">
        <f>'Ch10'!W145</f>
        <v>0</v>
      </c>
      <c r="J1962" s="1001"/>
    </row>
    <row r="1963" spans="1:10" x14ac:dyDescent="0.3">
      <c r="B1963" s="311" t="str">
        <f>IF(LEN('Ch10'!H146)=0,"",'Ch10'!H146)</f>
        <v/>
      </c>
      <c r="C1963" s="311" t="str">
        <f t="shared" si="49"/>
        <v/>
      </c>
      <c r="D1963" s="919"/>
      <c r="E1963" s="925" t="s">
        <v>456</v>
      </c>
      <c r="F1963" s="919"/>
      <c r="G1963" s="704" t="s">
        <v>3570</v>
      </c>
      <c r="H1963" s="89">
        <f>'Ch10'!W146</f>
        <v>0</v>
      </c>
      <c r="J1963" s="1001"/>
    </row>
    <row r="1964" spans="1:10" x14ac:dyDescent="0.3">
      <c r="B1964" s="311" t="str">
        <f>IF(LEN('Ch10'!H147)=0,"",'Ch10'!H147)</f>
        <v/>
      </c>
      <c r="C1964" s="311" t="str">
        <f t="shared" si="49"/>
        <v/>
      </c>
      <c r="D1964" s="919"/>
      <c r="E1964" s="955" t="s">
        <v>458</v>
      </c>
      <c r="F1964" s="235"/>
      <c r="G1964" s="275" t="s">
        <v>3571</v>
      </c>
      <c r="H1964" s="89">
        <f>'Ch10'!W147</f>
        <v>0</v>
      </c>
      <c r="J1964" s="1001"/>
    </row>
    <row r="1965" spans="1:10" ht="15" thickBot="1" x14ac:dyDescent="0.35">
      <c r="B1965" s="311" t="str">
        <f>IF(LEN('Ch10'!H148)=0,"",'Ch10'!H148)</f>
        <v/>
      </c>
      <c r="C1965" s="311" t="str">
        <f t="shared" si="49"/>
        <v/>
      </c>
      <c r="D1965" s="934"/>
      <c r="E1965" s="931" t="s">
        <v>460</v>
      </c>
      <c r="F1965" s="934"/>
      <c r="G1965" s="703" t="s">
        <v>3572</v>
      </c>
      <c r="H1965" s="89">
        <f>'Ch10'!W148</f>
        <v>0</v>
      </c>
      <c r="J1965" s="1001"/>
    </row>
    <row r="1966" spans="1:10" ht="15.75" customHeight="1" thickTop="1" x14ac:dyDescent="0.3">
      <c r="A1966" s="727" t="str">
        <f>IF(AND(LEN('Ch10'!W149)&gt;0,NOT('Ch10'!W149=FALSE)),"P","")</f>
        <v/>
      </c>
      <c r="B1966" s="311" t="str">
        <f>IF(LEN('Ch10'!H149)=0,"",'Ch10'!H149)</f>
        <v/>
      </c>
      <c r="C1966" s="311" t="str">
        <f t="shared" si="49"/>
        <v/>
      </c>
      <c r="D1966" s="111">
        <v>1002.4</v>
      </c>
      <c r="E1966" s="954"/>
      <c r="F1966" s="954"/>
      <c r="G1966" s="1331" t="s">
        <v>3573</v>
      </c>
      <c r="H1966" s="89">
        <f>'Ch10'!W149</f>
        <v>0</v>
      </c>
      <c r="J1966" s="1443" t="s">
        <v>4335</v>
      </c>
    </row>
    <row r="1967" spans="1:10" x14ac:dyDescent="0.3">
      <c r="A1967" s="727" t="str">
        <f t="shared" ref="A1967:A1970" si="52">A1966</f>
        <v/>
      </c>
      <c r="B1967" s="311" t="str">
        <f>IF(LEN('Ch10'!H150)=0,"",'Ch10'!H150)</f>
        <v/>
      </c>
      <c r="C1967" s="311" t="str">
        <f t="shared" si="49"/>
        <v/>
      </c>
      <c r="D1967" s="204"/>
      <c r="E1967" s="204"/>
      <c r="F1967" s="204"/>
      <c r="G1967" s="1313"/>
      <c r="J1967" s="1443"/>
    </row>
    <row r="1968" spans="1:10" x14ac:dyDescent="0.3">
      <c r="A1968" s="727" t="str">
        <f t="shared" si="52"/>
        <v/>
      </c>
      <c r="B1968" s="311" t="str">
        <f>IF(LEN('Ch10'!H151)=0,"",'Ch10'!H151)</f>
        <v/>
      </c>
      <c r="C1968" s="311" t="str">
        <f t="shared" si="49"/>
        <v/>
      </c>
      <c r="D1968" s="204"/>
      <c r="E1968" s="204"/>
      <c r="F1968" s="204"/>
      <c r="G1968" s="1313"/>
      <c r="J1968" s="1443"/>
    </row>
    <row r="1969" spans="1:10" x14ac:dyDescent="0.3">
      <c r="A1969" s="727" t="str">
        <f t="shared" si="52"/>
        <v/>
      </c>
      <c r="B1969" s="311" t="str">
        <f>IF(LEN('Ch10'!H152)=0,"",'Ch10'!H152)</f>
        <v/>
      </c>
      <c r="C1969" s="311" t="str">
        <f t="shared" si="49"/>
        <v/>
      </c>
      <c r="D1969" s="204"/>
      <c r="E1969" s="204"/>
      <c r="F1969" s="204"/>
      <c r="G1969" s="1313"/>
      <c r="J1969" s="1443"/>
    </row>
    <row r="1970" spans="1:10" x14ac:dyDescent="0.3">
      <c r="A1970" s="727" t="str">
        <f t="shared" si="52"/>
        <v/>
      </c>
      <c r="B1970" s="311" t="str">
        <f>IF(LEN('Ch10'!H153)=0,"",'Ch10'!H153)</f>
        <v/>
      </c>
      <c r="C1970" s="311" t="str">
        <f t="shared" si="49"/>
        <v/>
      </c>
      <c r="D1970" s="204"/>
      <c r="E1970" s="204"/>
      <c r="F1970" s="204"/>
      <c r="G1970" s="1313"/>
      <c r="J1970" s="1443"/>
    </row>
    <row r="1971" spans="1:10" x14ac:dyDescent="0.3">
      <c r="B1971" s="311" t="str">
        <f>IF(LEN('Ch10'!H154)=0,"",'Ch10'!H154)</f>
        <v/>
      </c>
      <c r="C1971" s="311" t="str">
        <f t="shared" si="49"/>
        <v/>
      </c>
      <c r="D1971" s="919"/>
      <c r="E1971" s="925" t="s">
        <v>271</v>
      </c>
      <c r="F1971" s="919"/>
      <c r="G1971" s="704" t="s">
        <v>3563</v>
      </c>
      <c r="J1971" s="1001"/>
    </row>
    <row r="1972" spans="1:10" x14ac:dyDescent="0.3">
      <c r="B1972" s="311" t="str">
        <f>IF(LEN('Ch10'!H155)=0,"",'Ch10'!H155)</f>
        <v/>
      </c>
      <c r="C1972" s="311" t="str">
        <f t="shared" si="49"/>
        <v/>
      </c>
      <c r="D1972" s="919"/>
      <c r="E1972" s="925" t="s">
        <v>273</v>
      </c>
      <c r="F1972" s="919"/>
      <c r="G1972" s="704" t="s">
        <v>3564</v>
      </c>
      <c r="J1972" s="1001"/>
    </row>
    <row r="1973" spans="1:10" x14ac:dyDescent="0.3">
      <c r="B1973" s="311" t="str">
        <f>IF(LEN('Ch10'!H156)=0,"",'Ch10'!H156)</f>
        <v/>
      </c>
      <c r="C1973" s="311" t="str">
        <f t="shared" si="49"/>
        <v/>
      </c>
      <c r="D1973" s="919"/>
      <c r="E1973" s="925" t="s">
        <v>275</v>
      </c>
      <c r="F1973" s="919"/>
      <c r="G1973" s="704" t="s">
        <v>3565</v>
      </c>
      <c r="J1973" s="1001"/>
    </row>
    <row r="1974" spans="1:10" x14ac:dyDescent="0.3">
      <c r="B1974" s="311" t="str">
        <f>IF(LEN('Ch10'!H157)=0,"",'Ch10'!H157)</f>
        <v/>
      </c>
      <c r="C1974" s="311" t="str">
        <f t="shared" si="49"/>
        <v/>
      </c>
      <c r="D1974" s="919"/>
      <c r="E1974" s="925" t="s">
        <v>285</v>
      </c>
      <c r="F1974" s="919"/>
      <c r="G1974" s="704" t="s">
        <v>3574</v>
      </c>
      <c r="J1974" s="1001"/>
    </row>
    <row r="1975" spans="1:10" x14ac:dyDescent="0.3">
      <c r="B1975" s="311" t="str">
        <f>IF(LEN('Ch10'!H158)=0,"",'Ch10'!H158)</f>
        <v/>
      </c>
      <c r="C1975" s="311" t="str">
        <f t="shared" si="49"/>
        <v/>
      </c>
      <c r="D1975" s="919"/>
      <c r="E1975" s="925" t="s">
        <v>291</v>
      </c>
      <c r="F1975" s="919"/>
      <c r="G1975" s="704" t="s">
        <v>3575</v>
      </c>
      <c r="J1975" s="1001"/>
    </row>
    <row r="1976" spans="1:10" x14ac:dyDescent="0.3">
      <c r="B1976" s="311" t="str">
        <f>IF(LEN('Ch10'!H159)=0,"",'Ch10'!H159)</f>
        <v/>
      </c>
      <c r="C1976" s="311" t="str">
        <f t="shared" si="49"/>
        <v/>
      </c>
      <c r="D1976" s="919"/>
      <c r="E1976" s="925" t="s">
        <v>293</v>
      </c>
      <c r="F1976" s="919"/>
      <c r="G1976" s="704" t="s">
        <v>3568</v>
      </c>
      <c r="J1976" s="1001"/>
    </row>
    <row r="1977" spans="1:10" x14ac:dyDescent="0.3">
      <c r="B1977" s="311" t="str">
        <f>IF(LEN('Ch10'!H160)=0,"",'Ch10'!H160)</f>
        <v/>
      </c>
      <c r="C1977" s="311" t="str">
        <f t="shared" si="49"/>
        <v/>
      </c>
      <c r="D1977" s="919"/>
      <c r="E1977" s="925" t="s">
        <v>405</v>
      </c>
      <c r="F1977" s="919"/>
      <c r="G1977" s="704" t="s">
        <v>3576</v>
      </c>
      <c r="J1977" s="1001"/>
    </row>
    <row r="1978" spans="1:10" ht="18" x14ac:dyDescent="0.3">
      <c r="A1978" s="727" t="s">
        <v>4389</v>
      </c>
      <c r="B1978" s="311" t="str">
        <f>IF(LEN('Ch10'!H161)=0,"",'Ch10'!H161)</f>
        <v/>
      </c>
      <c r="C1978" s="311" t="str">
        <f t="shared" si="49"/>
        <v>P</v>
      </c>
      <c r="D1978" s="72" t="s">
        <v>3577</v>
      </c>
      <c r="E1978" s="72"/>
      <c r="F1978" s="72"/>
      <c r="G1978" s="258"/>
      <c r="J1978" s="1007"/>
    </row>
    <row r="1979" spans="1:10" x14ac:dyDescent="0.3">
      <c r="B1979" s="311" t="str">
        <f>IF(LEN('Ch10'!H162)=0,"",'Ch10'!H162)</f>
        <v/>
      </c>
      <c r="C1979" s="311" t="str">
        <f t="shared" si="49"/>
        <v/>
      </c>
      <c r="D1979" s="106">
        <v>1003</v>
      </c>
      <c r="E1979" s="204"/>
      <c r="F1979" s="204"/>
      <c r="G1979" s="1313" t="s">
        <v>3578</v>
      </c>
      <c r="J1979" s="989"/>
    </row>
    <row r="1980" spans="1:10" x14ac:dyDescent="0.3">
      <c r="B1980" s="311" t="str">
        <f>IF(LEN('Ch10'!H163)=0,"",'Ch10'!H163)</f>
        <v/>
      </c>
      <c r="C1980" s="311" t="str">
        <f t="shared" si="49"/>
        <v/>
      </c>
      <c r="D1980" s="106"/>
      <c r="E1980" s="204"/>
      <c r="F1980" s="204"/>
      <c r="G1980" s="1313"/>
      <c r="J1980" s="989"/>
    </row>
    <row r="1981" spans="1:10" x14ac:dyDescent="0.3">
      <c r="B1981" s="311" t="str">
        <f>IF(LEN('Ch10'!H164)=0,"",'Ch10'!H164)</f>
        <v/>
      </c>
      <c r="C1981" s="311" t="str">
        <f t="shared" si="49"/>
        <v/>
      </c>
      <c r="D1981" s="106"/>
      <c r="E1981" s="204"/>
      <c r="F1981" s="204"/>
      <c r="G1981" s="1313"/>
      <c r="J1981" s="989"/>
    </row>
    <row r="1982" spans="1:10" x14ac:dyDescent="0.3">
      <c r="A1982" s="727" t="str">
        <f>IF('Ch10'!O165&gt;0,"P","")</f>
        <v>P</v>
      </c>
      <c r="B1982" s="311" t="str">
        <f>IF(LEN('Ch10'!H165)=0,"",'Ch10'!H165)</f>
        <v/>
      </c>
      <c r="C1982" s="311" t="str">
        <f t="shared" si="49"/>
        <v>P</v>
      </c>
      <c r="D1982" s="152">
        <v>1003.1</v>
      </c>
      <c r="E1982" s="919"/>
      <c r="F1982" s="919"/>
      <c r="G1982" s="257" t="s">
        <v>3579</v>
      </c>
      <c r="I1982" s="89">
        <f>'Ch10'!O165</f>
        <v>1</v>
      </c>
      <c r="J1982" s="989"/>
    </row>
    <row r="1983" spans="1:10" x14ac:dyDescent="0.3">
      <c r="A1983" s="727" t="str">
        <f>IF(AND(LEN('Ch10'!W166)&gt;0,NOT('Ch10'!W166=FALSE)),"P","")</f>
        <v/>
      </c>
      <c r="B1983" s="311" t="str">
        <f>IF(LEN('Ch10'!H166)=0,"",'Ch10'!H166)</f>
        <v/>
      </c>
      <c r="C1983" s="311" t="str">
        <f t="shared" si="49"/>
        <v/>
      </c>
      <c r="D1983" s="152"/>
      <c r="E1983" s="926" t="s">
        <v>271</v>
      </c>
      <c r="F1983" s="204"/>
      <c r="G1983" s="1313" t="s">
        <v>3581</v>
      </c>
      <c r="H1983" s="89" t="b">
        <f>'Ch10'!W166</f>
        <v>0</v>
      </c>
      <c r="J1983" s="1439" t="s">
        <v>4336</v>
      </c>
    </row>
    <row r="1984" spans="1:10" x14ac:dyDescent="0.3">
      <c r="A1984" s="727" t="str">
        <f>A1983</f>
        <v/>
      </c>
      <c r="B1984" s="311" t="str">
        <f>IF(LEN('Ch10'!H167)=0,"",'Ch10'!H167)</f>
        <v/>
      </c>
      <c r="C1984" s="311" t="str">
        <f t="shared" si="49"/>
        <v/>
      </c>
      <c r="D1984" s="152"/>
      <c r="E1984" s="946"/>
      <c r="F1984" s="232"/>
      <c r="G1984" s="1350"/>
      <c r="J1984" s="1439"/>
    </row>
    <row r="1985" spans="1:10" x14ac:dyDescent="0.3">
      <c r="A1985" s="727" t="str">
        <f>IF(AND(LEN('Ch10'!W168)&gt;0,NOT('Ch10'!W168=FALSE)),"P","")</f>
        <v/>
      </c>
      <c r="B1985" s="311" t="str">
        <f>IF(LEN('Ch10'!H168)=0,"",'Ch10'!H168)</f>
        <v/>
      </c>
      <c r="C1985" s="311" t="str">
        <f t="shared" si="49"/>
        <v/>
      </c>
      <c r="D1985" s="152"/>
      <c r="E1985" s="958" t="s">
        <v>273</v>
      </c>
      <c r="F1985" s="959"/>
      <c r="G1985" s="1364" t="s">
        <v>3582</v>
      </c>
      <c r="H1985" s="89">
        <f>'Ch10'!W168</f>
        <v>0</v>
      </c>
      <c r="J1985" s="1439" t="s">
        <v>4337</v>
      </c>
    </row>
    <row r="1986" spans="1:10" x14ac:dyDescent="0.3">
      <c r="A1986" s="727" t="str">
        <f>A1985</f>
        <v/>
      </c>
      <c r="B1986" s="311" t="str">
        <f>IF(LEN('Ch10'!H169)=0,"",'Ch10'!H169)</f>
        <v/>
      </c>
      <c r="C1986" s="311" t="str">
        <f t="shared" si="49"/>
        <v/>
      </c>
      <c r="D1986" s="152"/>
      <c r="E1986" s="926"/>
      <c r="F1986" s="204"/>
      <c r="G1986" s="1313"/>
      <c r="J1986" s="1439"/>
    </row>
    <row r="1987" spans="1:10" x14ac:dyDescent="0.3">
      <c r="A1987" s="727" t="str">
        <f>A1986</f>
        <v/>
      </c>
      <c r="B1987" s="311" t="str">
        <f>IF(LEN('Ch10'!H170)=0,"",'Ch10'!H170)</f>
        <v/>
      </c>
      <c r="C1987" s="311" t="str">
        <f t="shared" si="49"/>
        <v/>
      </c>
      <c r="D1987" s="152"/>
      <c r="E1987" s="946"/>
      <c r="F1987" s="232"/>
      <c r="G1987" s="1350"/>
      <c r="J1987" s="1439"/>
    </row>
    <row r="1988" spans="1:10" ht="15" customHeight="1" x14ac:dyDescent="0.3">
      <c r="A1988" s="727" t="str">
        <f>IF(AND(LEN('Ch10'!W171)&gt;0,NOT('Ch10'!W171=FALSE)),"P","")</f>
        <v>P</v>
      </c>
      <c r="B1988" s="311" t="str">
        <f>IF(LEN('Ch10'!H171)=0,"",'Ch10'!H171)</f>
        <v/>
      </c>
      <c r="C1988" s="311" t="str">
        <f t="shared" si="49"/>
        <v>P</v>
      </c>
      <c r="D1988" s="152"/>
      <c r="E1988" s="925" t="s">
        <v>275</v>
      </c>
      <c r="F1988" s="919"/>
      <c r="G1988" s="1292" t="s">
        <v>3583</v>
      </c>
      <c r="H1988" s="89" t="b">
        <f>'Ch10'!W171</f>
        <v>1</v>
      </c>
      <c r="J1988" s="1447" t="s">
        <v>4338</v>
      </c>
    </row>
    <row r="1989" spans="1:10" x14ac:dyDescent="0.3">
      <c r="A1989" s="727" t="str">
        <f>A1988</f>
        <v>P</v>
      </c>
      <c r="B1989" s="311" t="str">
        <f>IF(LEN('Ch10'!H172)=0,"",'Ch10'!H172)</f>
        <v/>
      </c>
      <c r="C1989" s="311" t="str">
        <f t="shared" si="49"/>
        <v>P</v>
      </c>
      <c r="D1989" s="152"/>
      <c r="E1989" s="919"/>
      <c r="F1989" s="919"/>
      <c r="G1989" s="1292"/>
      <c r="J1989" s="1447"/>
    </row>
    <row r="1990" spans="1:10" x14ac:dyDescent="0.3">
      <c r="A1990" s="727" t="str">
        <f>A1989</f>
        <v>P</v>
      </c>
      <c r="B1990" s="311" t="str">
        <f>IF(LEN('Ch10'!H173)=0,"",'Ch10'!H173)</f>
        <v/>
      </c>
      <c r="C1990" s="311" t="str">
        <f t="shared" si="49"/>
        <v>P</v>
      </c>
      <c r="D1990" s="152"/>
      <c r="E1990" s="919"/>
      <c r="F1990" s="919"/>
      <c r="G1990" s="1292"/>
      <c r="J1990" s="1447"/>
    </row>
    <row r="1991" spans="1:10" ht="18" x14ac:dyDescent="0.3">
      <c r="A1991" s="727" t="s">
        <v>4389</v>
      </c>
      <c r="B1991" s="311" t="str">
        <f>IF(LEN('Ch10'!H174)=0,"",'Ch10'!H174)</f>
        <v/>
      </c>
      <c r="C1991" s="311" t="str">
        <f t="shared" si="49"/>
        <v>P</v>
      </c>
      <c r="D1991" s="72" t="s">
        <v>3584</v>
      </c>
      <c r="E1991" s="72"/>
      <c r="F1991" s="72"/>
      <c r="G1991" s="258"/>
      <c r="J1991" s="1007"/>
    </row>
    <row r="1992" spans="1:10" x14ac:dyDescent="0.3">
      <c r="B1992" s="311" t="str">
        <f>IF(LEN('Ch10'!H175)=0,"",'Ch10'!H175)</f>
        <v/>
      </c>
      <c r="C1992" s="311" t="str">
        <f t="shared" ref="C1992:C2004" si="53">IF(LEN(B1992)=0,IF(A1992="P","P",""),B1992)</f>
        <v/>
      </c>
      <c r="D1992" s="106">
        <v>1004</v>
      </c>
      <c r="E1992" s="204"/>
      <c r="F1992" s="204"/>
      <c r="G1992" s="1313" t="s">
        <v>3585</v>
      </c>
      <c r="J1992" s="989"/>
    </row>
    <row r="1993" spans="1:10" x14ac:dyDescent="0.3">
      <c r="B1993" s="311" t="str">
        <f>IF(LEN('Ch10'!H176)=0,"",'Ch10'!H176)</f>
        <v/>
      </c>
      <c r="C1993" s="311" t="str">
        <f t="shared" si="53"/>
        <v/>
      </c>
      <c r="D1993" s="106"/>
      <c r="E1993" s="204"/>
      <c r="F1993" s="204"/>
      <c r="G1993" s="1313"/>
      <c r="J1993" s="989"/>
    </row>
    <row r="1994" spans="1:10" x14ac:dyDescent="0.3">
      <c r="B1994" s="311" t="str">
        <f>IF(LEN('Ch10'!H177)=0,"",'Ch10'!H177)</f>
        <v/>
      </c>
      <c r="C1994" s="311" t="str">
        <f t="shared" si="53"/>
        <v/>
      </c>
      <c r="D1994" s="106"/>
      <c r="E1994" s="204"/>
      <c r="F1994" s="204"/>
      <c r="G1994" s="1313"/>
      <c r="J1994" s="989"/>
    </row>
    <row r="1995" spans="1:10" x14ac:dyDescent="0.3">
      <c r="B1995" s="311" t="str">
        <f>IF(LEN('Ch10'!H178)=0,"",'Ch10'!H178)</f>
        <v/>
      </c>
      <c r="C1995" s="311" t="str">
        <f t="shared" si="53"/>
        <v/>
      </c>
      <c r="D1995" s="106"/>
      <c r="E1995" s="204"/>
      <c r="F1995" s="204"/>
      <c r="G1995" s="1313"/>
      <c r="J1995" s="989"/>
    </row>
    <row r="1996" spans="1:10" x14ac:dyDescent="0.3">
      <c r="A1996" s="1196" t="str">
        <f>IF(COUNTIF(A2001:A2003,"P")&gt;0,"P","")</f>
        <v/>
      </c>
      <c r="B1996" s="311" t="str">
        <f>IF(LEN('Ch10'!H179)=0,"",'Ch10'!H179)</f>
        <v/>
      </c>
      <c r="C1996" s="311" t="str">
        <f t="shared" si="53"/>
        <v/>
      </c>
      <c r="D1996" s="152">
        <v>1004.1</v>
      </c>
      <c r="E1996" s="919"/>
      <c r="F1996" s="919"/>
      <c r="G1996" s="1292" t="s">
        <v>3586</v>
      </c>
      <c r="J1996" s="989"/>
    </row>
    <row r="1997" spans="1:10" x14ac:dyDescent="0.3">
      <c r="A1997" s="727" t="str">
        <f t="shared" ref="A1997:A2000" si="54">A1996</f>
        <v/>
      </c>
      <c r="B1997" s="311" t="str">
        <f>IF(LEN('Ch10'!H180)=0,"",'Ch10'!H180)</f>
        <v/>
      </c>
      <c r="C1997" s="311" t="str">
        <f t="shared" si="53"/>
        <v/>
      </c>
      <c r="D1997" s="919"/>
      <c r="E1997" s="919"/>
      <c r="F1997" s="919"/>
      <c r="G1997" s="1292"/>
      <c r="J1997" s="989"/>
    </row>
    <row r="1998" spans="1:10" x14ac:dyDescent="0.3">
      <c r="A1998" s="727" t="str">
        <f t="shared" si="54"/>
        <v/>
      </c>
      <c r="B1998" s="311" t="str">
        <f>IF(LEN('Ch10'!H181)=0,"",'Ch10'!H181)</f>
        <v/>
      </c>
      <c r="C1998" s="311" t="str">
        <f t="shared" si="53"/>
        <v/>
      </c>
      <c r="D1998" s="919"/>
      <c r="E1998" s="919"/>
      <c r="F1998" s="919"/>
      <c r="G1998" s="1292"/>
      <c r="J1998" s="989"/>
    </row>
    <row r="1999" spans="1:10" x14ac:dyDescent="0.3">
      <c r="A1999" s="727" t="str">
        <f t="shared" si="54"/>
        <v/>
      </c>
      <c r="B1999" s="311" t="str">
        <f>IF(LEN('Ch10'!H182)=0,"",'Ch10'!H182)</f>
        <v/>
      </c>
      <c r="C1999" s="311" t="str">
        <f t="shared" si="53"/>
        <v/>
      </c>
      <c r="D1999" s="919"/>
      <c r="E1999" s="919"/>
      <c r="F1999" s="919"/>
      <c r="G1999" s="1292"/>
      <c r="J1999" s="989"/>
    </row>
    <row r="2000" spans="1:10" x14ac:dyDescent="0.3">
      <c r="A2000" s="727" t="str">
        <f t="shared" si="54"/>
        <v/>
      </c>
      <c r="B2000" s="311" t="str">
        <f>IF(LEN('Ch10'!H183)=0,"",'Ch10'!H183)</f>
        <v/>
      </c>
      <c r="C2000" s="311" t="str">
        <f t="shared" si="53"/>
        <v/>
      </c>
      <c r="D2000" s="919"/>
      <c r="E2000" s="919"/>
      <c r="F2000" s="919"/>
      <c r="G2000" s="1292"/>
      <c r="J2000" s="989"/>
    </row>
    <row r="2001" spans="1:10" ht="15" customHeight="1" x14ac:dyDescent="0.3">
      <c r="A2001" s="727" t="str">
        <f>IF(AND(LEN('Ch10'!W184)&gt;0,NOT('Ch10'!W184=FALSE)),"P","")</f>
        <v/>
      </c>
      <c r="B2001" s="311" t="str">
        <f>IF(LEN('Ch10'!H184)=0,"",'Ch10'!H184)</f>
        <v/>
      </c>
      <c r="C2001" s="311" t="str">
        <f t="shared" si="53"/>
        <v/>
      </c>
      <c r="D2001" s="919"/>
      <c r="E2001" s="926" t="s">
        <v>271</v>
      </c>
      <c r="F2001" s="204"/>
      <c r="G2001" s="1305" t="s">
        <v>3587</v>
      </c>
      <c r="H2001" s="89">
        <f>'Ch10'!W184</f>
        <v>0</v>
      </c>
      <c r="I2001" s="89">
        <f>'Ch10'!O184</f>
        <v>0</v>
      </c>
      <c r="J2001" s="1443" t="s">
        <v>4423</v>
      </c>
    </row>
    <row r="2002" spans="1:10" ht="39.75" customHeight="1" x14ac:dyDescent="0.3">
      <c r="A2002" s="727" t="str">
        <f>A2001</f>
        <v/>
      </c>
      <c r="B2002" s="311" t="str">
        <f>IF(LEN('Ch10'!H185)=0,"",'Ch10'!H185)</f>
        <v/>
      </c>
      <c r="C2002" s="311" t="str">
        <f t="shared" si="53"/>
        <v/>
      </c>
      <c r="D2002" s="919"/>
      <c r="E2002" s="946"/>
      <c r="F2002" s="232"/>
      <c r="G2002" s="1306"/>
      <c r="J2002" s="1443"/>
    </row>
    <row r="2003" spans="1:10" ht="15" customHeight="1" x14ac:dyDescent="0.3">
      <c r="A2003" s="727" t="str">
        <f>IF(AND(LEN('Ch10'!W186)&gt;0,NOT('Ch10'!W186=FALSE)),"P","")</f>
        <v/>
      </c>
      <c r="B2003" s="311" t="str">
        <f>IF(LEN('Ch10'!H186)=0,"",'Ch10'!H186)</f>
        <v/>
      </c>
      <c r="C2003" s="311" t="str">
        <f t="shared" si="53"/>
        <v/>
      </c>
      <c r="D2003" s="204"/>
      <c r="E2003" s="958" t="s">
        <v>273</v>
      </c>
      <c r="F2003" s="959"/>
      <c r="G2003" s="1356" t="s">
        <v>3588</v>
      </c>
      <c r="H2003" s="89">
        <f>'Ch10'!W186</f>
        <v>0</v>
      </c>
      <c r="I2003" s="89">
        <f>'Ch10'!O186</f>
        <v>0</v>
      </c>
      <c r="J2003" s="1445" t="s">
        <v>4339</v>
      </c>
    </row>
    <row r="2004" spans="1:10" ht="15" thickBot="1" x14ac:dyDescent="0.35">
      <c r="A2004" s="727" t="str">
        <f>A2003</f>
        <v/>
      </c>
      <c r="B2004" s="311" t="str">
        <f>IF(LEN('Ch10'!H187)=0,"",'Ch10'!H187)</f>
        <v/>
      </c>
      <c r="C2004" s="311" t="str">
        <f t="shared" si="53"/>
        <v/>
      </c>
      <c r="D2004" s="934"/>
      <c r="E2004" s="934"/>
      <c r="F2004" s="934"/>
      <c r="G2004" s="1330"/>
      <c r="J2004" s="1445"/>
    </row>
    <row r="2005" spans="1:10" ht="15" thickTop="1" x14ac:dyDescent="0.3"/>
  </sheetData>
  <sheetProtection algorithmName="SHA-512" hashValue="FRstx0aHAMHlhyG/j+b5bFFZhM/vI52gfFXUa0AuW8ZWDIKEC1Vg7Mcav1zmDOImTSG3XZIyy4bjPsR9Wh62Bw==" saltValue="Zig04qPaslTQZ5WJgJ3KsA==" spinCount="100000" sheet="1" objects="1" scenarios="1" selectLockedCells="1" autoFilter="0" selectUnlockedCells="1"/>
  <autoFilter ref="A6:C2004" xr:uid="{00000000-0009-0000-0000-000009000000}"/>
  <mergeCells count="773">
    <mergeCell ref="G764:G769"/>
    <mergeCell ref="G742:G745"/>
    <mergeCell ref="G746:G747"/>
    <mergeCell ref="G748:G749"/>
    <mergeCell ref="G750:G754"/>
    <mergeCell ref="G755:G762"/>
    <mergeCell ref="G725:G726"/>
    <mergeCell ref="G727:G731"/>
    <mergeCell ref="G732:G735"/>
    <mergeCell ref="G736:G737"/>
    <mergeCell ref="G738:G739"/>
    <mergeCell ref="G703:G704"/>
    <mergeCell ref="G706:G710"/>
    <mergeCell ref="G712:G713"/>
    <mergeCell ref="G714:G716"/>
    <mergeCell ref="G723:G724"/>
    <mergeCell ref="G676:G678"/>
    <mergeCell ref="G679:G680"/>
    <mergeCell ref="G681:G688"/>
    <mergeCell ref="G693:G694"/>
    <mergeCell ref="G701:G702"/>
    <mergeCell ref="G645:G647"/>
    <mergeCell ref="G654:G660"/>
    <mergeCell ref="G661:G662"/>
    <mergeCell ref="G663:G666"/>
    <mergeCell ref="G667:G669"/>
    <mergeCell ref="G629:G630"/>
    <mergeCell ref="G631:G633"/>
    <mergeCell ref="G634:G635"/>
    <mergeCell ref="G637:G642"/>
    <mergeCell ref="G643:G644"/>
    <mergeCell ref="G612:G613"/>
    <mergeCell ref="G614:G615"/>
    <mergeCell ref="G617:G618"/>
    <mergeCell ref="G620:G622"/>
    <mergeCell ref="G623:G624"/>
    <mergeCell ref="G588:G589"/>
    <mergeCell ref="G591:G592"/>
    <mergeCell ref="G599:G600"/>
    <mergeCell ref="G602:G603"/>
    <mergeCell ref="G605:G608"/>
    <mergeCell ref="G555:G556"/>
    <mergeCell ref="G579:G580"/>
    <mergeCell ref="G582:G583"/>
    <mergeCell ref="G584:G585"/>
    <mergeCell ref="G586:G587"/>
    <mergeCell ref="G542:G543"/>
    <mergeCell ref="G544:G545"/>
    <mergeCell ref="G546:G547"/>
    <mergeCell ref="G548:G550"/>
    <mergeCell ref="G552:G554"/>
    <mergeCell ref="G519:G520"/>
    <mergeCell ref="G523:G524"/>
    <mergeCell ref="G528:G529"/>
    <mergeCell ref="G531:G536"/>
    <mergeCell ref="G537:G540"/>
    <mergeCell ref="G502:G503"/>
    <mergeCell ref="G505:G507"/>
    <mergeCell ref="G508:G510"/>
    <mergeCell ref="G512:G514"/>
    <mergeCell ref="G515:G516"/>
    <mergeCell ref="G484:G486"/>
    <mergeCell ref="G487:G489"/>
    <mergeCell ref="G491:G495"/>
    <mergeCell ref="G496:G497"/>
    <mergeCell ref="G500:G501"/>
    <mergeCell ref="G467:G470"/>
    <mergeCell ref="G471:G472"/>
    <mergeCell ref="G473:G474"/>
    <mergeCell ref="G477:G480"/>
    <mergeCell ref="G481:G482"/>
    <mergeCell ref="G446:G447"/>
    <mergeCell ref="G449:G454"/>
    <mergeCell ref="G460:G461"/>
    <mergeCell ref="G462:G463"/>
    <mergeCell ref="G464:G465"/>
    <mergeCell ref="G426:G427"/>
    <mergeCell ref="G432:G434"/>
    <mergeCell ref="G436:G439"/>
    <mergeCell ref="G441:G443"/>
    <mergeCell ref="G444:G445"/>
    <mergeCell ref="G406:G407"/>
    <mergeCell ref="G408:G409"/>
    <mergeCell ref="G410:G413"/>
    <mergeCell ref="G414:G415"/>
    <mergeCell ref="G417:G421"/>
    <mergeCell ref="G388:G391"/>
    <mergeCell ref="G392:G395"/>
    <mergeCell ref="G396:G398"/>
    <mergeCell ref="G401:G402"/>
    <mergeCell ref="G403:G404"/>
    <mergeCell ref="G374:G375"/>
    <mergeCell ref="G376:G377"/>
    <mergeCell ref="G380:G381"/>
    <mergeCell ref="G382:G384"/>
    <mergeCell ref="G385:G386"/>
    <mergeCell ref="G360:G361"/>
    <mergeCell ref="G362:G363"/>
    <mergeCell ref="G365:G367"/>
    <mergeCell ref="G368:G369"/>
    <mergeCell ref="G371:G373"/>
    <mergeCell ref="G342:G344"/>
    <mergeCell ref="G346:G347"/>
    <mergeCell ref="G350:G352"/>
    <mergeCell ref="G353:G354"/>
    <mergeCell ref="G355:G356"/>
    <mergeCell ref="G327:G328"/>
    <mergeCell ref="G329:G330"/>
    <mergeCell ref="G331:G335"/>
    <mergeCell ref="G336:G338"/>
    <mergeCell ref="G339:G341"/>
    <mergeCell ref="G308:G310"/>
    <mergeCell ref="G313:G314"/>
    <mergeCell ref="G318:G319"/>
    <mergeCell ref="G322:G323"/>
    <mergeCell ref="G324:G325"/>
    <mergeCell ref="G282:G284"/>
    <mergeCell ref="G285:G287"/>
    <mergeCell ref="G289:G291"/>
    <mergeCell ref="G297:G299"/>
    <mergeCell ref="G300:G302"/>
    <mergeCell ref="G263:G265"/>
    <mergeCell ref="G266:G269"/>
    <mergeCell ref="G276:G277"/>
    <mergeCell ref="G278:G279"/>
    <mergeCell ref="G280:G281"/>
    <mergeCell ref="G254:G255"/>
    <mergeCell ref="G256:G261"/>
    <mergeCell ref="A1:A5"/>
    <mergeCell ref="D1:G5"/>
    <mergeCell ref="G155:G156"/>
    <mergeCell ref="G159:G160"/>
    <mergeCell ref="G162:G163"/>
    <mergeCell ref="G164:G165"/>
    <mergeCell ref="G166:G167"/>
    <mergeCell ref="G168:G170"/>
    <mergeCell ref="G171:G172"/>
    <mergeCell ref="G144:G145"/>
    <mergeCell ref="G98:G100"/>
    <mergeCell ref="G101:G104"/>
    <mergeCell ref="G105:G108"/>
    <mergeCell ref="G112:G113"/>
    <mergeCell ref="G117:G118"/>
    <mergeCell ref="G119:G120"/>
    <mergeCell ref="G121:G122"/>
    <mergeCell ref="J1:J5"/>
    <mergeCell ref="G221:G222"/>
    <mergeCell ref="G228:G229"/>
    <mergeCell ref="G234:G235"/>
    <mergeCell ref="G236:G238"/>
    <mergeCell ref="G239:G242"/>
    <mergeCell ref="G244:G246"/>
    <mergeCell ref="G194:G195"/>
    <mergeCell ref="G196:G197"/>
    <mergeCell ref="G198:G201"/>
    <mergeCell ref="G202:G204"/>
    <mergeCell ref="G216:G218"/>
    <mergeCell ref="G219:G220"/>
    <mergeCell ref="G176:G179"/>
    <mergeCell ref="G181:G182"/>
    <mergeCell ref="G184:G185"/>
    <mergeCell ref="G186:G187"/>
    <mergeCell ref="G188:G190"/>
    <mergeCell ref="G191:G192"/>
    <mergeCell ref="G174:G175"/>
    <mergeCell ref="G146:G148"/>
    <mergeCell ref="G149:G150"/>
    <mergeCell ref="G151:G152"/>
    <mergeCell ref="G153:G154"/>
    <mergeCell ref="G127:G128"/>
    <mergeCell ref="G129:G130"/>
    <mergeCell ref="G131:G132"/>
    <mergeCell ref="G139:G143"/>
    <mergeCell ref="G95:G97"/>
    <mergeCell ref="G57:G58"/>
    <mergeCell ref="G61:G62"/>
    <mergeCell ref="G63:G64"/>
    <mergeCell ref="G68:G69"/>
    <mergeCell ref="G70:G71"/>
    <mergeCell ref="G75:G76"/>
    <mergeCell ref="G78:G79"/>
    <mergeCell ref="G81:G82"/>
    <mergeCell ref="G83:G84"/>
    <mergeCell ref="G86:G87"/>
    <mergeCell ref="G91:G94"/>
    <mergeCell ref="G55:G56"/>
    <mergeCell ref="G8:G10"/>
    <mergeCell ref="G12:G13"/>
    <mergeCell ref="G17:G18"/>
    <mergeCell ref="G19:G20"/>
    <mergeCell ref="G21:G22"/>
    <mergeCell ref="G23:G24"/>
    <mergeCell ref="G25:G28"/>
    <mergeCell ref="G34:G36"/>
    <mergeCell ref="G37:G38"/>
    <mergeCell ref="G43:G46"/>
    <mergeCell ref="G48:G51"/>
    <mergeCell ref="G772:G775"/>
    <mergeCell ref="G776:G777"/>
    <mergeCell ref="G778:G780"/>
    <mergeCell ref="G781:G783"/>
    <mergeCell ref="G784:G791"/>
    <mergeCell ref="G792:G793"/>
    <mergeCell ref="G794:G795"/>
    <mergeCell ref="G799:G801"/>
    <mergeCell ref="G802:G806"/>
    <mergeCell ref="G808:G810"/>
    <mergeCell ref="G812:G813"/>
    <mergeCell ref="G815:G818"/>
    <mergeCell ref="G831:G833"/>
    <mergeCell ref="G834:G838"/>
    <mergeCell ref="G840:G841"/>
    <mergeCell ref="G843:G844"/>
    <mergeCell ref="G848:G849"/>
    <mergeCell ref="G850:G851"/>
    <mergeCell ref="G855:G856"/>
    <mergeCell ref="G858:G861"/>
    <mergeCell ref="G862:G863"/>
    <mergeCell ref="G864:G866"/>
    <mergeCell ref="G867:G868"/>
    <mergeCell ref="G871:G873"/>
    <mergeCell ref="G874:G876"/>
    <mergeCell ref="G877:G879"/>
    <mergeCell ref="G880:G885"/>
    <mergeCell ref="G886:G891"/>
    <mergeCell ref="G892:G893"/>
    <mergeCell ref="G894:G895"/>
    <mergeCell ref="G899:G900"/>
    <mergeCell ref="G902:G905"/>
    <mergeCell ref="G906:G910"/>
    <mergeCell ref="G912:G914"/>
    <mergeCell ref="G915:G916"/>
    <mergeCell ref="G919:G920"/>
    <mergeCell ref="G922:G927"/>
    <mergeCell ref="G928:G931"/>
    <mergeCell ref="G932:G933"/>
    <mergeCell ref="G935:G936"/>
    <mergeCell ref="G938:G943"/>
    <mergeCell ref="G945:G946"/>
    <mergeCell ref="G947:G949"/>
    <mergeCell ref="G950:G952"/>
    <mergeCell ref="G954:G959"/>
    <mergeCell ref="G961:G968"/>
    <mergeCell ref="G969:G973"/>
    <mergeCell ref="G977:G984"/>
    <mergeCell ref="G986:G993"/>
    <mergeCell ref="G994:G995"/>
    <mergeCell ref="G999:G1003"/>
    <mergeCell ref="G1022:G1024"/>
    <mergeCell ref="G1031:G1033"/>
    <mergeCell ref="G1039:G1040"/>
    <mergeCell ref="G1042:G1044"/>
    <mergeCell ref="G1046:G1048"/>
    <mergeCell ref="G1054:G1057"/>
    <mergeCell ref="G1059:G1060"/>
    <mergeCell ref="G1062:G1063"/>
    <mergeCell ref="G1071:G1072"/>
    <mergeCell ref="G1075:G1079"/>
    <mergeCell ref="G1091:G1092"/>
    <mergeCell ref="G1103:G1104"/>
    <mergeCell ref="G1108:G1110"/>
    <mergeCell ref="G1117:G1118"/>
    <mergeCell ref="G1119:G1120"/>
    <mergeCell ref="G1121:G1122"/>
    <mergeCell ref="G1123:G1124"/>
    <mergeCell ref="G1131:G1132"/>
    <mergeCell ref="G1133:G1134"/>
    <mergeCell ref="G1135:G1136"/>
    <mergeCell ref="G1137:G1138"/>
    <mergeCell ref="G1139:G1140"/>
    <mergeCell ref="G1141:G1142"/>
    <mergeCell ref="G1144:G1145"/>
    <mergeCell ref="G1147:G1148"/>
    <mergeCell ref="G1149:G1150"/>
    <mergeCell ref="G1154:G1158"/>
    <mergeCell ref="G1159:G1160"/>
    <mergeCell ref="G1161:G1162"/>
    <mergeCell ref="G1165:G1166"/>
    <mergeCell ref="G1167:G1168"/>
    <mergeCell ref="G1171:G1172"/>
    <mergeCell ref="G1173:G1174"/>
    <mergeCell ref="G1177:G1178"/>
    <mergeCell ref="G1179:G1181"/>
    <mergeCell ref="G1182:G1183"/>
    <mergeCell ref="G1184:G1185"/>
    <mergeCell ref="G1186:G1187"/>
    <mergeCell ref="G1188:G1189"/>
    <mergeCell ref="G1191:G1192"/>
    <mergeCell ref="G1193:G1194"/>
    <mergeCell ref="G1195:G1197"/>
    <mergeCell ref="G1198:G1199"/>
    <mergeCell ref="G1200:G1201"/>
    <mergeCell ref="G1202:G1203"/>
    <mergeCell ref="G1204:G1205"/>
    <mergeCell ref="G1206:G1208"/>
    <mergeCell ref="G1209:G1210"/>
    <mergeCell ref="G1212:G1215"/>
    <mergeCell ref="G1216:G1218"/>
    <mergeCell ref="G1223:G1224"/>
    <mergeCell ref="G1225:G1226"/>
    <mergeCell ref="G1229:G1230"/>
    <mergeCell ref="G1232:G1233"/>
    <mergeCell ref="G1236:G1238"/>
    <mergeCell ref="G1241:G1243"/>
    <mergeCell ref="G1246:G1247"/>
    <mergeCell ref="G1249:G1250"/>
    <mergeCell ref="G1251:G1253"/>
    <mergeCell ref="G1255:G1257"/>
    <mergeCell ref="G1259:G1263"/>
    <mergeCell ref="G1264:G1265"/>
    <mergeCell ref="G1273:G1278"/>
    <mergeCell ref="G1280:G1282"/>
    <mergeCell ref="G1283:G1284"/>
    <mergeCell ref="G1288:G1289"/>
    <mergeCell ref="G1290:G1292"/>
    <mergeCell ref="G1293:G1294"/>
    <mergeCell ref="G1296:G1297"/>
    <mergeCell ref="G1302:G1303"/>
    <mergeCell ref="G1304:G1305"/>
    <mergeCell ref="G1313:G1314"/>
    <mergeCell ref="G1316:G1317"/>
    <mergeCell ref="G1318:G1319"/>
    <mergeCell ref="G1320:G1323"/>
    <mergeCell ref="G1325:G1326"/>
    <mergeCell ref="G1330:G1331"/>
    <mergeCell ref="G1333:G1334"/>
    <mergeCell ref="G1335:G1337"/>
    <mergeCell ref="G1338:G1340"/>
    <mergeCell ref="G1341:G1342"/>
    <mergeCell ref="G1343:G1344"/>
    <mergeCell ref="G1345:G1346"/>
    <mergeCell ref="G1349:G1350"/>
    <mergeCell ref="G1351:G1352"/>
    <mergeCell ref="G1363:G1364"/>
    <mergeCell ref="G1365:G1366"/>
    <mergeCell ref="G1367:G1368"/>
    <mergeCell ref="G1369:G1372"/>
    <mergeCell ref="G1373:G1375"/>
    <mergeCell ref="G1376:G1377"/>
    <mergeCell ref="G1378:G1379"/>
    <mergeCell ref="G1380:G1381"/>
    <mergeCell ref="G1384:G1385"/>
    <mergeCell ref="G1386:G1388"/>
    <mergeCell ref="G1389:G1391"/>
    <mergeCell ref="G1392:G1393"/>
    <mergeCell ref="G1396:G1400"/>
    <mergeCell ref="G1401:G1403"/>
    <mergeCell ref="G1404:G1406"/>
    <mergeCell ref="G1410:G1411"/>
    <mergeCell ref="G1412:G1413"/>
    <mergeCell ref="G1414:G1415"/>
    <mergeCell ref="G1416:G1418"/>
    <mergeCell ref="G1419:G1420"/>
    <mergeCell ref="G1421:G1425"/>
    <mergeCell ref="G1426:G1428"/>
    <mergeCell ref="G1429:G1430"/>
    <mergeCell ref="G1434:G1435"/>
    <mergeCell ref="G1436:G1437"/>
    <mergeCell ref="G1439:G1444"/>
    <mergeCell ref="G1445:G1447"/>
    <mergeCell ref="G1448:G1449"/>
    <mergeCell ref="G1456:G1457"/>
    <mergeCell ref="G1459:G1461"/>
    <mergeCell ref="G1463:G1464"/>
    <mergeCell ref="G1466:G1467"/>
    <mergeCell ref="G1468:G1469"/>
    <mergeCell ref="G1470:G1472"/>
    <mergeCell ref="G1473:G1475"/>
    <mergeCell ref="G1477:G1478"/>
    <mergeCell ref="G1480:G1482"/>
    <mergeCell ref="G1483:G1484"/>
    <mergeCell ref="G1487:G1489"/>
    <mergeCell ref="G1493:G1494"/>
    <mergeCell ref="G1495:G1497"/>
    <mergeCell ref="G1498:G1499"/>
    <mergeCell ref="G1501:G1502"/>
    <mergeCell ref="G1504:G1505"/>
    <mergeCell ref="G1506:G1507"/>
    <mergeCell ref="G1508:G1509"/>
    <mergeCell ref="G1510:G1511"/>
    <mergeCell ref="G1514:G1515"/>
    <mergeCell ref="G1518:G1519"/>
    <mergeCell ref="G1520:G1522"/>
    <mergeCell ref="G1523:G1525"/>
    <mergeCell ref="G1529:G1530"/>
    <mergeCell ref="G1532:G1533"/>
    <mergeCell ref="G1539:G1541"/>
    <mergeCell ref="G1542:G1544"/>
    <mergeCell ref="G1547:G1549"/>
    <mergeCell ref="G1550:G1551"/>
    <mergeCell ref="G1552:G1553"/>
    <mergeCell ref="G1558:G1561"/>
    <mergeCell ref="G1562:G1563"/>
    <mergeCell ref="G1564:G1565"/>
    <mergeCell ref="G1567:G1568"/>
    <mergeCell ref="G1575:G1578"/>
    <mergeCell ref="G1579:G1581"/>
    <mergeCell ref="G1586:G1587"/>
    <mergeCell ref="G1588:G1590"/>
    <mergeCell ref="G1591:G1592"/>
    <mergeCell ref="G1593:G1595"/>
    <mergeCell ref="G1596:G1597"/>
    <mergeCell ref="G1598:G1599"/>
    <mergeCell ref="G1603:G1604"/>
    <mergeCell ref="G1605:G1606"/>
    <mergeCell ref="G1607:G1612"/>
    <mergeCell ref="G1614:G1616"/>
    <mergeCell ref="G1626:G1627"/>
    <mergeCell ref="G1630:G1631"/>
    <mergeCell ref="G1633:G1634"/>
    <mergeCell ref="G1636:G1637"/>
    <mergeCell ref="G1638:G1640"/>
    <mergeCell ref="G1617:G1620"/>
    <mergeCell ref="G1641:G1642"/>
    <mergeCell ref="G1643:G1647"/>
    <mergeCell ref="G1648:G1649"/>
    <mergeCell ref="G1650:G1653"/>
    <mergeCell ref="G1662:G1663"/>
    <mergeCell ref="G1664:G1669"/>
    <mergeCell ref="G1670:G1672"/>
    <mergeCell ref="G1673:G1674"/>
    <mergeCell ref="G1675:G1676"/>
    <mergeCell ref="G1680:G1681"/>
    <mergeCell ref="G1682:G1683"/>
    <mergeCell ref="G1685:G1690"/>
    <mergeCell ref="G1691:G1693"/>
    <mergeCell ref="G1694:G1698"/>
    <mergeCell ref="G1700:G1702"/>
    <mergeCell ref="G1704:G1708"/>
    <mergeCell ref="G1709:G1710"/>
    <mergeCell ref="G1711:G1712"/>
    <mergeCell ref="G1715:G1716"/>
    <mergeCell ref="G1717:G1718"/>
    <mergeCell ref="G1719:G1720"/>
    <mergeCell ref="G1725:G1726"/>
    <mergeCell ref="G1727:G1728"/>
    <mergeCell ref="G1729:G1730"/>
    <mergeCell ref="G1731:G1733"/>
    <mergeCell ref="G1734:G1735"/>
    <mergeCell ref="G1738:G1739"/>
    <mergeCell ref="G1747:G1748"/>
    <mergeCell ref="G1749:G1750"/>
    <mergeCell ref="G1751:G1752"/>
    <mergeCell ref="G1753:G1755"/>
    <mergeCell ref="G1757:G1759"/>
    <mergeCell ref="G1760:G1761"/>
    <mergeCell ref="G1762:G1763"/>
    <mergeCell ref="G1766:G1767"/>
    <mergeCell ref="G1768:G1770"/>
    <mergeCell ref="G1771:G1773"/>
    <mergeCell ref="G1774:G1775"/>
    <mergeCell ref="G1781:G1782"/>
    <mergeCell ref="G1783:G1784"/>
    <mergeCell ref="G1785:G1787"/>
    <mergeCell ref="G1788:G1789"/>
    <mergeCell ref="G1790:G1791"/>
    <mergeCell ref="G1795:G1796"/>
    <mergeCell ref="G1800:G1801"/>
    <mergeCell ref="G1859:G1860"/>
    <mergeCell ref="G1861:G1862"/>
    <mergeCell ref="G1864:G1865"/>
    <mergeCell ref="G1802:G1803"/>
    <mergeCell ref="G1805:G1806"/>
    <mergeCell ref="G1808:G1809"/>
    <mergeCell ref="G1810:G1814"/>
    <mergeCell ref="G1815:G1817"/>
    <mergeCell ref="G1819:G1823"/>
    <mergeCell ref="G1824:G1825"/>
    <mergeCell ref="G1827:G1828"/>
    <mergeCell ref="G1829:G1830"/>
    <mergeCell ref="G2001:G2002"/>
    <mergeCell ref="G2003:G2004"/>
    <mergeCell ref="G1930:G1931"/>
    <mergeCell ref="G1932:G1933"/>
    <mergeCell ref="G1935:G1937"/>
    <mergeCell ref="G1938:G1939"/>
    <mergeCell ref="G1940:G1942"/>
    <mergeCell ref="G1944:G1945"/>
    <mergeCell ref="G1946:G1949"/>
    <mergeCell ref="G1957:G1958"/>
    <mergeCell ref="G1960:G1961"/>
    <mergeCell ref="G1992:G1995"/>
    <mergeCell ref="G1996:G2000"/>
    <mergeCell ref="G1904:G1905"/>
    <mergeCell ref="G1907:G1908"/>
    <mergeCell ref="G1911:G1912"/>
    <mergeCell ref="G1913:G1915"/>
    <mergeCell ref="G1917:G1918"/>
    <mergeCell ref="G1919:G1921"/>
    <mergeCell ref="G1922:G1923"/>
    <mergeCell ref="G1924:G1926"/>
    <mergeCell ref="G1927:G1928"/>
    <mergeCell ref="J146:J148"/>
    <mergeCell ref="J144:J145"/>
    <mergeCell ref="J139:J143"/>
    <mergeCell ref="J198:J201"/>
    <mergeCell ref="G1966:G1970"/>
    <mergeCell ref="G1979:G1981"/>
    <mergeCell ref="G1983:G1984"/>
    <mergeCell ref="G1985:G1987"/>
    <mergeCell ref="G1988:G1990"/>
    <mergeCell ref="G1866:G1867"/>
    <mergeCell ref="G1869:G1870"/>
    <mergeCell ref="G1871:G1872"/>
    <mergeCell ref="G1873:G1874"/>
    <mergeCell ref="G1877:G1880"/>
    <mergeCell ref="G1889:G1894"/>
    <mergeCell ref="G1895:G1896"/>
    <mergeCell ref="G1898:G1900"/>
    <mergeCell ref="G1901:G1903"/>
    <mergeCell ref="G1834:G1837"/>
    <mergeCell ref="G1840:G1841"/>
    <mergeCell ref="G1842:G1843"/>
    <mergeCell ref="G1849:G1850"/>
    <mergeCell ref="G1853:G1854"/>
    <mergeCell ref="G1855:G1858"/>
    <mergeCell ref="J285:J287"/>
    <mergeCell ref="J282:J284"/>
    <mergeCell ref="J266:J269"/>
    <mergeCell ref="J256:J261"/>
    <mergeCell ref="J254:J255"/>
    <mergeCell ref="J244:J246"/>
    <mergeCell ref="J234:J235"/>
    <mergeCell ref="J23:J24"/>
    <mergeCell ref="J43:J46"/>
    <mergeCell ref="J55:J56"/>
    <mergeCell ref="J57:J58"/>
    <mergeCell ref="J61:J62"/>
    <mergeCell ref="J68:J69"/>
    <mergeCell ref="J81:J82"/>
    <mergeCell ref="J127:J128"/>
    <mergeCell ref="J129:J130"/>
    <mergeCell ref="J98:J100"/>
    <mergeCell ref="J70:J71"/>
    <mergeCell ref="J63:J64"/>
    <mergeCell ref="J37:J38"/>
    <mergeCell ref="J34:J36"/>
    <mergeCell ref="J25:J28"/>
    <mergeCell ref="J228:J229"/>
    <mergeCell ref="J221:J222"/>
    <mergeCell ref="J350:J352"/>
    <mergeCell ref="J353:J354"/>
    <mergeCell ref="J355:J356"/>
    <mergeCell ref="J303:J305"/>
    <mergeCell ref="J306:J307"/>
    <mergeCell ref="J308:J310"/>
    <mergeCell ref="J297:J299"/>
    <mergeCell ref="J289:J291"/>
    <mergeCell ref="J401:J402"/>
    <mergeCell ref="J385:J386"/>
    <mergeCell ref="J376:J377"/>
    <mergeCell ref="J365:J367"/>
    <mergeCell ref="J362:J363"/>
    <mergeCell ref="J339:J341"/>
    <mergeCell ref="J331:J335"/>
    <mergeCell ref="J313:J314"/>
    <mergeCell ref="J360:J361"/>
    <mergeCell ref="J374:J375"/>
    <mergeCell ref="J1161:J1162"/>
    <mergeCell ref="J1131:J1132"/>
    <mergeCell ref="J1159:J1160"/>
    <mergeCell ref="J706:J710"/>
    <mergeCell ref="J784:J791"/>
    <mergeCell ref="J794:J795"/>
    <mergeCell ref="J778:J780"/>
    <mergeCell ref="J776:J777"/>
    <mergeCell ref="J764:J769"/>
    <mergeCell ref="J755:J762"/>
    <mergeCell ref="J725:J726"/>
    <mergeCell ref="J714:J716"/>
    <mergeCell ref="J999:J1003"/>
    <mergeCell ref="J799:J801"/>
    <mergeCell ref="J802:J806"/>
    <mergeCell ref="J808:J810"/>
    <mergeCell ref="J902:J905"/>
    <mergeCell ref="J906:J911"/>
    <mergeCell ref="J938:J943"/>
    <mergeCell ref="J919:J921"/>
    <mergeCell ref="J1103:J1104"/>
    <mergeCell ref="J1117:J1118"/>
    <mergeCell ref="J1108:J1110"/>
    <mergeCell ref="J1105:J1106"/>
    <mergeCell ref="J1636:J1637"/>
    <mergeCell ref="J1630:J1631"/>
    <mergeCell ref="J1607:J1612"/>
    <mergeCell ref="J1605:J1606"/>
    <mergeCell ref="J1603:J1604"/>
    <mergeCell ref="J1598:J1599"/>
    <mergeCell ref="J1596:J1597"/>
    <mergeCell ref="J1380:J1381"/>
    <mergeCell ref="J1396:J1400"/>
    <mergeCell ref="J1487:J1489"/>
    <mergeCell ref="J1466:J1467"/>
    <mergeCell ref="J1463:J1464"/>
    <mergeCell ref="J1456:J1457"/>
    <mergeCell ref="J1429:J1430"/>
    <mergeCell ref="J1389:J1391"/>
    <mergeCell ref="J1386:J1388"/>
    <mergeCell ref="J1617:J1620"/>
    <mergeCell ref="J1593:J1595"/>
    <mergeCell ref="J1588:J1590"/>
    <mergeCell ref="J1579:J1581"/>
    <mergeCell ref="J1575:J1578"/>
    <mergeCell ref="J1567:J1568"/>
    <mergeCell ref="J1564:J1566"/>
    <mergeCell ref="J1558:J1561"/>
    <mergeCell ref="J1641:J1642"/>
    <mergeCell ref="J1664:J1669"/>
    <mergeCell ref="J1680:J1681"/>
    <mergeCell ref="J1685:J1690"/>
    <mergeCell ref="J1704:J1708"/>
    <mergeCell ref="J1691:J1693"/>
    <mergeCell ref="J1673:J1674"/>
    <mergeCell ref="J1643:J1659"/>
    <mergeCell ref="J1638:J1640"/>
    <mergeCell ref="J2003:J2004"/>
    <mergeCell ref="J1988:J1990"/>
    <mergeCell ref="J1966:J1970"/>
    <mergeCell ref="J1940:J1945"/>
    <mergeCell ref="J1983:J1984"/>
    <mergeCell ref="J1985:J1987"/>
    <mergeCell ref="J1913:J1921"/>
    <mergeCell ref="J1895:J1905"/>
    <mergeCell ref="J1709:J1710"/>
    <mergeCell ref="J1711:J1712"/>
    <mergeCell ref="J1725:J1728"/>
    <mergeCell ref="J1738:J1739"/>
    <mergeCell ref="J1734:J1735"/>
    <mergeCell ref="J1731:J1733"/>
    <mergeCell ref="J1729:J1730"/>
    <mergeCell ref="J1715:J1716"/>
    <mergeCell ref="J1877:J1880"/>
    <mergeCell ref="J1824:J1825"/>
    <mergeCell ref="J1819:J1823"/>
    <mergeCell ref="J1815:J1817"/>
    <mergeCell ref="J1810:J1814"/>
    <mergeCell ref="J1802:J1806"/>
    <mergeCell ref="J1790:J1791"/>
    <mergeCell ref="J1788:J1789"/>
    <mergeCell ref="J2001:J2002"/>
    <mergeCell ref="J1785:J1787"/>
    <mergeCell ref="J1783:J1784"/>
    <mergeCell ref="J1779:J1780"/>
    <mergeCell ref="J1771:J1773"/>
    <mergeCell ref="J1768:J1770"/>
    <mergeCell ref="J1766:J1767"/>
    <mergeCell ref="J1757:J1759"/>
    <mergeCell ref="J1747:J1748"/>
    <mergeCell ref="J1829:J1837"/>
    <mergeCell ref="J1552:J1553"/>
    <mergeCell ref="J1550:J1551"/>
    <mergeCell ref="J1591:J1592"/>
    <mergeCell ref="J1547:J1549"/>
    <mergeCell ref="J1542:J1544"/>
    <mergeCell ref="J1539:J1541"/>
    <mergeCell ref="J1532:J1533"/>
    <mergeCell ref="J1529:J1530"/>
    <mergeCell ref="J1526:J1527"/>
    <mergeCell ref="J1504:J1505"/>
    <mergeCell ref="J1501:J1502"/>
    <mergeCell ref="J1495:J1497"/>
    <mergeCell ref="J1378:J1379"/>
    <mergeCell ref="J1369:J1370"/>
    <mergeCell ref="J1367:J1368"/>
    <mergeCell ref="J1345:J1346"/>
    <mergeCell ref="J1338:J1340"/>
    <mergeCell ref="J1325:J1326"/>
    <mergeCell ref="J1320:J1323"/>
    <mergeCell ref="J1318:J1319"/>
    <mergeCell ref="J1316:J1317"/>
    <mergeCell ref="J1335:J1337"/>
    <mergeCell ref="J1246:J1247"/>
    <mergeCell ref="J1241:J1243"/>
    <mergeCell ref="J1232:J1233"/>
    <mergeCell ref="J1236:J1238"/>
    <mergeCell ref="J1229:J1230"/>
    <mergeCell ref="J1225:J1226"/>
    <mergeCell ref="J1216:J1218"/>
    <mergeCell ref="J1188:J1189"/>
    <mergeCell ref="J1304:J1305"/>
    <mergeCell ref="J1290:J1292"/>
    <mergeCell ref="J1280:J1282"/>
    <mergeCell ref="J1273:J1278"/>
    <mergeCell ref="J1264:J1265"/>
    <mergeCell ref="J1259:J1263"/>
    <mergeCell ref="J1255:J1257"/>
    <mergeCell ref="J1251:J1253"/>
    <mergeCell ref="J1249:J1250"/>
    <mergeCell ref="J1075:J1079"/>
    <mergeCell ref="J1059:J1060"/>
    <mergeCell ref="J1046:J1048"/>
    <mergeCell ref="J1042:J1044"/>
    <mergeCell ref="J1031:J1033"/>
    <mergeCell ref="J1022:J1024"/>
    <mergeCell ref="J977:J984"/>
    <mergeCell ref="J969:J973"/>
    <mergeCell ref="J961:J968"/>
    <mergeCell ref="J954:J959"/>
    <mergeCell ref="J950:J952"/>
    <mergeCell ref="J947:J949"/>
    <mergeCell ref="J945:J946"/>
    <mergeCell ref="J935:J936"/>
    <mergeCell ref="J932:J933"/>
    <mergeCell ref="J915:J916"/>
    <mergeCell ref="J892:J893"/>
    <mergeCell ref="J886:J891"/>
    <mergeCell ref="J880:J885"/>
    <mergeCell ref="J850:J851"/>
    <mergeCell ref="J834:J838"/>
    <mergeCell ref="J815:J818"/>
    <mergeCell ref="J812:J813"/>
    <mergeCell ref="J781:J783"/>
    <mergeCell ref="J681:J688"/>
    <mergeCell ref="J667:J669"/>
    <mergeCell ref="J643:J644"/>
    <mergeCell ref="J406:J407"/>
    <mergeCell ref="J629:J630"/>
    <mergeCell ref="J620:J622"/>
    <mergeCell ref="J617:J618"/>
    <mergeCell ref="J612:J613"/>
    <mergeCell ref="J605:J608"/>
    <mergeCell ref="J588:J589"/>
    <mergeCell ref="J555:J556"/>
    <mergeCell ref="J546:J547"/>
    <mergeCell ref="J531:J536"/>
    <mergeCell ref="J176:J179"/>
    <mergeCell ref="J184:J185"/>
    <mergeCell ref="J186:J187"/>
    <mergeCell ref="J194:J195"/>
    <mergeCell ref="J196:J197"/>
    <mergeCell ref="J155:J156"/>
    <mergeCell ref="J519:J520"/>
    <mergeCell ref="J515:J516"/>
    <mergeCell ref="J496:J497"/>
    <mergeCell ref="J491:J495"/>
    <mergeCell ref="J487:J489"/>
    <mergeCell ref="J477:J480"/>
    <mergeCell ref="J502:J503"/>
    <mergeCell ref="J508:J510"/>
    <mergeCell ref="J403:J404"/>
    <mergeCell ref="J408:J409"/>
    <mergeCell ref="J462:J463"/>
    <mergeCell ref="J471:J472"/>
    <mergeCell ref="J467:J470"/>
    <mergeCell ref="J464:J465"/>
    <mergeCell ref="J449:J454"/>
    <mergeCell ref="J417:J421"/>
    <mergeCell ref="J414:J415"/>
    <mergeCell ref="J410:J413"/>
    <mergeCell ref="B1:B5"/>
    <mergeCell ref="G1845:G1846"/>
    <mergeCell ref="C1:C5"/>
    <mergeCell ref="J21:J22"/>
    <mergeCell ref="J19:J20"/>
    <mergeCell ref="J12:J13"/>
    <mergeCell ref="J131:J132"/>
    <mergeCell ref="J121:J122"/>
    <mergeCell ref="J117:J118"/>
    <mergeCell ref="J112:J113"/>
    <mergeCell ref="J105:J108"/>
    <mergeCell ref="J101:J104"/>
    <mergeCell ref="J91:J94"/>
    <mergeCell ref="J86:J87"/>
    <mergeCell ref="J75:J76"/>
    <mergeCell ref="J206:J212"/>
    <mergeCell ref="J202:J204"/>
    <mergeCell ref="J191:J192"/>
    <mergeCell ref="J168:J170"/>
    <mergeCell ref="J153:J154"/>
    <mergeCell ref="J151:J152"/>
    <mergeCell ref="J149:J150"/>
    <mergeCell ref="J164:J165"/>
    <mergeCell ref="J166:J167"/>
  </mergeCells>
  <conditionalFormatting sqref="G276:G277">
    <cfRule type="expression" dxfId="2249" priority="1167">
      <formula>AR276&gt;4099</formula>
    </cfRule>
  </conditionalFormatting>
  <hyperlinks>
    <hyperlink ref="G387" location="'Figure 6(3)'!A1" display="See Figure 6(3)" xr:uid="{00000000-0004-0000-0900-000000000000}"/>
    <hyperlink ref="G379" location="'Figure 6(3)'!A1" display="See Figure 6(3)" xr:uid="{00000000-0004-0000-0900-000001000000}"/>
    <hyperlink ref="G466" location="'Table 602.1.12'!A1" display="See Table 602.1.12" xr:uid="{00000000-0004-0000-0900-000002000000}"/>
    <hyperlink ref="G522" location="'Table 604.1'!A1" display="See Table 604.1" xr:uid="{00000000-0004-0000-0900-000003000000}"/>
    <hyperlink ref="G852" location="'Table 701.4.3.2(2)'!A1" display="See Table 701.4.3.2(2)" xr:uid="{00000000-0004-0000-0900-000004000000}"/>
    <hyperlink ref="G944" location="'Table 703.2.1(a)'!A1" display="See Table 703.2.1(a)" xr:uid="{00000000-0004-0000-0900-000005000000}"/>
    <hyperlink ref="G1151" location="'Table 703.7.1(7)'!A1" display="See Table 703.7.1(7)" xr:uid="{00000000-0004-0000-0900-000006000000}"/>
    <hyperlink ref="G960" location="'Table 703.2.5.1'!A1" display="See Table 703.2.5.1" xr:uid="{00000000-0004-0000-0900-000007000000}"/>
    <hyperlink ref="G1408" location="'Table 801.1(1)'!A1" display="See Table 801.1(1)" xr:uid="{00000000-0004-0000-0900-000008000000}"/>
    <hyperlink ref="G1409" location="'Table 801.1(2)'!A1" display="See Table 801.1(2)" xr:uid="{00000000-0004-0000-0900-000009000000}"/>
    <hyperlink ref="G1679" location="'Table 901.9.1'!A1" display="See Table 901.9.1" xr:uid="{00000000-0004-0000-0900-00000A000000}"/>
    <hyperlink ref="G1684" location="'Table 901.9.2'!A1" display="See Table 901.9.2" xr:uid="{00000000-0004-0000-0900-00000B000000}"/>
    <hyperlink ref="G1703" location="'Table 901.10(3)'!A1" display="See Table 901.10(3)" xr:uid="{00000000-0004-0000-0900-00000C000000}"/>
    <hyperlink ref="J1988" r:id="rId1" display="http://www.ngbs.com/" xr:uid="{00000000-0004-0000-0900-00000D000000}"/>
  </hyperlinks>
  <pageMargins left="0.7" right="0.7" top="0.75" bottom="0.75" header="0.3" footer="0.3"/>
  <pageSetup scale="52" fitToHeight="0"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pageSetUpPr fitToPage="1"/>
  </sheetPr>
  <dimension ref="A1:N25"/>
  <sheetViews>
    <sheetView showGridLines="0" workbookViewId="0"/>
  </sheetViews>
  <sheetFormatPr defaultRowHeight="14.4" x14ac:dyDescent="0.3"/>
  <cols>
    <col min="1" max="1" width="9.109375" style="659"/>
    <col min="2" max="2" width="3.6640625" customWidth="1"/>
    <col min="3" max="3" width="62.33203125" bestFit="1" customWidth="1"/>
    <col min="8" max="8" width="2.33203125" style="665" customWidth="1"/>
    <col min="10" max="10" width="9.109375" style="659"/>
    <col min="11" max="11" width="11" customWidth="1"/>
    <col min="12" max="12" width="8" customWidth="1"/>
  </cols>
  <sheetData>
    <row r="1" spans="2:13" x14ac:dyDescent="0.3">
      <c r="D1" s="1463" t="s">
        <v>4722</v>
      </c>
      <c r="E1" s="1463"/>
      <c r="F1" s="1463"/>
      <c r="G1" s="1463"/>
      <c r="H1" s="1463"/>
      <c r="I1" s="1463"/>
      <c r="J1" s="1463"/>
      <c r="K1" s="1463"/>
      <c r="L1" s="1463"/>
      <c r="M1" s="1463"/>
    </row>
    <row r="2" spans="2:13" x14ac:dyDescent="0.3">
      <c r="D2" s="1463"/>
      <c r="E2" s="1463"/>
      <c r="F2" s="1463"/>
      <c r="G2" s="1463"/>
      <c r="H2" s="1463"/>
      <c r="I2" s="1463"/>
      <c r="J2" s="1463"/>
      <c r="K2" s="1463"/>
      <c r="L2" s="1463"/>
      <c r="M2" s="1463"/>
    </row>
    <row r="3" spans="2:13" x14ac:dyDescent="0.3">
      <c r="D3" s="1463"/>
      <c r="E3" s="1463"/>
      <c r="F3" s="1463"/>
      <c r="G3" s="1463"/>
      <c r="H3" s="1463"/>
      <c r="I3" s="1463"/>
      <c r="J3" s="1463"/>
      <c r="K3" s="1463"/>
      <c r="L3" s="1463"/>
      <c r="M3" s="1463"/>
    </row>
    <row r="4" spans="2:13" x14ac:dyDescent="0.3">
      <c r="D4" s="1463"/>
      <c r="E4" s="1463"/>
      <c r="F4" s="1463"/>
      <c r="G4" s="1463"/>
      <c r="H4" s="1463"/>
      <c r="I4" s="1463"/>
      <c r="J4" s="1463"/>
      <c r="K4" s="1463"/>
      <c r="L4" s="1463"/>
      <c r="M4" s="1463"/>
    </row>
    <row r="5" spans="2:13" s="659" customFormat="1" x14ac:dyDescent="0.3">
      <c r="D5" s="1463"/>
      <c r="E5" s="1463"/>
      <c r="F5" s="1463"/>
      <c r="G5" s="1463"/>
      <c r="H5" s="1463"/>
      <c r="I5" s="1463"/>
      <c r="J5" s="1463"/>
      <c r="K5" s="1463"/>
      <c r="L5" s="1463"/>
      <c r="M5" s="1463"/>
    </row>
    <row r="6" spans="2:13" s="659" customFormat="1" x14ac:dyDescent="0.3">
      <c r="D6" s="662"/>
      <c r="E6" s="662"/>
      <c r="F6" s="662"/>
      <c r="G6" s="662"/>
      <c r="H6" s="707"/>
      <c r="I6" s="662"/>
      <c r="J6" s="662"/>
      <c r="K6" s="662"/>
      <c r="L6" s="662"/>
      <c r="M6" s="662"/>
    </row>
    <row r="7" spans="2:13" ht="21" x14ac:dyDescent="0.4">
      <c r="C7" s="714" t="s">
        <v>4099</v>
      </c>
    </row>
    <row r="8" spans="2:13" x14ac:dyDescent="0.3">
      <c r="E8" s="1099" t="str">
        <f>IF(LEN('Overview (Design)'!G18)=0,"","Project Name: ")</f>
        <v/>
      </c>
      <c r="F8" s="1100" t="str">
        <f>IF(LEN('Overview (Design)'!G18)=0,"",'Overview (Design)'!G18)</f>
        <v/>
      </c>
    </row>
    <row r="9" spans="2:13" x14ac:dyDescent="0.3">
      <c r="B9" s="718" t="str">
        <f>IF(startError,"û","ü")</f>
        <v>ü</v>
      </c>
      <c r="C9" s="719" t="s">
        <v>4694</v>
      </c>
      <c r="E9" s="1100" t="s">
        <v>4702</v>
      </c>
      <c r="F9" s="1100" t="str">
        <f>IF(LEN(dstHomeAddress)=0,"",dstHomeAddress&amp;", ")&amp;IF(LEN(dstCity)=0,"",dstCity&amp;", ")&amp;dstState&amp;" "&amp;dstZIP</f>
        <v>123 Main Sts, Durham, North Carolina 27703</v>
      </c>
    </row>
    <row r="10" spans="2:13" s="665" customFormat="1" x14ac:dyDescent="0.3">
      <c r="B10"/>
      <c r="C10" s="723"/>
    </row>
    <row r="11" spans="2:13" x14ac:dyDescent="0.3">
      <c r="D11" s="1465" t="s">
        <v>4108</v>
      </c>
      <c r="E11" s="1465"/>
      <c r="F11" s="1465"/>
      <c r="G11" s="1465"/>
      <c r="H11"/>
      <c r="I11" s="1464" t="s">
        <v>266</v>
      </c>
      <c r="J11" s="712"/>
      <c r="K11" s="1464" t="s">
        <v>4103</v>
      </c>
      <c r="L11" s="1464" t="s">
        <v>4104</v>
      </c>
    </row>
    <row r="12" spans="2:13" x14ac:dyDescent="0.3">
      <c r="C12" s="659"/>
      <c r="D12" s="661" t="s">
        <v>312</v>
      </c>
      <c r="E12" s="661" t="s">
        <v>313</v>
      </c>
      <c r="F12" s="661" t="s">
        <v>314</v>
      </c>
      <c r="G12" s="673" t="s">
        <v>310</v>
      </c>
      <c r="H12"/>
      <c r="I12" s="1464"/>
      <c r="J12" s="712"/>
      <c r="K12" s="1464"/>
      <c r="L12" s="1464"/>
    </row>
    <row r="13" spans="2:13" x14ac:dyDescent="0.3">
      <c r="C13" s="660" t="s">
        <v>4093</v>
      </c>
      <c r="D13" s="713">
        <v>50</v>
      </c>
      <c r="E13" s="713">
        <v>64</v>
      </c>
      <c r="F13" s="713">
        <v>93</v>
      </c>
      <c r="G13" s="713">
        <v>121</v>
      </c>
      <c r="H13"/>
      <c r="I13" s="715">
        <f ca="1">Points!H15</f>
        <v>54</v>
      </c>
      <c r="K13" s="718" t="str">
        <f>IF('Ch5'!$AG$3,"û","ü")</f>
        <v>ü</v>
      </c>
      <c r="L13" s="718" t="str">
        <f ca="1">IF('Ch5'!$AI$3,"û","ü")</f>
        <v>ü</v>
      </c>
    </row>
    <row r="14" spans="2:13" x14ac:dyDescent="0.3">
      <c r="C14" s="660" t="s">
        <v>4092</v>
      </c>
      <c r="D14" s="713">
        <v>43</v>
      </c>
      <c r="E14" s="713">
        <v>59</v>
      </c>
      <c r="F14" s="713">
        <v>89</v>
      </c>
      <c r="G14" s="713">
        <v>119</v>
      </c>
      <c r="H14"/>
      <c r="I14" s="715">
        <f ca="1">Points!H16</f>
        <v>76</v>
      </c>
      <c r="K14" s="718" t="str">
        <f>IF('Ch6'!$AG$3,"û","ü")</f>
        <v>ü</v>
      </c>
      <c r="L14" s="718" t="str">
        <f ca="1">IF('Ch6'!$AI$3,"û","ü")</f>
        <v>ü</v>
      </c>
    </row>
    <row r="15" spans="2:13" x14ac:dyDescent="0.3">
      <c r="C15" s="660" t="s">
        <v>4094</v>
      </c>
      <c r="D15" s="713">
        <v>30</v>
      </c>
      <c r="E15" s="713">
        <v>45</v>
      </c>
      <c r="F15" s="713">
        <v>60</v>
      </c>
      <c r="G15" s="713">
        <v>70</v>
      </c>
      <c r="H15"/>
      <c r="I15" s="715">
        <f ca="1">Points!H17</f>
        <v>33</v>
      </c>
      <c r="K15" s="718" t="str">
        <f ca="1">IF('Ch7'!$AG$3,"û","ü")</f>
        <v>ü</v>
      </c>
      <c r="L15" s="718" t="str">
        <f ca="1">IF('Ch7'!$AI$3,"û","ü")</f>
        <v>ü</v>
      </c>
    </row>
    <row r="16" spans="2:13" x14ac:dyDescent="0.3">
      <c r="C16" s="660" t="s">
        <v>4095</v>
      </c>
      <c r="D16" s="713">
        <v>25</v>
      </c>
      <c r="E16" s="713">
        <v>39</v>
      </c>
      <c r="F16" s="713">
        <v>67</v>
      </c>
      <c r="G16" s="713">
        <v>92</v>
      </c>
      <c r="H16"/>
      <c r="I16" s="715">
        <f ca="1">Points!H18</f>
        <v>49</v>
      </c>
      <c r="K16" s="718" t="str">
        <f>IF('Ch8'!$AG$3,"û","ü")</f>
        <v>ü</v>
      </c>
      <c r="L16" s="718" t="str">
        <f ca="1">IF('Ch8'!$AI$3,"û","ü")</f>
        <v>ü</v>
      </c>
    </row>
    <row r="17" spans="3:14" x14ac:dyDescent="0.3">
      <c r="C17" s="660" t="s">
        <v>4096</v>
      </c>
      <c r="D17" s="713">
        <v>25</v>
      </c>
      <c r="E17" s="713">
        <v>42</v>
      </c>
      <c r="F17" s="713">
        <v>69</v>
      </c>
      <c r="G17" s="713">
        <v>97</v>
      </c>
      <c r="H17"/>
      <c r="I17" s="715">
        <f ca="1">Points!H19</f>
        <v>89</v>
      </c>
      <c r="K17" s="718" t="str">
        <f>IF('Ch9'!$AG$3,"û","ü")</f>
        <v>ü</v>
      </c>
      <c r="L17" s="718" t="str">
        <f ca="1">IF('Ch9'!$AI$3,"û","ü")</f>
        <v>ü</v>
      </c>
    </row>
    <row r="18" spans="3:14" x14ac:dyDescent="0.3">
      <c r="C18" s="660" t="s">
        <v>4097</v>
      </c>
      <c r="D18" s="713">
        <v>8</v>
      </c>
      <c r="E18" s="713">
        <v>10</v>
      </c>
      <c r="F18" s="713">
        <v>11</v>
      </c>
      <c r="G18" s="713">
        <v>12</v>
      </c>
      <c r="H18"/>
      <c r="I18" s="715">
        <f>Points!H20</f>
        <v>9</v>
      </c>
      <c r="K18" s="718" t="str">
        <f ca="1">IF('Ch10'!$AG$3,"û","ü")</f>
        <v>ü</v>
      </c>
      <c r="L18" s="718" t="str">
        <f>IF('Ch10'!$AI$3,"û","ü")</f>
        <v>ü</v>
      </c>
    </row>
    <row r="19" spans="3:14" x14ac:dyDescent="0.3">
      <c r="C19" s="660" t="s">
        <v>4090</v>
      </c>
      <c r="D19" s="713">
        <v>50</v>
      </c>
      <c r="E19" s="713">
        <v>75</v>
      </c>
      <c r="F19" s="713">
        <v>100</v>
      </c>
      <c r="G19" s="713">
        <v>100</v>
      </c>
      <c r="H19"/>
      <c r="I19" s="715"/>
    </row>
    <row r="20" spans="3:14" s="659" customFormat="1" x14ac:dyDescent="0.3">
      <c r="C20" s="660" t="s">
        <v>4101</v>
      </c>
      <c r="D20" s="713">
        <f>MAX(0,ROUNDDOWN(('Overview (Design)'!$G$20-4000)/100,0))</f>
        <v>0</v>
      </c>
      <c r="E20" s="713">
        <f>MAX(0,ROUNDDOWN(('Overview (Design)'!$G$20-4000)/100,0))</f>
        <v>0</v>
      </c>
      <c r="F20" s="713">
        <f>MAX(0,ROUNDDOWN(('Overview (Design)'!$G$20-4000)/100,0))</f>
        <v>0</v>
      </c>
      <c r="G20" s="713">
        <f>MAX(0,ROUNDDOWN(('Overview (Design)'!$G$20-4000)/100,0))</f>
        <v>0</v>
      </c>
      <c r="H20"/>
      <c r="I20" s="715"/>
      <c r="K20"/>
      <c r="L20"/>
      <c r="M20"/>
      <c r="N20"/>
    </row>
    <row r="21" spans="3:14" x14ac:dyDescent="0.3">
      <c r="C21" s="720" t="s">
        <v>4091</v>
      </c>
      <c r="D21" s="713">
        <f>SUM(D13:D20)</f>
        <v>231</v>
      </c>
      <c r="E21" s="713">
        <f>SUM(E13:E20)</f>
        <v>334</v>
      </c>
      <c r="F21" s="713">
        <f>SUM(F13:F20)</f>
        <v>489</v>
      </c>
      <c r="G21" s="713">
        <f>SUM(G13:G20)</f>
        <v>611</v>
      </c>
      <c r="H21"/>
      <c r="I21" s="715">
        <f ca="1">SUM(I13:I18)</f>
        <v>310</v>
      </c>
    </row>
    <row r="22" spans="3:14" x14ac:dyDescent="0.3">
      <c r="H22"/>
    </row>
    <row r="23" spans="3:14" x14ac:dyDescent="0.3">
      <c r="C23" s="660" t="s">
        <v>4098</v>
      </c>
      <c r="D23" s="716">
        <f ca="1">Points!J21</f>
        <v>129</v>
      </c>
      <c r="E23" s="716">
        <f ca="1">Points!K21</f>
        <v>51</v>
      </c>
      <c r="F23" s="716">
        <f ca="1">Points!L21</f>
        <v>-79</v>
      </c>
      <c r="G23" s="716">
        <f ca="1">Points!M21</f>
        <v>-201</v>
      </c>
      <c r="H23" s="721"/>
    </row>
    <row r="25" spans="3:14" ht="18" x14ac:dyDescent="0.3">
      <c r="C25" s="717" t="s">
        <v>4100</v>
      </c>
      <c r="D25" s="1460" t="str">
        <f ca="1">Points!R22</f>
        <v>Bronze</v>
      </c>
      <c r="E25" s="1461"/>
      <c r="F25" s="1461"/>
      <c r="G25" s="1462"/>
      <c r="H25" s="722"/>
    </row>
  </sheetData>
  <sheetProtection algorithmName="SHA-512" hashValue="1hBYayTgblXPhc6/HnkYJwb0pTgqBvvYhZjEvlVxja+uclASf9WUQjxRXPhk5UxsbSWPN7fsOTnq0ObrBXGzLg==" saltValue="Pp+eEV2RiiGiMf1Mh8REsQ==" spinCount="100000" sheet="1" objects="1" scenarios="1" selectLockedCells="1" selectUnlockedCells="1"/>
  <mergeCells count="6">
    <mergeCell ref="D25:G25"/>
    <mergeCell ref="D1:M5"/>
    <mergeCell ref="K11:K12"/>
    <mergeCell ref="L11:L12"/>
    <mergeCell ref="I11:I12"/>
    <mergeCell ref="D11:G11"/>
  </mergeCells>
  <conditionalFormatting sqref="D13:G21">
    <cfRule type="cellIs" dxfId="2248" priority="27" operator="lessThanOrEqual">
      <formula>$I13</formula>
    </cfRule>
  </conditionalFormatting>
  <conditionalFormatting sqref="D19:G19">
    <cfRule type="cellIs" dxfId="2247" priority="16" operator="lessThanOrEqual">
      <formula>D$23</formula>
    </cfRule>
  </conditionalFormatting>
  <conditionalFormatting sqref="D25">
    <cfRule type="expression" dxfId="2246" priority="12">
      <formula>D25="Gold"</formula>
    </cfRule>
    <cfRule type="expression" dxfId="2245" priority="13">
      <formula>D25="Silver"</formula>
    </cfRule>
    <cfRule type="expression" dxfId="2244" priority="14">
      <formula>D25="Bronze"</formula>
    </cfRule>
    <cfRule type="expression" dxfId="2243" priority="15">
      <formula>D25="Emerald"</formula>
    </cfRule>
  </conditionalFormatting>
  <conditionalFormatting sqref="D12">
    <cfRule type="expression" dxfId="2242" priority="8">
      <formula>D12="Gold"</formula>
    </cfRule>
    <cfRule type="expression" dxfId="2241" priority="9">
      <formula>D12="Silver"</formula>
    </cfRule>
    <cfRule type="expression" dxfId="2240" priority="10">
      <formula>D12="Bronze"</formula>
    </cfRule>
    <cfRule type="expression" dxfId="2239" priority="11">
      <formula>D12="Emerald"</formula>
    </cfRule>
  </conditionalFormatting>
  <conditionalFormatting sqref="E12:G12">
    <cfRule type="expression" dxfId="2238" priority="4">
      <formula>E12="Gold"</formula>
    </cfRule>
    <cfRule type="expression" dxfId="2237" priority="5">
      <formula>E12="Silver"</formula>
    </cfRule>
    <cfRule type="expression" dxfId="2236" priority="6">
      <formula>E12="Bronze"</formula>
    </cfRule>
    <cfRule type="expression" dxfId="2235" priority="7">
      <formula>E12="Emerald"</formula>
    </cfRule>
  </conditionalFormatting>
  <conditionalFormatting sqref="K13:L18">
    <cfRule type="expression" dxfId="2234" priority="2">
      <formula>K13="ü"</formula>
    </cfRule>
    <cfRule type="expression" dxfId="2233" priority="23">
      <formula>K13="û"</formula>
    </cfRule>
  </conditionalFormatting>
  <conditionalFormatting sqref="B9">
    <cfRule type="expression" dxfId="2232" priority="1">
      <formula>$B$9="ü"</formula>
    </cfRule>
    <cfRule type="expression" dxfId="2231" priority="3">
      <formula>$B$9="û"</formula>
    </cfRule>
  </conditionalFormatting>
  <conditionalFormatting sqref="F16">
    <cfRule type="expression" dxfId="2230" priority="29">
      <formula>Ch8Max=2</formula>
    </cfRule>
  </conditionalFormatting>
  <conditionalFormatting sqref="G16">
    <cfRule type="expression" dxfId="2229" priority="28">
      <formula>Ch8Max=2</formula>
    </cfRule>
  </conditionalFormatting>
  <conditionalFormatting sqref="F15">
    <cfRule type="expression" dxfId="2228" priority="26">
      <formula>Ch7Max&lt;3</formula>
    </cfRule>
  </conditionalFormatting>
  <conditionalFormatting sqref="G15">
    <cfRule type="expression" dxfId="2227" priority="25">
      <formula>Ch7Max&lt;4</formula>
    </cfRule>
  </conditionalFormatting>
  <pageMargins left="0.7" right="0.7" top="0.75" bottom="0.75" header="0.3" footer="0.3"/>
  <pageSetup paperSize="185" scale="76"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tabColor theme="1"/>
  </sheetPr>
  <dimension ref="A2:DY17"/>
  <sheetViews>
    <sheetView topLeftCell="EK1" workbookViewId="0">
      <selection activeCell="AA17" sqref="AA17"/>
    </sheetView>
  </sheetViews>
  <sheetFormatPr defaultRowHeight="14.4" x14ac:dyDescent="0.3"/>
  <cols>
    <col min="1" max="1" width="6.33203125" hidden="1" customWidth="1"/>
    <col min="2" max="2" width="10.5546875" hidden="1" customWidth="1"/>
    <col min="3" max="3" width="8.6640625" hidden="1" customWidth="1"/>
    <col min="4" max="4" width="15.6640625" hidden="1" customWidth="1"/>
    <col min="5" max="5" width="25.88671875" hidden="1" customWidth="1"/>
    <col min="6" max="8" width="24.5546875" hidden="1" customWidth="1"/>
    <col min="9" max="9" width="13.33203125" hidden="1" customWidth="1"/>
    <col min="10" max="10" width="13.33203125" style="338" hidden="1" customWidth="1"/>
    <col min="11" max="13" width="24.5546875" style="336" hidden="1" customWidth="1"/>
    <col min="14" max="14" width="21.88671875" style="338" hidden="1" customWidth="1"/>
    <col min="15" max="15" width="13.6640625" hidden="1" customWidth="1"/>
    <col min="16" max="16" width="20.33203125" hidden="1" customWidth="1"/>
    <col min="17" max="17" width="7.44140625" hidden="1" customWidth="1"/>
    <col min="18" max="18" width="17.6640625" hidden="1" customWidth="1"/>
    <col min="19" max="19" width="18.88671875" hidden="1" customWidth="1"/>
    <col min="20" max="20" width="14.44140625" hidden="1" customWidth="1"/>
    <col min="21" max="21" width="12.5546875" hidden="1" customWidth="1"/>
    <col min="22" max="22" width="10.6640625" hidden="1" customWidth="1"/>
    <col min="23" max="23" width="18.109375" style="9" hidden="1" customWidth="1"/>
    <col min="24" max="24" width="8.33203125" style="9" hidden="1" customWidth="1"/>
    <col min="25" max="25" width="9.5546875" hidden="1" customWidth="1"/>
    <col min="26" max="26" width="14" hidden="1" customWidth="1"/>
    <col min="27" max="27" width="15.33203125" hidden="1" customWidth="1"/>
    <col min="28" max="28" width="10.6640625" hidden="1" customWidth="1"/>
    <col min="29" max="31" width="10.33203125" hidden="1" customWidth="1"/>
    <col min="32" max="32" width="9.6640625" hidden="1" customWidth="1"/>
    <col min="33" max="34" width="10.33203125" hidden="1" customWidth="1"/>
    <col min="35" max="35" width="13.5546875" hidden="1" customWidth="1"/>
    <col min="36" max="37" width="10.33203125" hidden="1" customWidth="1"/>
    <col min="38" max="38" width="8.33203125" hidden="1" customWidth="1"/>
    <col min="39" max="39" width="12.6640625" hidden="1" customWidth="1"/>
    <col min="40" max="40" width="10.33203125" hidden="1" customWidth="1"/>
    <col min="41" max="41" width="10.44140625" hidden="1" customWidth="1"/>
    <col min="42" max="42" width="10.109375" hidden="1" customWidth="1"/>
    <col min="43" max="44" width="10.44140625" hidden="1" customWidth="1"/>
    <col min="45" max="45" width="14.44140625" hidden="1" customWidth="1"/>
    <col min="46" max="46" width="14.44140625" style="153" hidden="1" customWidth="1"/>
    <col min="47" max="47" width="18" style="153" hidden="1" customWidth="1"/>
    <col min="48" max="48" width="14.44140625" style="153" hidden="1" customWidth="1"/>
    <col min="49" max="49" width="10.33203125" style="153" hidden="1" customWidth="1"/>
    <col min="50" max="50" width="12.33203125" style="153" hidden="1" customWidth="1"/>
    <col min="51" max="51" width="15.33203125" style="153" hidden="1" customWidth="1"/>
    <col min="52" max="53" width="11.33203125" style="153" hidden="1" customWidth="1"/>
    <col min="54" max="54" width="13.44140625" style="153" hidden="1" customWidth="1"/>
    <col min="55" max="56" width="13.88671875" style="153" hidden="1" customWidth="1"/>
    <col min="57" max="62" width="13.88671875" style="170" hidden="1" customWidth="1"/>
    <col min="63" max="63" width="11.33203125" style="170" hidden="1" customWidth="1"/>
    <col min="64" max="64" width="11.44140625" style="170" hidden="1" customWidth="1"/>
    <col min="65" max="65" width="11.33203125" style="170" hidden="1" customWidth="1"/>
    <col min="66" max="66" width="11.44140625" style="170" hidden="1" customWidth="1"/>
    <col min="67" max="68" width="11.6640625" style="170" hidden="1" customWidth="1"/>
    <col min="69" max="70" width="15.5546875" style="170" hidden="1" customWidth="1"/>
    <col min="71" max="71" width="14.6640625" style="170" hidden="1" customWidth="1"/>
    <col min="72" max="72" width="13.5546875" style="170" hidden="1" customWidth="1"/>
    <col min="73" max="76" width="18.6640625" style="170" hidden="1" customWidth="1"/>
    <col min="77" max="77" width="8.33203125" style="170" hidden="1" customWidth="1"/>
    <col min="78" max="78" width="18.6640625" hidden="1" customWidth="1"/>
    <col min="79" max="79" width="10.6640625" hidden="1" customWidth="1"/>
    <col min="80" max="80" width="21.6640625" hidden="1" customWidth="1"/>
    <col min="81" max="81" width="14.44140625" hidden="1" customWidth="1"/>
    <col min="82" max="82" width="14.44140625" style="511" hidden="1" customWidth="1"/>
    <col min="83" max="84" width="12.33203125" style="511" hidden="1" customWidth="1"/>
    <col min="85" max="86" width="12.33203125" style="488" hidden="1" customWidth="1"/>
    <col min="87" max="87" width="10.33203125" style="477" hidden="1" customWidth="1"/>
    <col min="88" max="88" width="10.33203125" style="474" hidden="1" customWidth="1"/>
    <col min="89" max="89" width="12.33203125" style="464" hidden="1" customWidth="1"/>
    <col min="90" max="91" width="14.44140625" style="464" hidden="1" customWidth="1"/>
    <col min="92" max="92" width="12.33203125" style="464" hidden="1" customWidth="1"/>
    <col min="93" max="93" width="14.44140625" style="464" hidden="1" customWidth="1"/>
    <col min="94" max="94" width="10.33203125" style="463" hidden="1" customWidth="1"/>
    <col min="95" max="95" width="0" hidden="1" customWidth="1"/>
    <col min="96" max="96" width="10.33203125" hidden="1" customWidth="1"/>
    <col min="97" max="97" width="16.44140625" hidden="1" customWidth="1"/>
    <col min="98" max="99" width="10.33203125" hidden="1" customWidth="1"/>
    <col min="100" max="100" width="13.109375" hidden="1" customWidth="1"/>
    <col min="101" max="102" width="10.33203125" hidden="1" customWidth="1"/>
    <col min="103" max="103" width="12.33203125" hidden="1" customWidth="1"/>
    <col min="104" max="104" width="10.33203125" style="1077" hidden="1" customWidth="1"/>
    <col min="105" max="105" width="10.33203125" hidden="1" customWidth="1"/>
    <col min="106" max="107" width="15.6640625" hidden="1" customWidth="1"/>
    <col min="108" max="109" width="12.33203125" hidden="1" customWidth="1"/>
    <col min="110" max="111" width="10.33203125" hidden="1" customWidth="1"/>
    <col min="112" max="117" width="12.33203125" hidden="1" customWidth="1"/>
    <col min="118" max="118" width="12.44140625" hidden="1" customWidth="1"/>
    <col min="119" max="119" width="10.33203125" hidden="1" customWidth="1"/>
    <col min="120" max="120" width="10.33203125" style="480" hidden="1" customWidth="1"/>
    <col min="121" max="121" width="10.44140625" style="480" hidden="1" customWidth="1"/>
    <col min="122" max="122" width="10.109375" style="480" hidden="1" customWidth="1"/>
    <col min="123" max="123" width="10.44140625" style="480" hidden="1" customWidth="1"/>
    <col min="124" max="124" width="10.6640625" style="787" hidden="1" customWidth="1"/>
    <col min="125" max="125" width="11.33203125" hidden="1" customWidth="1"/>
    <col min="126" max="127" width="10.33203125" hidden="1" customWidth="1"/>
    <col min="128" max="129" width="8.33203125" hidden="1" customWidth="1"/>
    <col min="130" max="140" width="0" hidden="1" customWidth="1"/>
  </cols>
  <sheetData>
    <row r="2" spans="1:129" x14ac:dyDescent="0.3">
      <c r="A2" t="s">
        <v>90</v>
      </c>
      <c r="B2" t="s">
        <v>196</v>
      </c>
      <c r="AB2" t="s">
        <v>303</v>
      </c>
      <c r="AM2" t="s">
        <v>3187</v>
      </c>
      <c r="BR2"/>
      <c r="BZ2" t="s">
        <v>3191</v>
      </c>
      <c r="CO2" s="470"/>
      <c r="CQ2" t="s">
        <v>3776</v>
      </c>
      <c r="DD2" t="s">
        <v>3922</v>
      </c>
    </row>
    <row r="3" spans="1:129" x14ac:dyDescent="0.3">
      <c r="Z3" s="9"/>
      <c r="BR3"/>
      <c r="CO3" s="470"/>
      <c r="CW3" s="429"/>
    </row>
    <row r="4" spans="1:129" x14ac:dyDescent="0.3">
      <c r="A4" t="s">
        <v>245</v>
      </c>
      <c r="B4" s="1" t="s">
        <v>278</v>
      </c>
      <c r="C4" s="1"/>
      <c r="D4" t="str">
        <f>'Overview (Design)'!E16</f>
        <v>ddSingleOrMulti</v>
      </c>
      <c r="E4" t="str">
        <f>'Overview (Design)'!E27</f>
        <v>ddFoundation</v>
      </c>
      <c r="F4" t="str">
        <f>'Overview (Design)'!E29</f>
        <v>ddHeat1</v>
      </c>
      <c r="G4" t="str">
        <f>'Overview (Design)'!E30</f>
        <v>ddHeat2</v>
      </c>
      <c r="H4" t="str">
        <f>'Overview (Design)'!E31</f>
        <v>ddHeat3</v>
      </c>
      <c r="I4" t="str">
        <f>'Overview (Design)'!E32</f>
        <v>ddFuel</v>
      </c>
      <c r="J4" s="338" t="str">
        <f>'Overview (Design)'!E33</f>
        <v>ddHDucts</v>
      </c>
      <c r="K4" s="336" t="str">
        <f>'Overview (Design)'!E34</f>
        <v>ddCool1</v>
      </c>
      <c r="L4" s="336" t="str">
        <f>'Overview (Design)'!E35</f>
        <v>ddCool2</v>
      </c>
      <c r="M4" s="336" t="str">
        <f>'Overview (Design)'!E36</f>
        <v>ddCool3</v>
      </c>
      <c r="N4" s="338" t="str">
        <f>'Overview (Design)'!E37</f>
        <v>ddCDucts</v>
      </c>
      <c r="O4" t="str">
        <f>'Overview (Design)'!E43</f>
        <v>ddRenewable</v>
      </c>
      <c r="P4" t="str">
        <f>'Overview (Design)'!E44</f>
        <v>ddTEInsulation</v>
      </c>
      <c r="Q4" t="str">
        <f>'Overview (Design)'!E45</f>
        <v>ddAttic</v>
      </c>
      <c r="R4" t="str">
        <f>'Overview (Design)'!E46</f>
        <v>ddAttachedGarage</v>
      </c>
      <c r="S4" t="str">
        <f>'Overview (Design)'!E47</f>
        <v>ddRecessedLighting</v>
      </c>
      <c r="T4" t="str">
        <f>'Overview (Design)'!E50</f>
        <v>ddPassiveSolar</v>
      </c>
      <c r="U4" t="str">
        <f>'Overview (Design)'!E51</f>
        <v>ddMassWalls</v>
      </c>
      <c r="V4" t="str">
        <f>'Overview (Design)'!E52</f>
        <v>ddDuctless</v>
      </c>
      <c r="W4" s="9" t="str">
        <f>'Overview (Design)'!E53</f>
        <v>ddRadiantHydronic</v>
      </c>
      <c r="X4" s="9" t="str">
        <f>'Overview (Design)'!E54</f>
        <v>ddTLWH</v>
      </c>
      <c r="Y4" t="str">
        <f>'Overview (Design)'!E55</f>
        <v>ddCToilet</v>
      </c>
      <c r="Z4" t="str">
        <f>'Overview (Design)'!E57</f>
        <v>ddEnergyCode</v>
      </c>
      <c r="AA4" t="str">
        <f>'Overview (Design)'!E58</f>
        <v>ddBuildingCode</v>
      </c>
      <c r="AB4" t="str">
        <f>'Ch5'!U39</f>
        <v>dd501_2_6</v>
      </c>
      <c r="AC4" t="str">
        <f>'Ch5'!U72</f>
        <v>dd503_2_3</v>
      </c>
      <c r="AD4" s="79" t="str">
        <f>'Ch5'!U107</f>
        <v>dd503_4_3</v>
      </c>
      <c r="AE4" s="79" t="str">
        <f>'Ch5'!U114</f>
        <v>dd503_4_4</v>
      </c>
      <c r="AF4" s="79" t="str">
        <f>'Ch5'!U121</f>
        <v>dd503_5</v>
      </c>
      <c r="AG4" s="79" t="str">
        <f>'Ch5'!U123</f>
        <v>dd503_5_1</v>
      </c>
      <c r="AH4" s="79" t="str">
        <f>'Ch5'!U135</f>
        <v>dd503_5_5</v>
      </c>
      <c r="AI4" s="79" t="str">
        <f>'Ch5'!U171</f>
        <v>dd503_8</v>
      </c>
      <c r="AJ4" s="79" t="str">
        <f>'Ch5'!U226</f>
        <v>dd505_1_3</v>
      </c>
      <c r="AK4" s="79" t="str">
        <f>'Ch5'!U230</f>
        <v>dd505_1_4</v>
      </c>
      <c r="AL4" s="79" t="str">
        <f>'Ch5'!U249</f>
        <v>dd505_3</v>
      </c>
      <c r="AM4" t="str">
        <f>'Ch6'!U56</f>
        <v>dd601_6</v>
      </c>
      <c r="AN4" s="147" t="str">
        <f>'Ch6'!U63</f>
        <v>dd601_7_a</v>
      </c>
      <c r="AO4" s="147" t="str">
        <f>'Ch6'!U64</f>
        <v>dd601_7_b</v>
      </c>
      <c r="AP4" s="147" t="str">
        <f>'Ch6'!U65</f>
        <v>dd601_7_c</v>
      </c>
      <c r="AQ4" s="147" t="str">
        <f>'Ch6'!U69</f>
        <v>dd601_7_d</v>
      </c>
      <c r="AR4" s="147" t="str">
        <f>'Ch6'!U71</f>
        <v>dd601_7_e</v>
      </c>
      <c r="AS4" s="153" t="str">
        <f>'Ch6'!U117</f>
        <v>dd602_1_4_1_2</v>
      </c>
      <c r="AT4" s="153" t="str">
        <f>'Ch6'!U123</f>
        <v>dd602_1_4_2_2</v>
      </c>
      <c r="AU4" s="153" t="str">
        <f>'Ch6'!U126</f>
        <v>dd602_1_5</v>
      </c>
      <c r="AV4" s="153" t="str">
        <f>'Ch6'!U150</f>
        <v>dd602_1_7_1_2</v>
      </c>
      <c r="AW4" s="153" t="str">
        <f>'Ch6'!U161</f>
        <v>dd602_1_8</v>
      </c>
      <c r="AX4" s="153" t="str">
        <f>'Ch6'!U187</f>
        <v>dd602_1_9_5</v>
      </c>
      <c r="AY4" s="153" t="str">
        <f>'Ch6'!U197</f>
        <v>dd602_1_10</v>
      </c>
      <c r="AZ4" s="153" t="str">
        <f>'Ch6'!U209</f>
        <v>dd602_1_11</v>
      </c>
      <c r="BA4" s="153" t="str">
        <f>'Ch6'!U214</f>
        <v>dd602_1_13</v>
      </c>
      <c r="BB4" s="153" t="str">
        <f>'Ch6'!U220</f>
        <v>dd602_1_14_1</v>
      </c>
      <c r="BC4" s="170" t="str">
        <f>'Ch6'!U319</f>
        <v>dd606_1_a</v>
      </c>
      <c r="BD4" s="170" t="str">
        <f>'Ch6'!U320</f>
        <v>dd606_1_b</v>
      </c>
      <c r="BE4" s="170" t="str">
        <f>'Ch6'!U321</f>
        <v>dd606_1_c</v>
      </c>
      <c r="BF4" s="170" t="str">
        <f>'Ch6'!U322</f>
        <v>dd606_1_d</v>
      </c>
      <c r="BG4" s="170" t="str">
        <f>'Ch6'!U323</f>
        <v>dd606_1_e</v>
      </c>
      <c r="BH4" s="170" t="str">
        <f>'Ch6'!U324</f>
        <v>dd606_1_f</v>
      </c>
      <c r="BI4" s="170" t="str">
        <f>'Ch6'!U325</f>
        <v>dd606_1_g</v>
      </c>
      <c r="BJ4" s="170" t="str">
        <f>'Ch6'!U326</f>
        <v>dd606_1_h</v>
      </c>
      <c r="BK4" s="170" t="str">
        <f>'Ch6'!U346</f>
        <v>dd606_2_1a</v>
      </c>
      <c r="BL4" s="170" t="str">
        <f>'Ch6'!U347</f>
        <v>dd606_2_1b</v>
      </c>
      <c r="BM4" s="170" t="str">
        <f>'Ch6'!U349</f>
        <v>dd606_2_2a</v>
      </c>
      <c r="BN4" s="170" t="str">
        <f>'Ch6'!U350</f>
        <v>dd606_2_2b</v>
      </c>
      <c r="BO4" s="170" t="str">
        <f>'Ch6'!U352</f>
        <v>dd606_3</v>
      </c>
      <c r="BP4" s="170" t="str">
        <f>'Ch6'!U367</f>
        <v>dd608_1</v>
      </c>
      <c r="BQ4" s="170" t="str">
        <f>'Ch6'!U377</f>
        <v>dd609_1a</v>
      </c>
      <c r="BR4" s="170" t="str">
        <f>'Ch6'!U380</f>
        <v>dd609_1b</v>
      </c>
      <c r="BS4" s="170" t="str">
        <f>'Ch6'!U416</f>
        <v>dd610_1_2_1a</v>
      </c>
      <c r="BT4" s="170" t="str">
        <f>'Ch6'!U423</f>
        <v>dd610_1_2_1b</v>
      </c>
      <c r="BU4" s="170" t="str">
        <f>'Ch6'!U429</f>
        <v>dd610_1_2_2a</v>
      </c>
      <c r="BV4" s="170" t="str">
        <f>'Ch6'!U435</f>
        <v>dd610_1_2_2b</v>
      </c>
      <c r="BW4" s="170" t="str">
        <f>'Ch6'!U441</f>
        <v>dd610_1_2_2c</v>
      </c>
      <c r="BX4" s="170" t="str">
        <f>'Ch6'!U447</f>
        <v>dd610_1_2_2_f</v>
      </c>
      <c r="BY4" s="175" t="str">
        <f>'Ch6'!U453</f>
        <v>dd611_1</v>
      </c>
      <c r="BZ4" t="str">
        <f>'Ch7'!U12</f>
        <v>dd701_1</v>
      </c>
      <c r="CA4" t="str">
        <f>'Ch7'!U23</f>
        <v>dd701_1_4</v>
      </c>
      <c r="CB4" s="336" t="str">
        <f>'Ch7'!U40</f>
        <v>dd701_4_1_2</v>
      </c>
      <c r="CC4" s="417" t="str">
        <f>'Ch7'!U124</f>
        <v>dd701_4_3_3_5</v>
      </c>
      <c r="CD4" s="511" t="str">
        <f>'Ch7'!U199</f>
        <v>dd703_2_5_1_1</v>
      </c>
      <c r="CE4" s="511" t="str">
        <f>'Ch7'!U207</f>
        <v>dd703_2_5_2</v>
      </c>
      <c r="CF4" s="511" t="str">
        <f>'Ch7'!U215</f>
        <v>dd703_2_5_2_1</v>
      </c>
      <c r="CG4" s="488" t="str">
        <f>'Ch7'!U225</f>
        <v>dd703_3_0_1</v>
      </c>
      <c r="CH4" s="488" t="str">
        <f>'Ch7'!U231</f>
        <v>dd703_3_0_2</v>
      </c>
      <c r="CI4" s="477" t="str">
        <f>'Ch7'!U313</f>
        <v>dd703_4_4</v>
      </c>
      <c r="CJ4" s="417" t="str">
        <f>'Ch7'!U324</f>
        <v>dd703_5_1</v>
      </c>
      <c r="CK4" s="417" t="str">
        <f>'Ch7'!U463</f>
        <v>dd705_2_1_1</v>
      </c>
      <c r="CL4" s="464" t="str">
        <f>'Ch7'!U470</f>
        <v>dd705_2_1_3_1</v>
      </c>
      <c r="CM4" s="464" t="str">
        <f>'Ch7'!U474</f>
        <v>dd705_2_1_3_2</v>
      </c>
      <c r="CN4" s="464" t="str">
        <f>'Ch7'!U479</f>
        <v>dd705_2_1_4</v>
      </c>
      <c r="CO4" s="470" t="str">
        <f>'Ch7'!U536</f>
        <v>dd705_6_2_3</v>
      </c>
      <c r="CP4" s="463" t="str">
        <f>'Ch7'!U576</f>
        <v>dd706_2_2</v>
      </c>
      <c r="CQ4" t="str">
        <f>'Ch8'!U12</f>
        <v>dd801_1</v>
      </c>
      <c r="CR4" s="425" t="str">
        <f>'Ch8'!U47</f>
        <v>dd801_2_2</v>
      </c>
      <c r="CS4" s="425" t="str">
        <f>'Ch8'!U54</f>
        <v>dd801_3_1</v>
      </c>
      <c r="CT4" s="425" t="str">
        <f>'Ch8'!U63</f>
        <v>dd801_3_2</v>
      </c>
      <c r="CU4" s="425" t="str">
        <f>'Ch8'!U68</f>
        <v>dd801_3_3</v>
      </c>
      <c r="CV4" s="429" t="str">
        <f>'Ch8'!U73</f>
        <v>dd801_4_1_1</v>
      </c>
      <c r="CW4" s="429" t="str">
        <f>'Ch8'!U78</f>
        <v>dd801_4_2</v>
      </c>
      <c r="CX4" s="441" t="str">
        <f>'Ch8'!U85</f>
        <v>dd801_5_2</v>
      </c>
      <c r="CY4" s="441" t="str">
        <f>'Ch8'!U94</f>
        <v>dd801_5_4_a</v>
      </c>
      <c r="CZ4" s="1077" t="str">
        <f>'Ch8'!U110</f>
        <v>dd801_6_3</v>
      </c>
      <c r="DA4" s="441" t="str">
        <f>'Ch8'!U127</f>
        <v>dd801_7_1</v>
      </c>
      <c r="DB4" s="441" t="str">
        <f>'Ch8'!U141</f>
        <v>dd801_7_2_1</v>
      </c>
      <c r="DC4" s="441" t="str">
        <f>'Ch8'!U151</f>
        <v>dd802_1_1</v>
      </c>
      <c r="DD4" t="str">
        <f>'Ch9'!U23</f>
        <v>dd901_1_3_1</v>
      </c>
      <c r="DE4" s="480" t="str">
        <f>'Ch9'!U26</f>
        <v>dd901_1_3_2</v>
      </c>
      <c r="DF4" s="480" t="str">
        <f>'Ch9'!U29</f>
        <v>dd901_1_4</v>
      </c>
      <c r="DG4" s="480" t="str">
        <f>'Ch9'!U36</f>
        <v>dd901_1_6</v>
      </c>
      <c r="DH4" s="480" t="str">
        <f>'Ch9'!U42</f>
        <v>dd901_2_1_1</v>
      </c>
      <c r="DI4" s="480" t="str">
        <f>'Ch9'!U45</f>
        <v>dd901_2_1_2</v>
      </c>
      <c r="DJ4" s="480" t="str">
        <f>'Ch9'!U47</f>
        <v>dd901_2_1_3</v>
      </c>
      <c r="DK4" s="480" t="str">
        <f>'Ch9'!U50</f>
        <v>dd901_2_1_4</v>
      </c>
      <c r="DL4" s="480" t="str">
        <f>'Ch9'!U52</f>
        <v>dd901_2_1_5</v>
      </c>
      <c r="DM4" s="480" t="str">
        <f>'Ch9'!U57</f>
        <v>dd901_3_1_a</v>
      </c>
      <c r="DN4" s="480" t="str">
        <f>'Ch9'!U59</f>
        <v>dd901_3_1_b</v>
      </c>
      <c r="DO4" s="480" t="str">
        <f>'Ch9'!U71</f>
        <v>dd901_4_1</v>
      </c>
      <c r="DP4" s="480" t="str">
        <f>'Ch9'!U76</f>
        <v>dd901_4_a</v>
      </c>
      <c r="DQ4" s="480" t="str">
        <f>'Ch9'!U77</f>
        <v>dd901_4_b</v>
      </c>
      <c r="DR4" s="480" t="str">
        <f>'Ch9'!U78</f>
        <v>dd901_4_c</v>
      </c>
      <c r="DS4" s="480" t="str">
        <f>'Ch9'!U79</f>
        <v>dd901_4_d</v>
      </c>
      <c r="DT4" s="787" t="str">
        <f>'Ch9'!U163</f>
        <v>dd901_12</v>
      </c>
      <c r="DU4" s="480" t="str">
        <f>'Ch9'!U183</f>
        <v>dd902_1_2_</v>
      </c>
      <c r="DV4" s="480" t="str">
        <f>'Ch9'!U211</f>
        <v>dd902_2_1</v>
      </c>
      <c r="DW4" s="480" t="str">
        <f>'Ch9'!U230</f>
        <v>dd902_3_1</v>
      </c>
      <c r="DX4" s="480" t="str">
        <f>'Ch9'!U248</f>
        <v>dd903_1</v>
      </c>
      <c r="DY4" s="480" t="str">
        <f>'Ch9'!U252</f>
        <v>dd903_2</v>
      </c>
    </row>
    <row r="5" spans="1:129" x14ac:dyDescent="0.3">
      <c r="B5" t="b">
        <v>1</v>
      </c>
      <c r="D5" s="4" t="s">
        <v>197</v>
      </c>
      <c r="E5" s="4" t="s">
        <v>198</v>
      </c>
      <c r="F5" s="4" t="s">
        <v>206</v>
      </c>
      <c r="G5" s="4" t="s">
        <v>206</v>
      </c>
      <c r="H5" s="4" t="s">
        <v>206</v>
      </c>
      <c r="I5" s="4" t="s">
        <v>211</v>
      </c>
      <c r="J5" s="4" t="s">
        <v>3629</v>
      </c>
      <c r="K5" s="4" t="s">
        <v>208</v>
      </c>
      <c r="L5" s="4" t="s">
        <v>208</v>
      </c>
      <c r="M5" s="4" t="s">
        <v>208</v>
      </c>
      <c r="N5" s="4" t="s">
        <v>3629</v>
      </c>
      <c r="O5" s="4" t="s">
        <v>216</v>
      </c>
      <c r="P5" s="4" t="s">
        <v>221</v>
      </c>
      <c r="Q5" s="4" t="s">
        <v>216</v>
      </c>
      <c r="R5" s="4" t="s">
        <v>231</v>
      </c>
      <c r="S5" s="4" t="s">
        <v>231</v>
      </c>
      <c r="T5" s="4" t="s">
        <v>231</v>
      </c>
      <c r="U5" s="4" t="s">
        <v>231</v>
      </c>
      <c r="V5" s="4" t="s">
        <v>231</v>
      </c>
      <c r="W5" s="4" t="s">
        <v>231</v>
      </c>
      <c r="X5" s="4" t="s">
        <v>231</v>
      </c>
      <c r="Y5" s="4" t="s">
        <v>231</v>
      </c>
      <c r="Z5" s="4" t="s">
        <v>233</v>
      </c>
      <c r="AA5" s="4" t="s">
        <v>237</v>
      </c>
      <c r="AB5" t="s">
        <v>121</v>
      </c>
      <c r="AC5" s="73" t="s">
        <v>121</v>
      </c>
      <c r="AD5" s="79" t="s">
        <v>121</v>
      </c>
      <c r="AE5" s="79" t="s">
        <v>121</v>
      </c>
      <c r="AF5" s="79" t="s">
        <v>835</v>
      </c>
      <c r="AG5" s="79" t="s">
        <v>121</v>
      </c>
      <c r="AH5" s="79" t="s">
        <v>121</v>
      </c>
      <c r="AI5" s="79" t="s">
        <v>3168</v>
      </c>
      <c r="AJ5" s="79" t="s">
        <v>121</v>
      </c>
      <c r="AK5" s="79" t="s">
        <v>121</v>
      </c>
      <c r="AL5" s="129" t="s">
        <v>271</v>
      </c>
      <c r="AM5" t="s">
        <v>3188</v>
      </c>
      <c r="AN5" s="410" t="s">
        <v>3739</v>
      </c>
      <c r="AO5" s="410" t="s">
        <v>3739</v>
      </c>
      <c r="AP5" s="410" t="s">
        <v>3739</v>
      </c>
      <c r="AQ5" s="410" t="s">
        <v>3739</v>
      </c>
      <c r="AR5" s="410" t="s">
        <v>3739</v>
      </c>
      <c r="AS5" t="s">
        <v>3242</v>
      </c>
      <c r="AT5" s="153" t="s">
        <v>3242</v>
      </c>
      <c r="AU5" s="153" t="s">
        <v>3247</v>
      </c>
      <c r="AV5" s="153" t="s">
        <v>3242</v>
      </c>
      <c r="AW5" s="153" t="s">
        <v>3242</v>
      </c>
      <c r="AX5" s="153" t="s">
        <v>121</v>
      </c>
      <c r="AY5" s="153" t="s">
        <v>3251</v>
      </c>
      <c r="AZ5" s="153" t="s">
        <v>3242</v>
      </c>
      <c r="BA5" s="153" t="s">
        <v>3242</v>
      </c>
      <c r="BB5" s="153" t="s">
        <v>3242</v>
      </c>
      <c r="BC5" s="153" t="s">
        <v>3280</v>
      </c>
      <c r="BD5" s="170" t="s">
        <v>3280</v>
      </c>
      <c r="BE5" s="170" t="s">
        <v>3280</v>
      </c>
      <c r="BF5" s="170" t="s">
        <v>3280</v>
      </c>
      <c r="BG5" s="170" t="s">
        <v>3280</v>
      </c>
      <c r="BH5" s="170" t="s">
        <v>3280</v>
      </c>
      <c r="BI5" s="170" t="s">
        <v>3280</v>
      </c>
      <c r="BJ5" s="170" t="s">
        <v>3280</v>
      </c>
      <c r="BK5" s="410" t="s">
        <v>3732</v>
      </c>
      <c r="BL5" s="410" t="s">
        <v>3732</v>
      </c>
      <c r="BM5" s="410" t="s">
        <v>3732</v>
      </c>
      <c r="BN5" s="410" t="s">
        <v>3732</v>
      </c>
      <c r="BO5" s="170" t="s">
        <v>3286</v>
      </c>
      <c r="BP5" s="170" t="s">
        <v>3291</v>
      </c>
      <c r="BQ5" s="170" t="s">
        <v>3298</v>
      </c>
      <c r="BR5" s="170" t="s">
        <v>3298</v>
      </c>
      <c r="BS5" t="s">
        <v>3314</v>
      </c>
      <c r="BT5" s="170" t="s">
        <v>3314</v>
      </c>
      <c r="BU5" t="s">
        <v>3320</v>
      </c>
      <c r="BV5" s="170" t="s">
        <v>3320</v>
      </c>
      <c r="BW5" s="170" t="s">
        <v>3320</v>
      </c>
      <c r="BX5" s="170" t="s">
        <v>3320</v>
      </c>
      <c r="BY5" s="190" t="s">
        <v>3330</v>
      </c>
      <c r="BZ5" t="s">
        <v>3192</v>
      </c>
      <c r="CA5" t="s">
        <v>3197</v>
      </c>
      <c r="CB5" t="s">
        <v>3242</v>
      </c>
      <c r="CC5" t="s">
        <v>3242</v>
      </c>
      <c r="CD5" s="511" t="s">
        <v>3242</v>
      </c>
      <c r="CE5" s="511" t="s">
        <v>121</v>
      </c>
      <c r="CF5" s="511" t="s">
        <v>3242</v>
      </c>
      <c r="CG5" s="488" t="s">
        <v>231</v>
      </c>
      <c r="CH5" s="488" t="s">
        <v>231</v>
      </c>
      <c r="CI5" s="129" t="s">
        <v>271</v>
      </c>
      <c r="CJ5" s="18" t="s">
        <v>3893</v>
      </c>
      <c r="CK5" s="129" t="s">
        <v>271</v>
      </c>
      <c r="CL5" s="464" t="s">
        <v>121</v>
      </c>
      <c r="CM5" s="464" t="s">
        <v>121</v>
      </c>
      <c r="CN5" s="129" t="s">
        <v>271</v>
      </c>
      <c r="CO5" s="129" t="s">
        <v>271</v>
      </c>
      <c r="CP5" s="463" t="s">
        <v>121</v>
      </c>
      <c r="CQ5" s="18" t="s">
        <v>271</v>
      </c>
      <c r="CR5" s="18" t="s">
        <v>273</v>
      </c>
      <c r="CS5" t="s">
        <v>3831</v>
      </c>
      <c r="CT5" t="s">
        <v>121</v>
      </c>
      <c r="CU5" s="429" t="s">
        <v>3835</v>
      </c>
      <c r="CV5" t="s">
        <v>3837</v>
      </c>
      <c r="CW5" s="429" t="s">
        <v>3842</v>
      </c>
      <c r="CX5" s="441" t="s">
        <v>3842</v>
      </c>
      <c r="CY5" s="441" t="s">
        <v>3848</v>
      </c>
      <c r="CZ5" s="1077" t="s">
        <v>3242</v>
      </c>
      <c r="DA5" s="18" t="s">
        <v>271</v>
      </c>
      <c r="DB5" t="s">
        <v>3857</v>
      </c>
      <c r="DC5" s="441" t="s">
        <v>3857</v>
      </c>
      <c r="DD5" s="480" t="s">
        <v>121</v>
      </c>
      <c r="DE5" s="480" t="s">
        <v>121</v>
      </c>
      <c r="DF5" s="480" t="s">
        <v>3242</v>
      </c>
      <c r="DG5" s="18" t="s">
        <v>271</v>
      </c>
      <c r="DH5" s="480" t="s">
        <v>3242</v>
      </c>
      <c r="DI5" s="480" t="s">
        <v>3242</v>
      </c>
      <c r="DJ5" s="480" t="s">
        <v>3242</v>
      </c>
      <c r="DK5" s="480" t="s">
        <v>3242</v>
      </c>
      <c r="DL5" s="480" t="s">
        <v>3242</v>
      </c>
      <c r="DM5" s="480" t="s">
        <v>3242</v>
      </c>
      <c r="DN5" s="480" t="s">
        <v>3242</v>
      </c>
      <c r="DO5" s="480" t="s">
        <v>3242</v>
      </c>
      <c r="DP5" s="129" t="s">
        <v>273</v>
      </c>
      <c r="DQ5" s="129" t="s">
        <v>273</v>
      </c>
      <c r="DR5" s="129" t="s">
        <v>273</v>
      </c>
      <c r="DS5" s="129" t="s">
        <v>273</v>
      </c>
      <c r="DT5" s="787" t="s">
        <v>3242</v>
      </c>
      <c r="DU5" s="480" t="s">
        <v>3242</v>
      </c>
      <c r="DV5" s="18" t="s">
        <v>271</v>
      </c>
      <c r="DW5" s="480" t="s">
        <v>121</v>
      </c>
      <c r="DX5" s="18" t="s">
        <v>271</v>
      </c>
      <c r="DY5" s="18" t="s">
        <v>271</v>
      </c>
    </row>
    <row r="6" spans="1:129" x14ac:dyDescent="0.3">
      <c r="B6" t="b">
        <v>0</v>
      </c>
      <c r="D6" s="4" t="s">
        <v>384</v>
      </c>
      <c r="E6" s="4" t="s">
        <v>199</v>
      </c>
      <c r="F6" s="4" t="s">
        <v>207</v>
      </c>
      <c r="G6" s="4" t="s">
        <v>207</v>
      </c>
      <c r="H6" s="4" t="s">
        <v>207</v>
      </c>
      <c r="I6" s="4" t="s">
        <v>212</v>
      </c>
      <c r="J6" s="4" t="s">
        <v>3630</v>
      </c>
      <c r="K6" s="4" t="s">
        <v>3633</v>
      </c>
      <c r="L6" s="4" t="s">
        <v>3633</v>
      </c>
      <c r="M6" s="4" t="s">
        <v>3633</v>
      </c>
      <c r="N6" s="4" t="s">
        <v>3630</v>
      </c>
      <c r="O6" s="4" t="s">
        <v>217</v>
      </c>
      <c r="P6" s="4" t="s">
        <v>222</v>
      </c>
      <c r="Q6" s="4" t="s">
        <v>229</v>
      </c>
      <c r="R6" s="4" t="s">
        <v>232</v>
      </c>
      <c r="S6" s="4" t="s">
        <v>232</v>
      </c>
      <c r="T6" s="4" t="s">
        <v>232</v>
      </c>
      <c r="U6" s="4" t="s">
        <v>232</v>
      </c>
      <c r="V6" s="4" t="s">
        <v>232</v>
      </c>
      <c r="W6" s="4" t="s">
        <v>232</v>
      </c>
      <c r="X6" s="4" t="s">
        <v>232</v>
      </c>
      <c r="Y6" s="4" t="s">
        <v>232</v>
      </c>
      <c r="Z6" s="4" t="s">
        <v>234</v>
      </c>
      <c r="AA6" s="4" t="s">
        <v>238</v>
      </c>
      <c r="AB6" t="s">
        <v>122</v>
      </c>
      <c r="AC6" s="73" t="s">
        <v>122</v>
      </c>
      <c r="AD6" s="79" t="s">
        <v>122</v>
      </c>
      <c r="AE6" s="79" t="s">
        <v>122</v>
      </c>
      <c r="AF6" s="79" t="s">
        <v>836</v>
      </c>
      <c r="AG6" s="79" t="s">
        <v>122</v>
      </c>
      <c r="AH6" s="79" t="s">
        <v>122</v>
      </c>
      <c r="AI6" s="147" t="s">
        <v>3169</v>
      </c>
      <c r="AJ6" s="79" t="s">
        <v>122</v>
      </c>
      <c r="AK6" s="79" t="s">
        <v>122</v>
      </c>
      <c r="AL6" s="129" t="s">
        <v>273</v>
      </c>
      <c r="AM6" s="147" t="s">
        <v>3189</v>
      </c>
      <c r="AN6" s="410" t="s">
        <v>3740</v>
      </c>
      <c r="AO6" s="410" t="s">
        <v>3740</v>
      </c>
      <c r="AP6" s="410" t="s">
        <v>3740</v>
      </c>
      <c r="AQ6" s="410" t="s">
        <v>3740</v>
      </c>
      <c r="AR6" s="410" t="s">
        <v>3740</v>
      </c>
      <c r="AS6" t="s">
        <v>3243</v>
      </c>
      <c r="AT6" s="153" t="s">
        <v>3243</v>
      </c>
      <c r="AU6" s="153" t="s">
        <v>3248</v>
      </c>
      <c r="AV6" s="153" t="s">
        <v>3243</v>
      </c>
      <c r="AW6" s="153" t="s">
        <v>3243</v>
      </c>
      <c r="AX6" s="153" t="s">
        <v>122</v>
      </c>
      <c r="AY6" s="153" t="s">
        <v>3252</v>
      </c>
      <c r="AZ6" s="153" t="s">
        <v>3243</v>
      </c>
      <c r="BA6" s="153" t="s">
        <v>3243</v>
      </c>
      <c r="BB6" s="153" t="s">
        <v>3243</v>
      </c>
      <c r="BC6" s="170" t="s">
        <v>3281</v>
      </c>
      <c r="BD6" s="170" t="s">
        <v>3281</v>
      </c>
      <c r="BE6" s="170" t="s">
        <v>3281</v>
      </c>
      <c r="BF6" s="170" t="s">
        <v>3281</v>
      </c>
      <c r="BG6" s="170" t="s">
        <v>3281</v>
      </c>
      <c r="BH6" s="170" t="s">
        <v>3281</v>
      </c>
      <c r="BI6" s="170" t="s">
        <v>3281</v>
      </c>
      <c r="BJ6" s="170" t="s">
        <v>3281</v>
      </c>
      <c r="BK6" s="410" t="s">
        <v>3733</v>
      </c>
      <c r="BL6" s="410" t="s">
        <v>3733</v>
      </c>
      <c r="BM6" s="410" t="s">
        <v>3733</v>
      </c>
      <c r="BN6" s="410" t="s">
        <v>3733</v>
      </c>
      <c r="BO6" s="170" t="s">
        <v>3287</v>
      </c>
      <c r="BP6" s="170" t="s">
        <v>3292</v>
      </c>
      <c r="BQ6" s="170" t="s">
        <v>3299</v>
      </c>
      <c r="BR6" s="170" t="s">
        <v>3299</v>
      </c>
      <c r="BS6" s="170" t="s">
        <v>3315</v>
      </c>
      <c r="BT6" s="170" t="s">
        <v>3315</v>
      </c>
      <c r="BU6" s="170" t="s">
        <v>3321</v>
      </c>
      <c r="BV6" s="170" t="s">
        <v>3321</v>
      </c>
      <c r="BW6" s="170" t="s">
        <v>3321</v>
      </c>
      <c r="BX6" s="170" t="s">
        <v>3321</v>
      </c>
      <c r="BY6" s="190" t="s">
        <v>3331</v>
      </c>
      <c r="BZ6" t="s">
        <v>3193</v>
      </c>
      <c r="CA6" t="s">
        <v>3198</v>
      </c>
      <c r="CB6" t="s">
        <v>3243</v>
      </c>
      <c r="CC6" t="s">
        <v>3243</v>
      </c>
      <c r="CD6" s="511" t="s">
        <v>3243</v>
      </c>
      <c r="CE6" s="511" t="s">
        <v>122</v>
      </c>
      <c r="CF6" s="511" t="s">
        <v>3243</v>
      </c>
      <c r="CG6" s="488" t="s">
        <v>232</v>
      </c>
      <c r="CH6" s="488" t="s">
        <v>232</v>
      </c>
      <c r="CI6" s="129" t="s">
        <v>273</v>
      </c>
      <c r="CJ6" s="18" t="s">
        <v>3894</v>
      </c>
      <c r="CK6" s="129" t="s">
        <v>273</v>
      </c>
      <c r="CL6" s="464" t="s">
        <v>122</v>
      </c>
      <c r="CM6" s="464" t="s">
        <v>122</v>
      </c>
      <c r="CN6" s="129" t="s">
        <v>273</v>
      </c>
      <c r="CO6" s="129" t="s">
        <v>273</v>
      </c>
      <c r="CP6" s="463" t="s">
        <v>122</v>
      </c>
      <c r="CQ6" s="18" t="s">
        <v>273</v>
      </c>
      <c r="CR6" s="18" t="s">
        <v>275</v>
      </c>
      <c r="CS6" t="s">
        <v>3832</v>
      </c>
      <c r="CT6" t="s">
        <v>122</v>
      </c>
      <c r="CU6" s="429" t="s">
        <v>3836</v>
      </c>
      <c r="CV6" t="s">
        <v>3838</v>
      </c>
      <c r="CW6" s="429" t="s">
        <v>3843</v>
      </c>
      <c r="CX6" s="441" t="s">
        <v>3843</v>
      </c>
      <c r="CY6" s="441" t="s">
        <v>3849</v>
      </c>
      <c r="CZ6" s="1077" t="s">
        <v>3243</v>
      </c>
      <c r="DA6" s="18" t="s">
        <v>3852</v>
      </c>
      <c r="DB6" s="441" t="s">
        <v>3858</v>
      </c>
      <c r="DC6" s="441" t="s">
        <v>3858</v>
      </c>
      <c r="DD6" s="480" t="s">
        <v>122</v>
      </c>
      <c r="DE6" s="480" t="s">
        <v>122</v>
      </c>
      <c r="DF6" s="480" t="s">
        <v>3243</v>
      </c>
      <c r="DG6" s="18" t="s">
        <v>273</v>
      </c>
      <c r="DH6" s="480" t="s">
        <v>3243</v>
      </c>
      <c r="DI6" s="480" t="s">
        <v>3243</v>
      </c>
      <c r="DJ6" s="480" t="s">
        <v>3243</v>
      </c>
      <c r="DK6" s="480" t="s">
        <v>3243</v>
      </c>
      <c r="DL6" s="480" t="s">
        <v>3243</v>
      </c>
      <c r="DM6" s="480" t="s">
        <v>3243</v>
      </c>
      <c r="DN6" s="480" t="s">
        <v>3243</v>
      </c>
      <c r="DO6" s="480" t="s">
        <v>3243</v>
      </c>
      <c r="DP6" s="129" t="s">
        <v>275</v>
      </c>
      <c r="DQ6" s="129" t="s">
        <v>275</v>
      </c>
      <c r="DR6" s="129" t="s">
        <v>275</v>
      </c>
      <c r="DS6" s="129" t="s">
        <v>275</v>
      </c>
      <c r="DT6" s="787" t="s">
        <v>3243</v>
      </c>
      <c r="DU6" s="480" t="s">
        <v>3243</v>
      </c>
      <c r="DV6" s="18" t="s">
        <v>273</v>
      </c>
      <c r="DW6" s="480" t="s">
        <v>122</v>
      </c>
      <c r="DX6" s="18" t="s">
        <v>273</v>
      </c>
      <c r="DY6" s="18" t="s">
        <v>273</v>
      </c>
    </row>
    <row r="7" spans="1:129" x14ac:dyDescent="0.3">
      <c r="E7" s="4" t="s">
        <v>200</v>
      </c>
      <c r="F7" s="4" t="s">
        <v>208</v>
      </c>
      <c r="G7" s="4" t="s">
        <v>208</v>
      </c>
      <c r="H7" s="4" t="s">
        <v>208</v>
      </c>
      <c r="I7" s="4" t="s">
        <v>213</v>
      </c>
      <c r="J7" s="4" t="s">
        <v>3631</v>
      </c>
      <c r="K7" s="4" t="s">
        <v>210</v>
      </c>
      <c r="L7" s="4" t="s">
        <v>210</v>
      </c>
      <c r="M7" s="4" t="s">
        <v>210</v>
      </c>
      <c r="N7" s="4" t="s">
        <v>3631</v>
      </c>
      <c r="O7" s="4" t="s">
        <v>218</v>
      </c>
      <c r="P7" s="4" t="s">
        <v>223</v>
      </c>
      <c r="Q7" s="4" t="s">
        <v>230</v>
      </c>
      <c r="Z7" s="4" t="s">
        <v>235</v>
      </c>
      <c r="AA7" s="4" t="s">
        <v>239</v>
      </c>
      <c r="AB7" t="s">
        <v>123</v>
      </c>
      <c r="AC7" s="73" t="s">
        <v>123</v>
      </c>
      <c r="AD7" s="79" t="s">
        <v>123</v>
      </c>
      <c r="AE7" s="79" t="s">
        <v>123</v>
      </c>
      <c r="AF7" s="79" t="s">
        <v>837</v>
      </c>
      <c r="AG7" s="79" t="s">
        <v>123</v>
      </c>
      <c r="AH7" s="79" t="s">
        <v>123</v>
      </c>
      <c r="AI7" s="147" t="s">
        <v>3170</v>
      </c>
      <c r="AJ7" s="79" t="s">
        <v>123</v>
      </c>
      <c r="AK7" s="79" t="s">
        <v>123</v>
      </c>
      <c r="AL7" s="129" t="s">
        <v>275</v>
      </c>
      <c r="AM7" s="147" t="s">
        <v>3190</v>
      </c>
      <c r="AN7" s="410" t="s">
        <v>3741</v>
      </c>
      <c r="AO7" s="410" t="s">
        <v>3741</v>
      </c>
      <c r="AP7" s="410" t="s">
        <v>3741</v>
      </c>
      <c r="AQ7" s="410" t="s">
        <v>3741</v>
      </c>
      <c r="AR7" s="410" t="s">
        <v>3741</v>
      </c>
      <c r="AS7" t="s">
        <v>3244</v>
      </c>
      <c r="AT7" s="153" t="s">
        <v>3244</v>
      </c>
      <c r="AU7" s="153" t="s">
        <v>3249</v>
      </c>
      <c r="AV7" s="153" t="s">
        <v>3244</v>
      </c>
      <c r="AW7" s="153" t="s">
        <v>3244</v>
      </c>
      <c r="AY7" s="153" t="s">
        <v>3253</v>
      </c>
      <c r="AZ7" s="153" t="s">
        <v>3244</v>
      </c>
      <c r="BA7" s="153" t="s">
        <v>3244</v>
      </c>
      <c r="BB7" s="153" t="s">
        <v>3244</v>
      </c>
      <c r="BK7" s="410" t="s">
        <v>3734</v>
      </c>
      <c r="BL7" s="410" t="s">
        <v>3734</v>
      </c>
      <c r="BM7" s="410" t="s">
        <v>3734</v>
      </c>
      <c r="BN7" s="410" t="s">
        <v>3734</v>
      </c>
      <c r="BO7" s="170" t="s">
        <v>3288</v>
      </c>
      <c r="BP7" s="170" t="s">
        <v>3293</v>
      </c>
      <c r="BQ7" s="170" t="s">
        <v>3300</v>
      </c>
      <c r="BR7" s="170" t="s">
        <v>3300</v>
      </c>
      <c r="BS7" s="170" t="s">
        <v>3316</v>
      </c>
      <c r="BT7" s="170" t="s">
        <v>3316</v>
      </c>
      <c r="BU7"/>
      <c r="BV7"/>
      <c r="BW7"/>
      <c r="BY7" s="190" t="s">
        <v>3332</v>
      </c>
      <c r="BZ7" t="s">
        <v>3194</v>
      </c>
      <c r="CB7" t="s">
        <v>3603</v>
      </c>
      <c r="CC7" t="s">
        <v>3244</v>
      </c>
      <c r="CD7" s="511" t="s">
        <v>3244</v>
      </c>
      <c r="CE7" s="511" t="s">
        <v>123</v>
      </c>
      <c r="CF7" s="511" t="s">
        <v>3244</v>
      </c>
      <c r="CI7" s="129" t="s">
        <v>275</v>
      </c>
      <c r="CJ7" s="18" t="s">
        <v>3852</v>
      </c>
      <c r="CQ7" s="18" t="s">
        <v>275</v>
      </c>
      <c r="CS7" t="s">
        <v>3833</v>
      </c>
      <c r="CT7" s="129" t="s">
        <v>123</v>
      </c>
      <c r="CU7" s="429" t="s">
        <v>3840</v>
      </c>
      <c r="CV7" t="s">
        <v>3839</v>
      </c>
      <c r="CW7" s="429" t="s">
        <v>3844</v>
      </c>
      <c r="CX7" s="441" t="s">
        <v>3844</v>
      </c>
      <c r="CY7" s="441" t="s">
        <v>3850</v>
      </c>
      <c r="CZ7" s="1077" t="s">
        <v>3244</v>
      </c>
      <c r="DA7" s="18" t="s">
        <v>3853</v>
      </c>
      <c r="DB7" s="441" t="s">
        <v>3859</v>
      </c>
      <c r="DC7" s="441" t="s">
        <v>3863</v>
      </c>
      <c r="DF7" s="480" t="s">
        <v>3244</v>
      </c>
      <c r="DH7" s="480" t="s">
        <v>3244</v>
      </c>
      <c r="DI7" s="480" t="s">
        <v>3244</v>
      </c>
      <c r="DJ7" s="480" t="s">
        <v>3244</v>
      </c>
      <c r="DK7" s="480" t="s">
        <v>3244</v>
      </c>
      <c r="DL7" s="480" t="s">
        <v>3244</v>
      </c>
      <c r="DM7" s="480" t="s">
        <v>3244</v>
      </c>
      <c r="DN7" s="480" t="s">
        <v>3244</v>
      </c>
      <c r="DO7" s="480" t="s">
        <v>3244</v>
      </c>
      <c r="DP7" s="129" t="s">
        <v>285</v>
      </c>
      <c r="DQ7" s="129" t="s">
        <v>285</v>
      </c>
      <c r="DR7" s="129" t="s">
        <v>285</v>
      </c>
      <c r="DS7" s="129" t="s">
        <v>285</v>
      </c>
      <c r="DT7" s="787" t="s">
        <v>4383</v>
      </c>
      <c r="DU7" s="480" t="s">
        <v>3244</v>
      </c>
      <c r="DV7" s="129" t="s">
        <v>275</v>
      </c>
    </row>
    <row r="8" spans="1:129" x14ac:dyDescent="0.3">
      <c r="E8" s="4" t="s">
        <v>201</v>
      </c>
      <c r="F8" s="4" t="s">
        <v>209</v>
      </c>
      <c r="G8" s="4" t="s">
        <v>209</v>
      </c>
      <c r="H8" s="4" t="s">
        <v>209</v>
      </c>
      <c r="I8" s="4" t="s">
        <v>214</v>
      </c>
      <c r="J8" s="4"/>
      <c r="K8" s="4" t="s">
        <v>3632</v>
      </c>
      <c r="L8" s="4" t="s">
        <v>3632</v>
      </c>
      <c r="M8" s="4" t="s">
        <v>3632</v>
      </c>
      <c r="N8" s="4"/>
      <c r="O8" s="4" t="s">
        <v>219</v>
      </c>
      <c r="P8" s="4" t="s">
        <v>224</v>
      </c>
      <c r="Q8" s="4" t="s">
        <v>205</v>
      </c>
      <c r="Z8" s="4" t="s">
        <v>236</v>
      </c>
      <c r="AA8" s="4" t="s">
        <v>240</v>
      </c>
      <c r="AG8" t="s">
        <v>423</v>
      </c>
      <c r="AH8" s="79" t="s">
        <v>423</v>
      </c>
      <c r="AI8" s="147" t="s">
        <v>3171</v>
      </c>
      <c r="AL8" s="129" t="s">
        <v>285</v>
      </c>
      <c r="AU8" s="153" t="s">
        <v>3250</v>
      </c>
      <c r="BK8" s="410" t="s">
        <v>3735</v>
      </c>
      <c r="BL8" s="410" t="s">
        <v>3735</v>
      </c>
      <c r="BM8" s="410" t="s">
        <v>3735</v>
      </c>
      <c r="BN8" s="410" t="s">
        <v>3735</v>
      </c>
      <c r="BQ8" s="170" t="s">
        <v>3301</v>
      </c>
      <c r="BR8" s="170" t="s">
        <v>3301</v>
      </c>
      <c r="BS8" s="170" t="s">
        <v>3317</v>
      </c>
      <c r="BT8" s="170" t="s">
        <v>3317</v>
      </c>
      <c r="BU8"/>
      <c r="BV8"/>
      <c r="BW8"/>
      <c r="BY8" s="190" t="s">
        <v>3333</v>
      </c>
      <c r="BZ8" t="s">
        <v>3195</v>
      </c>
      <c r="CB8" t="s">
        <v>3604</v>
      </c>
      <c r="CJ8" s="18" t="s">
        <v>3853</v>
      </c>
      <c r="CQ8" s="18" t="s">
        <v>285</v>
      </c>
      <c r="CS8" t="s">
        <v>3834</v>
      </c>
      <c r="CU8" s="429"/>
      <c r="CX8" s="441"/>
      <c r="DA8" s="18" t="s">
        <v>3854</v>
      </c>
      <c r="DC8" s="441" t="s">
        <v>3862</v>
      </c>
      <c r="DP8" s="129" t="s">
        <v>291</v>
      </c>
      <c r="DQ8" s="129" t="s">
        <v>291</v>
      </c>
      <c r="DR8" s="129" t="s">
        <v>291</v>
      </c>
      <c r="DS8" s="129" t="s">
        <v>291</v>
      </c>
      <c r="DV8" s="129" t="s">
        <v>285</v>
      </c>
    </row>
    <row r="9" spans="1:129" x14ac:dyDescent="0.3">
      <c r="E9" s="4" t="s">
        <v>202</v>
      </c>
      <c r="F9" s="4" t="s">
        <v>210</v>
      </c>
      <c r="G9" s="4" t="s">
        <v>210</v>
      </c>
      <c r="H9" s="4" t="s">
        <v>210</v>
      </c>
      <c r="I9" s="4" t="s">
        <v>215</v>
      </c>
      <c r="J9" s="4"/>
      <c r="K9" s="4" t="s">
        <v>205</v>
      </c>
      <c r="L9" s="4" t="s">
        <v>205</v>
      </c>
      <c r="M9" s="4" t="s">
        <v>205</v>
      </c>
      <c r="N9" s="4"/>
      <c r="O9" s="4" t="s">
        <v>220</v>
      </c>
      <c r="P9" s="4" t="s">
        <v>225</v>
      </c>
      <c r="Z9" s="4" t="s">
        <v>205</v>
      </c>
      <c r="AA9" s="4" t="s">
        <v>241</v>
      </c>
      <c r="AI9" s="147" t="s">
        <v>3172</v>
      </c>
      <c r="AL9" s="129" t="s">
        <v>291</v>
      </c>
      <c r="BK9" s="410" t="s">
        <v>3736</v>
      </c>
      <c r="BL9" s="410" t="s">
        <v>3736</v>
      </c>
      <c r="BM9" s="410" t="s">
        <v>3736</v>
      </c>
      <c r="BN9" s="410" t="s">
        <v>3736</v>
      </c>
      <c r="BQ9" s="170" t="s">
        <v>3308</v>
      </c>
      <c r="BR9" s="170" t="s">
        <v>3302</v>
      </c>
      <c r="BS9" s="170" t="s">
        <v>3318</v>
      </c>
      <c r="BT9" s="170" t="s">
        <v>3318</v>
      </c>
      <c r="BU9"/>
      <c r="BV9"/>
      <c r="BW9"/>
      <c r="BY9" s="190" t="s">
        <v>3334</v>
      </c>
      <c r="CJ9" s="18" t="s">
        <v>275</v>
      </c>
      <c r="CQ9" s="18" t="s">
        <v>3777</v>
      </c>
      <c r="CU9" s="429"/>
      <c r="CX9" s="441"/>
      <c r="DA9" s="18" t="s">
        <v>3855</v>
      </c>
      <c r="DP9" s="129" t="s">
        <v>293</v>
      </c>
      <c r="DQ9" s="129" t="s">
        <v>293</v>
      </c>
      <c r="DR9" s="129" t="s">
        <v>293</v>
      </c>
      <c r="DS9" s="129" t="s">
        <v>293</v>
      </c>
    </row>
    <row r="10" spans="1:129" x14ac:dyDescent="0.3">
      <c r="E10" s="4" t="s">
        <v>203</v>
      </c>
      <c r="F10" s="4" t="s">
        <v>3632</v>
      </c>
      <c r="G10" s="4" t="s">
        <v>3632</v>
      </c>
      <c r="H10" s="4" t="s">
        <v>3632</v>
      </c>
      <c r="I10" s="4" t="s">
        <v>205</v>
      </c>
      <c r="J10" s="4"/>
      <c r="K10" s="4" t="s">
        <v>216</v>
      </c>
      <c r="L10" s="4" t="s">
        <v>216</v>
      </c>
      <c r="M10" s="4" t="s">
        <v>216</v>
      </c>
      <c r="N10" s="4"/>
      <c r="O10" s="4" t="s">
        <v>205</v>
      </c>
      <c r="P10" s="4" t="s">
        <v>226</v>
      </c>
      <c r="AA10" s="4" t="s">
        <v>242</v>
      </c>
      <c r="AI10" s="129" t="s">
        <v>838</v>
      </c>
      <c r="AM10" s="147"/>
      <c r="BK10" s="410" t="s">
        <v>3737</v>
      </c>
      <c r="BL10" s="410" t="s">
        <v>3737</v>
      </c>
      <c r="BM10" s="410" t="s">
        <v>3737</v>
      </c>
      <c r="BN10" s="410" t="s">
        <v>3737</v>
      </c>
      <c r="BR10" s="170" t="s">
        <v>3303</v>
      </c>
      <c r="BS10"/>
      <c r="BY10" s="190" t="s">
        <v>3335</v>
      </c>
      <c r="CJ10" s="18" t="s">
        <v>285</v>
      </c>
      <c r="CQ10" s="18" t="s">
        <v>291</v>
      </c>
      <c r="CU10" s="429"/>
      <c r="CX10" s="441"/>
    </row>
    <row r="11" spans="1:129" x14ac:dyDescent="0.3">
      <c r="E11" s="4" t="s">
        <v>204</v>
      </c>
      <c r="F11" s="4" t="s">
        <v>205</v>
      </c>
      <c r="G11" s="4" t="s">
        <v>205</v>
      </c>
      <c r="H11" s="4" t="s">
        <v>205</v>
      </c>
      <c r="L11" s="4"/>
      <c r="M11" s="4"/>
      <c r="N11" s="4"/>
      <c r="P11" s="4" t="s">
        <v>227</v>
      </c>
      <c r="AA11" s="4" t="s">
        <v>243</v>
      </c>
      <c r="AI11" s="79"/>
      <c r="AM11" s="147"/>
      <c r="BK11" s="410" t="s">
        <v>3738</v>
      </c>
      <c r="BL11" s="410" t="s">
        <v>3738</v>
      </c>
      <c r="BM11" s="410" t="s">
        <v>3738</v>
      </c>
      <c r="BN11" s="410" t="s">
        <v>3738</v>
      </c>
      <c r="BR11" s="170" t="s">
        <v>3304</v>
      </c>
      <c r="BY11" s="190" t="s">
        <v>3336</v>
      </c>
      <c r="CU11" s="429"/>
      <c r="CX11" s="441"/>
    </row>
    <row r="12" spans="1:129" x14ac:dyDescent="0.3">
      <c r="E12" s="4" t="s">
        <v>205</v>
      </c>
      <c r="F12" s="4" t="s">
        <v>216</v>
      </c>
      <c r="G12" s="4" t="s">
        <v>216</v>
      </c>
      <c r="H12" s="4" t="s">
        <v>216</v>
      </c>
      <c r="P12" s="4" t="s">
        <v>228</v>
      </c>
      <c r="AA12" s="4" t="s">
        <v>244</v>
      </c>
      <c r="AI12" s="79"/>
      <c r="AM12" s="147"/>
      <c r="BK12" s="410" t="s">
        <v>205</v>
      </c>
      <c r="BL12" s="410" t="s">
        <v>205</v>
      </c>
      <c r="BM12" s="410" t="s">
        <v>205</v>
      </c>
      <c r="BN12" s="410" t="s">
        <v>205</v>
      </c>
      <c r="BR12" s="170" t="s">
        <v>3305</v>
      </c>
      <c r="BY12" s="190" t="s">
        <v>3337</v>
      </c>
      <c r="CU12" s="429"/>
      <c r="CX12" s="441"/>
    </row>
    <row r="13" spans="1:129" x14ac:dyDescent="0.3">
      <c r="P13" s="4" t="s">
        <v>205</v>
      </c>
      <c r="AA13" s="4" t="s">
        <v>4767</v>
      </c>
      <c r="AI13" s="79"/>
      <c r="AM13" s="147"/>
      <c r="BR13" s="170" t="s">
        <v>3306</v>
      </c>
      <c r="BY13" s="190" t="s">
        <v>3338</v>
      </c>
      <c r="CU13" s="429"/>
      <c r="CW13" s="429"/>
    </row>
    <row r="14" spans="1:129" x14ac:dyDescent="0.3">
      <c r="AA14" s="4" t="s">
        <v>4770</v>
      </c>
      <c r="AI14" s="79"/>
      <c r="AM14" s="147"/>
      <c r="BR14" s="170" t="s">
        <v>3307</v>
      </c>
      <c r="BY14" s="190" t="s">
        <v>3339</v>
      </c>
      <c r="CU14" s="429"/>
      <c r="CW14" s="429"/>
    </row>
    <row r="15" spans="1:129" x14ac:dyDescent="0.3">
      <c r="AA15" s="4" t="s">
        <v>4771</v>
      </c>
    </row>
    <row r="16" spans="1:129" x14ac:dyDescent="0.3">
      <c r="AA16" s="4" t="s">
        <v>205</v>
      </c>
    </row>
    <row r="17" spans="27:27" x14ac:dyDescent="0.3">
      <c r="AA17" s="4" t="s">
        <v>216</v>
      </c>
    </row>
  </sheetData>
  <sheetProtection algorithmName="SHA-512" hashValue="e+EwhqcmB/0E+24jdVlVhh+ebfm7EcQwiTcfK8Tkg3teKl9BAH7x5FhA1IHDGELBG/aSUxAYwfnnFO7qIy99Ew==" saltValue="h8Rd7O4aLAicKZl2C9lsAw==" spinCount="100000" sheet="1" objects="1" scenarios="1" selectLockedCells="1" selectUnlockedCell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theme="1"/>
  </sheetPr>
  <dimension ref="A3:AC25"/>
  <sheetViews>
    <sheetView topLeftCell="AD1" workbookViewId="0">
      <selection activeCell="N10" sqref="N10"/>
    </sheetView>
  </sheetViews>
  <sheetFormatPr defaultRowHeight="14.4" x14ac:dyDescent="0.3"/>
  <cols>
    <col min="1" max="7" width="0" hidden="1" customWidth="1"/>
    <col min="8" max="8" width="0" style="17" hidden="1" customWidth="1"/>
    <col min="9" max="9" width="0" hidden="1" customWidth="1"/>
    <col min="10" max="12" width="0" style="659" hidden="1" customWidth="1"/>
    <col min="13" max="13" width="0" style="17" hidden="1" customWidth="1"/>
    <col min="14" max="15" width="0" hidden="1" customWidth="1"/>
    <col min="16" max="16" width="0" style="17" hidden="1" customWidth="1"/>
    <col min="17" max="17" width="0" hidden="1" customWidth="1"/>
    <col min="18" max="18" width="0" style="17" hidden="1" customWidth="1"/>
    <col min="19" max="22" width="0" hidden="1" customWidth="1"/>
    <col min="23" max="24" width="0" style="43" hidden="1" customWidth="1"/>
    <col min="25" max="29" width="0" hidden="1" customWidth="1"/>
  </cols>
  <sheetData>
    <row r="3" spans="1:29" x14ac:dyDescent="0.3">
      <c r="A3" t="s">
        <v>305</v>
      </c>
      <c r="B3" t="b">
        <f>OR('Overview (Design)'!G12="",'Overview (Design)'!G13="",'Overview (Design)'!G16="",AND('Overview (Design)'!G16=INDEX(ddSingleOrMulti,2),OR('Overview (Design)'!G17="",'Overview (Design)'!G18="")),'Overview (Design)'!G20="",'Overview (Design)'!G21="",'Overview (Design)'!G22="",'Overview (Design)'!G27="",'Overview (Design)'!G29="",'Overview (Design)'!G33="",'Overview (Design)'!G34="",'Overview (Design)'!G37="",'Overview (Design)'!G39="",'Overview (Design)'!G41="",'Overview (Design)'!G45="",'Overview (Design)'!L9="!!")</f>
        <v>0</v>
      </c>
    </row>
    <row r="4" spans="1:29" x14ac:dyDescent="0.3">
      <c r="A4" t="s">
        <v>331</v>
      </c>
      <c r="B4" t="b">
        <f>OR('Overview (Verification)'!P12="",'Overview (Verification)'!P13="",'Overview (Verification)'!P16="",'Overview (Verification)'!P20="",'Overview (Verification)'!P21="",'Overview (Verification)'!P22="",'Overview (Verification)'!P27="",'Overview (Verification)'!P29="",'Overview (Verification)'!P33="",'Overview (Verification)'!P34="",'Overview (Verification)'!P37="",'Overview (Verification)'!P39="",'Overview (Verification)'!P41="",'Overview (Verification)'!P45="")</f>
        <v>1</v>
      </c>
    </row>
    <row r="8" spans="1:29" x14ac:dyDescent="0.3">
      <c r="G8" s="17"/>
      <c r="H8"/>
      <c r="I8" s="17"/>
      <c r="M8"/>
      <c r="O8" s="17"/>
      <c r="P8"/>
      <c r="Q8" s="17"/>
      <c r="R8"/>
    </row>
    <row r="9" spans="1:29" x14ac:dyDescent="0.3">
      <c r="G9" s="17"/>
      <c r="H9"/>
      <c r="I9" s="17"/>
      <c r="M9"/>
      <c r="O9" s="17"/>
      <c r="P9"/>
      <c r="Q9" s="17"/>
      <c r="R9"/>
    </row>
    <row r="10" spans="1:29" x14ac:dyDescent="0.3">
      <c r="G10" s="42" t="s">
        <v>342</v>
      </c>
      <c r="H10" s="43" t="s">
        <v>314</v>
      </c>
      <c r="I10" s="17"/>
      <c r="M10" t="s">
        <v>4652</v>
      </c>
      <c r="N10">
        <f ca="1">IF('Ch7'!W12=INDEX(INDIRECT('Ch7'!U12),1),4,IF('Ch7'!W23=INDEX(INDIRECT('Ch7'!U23),2),2,IF('Ch7'!W23=INDEX(INDIRECT('Ch7'!U23),2),1,3)))</f>
        <v>3</v>
      </c>
      <c r="O10" s="17"/>
      <c r="P10"/>
      <c r="Q10" s="17"/>
      <c r="R10"/>
      <c r="S10" s="42" t="s">
        <v>341</v>
      </c>
      <c r="T10" t="str">
        <f>IF(LEN('Verification Report'!L1)=0,"None Chosen",'Verification Report'!L1)</f>
        <v>None Chosen</v>
      </c>
      <c r="X10" s="441" t="s">
        <v>3200</v>
      </c>
      <c r="Y10" s="1">
        <f ca="1">IF('Verification Report'!W775=INDEX(INDIRECT('Ch7'!U12),1),4,IF('Verification Report'!W786=INDEX(INDIRECT('Ch7'!U23),2),2,IF('Verification Report'!W786=INDEX(INDIRECT('Ch7'!U23),1),2,3)))</f>
        <v>3</v>
      </c>
    </row>
    <row r="11" spans="1:29" x14ac:dyDescent="0.3">
      <c r="G11" s="17"/>
      <c r="H11"/>
      <c r="I11" s="17"/>
      <c r="M11" s="17" t="s">
        <v>4653</v>
      </c>
      <c r="N11">
        <f ca="1">IF('Ch8'!O91&gt;0,4,2)</f>
        <v>4</v>
      </c>
      <c r="O11" s="17"/>
      <c r="P11"/>
      <c r="Q11" s="17"/>
      <c r="R11"/>
      <c r="X11" s="441" t="s">
        <v>3847</v>
      </c>
      <c r="Y11" s="1">
        <f ca="1">IF('Verification Report'!O1477&gt;0,4,2)</f>
        <v>2</v>
      </c>
    </row>
    <row r="12" spans="1:29" x14ac:dyDescent="0.3">
      <c r="C12" t="s">
        <v>315</v>
      </c>
      <c r="G12" s="17" t="s">
        <v>328</v>
      </c>
      <c r="H12"/>
      <c r="I12" s="17"/>
      <c r="M12"/>
      <c r="O12" s="17"/>
      <c r="P12"/>
      <c r="Q12" s="17"/>
      <c r="R12"/>
      <c r="S12" t="s">
        <v>329</v>
      </c>
    </row>
    <row r="13" spans="1:29" x14ac:dyDescent="0.3">
      <c r="G13" s="17"/>
      <c r="H13"/>
      <c r="I13" s="17"/>
      <c r="M13"/>
      <c r="O13" s="17"/>
      <c r="P13"/>
      <c r="Q13" s="17"/>
      <c r="R13"/>
    </row>
    <row r="14" spans="1:29" x14ac:dyDescent="0.3">
      <c r="C14" t="s">
        <v>312</v>
      </c>
      <c r="D14" t="s">
        <v>313</v>
      </c>
      <c r="E14" t="s">
        <v>314</v>
      </c>
      <c r="F14" t="s">
        <v>310</v>
      </c>
      <c r="G14" s="17"/>
      <c r="H14" t="s">
        <v>316</v>
      </c>
      <c r="I14" s="17"/>
      <c r="J14" s="659" t="s">
        <v>317</v>
      </c>
      <c r="K14" s="659" t="s">
        <v>317</v>
      </c>
      <c r="L14" s="659" t="s">
        <v>317</v>
      </c>
      <c r="M14" t="s">
        <v>317</v>
      </c>
      <c r="N14" t="s">
        <v>318</v>
      </c>
      <c r="O14" s="17"/>
      <c r="P14" t="s">
        <v>319</v>
      </c>
      <c r="Q14" s="17"/>
      <c r="R14"/>
      <c r="S14" s="20"/>
      <c r="T14" s="20" t="s">
        <v>316</v>
      </c>
      <c r="U14" s="20"/>
      <c r="V14" s="20" t="s">
        <v>317</v>
      </c>
      <c r="Y14" s="20" t="s">
        <v>318</v>
      </c>
      <c r="Z14" s="20"/>
      <c r="AA14" s="20" t="s">
        <v>343</v>
      </c>
      <c r="AB14" s="20"/>
      <c r="AC14" s="20"/>
    </row>
    <row r="15" spans="1:29" x14ac:dyDescent="0.3">
      <c r="A15">
        <v>5</v>
      </c>
      <c r="B15" t="s">
        <v>320</v>
      </c>
      <c r="C15">
        <v>50</v>
      </c>
      <c r="D15">
        <v>64</v>
      </c>
      <c r="E15">
        <v>93</v>
      </c>
      <c r="F15">
        <v>121</v>
      </c>
      <c r="G15" s="7" t="str">
        <f t="shared" ref="G15:G20" si="0">"Ch"&amp;$A15&amp;"Points"</f>
        <v>Ch5Points</v>
      </c>
      <c r="H15" s="1">
        <f ca="1">ROUNDDOWN(SUM('Ch5'!O:O),0)</f>
        <v>54</v>
      </c>
      <c r="I15" s="7" t="str">
        <f t="shared" ref="I15:I20" si="1">"Ch"&amp;$A15&amp;"Add"</f>
        <v>Ch5Add</v>
      </c>
      <c r="J15" s="659">
        <f t="shared" ref="J15:M20" ca="1" si="2">$H15-C15</f>
        <v>4</v>
      </c>
      <c r="K15" s="659">
        <f t="shared" ca="1" si="2"/>
        <v>-10</v>
      </c>
      <c r="L15" s="659">
        <f t="shared" ca="1" si="2"/>
        <v>-39</v>
      </c>
      <c r="M15">
        <f t="shared" ca="1" si="2"/>
        <v>-67</v>
      </c>
      <c r="N15">
        <f ca="1">IFERROR(MATCH(H15,C15:F15,1),0)</f>
        <v>1</v>
      </c>
      <c r="O15" s="7" t="str">
        <f t="shared" ref="O15:O20" si="3">"Ch"&amp;$A15&amp;"NLev"</f>
        <v>Ch5NLev</v>
      </c>
      <c r="P15">
        <f t="shared" ref="P15:P20" ca="1" si="4">IF(N15=4,0,INDEX(C15:F15,N15+1)-H15)</f>
        <v>10</v>
      </c>
      <c r="Q15" s="7" t="str">
        <f t="shared" ref="Q15:Q20" si="5">"Ch"&amp;$A15&amp;"Level"</f>
        <v>Ch5Level</v>
      </c>
      <c r="R15" t="str">
        <f t="shared" ref="R15:R22" ca="1" si="6">IFERROR(INDEX($C$14:$F$14,N15),"None")</f>
        <v>Bronze</v>
      </c>
      <c r="S15" s="19" t="str">
        <f t="shared" ref="S15:S20" si="7">"Ch"&amp;$A15&amp;"PointsFinal"</f>
        <v>Ch5PointsFinal</v>
      </c>
      <c r="T15" s="1">
        <f ca="1">ROUNDDOWN(SUMIFS('Verification Report'!O:O,'Verification Report'!A:A, 5),0)</f>
        <v>0</v>
      </c>
      <c r="U15" s="42" t="str">
        <f t="shared" ref="U15:U20" si="8">"Ch"&amp;$A15&amp;"AddFinal"</f>
        <v>Ch5AddFinal</v>
      </c>
      <c r="V15" s="39">
        <f t="shared" ref="V15:V20" ca="1" si="9">MAX(IFERROR(T15-INDEX(C15:F15,MAX(1,MIN(Y$15:Y$20))),0),0)</f>
        <v>0</v>
      </c>
      <c r="W15" s="42" t="str">
        <f t="shared" ref="W15:W20" si="10">"Ch"&amp;$A15&amp;"AddGoal"</f>
        <v>Ch5AddGoal</v>
      </c>
      <c r="X15" s="43">
        <f t="shared" ref="X15:X20" ca="1" si="11">MAX(IFERROR($T15-INDEX($C15:$F15,MATCH(verGoalLevel,$C$14:$F$14,0)),0),0)</f>
        <v>0</v>
      </c>
      <c r="Y15" s="20">
        <f ca="1">IFERROR(MATCH(T15,C15:F15,1),0)</f>
        <v>0</v>
      </c>
      <c r="Z15" s="19" t="str">
        <f t="shared" ref="Z15:Z20" si="12">"Ch"&amp;$A15&amp;"GLevFinal"</f>
        <v>Ch5GLevFinal</v>
      </c>
      <c r="AA15" s="20">
        <f t="shared" ref="AA15:AA20" ca="1" si="13">MAX(IFERROR(INDEX($C15:$F15,MATCH(verGoalLevel,$C$14:$F$14,0))-$T15,0),0)</f>
        <v>0</v>
      </c>
      <c r="AB15" s="19" t="str">
        <f t="shared" ref="AB15:AB20" si="14">"Ch"&amp;$A15&amp;"LevelFinal"</f>
        <v>Ch5LevelFinal</v>
      </c>
      <c r="AC15" s="20" t="str">
        <f t="shared" ref="AC15:AC22" ca="1" si="15">IFERROR(INDEX($C$14:$F$14,Y15),"None")</f>
        <v>None</v>
      </c>
    </row>
    <row r="16" spans="1:29" x14ac:dyDescent="0.3">
      <c r="A16">
        <v>6</v>
      </c>
      <c r="B16" s="17" t="s">
        <v>321</v>
      </c>
      <c r="C16">
        <v>43</v>
      </c>
      <c r="D16">
        <v>59</v>
      </c>
      <c r="E16">
        <v>89</v>
      </c>
      <c r="F16">
        <v>119</v>
      </c>
      <c r="G16" s="7" t="str">
        <f t="shared" si="0"/>
        <v>Ch6Points</v>
      </c>
      <c r="H16" s="79">
        <f ca="1">SUM('Ch6'!O:O)</f>
        <v>76</v>
      </c>
      <c r="I16" s="7" t="str">
        <f t="shared" si="1"/>
        <v>Ch6Add</v>
      </c>
      <c r="J16" s="659">
        <f t="shared" ca="1" si="2"/>
        <v>33</v>
      </c>
      <c r="K16" s="659">
        <f t="shared" ca="1" si="2"/>
        <v>17</v>
      </c>
      <c r="L16" s="659">
        <f t="shared" ca="1" si="2"/>
        <v>-13</v>
      </c>
      <c r="M16" s="659">
        <f t="shared" ca="1" si="2"/>
        <v>-43</v>
      </c>
      <c r="N16" s="17">
        <f ca="1">IFERROR(MATCH(H16,C16:F16,1),0)</f>
        <v>2</v>
      </c>
      <c r="O16" s="7" t="str">
        <f t="shared" si="3"/>
        <v>Ch6NLev</v>
      </c>
      <c r="P16" s="17">
        <f t="shared" ca="1" si="4"/>
        <v>13</v>
      </c>
      <c r="Q16" s="7" t="str">
        <f t="shared" si="5"/>
        <v>Ch6Level</v>
      </c>
      <c r="R16" s="17" t="str">
        <f t="shared" ca="1" si="6"/>
        <v>Silver</v>
      </c>
      <c r="S16" s="19" t="str">
        <f t="shared" si="7"/>
        <v>Ch6PointsFinal</v>
      </c>
      <c r="T16" s="280">
        <f ca="1">SUMIFS('Verification Report'!O:O,'Verification Report'!A:A, 6)</f>
        <v>0</v>
      </c>
      <c r="U16" s="19" t="str">
        <f t="shared" si="8"/>
        <v>Ch6AddFinal</v>
      </c>
      <c r="V16" s="39">
        <f t="shared" ca="1" si="9"/>
        <v>0</v>
      </c>
      <c r="W16" s="42" t="str">
        <f t="shared" si="10"/>
        <v>Ch6AddGoal</v>
      </c>
      <c r="X16" s="43">
        <f t="shared" ca="1" si="11"/>
        <v>0</v>
      </c>
      <c r="Y16" s="20">
        <f ca="1">IFERROR(MATCH(T16,C16:F16,1),0)</f>
        <v>0</v>
      </c>
      <c r="Z16" s="42" t="str">
        <f t="shared" si="12"/>
        <v>Ch6GLevFinal</v>
      </c>
      <c r="AA16" s="43">
        <f t="shared" ca="1" si="13"/>
        <v>0</v>
      </c>
      <c r="AB16" s="19" t="str">
        <f t="shared" si="14"/>
        <v>Ch6LevelFinal</v>
      </c>
      <c r="AC16" s="20" t="str">
        <f t="shared" ca="1" si="15"/>
        <v>None</v>
      </c>
    </row>
    <row r="17" spans="1:29" x14ac:dyDescent="0.3">
      <c r="A17">
        <v>7</v>
      </c>
      <c r="B17" s="17" t="s">
        <v>322</v>
      </c>
      <c r="C17">
        <v>30</v>
      </c>
      <c r="D17">
        <v>45</v>
      </c>
      <c r="E17">
        <v>60</v>
      </c>
      <c r="F17">
        <v>70</v>
      </c>
      <c r="G17" s="7" t="str">
        <f t="shared" si="0"/>
        <v>Ch7Points</v>
      </c>
      <c r="H17" s="79">
        <f ca="1">SUM('Ch7'!O:O)</f>
        <v>33</v>
      </c>
      <c r="I17" s="7" t="str">
        <f t="shared" si="1"/>
        <v>Ch7Add</v>
      </c>
      <c r="J17" s="659">
        <f t="shared" ca="1" si="2"/>
        <v>3</v>
      </c>
      <c r="K17" s="659">
        <f t="shared" ca="1" si="2"/>
        <v>-12</v>
      </c>
      <c r="L17" s="659">
        <f t="shared" ca="1" si="2"/>
        <v>-27</v>
      </c>
      <c r="M17" s="659">
        <f t="shared" ca="1" si="2"/>
        <v>-37</v>
      </c>
      <c r="N17" s="1">
        <f ca="1">MIN(IFERROR(MATCH(H17,$C17:$F17,1),0),N10)</f>
        <v>1</v>
      </c>
      <c r="O17" s="7" t="str">
        <f t="shared" si="3"/>
        <v>Ch7NLev</v>
      </c>
      <c r="P17" s="17">
        <f t="shared" ca="1" si="4"/>
        <v>12</v>
      </c>
      <c r="Q17" s="7" t="str">
        <f t="shared" si="5"/>
        <v>Ch7Level</v>
      </c>
      <c r="R17" s="17" t="str">
        <f t="shared" ca="1" si="6"/>
        <v>Bronze</v>
      </c>
      <c r="S17" s="19" t="str">
        <f t="shared" si="7"/>
        <v>Ch7PointsFinal</v>
      </c>
      <c r="T17" s="280">
        <f ca="1">SUMIFS('Verification Report'!O:O,'Verification Report'!A:A, 7)</f>
        <v>0</v>
      </c>
      <c r="U17" s="19" t="str">
        <f t="shared" si="8"/>
        <v>Ch7AddFinal</v>
      </c>
      <c r="V17" s="39">
        <f t="shared" ca="1" si="9"/>
        <v>0</v>
      </c>
      <c r="W17" s="42" t="str">
        <f t="shared" si="10"/>
        <v>Ch7AddGoal</v>
      </c>
      <c r="X17" s="43">
        <f t="shared" ca="1" si="11"/>
        <v>0</v>
      </c>
      <c r="Y17" s="1">
        <f ca="1">MIN(IFERROR(MATCH(T17,$C17:$F17,1),0),Y10)</f>
        <v>0</v>
      </c>
      <c r="Z17" s="42" t="str">
        <f t="shared" si="12"/>
        <v>Ch7GLevFinal</v>
      </c>
      <c r="AA17" s="43">
        <f t="shared" ca="1" si="13"/>
        <v>0</v>
      </c>
      <c r="AB17" s="19" t="str">
        <f t="shared" si="14"/>
        <v>Ch7LevelFinal</v>
      </c>
      <c r="AC17" s="20" t="str">
        <f t="shared" ca="1" si="15"/>
        <v>None</v>
      </c>
    </row>
    <row r="18" spans="1:29" x14ac:dyDescent="0.3">
      <c r="A18">
        <v>8</v>
      </c>
      <c r="B18" s="17" t="s">
        <v>323</v>
      </c>
      <c r="C18">
        <v>25</v>
      </c>
      <c r="D18">
        <v>39</v>
      </c>
      <c r="E18">
        <v>67</v>
      </c>
      <c r="F18">
        <v>92</v>
      </c>
      <c r="G18" s="7" t="str">
        <f t="shared" si="0"/>
        <v>Ch8Points</v>
      </c>
      <c r="H18" s="79">
        <f ca="1">SUM('Ch8'!O:O)</f>
        <v>49</v>
      </c>
      <c r="I18" s="7" t="str">
        <f t="shared" si="1"/>
        <v>Ch8Add</v>
      </c>
      <c r="J18" s="659">
        <f t="shared" ca="1" si="2"/>
        <v>24</v>
      </c>
      <c r="K18" s="659">
        <f t="shared" ca="1" si="2"/>
        <v>10</v>
      </c>
      <c r="L18" s="659">
        <f t="shared" ca="1" si="2"/>
        <v>-18</v>
      </c>
      <c r="M18" s="659">
        <f t="shared" ca="1" si="2"/>
        <v>-43</v>
      </c>
      <c r="N18" s="1">
        <f ca="1">MIN(IFERROR(MATCH(H18,$C18:$F18,1),0),N11)</f>
        <v>2</v>
      </c>
      <c r="O18" s="7" t="str">
        <f t="shared" si="3"/>
        <v>Ch8NLev</v>
      </c>
      <c r="P18" s="17">
        <f t="shared" ca="1" si="4"/>
        <v>18</v>
      </c>
      <c r="Q18" s="7" t="str">
        <f t="shared" si="5"/>
        <v>Ch8Level</v>
      </c>
      <c r="R18" s="17" t="str">
        <f t="shared" ca="1" si="6"/>
        <v>Silver</v>
      </c>
      <c r="S18" s="19" t="str">
        <f t="shared" si="7"/>
        <v>Ch8PointsFinal</v>
      </c>
      <c r="T18" s="280">
        <f ca="1">SUMIFS('Verification Report'!O:O,'Verification Report'!A:A, 8)</f>
        <v>0</v>
      </c>
      <c r="U18" s="19" t="str">
        <f t="shared" si="8"/>
        <v>Ch8AddFinal</v>
      </c>
      <c r="V18" s="39">
        <f t="shared" ca="1" si="9"/>
        <v>0</v>
      </c>
      <c r="W18" s="42" t="str">
        <f t="shared" si="10"/>
        <v>Ch8AddGoal</v>
      </c>
      <c r="X18" s="43">
        <f t="shared" ca="1" si="11"/>
        <v>0</v>
      </c>
      <c r="Y18" s="1">
        <f ca="1">MIN(IFERROR(MATCH(T18,$C18:$F18,1),0),Y11)</f>
        <v>0</v>
      </c>
      <c r="Z18" s="42" t="str">
        <f t="shared" si="12"/>
        <v>Ch8GLevFinal</v>
      </c>
      <c r="AA18" s="43">
        <f t="shared" ca="1" si="13"/>
        <v>0</v>
      </c>
      <c r="AB18" s="19" t="str">
        <f t="shared" si="14"/>
        <v>Ch8LevelFinal</v>
      </c>
      <c r="AC18" s="20" t="str">
        <f t="shared" ca="1" si="15"/>
        <v>None</v>
      </c>
    </row>
    <row r="19" spans="1:29" x14ac:dyDescent="0.3">
      <c r="A19">
        <v>9</v>
      </c>
      <c r="B19" s="17" t="s">
        <v>324</v>
      </c>
      <c r="C19">
        <v>25</v>
      </c>
      <c r="D19">
        <v>42</v>
      </c>
      <c r="E19">
        <v>69</v>
      </c>
      <c r="F19">
        <v>97</v>
      </c>
      <c r="G19" s="7" t="str">
        <f t="shared" si="0"/>
        <v>Ch9Points</v>
      </c>
      <c r="H19" s="79">
        <f ca="1">SUM('Ch9'!O:O)</f>
        <v>89</v>
      </c>
      <c r="I19" s="7" t="str">
        <f t="shared" si="1"/>
        <v>Ch9Add</v>
      </c>
      <c r="J19" s="659">
        <f t="shared" ca="1" si="2"/>
        <v>64</v>
      </c>
      <c r="K19" s="659">
        <f t="shared" ca="1" si="2"/>
        <v>47</v>
      </c>
      <c r="L19" s="659">
        <f t="shared" ca="1" si="2"/>
        <v>20</v>
      </c>
      <c r="M19" s="659">
        <f t="shared" ca="1" si="2"/>
        <v>-8</v>
      </c>
      <c r="N19" s="17">
        <f ca="1">IFERROR(MATCH(H19,C19:F19,1),0)</f>
        <v>3</v>
      </c>
      <c r="O19" s="7" t="str">
        <f t="shared" si="3"/>
        <v>Ch9NLev</v>
      </c>
      <c r="P19" s="17">
        <f t="shared" ca="1" si="4"/>
        <v>8</v>
      </c>
      <c r="Q19" s="7" t="str">
        <f t="shared" si="5"/>
        <v>Ch9Level</v>
      </c>
      <c r="R19" s="17" t="str">
        <f t="shared" ca="1" si="6"/>
        <v>Gold</v>
      </c>
      <c r="S19" s="19" t="str">
        <f t="shared" si="7"/>
        <v>Ch9PointsFinal</v>
      </c>
      <c r="T19" s="280">
        <f ca="1">SUMIFS('Verification Report'!O:O,'Verification Report'!A:A, 9)</f>
        <v>0</v>
      </c>
      <c r="U19" s="19" t="str">
        <f t="shared" si="8"/>
        <v>Ch9AddFinal</v>
      </c>
      <c r="V19" s="39">
        <f t="shared" ca="1" si="9"/>
        <v>0</v>
      </c>
      <c r="W19" s="42" t="str">
        <f t="shared" si="10"/>
        <v>Ch9AddGoal</v>
      </c>
      <c r="X19" s="43">
        <f t="shared" ca="1" si="11"/>
        <v>0</v>
      </c>
      <c r="Y19" s="20">
        <f ca="1">IFERROR(MATCH(T19,C19:F19,1),0)</f>
        <v>0</v>
      </c>
      <c r="Z19" s="42" t="str">
        <f t="shared" si="12"/>
        <v>Ch9GLevFinal</v>
      </c>
      <c r="AA19" s="43">
        <f t="shared" ca="1" si="13"/>
        <v>0</v>
      </c>
      <c r="AB19" s="19" t="str">
        <f t="shared" si="14"/>
        <v>Ch9LevelFinal</v>
      </c>
      <c r="AC19" s="20" t="str">
        <f t="shared" ca="1" si="15"/>
        <v>None</v>
      </c>
    </row>
    <row r="20" spans="1:29" x14ac:dyDescent="0.3">
      <c r="A20">
        <v>10</v>
      </c>
      <c r="B20" s="17" t="s">
        <v>325</v>
      </c>
      <c r="C20">
        <v>8</v>
      </c>
      <c r="D20">
        <v>10</v>
      </c>
      <c r="E20">
        <v>11</v>
      </c>
      <c r="F20">
        <v>12</v>
      </c>
      <c r="G20" s="7" t="str">
        <f t="shared" si="0"/>
        <v>Ch10Points</v>
      </c>
      <c r="H20" s="79">
        <f>SUM('Ch10'!O:O)</f>
        <v>9</v>
      </c>
      <c r="I20" s="7" t="str">
        <f t="shared" si="1"/>
        <v>Ch10Add</v>
      </c>
      <c r="J20" s="659">
        <f t="shared" si="2"/>
        <v>1</v>
      </c>
      <c r="K20" s="659">
        <f t="shared" si="2"/>
        <v>-1</v>
      </c>
      <c r="L20" s="659">
        <f t="shared" si="2"/>
        <v>-2</v>
      </c>
      <c r="M20" s="659">
        <f t="shared" si="2"/>
        <v>-3</v>
      </c>
      <c r="N20" s="17">
        <f>IFERROR(MATCH(H20,C20:F20,1),0)</f>
        <v>1</v>
      </c>
      <c r="O20" s="7" t="str">
        <f t="shared" si="3"/>
        <v>Ch10NLev</v>
      </c>
      <c r="P20" s="17">
        <f t="shared" si="4"/>
        <v>1</v>
      </c>
      <c r="Q20" s="7" t="str">
        <f t="shared" si="5"/>
        <v>Ch10Level</v>
      </c>
      <c r="R20" s="17" t="str">
        <f t="shared" si="6"/>
        <v>Bronze</v>
      </c>
      <c r="S20" s="19" t="str">
        <f t="shared" si="7"/>
        <v>Ch10PointsFinal</v>
      </c>
      <c r="T20" s="280">
        <f>SUMIFS('Verification Report'!O:O,'Verification Report'!A:A, 10)</f>
        <v>0</v>
      </c>
      <c r="U20" s="19" t="str">
        <f t="shared" si="8"/>
        <v>Ch10AddFinal</v>
      </c>
      <c r="V20" s="39">
        <f t="shared" ca="1" si="9"/>
        <v>0</v>
      </c>
      <c r="W20" s="42" t="str">
        <f t="shared" si="10"/>
        <v>Ch10AddGoal</v>
      </c>
      <c r="X20" s="43">
        <f t="shared" si="11"/>
        <v>0</v>
      </c>
      <c r="Y20" s="20">
        <f>IFERROR(MATCH(T20,C20:F20,1),0)</f>
        <v>0</v>
      </c>
      <c r="Z20" s="42" t="str">
        <f t="shared" si="12"/>
        <v>Ch10GLevFinal</v>
      </c>
      <c r="AA20" s="43">
        <f t="shared" si="13"/>
        <v>0</v>
      </c>
      <c r="AB20" s="19" t="str">
        <f t="shared" si="14"/>
        <v>Ch10LevelFinal</v>
      </c>
      <c r="AC20" s="20" t="str">
        <f t="shared" si="15"/>
        <v>None</v>
      </c>
    </row>
    <row r="21" spans="1:29" x14ac:dyDescent="0.3">
      <c r="A21" s="56">
        <f>'Overview (Design)'!$G$20</f>
        <v>2650</v>
      </c>
      <c r="B21" t="s">
        <v>386</v>
      </c>
      <c r="C21" s="56">
        <f>50+MAX(0,ROUNDDOWN(($A21-4000)/100,0))</f>
        <v>50</v>
      </c>
      <c r="D21" s="56">
        <f>75+MAX(0,ROUNDDOWN(($A21-4000)/100,0))</f>
        <v>75</v>
      </c>
      <c r="E21" s="56">
        <f>100+MAX(0,ROUNDDOWN(($A21-4000)/100,0))</f>
        <v>100</v>
      </c>
      <c r="F21" s="56">
        <f>100+MAX(0,ROUNDDOWN(($A21-4000)/100,0))</f>
        <v>100</v>
      </c>
      <c r="G21" s="17"/>
      <c r="I21" s="17"/>
      <c r="J21" s="659">
        <f ca="1">SUM(J15:J20)</f>
        <v>129</v>
      </c>
      <c r="K21" s="659">
        <f ca="1">SUM(K15:K20)</f>
        <v>51</v>
      </c>
      <c r="L21" s="659">
        <f ca="1">SUM(L15:L20)</f>
        <v>-79</v>
      </c>
      <c r="M21">
        <f ca="1">SUM(M15:M20)</f>
        <v>-201</v>
      </c>
      <c r="N21" s="17">
        <f ca="1">IF(M21&gt;=F21,4,IF(L21&gt;=E21,3,IF(K21&gt;=D21,2,IF(J21&gt;=C21,1,0))))</f>
        <v>1</v>
      </c>
      <c r="O21" s="17"/>
      <c r="P21"/>
      <c r="Q21" s="17"/>
      <c r="R21" s="17" t="str">
        <f t="shared" ca="1" si="6"/>
        <v>Bronze</v>
      </c>
      <c r="S21" s="20"/>
      <c r="U21" s="20"/>
      <c r="V21" s="20">
        <f ca="1">SUM(V15:V20)</f>
        <v>0</v>
      </c>
      <c r="Y21" s="20">
        <f ca="1">IFERROR(MATCH(V21,C22:F22,1),MAX(0,MIN(Y15:Y20)-1))</f>
        <v>0</v>
      </c>
      <c r="Z21" s="20"/>
      <c r="AA21" s="20"/>
      <c r="AB21" s="20"/>
      <c r="AC21" s="20" t="str">
        <f t="shared" ca="1" si="15"/>
        <v>None</v>
      </c>
    </row>
    <row r="22" spans="1:29" x14ac:dyDescent="0.3">
      <c r="A22" s="56">
        <f>IF(LEN('Overview (Verification)'!$P$20)=0,0,'Overview (Verification)'!$P$20)</f>
        <v>0</v>
      </c>
      <c r="B22" t="s">
        <v>387</v>
      </c>
      <c r="C22" s="56">
        <f>50+MAX(0,ROUNDDOWN(($A22-4000)/100,0))</f>
        <v>50</v>
      </c>
      <c r="D22" s="56">
        <f>75+MAX(0,ROUNDDOWN(($A22-4000)/100,0))</f>
        <v>75</v>
      </c>
      <c r="E22" s="56">
        <f>100+MAX(0,ROUNDDOWN(($A22-4000)/100,0))</f>
        <v>100</v>
      </c>
      <c r="F22" s="56">
        <f>100+MAX(0,ROUNDDOWN(($A22-4000)/100,0))</f>
        <v>100</v>
      </c>
      <c r="G22" s="17"/>
      <c r="H22"/>
      <c r="I22" s="17"/>
      <c r="M22"/>
      <c r="N22">
        <f ca="1">MIN(N15:N21)</f>
        <v>1</v>
      </c>
      <c r="O22" s="17"/>
      <c r="P22"/>
      <c r="Q22" s="17"/>
      <c r="R22" s="17" t="str">
        <f t="shared" ca="1" si="6"/>
        <v>Bronze</v>
      </c>
      <c r="S22" s="20"/>
      <c r="T22" s="20"/>
      <c r="U22" s="20"/>
      <c r="V22" s="20"/>
      <c r="Y22" s="39">
        <f ca="1">MIN(Y15:Y21)</f>
        <v>0</v>
      </c>
      <c r="Z22" s="20"/>
      <c r="AA22" s="20"/>
      <c r="AB22" s="20"/>
      <c r="AC22" s="20" t="str">
        <f t="shared" ca="1" si="15"/>
        <v>None</v>
      </c>
    </row>
    <row r="23" spans="1:29" x14ac:dyDescent="0.3">
      <c r="C23">
        <v>231</v>
      </c>
      <c r="D23">
        <v>334</v>
      </c>
      <c r="E23">
        <v>489</v>
      </c>
      <c r="F23">
        <v>611</v>
      </c>
      <c r="G23" s="17"/>
      <c r="H23"/>
      <c r="I23" s="17"/>
      <c r="M23"/>
      <c r="O23" s="17"/>
      <c r="P23"/>
      <c r="Q23" s="17"/>
      <c r="R23"/>
    </row>
    <row r="24" spans="1:29" x14ac:dyDescent="0.3">
      <c r="D24" s="56"/>
      <c r="E24" s="56"/>
      <c r="F24" s="56"/>
      <c r="G24" s="17"/>
      <c r="H24"/>
      <c r="I24" s="17"/>
      <c r="M24"/>
      <c r="O24" s="17"/>
      <c r="P24"/>
      <c r="Q24" s="17"/>
      <c r="R24"/>
    </row>
    <row r="25" spans="1:29" x14ac:dyDescent="0.3">
      <c r="C25" s="56"/>
      <c r="D25" s="56"/>
      <c r="E25" s="56"/>
      <c r="F25" s="56"/>
    </row>
  </sheetData>
  <sheetProtection algorithmName="SHA-512" hashValue="m4EulE7uz0DgocegPxH3XtrleeYsHR2y51Xv3Rsqq2b0eKl8hCFrlS8OgMXucoERNCZIekMi9Be9gmYbIW2ihA==" saltValue="QaLCjJChtIyX5fJH9oSgIQ==" spinCount="100000"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1"/>
  </sheetPr>
  <dimension ref="A1:U38"/>
  <sheetViews>
    <sheetView topLeftCell="V1" workbookViewId="0"/>
  </sheetViews>
  <sheetFormatPr defaultRowHeight="14.4" x14ac:dyDescent="0.3"/>
  <cols>
    <col min="1" max="1" width="0" hidden="1" customWidth="1"/>
    <col min="2" max="2" width="8.33203125" hidden="1" customWidth="1"/>
    <col min="3" max="3" width="3.5546875" style="419" hidden="1" customWidth="1"/>
    <col min="4" max="11" width="3" hidden="1" customWidth="1"/>
    <col min="12" max="12" width="0" hidden="1" customWidth="1"/>
    <col min="13" max="13" width="7.33203125" hidden="1" customWidth="1"/>
    <col min="14" max="21" width="4.6640625" hidden="1" customWidth="1"/>
  </cols>
  <sheetData>
    <row r="1" spans="1:21" x14ac:dyDescent="0.3">
      <c r="B1" t="s">
        <v>1057</v>
      </c>
      <c r="M1" s="488" t="s">
        <v>1065</v>
      </c>
    </row>
    <row r="2" spans="1:21" s="419" customFormat="1" x14ac:dyDescent="0.3"/>
    <row r="3" spans="1:21" s="419" customFormat="1" x14ac:dyDescent="0.3">
      <c r="B3" s="423" t="s">
        <v>377</v>
      </c>
    </row>
    <row r="5" spans="1:21" x14ac:dyDescent="0.3">
      <c r="B5" t="s">
        <v>3764</v>
      </c>
      <c r="C5" s="419">
        <f>'Overview (Design)'!N13</f>
        <v>4</v>
      </c>
      <c r="M5" s="488" t="s">
        <v>3764</v>
      </c>
      <c r="N5">
        <f>'Overview (Design)'!N13</f>
        <v>4</v>
      </c>
      <c r="O5" s="533"/>
    </row>
    <row r="6" spans="1:21" x14ac:dyDescent="0.3">
      <c r="B6" t="s">
        <v>3765</v>
      </c>
      <c r="C6" s="419" t="str">
        <f>'Overview (Design)'!Q13</f>
        <v xml:space="preserve"> </v>
      </c>
      <c r="M6" t="s">
        <v>4030</v>
      </c>
      <c r="N6" s="533">
        <f>'Ch7'!W72</f>
        <v>0</v>
      </c>
      <c r="O6" s="533">
        <f>'Ch7'!W75</f>
        <v>0</v>
      </c>
    </row>
    <row r="7" spans="1:21" x14ac:dyDescent="0.3">
      <c r="B7" t="s">
        <v>3766</v>
      </c>
      <c r="C7" s="419">
        <f>'Ch7'!W178</f>
        <v>0</v>
      </c>
      <c r="D7" s="421"/>
      <c r="M7" t="s">
        <v>4031</v>
      </c>
      <c r="N7">
        <f>IF(N6&lt;=1,1,IF(N6&lt;=2,2,IF(N6&lt;=3,3,IF(N6&lt;=4,4,0))))</f>
        <v>1</v>
      </c>
      <c r="O7" s="1083">
        <f>IF(O6&lt;=0.06,1,IF(O6&lt;=0.12,2,IF(O6&lt;=0.19,3,IF(O6&lt;=0.25,4,0))))</f>
        <v>1</v>
      </c>
    </row>
    <row r="9" spans="1:21" x14ac:dyDescent="0.3">
      <c r="C9" s="419" t="s">
        <v>3763</v>
      </c>
      <c r="D9">
        <v>1</v>
      </c>
      <c r="E9">
        <v>2</v>
      </c>
      <c r="F9">
        <v>3</v>
      </c>
      <c r="G9">
        <v>4</v>
      </c>
      <c r="H9">
        <v>5</v>
      </c>
      <c r="I9">
        <v>6</v>
      </c>
      <c r="J9">
        <v>7</v>
      </c>
      <c r="K9">
        <v>8</v>
      </c>
      <c r="N9" s="488">
        <v>1</v>
      </c>
      <c r="O9" s="488">
        <v>2</v>
      </c>
      <c r="P9" s="488">
        <v>3</v>
      </c>
      <c r="Q9" s="488">
        <v>4</v>
      </c>
      <c r="R9" s="488">
        <v>5</v>
      </c>
      <c r="S9" s="488">
        <v>6</v>
      </c>
      <c r="T9" s="488">
        <v>7</v>
      </c>
      <c r="U9" s="488">
        <v>8</v>
      </c>
    </row>
    <row r="10" spans="1:21" x14ac:dyDescent="0.3">
      <c r="A10">
        <v>1</v>
      </c>
      <c r="B10" s="421">
        <v>0</v>
      </c>
      <c r="C10" s="419">
        <v>0</v>
      </c>
      <c r="D10">
        <v>0</v>
      </c>
      <c r="E10">
        <v>0</v>
      </c>
      <c r="F10">
        <v>0</v>
      </c>
      <c r="G10">
        <v>0</v>
      </c>
      <c r="H10">
        <v>0</v>
      </c>
      <c r="I10">
        <v>0</v>
      </c>
      <c r="J10">
        <v>0</v>
      </c>
      <c r="K10">
        <v>0</v>
      </c>
      <c r="M10">
        <v>1</v>
      </c>
      <c r="N10">
        <v>4</v>
      </c>
      <c r="O10">
        <v>7</v>
      </c>
      <c r="P10">
        <v>5</v>
      </c>
      <c r="Q10">
        <v>7</v>
      </c>
      <c r="R10">
        <v>7</v>
      </c>
      <c r="S10">
        <v>10</v>
      </c>
      <c r="T10">
        <v>15</v>
      </c>
      <c r="U10">
        <v>11</v>
      </c>
    </row>
    <row r="11" spans="1:21" x14ac:dyDescent="0.3">
      <c r="A11">
        <v>2</v>
      </c>
      <c r="B11" s="421">
        <v>0.05</v>
      </c>
      <c r="C11" s="419">
        <v>1</v>
      </c>
      <c r="D11">
        <v>2</v>
      </c>
      <c r="E11">
        <v>3</v>
      </c>
      <c r="F11">
        <v>3</v>
      </c>
      <c r="G11">
        <v>3</v>
      </c>
      <c r="H11">
        <v>3</v>
      </c>
      <c r="I11">
        <v>3</v>
      </c>
      <c r="J11">
        <v>3</v>
      </c>
      <c r="K11">
        <v>3</v>
      </c>
      <c r="M11">
        <v>2</v>
      </c>
      <c r="N11" s="488">
        <v>3</v>
      </c>
      <c r="O11" s="488">
        <v>5</v>
      </c>
      <c r="P11" s="488">
        <v>3</v>
      </c>
      <c r="Q11" s="488">
        <v>4</v>
      </c>
      <c r="R11" s="488">
        <v>4</v>
      </c>
      <c r="S11" s="488">
        <v>6</v>
      </c>
      <c r="T11" s="488">
        <v>8</v>
      </c>
      <c r="U11" s="488">
        <v>7</v>
      </c>
    </row>
    <row r="12" spans="1:21" x14ac:dyDescent="0.3">
      <c r="A12">
        <v>3</v>
      </c>
      <c r="B12" s="421">
        <v>0.1</v>
      </c>
      <c r="C12" s="419">
        <v>1</v>
      </c>
      <c r="D12">
        <v>3</v>
      </c>
      <c r="E12">
        <v>6</v>
      </c>
      <c r="F12">
        <v>5</v>
      </c>
      <c r="G12">
        <v>6</v>
      </c>
      <c r="H12">
        <v>6</v>
      </c>
      <c r="I12">
        <v>6</v>
      </c>
      <c r="J12">
        <v>5</v>
      </c>
      <c r="K12">
        <v>7</v>
      </c>
      <c r="M12">
        <v>3</v>
      </c>
      <c r="N12" s="488">
        <v>2</v>
      </c>
      <c r="O12" s="488">
        <v>4</v>
      </c>
      <c r="P12" s="488"/>
      <c r="Q12" s="488"/>
      <c r="R12" s="488"/>
      <c r="S12" s="488"/>
      <c r="T12" s="488"/>
      <c r="U12" s="488"/>
    </row>
    <row r="13" spans="1:21" x14ac:dyDescent="0.3">
      <c r="A13">
        <v>4</v>
      </c>
      <c r="B13" s="421">
        <v>0.15</v>
      </c>
      <c r="C13" s="419">
        <v>2</v>
      </c>
      <c r="D13">
        <v>5</v>
      </c>
      <c r="E13">
        <v>9</v>
      </c>
      <c r="F13">
        <v>8</v>
      </c>
      <c r="G13">
        <v>9</v>
      </c>
      <c r="H13">
        <v>9</v>
      </c>
      <c r="I13">
        <v>9</v>
      </c>
      <c r="J13">
        <v>8</v>
      </c>
      <c r="K13">
        <v>10</v>
      </c>
      <c r="M13">
        <v>4</v>
      </c>
      <c r="N13" s="488">
        <v>1</v>
      </c>
      <c r="O13" s="488">
        <v>2</v>
      </c>
      <c r="P13" s="488"/>
      <c r="Q13" s="488"/>
      <c r="R13" s="488"/>
      <c r="S13" s="488"/>
      <c r="T13" s="488"/>
      <c r="U13" s="488"/>
    </row>
    <row r="14" spans="1:21" x14ac:dyDescent="0.3">
      <c r="A14">
        <v>5</v>
      </c>
      <c r="B14" s="421">
        <v>0.2</v>
      </c>
      <c r="C14" s="419">
        <v>3</v>
      </c>
      <c r="D14">
        <v>6</v>
      </c>
      <c r="E14">
        <v>12</v>
      </c>
      <c r="F14">
        <v>10</v>
      </c>
      <c r="G14">
        <v>12</v>
      </c>
      <c r="H14">
        <v>12</v>
      </c>
      <c r="I14">
        <v>12</v>
      </c>
      <c r="J14">
        <v>11</v>
      </c>
      <c r="K14">
        <v>13</v>
      </c>
    </row>
    <row r="15" spans="1:21" x14ac:dyDescent="0.3">
      <c r="A15">
        <v>6</v>
      </c>
      <c r="B15" s="421">
        <v>0.25</v>
      </c>
      <c r="C15" s="419">
        <v>4</v>
      </c>
      <c r="D15">
        <v>8</v>
      </c>
      <c r="E15">
        <v>15</v>
      </c>
      <c r="F15">
        <v>13</v>
      </c>
      <c r="G15">
        <v>16</v>
      </c>
      <c r="H15">
        <v>14</v>
      </c>
      <c r="I15">
        <v>15</v>
      </c>
      <c r="J15">
        <v>14</v>
      </c>
      <c r="K15">
        <v>17</v>
      </c>
    </row>
    <row r="16" spans="1:21" x14ac:dyDescent="0.3">
      <c r="A16">
        <v>7</v>
      </c>
      <c r="B16" s="421">
        <v>0.3</v>
      </c>
      <c r="C16" s="419">
        <v>5</v>
      </c>
      <c r="D16">
        <v>10</v>
      </c>
      <c r="E16">
        <v>18</v>
      </c>
      <c r="F16">
        <v>16</v>
      </c>
      <c r="G16">
        <v>19</v>
      </c>
      <c r="H16">
        <v>17</v>
      </c>
      <c r="I16">
        <v>18</v>
      </c>
      <c r="J16">
        <v>16</v>
      </c>
      <c r="K16">
        <v>20</v>
      </c>
    </row>
    <row r="17" spans="1:21" x14ac:dyDescent="0.3">
      <c r="A17">
        <v>8</v>
      </c>
      <c r="B17" s="421">
        <v>0.35</v>
      </c>
      <c r="C17" s="419">
        <v>5</v>
      </c>
      <c r="D17">
        <v>11</v>
      </c>
      <c r="E17">
        <v>21</v>
      </c>
      <c r="F17">
        <v>18</v>
      </c>
      <c r="G17">
        <v>22</v>
      </c>
      <c r="H17">
        <v>20</v>
      </c>
      <c r="I17">
        <v>21</v>
      </c>
      <c r="J17">
        <v>19</v>
      </c>
      <c r="K17">
        <v>23</v>
      </c>
    </row>
    <row r="19" spans="1:21" x14ac:dyDescent="0.3">
      <c r="B19" t="s">
        <v>3767</v>
      </c>
      <c r="C19" s="419">
        <f>IF(C6="Tropical",INDEX(C10:C17,MATCH(C7,B10:B17,1)),INDEX(D10:K17,MATCH(C7,B10:B17,1),MATCH(C5,D9:K9,1)))</f>
        <v>0</v>
      </c>
      <c r="M19" t="s">
        <v>3767</v>
      </c>
      <c r="N19">
        <f>IF(N6=0,0,IFERROR(INDEX($N$10:$U$13,N7,$N$5),0))</f>
        <v>0</v>
      </c>
      <c r="O19" s="1093">
        <f>IF(O6=0,0,IFERROR(INDEX($N$10:$U$13,O7,$N$5),0))</f>
        <v>0</v>
      </c>
    </row>
    <row r="22" spans="1:21" x14ac:dyDescent="0.3">
      <c r="B22" s="423" t="s">
        <v>3768</v>
      </c>
    </row>
    <row r="24" spans="1:21" x14ac:dyDescent="0.3">
      <c r="A24" s="419"/>
      <c r="B24" s="419" t="s">
        <v>3764</v>
      </c>
      <c r="C24" s="422" t="str">
        <f>'Overview (Verification)'!W13</f>
        <v>!!</v>
      </c>
      <c r="D24" s="419"/>
      <c r="E24" s="419"/>
      <c r="F24" s="419"/>
      <c r="G24" s="419"/>
      <c r="H24" s="419"/>
      <c r="I24" s="419"/>
      <c r="J24" s="419"/>
      <c r="K24" s="419"/>
      <c r="M24" s="488" t="s">
        <v>3764</v>
      </c>
      <c r="N24" s="488" t="str">
        <f>'Overview (Verification)'!W13</f>
        <v>!!</v>
      </c>
      <c r="P24" s="488"/>
      <c r="Q24" s="488"/>
      <c r="R24" s="488"/>
      <c r="S24" s="488"/>
      <c r="T24" s="488"/>
      <c r="U24" s="488"/>
    </row>
    <row r="25" spans="1:21" x14ac:dyDescent="0.3">
      <c r="A25" s="419"/>
      <c r="B25" s="419" t="s">
        <v>3765</v>
      </c>
      <c r="C25" s="422" t="str">
        <f>'Overview (Verification)'!Z13</f>
        <v>!!</v>
      </c>
      <c r="D25" s="419"/>
      <c r="E25" s="419"/>
      <c r="F25" s="419"/>
      <c r="G25" s="419"/>
      <c r="H25" s="419"/>
      <c r="I25" s="419"/>
      <c r="J25" s="419"/>
      <c r="K25" s="419"/>
      <c r="M25" s="488" t="s">
        <v>4030</v>
      </c>
      <c r="N25" s="1094">
        <f>'Verification Report'!W835</f>
        <v>0</v>
      </c>
      <c r="O25" s="1094">
        <f>'Verification Report'!W838</f>
        <v>0</v>
      </c>
      <c r="P25" s="488"/>
      <c r="Q25" s="488"/>
      <c r="R25" s="488"/>
      <c r="S25" s="488"/>
      <c r="T25" s="488"/>
      <c r="U25" s="488"/>
    </row>
    <row r="26" spans="1:21" x14ac:dyDescent="0.3">
      <c r="A26" s="419"/>
      <c r="B26" s="419" t="s">
        <v>3766</v>
      </c>
      <c r="C26" s="422">
        <f>'Verification Report'!W941</f>
        <v>0</v>
      </c>
      <c r="D26" s="421"/>
      <c r="E26" s="419"/>
      <c r="F26" s="419"/>
      <c r="G26" s="419"/>
      <c r="H26" s="419"/>
      <c r="I26" s="419"/>
      <c r="J26" s="419"/>
      <c r="K26" s="419"/>
      <c r="M26" s="488" t="s">
        <v>4031</v>
      </c>
      <c r="N26" s="488">
        <f>IF(N25&lt;=1,1,IF(N25&lt;=2,2,IF(N25&lt;=3,3,IF(N25&lt;=4,4,0))))</f>
        <v>1</v>
      </c>
      <c r="O26" s="1083">
        <f>IF(O25&lt;=0.06,1,IF(O25&lt;=0.12,2,IF(O25&lt;=0.19,3,IF(O25&lt;=0.25,4,0))))</f>
        <v>1</v>
      </c>
      <c r="P26" s="488"/>
      <c r="Q26" s="488"/>
      <c r="R26" s="488"/>
      <c r="S26" s="488"/>
      <c r="T26" s="488"/>
      <c r="U26" s="488"/>
    </row>
    <row r="27" spans="1:21" x14ac:dyDescent="0.3">
      <c r="A27" s="419"/>
      <c r="B27" s="419"/>
      <c r="D27" s="419"/>
      <c r="E27" s="419"/>
      <c r="F27" s="419"/>
      <c r="G27" s="419"/>
      <c r="H27" s="419"/>
      <c r="I27" s="419"/>
      <c r="J27" s="419"/>
      <c r="K27" s="419"/>
      <c r="M27" s="488"/>
      <c r="O27" s="488"/>
      <c r="P27" s="488"/>
      <c r="Q27" s="488"/>
      <c r="R27" s="488"/>
      <c r="S27" s="488"/>
      <c r="T27" s="488"/>
      <c r="U27" s="488"/>
    </row>
    <row r="28" spans="1:21" x14ac:dyDescent="0.3">
      <c r="A28" s="419"/>
      <c r="B28" s="419"/>
      <c r="C28" s="419" t="s">
        <v>3763</v>
      </c>
      <c r="D28" s="419">
        <v>1</v>
      </c>
      <c r="E28" s="419">
        <v>2</v>
      </c>
      <c r="F28" s="419">
        <v>3</v>
      </c>
      <c r="G28" s="419">
        <v>4</v>
      </c>
      <c r="H28" s="419">
        <v>5</v>
      </c>
      <c r="I28" s="419">
        <v>6</v>
      </c>
      <c r="J28" s="419">
        <v>7</v>
      </c>
      <c r="K28" s="419">
        <v>8</v>
      </c>
      <c r="M28" s="488"/>
      <c r="N28" s="488">
        <v>1</v>
      </c>
      <c r="O28" s="488">
        <v>2</v>
      </c>
      <c r="P28" s="488">
        <v>3</v>
      </c>
      <c r="Q28" s="488">
        <v>4</v>
      </c>
      <c r="R28" s="488">
        <v>5</v>
      </c>
      <c r="S28" s="488">
        <v>6</v>
      </c>
      <c r="T28" s="488">
        <v>7</v>
      </c>
      <c r="U28" s="488">
        <v>8</v>
      </c>
    </row>
    <row r="29" spans="1:21" x14ac:dyDescent="0.3">
      <c r="A29" s="419">
        <v>1</v>
      </c>
      <c r="B29" s="421">
        <v>0</v>
      </c>
      <c r="C29" s="419">
        <v>0</v>
      </c>
      <c r="D29" s="419">
        <v>0</v>
      </c>
      <c r="E29" s="419">
        <v>0</v>
      </c>
      <c r="F29" s="419">
        <v>0</v>
      </c>
      <c r="G29" s="419">
        <v>0</v>
      </c>
      <c r="H29" s="419">
        <v>0</v>
      </c>
      <c r="I29" s="419">
        <v>0</v>
      </c>
      <c r="J29" s="419">
        <v>0</v>
      </c>
      <c r="K29" s="419">
        <v>0</v>
      </c>
      <c r="M29" s="488">
        <v>1</v>
      </c>
      <c r="N29" s="488">
        <v>4</v>
      </c>
      <c r="O29" s="488">
        <v>7</v>
      </c>
      <c r="P29" s="488">
        <v>5</v>
      </c>
      <c r="Q29" s="488">
        <v>7</v>
      </c>
      <c r="R29" s="488">
        <v>7</v>
      </c>
      <c r="S29" s="488">
        <v>10</v>
      </c>
      <c r="T29" s="488">
        <v>15</v>
      </c>
      <c r="U29" s="488">
        <v>11</v>
      </c>
    </row>
    <row r="30" spans="1:21" x14ac:dyDescent="0.3">
      <c r="A30" s="419">
        <v>2</v>
      </c>
      <c r="B30" s="421">
        <v>0.05</v>
      </c>
      <c r="C30" s="419">
        <v>1</v>
      </c>
      <c r="D30" s="419">
        <v>2</v>
      </c>
      <c r="E30" s="419">
        <v>3</v>
      </c>
      <c r="F30" s="419">
        <v>3</v>
      </c>
      <c r="G30" s="419">
        <v>3</v>
      </c>
      <c r="H30" s="419">
        <v>3</v>
      </c>
      <c r="I30" s="419">
        <v>3</v>
      </c>
      <c r="J30" s="419">
        <v>3</v>
      </c>
      <c r="K30" s="419">
        <v>3</v>
      </c>
      <c r="M30" s="488">
        <v>2</v>
      </c>
      <c r="N30" s="488">
        <v>3</v>
      </c>
      <c r="O30" s="488">
        <v>5</v>
      </c>
      <c r="P30" s="488">
        <v>3</v>
      </c>
      <c r="Q30" s="488">
        <v>4</v>
      </c>
      <c r="R30" s="488">
        <v>4</v>
      </c>
      <c r="S30" s="488">
        <v>6</v>
      </c>
      <c r="T30" s="488">
        <v>8</v>
      </c>
      <c r="U30" s="488">
        <v>7</v>
      </c>
    </row>
    <row r="31" spans="1:21" x14ac:dyDescent="0.3">
      <c r="A31" s="419">
        <v>3</v>
      </c>
      <c r="B31" s="421">
        <v>0.1</v>
      </c>
      <c r="C31" s="419">
        <v>1</v>
      </c>
      <c r="D31" s="419">
        <v>3</v>
      </c>
      <c r="E31" s="419">
        <v>6</v>
      </c>
      <c r="F31" s="419">
        <v>5</v>
      </c>
      <c r="G31" s="419">
        <v>6</v>
      </c>
      <c r="H31" s="419">
        <v>6</v>
      </c>
      <c r="I31" s="419">
        <v>6</v>
      </c>
      <c r="J31" s="419">
        <v>5</v>
      </c>
      <c r="K31" s="419">
        <v>7</v>
      </c>
      <c r="M31" s="488">
        <v>3</v>
      </c>
      <c r="N31" s="488">
        <v>2</v>
      </c>
      <c r="O31" s="488">
        <v>4</v>
      </c>
      <c r="P31" s="488"/>
      <c r="Q31" s="488"/>
      <c r="R31" s="488"/>
      <c r="S31" s="488"/>
      <c r="T31" s="488"/>
      <c r="U31" s="488"/>
    </row>
    <row r="32" spans="1:21" x14ac:dyDescent="0.3">
      <c r="A32" s="419">
        <v>4</v>
      </c>
      <c r="B32" s="421">
        <v>0.15</v>
      </c>
      <c r="C32" s="419">
        <v>2</v>
      </c>
      <c r="D32" s="419">
        <v>5</v>
      </c>
      <c r="E32" s="419">
        <v>9</v>
      </c>
      <c r="F32" s="419">
        <v>8</v>
      </c>
      <c r="G32" s="419">
        <v>9</v>
      </c>
      <c r="H32" s="419">
        <v>9</v>
      </c>
      <c r="I32" s="419">
        <v>9</v>
      </c>
      <c r="J32" s="419">
        <v>8</v>
      </c>
      <c r="K32" s="419">
        <v>10</v>
      </c>
      <c r="M32" s="488">
        <v>4</v>
      </c>
      <c r="N32" s="488">
        <v>1</v>
      </c>
      <c r="O32" s="488">
        <v>2</v>
      </c>
      <c r="P32" s="488"/>
      <c r="Q32" s="488"/>
      <c r="R32" s="488"/>
      <c r="S32" s="488"/>
      <c r="T32" s="488"/>
      <c r="U32" s="488"/>
    </row>
    <row r="33" spans="1:21" x14ac:dyDescent="0.3">
      <c r="A33" s="419">
        <v>5</v>
      </c>
      <c r="B33" s="421">
        <v>0.2</v>
      </c>
      <c r="C33" s="419">
        <v>3</v>
      </c>
      <c r="D33" s="419">
        <v>6</v>
      </c>
      <c r="E33" s="419">
        <v>12</v>
      </c>
      <c r="F33" s="419">
        <v>10</v>
      </c>
      <c r="G33" s="419">
        <v>12</v>
      </c>
      <c r="H33" s="419">
        <v>12</v>
      </c>
      <c r="I33" s="419">
        <v>12</v>
      </c>
      <c r="J33" s="419">
        <v>11</v>
      </c>
      <c r="K33" s="419">
        <v>13</v>
      </c>
      <c r="M33" s="488"/>
      <c r="N33" s="488"/>
      <c r="O33" s="488"/>
      <c r="P33" s="488"/>
      <c r="Q33" s="488"/>
      <c r="R33" s="488"/>
      <c r="S33" s="488"/>
      <c r="T33" s="488"/>
      <c r="U33" s="488"/>
    </row>
    <row r="34" spans="1:21" x14ac:dyDescent="0.3">
      <c r="A34" s="419">
        <v>6</v>
      </c>
      <c r="B34" s="421">
        <v>0.25</v>
      </c>
      <c r="C34" s="419">
        <v>4</v>
      </c>
      <c r="D34" s="419">
        <v>8</v>
      </c>
      <c r="E34" s="419">
        <v>15</v>
      </c>
      <c r="F34" s="419">
        <v>13</v>
      </c>
      <c r="G34" s="419">
        <v>16</v>
      </c>
      <c r="H34" s="419">
        <v>14</v>
      </c>
      <c r="I34" s="419">
        <v>15</v>
      </c>
      <c r="J34" s="419">
        <v>14</v>
      </c>
      <c r="K34" s="419">
        <v>17</v>
      </c>
      <c r="M34" s="488"/>
      <c r="N34" s="488"/>
      <c r="O34" s="488"/>
      <c r="P34" s="488"/>
      <c r="Q34" s="488"/>
      <c r="R34" s="488"/>
      <c r="S34" s="488"/>
      <c r="T34" s="488"/>
      <c r="U34" s="488"/>
    </row>
    <row r="35" spans="1:21" x14ac:dyDescent="0.3">
      <c r="A35" s="419">
        <v>7</v>
      </c>
      <c r="B35" s="421">
        <v>0.3</v>
      </c>
      <c r="C35" s="419">
        <v>5</v>
      </c>
      <c r="D35" s="419">
        <v>10</v>
      </c>
      <c r="E35" s="419">
        <v>18</v>
      </c>
      <c r="F35" s="419">
        <v>16</v>
      </c>
      <c r="G35" s="419">
        <v>19</v>
      </c>
      <c r="H35" s="419">
        <v>17</v>
      </c>
      <c r="I35" s="419">
        <v>18</v>
      </c>
      <c r="J35" s="419">
        <v>16</v>
      </c>
      <c r="K35" s="419">
        <v>20</v>
      </c>
      <c r="M35" s="488"/>
      <c r="N35" s="488"/>
      <c r="O35" s="488"/>
      <c r="P35" s="488"/>
      <c r="Q35" s="488"/>
      <c r="R35" s="488"/>
      <c r="S35" s="488"/>
      <c r="T35" s="488"/>
      <c r="U35" s="488"/>
    </row>
    <row r="36" spans="1:21" x14ac:dyDescent="0.3">
      <c r="A36" s="419">
        <v>8</v>
      </c>
      <c r="B36" s="421">
        <v>0.35</v>
      </c>
      <c r="C36" s="419">
        <v>5</v>
      </c>
      <c r="D36" s="419">
        <v>11</v>
      </c>
      <c r="E36" s="419">
        <v>21</v>
      </c>
      <c r="F36" s="419">
        <v>18</v>
      </c>
      <c r="G36" s="419">
        <v>22</v>
      </c>
      <c r="H36" s="419">
        <v>20</v>
      </c>
      <c r="I36" s="419">
        <v>21</v>
      </c>
      <c r="J36" s="419">
        <v>19</v>
      </c>
      <c r="K36" s="419">
        <v>23</v>
      </c>
      <c r="M36" s="488"/>
      <c r="N36" s="488"/>
      <c r="O36" s="488"/>
      <c r="P36" s="488"/>
      <c r="Q36" s="488"/>
      <c r="R36" s="488"/>
      <c r="S36" s="488"/>
      <c r="T36" s="488"/>
      <c r="U36" s="488"/>
    </row>
    <row r="37" spans="1:21" x14ac:dyDescent="0.3">
      <c r="A37" s="419"/>
      <c r="B37" s="419"/>
      <c r="D37" s="419"/>
      <c r="E37" s="419"/>
      <c r="F37" s="419"/>
      <c r="G37" s="419"/>
      <c r="H37" s="419"/>
      <c r="I37" s="419"/>
      <c r="J37" s="419"/>
      <c r="K37" s="419"/>
      <c r="M37" s="488"/>
      <c r="N37" s="488"/>
      <c r="O37" s="488"/>
      <c r="P37" s="488"/>
      <c r="Q37" s="488"/>
      <c r="R37" s="488"/>
      <c r="S37" s="488"/>
      <c r="T37" s="488"/>
      <c r="U37" s="488"/>
    </row>
    <row r="38" spans="1:21" x14ac:dyDescent="0.3">
      <c r="A38" s="419"/>
      <c r="B38" s="419" t="s">
        <v>3767</v>
      </c>
      <c r="C38" s="419" t="e">
        <f>IF(C25="Tropical",INDEX(C29:C36,MATCH(C26,B29:B36,1)),INDEX(D29:K36,MATCH(C26,B29:B36,1),MATCH(C24,D28:K28,1)))</f>
        <v>#N/A</v>
      </c>
      <c r="D38" s="419"/>
      <c r="E38" s="419"/>
      <c r="F38" s="419"/>
      <c r="G38" s="419"/>
      <c r="H38" s="419"/>
      <c r="I38" s="419"/>
      <c r="J38" s="419"/>
      <c r="K38" s="419"/>
      <c r="M38" s="488" t="s">
        <v>3767</v>
      </c>
      <c r="N38" s="1093">
        <f>IF(N25=0,0,IFERROR(INDEX($N$29:$U$32,N26,$N$24),0))</f>
        <v>0</v>
      </c>
      <c r="O38" s="1093">
        <f>IF(O25=0,0,IFERROR(INDEX($N$29:$U$32,O26,$N$24),0))</f>
        <v>0</v>
      </c>
      <c r="P38" s="488"/>
      <c r="Q38" s="488"/>
      <c r="R38" s="488"/>
      <c r="S38" s="488"/>
      <c r="T38" s="488"/>
      <c r="U38" s="488"/>
    </row>
  </sheetData>
  <sheetProtection algorithmName="SHA-512" hashValue="raR9g05PAHi9iLRv++b9zXu0FQimpr3AGMJ5aKBbwUbV2N9ad7bRi7CHgoNt8PoAxrK8QoGSDveJRX4Yl4Uc9A==" saltValue="iYycGK69lTs5RuFKDs2WQQ==" spinCount="100000" sheet="1" objects="1" scenarios="1" selectLockedCells="1" selectUnlockedCells="1"/>
  <pageMargins left="0.7" right="0.7" top="0.75" bottom="0.75" header="0.3" footer="0.3"/>
  <pageSetup paperSize="185"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pageSetUpPr fitToPage="1"/>
  </sheetPr>
  <dimension ref="A1:Z62"/>
  <sheetViews>
    <sheetView showGridLines="0" topLeftCell="C1" zoomScaleNormal="100" workbookViewId="0">
      <pane ySplit="6" topLeftCell="A7" activePane="bottomLeft" state="frozen"/>
      <selection pane="bottomLeft" activeCell="I8" sqref="I8"/>
    </sheetView>
  </sheetViews>
  <sheetFormatPr defaultColWidth="9.109375" defaultRowHeight="14.4" x14ac:dyDescent="0.3"/>
  <cols>
    <col min="1" max="4" width="9.109375" style="43"/>
    <col min="5" max="13" width="9.109375" style="47" customWidth="1"/>
    <col min="14" max="14" width="16.88671875" style="43" hidden="1" customWidth="1"/>
    <col min="15" max="15" width="17.44140625" style="43" hidden="1" customWidth="1"/>
    <col min="16" max="16384" width="9.109375" style="43"/>
  </cols>
  <sheetData>
    <row r="1" spans="1:26" x14ac:dyDescent="0.3">
      <c r="A1" s="1472"/>
      <c r="B1" s="1472"/>
      <c r="C1" s="1472"/>
      <c r="D1" s="1486" t="s">
        <v>4722</v>
      </c>
      <c r="E1" s="1472"/>
      <c r="F1" s="1472"/>
      <c r="G1" s="1472"/>
      <c r="H1" s="1472"/>
      <c r="I1" s="1472"/>
      <c r="J1" s="1472"/>
      <c r="K1" s="1472"/>
      <c r="L1" s="1472"/>
      <c r="M1" s="1472"/>
      <c r="N1" s="1472"/>
      <c r="O1" s="1472"/>
      <c r="P1" s="1472"/>
      <c r="Q1" s="1472"/>
      <c r="R1" s="1472"/>
      <c r="S1" s="1472"/>
      <c r="T1" s="1472"/>
      <c r="U1" s="1472"/>
      <c r="V1" s="1472"/>
      <c r="W1" s="1472"/>
      <c r="X1" s="1472"/>
      <c r="Y1" s="1487"/>
    </row>
    <row r="2" spans="1:26" x14ac:dyDescent="0.3">
      <c r="A2" s="1473"/>
      <c r="B2" s="1473"/>
      <c r="C2" s="1473"/>
      <c r="D2" s="1488"/>
      <c r="E2" s="1473"/>
      <c r="F2" s="1473"/>
      <c r="G2" s="1473"/>
      <c r="H2" s="1473"/>
      <c r="I2" s="1473"/>
      <c r="J2" s="1473"/>
      <c r="K2" s="1473"/>
      <c r="L2" s="1473"/>
      <c r="M2" s="1473"/>
      <c r="N2" s="1473"/>
      <c r="O2" s="1473"/>
      <c r="P2" s="1473"/>
      <c r="Q2" s="1473"/>
      <c r="R2" s="1473"/>
      <c r="S2" s="1473"/>
      <c r="T2" s="1473"/>
      <c r="U2" s="1473"/>
      <c r="V2" s="1473"/>
      <c r="W2" s="1473"/>
      <c r="X2" s="1473"/>
      <c r="Y2" s="1489"/>
    </row>
    <row r="3" spans="1:26" ht="15" customHeight="1" x14ac:dyDescent="0.3">
      <c r="A3" s="1473"/>
      <c r="B3" s="1473"/>
      <c r="C3" s="1473"/>
      <c r="D3" s="1490"/>
      <c r="E3" s="1491"/>
      <c r="F3" s="1491"/>
      <c r="G3" s="1491"/>
      <c r="H3" s="1491"/>
      <c r="I3" s="1491"/>
      <c r="J3" s="1491"/>
      <c r="K3" s="1491"/>
      <c r="L3" s="1491"/>
      <c r="M3" s="1491"/>
      <c r="N3" s="1491"/>
      <c r="O3" s="1491"/>
      <c r="P3" s="1491"/>
      <c r="Q3" s="1491"/>
      <c r="R3" s="1491"/>
      <c r="S3" s="1491"/>
      <c r="T3" s="1491"/>
      <c r="U3" s="1491"/>
      <c r="V3" s="1491"/>
      <c r="W3" s="1491"/>
      <c r="X3" s="1491"/>
      <c r="Y3" s="1492"/>
    </row>
    <row r="4" spans="1:26" s="58" customFormat="1" x14ac:dyDescent="0.3">
      <c r="A4" s="1473"/>
      <c r="B4" s="1473"/>
      <c r="C4" s="1473"/>
      <c r="D4" s="1474" t="s">
        <v>380</v>
      </c>
      <c r="E4" s="1475"/>
      <c r="F4" s="1475"/>
      <c r="G4" s="1475"/>
      <c r="H4" s="1475"/>
      <c r="I4" s="1475"/>
      <c r="J4" s="1475"/>
      <c r="K4" s="1475"/>
      <c r="L4" s="1475"/>
      <c r="M4" s="1476"/>
      <c r="P4" s="1480" t="s">
        <v>4654</v>
      </c>
      <c r="Q4" s="1481"/>
      <c r="R4" s="1481"/>
      <c r="S4" s="1481"/>
      <c r="T4" s="1481"/>
      <c r="U4" s="1481"/>
      <c r="V4" s="1481"/>
      <c r="W4" s="1481"/>
      <c r="X4" s="1481"/>
      <c r="Y4" s="1482"/>
    </row>
    <row r="5" spans="1:26" s="58" customFormat="1" x14ac:dyDescent="0.3">
      <c r="A5" s="1473"/>
      <c r="B5" s="1473"/>
      <c r="C5" s="1473"/>
      <c r="D5" s="1477"/>
      <c r="E5" s="1478"/>
      <c r="F5" s="1478"/>
      <c r="G5" s="1478"/>
      <c r="H5" s="1478"/>
      <c r="I5" s="1478"/>
      <c r="J5" s="1478"/>
      <c r="K5" s="1478"/>
      <c r="L5" s="1478"/>
      <c r="M5" s="1479"/>
      <c r="P5" s="1483"/>
      <c r="Q5" s="1484"/>
      <c r="R5" s="1484"/>
      <c r="S5" s="1484"/>
      <c r="T5" s="1484"/>
      <c r="U5" s="1484"/>
      <c r="V5" s="1484"/>
      <c r="W5" s="1484"/>
      <c r="X5" s="1484"/>
      <c r="Y5" s="1485"/>
    </row>
    <row r="6" spans="1:26" ht="18" x14ac:dyDescent="0.35">
      <c r="A6" s="15" t="s">
        <v>4367</v>
      </c>
      <c r="B6" s="15"/>
      <c r="C6" s="15"/>
      <c r="D6" s="15"/>
      <c r="E6" s="1511" t="s">
        <v>377</v>
      </c>
      <c r="F6" s="1512"/>
      <c r="G6" s="1512"/>
      <c r="H6" s="1513"/>
      <c r="I6" s="55" t="s">
        <v>379</v>
      </c>
      <c r="J6" s="1511" t="s">
        <v>378</v>
      </c>
      <c r="K6" s="1512"/>
      <c r="L6" s="1512"/>
      <c r="M6" s="1513"/>
      <c r="N6" s="43" t="s">
        <v>260</v>
      </c>
      <c r="O6" s="43" t="s">
        <v>260</v>
      </c>
      <c r="P6" s="15" t="s">
        <v>335</v>
      </c>
      <c r="Q6" s="15"/>
      <c r="R6" s="15"/>
      <c r="S6" s="15"/>
      <c r="T6" s="15"/>
      <c r="U6" s="15"/>
      <c r="V6" s="15"/>
      <c r="W6" s="15"/>
      <c r="X6" s="15"/>
      <c r="Y6" s="15"/>
    </row>
    <row r="7" spans="1:26" x14ac:dyDescent="0.3">
      <c r="N7" s="43" t="s">
        <v>246</v>
      </c>
      <c r="O7" s="43" t="s">
        <v>247</v>
      </c>
    </row>
    <row r="8" spans="1:26" x14ac:dyDescent="0.3">
      <c r="A8" s="1247" t="s">
        <v>124</v>
      </c>
      <c r="B8" s="1247"/>
      <c r="C8" s="1247"/>
      <c r="D8" s="1247"/>
      <c r="E8" s="1493" t="str">
        <f>IF(LEN('Overview (Design)'!G8)=0,"",'Overview (Design)'!G8)</f>
        <v>ZERH Builder</v>
      </c>
      <c r="F8" s="1494"/>
      <c r="G8" s="1494"/>
      <c r="H8" s="1495"/>
      <c r="I8" s="54"/>
      <c r="J8" s="1246"/>
      <c r="K8" s="1246"/>
      <c r="L8" s="1246"/>
      <c r="M8" s="1246"/>
      <c r="N8" s="41"/>
      <c r="O8" s="41" t="s">
        <v>345</v>
      </c>
      <c r="P8" s="1470" t="str">
        <f t="shared" ref="P8:P14" si="0">IF(LEN(IF(I8,E8,J8))=0,"",IF(I8,E8,J8))</f>
        <v/>
      </c>
      <c r="Q8" s="1470"/>
      <c r="R8" s="1470"/>
      <c r="S8" s="1470"/>
      <c r="T8" s="48"/>
      <c r="U8" s="1283" t="s">
        <v>3866</v>
      </c>
      <c r="V8" s="1284"/>
      <c r="W8" s="781"/>
      <c r="X8" s="423"/>
      <c r="Y8" s="423"/>
    </row>
    <row r="9" spans="1:26" x14ac:dyDescent="0.3">
      <c r="A9" s="1247" t="s">
        <v>125</v>
      </c>
      <c r="B9" s="1247"/>
      <c r="C9" s="1247"/>
      <c r="D9" s="1247"/>
      <c r="E9" s="1493" t="str">
        <f>IF(LEN('Overview (Design)'!G9)=0,"",'Overview (Design)'!G9)</f>
        <v>123 Main Sts</v>
      </c>
      <c r="F9" s="1494"/>
      <c r="G9" s="1494"/>
      <c r="H9" s="1495"/>
      <c r="I9" s="54"/>
      <c r="J9" s="1246"/>
      <c r="K9" s="1246"/>
      <c r="L9" s="1246"/>
      <c r="M9" s="1246"/>
      <c r="N9" s="41"/>
      <c r="O9" s="41" t="s">
        <v>346</v>
      </c>
      <c r="P9" s="1470" t="str">
        <f t="shared" si="0"/>
        <v/>
      </c>
      <c r="Q9" s="1470" t="str">
        <f t="shared" ref="Q9:S13" si="1">IF(LEN(IF(J9,F9,K9))=0,"",IF(J9,F9,K9))</f>
        <v/>
      </c>
      <c r="R9" s="1470" t="str">
        <f t="shared" si="1"/>
        <v/>
      </c>
      <c r="S9" s="1470" t="str">
        <f t="shared" si="1"/>
        <v/>
      </c>
      <c r="T9" s="48"/>
      <c r="U9" s="784" t="str">
        <f>W13</f>
        <v>!!</v>
      </c>
      <c r="V9" s="785" t="str">
        <f>X13</f>
        <v>!!</v>
      </c>
      <c r="W9" s="785" t="str">
        <f>Y13</f>
        <v>!!</v>
      </c>
      <c r="X9" s="785"/>
      <c r="Y9" s="786" t="str">
        <f>Z13</f>
        <v>!!</v>
      </c>
    </row>
    <row r="10" spans="1:26" x14ac:dyDescent="0.3">
      <c r="A10" s="1247" t="s">
        <v>130</v>
      </c>
      <c r="B10" s="1247"/>
      <c r="C10" s="1247"/>
      <c r="D10" s="1247"/>
      <c r="E10" s="1493" t="str">
        <f>IF(LEN('Overview (Design)'!G10)=0,"",'Overview (Design)'!G10)</f>
        <v>Lot 123</v>
      </c>
      <c r="F10" s="1494"/>
      <c r="G10" s="1494"/>
      <c r="H10" s="1495"/>
      <c r="I10" s="54"/>
      <c r="J10" s="1246"/>
      <c r="K10" s="1246"/>
      <c r="L10" s="1246"/>
      <c r="M10" s="1246"/>
      <c r="N10" s="41"/>
      <c r="O10" s="41" t="s">
        <v>347</v>
      </c>
      <c r="P10" s="1470" t="str">
        <f t="shared" si="0"/>
        <v/>
      </c>
      <c r="Q10" s="1470" t="str">
        <f t="shared" si="1"/>
        <v/>
      </c>
      <c r="R10" s="1470" t="str">
        <f t="shared" si="1"/>
        <v/>
      </c>
      <c r="S10" s="1470" t="str">
        <f t="shared" si="1"/>
        <v/>
      </c>
      <c r="T10" s="48"/>
      <c r="U10" s="48"/>
      <c r="V10" s="48"/>
      <c r="W10" s="48"/>
    </row>
    <row r="11" spans="1:26" x14ac:dyDescent="0.3">
      <c r="A11" s="1247" t="s">
        <v>126</v>
      </c>
      <c r="B11" s="1247"/>
      <c r="C11" s="1247"/>
      <c r="D11" s="1247"/>
      <c r="E11" s="1493" t="str">
        <f>IF(LEN('Overview (Design)'!G11)=0,"",'Overview (Design)'!G11)</f>
        <v>Durham</v>
      </c>
      <c r="F11" s="1494"/>
      <c r="G11" s="1494"/>
      <c r="H11" s="1495"/>
      <c r="I11" s="54"/>
      <c r="J11" s="1246"/>
      <c r="K11" s="1246"/>
      <c r="L11" s="1246"/>
      <c r="M11" s="1246"/>
      <c r="N11" s="41"/>
      <c r="O11" s="41" t="s">
        <v>348</v>
      </c>
      <c r="P11" s="1470" t="str">
        <f t="shared" si="0"/>
        <v/>
      </c>
      <c r="Q11" s="1470" t="str">
        <f t="shared" si="1"/>
        <v/>
      </c>
      <c r="R11" s="1470" t="str">
        <f t="shared" si="1"/>
        <v/>
      </c>
      <c r="S11" s="1470" t="str">
        <f t="shared" si="1"/>
        <v/>
      </c>
      <c r="T11" s="48"/>
      <c r="U11" s="48"/>
      <c r="V11" s="48"/>
      <c r="W11" s="48"/>
    </row>
    <row r="12" spans="1:26" x14ac:dyDescent="0.3">
      <c r="A12" s="1247" t="s">
        <v>128</v>
      </c>
      <c r="B12" s="1247"/>
      <c r="C12" s="1247"/>
      <c r="D12" s="1247"/>
      <c r="E12" s="1493" t="str">
        <f>IF(LEN('Overview (Design)'!G12)=0,"",'Overview (Design)'!G12)</f>
        <v>North Carolina</v>
      </c>
      <c r="F12" s="1494"/>
      <c r="G12" s="1494"/>
      <c r="H12" s="1495"/>
      <c r="I12" s="54"/>
      <c r="J12" s="1246"/>
      <c r="K12" s="1246"/>
      <c r="L12" s="1246"/>
      <c r="M12" s="1246"/>
      <c r="N12" s="6" t="s">
        <v>180</v>
      </c>
      <c r="O12" s="41" t="s">
        <v>349</v>
      </c>
      <c r="P12" s="1496" t="str">
        <f t="shared" si="0"/>
        <v/>
      </c>
      <c r="Q12" s="1496" t="str">
        <f t="shared" si="1"/>
        <v/>
      </c>
      <c r="R12" s="1496" t="str">
        <f t="shared" si="1"/>
        <v/>
      </c>
      <c r="S12" s="1496" t="str">
        <f t="shared" si="1"/>
        <v/>
      </c>
      <c r="T12" s="1193" t="s">
        <v>2</v>
      </c>
      <c r="U12" s="1193" t="s">
        <v>4</v>
      </c>
      <c r="V12" s="720" t="str">
        <f>Geography!D1</f>
        <v>Radon</v>
      </c>
      <c r="W12" s="1193" t="str">
        <f>Geography!E1</f>
        <v>Climate</v>
      </c>
      <c r="X12" s="1191" t="str">
        <f>Geography!F1</f>
        <v>Moist</v>
      </c>
      <c r="Y12" s="1191" t="str">
        <f>Geography!G1</f>
        <v>WarmHumid</v>
      </c>
      <c r="Z12" s="1191" t="str">
        <f>Geography!H1</f>
        <v>Tropical</v>
      </c>
    </row>
    <row r="13" spans="1:26" x14ac:dyDescent="0.3">
      <c r="A13" s="1247" t="s">
        <v>127</v>
      </c>
      <c r="B13" s="1247"/>
      <c r="C13" s="1247"/>
      <c r="D13" s="1247"/>
      <c r="E13" s="1493" t="str">
        <f>IF(LEN('Overview (Design)'!G13)=0,"",'Overview (Design)'!G13)</f>
        <v xml:space="preserve">Chatham  </v>
      </c>
      <c r="F13" s="1494"/>
      <c r="G13" s="1494"/>
      <c r="H13" s="1495"/>
      <c r="I13" s="54"/>
      <c r="J13" s="1246"/>
      <c r="K13" s="1246"/>
      <c r="L13" s="1246"/>
      <c r="M13" s="1246"/>
      <c r="N13" s="6" t="s">
        <v>181</v>
      </c>
      <c r="O13" s="41" t="s">
        <v>350</v>
      </c>
      <c r="P13" s="1496" t="str">
        <f t="shared" si="0"/>
        <v/>
      </c>
      <c r="Q13" s="1496" t="str">
        <f t="shared" si="1"/>
        <v/>
      </c>
      <c r="R13" s="1496" t="str">
        <f t="shared" si="1"/>
        <v/>
      </c>
      <c r="S13" s="1496" t="str">
        <f t="shared" si="1"/>
        <v/>
      </c>
      <c r="T13" s="1194" t="str">
        <f>P12</f>
        <v/>
      </c>
      <c r="U13" s="1194" t="str">
        <f>P13</f>
        <v/>
      </c>
      <c r="V13" s="720" t="str">
        <f>IFERROR(DGET(dbState,V12,$T$12:$U$13),"!!")</f>
        <v>!!</v>
      </c>
      <c r="W13" s="1193" t="str">
        <f>IFERROR(DGET(dbState,W12,$T$12:$U$13),"!!")</f>
        <v>!!</v>
      </c>
      <c r="X13" s="1191" t="str">
        <f>IFERROR(DGET(dbState,X12,$T$12:$U$13),"!!")</f>
        <v>!!</v>
      </c>
      <c r="Y13" s="1191" t="str">
        <f>IFERROR(DGET(dbState,Y12,$T$12:$U$13),"!!")</f>
        <v>!!</v>
      </c>
      <c r="Z13" s="1191" t="str">
        <f>IFERROR(DGET(dbState,Z12,$T$12:$U$13),"!!")</f>
        <v>!!</v>
      </c>
    </row>
    <row r="14" spans="1:26" x14ac:dyDescent="0.3">
      <c r="A14" s="1247" t="s">
        <v>129</v>
      </c>
      <c r="B14" s="1247"/>
      <c r="C14" s="1247"/>
      <c r="D14" s="1247"/>
      <c r="E14" s="1493" t="str">
        <f>IF(LEN('Overview (Design)'!G14)=0,"",'Overview (Design)'!G14)</f>
        <v>27703</v>
      </c>
      <c r="F14" s="1494"/>
      <c r="G14" s="1494"/>
      <c r="H14" s="1495"/>
      <c r="I14" s="54"/>
      <c r="J14" s="1051"/>
      <c r="K14" s="45"/>
      <c r="L14" s="45"/>
      <c r="M14" s="45"/>
      <c r="N14" s="41"/>
      <c r="O14" s="41" t="s">
        <v>351</v>
      </c>
      <c r="P14" s="49" t="str">
        <f t="shared" si="0"/>
        <v/>
      </c>
      <c r="Q14" s="50"/>
      <c r="R14" s="50"/>
      <c r="S14" s="50"/>
      <c r="T14" s="48"/>
      <c r="U14" s="48"/>
      <c r="V14" s="48"/>
      <c r="W14" s="48"/>
    </row>
    <row r="15" spans="1:26" x14ac:dyDescent="0.3">
      <c r="A15" s="1247"/>
      <c r="B15" s="1247"/>
      <c r="C15" s="1247"/>
      <c r="D15" s="1247"/>
      <c r="E15" s="45"/>
      <c r="F15" s="45"/>
      <c r="G15" s="45"/>
      <c r="H15" s="45"/>
      <c r="I15" s="46"/>
      <c r="J15" s="45"/>
      <c r="K15" s="45"/>
      <c r="L15" s="45"/>
      <c r="M15" s="45"/>
      <c r="N15" s="41"/>
      <c r="O15" s="41"/>
      <c r="P15" s="50"/>
      <c r="Q15" s="50"/>
      <c r="R15" s="50"/>
      <c r="S15" s="50"/>
      <c r="T15" s="48"/>
      <c r="U15" s="48"/>
      <c r="V15" s="48"/>
      <c r="W15" s="48"/>
    </row>
    <row r="16" spans="1:26" x14ac:dyDescent="0.3">
      <c r="A16" s="1247" t="s">
        <v>382</v>
      </c>
      <c r="B16" s="1247"/>
      <c r="C16" s="1247"/>
      <c r="D16" s="1247"/>
      <c r="E16" s="1493" t="str">
        <f>IF(LEN('Overview (Design)'!G16)=0,"",'Overview (Design)'!G16)</f>
        <v>Single-Family</v>
      </c>
      <c r="F16" s="1494"/>
      <c r="G16" s="1494"/>
      <c r="H16" s="1495"/>
      <c r="I16" s="54"/>
      <c r="J16" s="1500"/>
      <c r="K16" s="1500"/>
      <c r="L16" s="45"/>
      <c r="M16" s="45"/>
      <c r="N16" s="41" t="s">
        <v>182</v>
      </c>
      <c r="O16" s="41" t="s">
        <v>352</v>
      </c>
      <c r="P16" s="1502" t="str">
        <f>IF(LEN(IF(I16,E16,J16))=0,"",IF(I16,E16,J16))</f>
        <v/>
      </c>
      <c r="Q16" s="1503" t="str">
        <f>IF(LEN(IF(J16,F16,K16))=0,"",IF(J16,F16,K16))</f>
        <v/>
      </c>
      <c r="R16" s="50"/>
      <c r="S16" s="50"/>
      <c r="T16" s="48"/>
      <c r="U16" s="48"/>
      <c r="V16" s="48"/>
      <c r="W16" s="48"/>
    </row>
    <row r="17" spans="1:25" x14ac:dyDescent="0.3">
      <c r="A17" s="1497" t="s">
        <v>159</v>
      </c>
      <c r="B17" s="1498"/>
      <c r="C17" s="1498"/>
      <c r="D17" s="1499"/>
      <c r="E17" s="1493" t="str">
        <f>IF(LEN('Overview (Design)'!G17)=0,"",'Overview (Design)'!G17)</f>
        <v/>
      </c>
      <c r="F17" s="1494"/>
      <c r="G17" s="1494"/>
      <c r="H17" s="1495"/>
      <c r="I17" s="54"/>
      <c r="J17" s="1049"/>
      <c r="K17"/>
      <c r="L17" s="45"/>
      <c r="M17" s="45"/>
      <c r="N17" s="41"/>
      <c r="O17" s="41" t="s">
        <v>353</v>
      </c>
      <c r="P17" s="49" t="str">
        <f>IF(LEN(IF(I17,E17,J17))=0,"",IF(I17,E17,J17))</f>
        <v/>
      </c>
      <c r="Q17" s="50"/>
      <c r="R17" s="50"/>
      <c r="S17" s="50"/>
      <c r="T17" s="48"/>
      <c r="U17" s="48"/>
      <c r="V17" s="48"/>
      <c r="W17" s="48"/>
    </row>
    <row r="18" spans="1:25" x14ac:dyDescent="0.3">
      <c r="A18" s="1497" t="s">
        <v>160</v>
      </c>
      <c r="B18" s="1498"/>
      <c r="C18" s="1498"/>
      <c r="D18" s="1499"/>
      <c r="E18" s="1493" t="str">
        <f>IF(LEN('Overview (Design)'!G18)=0,"",'Overview (Design)'!G18)</f>
        <v/>
      </c>
      <c r="F18" s="1494"/>
      <c r="G18" s="1494"/>
      <c r="H18" s="1495"/>
      <c r="I18" s="54"/>
      <c r="J18" s="1246"/>
      <c r="K18" s="1246"/>
      <c r="L18" s="1246"/>
      <c r="M18" s="1246"/>
      <c r="N18" s="41"/>
      <c r="O18" s="41" t="s">
        <v>354</v>
      </c>
      <c r="P18" s="1470" t="str">
        <f>IF(LEN(IF(I18,E18,J18))=0,"",IF(I18,E18,J18))</f>
        <v/>
      </c>
      <c r="Q18" s="1470" t="str">
        <f>IF(LEN(IF(J18,F18,K18))=0,"",IF(J18,F18,K18))</f>
        <v/>
      </c>
      <c r="R18" s="1470" t="str">
        <f>IF(LEN(IF(K18,G18,L18))=0,"",IF(K18,G18,L18))</f>
        <v/>
      </c>
      <c r="S18" s="1470" t="str">
        <f>IF(LEN(IF(L18,H18,M18))=0,"",IF(L18,H18,M18))</f>
        <v/>
      </c>
      <c r="T18" s="48"/>
      <c r="U18" s="48"/>
      <c r="V18" s="48"/>
      <c r="W18" s="48"/>
    </row>
    <row r="19" spans="1:25" x14ac:dyDescent="0.3">
      <c r="A19" s="1260"/>
      <c r="B19" s="1260"/>
      <c r="C19" s="1260"/>
      <c r="D19" s="1260"/>
      <c r="E19" s="45"/>
      <c r="F19" s="45"/>
      <c r="G19" s="45"/>
      <c r="H19" s="45"/>
      <c r="N19" s="41"/>
      <c r="O19" s="41"/>
      <c r="P19" s="48"/>
      <c r="Q19" s="48"/>
      <c r="R19" s="48"/>
      <c r="S19" s="48"/>
      <c r="T19" s="48"/>
      <c r="U19" s="48"/>
      <c r="V19" s="48"/>
      <c r="W19" s="48"/>
    </row>
    <row r="20" spans="1:25" ht="15" customHeight="1" x14ac:dyDescent="0.3">
      <c r="A20" s="1247" t="s">
        <v>131</v>
      </c>
      <c r="B20" s="1247"/>
      <c r="C20" s="1247"/>
      <c r="D20" s="1247"/>
      <c r="E20" s="1493">
        <f>IF(LEN('Overview (Design)'!G20)=0,"",'Overview (Design)'!G20)</f>
        <v>2650</v>
      </c>
      <c r="F20" s="1494"/>
      <c r="G20" s="1494"/>
      <c r="H20" s="1495"/>
      <c r="I20" s="54"/>
      <c r="J20" s="1049"/>
      <c r="K20" s="3" t="s">
        <v>149</v>
      </c>
      <c r="L20" s="46"/>
      <c r="M20" s="46"/>
      <c r="N20" s="41"/>
      <c r="O20" s="41" t="s">
        <v>355</v>
      </c>
      <c r="P20" s="51" t="str">
        <f>IF(LEN(IF(I20,E20,J20))=0,"",IF(I20,E20,J20))</f>
        <v/>
      </c>
      <c r="Q20" s="52" t="s">
        <v>149</v>
      </c>
      <c r="R20" s="1521" t="s">
        <v>383</v>
      </c>
      <c r="S20" s="1521"/>
      <c r="T20" s="1521"/>
      <c r="U20" s="1521"/>
      <c r="V20" s="1521"/>
      <c r="W20" s="1521"/>
      <c r="X20" s="45"/>
      <c r="Y20" s="45"/>
    </row>
    <row r="21" spans="1:25" x14ac:dyDescent="0.3">
      <c r="A21" s="1247" t="s">
        <v>132</v>
      </c>
      <c r="B21" s="1247"/>
      <c r="C21" s="1247"/>
      <c r="D21" s="1247"/>
      <c r="E21" s="1493">
        <f>IF(LEN('Overview (Design)'!G21)=0,"",'Overview (Design)'!G21)</f>
        <v>2650</v>
      </c>
      <c r="F21" s="1494"/>
      <c r="G21" s="1494"/>
      <c r="H21" s="1495"/>
      <c r="I21" s="54"/>
      <c r="J21" s="1049"/>
      <c r="K21" s="3" t="s">
        <v>150</v>
      </c>
      <c r="L21" s="46"/>
      <c r="M21" s="46"/>
      <c r="N21" s="41"/>
      <c r="O21" s="41" t="s">
        <v>356</v>
      </c>
      <c r="P21" s="49" t="str">
        <f>IF(LEN(IF(I21,E21,J21))=0,"",IF(I21,E21,J21))</f>
        <v/>
      </c>
      <c r="Q21" s="52" t="s">
        <v>150</v>
      </c>
      <c r="R21" s="1521"/>
      <c r="S21" s="1521"/>
      <c r="T21" s="1521"/>
      <c r="U21" s="1521"/>
      <c r="V21" s="1521"/>
      <c r="W21" s="1521"/>
    </row>
    <row r="22" spans="1:25" s="536" customFormat="1" x14ac:dyDescent="0.3">
      <c r="A22" s="1247" t="s">
        <v>3747</v>
      </c>
      <c r="B22" s="1247"/>
      <c r="C22" s="1247"/>
      <c r="D22" s="1247"/>
      <c r="E22" s="1493">
        <f>IF(LEN('Overview (Design)'!G22)=0,"",'Overview (Design)'!G22)</f>
        <v>2</v>
      </c>
      <c r="F22" s="1494"/>
      <c r="G22" s="1494"/>
      <c r="H22" s="1495"/>
      <c r="I22" s="54"/>
      <c r="J22" s="1049"/>
      <c r="K22" s="3"/>
      <c r="L22" s="535"/>
      <c r="M22" s="535"/>
      <c r="N22" s="534"/>
      <c r="O22" s="610" t="s">
        <v>4079</v>
      </c>
      <c r="P22" s="566" t="str">
        <f>IF(LEN(IF(I22,E22,J22))=0,"",IF(I22,E22,J22))</f>
        <v/>
      </c>
      <c r="Q22" s="52"/>
      <c r="R22" s="567"/>
      <c r="S22" s="567"/>
      <c r="T22" s="567"/>
      <c r="U22" s="567"/>
      <c r="V22" s="567"/>
      <c r="W22" s="567"/>
    </row>
    <row r="23" spans="1:25" x14ac:dyDescent="0.3">
      <c r="A23" s="1249"/>
      <c r="B23" s="1249"/>
      <c r="C23" s="1249"/>
      <c r="D23" s="1249"/>
      <c r="E23" s="45"/>
      <c r="F23" s="45"/>
      <c r="G23" s="45"/>
      <c r="H23" s="45"/>
      <c r="N23" s="41"/>
      <c r="O23" s="41"/>
      <c r="P23" s="48"/>
      <c r="Q23" s="48"/>
      <c r="R23" s="48"/>
      <c r="S23" s="48"/>
      <c r="T23" s="48"/>
      <c r="U23" s="48"/>
      <c r="V23" s="48"/>
      <c r="W23" s="48"/>
    </row>
    <row r="24" spans="1:25" x14ac:dyDescent="0.3">
      <c r="A24" s="1247" t="s">
        <v>133</v>
      </c>
      <c r="B24" s="1247"/>
      <c r="C24" s="1247"/>
      <c r="D24" s="1247"/>
      <c r="E24" s="1505" t="str">
        <f>IF(LEN('Overview (Design)'!G24)=0,"",'Overview (Design)'!G24)</f>
        <v/>
      </c>
      <c r="F24" s="1506"/>
      <c r="G24" s="1506"/>
      <c r="H24" s="1507"/>
      <c r="I24" s="54"/>
      <c r="J24" s="1514"/>
      <c r="K24" s="1514"/>
      <c r="L24" s="1514"/>
      <c r="M24" s="1514"/>
      <c r="N24" s="41"/>
      <c r="O24" s="41" t="s">
        <v>357</v>
      </c>
      <c r="P24" s="1515" t="str">
        <f t="shared" ref="P24:P47" si="2">IF(LEN(IF(I24,E24,J24))=0,"",IF(I24,E24,J24))</f>
        <v/>
      </c>
      <c r="Q24" s="1516" t="str">
        <f t="shared" ref="Q24:S25" si="3">IF(LEN(IF(J24,F24,K24))=0,"",IF(J24,F24,K24))</f>
        <v/>
      </c>
      <c r="R24" s="1516" t="str">
        <f t="shared" si="3"/>
        <v/>
      </c>
      <c r="S24" s="1517" t="str">
        <f t="shared" si="3"/>
        <v/>
      </c>
      <c r="T24" s="48"/>
      <c r="U24" s="48"/>
      <c r="V24" s="48"/>
      <c r="W24" s="48"/>
      <c r="X24" s="47"/>
      <c r="Y24" s="47"/>
    </row>
    <row r="25" spans="1:25" s="47" customFormat="1" x14ac:dyDescent="0.3">
      <c r="A25" s="781"/>
      <c r="B25" s="781"/>
      <c r="C25" s="781"/>
      <c r="D25" s="781"/>
      <c r="E25" s="1508"/>
      <c r="F25" s="1509"/>
      <c r="G25" s="1509"/>
      <c r="H25" s="1510"/>
      <c r="I25" s="59"/>
      <c r="J25" s="1514"/>
      <c r="K25" s="1514"/>
      <c r="L25" s="1514"/>
      <c r="M25" s="1514"/>
      <c r="N25" s="45"/>
      <c r="O25" s="45"/>
      <c r="P25" s="1518" t="str">
        <f t="shared" si="2"/>
        <v/>
      </c>
      <c r="Q25" s="1519" t="str">
        <f t="shared" si="3"/>
        <v/>
      </c>
      <c r="R25" s="1519" t="str">
        <f t="shared" si="3"/>
        <v/>
      </c>
      <c r="S25" s="1520" t="str">
        <f t="shared" si="3"/>
        <v/>
      </c>
      <c r="T25" s="48"/>
      <c r="U25" s="48"/>
      <c r="V25" s="48"/>
      <c r="W25" s="48"/>
    </row>
    <row r="26" spans="1:25" x14ac:dyDescent="0.3">
      <c r="A26" s="1247" t="s">
        <v>134</v>
      </c>
      <c r="B26" s="1247"/>
      <c r="C26" s="1247"/>
      <c r="D26" s="1471"/>
      <c r="E26" s="1493" t="str">
        <f>IF(LEN('Overview (Design)'!G26)=0,"",'Overview (Design)'!G26)</f>
        <v/>
      </c>
      <c r="F26" s="1494"/>
      <c r="G26" s="1494"/>
      <c r="H26" s="1495"/>
      <c r="I26" s="54"/>
      <c r="J26" s="1049"/>
      <c r="N26" s="41"/>
      <c r="O26" s="41" t="s">
        <v>358</v>
      </c>
      <c r="P26" s="49" t="str">
        <f t="shared" si="2"/>
        <v/>
      </c>
      <c r="Q26" s="48"/>
      <c r="R26" s="48"/>
      <c r="S26" s="48"/>
      <c r="T26" s="48"/>
      <c r="U26" s="48"/>
      <c r="V26" s="48"/>
      <c r="W26" s="48"/>
    </row>
    <row r="27" spans="1:25" x14ac:dyDescent="0.3">
      <c r="A27" s="1247" t="s">
        <v>135</v>
      </c>
      <c r="B27" s="1247"/>
      <c r="C27" s="1247"/>
      <c r="D27" s="1471"/>
      <c r="E27" s="1493" t="str">
        <f>IF(LEN('Overview (Design)'!G27)=0,"",'Overview (Design)'!G27)</f>
        <v>Conditioned crawlspace</v>
      </c>
      <c r="F27" s="1494"/>
      <c r="G27" s="1494"/>
      <c r="H27" s="1495"/>
      <c r="I27" s="54"/>
      <c r="J27" s="1246"/>
      <c r="K27" s="1246"/>
      <c r="L27" s="1246"/>
      <c r="M27" s="1246"/>
      <c r="N27" s="41" t="s">
        <v>183</v>
      </c>
      <c r="O27" s="41" t="s">
        <v>359</v>
      </c>
      <c r="P27" s="1501" t="str">
        <f t="shared" si="2"/>
        <v/>
      </c>
      <c r="Q27" s="1501" t="str">
        <f>IF(LEN(IF(J27,F27,K27))=0,"",IF(J27,F27,K27))</f>
        <v/>
      </c>
      <c r="R27" s="1501" t="str">
        <f>IF(LEN(IF(K27,G27,L27))=0,"",IF(K27,G27,L27))</f>
        <v/>
      </c>
      <c r="S27" s="1501" t="str">
        <f>IF(LEN(IF(L27,H27,M27))=0,"",IF(L27,H27,M27))</f>
        <v/>
      </c>
    </row>
    <row r="28" spans="1:25" s="536" customFormat="1" x14ac:dyDescent="0.3">
      <c r="A28" s="423"/>
      <c r="B28" s="423"/>
      <c r="C28" s="423"/>
      <c r="D28" s="423"/>
      <c r="E28" s="563"/>
      <c r="F28" s="564"/>
      <c r="G28" s="564"/>
      <c r="H28" s="565"/>
      <c r="I28"/>
      <c r="J28"/>
      <c r="K28"/>
      <c r="L28"/>
      <c r="M28"/>
      <c r="N28"/>
      <c r="O28"/>
      <c r="P28"/>
      <c r="Q28"/>
      <c r="R28"/>
      <c r="S28" s="97"/>
      <c r="T28" s="1504" t="s">
        <v>388</v>
      </c>
      <c r="U28" s="1504"/>
      <c r="V28" s="1504"/>
      <c r="W28" s="1504"/>
      <c r="X28" s="1504"/>
      <c r="Y28" s="1504"/>
    </row>
    <row r="29" spans="1:25" x14ac:dyDescent="0.3">
      <c r="A29" s="1247" t="s">
        <v>3605</v>
      </c>
      <c r="B29" s="1247"/>
      <c r="C29" s="1247"/>
      <c r="D29" s="1471"/>
      <c r="E29" s="1493" t="str">
        <f>IF(LEN('Overview (Design)'!G29)=0,"",'Overview (Design)'!G29)</f>
        <v>Furnace</v>
      </c>
      <c r="F29" s="1494"/>
      <c r="G29" s="1494"/>
      <c r="H29" s="1495"/>
      <c r="I29" s="54"/>
      <c r="J29" s="1246"/>
      <c r="K29" s="1246"/>
      <c r="L29" s="1246"/>
      <c r="N29" s="610" t="s">
        <v>3609</v>
      </c>
      <c r="O29" s="41" t="s">
        <v>360</v>
      </c>
      <c r="P29" s="1496" t="str">
        <f t="shared" si="2"/>
        <v/>
      </c>
      <c r="Q29" s="1496" t="str">
        <f t="shared" ref="Q29:R31" si="4">IF(LEN(IF(J29,F29,K29))=0,"",IF(J29,F29,K29))</f>
        <v/>
      </c>
      <c r="R29" s="1496" t="str">
        <f t="shared" si="4"/>
        <v/>
      </c>
      <c r="S29" s="48"/>
      <c r="T29" s="1469"/>
      <c r="U29" s="1469"/>
      <c r="V29" s="1469"/>
      <c r="W29" s="1469"/>
      <c r="X29" s="1469"/>
      <c r="Y29" s="1469"/>
    </row>
    <row r="30" spans="1:25" x14ac:dyDescent="0.3">
      <c r="A30" s="1247" t="s">
        <v>3612</v>
      </c>
      <c r="B30" s="1247"/>
      <c r="C30" s="1247"/>
      <c r="D30" s="1471"/>
      <c r="E30" s="1493" t="str">
        <f>IF(LEN('Overview (Design)'!G30)=0,"",'Overview (Design)'!G30)</f>
        <v/>
      </c>
      <c r="F30" s="1494"/>
      <c r="G30" s="1494"/>
      <c r="H30" s="1495"/>
      <c r="I30" s="54"/>
      <c r="J30" s="1246"/>
      <c r="K30" s="1246"/>
      <c r="L30" s="1246"/>
      <c r="N30" s="610" t="s">
        <v>3610</v>
      </c>
      <c r="O30" s="41" t="s">
        <v>361</v>
      </c>
      <c r="P30" s="1470" t="str">
        <f t="shared" si="2"/>
        <v/>
      </c>
      <c r="Q30" s="1470" t="str">
        <f t="shared" si="4"/>
        <v/>
      </c>
      <c r="R30" s="1470" t="str">
        <f t="shared" si="4"/>
        <v/>
      </c>
      <c r="S30" s="48"/>
      <c r="T30" s="1469"/>
      <c r="U30" s="1469"/>
      <c r="V30" s="1469"/>
      <c r="W30" s="1469"/>
      <c r="X30" s="1469"/>
      <c r="Y30" s="1469"/>
    </row>
    <row r="31" spans="1:25" x14ac:dyDescent="0.3">
      <c r="A31" s="1247" t="s">
        <v>3613</v>
      </c>
      <c r="B31" s="1247"/>
      <c r="C31" s="1247"/>
      <c r="D31" s="1471"/>
      <c r="E31" s="1493" t="str">
        <f>IF(LEN('Overview (Design)'!G31)=0,"",'Overview (Design)'!G31)</f>
        <v/>
      </c>
      <c r="F31" s="1494"/>
      <c r="G31" s="1494"/>
      <c r="H31" s="1495"/>
      <c r="I31" s="54"/>
      <c r="J31" s="1246"/>
      <c r="K31" s="1246"/>
      <c r="L31" s="1246"/>
      <c r="N31" s="610" t="s">
        <v>3611</v>
      </c>
      <c r="O31" s="41" t="s">
        <v>362</v>
      </c>
      <c r="P31" s="1470" t="str">
        <f t="shared" si="2"/>
        <v/>
      </c>
      <c r="Q31" s="1470" t="str">
        <f t="shared" si="4"/>
        <v/>
      </c>
      <c r="R31" s="1470" t="str">
        <f t="shared" si="4"/>
        <v/>
      </c>
      <c r="S31" s="48"/>
      <c r="T31" s="1469"/>
      <c r="U31" s="1469"/>
      <c r="V31" s="1469"/>
      <c r="W31" s="1469"/>
      <c r="X31" s="1469"/>
      <c r="Y31" s="1469"/>
    </row>
    <row r="32" spans="1:25" x14ac:dyDescent="0.3">
      <c r="A32" s="1247" t="s">
        <v>136</v>
      </c>
      <c r="B32" s="1247"/>
      <c r="C32" s="1247"/>
      <c r="D32" s="1471"/>
      <c r="E32" s="1493" t="str">
        <f>IF(LEN('Overview (Design)'!G32)=0,"",'Overview (Design)'!G32)</f>
        <v/>
      </c>
      <c r="F32" s="1494"/>
      <c r="G32" s="1494"/>
      <c r="H32" s="1495"/>
      <c r="I32" s="54"/>
      <c r="J32" s="1246"/>
      <c r="K32" s="1246"/>
      <c r="L32" s="1246"/>
      <c r="N32" s="610" t="s">
        <v>184</v>
      </c>
      <c r="O32" s="610" t="s">
        <v>363</v>
      </c>
      <c r="P32" s="1470" t="str">
        <f t="shared" si="2"/>
        <v/>
      </c>
      <c r="Q32" s="1470" t="str">
        <f t="shared" ref="Q32:Q37" si="5">IF(LEN(IF(J32,F32,K32))=0,"",IF(J32,F32,K32))</f>
        <v/>
      </c>
      <c r="R32" s="48"/>
      <c r="S32" s="48"/>
      <c r="T32" s="48"/>
      <c r="U32" s="48"/>
      <c r="V32" s="48"/>
      <c r="W32" s="48"/>
    </row>
    <row r="33" spans="1:25" s="536" customFormat="1" x14ac:dyDescent="0.3">
      <c r="A33" s="1247" t="s">
        <v>3623</v>
      </c>
      <c r="B33" s="1247"/>
      <c r="C33" s="1247"/>
      <c r="D33" s="1471"/>
      <c r="E33" s="1493" t="str">
        <f>IF(LEN('Overview (Design)'!G33)=0,"",'Overview (Design)'!G33)</f>
        <v>Ducted</v>
      </c>
      <c r="F33" s="1494"/>
      <c r="G33" s="1494"/>
      <c r="H33" s="1495"/>
      <c r="I33" s="54"/>
      <c r="J33" s="1246"/>
      <c r="K33" s="1246"/>
      <c r="L33" s="1246"/>
      <c r="N33" s="610" t="s">
        <v>3624</v>
      </c>
      <c r="O33" s="610" t="s">
        <v>4080</v>
      </c>
      <c r="P33" s="1470" t="str">
        <f t="shared" ref="P33:P42" si="6">IF(LEN(IF(I33,E33,J33))=0,"",IF(I33,E33,J33))</f>
        <v/>
      </c>
      <c r="Q33" s="1470" t="str">
        <f t="shared" si="5"/>
        <v/>
      </c>
      <c r="R33" s="48"/>
      <c r="S33" s="48"/>
      <c r="T33" s="48"/>
      <c r="U33" s="48"/>
      <c r="V33" s="48"/>
      <c r="W33" s="48"/>
    </row>
    <row r="34" spans="1:25" s="536" customFormat="1" x14ac:dyDescent="0.3">
      <c r="A34" s="1247" t="s">
        <v>3614</v>
      </c>
      <c r="B34" s="1247"/>
      <c r="C34" s="1247"/>
      <c r="D34" s="1471"/>
      <c r="E34" s="1493" t="str">
        <f>IF(LEN('Overview (Design)'!G34)=0,"",'Overview (Design)'!G34)</f>
        <v>Electric Air Conditiner</v>
      </c>
      <c r="F34" s="1494"/>
      <c r="G34" s="1494"/>
      <c r="H34" s="1495"/>
      <c r="I34" s="54"/>
      <c r="J34" s="1246"/>
      <c r="K34" s="1246"/>
      <c r="L34" s="1246"/>
      <c r="N34" s="610" t="s">
        <v>3617</v>
      </c>
      <c r="O34" s="610" t="s">
        <v>4081</v>
      </c>
      <c r="P34" s="1470" t="str">
        <f t="shared" si="6"/>
        <v/>
      </c>
      <c r="Q34" s="1470" t="str">
        <f t="shared" si="5"/>
        <v/>
      </c>
      <c r="R34" s="48"/>
      <c r="S34" s="48"/>
      <c r="T34" s="1469"/>
      <c r="U34" s="1469"/>
      <c r="V34" s="1469"/>
      <c r="W34" s="1469"/>
      <c r="X34" s="1469"/>
      <c r="Y34" s="1469"/>
    </row>
    <row r="35" spans="1:25" s="536" customFormat="1" x14ac:dyDescent="0.3">
      <c r="A35" s="1247" t="s">
        <v>3615</v>
      </c>
      <c r="B35" s="1247"/>
      <c r="C35" s="1247"/>
      <c r="D35" s="1471"/>
      <c r="E35" s="1493" t="str">
        <f>IF(LEN('Overview (Design)'!G35)=0,"",'Overview (Design)'!G35)</f>
        <v/>
      </c>
      <c r="F35" s="1494"/>
      <c r="G35" s="1494"/>
      <c r="H35" s="1495"/>
      <c r="I35" s="54"/>
      <c r="J35" s="1246"/>
      <c r="K35" s="1246"/>
      <c r="L35" s="1246"/>
      <c r="N35" s="610" t="s">
        <v>3619</v>
      </c>
      <c r="O35" s="610" t="s">
        <v>4082</v>
      </c>
      <c r="P35" s="1470" t="str">
        <f t="shared" si="6"/>
        <v/>
      </c>
      <c r="Q35" s="1470" t="str">
        <f t="shared" si="5"/>
        <v/>
      </c>
      <c r="R35" s="48"/>
      <c r="S35" s="48"/>
      <c r="T35" s="1469"/>
      <c r="U35" s="1469"/>
      <c r="V35" s="1469"/>
      <c r="W35" s="1469"/>
      <c r="X35" s="1469"/>
      <c r="Y35" s="1469"/>
    </row>
    <row r="36" spans="1:25" s="536" customFormat="1" x14ac:dyDescent="0.3">
      <c r="A36" s="1247" t="s">
        <v>3616</v>
      </c>
      <c r="B36" s="1247"/>
      <c r="C36" s="1247"/>
      <c r="D36" s="1471"/>
      <c r="E36" s="1493" t="str">
        <f>IF(LEN('Overview (Design)'!G36)=0,"",'Overview (Design)'!G36)</f>
        <v/>
      </c>
      <c r="F36" s="1494"/>
      <c r="G36" s="1494"/>
      <c r="H36" s="1495"/>
      <c r="I36" s="54"/>
      <c r="J36" s="1246"/>
      <c r="K36" s="1246"/>
      <c r="L36" s="1246"/>
      <c r="N36" s="610" t="s">
        <v>3621</v>
      </c>
      <c r="O36" s="610" t="s">
        <v>4083</v>
      </c>
      <c r="P36" s="1470" t="str">
        <f t="shared" si="6"/>
        <v/>
      </c>
      <c r="Q36" s="1470" t="str">
        <f t="shared" si="5"/>
        <v/>
      </c>
      <c r="R36" s="48"/>
      <c r="S36" s="48"/>
      <c r="T36" s="1469"/>
      <c r="U36" s="1469"/>
      <c r="V36" s="1469"/>
      <c r="W36" s="1469"/>
      <c r="X36" s="1469"/>
      <c r="Y36" s="1469"/>
    </row>
    <row r="37" spans="1:25" s="536" customFormat="1" x14ac:dyDescent="0.3">
      <c r="A37" s="1247" t="s">
        <v>3626</v>
      </c>
      <c r="B37" s="1247"/>
      <c r="C37" s="1247"/>
      <c r="D37" s="1471"/>
      <c r="E37" s="1493" t="str">
        <f>IF(LEN('Overview (Design)'!G37)=0,"",'Overview (Design)'!G37)</f>
        <v>Ducted</v>
      </c>
      <c r="F37" s="1494"/>
      <c r="G37" s="1494"/>
      <c r="H37" s="1495"/>
      <c r="I37" s="54"/>
      <c r="J37" s="1246"/>
      <c r="K37" s="1246"/>
      <c r="L37"/>
      <c r="N37" s="610" t="s">
        <v>3627</v>
      </c>
      <c r="O37" s="610" t="s">
        <v>4084</v>
      </c>
      <c r="P37" s="1470" t="str">
        <f t="shared" si="6"/>
        <v/>
      </c>
      <c r="Q37" s="1470" t="str">
        <f t="shared" si="5"/>
        <v/>
      </c>
      <c r="R37" s="48"/>
      <c r="S37" s="48"/>
      <c r="T37" s="48"/>
      <c r="U37" s="48"/>
      <c r="V37" s="48"/>
      <c r="W37" s="48"/>
    </row>
    <row r="38" spans="1:25" customFormat="1" x14ac:dyDescent="0.3">
      <c r="A38" s="423"/>
      <c r="B38" s="423"/>
      <c r="C38" s="423"/>
      <c r="D38" s="423"/>
      <c r="O38" s="612"/>
    </row>
    <row r="39" spans="1:25" s="536" customFormat="1" x14ac:dyDescent="0.3">
      <c r="A39" s="1247" t="s">
        <v>3752</v>
      </c>
      <c r="B39" s="1247"/>
      <c r="C39" s="1247"/>
      <c r="D39" s="1471"/>
      <c r="E39" s="1493">
        <f>IF(LEN('Overview (Design)'!G39)=0,"",'Overview (Design)'!G39)</f>
        <v>0.22</v>
      </c>
      <c r="F39" s="1494"/>
      <c r="G39" s="1494"/>
      <c r="H39" s="1495"/>
      <c r="I39" s="54"/>
      <c r="J39" s="1049"/>
      <c r="K39"/>
      <c r="N39" s="612"/>
      <c r="O39" s="418" t="s">
        <v>4085</v>
      </c>
      <c r="P39" s="613" t="str">
        <f t="shared" si="6"/>
        <v/>
      </c>
      <c r="Q39"/>
      <c r="R39" s="48"/>
      <c r="S39" s="48"/>
      <c r="T39" s="48"/>
      <c r="U39" s="48"/>
      <c r="V39" s="48"/>
      <c r="W39" s="48"/>
    </row>
    <row r="40" spans="1:25" s="536" customFormat="1" x14ac:dyDescent="0.3">
      <c r="A40" s="1247" t="s">
        <v>3748</v>
      </c>
      <c r="B40" s="1247"/>
      <c r="C40" s="1247"/>
      <c r="D40" s="1471"/>
      <c r="E40" s="1493" t="str">
        <f>IF(LEN('Overview (Design)'!G40)=0,"",'Overview (Design)'!G40)</f>
        <v/>
      </c>
      <c r="F40" s="1494"/>
      <c r="G40" s="1494"/>
      <c r="H40" s="1495"/>
      <c r="I40" s="54"/>
      <c r="J40" s="1049"/>
      <c r="K40"/>
      <c r="N40" s="612"/>
      <c r="O40" s="418" t="s">
        <v>4086</v>
      </c>
      <c r="P40" s="613" t="str">
        <f t="shared" si="6"/>
        <v/>
      </c>
      <c r="Q40"/>
      <c r="R40" s="48"/>
      <c r="S40" s="48"/>
      <c r="T40" s="48"/>
      <c r="U40" s="48"/>
      <c r="V40" s="48"/>
      <c r="W40" s="48"/>
    </row>
    <row r="41" spans="1:25" s="536" customFormat="1" x14ac:dyDescent="0.3">
      <c r="A41" s="1247" t="s">
        <v>3753</v>
      </c>
      <c r="B41" s="1247"/>
      <c r="C41" s="1247"/>
      <c r="D41" s="1471"/>
      <c r="E41" s="1493">
        <f>IF(LEN('Overview (Design)'!G41)=0,"",'Overview (Design)'!G41)</f>
        <v>0.32</v>
      </c>
      <c r="F41" s="1494"/>
      <c r="G41" s="1494"/>
      <c r="H41" s="1495"/>
      <c r="I41" s="54"/>
      <c r="J41" s="1049"/>
      <c r="K41"/>
      <c r="N41" s="612"/>
      <c r="O41" s="418" t="s">
        <v>4087</v>
      </c>
      <c r="P41" s="613" t="str">
        <f t="shared" si="6"/>
        <v/>
      </c>
      <c r="Q41"/>
      <c r="R41" s="48"/>
      <c r="S41" s="48"/>
      <c r="T41" s="48"/>
      <c r="U41" s="48"/>
      <c r="V41" s="48"/>
      <c r="W41" s="48"/>
    </row>
    <row r="42" spans="1:25" s="536" customFormat="1" x14ac:dyDescent="0.3">
      <c r="A42" s="1247" t="s">
        <v>3749</v>
      </c>
      <c r="B42" s="1247"/>
      <c r="C42" s="1247"/>
      <c r="D42" s="1471"/>
      <c r="E42" s="1493" t="str">
        <f>IF(LEN('Overview (Design)'!G42)=0,"",'Overview (Design)'!G42)</f>
        <v/>
      </c>
      <c r="F42" s="1494"/>
      <c r="G42" s="1494"/>
      <c r="H42" s="1495"/>
      <c r="I42" s="54"/>
      <c r="J42" s="1049"/>
      <c r="K42"/>
      <c r="N42" s="612"/>
      <c r="O42" s="418" t="s">
        <v>4088</v>
      </c>
      <c r="P42" s="613" t="str">
        <f t="shared" si="6"/>
        <v/>
      </c>
      <c r="Q42"/>
      <c r="R42" s="48"/>
      <c r="S42" s="48"/>
      <c r="T42" s="48"/>
      <c r="U42" s="48"/>
      <c r="V42" s="48"/>
      <c r="W42" s="48"/>
    </row>
    <row r="43" spans="1:25" x14ac:dyDescent="0.3">
      <c r="A43" s="1247" t="s">
        <v>137</v>
      </c>
      <c r="B43" s="1247"/>
      <c r="C43" s="1247"/>
      <c r="D43" s="1247"/>
      <c r="E43" s="1493" t="str">
        <f>IF(LEN('Overview (Design)'!G43)=0,"",'Overview (Design)'!G43)</f>
        <v/>
      </c>
      <c r="F43" s="1494"/>
      <c r="G43" s="1494"/>
      <c r="H43" s="1495"/>
      <c r="I43" s="54"/>
      <c r="J43" s="1246"/>
      <c r="K43" s="1246"/>
      <c r="N43" s="610" t="s">
        <v>185</v>
      </c>
      <c r="O43" s="41" t="s">
        <v>364</v>
      </c>
      <c r="P43" s="1470" t="str">
        <f t="shared" si="2"/>
        <v/>
      </c>
      <c r="Q43" s="1470" t="str">
        <f>IF(LEN(IF(J43,F43,K43))=0,"",IF(J43,F43,K43))</f>
        <v/>
      </c>
      <c r="R43" s="48"/>
      <c r="S43" s="48"/>
      <c r="T43" s="48"/>
      <c r="U43" s="48"/>
      <c r="V43" s="48"/>
      <c r="W43" s="48"/>
    </row>
    <row r="44" spans="1:25" x14ac:dyDescent="0.3">
      <c r="A44" s="1247" t="s">
        <v>138</v>
      </c>
      <c r="B44" s="1247"/>
      <c r="C44" s="1247"/>
      <c r="D44" s="1247"/>
      <c r="E44" s="1493" t="str">
        <f>IF(LEN('Overview (Design)'!G44)=0,"",'Overview (Design)'!G44)</f>
        <v/>
      </c>
      <c r="F44" s="1494"/>
      <c r="G44" s="1494"/>
      <c r="H44" s="1495"/>
      <c r="I44" s="54"/>
      <c r="J44" s="1246"/>
      <c r="K44" s="1246"/>
      <c r="L44" s="1246"/>
      <c r="N44" s="610" t="s">
        <v>186</v>
      </c>
      <c r="O44" s="41" t="s">
        <v>365</v>
      </c>
      <c r="P44" s="1470" t="str">
        <f t="shared" si="2"/>
        <v/>
      </c>
      <c r="Q44" s="1470" t="str">
        <f>IF(LEN(IF(J44,F44,K44))=0,"",IF(J44,F44,K44))</f>
        <v/>
      </c>
      <c r="R44" s="1470" t="str">
        <f>IF(LEN(IF(K44,G44,L44))=0,"",IF(K44,G44,L44))</f>
        <v/>
      </c>
      <c r="S44" s="48"/>
      <c r="T44" s="48"/>
      <c r="U44" s="48"/>
      <c r="V44" s="48"/>
      <c r="W44" s="48"/>
    </row>
    <row r="45" spans="1:25" x14ac:dyDescent="0.3">
      <c r="A45" s="1247" t="s">
        <v>139</v>
      </c>
      <c r="B45" s="1247"/>
      <c r="C45" s="1247"/>
      <c r="D45" s="1247"/>
      <c r="E45" s="1493" t="str">
        <f>IF(LEN('Overview (Design)'!G45)=0,"",'Overview (Design)'!G45)</f>
        <v>Vented</v>
      </c>
      <c r="F45" s="1494"/>
      <c r="G45" s="1494"/>
      <c r="H45" s="1495"/>
      <c r="I45" s="54"/>
      <c r="J45" s="1246"/>
      <c r="K45" s="1246"/>
      <c r="N45" s="610" t="s">
        <v>187</v>
      </c>
      <c r="O45" s="41" t="s">
        <v>366</v>
      </c>
      <c r="P45" s="1496" t="str">
        <f t="shared" si="2"/>
        <v/>
      </c>
      <c r="Q45" s="1496" t="str">
        <f>IF(LEN(IF(J45,F45,K45))=0,"",IF(J45,F45,K45))</f>
        <v/>
      </c>
      <c r="R45" s="48"/>
      <c r="S45" s="48"/>
      <c r="T45" s="48"/>
      <c r="U45" s="48"/>
      <c r="V45" s="48"/>
      <c r="W45" s="48"/>
    </row>
    <row r="46" spans="1:25" x14ac:dyDescent="0.3">
      <c r="A46" s="1247" t="s">
        <v>140</v>
      </c>
      <c r="B46" s="1247"/>
      <c r="C46" s="1247"/>
      <c r="D46" s="1247"/>
      <c r="E46" s="1493" t="str">
        <f>IF(LEN('Overview (Design)'!G46)=0,"",'Overview (Design)'!G46)</f>
        <v>Yes</v>
      </c>
      <c r="F46" s="1494"/>
      <c r="G46" s="1494"/>
      <c r="H46" s="1495"/>
      <c r="I46" s="54"/>
      <c r="J46" s="1049"/>
      <c r="N46" s="610" t="s">
        <v>188</v>
      </c>
      <c r="O46" s="41" t="s">
        <v>367</v>
      </c>
      <c r="P46" s="49" t="str">
        <f t="shared" si="2"/>
        <v/>
      </c>
      <c r="Q46" s="48"/>
      <c r="R46" s="48"/>
      <c r="S46" s="48"/>
      <c r="T46" s="48"/>
      <c r="U46" s="48"/>
      <c r="V46" s="48"/>
      <c r="W46" s="48"/>
    </row>
    <row r="47" spans="1:25" x14ac:dyDescent="0.3">
      <c r="A47" s="1247" t="s">
        <v>141</v>
      </c>
      <c r="B47" s="1247"/>
      <c r="C47" s="1247"/>
      <c r="D47" s="1247"/>
      <c r="E47" s="1493" t="str">
        <f>IF(LEN('Overview (Design)'!G47)=0,"",'Overview (Design)'!G47)</f>
        <v/>
      </c>
      <c r="F47" s="1494"/>
      <c r="G47" s="1494"/>
      <c r="H47" s="1495"/>
      <c r="I47" s="54"/>
      <c r="J47" s="1049"/>
      <c r="N47" s="610" t="s">
        <v>189</v>
      </c>
      <c r="O47" s="41" t="s">
        <v>368</v>
      </c>
      <c r="P47" s="49" t="str">
        <f t="shared" si="2"/>
        <v/>
      </c>
      <c r="Q47" s="48"/>
      <c r="R47" s="48"/>
      <c r="S47" s="48"/>
      <c r="T47" s="48"/>
      <c r="U47" s="48"/>
      <c r="V47" s="48"/>
      <c r="W47" s="48"/>
    </row>
    <row r="48" spans="1:25" x14ac:dyDescent="0.3">
      <c r="A48" s="1260"/>
      <c r="B48" s="1260"/>
      <c r="C48" s="1260"/>
      <c r="D48" s="1260"/>
      <c r="E48" s="45"/>
      <c r="F48" s="45"/>
      <c r="G48" s="45"/>
      <c r="H48" s="45"/>
      <c r="J48" s="45"/>
      <c r="N48" s="610"/>
      <c r="O48" s="41"/>
      <c r="P48" s="50"/>
      <c r="Q48" s="48"/>
      <c r="R48" s="48"/>
      <c r="S48" s="48"/>
      <c r="T48" s="48"/>
      <c r="U48" s="48"/>
      <c r="V48" s="48"/>
      <c r="W48" s="48"/>
    </row>
    <row r="49" spans="1:25" x14ac:dyDescent="0.3">
      <c r="A49" s="1247" t="s">
        <v>142</v>
      </c>
      <c r="B49" s="1247"/>
      <c r="C49" s="1247"/>
      <c r="D49" s="783"/>
      <c r="E49" s="45"/>
      <c r="F49" s="45"/>
      <c r="G49" s="45"/>
      <c r="H49" s="45"/>
      <c r="I49" s="8"/>
      <c r="J49" s="45"/>
      <c r="N49" s="610"/>
      <c r="O49" s="41"/>
      <c r="P49" s="50"/>
      <c r="Q49" s="48"/>
      <c r="R49" s="48"/>
      <c r="S49" s="48"/>
      <c r="T49" s="48"/>
      <c r="U49" s="48"/>
      <c r="V49" s="48"/>
      <c r="W49" s="48"/>
    </row>
    <row r="50" spans="1:25" x14ac:dyDescent="0.3">
      <c r="A50" s="1247" t="s">
        <v>143</v>
      </c>
      <c r="B50" s="1247"/>
      <c r="C50" s="1247"/>
      <c r="D50" s="1247"/>
      <c r="E50" s="1493" t="str">
        <f>IF(LEN('Overview (Design)'!G50)=0,"",'Overview (Design)'!G50)</f>
        <v>No</v>
      </c>
      <c r="F50" s="1494"/>
      <c r="G50" s="1494"/>
      <c r="H50" s="1495"/>
      <c r="I50" s="54"/>
      <c r="J50" s="1050"/>
      <c r="N50" s="610" t="s">
        <v>190</v>
      </c>
      <c r="O50" s="41" t="s">
        <v>369</v>
      </c>
      <c r="P50" s="53" t="str">
        <f t="shared" ref="P50:P55" si="7">IF(LEN(IF(I50,E50,J50))=0,"",IF(I50,E50,J50))</f>
        <v/>
      </c>
      <c r="Q50" s="48"/>
      <c r="R50" s="48"/>
      <c r="S50" s="48"/>
      <c r="T50" s="48"/>
      <c r="U50" s="48"/>
      <c r="V50" s="48"/>
      <c r="W50" s="48"/>
    </row>
    <row r="51" spans="1:25" x14ac:dyDescent="0.3">
      <c r="A51" s="1247" t="s">
        <v>144</v>
      </c>
      <c r="B51" s="1247"/>
      <c r="C51" s="1247"/>
      <c r="D51" s="1247"/>
      <c r="E51" s="1493" t="str">
        <f>IF(LEN('Overview (Design)'!G51)=0,"",'Overview (Design)'!G51)</f>
        <v>No</v>
      </c>
      <c r="F51" s="1494"/>
      <c r="G51" s="1494"/>
      <c r="H51" s="1495"/>
      <c r="I51" s="54"/>
      <c r="J51" s="1049"/>
      <c r="N51" s="610" t="s">
        <v>191</v>
      </c>
      <c r="O51" s="41" t="s">
        <v>370</v>
      </c>
      <c r="P51" s="49" t="str">
        <f t="shared" si="7"/>
        <v/>
      </c>
      <c r="Q51" s="48"/>
      <c r="R51" s="48"/>
      <c r="S51" s="48"/>
      <c r="T51" s="48"/>
      <c r="U51" s="48"/>
      <c r="V51" s="48"/>
      <c r="W51" s="48"/>
    </row>
    <row r="52" spans="1:25" x14ac:dyDescent="0.3">
      <c r="A52" s="1247" t="s">
        <v>145</v>
      </c>
      <c r="B52" s="1247"/>
      <c r="C52" s="1247"/>
      <c r="D52" s="1247"/>
      <c r="E52" s="1493" t="str">
        <f>IF(LEN('Overview (Design)'!G52)=0,"",'Overview (Design)'!G52)</f>
        <v>No</v>
      </c>
      <c r="F52" s="1494"/>
      <c r="G52" s="1494"/>
      <c r="H52" s="1495"/>
      <c r="I52" s="54"/>
      <c r="J52" s="1049"/>
      <c r="N52" s="610" t="s">
        <v>192</v>
      </c>
      <c r="O52" s="41" t="s">
        <v>371</v>
      </c>
      <c r="P52" s="49" t="str">
        <f t="shared" si="7"/>
        <v/>
      </c>
      <c r="Q52" s="48"/>
      <c r="R52" s="48"/>
      <c r="S52" s="48"/>
      <c r="T52" s="48"/>
      <c r="U52" s="48"/>
      <c r="V52" s="48"/>
      <c r="W52" s="48"/>
    </row>
    <row r="53" spans="1:25" x14ac:dyDescent="0.3">
      <c r="A53" s="1247" t="s">
        <v>146</v>
      </c>
      <c r="B53" s="1247"/>
      <c r="C53" s="1247"/>
      <c r="D53" s="1247"/>
      <c r="E53" s="1493" t="str">
        <f>IF(LEN('Overview (Design)'!G53)=0,"",'Overview (Design)'!G53)</f>
        <v>No</v>
      </c>
      <c r="F53" s="1494"/>
      <c r="G53" s="1494"/>
      <c r="H53" s="1495"/>
      <c r="I53" s="54"/>
      <c r="J53" s="1049"/>
      <c r="N53" s="610" t="s">
        <v>193</v>
      </c>
      <c r="O53" s="41" t="s">
        <v>372</v>
      </c>
      <c r="P53" s="49" t="str">
        <f t="shared" si="7"/>
        <v/>
      </c>
      <c r="Q53" s="48"/>
      <c r="R53" s="48"/>
      <c r="S53" s="48"/>
      <c r="T53" s="48"/>
      <c r="U53" s="48"/>
      <c r="V53" s="48"/>
      <c r="W53" s="48"/>
    </row>
    <row r="54" spans="1:25" x14ac:dyDescent="0.3">
      <c r="A54" s="1248" t="s">
        <v>248</v>
      </c>
      <c r="B54" s="1248"/>
      <c r="C54" s="1248"/>
      <c r="D54" s="1248"/>
      <c r="E54" s="1493" t="str">
        <f>IF(LEN('Overview (Design)'!G54)=0,"",'Overview (Design)'!G54)</f>
        <v>No</v>
      </c>
      <c r="F54" s="1494"/>
      <c r="G54" s="1494"/>
      <c r="H54" s="1495"/>
      <c r="I54" s="54"/>
      <c r="J54" s="1049"/>
      <c r="N54" s="610" t="s">
        <v>252</v>
      </c>
      <c r="O54" s="41" t="s">
        <v>373</v>
      </c>
      <c r="P54" s="49" t="str">
        <f t="shared" si="7"/>
        <v/>
      </c>
      <c r="Q54" s="48"/>
      <c r="R54" s="48"/>
      <c r="S54" s="48"/>
      <c r="T54" s="48"/>
      <c r="U54" s="48"/>
      <c r="V54" s="48"/>
      <c r="W54" s="48"/>
    </row>
    <row r="55" spans="1:25" ht="14.4" customHeight="1" x14ac:dyDescent="0.3">
      <c r="A55" s="1250" t="s">
        <v>249</v>
      </c>
      <c r="B55" s="1250"/>
      <c r="C55" s="1250"/>
      <c r="D55" s="1250"/>
      <c r="E55" s="1493" t="str">
        <f>IF(LEN('Overview (Design)'!G55)=0,"",'Overview (Design)'!G55)</f>
        <v>No</v>
      </c>
      <c r="F55" s="1494"/>
      <c r="G55" s="1494"/>
      <c r="H55" s="1495"/>
      <c r="I55" s="54"/>
      <c r="J55" s="1049"/>
      <c r="N55" s="610" t="s">
        <v>253</v>
      </c>
      <c r="O55" s="41" t="s">
        <v>374</v>
      </c>
      <c r="P55" s="49" t="str">
        <f t="shared" si="7"/>
        <v/>
      </c>
      <c r="Q55" s="48"/>
      <c r="R55" s="48"/>
      <c r="S55" s="48"/>
      <c r="T55" s="48"/>
      <c r="U55" s="48"/>
      <c r="V55" s="48"/>
      <c r="W55" s="48"/>
    </row>
    <row r="56" spans="1:25" x14ac:dyDescent="0.3">
      <c r="A56" s="1249"/>
      <c r="B56" s="1249"/>
      <c r="C56" s="1249"/>
      <c r="D56" s="1249"/>
      <c r="E56" s="45"/>
      <c r="F56" s="45"/>
      <c r="G56" s="45"/>
      <c r="H56" s="45"/>
      <c r="J56" s="45"/>
      <c r="N56" s="610"/>
      <c r="O56" s="41"/>
      <c r="P56" s="50"/>
      <c r="Q56" s="48"/>
      <c r="R56" s="48"/>
      <c r="S56" s="48"/>
      <c r="T56" s="48"/>
      <c r="U56" s="48"/>
      <c r="V56" s="48"/>
      <c r="W56" s="48"/>
    </row>
    <row r="57" spans="1:25" x14ac:dyDescent="0.3">
      <c r="A57" s="1247" t="s">
        <v>147</v>
      </c>
      <c r="B57" s="1247"/>
      <c r="C57" s="1247"/>
      <c r="D57" s="1247"/>
      <c r="E57" s="1493" t="str">
        <f>IF(LEN('Overview (Design)'!G57)=0,"",'Overview (Design)'!G57)</f>
        <v>Other</v>
      </c>
      <c r="F57" s="1494"/>
      <c r="G57" s="1494"/>
      <c r="H57" s="1495"/>
      <c r="I57" s="54"/>
      <c r="J57" s="1246"/>
      <c r="K57" s="1246"/>
      <c r="N57" s="610" t="s">
        <v>194</v>
      </c>
      <c r="O57" s="41" t="s">
        <v>375</v>
      </c>
      <c r="P57" s="1470" t="str">
        <f>IF(LEN(IF(I57,E57,J57))=0,"",IF(I57,E57,J57))</f>
        <v/>
      </c>
      <c r="Q57" s="1470" t="str">
        <f>IF(LEN(IF(J57,F57,K57))=0,"",IF(J57,F57,K57))</f>
        <v/>
      </c>
      <c r="R57" s="48"/>
      <c r="S57" s="48"/>
      <c r="T57" s="48"/>
      <c r="U57" s="48"/>
      <c r="V57" s="48"/>
      <c r="W57" s="48"/>
    </row>
    <row r="58" spans="1:25" x14ac:dyDescent="0.3">
      <c r="A58" s="1247" t="s">
        <v>148</v>
      </c>
      <c r="B58" s="1247"/>
      <c r="C58" s="1247"/>
      <c r="D58" s="1247"/>
      <c r="E58" s="1493" t="str">
        <f>IF(LEN('Overview (Design)'!G58)=0,"",'Overview (Design)'!G58)</f>
        <v>Other</v>
      </c>
      <c r="F58" s="1494"/>
      <c r="G58" s="1494"/>
      <c r="H58" s="1495"/>
      <c r="I58" s="54"/>
      <c r="J58" s="1246"/>
      <c r="K58" s="1246"/>
      <c r="N58" s="610" t="s">
        <v>195</v>
      </c>
      <c r="O58" s="41" t="s">
        <v>376</v>
      </c>
      <c r="P58" s="1470" t="str">
        <f>IF(LEN(IF(I58,E58,J58))=0,"",IF(I58,E58,J58))</f>
        <v/>
      </c>
      <c r="Q58" s="1470" t="str">
        <f>IF(LEN(IF(J58,F58,K58))=0,"",IF(J58,F58,K58))</f>
        <v/>
      </c>
      <c r="R58" s="48"/>
      <c r="S58" s="48"/>
      <c r="T58" s="48"/>
      <c r="U58" s="48"/>
      <c r="V58" s="48"/>
      <c r="W58" s="48"/>
    </row>
    <row r="59" spans="1:25" s="777" customFormat="1" x14ac:dyDescent="0.3">
      <c r="A59" s="781"/>
      <c r="B59" s="781"/>
      <c r="C59" s="781"/>
      <c r="D59" s="781"/>
      <c r="E59" s="730"/>
      <c r="F59" s="730"/>
      <c r="G59" s="730"/>
      <c r="H59" s="730"/>
      <c r="I59"/>
      <c r="J59"/>
      <c r="K59"/>
      <c r="L59"/>
      <c r="M59"/>
      <c r="N59"/>
      <c r="O59"/>
      <c r="P59"/>
      <c r="Q59"/>
      <c r="R59" s="48"/>
      <c r="S59" s="48"/>
      <c r="T59" s="48"/>
      <c r="U59" s="48"/>
      <c r="V59" s="48"/>
      <c r="W59" s="48"/>
    </row>
    <row r="60" spans="1:25" s="777" customFormat="1" x14ac:dyDescent="0.3">
      <c r="A60" s="1247" t="s">
        <v>4110</v>
      </c>
      <c r="B60" s="1247"/>
      <c r="C60" s="1247"/>
      <c r="D60" s="1247"/>
      <c r="E60" s="730"/>
      <c r="F60" s="730"/>
      <c r="G60" s="730"/>
      <c r="H60" s="730"/>
      <c r="I60"/>
      <c r="J60" s="1466"/>
      <c r="K60" s="1466"/>
      <c r="L60"/>
      <c r="M60"/>
      <c r="N60"/>
      <c r="O60" s="418" t="s">
        <v>4704</v>
      </c>
      <c r="P60" s="1467" t="str">
        <f>IF(LEN(J60)&gt;0,J60,"")</f>
        <v/>
      </c>
      <c r="Q60" s="1468"/>
      <c r="R60" s="48"/>
      <c r="S60" s="48"/>
      <c r="T60" s="48"/>
      <c r="U60" s="48"/>
      <c r="V60" s="48"/>
      <c r="W60" s="48"/>
    </row>
    <row r="62" spans="1:25" ht="18" x14ac:dyDescent="0.35">
      <c r="A62" s="15"/>
      <c r="B62" s="15"/>
      <c r="C62" s="15"/>
      <c r="D62" s="15"/>
      <c r="E62" s="15"/>
      <c r="F62" s="15"/>
      <c r="G62" s="15"/>
      <c r="H62" s="15"/>
      <c r="I62" s="15"/>
      <c r="J62" s="15"/>
      <c r="K62" s="15"/>
      <c r="L62" s="15"/>
      <c r="M62" s="15"/>
      <c r="N62" s="15"/>
      <c r="O62" s="15"/>
      <c r="P62" s="15"/>
      <c r="Q62" s="15"/>
      <c r="R62" s="15"/>
      <c r="S62" s="15"/>
      <c r="T62" s="15"/>
      <c r="U62" s="15"/>
      <c r="V62" s="15"/>
      <c r="W62" s="15"/>
      <c r="X62" s="15"/>
      <c r="Y62" s="15"/>
    </row>
  </sheetData>
  <sheetProtection algorithmName="SHA-512" hashValue="pawmrSk8A0Ez+09TRfnMqCUFxS4t5KnuBwMv9G+e7fdAKwpaQ6zAEtW5PfR/IogpTwKXyE/f6oSWHyZvJzCAaw==" saltValue="NKm60Fk/omfX+8Om1KWIeA==" spinCount="100000" sheet="1" objects="1" scenarios="1" selectLockedCells="1"/>
  <mergeCells count="156">
    <mergeCell ref="A22:D22"/>
    <mergeCell ref="E22:H22"/>
    <mergeCell ref="E33:H33"/>
    <mergeCell ref="E34:H34"/>
    <mergeCell ref="E35:H35"/>
    <mergeCell ref="E36:H36"/>
    <mergeCell ref="E37:H37"/>
    <mergeCell ref="E39:H39"/>
    <mergeCell ref="E40:H40"/>
    <mergeCell ref="A33:D33"/>
    <mergeCell ref="A34:D34"/>
    <mergeCell ref="A35:D35"/>
    <mergeCell ref="A36:D36"/>
    <mergeCell ref="A37:D37"/>
    <mergeCell ref="A39:D39"/>
    <mergeCell ref="A40:D40"/>
    <mergeCell ref="T28:Y28"/>
    <mergeCell ref="J31:L31"/>
    <mergeCell ref="J43:K43"/>
    <mergeCell ref="E24:H25"/>
    <mergeCell ref="E6:H6"/>
    <mergeCell ref="J6:M6"/>
    <mergeCell ref="J8:M8"/>
    <mergeCell ref="J9:M9"/>
    <mergeCell ref="E26:H26"/>
    <mergeCell ref="E27:H27"/>
    <mergeCell ref="E29:H29"/>
    <mergeCell ref="E10:H10"/>
    <mergeCell ref="E11:H11"/>
    <mergeCell ref="J24:M25"/>
    <mergeCell ref="E31:H31"/>
    <mergeCell ref="E32:H32"/>
    <mergeCell ref="E43:H43"/>
    <mergeCell ref="P11:S11"/>
    <mergeCell ref="E9:H9"/>
    <mergeCell ref="P24:S25"/>
    <mergeCell ref="J30:L30"/>
    <mergeCell ref="R20:W21"/>
    <mergeCell ref="T29:Y29"/>
    <mergeCell ref="E41:H41"/>
    <mergeCell ref="A8:D8"/>
    <mergeCell ref="P8:S8"/>
    <mergeCell ref="E8:H8"/>
    <mergeCell ref="A19:D19"/>
    <mergeCell ref="A12:D12"/>
    <mergeCell ref="P12:S12"/>
    <mergeCell ref="A13:D13"/>
    <mergeCell ref="P13:S13"/>
    <mergeCell ref="A14:D14"/>
    <mergeCell ref="A15:D15"/>
    <mergeCell ref="E12:H12"/>
    <mergeCell ref="E13:H13"/>
    <mergeCell ref="E14:H14"/>
    <mergeCell ref="A16:D16"/>
    <mergeCell ref="P16:Q16"/>
    <mergeCell ref="J10:M10"/>
    <mergeCell ref="J11:M11"/>
    <mergeCell ref="J12:M12"/>
    <mergeCell ref="J13:M13"/>
    <mergeCell ref="A9:D9"/>
    <mergeCell ref="P9:S9"/>
    <mergeCell ref="A10:D10"/>
    <mergeCell ref="P10:S10"/>
    <mergeCell ref="A11:D11"/>
    <mergeCell ref="A17:D17"/>
    <mergeCell ref="A18:D18"/>
    <mergeCell ref="P18:S18"/>
    <mergeCell ref="E16:H16"/>
    <mergeCell ref="E17:H17"/>
    <mergeCell ref="E18:H18"/>
    <mergeCell ref="J16:K16"/>
    <mergeCell ref="J18:M18"/>
    <mergeCell ref="A30:D30"/>
    <mergeCell ref="P30:R30"/>
    <mergeCell ref="A20:D20"/>
    <mergeCell ref="A21:D21"/>
    <mergeCell ref="A23:D23"/>
    <mergeCell ref="A24:D24"/>
    <mergeCell ref="E20:H20"/>
    <mergeCell ref="A26:D26"/>
    <mergeCell ref="A27:D27"/>
    <mergeCell ref="P27:S27"/>
    <mergeCell ref="A29:D29"/>
    <mergeCell ref="P29:R29"/>
    <mergeCell ref="J27:M27"/>
    <mergeCell ref="J29:L29"/>
    <mergeCell ref="E21:H21"/>
    <mergeCell ref="E30:H30"/>
    <mergeCell ref="T30:Y30"/>
    <mergeCell ref="P43:Q43"/>
    <mergeCell ref="A52:D52"/>
    <mergeCell ref="A44:D44"/>
    <mergeCell ref="P44:R44"/>
    <mergeCell ref="A45:D45"/>
    <mergeCell ref="P45:Q45"/>
    <mergeCell ref="A46:D46"/>
    <mergeCell ref="E45:H45"/>
    <mergeCell ref="A47:D47"/>
    <mergeCell ref="A48:D48"/>
    <mergeCell ref="A49:C49"/>
    <mergeCell ref="A50:D50"/>
    <mergeCell ref="A51:D51"/>
    <mergeCell ref="E46:H46"/>
    <mergeCell ref="E47:H47"/>
    <mergeCell ref="E50:H50"/>
    <mergeCell ref="E51:H51"/>
    <mergeCell ref="J44:L44"/>
    <mergeCell ref="E52:H52"/>
    <mergeCell ref="J45:K45"/>
    <mergeCell ref="E44:H44"/>
    <mergeCell ref="T31:Y31"/>
    <mergeCell ref="E42:H42"/>
    <mergeCell ref="U8:V8"/>
    <mergeCell ref="A1:C5"/>
    <mergeCell ref="D4:M5"/>
    <mergeCell ref="P4:Y5"/>
    <mergeCell ref="D1:Y3"/>
    <mergeCell ref="A58:D58"/>
    <mergeCell ref="P58:Q58"/>
    <mergeCell ref="A53:D53"/>
    <mergeCell ref="A54:D54"/>
    <mergeCell ref="A55:D55"/>
    <mergeCell ref="A56:D56"/>
    <mergeCell ref="A57:D57"/>
    <mergeCell ref="P57:Q57"/>
    <mergeCell ref="E58:H58"/>
    <mergeCell ref="E54:H54"/>
    <mergeCell ref="E55:H55"/>
    <mergeCell ref="E57:H57"/>
    <mergeCell ref="J58:K58"/>
    <mergeCell ref="J57:K57"/>
    <mergeCell ref="E53:H53"/>
    <mergeCell ref="A31:D31"/>
    <mergeCell ref="P31:R31"/>
    <mergeCell ref="A32:D32"/>
    <mergeCell ref="P32:Q32"/>
    <mergeCell ref="A60:D60"/>
    <mergeCell ref="J60:K60"/>
    <mergeCell ref="P60:Q60"/>
    <mergeCell ref="T34:Y34"/>
    <mergeCell ref="T35:Y35"/>
    <mergeCell ref="T36:Y36"/>
    <mergeCell ref="J32:L32"/>
    <mergeCell ref="J33:L33"/>
    <mergeCell ref="J34:L34"/>
    <mergeCell ref="J35:L35"/>
    <mergeCell ref="J36:L36"/>
    <mergeCell ref="J37:K37"/>
    <mergeCell ref="P33:Q33"/>
    <mergeCell ref="P34:Q34"/>
    <mergeCell ref="P35:Q35"/>
    <mergeCell ref="P36:Q36"/>
    <mergeCell ref="P37:Q37"/>
    <mergeCell ref="A43:D43"/>
    <mergeCell ref="A41:D41"/>
    <mergeCell ref="A42:D42"/>
  </mergeCells>
  <conditionalFormatting sqref="J8:M14 J16:M16 J20:J22 J24 J50:J55 J57:K58 J26:M27 J43:L47 J29:L36 J37 J39:J42 J18 J17 L17:M17 J60 T29:Y31 T34:Y36">
    <cfRule type="notContainsBlanks" dxfId="2226" priority="74">
      <formula>LEN(TRIM(J8))&gt;0</formula>
    </cfRule>
  </conditionalFormatting>
  <conditionalFormatting sqref="T29:T31">
    <cfRule type="expression" dxfId="2225" priority="71" stopIfTrue="1">
      <formula>OR(AND(E29="Other",I29),J29="Other")</formula>
    </cfRule>
    <cfRule type="expression" dxfId="2224" priority="72">
      <formula>TRUE</formula>
    </cfRule>
  </conditionalFormatting>
  <conditionalFormatting sqref="P4:Y5">
    <cfRule type="expression" dxfId="2223" priority="70">
      <formula>startError</formula>
    </cfRule>
  </conditionalFormatting>
  <conditionalFormatting sqref="I8">
    <cfRule type="expression" dxfId="2222" priority="69">
      <formula>LEN(TRIM($I$8))&gt;0</formula>
    </cfRule>
  </conditionalFormatting>
  <conditionalFormatting sqref="I9">
    <cfRule type="expression" dxfId="2221" priority="68">
      <formula>LEN(TRIM($I$9))&gt;0</formula>
    </cfRule>
  </conditionalFormatting>
  <conditionalFormatting sqref="I10">
    <cfRule type="expression" dxfId="2220" priority="67">
      <formula>LEN(TRIM($I$10))&gt;0</formula>
    </cfRule>
  </conditionalFormatting>
  <conditionalFormatting sqref="I11">
    <cfRule type="expression" dxfId="2219" priority="66">
      <formula>LEN(TRIM($I$11))&gt;0</formula>
    </cfRule>
  </conditionalFormatting>
  <conditionalFormatting sqref="I12">
    <cfRule type="expression" dxfId="2218" priority="65">
      <formula>LEN(TRIM($I$12))&gt;0</formula>
    </cfRule>
  </conditionalFormatting>
  <conditionalFormatting sqref="I13">
    <cfRule type="expression" dxfId="2217" priority="64">
      <formula>LEN(TRIM($I$13))&gt;0</formula>
    </cfRule>
  </conditionalFormatting>
  <conditionalFormatting sqref="I14">
    <cfRule type="expression" dxfId="2216" priority="63">
      <formula>LEN(TRIM($I$14))&gt;0</formula>
    </cfRule>
  </conditionalFormatting>
  <conditionalFormatting sqref="I16">
    <cfRule type="expression" dxfId="2215" priority="62">
      <formula>LEN(TRIM($I$16))&gt;0</formula>
    </cfRule>
  </conditionalFormatting>
  <conditionalFormatting sqref="I17">
    <cfRule type="expression" dxfId="2214" priority="61">
      <formula>LEN(TRIM($I$17))&gt;0</formula>
    </cfRule>
  </conditionalFormatting>
  <conditionalFormatting sqref="I18">
    <cfRule type="expression" dxfId="2213" priority="60">
      <formula>LEN(TRIM($I$18))&gt;0</formula>
    </cfRule>
  </conditionalFormatting>
  <conditionalFormatting sqref="I20">
    <cfRule type="expression" dxfId="2212" priority="59">
      <formula>LEN(TRIM($I$20))&gt;0</formula>
    </cfRule>
  </conditionalFormatting>
  <conditionalFormatting sqref="I21">
    <cfRule type="expression" dxfId="2211" priority="58">
      <formula>LEN(TRIM($I$21))&gt;0</formula>
    </cfRule>
  </conditionalFormatting>
  <conditionalFormatting sqref="I24">
    <cfRule type="expression" dxfId="2210" priority="57">
      <formula>LEN(TRIM($I$24))&gt;0</formula>
    </cfRule>
  </conditionalFormatting>
  <conditionalFormatting sqref="I26">
    <cfRule type="expression" dxfId="2209" priority="56">
      <formula>LEN(TRIM($I$26))&gt;0</formula>
    </cfRule>
  </conditionalFormatting>
  <conditionalFormatting sqref="I27">
    <cfRule type="expression" dxfId="2208" priority="55">
      <formula>LEN(TRIM($I$27))&gt;0</formula>
    </cfRule>
  </conditionalFormatting>
  <conditionalFormatting sqref="I29">
    <cfRule type="expression" dxfId="2207" priority="54">
      <formula>LEN(TRIM($I$29))&gt;0</formula>
    </cfRule>
  </conditionalFormatting>
  <conditionalFormatting sqref="I30">
    <cfRule type="expression" dxfId="2206" priority="53">
      <formula>LEN(TRIM($I$30))&gt;0</formula>
    </cfRule>
  </conditionalFormatting>
  <conditionalFormatting sqref="I31">
    <cfRule type="expression" dxfId="2205" priority="52">
      <formula>LEN(TRIM($I$31))&gt;0</formula>
    </cfRule>
  </conditionalFormatting>
  <conditionalFormatting sqref="I32">
    <cfRule type="expression" dxfId="2204" priority="51">
      <formula>LEN(TRIM($I$32))&gt;0</formula>
    </cfRule>
  </conditionalFormatting>
  <conditionalFormatting sqref="I43">
    <cfRule type="expression" dxfId="2203" priority="50">
      <formula>LEN(TRIM($I$43))&gt;0</formula>
    </cfRule>
  </conditionalFormatting>
  <conditionalFormatting sqref="I44">
    <cfRule type="expression" dxfId="2202" priority="49">
      <formula>LEN(TRIM($I$44))&gt;0</formula>
    </cfRule>
  </conditionalFormatting>
  <conditionalFormatting sqref="I45">
    <cfRule type="expression" dxfId="2201" priority="48">
      <formula>LEN(TRIM($I$45))&gt;0</formula>
    </cfRule>
  </conditionalFormatting>
  <conditionalFormatting sqref="I46">
    <cfRule type="expression" dxfId="2200" priority="47">
      <formula>LEN(TRIM($I$46))&gt;0</formula>
    </cfRule>
  </conditionalFormatting>
  <conditionalFormatting sqref="I47">
    <cfRule type="expression" dxfId="2199" priority="46">
      <formula>LEN(TRIM($I$47))&gt;0</formula>
    </cfRule>
  </conditionalFormatting>
  <conditionalFormatting sqref="I50">
    <cfRule type="expression" dxfId="2198" priority="45">
      <formula>LEN(TRIM($I$50))&gt;0</formula>
    </cfRule>
  </conditionalFormatting>
  <conditionalFormatting sqref="I51">
    <cfRule type="expression" dxfId="2197" priority="44">
      <formula>LEN(TRIM($I$51))&gt;0</formula>
    </cfRule>
  </conditionalFormatting>
  <conditionalFormatting sqref="I52">
    <cfRule type="expression" dxfId="2196" priority="43">
      <formula>LEN(TRIM($I$52))&gt;0</formula>
    </cfRule>
  </conditionalFormatting>
  <conditionalFormatting sqref="I53">
    <cfRule type="expression" dxfId="2195" priority="42">
      <formula>LEN(TRIM($I$53))&gt;0</formula>
    </cfRule>
  </conditionalFormatting>
  <conditionalFormatting sqref="I54">
    <cfRule type="expression" dxfId="2194" priority="41">
      <formula>LEN(TRIM($I$54))&gt;0</formula>
    </cfRule>
  </conditionalFormatting>
  <conditionalFormatting sqref="I55">
    <cfRule type="expression" dxfId="2193" priority="40">
      <formula>LEN(TRIM($I$55))&gt;0</formula>
    </cfRule>
  </conditionalFormatting>
  <conditionalFormatting sqref="I57">
    <cfRule type="expression" dxfId="2192" priority="39">
      <formula>LEN(TRIM($I$57))&gt;0</formula>
    </cfRule>
  </conditionalFormatting>
  <conditionalFormatting sqref="I58">
    <cfRule type="expression" dxfId="2191" priority="38">
      <formula>LEN(TRIM($I$58))&gt;0</formula>
    </cfRule>
  </conditionalFormatting>
  <conditionalFormatting sqref="I22">
    <cfRule type="expression" dxfId="2190" priority="37">
      <formula>LEN(TRIM($I$22))&gt;0</formula>
    </cfRule>
  </conditionalFormatting>
  <conditionalFormatting sqref="I33">
    <cfRule type="expression" dxfId="2189" priority="36">
      <formula>LEN(TRIM($I$33))&gt;0</formula>
    </cfRule>
  </conditionalFormatting>
  <conditionalFormatting sqref="I34">
    <cfRule type="expression" dxfId="2188" priority="35">
      <formula>LEN(TRIM($I$34))&gt;0</formula>
    </cfRule>
  </conditionalFormatting>
  <conditionalFormatting sqref="I35">
    <cfRule type="expression" dxfId="2187" priority="34">
      <formula>LEN(TRIM($I$35))&gt;0</formula>
    </cfRule>
  </conditionalFormatting>
  <conditionalFormatting sqref="I36">
    <cfRule type="expression" dxfId="2186" priority="33">
      <formula>LEN(TRIM($I$36))&gt;0</formula>
    </cfRule>
  </conditionalFormatting>
  <conditionalFormatting sqref="I37">
    <cfRule type="expression" dxfId="2185" priority="32">
      <formula>LEN(TRIM($I$37))&gt;0</formula>
    </cfRule>
  </conditionalFormatting>
  <conditionalFormatting sqref="I39">
    <cfRule type="expression" dxfId="2184" priority="30">
      <formula>LEN(TRIM($I$39))&gt;0</formula>
    </cfRule>
  </conditionalFormatting>
  <conditionalFormatting sqref="I40">
    <cfRule type="expression" dxfId="2183" priority="29">
      <formula>LEN(TRIM($I$40))&gt;0</formula>
    </cfRule>
  </conditionalFormatting>
  <conditionalFormatting sqref="I41">
    <cfRule type="expression" dxfId="2182" priority="28">
      <formula>LEN(TRIM($I$41))&gt;0</formula>
    </cfRule>
  </conditionalFormatting>
  <conditionalFormatting sqref="I42">
    <cfRule type="expression" dxfId="2181" priority="27">
      <formula>LEN(TRIM($I$42))&gt;0</formula>
    </cfRule>
  </conditionalFormatting>
  <conditionalFormatting sqref="J33">
    <cfRule type="expression" dxfId="2180" priority="15">
      <formula>I33</formula>
    </cfRule>
    <cfRule type="notContainsBlanks" dxfId="2179" priority="16">
      <formula>LEN(TRIM(J33))&gt;0</formula>
    </cfRule>
  </conditionalFormatting>
  <conditionalFormatting sqref="J34">
    <cfRule type="expression" dxfId="2178" priority="13">
      <formula>I34</formula>
    </cfRule>
    <cfRule type="notContainsBlanks" dxfId="2177" priority="14">
      <formula>LEN(TRIM(J34))&gt;0</formula>
    </cfRule>
  </conditionalFormatting>
  <conditionalFormatting sqref="J35">
    <cfRule type="expression" dxfId="2176" priority="11">
      <formula>I35</formula>
    </cfRule>
    <cfRule type="notContainsBlanks" dxfId="2175" priority="12">
      <formula>LEN(TRIM(J35))&gt;0</formula>
    </cfRule>
  </conditionalFormatting>
  <conditionalFormatting sqref="J36">
    <cfRule type="expression" dxfId="2174" priority="9">
      <formula>I36</formula>
    </cfRule>
    <cfRule type="notContainsBlanks" dxfId="2173" priority="10">
      <formula>LEN(TRIM(J36))&gt;0</formula>
    </cfRule>
  </conditionalFormatting>
  <conditionalFormatting sqref="J37">
    <cfRule type="expression" dxfId="2172" priority="7">
      <formula>I37</formula>
    </cfRule>
    <cfRule type="notContainsBlanks" dxfId="2171" priority="8">
      <formula>LEN(TRIM(J37))&gt;0</formula>
    </cfRule>
  </conditionalFormatting>
  <conditionalFormatting sqref="J39">
    <cfRule type="notContainsBlanks" dxfId="2170" priority="6">
      <formula>LEN(TRIM(J39))&gt;0</formula>
    </cfRule>
  </conditionalFormatting>
  <conditionalFormatting sqref="J40">
    <cfRule type="notContainsBlanks" dxfId="2169" priority="5">
      <formula>LEN(TRIM(J40))&gt;0</formula>
    </cfRule>
  </conditionalFormatting>
  <conditionalFormatting sqref="J41">
    <cfRule type="notContainsBlanks" dxfId="2168" priority="4">
      <formula>LEN(TRIM(J41))&gt;0</formula>
    </cfRule>
  </conditionalFormatting>
  <conditionalFormatting sqref="J42">
    <cfRule type="notContainsBlanks" dxfId="2167" priority="3">
      <formula>LEN(TRIM(J42))&gt;0</formula>
    </cfRule>
  </conditionalFormatting>
  <conditionalFormatting sqref="J8:M14 J16:M16 J20:J22 J24 J50:J55 J57:K58 J26:M27 J43:L47 J29:L36 J37 J39:J42 J18:M18 J17 L17:M17">
    <cfRule type="expression" dxfId="2166" priority="73">
      <formula>I8</formula>
    </cfRule>
  </conditionalFormatting>
  <conditionalFormatting sqref="T34:T36">
    <cfRule type="expression" dxfId="2165" priority="1" stopIfTrue="1">
      <formula>OR(AND(E34="Other",I34),J34="Other")</formula>
    </cfRule>
    <cfRule type="expression" dxfId="2164" priority="2">
      <formula>TRUE</formula>
    </cfRule>
  </conditionalFormatting>
  <dataValidations xWindow="570" yWindow="734" count="25">
    <dataValidation type="whole" allowBlank="1" showInputMessage="1" showErrorMessage="1" error="Must enter a whole number." sqref="P17 J17" xr:uid="{00000000-0002-0000-0E00-000000000000}">
      <formula1>0</formula1>
      <formula2>100000000000</formula2>
    </dataValidation>
    <dataValidation type="list" allowBlank="1" showInputMessage="1" showErrorMessage="1" error="Please use the dropdown." sqref="P50 J50" xr:uid="{00000000-0002-0000-0E00-000001000000}">
      <formula1>INDIRECT($N$50)</formula1>
    </dataValidation>
    <dataValidation type="list" allowBlank="1" showInputMessage="1" showErrorMessage="1" error="Please use the dropdown." sqref="J58:K58 P58:Q58" xr:uid="{00000000-0002-0000-0E00-000002000000}">
      <formula1>INDIRECT($N$58)</formula1>
    </dataValidation>
    <dataValidation type="list" allowBlank="1" showInputMessage="1" showErrorMessage="1" error="Please use the dropdown." sqref="P57:Q57 J57:K57" xr:uid="{00000000-0002-0000-0E00-000003000000}">
      <formula1>INDIRECT($N$57)</formula1>
    </dataValidation>
    <dataValidation type="list" allowBlank="1" showInputMessage="1" showErrorMessage="1" error="Please use the dropdown." sqref="P55 J55" xr:uid="{00000000-0002-0000-0E00-000004000000}">
      <formula1>INDIRECT($N$55)</formula1>
    </dataValidation>
    <dataValidation type="list" allowBlank="1" showInputMessage="1" showErrorMessage="1" error="Please use the dropdown." sqref="P54 J54" xr:uid="{00000000-0002-0000-0E00-000005000000}">
      <formula1>INDIRECT($N$54)</formula1>
    </dataValidation>
    <dataValidation type="list" allowBlank="1" showInputMessage="1" showErrorMessage="1" error="Please use the dropdown." sqref="P53 J53" xr:uid="{00000000-0002-0000-0E00-000006000000}">
      <formula1>INDIRECT($N$53)</formula1>
    </dataValidation>
    <dataValidation type="list" allowBlank="1" showInputMessage="1" showErrorMessage="1" error="Please use the dropdown." sqref="P52 J52" xr:uid="{00000000-0002-0000-0E00-000007000000}">
      <formula1>INDIRECT($N$52)</formula1>
    </dataValidation>
    <dataValidation type="list" allowBlank="1" showInputMessage="1" showErrorMessage="1" error="Please use the dropdown." sqref="P51 J51" xr:uid="{00000000-0002-0000-0E00-000008000000}">
      <formula1>INDIRECT($N$51)</formula1>
    </dataValidation>
    <dataValidation type="list" allowBlank="1" showInputMessage="1" showErrorMessage="1" error="Please use the dropdown." sqref="P47 J47" xr:uid="{00000000-0002-0000-0E00-000009000000}">
      <formula1>INDIRECT($N$47)</formula1>
    </dataValidation>
    <dataValidation type="list" allowBlank="1" showInputMessage="1" showErrorMessage="1" error="Please use the dropdown." sqref="P46 J46" xr:uid="{00000000-0002-0000-0E00-00000A000000}">
      <formula1>INDIRECT($N$46)</formula1>
    </dataValidation>
    <dataValidation type="list" allowBlank="1" showInputMessage="1" showErrorMessage="1" error="Please use the dropdown." sqref="P45:Q45 J45:K45" xr:uid="{00000000-0002-0000-0E00-00000B000000}">
      <formula1>INDIRECT($N$45)</formula1>
    </dataValidation>
    <dataValidation type="list" allowBlank="1" showInputMessage="1" showErrorMessage="1" error="Please use the dropdown." sqref="P44:R44 J44:L44" xr:uid="{00000000-0002-0000-0E00-00000C000000}">
      <formula1>INDIRECT($N$44)</formula1>
    </dataValidation>
    <dataValidation type="list" allowBlank="1" showInputMessage="1" showErrorMessage="1" error="Please use the dropdown." sqref="P43:Q43 J43:K43" xr:uid="{00000000-0002-0000-0E00-00000D000000}">
      <formula1>INDIRECT($N$43)</formula1>
    </dataValidation>
    <dataValidation type="list" allowBlank="1" showInputMessage="1" showErrorMessage="1" error="Please use the dropdown." sqref="P39:P42 P32:Q37" xr:uid="{00000000-0002-0000-0E00-00000E000000}">
      <formula1>INDIRECT($N$32)</formula1>
    </dataValidation>
    <dataValidation type="list" allowBlank="1" showInputMessage="1" showErrorMessage="1" error="Please use the dropdown." sqref="P31:R31 J31:L31" xr:uid="{00000000-0002-0000-0E00-00000F000000}">
      <formula1>INDIRECT($N$31)</formula1>
    </dataValidation>
    <dataValidation type="list" allowBlank="1" showInputMessage="1" showErrorMessage="1" error="Please use the dropdown." sqref="P30:R30 J30:L30" xr:uid="{00000000-0002-0000-0E00-000010000000}">
      <formula1>INDIRECT($N$30)</formula1>
    </dataValidation>
    <dataValidation type="list" allowBlank="1" showInputMessage="1" showErrorMessage="1" error="Please use the dropdown." sqref="P29:R29 J29:L29" xr:uid="{00000000-0002-0000-0E00-000011000000}">
      <formula1>INDIRECT($N$29)</formula1>
    </dataValidation>
    <dataValidation type="list" allowBlank="1" showInputMessage="1" showErrorMessage="1" error="Please use the dropdown." sqref="J27:M27 P27:S27" xr:uid="{00000000-0002-0000-0E00-000012000000}">
      <formula1>INDIRECT($N$27)</formula1>
    </dataValidation>
    <dataValidation type="list" allowBlank="1" showInputMessage="1" showErrorMessage="1" error="Please use the dropdown." sqref="P16:Q16 J16:K16" xr:uid="{00000000-0002-0000-0E00-000013000000}">
      <formula1>INDIRECT($N$16)</formula1>
    </dataValidation>
    <dataValidation type="list" allowBlank="1" showDropDown="1" showInputMessage="1" showErrorMessage="1" error="Use Checkbox" prompt="Use Checkbox" sqref="I29:I37 I50:I55 I20:I22 I24 I8:I14 I16:I18 I26:I27 I39:I47 I57:I58" xr:uid="{00000000-0002-0000-0E00-000014000000}">
      <formula1>TorF</formula1>
    </dataValidation>
    <dataValidation type="list" allowBlank="1" showInputMessage="1" showErrorMessage="1" error="Please use the dropdown." sqref="J35:L35 J32:L32 J33:L33 J34:L34 J36:L36 J37:K37" xr:uid="{00000000-0002-0000-0E00-000015000000}">
      <formula1>INDIRECT(N32)</formula1>
    </dataValidation>
    <dataValidation type="decimal" allowBlank="1" showInputMessage="1" showErrorMessage="1" error="Enter a decimal between 0 and 1." prompt="Enter the U-value." sqref="J41:J42" xr:uid="{00000000-0002-0000-0E00-000016000000}">
      <formula1>0</formula1>
      <formula2>1</formula2>
    </dataValidation>
    <dataValidation type="decimal" allowBlank="1" showInputMessage="1" showErrorMessage="1" error="Enter a decimal between 0 and 1." prompt="Enter the SHGC value." sqref="J39:J40" xr:uid="{00000000-0002-0000-0E00-000017000000}">
      <formula1>0</formula1>
      <formula2>1</formula2>
    </dataValidation>
    <dataValidation type="whole" allowBlank="1" showInputMessage="1" showErrorMessage="1" error="Enter a whole number between 1 and 1000." prompt="Enter the number of stories above grade." sqref="J22" xr:uid="{00000000-0002-0000-0E00-000018000000}">
      <formula1>1</formula1>
      <formula2>1000</formula2>
    </dataValidation>
  </dataValidations>
  <pageMargins left="0.7" right="0.7" top="0.75" bottom="0.75" header="0.3" footer="0.3"/>
  <pageSetup scale="7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7692" r:id="rId4" name="Check Box 44">
              <controlPr locked="0" defaultSize="0" autoFill="0" autoLine="0" autoPict="0">
                <anchor moveWithCells="1">
                  <from>
                    <xdr:col>8</xdr:col>
                    <xdr:colOff>0</xdr:colOff>
                    <xdr:row>7</xdr:row>
                    <xdr:rowOff>0</xdr:rowOff>
                  </from>
                  <to>
                    <xdr:col>8</xdr:col>
                    <xdr:colOff>182880</xdr:colOff>
                    <xdr:row>7</xdr:row>
                    <xdr:rowOff>182880</xdr:rowOff>
                  </to>
                </anchor>
              </controlPr>
            </control>
          </mc:Choice>
        </mc:AlternateContent>
        <mc:AlternateContent xmlns:mc="http://schemas.openxmlformats.org/markup-compatibility/2006">
          <mc:Choice Requires="x14">
            <control shapeId="27693" r:id="rId5" name="Check Box 45">
              <controlPr locked="0" defaultSize="0" autoFill="0" autoLine="0" autoPict="0">
                <anchor moveWithCells="1">
                  <from>
                    <xdr:col>8</xdr:col>
                    <xdr:colOff>0</xdr:colOff>
                    <xdr:row>8</xdr:row>
                    <xdr:rowOff>0</xdr:rowOff>
                  </from>
                  <to>
                    <xdr:col>8</xdr:col>
                    <xdr:colOff>182880</xdr:colOff>
                    <xdr:row>8</xdr:row>
                    <xdr:rowOff>182880</xdr:rowOff>
                  </to>
                </anchor>
              </controlPr>
            </control>
          </mc:Choice>
        </mc:AlternateContent>
        <mc:AlternateContent xmlns:mc="http://schemas.openxmlformats.org/markup-compatibility/2006">
          <mc:Choice Requires="x14">
            <control shapeId="27694" r:id="rId6" name="Check Box 46">
              <controlPr locked="0" defaultSize="0" autoFill="0" autoLine="0" autoPict="0">
                <anchor moveWithCells="1">
                  <from>
                    <xdr:col>8</xdr:col>
                    <xdr:colOff>0</xdr:colOff>
                    <xdr:row>9</xdr:row>
                    <xdr:rowOff>0</xdr:rowOff>
                  </from>
                  <to>
                    <xdr:col>8</xdr:col>
                    <xdr:colOff>182880</xdr:colOff>
                    <xdr:row>9</xdr:row>
                    <xdr:rowOff>182880</xdr:rowOff>
                  </to>
                </anchor>
              </controlPr>
            </control>
          </mc:Choice>
        </mc:AlternateContent>
        <mc:AlternateContent xmlns:mc="http://schemas.openxmlformats.org/markup-compatibility/2006">
          <mc:Choice Requires="x14">
            <control shapeId="27695" r:id="rId7" name="Check Box 47">
              <controlPr locked="0" defaultSize="0" autoFill="0" autoLine="0" autoPict="0">
                <anchor moveWithCells="1">
                  <from>
                    <xdr:col>8</xdr:col>
                    <xdr:colOff>0</xdr:colOff>
                    <xdr:row>10</xdr:row>
                    <xdr:rowOff>0</xdr:rowOff>
                  </from>
                  <to>
                    <xdr:col>8</xdr:col>
                    <xdr:colOff>182880</xdr:colOff>
                    <xdr:row>10</xdr:row>
                    <xdr:rowOff>182880</xdr:rowOff>
                  </to>
                </anchor>
              </controlPr>
            </control>
          </mc:Choice>
        </mc:AlternateContent>
        <mc:AlternateContent xmlns:mc="http://schemas.openxmlformats.org/markup-compatibility/2006">
          <mc:Choice Requires="x14">
            <control shapeId="27696" r:id="rId8" name="Check Box 48">
              <controlPr locked="0" defaultSize="0" autoFill="0" autoLine="0" autoPict="0">
                <anchor moveWithCells="1">
                  <from>
                    <xdr:col>8</xdr:col>
                    <xdr:colOff>0</xdr:colOff>
                    <xdr:row>11</xdr:row>
                    <xdr:rowOff>0</xdr:rowOff>
                  </from>
                  <to>
                    <xdr:col>8</xdr:col>
                    <xdr:colOff>182880</xdr:colOff>
                    <xdr:row>11</xdr:row>
                    <xdr:rowOff>182880</xdr:rowOff>
                  </to>
                </anchor>
              </controlPr>
            </control>
          </mc:Choice>
        </mc:AlternateContent>
        <mc:AlternateContent xmlns:mc="http://schemas.openxmlformats.org/markup-compatibility/2006">
          <mc:Choice Requires="x14">
            <control shapeId="27697" r:id="rId9" name="Check Box 49">
              <controlPr locked="0" defaultSize="0" autoFill="0" autoLine="0" autoPict="0">
                <anchor moveWithCells="1">
                  <from>
                    <xdr:col>8</xdr:col>
                    <xdr:colOff>0</xdr:colOff>
                    <xdr:row>12</xdr:row>
                    <xdr:rowOff>0</xdr:rowOff>
                  </from>
                  <to>
                    <xdr:col>8</xdr:col>
                    <xdr:colOff>182880</xdr:colOff>
                    <xdr:row>12</xdr:row>
                    <xdr:rowOff>182880</xdr:rowOff>
                  </to>
                </anchor>
              </controlPr>
            </control>
          </mc:Choice>
        </mc:AlternateContent>
        <mc:AlternateContent xmlns:mc="http://schemas.openxmlformats.org/markup-compatibility/2006">
          <mc:Choice Requires="x14">
            <control shapeId="27698" r:id="rId10" name="Check Box 50">
              <controlPr locked="0" defaultSize="0" autoFill="0" autoLine="0" autoPict="0">
                <anchor moveWithCells="1">
                  <from>
                    <xdr:col>8</xdr:col>
                    <xdr:colOff>0</xdr:colOff>
                    <xdr:row>13</xdr:row>
                    <xdr:rowOff>0</xdr:rowOff>
                  </from>
                  <to>
                    <xdr:col>8</xdr:col>
                    <xdr:colOff>182880</xdr:colOff>
                    <xdr:row>13</xdr:row>
                    <xdr:rowOff>182880</xdr:rowOff>
                  </to>
                </anchor>
              </controlPr>
            </control>
          </mc:Choice>
        </mc:AlternateContent>
        <mc:AlternateContent xmlns:mc="http://schemas.openxmlformats.org/markup-compatibility/2006">
          <mc:Choice Requires="x14">
            <control shapeId="27699" r:id="rId11" name="Check Box 51">
              <controlPr locked="0" defaultSize="0" autoFill="0" autoLine="0" autoPict="0">
                <anchor moveWithCells="1">
                  <from>
                    <xdr:col>8</xdr:col>
                    <xdr:colOff>0</xdr:colOff>
                    <xdr:row>15</xdr:row>
                    <xdr:rowOff>0</xdr:rowOff>
                  </from>
                  <to>
                    <xdr:col>8</xdr:col>
                    <xdr:colOff>182880</xdr:colOff>
                    <xdr:row>15</xdr:row>
                    <xdr:rowOff>182880</xdr:rowOff>
                  </to>
                </anchor>
              </controlPr>
            </control>
          </mc:Choice>
        </mc:AlternateContent>
        <mc:AlternateContent xmlns:mc="http://schemas.openxmlformats.org/markup-compatibility/2006">
          <mc:Choice Requires="x14">
            <control shapeId="27700" r:id="rId12" name="Check Box 52">
              <controlPr locked="0" defaultSize="0" autoFill="0" autoLine="0" autoPict="0">
                <anchor moveWithCells="1">
                  <from>
                    <xdr:col>8</xdr:col>
                    <xdr:colOff>0</xdr:colOff>
                    <xdr:row>16</xdr:row>
                    <xdr:rowOff>0</xdr:rowOff>
                  </from>
                  <to>
                    <xdr:col>8</xdr:col>
                    <xdr:colOff>182880</xdr:colOff>
                    <xdr:row>16</xdr:row>
                    <xdr:rowOff>182880</xdr:rowOff>
                  </to>
                </anchor>
              </controlPr>
            </control>
          </mc:Choice>
        </mc:AlternateContent>
        <mc:AlternateContent xmlns:mc="http://schemas.openxmlformats.org/markup-compatibility/2006">
          <mc:Choice Requires="x14">
            <control shapeId="27701" r:id="rId13" name="Check Box 53">
              <controlPr locked="0" defaultSize="0" autoFill="0" autoLine="0" autoPict="0">
                <anchor moveWithCells="1">
                  <from>
                    <xdr:col>8</xdr:col>
                    <xdr:colOff>0</xdr:colOff>
                    <xdr:row>17</xdr:row>
                    <xdr:rowOff>0</xdr:rowOff>
                  </from>
                  <to>
                    <xdr:col>8</xdr:col>
                    <xdr:colOff>182880</xdr:colOff>
                    <xdr:row>17</xdr:row>
                    <xdr:rowOff>182880</xdr:rowOff>
                  </to>
                </anchor>
              </controlPr>
            </control>
          </mc:Choice>
        </mc:AlternateContent>
        <mc:AlternateContent xmlns:mc="http://schemas.openxmlformats.org/markup-compatibility/2006">
          <mc:Choice Requires="x14">
            <control shapeId="27702" r:id="rId14" name="Check Box 54">
              <controlPr locked="0" defaultSize="0" autoFill="0" autoLine="0" autoPict="0">
                <anchor moveWithCells="1">
                  <from>
                    <xdr:col>8</xdr:col>
                    <xdr:colOff>0</xdr:colOff>
                    <xdr:row>19</xdr:row>
                    <xdr:rowOff>0</xdr:rowOff>
                  </from>
                  <to>
                    <xdr:col>8</xdr:col>
                    <xdr:colOff>182880</xdr:colOff>
                    <xdr:row>19</xdr:row>
                    <xdr:rowOff>182880</xdr:rowOff>
                  </to>
                </anchor>
              </controlPr>
            </control>
          </mc:Choice>
        </mc:AlternateContent>
        <mc:AlternateContent xmlns:mc="http://schemas.openxmlformats.org/markup-compatibility/2006">
          <mc:Choice Requires="x14">
            <control shapeId="27703" r:id="rId15" name="Check Box 55">
              <controlPr locked="0" defaultSize="0" autoFill="0" autoLine="0" autoPict="0">
                <anchor moveWithCells="1">
                  <from>
                    <xdr:col>8</xdr:col>
                    <xdr:colOff>0</xdr:colOff>
                    <xdr:row>20</xdr:row>
                    <xdr:rowOff>0</xdr:rowOff>
                  </from>
                  <to>
                    <xdr:col>8</xdr:col>
                    <xdr:colOff>182880</xdr:colOff>
                    <xdr:row>20</xdr:row>
                    <xdr:rowOff>182880</xdr:rowOff>
                  </to>
                </anchor>
              </controlPr>
            </control>
          </mc:Choice>
        </mc:AlternateContent>
        <mc:AlternateContent xmlns:mc="http://schemas.openxmlformats.org/markup-compatibility/2006">
          <mc:Choice Requires="x14">
            <control shapeId="27704" r:id="rId16" name="Check Box 56">
              <controlPr locked="0" defaultSize="0" autoFill="0" autoLine="0" autoPict="0">
                <anchor moveWithCells="1">
                  <from>
                    <xdr:col>8</xdr:col>
                    <xdr:colOff>0</xdr:colOff>
                    <xdr:row>23</xdr:row>
                    <xdr:rowOff>0</xdr:rowOff>
                  </from>
                  <to>
                    <xdr:col>8</xdr:col>
                    <xdr:colOff>182880</xdr:colOff>
                    <xdr:row>23</xdr:row>
                    <xdr:rowOff>182880</xdr:rowOff>
                  </to>
                </anchor>
              </controlPr>
            </control>
          </mc:Choice>
        </mc:AlternateContent>
        <mc:AlternateContent xmlns:mc="http://schemas.openxmlformats.org/markup-compatibility/2006">
          <mc:Choice Requires="x14">
            <control shapeId="27705" r:id="rId17" name="Check Box 57">
              <controlPr locked="0" defaultSize="0" autoFill="0" autoLine="0" autoPict="0">
                <anchor moveWithCells="1">
                  <from>
                    <xdr:col>8</xdr:col>
                    <xdr:colOff>0</xdr:colOff>
                    <xdr:row>25</xdr:row>
                    <xdr:rowOff>0</xdr:rowOff>
                  </from>
                  <to>
                    <xdr:col>8</xdr:col>
                    <xdr:colOff>182880</xdr:colOff>
                    <xdr:row>25</xdr:row>
                    <xdr:rowOff>182880</xdr:rowOff>
                  </to>
                </anchor>
              </controlPr>
            </control>
          </mc:Choice>
        </mc:AlternateContent>
        <mc:AlternateContent xmlns:mc="http://schemas.openxmlformats.org/markup-compatibility/2006">
          <mc:Choice Requires="x14">
            <control shapeId="27706" r:id="rId18" name="Check Box 58">
              <controlPr locked="0" defaultSize="0" autoFill="0" autoLine="0" autoPict="0">
                <anchor moveWithCells="1">
                  <from>
                    <xdr:col>8</xdr:col>
                    <xdr:colOff>0</xdr:colOff>
                    <xdr:row>26</xdr:row>
                    <xdr:rowOff>0</xdr:rowOff>
                  </from>
                  <to>
                    <xdr:col>8</xdr:col>
                    <xdr:colOff>182880</xdr:colOff>
                    <xdr:row>26</xdr:row>
                    <xdr:rowOff>182880</xdr:rowOff>
                  </to>
                </anchor>
              </controlPr>
            </control>
          </mc:Choice>
        </mc:AlternateContent>
        <mc:AlternateContent xmlns:mc="http://schemas.openxmlformats.org/markup-compatibility/2006">
          <mc:Choice Requires="x14">
            <control shapeId="27707" r:id="rId19" name="Check Box 59">
              <controlPr locked="0" defaultSize="0" autoFill="0" autoLine="0" autoPict="0">
                <anchor moveWithCells="1">
                  <from>
                    <xdr:col>8</xdr:col>
                    <xdr:colOff>0</xdr:colOff>
                    <xdr:row>28</xdr:row>
                    <xdr:rowOff>0</xdr:rowOff>
                  </from>
                  <to>
                    <xdr:col>8</xdr:col>
                    <xdr:colOff>182880</xdr:colOff>
                    <xdr:row>28</xdr:row>
                    <xdr:rowOff>182880</xdr:rowOff>
                  </to>
                </anchor>
              </controlPr>
            </control>
          </mc:Choice>
        </mc:AlternateContent>
        <mc:AlternateContent xmlns:mc="http://schemas.openxmlformats.org/markup-compatibility/2006">
          <mc:Choice Requires="x14">
            <control shapeId="27708" r:id="rId20" name="Check Box 60">
              <controlPr locked="0" defaultSize="0" autoFill="0" autoLine="0" autoPict="0">
                <anchor moveWithCells="1">
                  <from>
                    <xdr:col>8</xdr:col>
                    <xdr:colOff>0</xdr:colOff>
                    <xdr:row>29</xdr:row>
                    <xdr:rowOff>0</xdr:rowOff>
                  </from>
                  <to>
                    <xdr:col>8</xdr:col>
                    <xdr:colOff>182880</xdr:colOff>
                    <xdr:row>29</xdr:row>
                    <xdr:rowOff>182880</xdr:rowOff>
                  </to>
                </anchor>
              </controlPr>
            </control>
          </mc:Choice>
        </mc:AlternateContent>
        <mc:AlternateContent xmlns:mc="http://schemas.openxmlformats.org/markup-compatibility/2006">
          <mc:Choice Requires="x14">
            <control shapeId="27709" r:id="rId21" name="Check Box 61">
              <controlPr locked="0" defaultSize="0" autoFill="0" autoLine="0" autoPict="0">
                <anchor moveWithCells="1">
                  <from>
                    <xdr:col>8</xdr:col>
                    <xdr:colOff>0</xdr:colOff>
                    <xdr:row>30</xdr:row>
                    <xdr:rowOff>0</xdr:rowOff>
                  </from>
                  <to>
                    <xdr:col>8</xdr:col>
                    <xdr:colOff>182880</xdr:colOff>
                    <xdr:row>30</xdr:row>
                    <xdr:rowOff>182880</xdr:rowOff>
                  </to>
                </anchor>
              </controlPr>
            </control>
          </mc:Choice>
        </mc:AlternateContent>
        <mc:AlternateContent xmlns:mc="http://schemas.openxmlformats.org/markup-compatibility/2006">
          <mc:Choice Requires="x14">
            <control shapeId="27710" r:id="rId22" name="Check Box 62">
              <controlPr locked="0" defaultSize="0" autoFill="0" autoLine="0" autoPict="0">
                <anchor moveWithCells="1">
                  <from>
                    <xdr:col>8</xdr:col>
                    <xdr:colOff>0</xdr:colOff>
                    <xdr:row>31</xdr:row>
                    <xdr:rowOff>0</xdr:rowOff>
                  </from>
                  <to>
                    <xdr:col>8</xdr:col>
                    <xdr:colOff>182880</xdr:colOff>
                    <xdr:row>31</xdr:row>
                    <xdr:rowOff>182880</xdr:rowOff>
                  </to>
                </anchor>
              </controlPr>
            </control>
          </mc:Choice>
        </mc:AlternateContent>
        <mc:AlternateContent xmlns:mc="http://schemas.openxmlformats.org/markup-compatibility/2006">
          <mc:Choice Requires="x14">
            <control shapeId="27711" r:id="rId23" name="Check Box 63">
              <controlPr locked="0" defaultSize="0" autoFill="0" autoLine="0" autoPict="0">
                <anchor moveWithCells="1">
                  <from>
                    <xdr:col>8</xdr:col>
                    <xdr:colOff>0</xdr:colOff>
                    <xdr:row>42</xdr:row>
                    <xdr:rowOff>0</xdr:rowOff>
                  </from>
                  <to>
                    <xdr:col>8</xdr:col>
                    <xdr:colOff>182880</xdr:colOff>
                    <xdr:row>42</xdr:row>
                    <xdr:rowOff>182880</xdr:rowOff>
                  </to>
                </anchor>
              </controlPr>
            </control>
          </mc:Choice>
        </mc:AlternateContent>
        <mc:AlternateContent xmlns:mc="http://schemas.openxmlformats.org/markup-compatibility/2006">
          <mc:Choice Requires="x14">
            <control shapeId="27712" r:id="rId24" name="Check Box 64">
              <controlPr locked="0" defaultSize="0" autoFill="0" autoLine="0" autoPict="0">
                <anchor moveWithCells="1">
                  <from>
                    <xdr:col>8</xdr:col>
                    <xdr:colOff>0</xdr:colOff>
                    <xdr:row>43</xdr:row>
                    <xdr:rowOff>0</xdr:rowOff>
                  </from>
                  <to>
                    <xdr:col>8</xdr:col>
                    <xdr:colOff>182880</xdr:colOff>
                    <xdr:row>43</xdr:row>
                    <xdr:rowOff>182880</xdr:rowOff>
                  </to>
                </anchor>
              </controlPr>
            </control>
          </mc:Choice>
        </mc:AlternateContent>
        <mc:AlternateContent xmlns:mc="http://schemas.openxmlformats.org/markup-compatibility/2006">
          <mc:Choice Requires="x14">
            <control shapeId="27713" r:id="rId25" name="Check Box 65">
              <controlPr locked="0" defaultSize="0" autoFill="0" autoLine="0" autoPict="0">
                <anchor moveWithCells="1">
                  <from>
                    <xdr:col>8</xdr:col>
                    <xdr:colOff>0</xdr:colOff>
                    <xdr:row>44</xdr:row>
                    <xdr:rowOff>0</xdr:rowOff>
                  </from>
                  <to>
                    <xdr:col>8</xdr:col>
                    <xdr:colOff>182880</xdr:colOff>
                    <xdr:row>44</xdr:row>
                    <xdr:rowOff>182880</xdr:rowOff>
                  </to>
                </anchor>
              </controlPr>
            </control>
          </mc:Choice>
        </mc:AlternateContent>
        <mc:AlternateContent xmlns:mc="http://schemas.openxmlformats.org/markup-compatibility/2006">
          <mc:Choice Requires="x14">
            <control shapeId="27714" r:id="rId26" name="Check Box 66">
              <controlPr locked="0" defaultSize="0" autoFill="0" autoLine="0" autoPict="0">
                <anchor moveWithCells="1">
                  <from>
                    <xdr:col>8</xdr:col>
                    <xdr:colOff>0</xdr:colOff>
                    <xdr:row>45</xdr:row>
                    <xdr:rowOff>0</xdr:rowOff>
                  </from>
                  <to>
                    <xdr:col>8</xdr:col>
                    <xdr:colOff>182880</xdr:colOff>
                    <xdr:row>45</xdr:row>
                    <xdr:rowOff>182880</xdr:rowOff>
                  </to>
                </anchor>
              </controlPr>
            </control>
          </mc:Choice>
        </mc:AlternateContent>
        <mc:AlternateContent xmlns:mc="http://schemas.openxmlformats.org/markup-compatibility/2006">
          <mc:Choice Requires="x14">
            <control shapeId="27715" r:id="rId27" name="Check Box 67">
              <controlPr locked="0" defaultSize="0" autoFill="0" autoLine="0" autoPict="0">
                <anchor moveWithCells="1">
                  <from>
                    <xdr:col>8</xdr:col>
                    <xdr:colOff>0</xdr:colOff>
                    <xdr:row>46</xdr:row>
                    <xdr:rowOff>0</xdr:rowOff>
                  </from>
                  <to>
                    <xdr:col>8</xdr:col>
                    <xdr:colOff>182880</xdr:colOff>
                    <xdr:row>46</xdr:row>
                    <xdr:rowOff>182880</xdr:rowOff>
                  </to>
                </anchor>
              </controlPr>
            </control>
          </mc:Choice>
        </mc:AlternateContent>
        <mc:AlternateContent xmlns:mc="http://schemas.openxmlformats.org/markup-compatibility/2006">
          <mc:Choice Requires="x14">
            <control shapeId="27716" r:id="rId28" name="Check Box 68">
              <controlPr locked="0" defaultSize="0" autoFill="0" autoLine="0" autoPict="0">
                <anchor moveWithCells="1">
                  <from>
                    <xdr:col>8</xdr:col>
                    <xdr:colOff>0</xdr:colOff>
                    <xdr:row>49</xdr:row>
                    <xdr:rowOff>0</xdr:rowOff>
                  </from>
                  <to>
                    <xdr:col>8</xdr:col>
                    <xdr:colOff>182880</xdr:colOff>
                    <xdr:row>49</xdr:row>
                    <xdr:rowOff>182880</xdr:rowOff>
                  </to>
                </anchor>
              </controlPr>
            </control>
          </mc:Choice>
        </mc:AlternateContent>
        <mc:AlternateContent xmlns:mc="http://schemas.openxmlformats.org/markup-compatibility/2006">
          <mc:Choice Requires="x14">
            <control shapeId="27717" r:id="rId29" name="Check Box 69">
              <controlPr locked="0" defaultSize="0" autoFill="0" autoLine="0" autoPict="0">
                <anchor moveWithCells="1">
                  <from>
                    <xdr:col>8</xdr:col>
                    <xdr:colOff>0</xdr:colOff>
                    <xdr:row>50</xdr:row>
                    <xdr:rowOff>0</xdr:rowOff>
                  </from>
                  <to>
                    <xdr:col>8</xdr:col>
                    <xdr:colOff>182880</xdr:colOff>
                    <xdr:row>50</xdr:row>
                    <xdr:rowOff>182880</xdr:rowOff>
                  </to>
                </anchor>
              </controlPr>
            </control>
          </mc:Choice>
        </mc:AlternateContent>
        <mc:AlternateContent xmlns:mc="http://schemas.openxmlformats.org/markup-compatibility/2006">
          <mc:Choice Requires="x14">
            <control shapeId="27718" r:id="rId30" name="Check Box 70">
              <controlPr locked="0" defaultSize="0" autoFill="0" autoLine="0" autoPict="0">
                <anchor moveWithCells="1">
                  <from>
                    <xdr:col>8</xdr:col>
                    <xdr:colOff>0</xdr:colOff>
                    <xdr:row>51</xdr:row>
                    <xdr:rowOff>0</xdr:rowOff>
                  </from>
                  <to>
                    <xdr:col>8</xdr:col>
                    <xdr:colOff>182880</xdr:colOff>
                    <xdr:row>51</xdr:row>
                    <xdr:rowOff>182880</xdr:rowOff>
                  </to>
                </anchor>
              </controlPr>
            </control>
          </mc:Choice>
        </mc:AlternateContent>
        <mc:AlternateContent xmlns:mc="http://schemas.openxmlformats.org/markup-compatibility/2006">
          <mc:Choice Requires="x14">
            <control shapeId="27719" r:id="rId31" name="Check Box 71">
              <controlPr locked="0" defaultSize="0" autoFill="0" autoLine="0" autoPict="0">
                <anchor moveWithCells="1">
                  <from>
                    <xdr:col>8</xdr:col>
                    <xdr:colOff>0</xdr:colOff>
                    <xdr:row>52</xdr:row>
                    <xdr:rowOff>0</xdr:rowOff>
                  </from>
                  <to>
                    <xdr:col>8</xdr:col>
                    <xdr:colOff>182880</xdr:colOff>
                    <xdr:row>52</xdr:row>
                    <xdr:rowOff>182880</xdr:rowOff>
                  </to>
                </anchor>
              </controlPr>
            </control>
          </mc:Choice>
        </mc:AlternateContent>
        <mc:AlternateContent xmlns:mc="http://schemas.openxmlformats.org/markup-compatibility/2006">
          <mc:Choice Requires="x14">
            <control shapeId="27720" r:id="rId32" name="Check Box 72">
              <controlPr locked="0" defaultSize="0" autoFill="0" autoLine="0" autoPict="0">
                <anchor moveWithCells="1">
                  <from>
                    <xdr:col>8</xdr:col>
                    <xdr:colOff>0</xdr:colOff>
                    <xdr:row>53</xdr:row>
                    <xdr:rowOff>0</xdr:rowOff>
                  </from>
                  <to>
                    <xdr:col>8</xdr:col>
                    <xdr:colOff>182880</xdr:colOff>
                    <xdr:row>53</xdr:row>
                    <xdr:rowOff>182880</xdr:rowOff>
                  </to>
                </anchor>
              </controlPr>
            </control>
          </mc:Choice>
        </mc:AlternateContent>
        <mc:AlternateContent xmlns:mc="http://schemas.openxmlformats.org/markup-compatibility/2006">
          <mc:Choice Requires="x14">
            <control shapeId="27721" r:id="rId33" name="Check Box 73">
              <controlPr locked="0" defaultSize="0" autoFill="0" autoLine="0" autoPict="0">
                <anchor moveWithCells="1">
                  <from>
                    <xdr:col>8</xdr:col>
                    <xdr:colOff>0</xdr:colOff>
                    <xdr:row>54</xdr:row>
                    <xdr:rowOff>0</xdr:rowOff>
                  </from>
                  <to>
                    <xdr:col>8</xdr:col>
                    <xdr:colOff>182880</xdr:colOff>
                    <xdr:row>55</xdr:row>
                    <xdr:rowOff>0</xdr:rowOff>
                  </to>
                </anchor>
              </controlPr>
            </control>
          </mc:Choice>
        </mc:AlternateContent>
        <mc:AlternateContent xmlns:mc="http://schemas.openxmlformats.org/markup-compatibility/2006">
          <mc:Choice Requires="x14">
            <control shapeId="27722" r:id="rId34" name="Check Box 74">
              <controlPr locked="0" defaultSize="0" autoFill="0" autoLine="0" autoPict="0">
                <anchor moveWithCells="1">
                  <from>
                    <xdr:col>8</xdr:col>
                    <xdr:colOff>0</xdr:colOff>
                    <xdr:row>56</xdr:row>
                    <xdr:rowOff>0</xdr:rowOff>
                  </from>
                  <to>
                    <xdr:col>8</xdr:col>
                    <xdr:colOff>182880</xdr:colOff>
                    <xdr:row>56</xdr:row>
                    <xdr:rowOff>182880</xdr:rowOff>
                  </to>
                </anchor>
              </controlPr>
            </control>
          </mc:Choice>
        </mc:AlternateContent>
        <mc:AlternateContent xmlns:mc="http://schemas.openxmlformats.org/markup-compatibility/2006">
          <mc:Choice Requires="x14">
            <control shapeId="27723" r:id="rId35" name="Check Box 75">
              <controlPr locked="0" defaultSize="0" autoFill="0" autoLine="0" autoPict="0">
                <anchor moveWithCells="1">
                  <from>
                    <xdr:col>8</xdr:col>
                    <xdr:colOff>0</xdr:colOff>
                    <xdr:row>57</xdr:row>
                    <xdr:rowOff>0</xdr:rowOff>
                  </from>
                  <to>
                    <xdr:col>8</xdr:col>
                    <xdr:colOff>182880</xdr:colOff>
                    <xdr:row>57</xdr:row>
                    <xdr:rowOff>182880</xdr:rowOff>
                  </to>
                </anchor>
              </controlPr>
            </control>
          </mc:Choice>
        </mc:AlternateContent>
        <mc:AlternateContent xmlns:mc="http://schemas.openxmlformats.org/markup-compatibility/2006">
          <mc:Choice Requires="x14">
            <control shapeId="27725" r:id="rId36" name="Check Box 77">
              <controlPr locked="0" defaultSize="0" autoFill="0" autoLine="0" autoPict="0">
                <anchor moveWithCells="1">
                  <from>
                    <xdr:col>8</xdr:col>
                    <xdr:colOff>0</xdr:colOff>
                    <xdr:row>21</xdr:row>
                    <xdr:rowOff>0</xdr:rowOff>
                  </from>
                  <to>
                    <xdr:col>8</xdr:col>
                    <xdr:colOff>182880</xdr:colOff>
                    <xdr:row>21</xdr:row>
                    <xdr:rowOff>182880</xdr:rowOff>
                  </to>
                </anchor>
              </controlPr>
            </control>
          </mc:Choice>
        </mc:AlternateContent>
        <mc:AlternateContent xmlns:mc="http://schemas.openxmlformats.org/markup-compatibility/2006">
          <mc:Choice Requires="x14">
            <control shapeId="27727" r:id="rId37" name="Check Box 79">
              <controlPr locked="0" defaultSize="0" autoFill="0" autoLine="0" autoPict="0">
                <anchor moveWithCells="1">
                  <from>
                    <xdr:col>8</xdr:col>
                    <xdr:colOff>0</xdr:colOff>
                    <xdr:row>32</xdr:row>
                    <xdr:rowOff>0</xdr:rowOff>
                  </from>
                  <to>
                    <xdr:col>8</xdr:col>
                    <xdr:colOff>182880</xdr:colOff>
                    <xdr:row>32</xdr:row>
                    <xdr:rowOff>182880</xdr:rowOff>
                  </to>
                </anchor>
              </controlPr>
            </control>
          </mc:Choice>
        </mc:AlternateContent>
        <mc:AlternateContent xmlns:mc="http://schemas.openxmlformats.org/markup-compatibility/2006">
          <mc:Choice Requires="x14">
            <control shapeId="27728" r:id="rId38" name="Check Box 80">
              <controlPr locked="0" defaultSize="0" autoFill="0" autoLine="0" autoPict="0">
                <anchor moveWithCells="1">
                  <from>
                    <xdr:col>8</xdr:col>
                    <xdr:colOff>0</xdr:colOff>
                    <xdr:row>33</xdr:row>
                    <xdr:rowOff>0</xdr:rowOff>
                  </from>
                  <to>
                    <xdr:col>8</xdr:col>
                    <xdr:colOff>182880</xdr:colOff>
                    <xdr:row>33</xdr:row>
                    <xdr:rowOff>182880</xdr:rowOff>
                  </to>
                </anchor>
              </controlPr>
            </control>
          </mc:Choice>
        </mc:AlternateContent>
        <mc:AlternateContent xmlns:mc="http://schemas.openxmlformats.org/markup-compatibility/2006">
          <mc:Choice Requires="x14">
            <control shapeId="27729" r:id="rId39" name="Check Box 81">
              <controlPr locked="0" defaultSize="0" autoFill="0" autoLine="0" autoPict="0">
                <anchor moveWithCells="1">
                  <from>
                    <xdr:col>8</xdr:col>
                    <xdr:colOff>0</xdr:colOff>
                    <xdr:row>34</xdr:row>
                    <xdr:rowOff>0</xdr:rowOff>
                  </from>
                  <to>
                    <xdr:col>8</xdr:col>
                    <xdr:colOff>182880</xdr:colOff>
                    <xdr:row>34</xdr:row>
                    <xdr:rowOff>182880</xdr:rowOff>
                  </to>
                </anchor>
              </controlPr>
            </control>
          </mc:Choice>
        </mc:AlternateContent>
        <mc:AlternateContent xmlns:mc="http://schemas.openxmlformats.org/markup-compatibility/2006">
          <mc:Choice Requires="x14">
            <control shapeId="27730" r:id="rId40" name="Check Box 82">
              <controlPr locked="0" defaultSize="0" autoFill="0" autoLine="0" autoPict="0">
                <anchor moveWithCells="1">
                  <from>
                    <xdr:col>8</xdr:col>
                    <xdr:colOff>0</xdr:colOff>
                    <xdr:row>35</xdr:row>
                    <xdr:rowOff>0</xdr:rowOff>
                  </from>
                  <to>
                    <xdr:col>8</xdr:col>
                    <xdr:colOff>182880</xdr:colOff>
                    <xdr:row>35</xdr:row>
                    <xdr:rowOff>182880</xdr:rowOff>
                  </to>
                </anchor>
              </controlPr>
            </control>
          </mc:Choice>
        </mc:AlternateContent>
        <mc:AlternateContent xmlns:mc="http://schemas.openxmlformats.org/markup-compatibility/2006">
          <mc:Choice Requires="x14">
            <control shapeId="27731" r:id="rId41" name="Check Box 83">
              <controlPr locked="0" defaultSize="0" autoFill="0" autoLine="0" autoPict="0">
                <anchor moveWithCells="1">
                  <from>
                    <xdr:col>8</xdr:col>
                    <xdr:colOff>0</xdr:colOff>
                    <xdr:row>36</xdr:row>
                    <xdr:rowOff>0</xdr:rowOff>
                  </from>
                  <to>
                    <xdr:col>8</xdr:col>
                    <xdr:colOff>182880</xdr:colOff>
                    <xdr:row>36</xdr:row>
                    <xdr:rowOff>182880</xdr:rowOff>
                  </to>
                </anchor>
              </controlPr>
            </control>
          </mc:Choice>
        </mc:AlternateContent>
        <mc:AlternateContent xmlns:mc="http://schemas.openxmlformats.org/markup-compatibility/2006">
          <mc:Choice Requires="x14">
            <control shapeId="27733" r:id="rId42" name="Check Box 85">
              <controlPr locked="0" defaultSize="0" autoFill="0" autoLine="0" autoPict="0">
                <anchor moveWithCells="1">
                  <from>
                    <xdr:col>8</xdr:col>
                    <xdr:colOff>0</xdr:colOff>
                    <xdr:row>38</xdr:row>
                    <xdr:rowOff>0</xdr:rowOff>
                  </from>
                  <to>
                    <xdr:col>8</xdr:col>
                    <xdr:colOff>182880</xdr:colOff>
                    <xdr:row>38</xdr:row>
                    <xdr:rowOff>182880</xdr:rowOff>
                  </to>
                </anchor>
              </controlPr>
            </control>
          </mc:Choice>
        </mc:AlternateContent>
        <mc:AlternateContent xmlns:mc="http://schemas.openxmlformats.org/markup-compatibility/2006">
          <mc:Choice Requires="x14">
            <control shapeId="27734" r:id="rId43" name="Check Box 86">
              <controlPr locked="0" defaultSize="0" autoFill="0" autoLine="0" autoPict="0">
                <anchor moveWithCells="1">
                  <from>
                    <xdr:col>8</xdr:col>
                    <xdr:colOff>0</xdr:colOff>
                    <xdr:row>39</xdr:row>
                    <xdr:rowOff>0</xdr:rowOff>
                  </from>
                  <to>
                    <xdr:col>8</xdr:col>
                    <xdr:colOff>182880</xdr:colOff>
                    <xdr:row>39</xdr:row>
                    <xdr:rowOff>182880</xdr:rowOff>
                  </to>
                </anchor>
              </controlPr>
            </control>
          </mc:Choice>
        </mc:AlternateContent>
        <mc:AlternateContent xmlns:mc="http://schemas.openxmlformats.org/markup-compatibility/2006">
          <mc:Choice Requires="x14">
            <control shapeId="27735" r:id="rId44" name="Check Box 87">
              <controlPr locked="0" defaultSize="0" autoFill="0" autoLine="0" autoPict="0">
                <anchor moveWithCells="1">
                  <from>
                    <xdr:col>8</xdr:col>
                    <xdr:colOff>0</xdr:colOff>
                    <xdr:row>40</xdr:row>
                    <xdr:rowOff>0</xdr:rowOff>
                  </from>
                  <to>
                    <xdr:col>8</xdr:col>
                    <xdr:colOff>182880</xdr:colOff>
                    <xdr:row>40</xdr:row>
                    <xdr:rowOff>182880</xdr:rowOff>
                  </to>
                </anchor>
              </controlPr>
            </control>
          </mc:Choice>
        </mc:AlternateContent>
        <mc:AlternateContent xmlns:mc="http://schemas.openxmlformats.org/markup-compatibility/2006">
          <mc:Choice Requires="x14">
            <control shapeId="27736" r:id="rId45" name="Check Box 88">
              <controlPr locked="0" defaultSize="0" autoFill="0" autoLine="0" autoPict="0">
                <anchor moveWithCells="1">
                  <from>
                    <xdr:col>8</xdr:col>
                    <xdr:colOff>0</xdr:colOff>
                    <xdr:row>41</xdr:row>
                    <xdr:rowOff>0</xdr:rowOff>
                  </from>
                  <to>
                    <xdr:col>8</xdr:col>
                    <xdr:colOff>182880</xdr:colOff>
                    <xdr:row>41</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73" id="{31A7DF45-F348-433F-99A6-7A5E293585E0}">
            <xm:f>IF($P$16=Dropdowns!$D$6,TRUE,FALSE)</xm:f>
            <x14:dxf>
              <font>
                <color theme="1"/>
              </font>
            </x14:dxf>
          </x14:cfRule>
          <xm:sqref>A17:D17</xm:sqref>
        </x14:conditionalFormatting>
        <x14:conditionalFormatting xmlns:xm="http://schemas.microsoft.com/office/excel/2006/main">
          <x14:cfRule type="expression" priority="172" id="{0EA1F319-CED9-4426-97A2-FECE1454E9D5}">
            <xm:f>IF($P$16=Dropdowns!$D$6,TRUE,FALSE)</xm:f>
            <x14:dxf>
              <font>
                <color theme="1"/>
              </font>
            </x14:dxf>
          </x14:cfRule>
          <xm:sqref>A18:D18</xm:sqref>
        </x14:conditionalFormatting>
        <x14:conditionalFormatting xmlns:xm="http://schemas.microsoft.com/office/excel/2006/main">
          <x14:cfRule type="expression" priority="141" id="{294FD1A7-26E7-438F-9BCA-B17EC9906DAF}">
            <xm:f>NOT($J$16=Dropdowns!$D$6)</xm:f>
            <x14:dxf>
              <fill>
                <patternFill patternType="darkGrid">
                  <bgColor theme="0"/>
                </patternFill>
              </fill>
            </x14:dxf>
          </x14:cfRule>
          <xm:sqref>J17</xm:sqref>
        </x14:conditionalFormatting>
        <x14:conditionalFormatting xmlns:xm="http://schemas.microsoft.com/office/excel/2006/main">
          <x14:cfRule type="expression" priority="140" id="{F110A43A-96E7-4A7F-B35C-777AE8CDA7A9}">
            <xm:f>NOT($J$16=Dropdowns!$D$6)</xm:f>
            <x14:dxf>
              <fill>
                <patternFill patternType="darkGrid">
                  <bgColor theme="0"/>
                </patternFill>
              </fill>
            </x14:dxf>
          </x14:cfRule>
          <xm:sqref>J18</xm:sqref>
        </x14:conditionalFormatting>
      </x14:conditionalFormattings>
    </ext>
    <ext xmlns:x14="http://schemas.microsoft.com/office/spreadsheetml/2009/9/main" uri="{CCE6A557-97BC-4b89-ADB6-D9C93CAAB3DF}">
      <x14:dataValidations xmlns:xm="http://schemas.microsoft.com/office/excel/2006/main" xWindow="570" yWindow="734" count="3">
        <x14:dataValidation type="list" allowBlank="1" showInputMessage="1" showErrorMessage="1" xr:uid="{00000000-0002-0000-0E00-000019000000}">
          <x14:formula1>
            <xm:f>OFFSET(Geography!$C$2,MATCH($P$12,Geography!$A$2:$A$3146,0)-1,0,COUNTIF(Geography!$A$2:$A$3146,$P$12),1)</xm:f>
          </x14:formula1>
          <xm:sqref>P13</xm:sqref>
        </x14:dataValidation>
        <x14:dataValidation type="list" allowBlank="1" showInputMessage="1" showErrorMessage="1" xr:uid="{00000000-0002-0000-0E00-00001A000000}">
          <x14:formula1>
            <xm:f>Geography!$J$2:$J$57</xm:f>
          </x14:formula1>
          <xm:sqref>P12 J12:M12</xm:sqref>
        </x14:dataValidation>
        <x14:dataValidation type="list" allowBlank="1" showInputMessage="1" showErrorMessage="1" xr:uid="{00000000-0002-0000-0E00-00001B000000}">
          <x14:formula1>
            <xm:f>OFFSET(Geography!$C$2,MATCH($J$12,Geography!$A$2:$A$3146,0)-1,0,COUNTIF(Geography!$A$2:$A$3146,$J$12),1)</xm:f>
          </x14:formula1>
          <xm:sqref>J13:M13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BJ2005"/>
  <sheetViews>
    <sheetView showGridLines="0" zoomScaleNormal="100" workbookViewId="0">
      <pane ySplit="7" topLeftCell="A8" activePane="bottomLeft" state="frozen"/>
      <selection activeCell="G1" sqref="G1"/>
      <selection pane="bottomLeft" activeCell="L1" sqref="L1"/>
    </sheetView>
  </sheetViews>
  <sheetFormatPr defaultRowHeight="14.4" x14ac:dyDescent="0.3"/>
  <cols>
    <col min="1" max="1" width="3.33203125" style="727" bestFit="1" customWidth="1"/>
    <col min="2" max="2" width="9.6640625" style="727" hidden="1" customWidth="1"/>
    <col min="3" max="6" width="4.44140625" style="727" hidden="1" customWidth="1"/>
    <col min="7" max="7" width="3.109375" style="1224" bestFit="1" customWidth="1"/>
    <col min="8" max="8" width="3.109375" style="727" bestFit="1" customWidth="1"/>
    <col min="9" max="9" width="10.44140625" style="32" customWidth="1"/>
    <col min="10" max="11" width="3.88671875" style="32" customWidth="1"/>
    <col min="12" max="12" width="71.6640625" style="32" customWidth="1"/>
    <col min="13" max="13" width="13.5546875" style="32" customWidth="1"/>
    <col min="14" max="15" width="7.6640625" style="32" customWidth="1"/>
    <col min="16" max="17" width="8.88671875" style="37" hidden="1" customWidth="1"/>
    <col min="18" max="21" width="8.88671875" style="32" hidden="1" customWidth="1"/>
    <col min="22" max="22" width="3" style="32" hidden="1" customWidth="1"/>
    <col min="23" max="23" width="21.44140625" style="32" customWidth="1"/>
    <col min="24" max="25" width="34.88671875" style="32" customWidth="1"/>
    <col min="26" max="26" width="34.88671875" style="1107" hidden="1" customWidth="1"/>
    <col min="27" max="27" width="9.109375" style="1110" hidden="1" customWidth="1"/>
    <col min="28" max="28" width="9.109375" hidden="1" customWidth="1"/>
    <col min="29" max="37" width="9.109375" style="32" hidden="1" customWidth="1"/>
    <col min="38" max="38" width="19" style="32" hidden="1" customWidth="1"/>
    <col min="39" max="39" width="3.44140625" style="32" hidden="1" customWidth="1"/>
    <col min="40" max="40" width="16.109375" style="32" hidden="1" customWidth="1"/>
    <col min="41" max="41" width="3.5546875" style="32" hidden="1" customWidth="1"/>
    <col min="42" max="42" width="16.44140625" style="32" hidden="1" customWidth="1"/>
    <col min="43" max="43" width="3.44140625" style="32" hidden="1" customWidth="1"/>
    <col min="44" max="44" width="18.5546875" style="32" hidden="1" customWidth="1"/>
    <col min="45" max="45" width="4.44140625" style="32" hidden="1" customWidth="1"/>
    <col min="46" max="46" width="9.109375" style="32" hidden="1" customWidth="1"/>
    <col min="47" max="61" width="9.109375" hidden="1" customWidth="1"/>
  </cols>
  <sheetData>
    <row r="1" spans="1:62" ht="15" customHeight="1" x14ac:dyDescent="0.3">
      <c r="A1" s="1580" t="s">
        <v>4698</v>
      </c>
      <c r="B1" s="1580"/>
      <c r="C1" s="1580"/>
      <c r="D1" s="1580"/>
      <c r="E1" s="1580"/>
      <c r="F1" s="1580"/>
      <c r="G1" s="1580"/>
      <c r="H1" s="1581"/>
      <c r="I1" s="1549" t="s">
        <v>381</v>
      </c>
      <c r="J1" s="1549"/>
      <c r="K1" s="1549"/>
      <c r="L1" s="61"/>
      <c r="M1" s="1550"/>
      <c r="N1" s="1551"/>
      <c r="O1" s="1552"/>
      <c r="P1" s="28"/>
      <c r="Q1" s="28"/>
      <c r="R1" s="28"/>
      <c r="S1" s="28"/>
      <c r="T1" s="28"/>
      <c r="U1" s="28"/>
      <c r="V1" s="28"/>
      <c r="W1" s="1569" t="s">
        <v>4722</v>
      </c>
      <c r="X1" s="1571" t="s">
        <v>4655</v>
      </c>
      <c r="Y1" s="1572"/>
      <c r="Z1" s="1166"/>
      <c r="AF1" s="31" t="s">
        <v>344</v>
      </c>
      <c r="AG1" s="32" t="str">
        <f ca="1">IF(LEN(Ch5GLevFinal)=1,"     ", IF(LEN(Ch5GLevFinal)=2, "   ",""))&amp;Ch5GLevFinal</f>
        <v xml:space="preserve">     0</v>
      </c>
      <c r="AH1" s="43" t="str">
        <f ca="1">IF(LEN(Ch6GLevFinal)=1,"    ", IF(LEN(Ch6GLevFinal)=2, "   ",""))&amp;Ch6GLevFinal</f>
        <v xml:space="preserve">    0</v>
      </c>
      <c r="AI1" s="43" t="str">
        <f ca="1">IF(LEN(Ch7GLevFinal)=1,"   ","")&amp;Ch7GLevFinal</f>
        <v xml:space="preserve">   0</v>
      </c>
      <c r="AJ1" s="43" t="str">
        <f ca="1">IF(LEN(Ch8GLevFinal)=1,"  ","")&amp;Ch8GLevFinal</f>
        <v xml:space="preserve">  0</v>
      </c>
      <c r="AK1" s="43" t="str">
        <f ca="1">IF(LEN(Ch9GLevFinal)=1,"   ","")&amp;Ch9GLevFinal</f>
        <v xml:space="preserve">   0</v>
      </c>
      <c r="AL1" s="43" t="str">
        <f>IF(LEN(Ch10GLevFinal)=1,"  ","")&amp;Ch10GLevFinal</f>
        <v xml:space="preserve">  0</v>
      </c>
      <c r="AM1" s="32" t="s">
        <v>337</v>
      </c>
    </row>
    <row r="2" spans="1:62" x14ac:dyDescent="0.3">
      <c r="A2" s="1580"/>
      <c r="B2" s="1580"/>
      <c r="C2" s="1580"/>
      <c r="D2" s="1580"/>
      <c r="E2" s="1580"/>
      <c r="F2" s="1580"/>
      <c r="G2" s="1580"/>
      <c r="H2" s="1581"/>
      <c r="I2" s="1559" t="str">
        <f ca="1">"Goal Level: "&amp;verGoalLevel&amp;",  Overall Level: "&amp; AM2</f>
        <v>Goal Level: None Chosen,  Overall Level: None</v>
      </c>
      <c r="J2" s="1559"/>
      <c r="K2" s="1559"/>
      <c r="L2" s="1559"/>
      <c r="M2" s="1553"/>
      <c r="N2" s="1554"/>
      <c r="O2" s="1555"/>
      <c r="P2" s="28"/>
      <c r="Q2" s="28"/>
      <c r="R2" s="28"/>
      <c r="S2" s="28"/>
      <c r="T2" s="28"/>
      <c r="U2" s="28"/>
      <c r="V2" s="28"/>
      <c r="W2" s="1569"/>
      <c r="X2" s="1571" t="s">
        <v>3729</v>
      </c>
      <c r="Y2" s="1572"/>
      <c r="Z2" s="1166"/>
      <c r="AF2" s="31" t="s">
        <v>336</v>
      </c>
      <c r="AG2" s="39" t="str">
        <f ca="1">IF(LEN(Ch5AddGoal)=1,"     ", IF(LEN(Ch5AddGoal)=2, "   ",""))&amp;Ch5AddGoal</f>
        <v xml:space="preserve">     0</v>
      </c>
      <c r="AH2" s="43" t="str">
        <f ca="1">IF(LEN(Ch6AddGoal)=1,"    ", IF(LEN(Ch6AddGoal)=2, "   ",""))&amp;Ch6AddGoal</f>
        <v xml:space="preserve">    0</v>
      </c>
      <c r="AI2" s="43" t="str">
        <f ca="1">IF(LEN(Ch7AddGoal)=1,"   ","")&amp;Ch7AddGoal</f>
        <v xml:space="preserve">   0</v>
      </c>
      <c r="AJ2" s="43" t="str">
        <f ca="1">IF(LEN(Ch8AddGoal)=1,"  ","")&amp;Ch8AddGoal</f>
        <v xml:space="preserve">  0</v>
      </c>
      <c r="AK2" s="43" t="str">
        <f ca="1">IF(LEN(Ch9AddGoal)=1,"   ","")&amp;Ch9AddGoal</f>
        <v xml:space="preserve">   0</v>
      </c>
      <c r="AL2" s="43" t="str">
        <f>IF(LEN(Ch10AddGoal)=1,"  ","")&amp;Ch10AddGoal</f>
        <v xml:space="preserve">  0</v>
      </c>
      <c r="AM2" s="32" t="str">
        <f ca="1">Points!AC22</f>
        <v>None</v>
      </c>
    </row>
    <row r="3" spans="1:62" x14ac:dyDescent="0.3">
      <c r="A3" s="1580"/>
      <c r="B3" s="1580"/>
      <c r="C3" s="1580"/>
      <c r="D3" s="1580"/>
      <c r="E3" s="1580"/>
      <c r="F3" s="1580"/>
      <c r="G3" s="1580"/>
      <c r="H3" s="1581"/>
      <c r="I3" s="1560" t="str">
        <f ca="1" xml:space="preserve"> "                  Points to Goal Level:     Ch5:  "&amp;AG1&amp;",    Ch6:  "&amp;AH1&amp;",    Ch7:  "&amp;AI1&amp;",    Ch8:  "&amp;AJ1&amp;",    Ch9:  "&amp;AK1&amp;",    Ch10:  "&amp;AL1</f>
        <v xml:space="preserve">                  Points to Goal Level:     Ch5:       0,    Ch6:      0,    Ch7:     0,    Ch8:    0,    Ch9:     0,    Ch10:    0</v>
      </c>
      <c r="J3" s="1560"/>
      <c r="K3" s="1560"/>
      <c r="L3" s="1560"/>
      <c r="M3" s="1553"/>
      <c r="N3" s="1554"/>
      <c r="O3" s="1555"/>
      <c r="P3" s="28"/>
      <c r="Q3" s="28"/>
      <c r="R3" s="28"/>
      <c r="S3" s="28"/>
      <c r="T3" s="28"/>
      <c r="U3" s="28"/>
      <c r="V3" s="28"/>
      <c r="W3" s="1570"/>
      <c r="X3" s="1571" t="s">
        <v>3730</v>
      </c>
      <c r="Y3" s="1572"/>
      <c r="Z3" s="1166"/>
      <c r="AF3" s="31" t="s">
        <v>332</v>
      </c>
      <c r="AG3" s="32" t="b">
        <f ca="1">OR(ReportType="",IF(ReportType="Rough",OR(AF:AF),OR(AE:AE)))</f>
        <v>1</v>
      </c>
      <c r="AH3" s="31" t="s">
        <v>333</v>
      </c>
      <c r="AI3" s="32" t="b">
        <f ca="1">OR(AD:AD)</f>
        <v>0</v>
      </c>
    </row>
    <row r="4" spans="1:62" s="58" customFormat="1" ht="15" customHeight="1" x14ac:dyDescent="0.3">
      <c r="A4" s="1459" t="s">
        <v>4115</v>
      </c>
      <c r="B4" s="727"/>
      <c r="C4" s="1197"/>
      <c r="D4" s="1197"/>
      <c r="E4" s="1197"/>
      <c r="F4" s="727"/>
      <c r="G4" s="1582" t="s">
        <v>338</v>
      </c>
      <c r="H4" s="1459" t="s">
        <v>4433</v>
      </c>
      <c r="I4" s="1560" t="str">
        <f ca="1" xml:space="preserve"> "      Add'l Pts above goal level:     Ch5:  "&amp;AG2&amp;",    Ch6:  "&amp;AH2&amp;",    Ch7:  "&amp;AI2&amp;",    Ch8:  "&amp;AJ2&amp;",    Ch9:  "&amp;AK2&amp;",    Ch10:  "&amp;AL2</f>
        <v xml:space="preserve">      Add'l Pts above goal level:     Ch5:       0,    Ch6:      0,    Ch7:     0,    Ch8:    0,    Ch9:     0,    Ch10:    0</v>
      </c>
      <c r="J4" s="1560"/>
      <c r="K4" s="1560"/>
      <c r="L4" s="1560"/>
      <c r="M4" s="1553"/>
      <c r="N4" s="1554"/>
      <c r="O4" s="1555"/>
      <c r="P4" s="28"/>
      <c r="Q4" s="28"/>
      <c r="R4" s="28"/>
      <c r="S4" s="28"/>
      <c r="T4" s="28"/>
      <c r="U4" s="28"/>
      <c r="V4" s="28"/>
      <c r="W4" s="414" t="s">
        <v>3728</v>
      </c>
      <c r="X4" s="1574" t="str">
        <f>IF('Overview (Verification)'!P11="","",'Overview (Verification)'!P9&amp;", "&amp;'Overview (Verification)'!P11&amp;", "&amp;'Overview (Verification)'!P12&amp;"  "&amp;'Overview (Verification)'!P14)</f>
        <v/>
      </c>
      <c r="Y4" s="1575"/>
      <c r="Z4" s="1167"/>
      <c r="AA4" s="1110"/>
      <c r="AF4" s="57"/>
      <c r="AH4" s="57"/>
    </row>
    <row r="5" spans="1:62" s="58" customFormat="1" ht="15" customHeight="1" x14ac:dyDescent="0.3">
      <c r="A5" s="1459"/>
      <c r="B5" s="727"/>
      <c r="C5" s="1198"/>
      <c r="D5" s="1198"/>
      <c r="E5" s="1198"/>
      <c r="F5" s="727"/>
      <c r="G5" s="1582"/>
      <c r="H5" s="1459"/>
      <c r="I5" s="1548" t="s">
        <v>4378</v>
      </c>
      <c r="J5" s="1548"/>
      <c r="K5" s="1548"/>
      <c r="L5" s="60"/>
      <c r="M5" s="1556"/>
      <c r="N5" s="1557"/>
      <c r="O5" s="1558"/>
      <c r="P5" s="28"/>
      <c r="Q5" s="28"/>
      <c r="R5" s="28"/>
      <c r="S5" s="28"/>
      <c r="T5" s="28"/>
      <c r="U5" s="28"/>
      <c r="V5" s="28"/>
      <c r="W5" s="413" t="s">
        <v>130</v>
      </c>
      <c r="X5" s="1576" t="str">
        <f>IF('Overview (Verification)'!P10="","",'Overview (Verification)'!P10)</f>
        <v/>
      </c>
      <c r="Y5" s="1577"/>
      <c r="Z5" s="1167"/>
      <c r="AA5" s="1110"/>
      <c r="AF5" s="57"/>
      <c r="AH5" s="57"/>
    </row>
    <row r="6" spans="1:62" ht="15" customHeight="1" x14ac:dyDescent="0.3">
      <c r="A6" s="1459"/>
      <c r="C6" s="1198"/>
      <c r="D6" s="1198"/>
      <c r="E6" s="1198"/>
      <c r="G6" s="1582"/>
      <c r="H6" s="1459"/>
      <c r="I6" s="1340" t="s">
        <v>261</v>
      </c>
      <c r="J6" s="1340"/>
      <c r="K6" s="1341"/>
      <c r="L6" s="1321" t="s">
        <v>330</v>
      </c>
      <c r="M6" s="1321" t="s">
        <v>262</v>
      </c>
      <c r="N6" s="1573" t="s">
        <v>266</v>
      </c>
      <c r="O6" s="1573" t="s">
        <v>340</v>
      </c>
      <c r="P6" s="38" t="s">
        <v>334</v>
      </c>
      <c r="Q6" s="38" t="s">
        <v>335</v>
      </c>
      <c r="R6" s="34" t="s">
        <v>263</v>
      </c>
      <c r="S6" s="34" t="s">
        <v>264</v>
      </c>
      <c r="T6" s="34" t="s">
        <v>0</v>
      </c>
      <c r="U6" s="34" t="s">
        <v>385</v>
      </c>
      <c r="V6" s="34"/>
      <c r="W6" s="1321" t="s">
        <v>265</v>
      </c>
      <c r="X6" s="1321" t="s">
        <v>4665</v>
      </c>
      <c r="Y6" s="1287" t="s">
        <v>4664</v>
      </c>
      <c r="Z6" s="1592" t="s">
        <v>4724</v>
      </c>
      <c r="AA6" s="1110" t="s">
        <v>4726</v>
      </c>
      <c r="AC6" s="30" t="s">
        <v>327</v>
      </c>
      <c r="AD6" s="30" t="s">
        <v>0</v>
      </c>
      <c r="AE6" s="30" t="s">
        <v>326</v>
      </c>
      <c r="AF6" s="987" t="s">
        <v>4453</v>
      </c>
    </row>
    <row r="7" spans="1:62" s="32" customFormat="1" x14ac:dyDescent="0.3">
      <c r="A7" s="727"/>
      <c r="B7" s="1199"/>
      <c r="C7" s="1199"/>
      <c r="D7" s="1199"/>
      <c r="E7" s="1199"/>
      <c r="F7" s="727"/>
      <c r="G7" s="727"/>
      <c r="H7" s="727"/>
      <c r="I7" s="1340"/>
      <c r="J7" s="1340"/>
      <c r="K7" s="1341"/>
      <c r="L7" s="1322"/>
      <c r="M7" s="1322"/>
      <c r="N7" s="1573"/>
      <c r="O7" s="1573"/>
      <c r="P7" s="38"/>
      <c r="Q7" s="38"/>
      <c r="R7" s="34"/>
      <c r="S7" s="34"/>
      <c r="T7" s="34"/>
      <c r="U7" s="34"/>
      <c r="V7" s="34"/>
      <c r="W7" s="1322"/>
      <c r="X7" s="1322"/>
      <c r="Y7" s="1288"/>
      <c r="Z7" s="1593"/>
      <c r="AA7" s="1110" t="str">
        <f>'Photo Review'!H10</f>
        <v>Not OK</v>
      </c>
      <c r="AB7"/>
      <c r="AC7" s="30"/>
      <c r="AD7" s="30"/>
      <c r="AE7" s="30"/>
    </row>
    <row r="8" spans="1:62" s="896" customFormat="1" ht="18" x14ac:dyDescent="0.35">
      <c r="A8" s="1200">
        <v>5</v>
      </c>
      <c r="B8" s="1201"/>
      <c r="C8" s="1201"/>
      <c r="D8" s="1201"/>
      <c r="E8" s="1201"/>
      <c r="F8" s="1201"/>
      <c r="G8" s="1202"/>
      <c r="H8" s="1200" t="s">
        <v>4386</v>
      </c>
      <c r="I8" s="22" t="s">
        <v>808</v>
      </c>
      <c r="J8" s="22"/>
      <c r="K8" s="22"/>
      <c r="L8" s="23"/>
      <c r="M8" s="24"/>
      <c r="N8" s="24"/>
      <c r="O8" s="24"/>
      <c r="P8" s="896" t="s">
        <v>260</v>
      </c>
      <c r="Q8" s="896" t="s">
        <v>260</v>
      </c>
      <c r="R8" s="896" t="s">
        <v>260</v>
      </c>
      <c r="S8" s="896" t="s">
        <v>260</v>
      </c>
      <c r="T8" s="896" t="s">
        <v>260</v>
      </c>
      <c r="U8" s="896" t="s">
        <v>260</v>
      </c>
      <c r="V8" s="896" t="s">
        <v>260</v>
      </c>
      <c r="W8" s="23"/>
      <c r="X8" s="23"/>
      <c r="Y8" s="23"/>
      <c r="Z8" s="1175" t="s">
        <v>260</v>
      </c>
      <c r="AA8" s="1109" t="s">
        <v>260</v>
      </c>
      <c r="AB8" s="1096" t="s">
        <v>260</v>
      </c>
      <c r="AC8" s="1096" t="s">
        <v>260</v>
      </c>
      <c r="AD8" s="1096" t="s">
        <v>260</v>
      </c>
      <c r="AE8" s="1096" t="s">
        <v>260</v>
      </c>
      <c r="AF8" s="1096" t="s">
        <v>260</v>
      </c>
      <c r="AG8" s="1096" t="s">
        <v>260</v>
      </c>
      <c r="AH8" s="1096" t="s">
        <v>260</v>
      </c>
      <c r="AI8" s="1096" t="s">
        <v>260</v>
      </c>
      <c r="AJ8" s="1096" t="s">
        <v>260</v>
      </c>
      <c r="AK8" s="1096" t="s">
        <v>260</v>
      </c>
      <c r="AL8" s="1096" t="s">
        <v>260</v>
      </c>
      <c r="AM8" s="1096" t="s">
        <v>260</v>
      </c>
      <c r="AN8" s="1096" t="s">
        <v>260</v>
      </c>
      <c r="AO8" s="1096" t="s">
        <v>260</v>
      </c>
      <c r="AP8" s="1096" t="s">
        <v>260</v>
      </c>
      <c r="AQ8" s="1096" t="s">
        <v>260</v>
      </c>
      <c r="AR8" s="1096" t="s">
        <v>260</v>
      </c>
      <c r="AS8" s="1096" t="s">
        <v>260</v>
      </c>
      <c r="AT8" s="1096" t="s">
        <v>260</v>
      </c>
      <c r="AU8" s="1096" t="s">
        <v>260</v>
      </c>
      <c r="AV8" s="1096" t="s">
        <v>260</v>
      </c>
      <c r="AW8" s="1096" t="s">
        <v>260</v>
      </c>
      <c r="AX8" s="1096" t="s">
        <v>260</v>
      </c>
      <c r="AY8" s="1096" t="s">
        <v>260</v>
      </c>
      <c r="AZ8" s="1096" t="s">
        <v>260</v>
      </c>
      <c r="BA8" s="1096" t="s">
        <v>260</v>
      </c>
      <c r="BB8" s="1096" t="s">
        <v>260</v>
      </c>
      <c r="BC8" s="1096" t="s">
        <v>260</v>
      </c>
      <c r="BD8" s="1096" t="s">
        <v>260</v>
      </c>
      <c r="BE8" s="1096" t="s">
        <v>260</v>
      </c>
      <c r="BF8" s="1096" t="s">
        <v>260</v>
      </c>
      <c r="BG8" s="1096" t="s">
        <v>260</v>
      </c>
      <c r="BH8" s="1096" t="s">
        <v>260</v>
      </c>
      <c r="BI8" s="1096" t="s">
        <v>260</v>
      </c>
    </row>
    <row r="9" spans="1:62" x14ac:dyDescent="0.3">
      <c r="A9" s="1200">
        <v>5</v>
      </c>
      <c r="B9" s="1203" t="s">
        <v>267</v>
      </c>
      <c r="C9" s="1203"/>
      <c r="D9" s="1203"/>
      <c r="E9" s="1203"/>
      <c r="F9" s="1203"/>
      <c r="G9" s="1202"/>
      <c r="H9" s="1204"/>
      <c r="I9" s="90" t="s">
        <v>267</v>
      </c>
      <c r="J9" s="90"/>
      <c r="K9" s="90"/>
      <c r="L9" s="1292" t="s">
        <v>268</v>
      </c>
      <c r="M9" s="69"/>
      <c r="N9" s="282"/>
      <c r="O9" s="282"/>
      <c r="P9" s="280"/>
      <c r="Q9" s="280"/>
      <c r="R9" s="280" t="b">
        <v>0</v>
      </c>
      <c r="S9" s="280" t="b">
        <v>1</v>
      </c>
      <c r="T9" s="280" t="b">
        <v>0</v>
      </c>
      <c r="U9" s="280"/>
      <c r="V9" s="280"/>
      <c r="W9" s="280"/>
      <c r="X9" s="280"/>
      <c r="AC9" s="280"/>
      <c r="AD9" s="280"/>
      <c r="AE9" s="280"/>
      <c r="AF9" s="280"/>
      <c r="AG9" s="280"/>
      <c r="AH9" s="280"/>
      <c r="AI9" s="280"/>
      <c r="AJ9" s="280"/>
      <c r="AK9" s="280"/>
      <c r="AL9" s="280"/>
      <c r="AM9" s="18"/>
      <c r="AN9" s="280"/>
      <c r="AO9" s="18"/>
      <c r="AP9" s="280"/>
      <c r="AQ9" s="280"/>
      <c r="AR9" s="280"/>
      <c r="AS9" s="280"/>
    </row>
    <row r="10" spans="1:62" x14ac:dyDescent="0.3">
      <c r="A10" s="1200">
        <v>5</v>
      </c>
      <c r="B10" s="1203" t="s">
        <v>267</v>
      </c>
      <c r="C10" s="1203"/>
      <c r="D10" s="1203"/>
      <c r="E10" s="1203"/>
      <c r="F10" s="1203"/>
      <c r="G10" s="1202"/>
      <c r="H10" s="1204"/>
      <c r="I10" s="90"/>
      <c r="J10" s="90"/>
      <c r="K10" s="90"/>
      <c r="L10" s="1292"/>
      <c r="M10" s="69"/>
      <c r="N10" s="282"/>
      <c r="O10" s="282"/>
      <c r="P10" s="280"/>
      <c r="Q10" s="280"/>
      <c r="R10" s="280"/>
      <c r="S10" s="280"/>
      <c r="T10" s="280"/>
      <c r="U10" s="280"/>
      <c r="V10" s="280"/>
      <c r="W10" s="280"/>
      <c r="X10" s="280"/>
      <c r="AC10" s="280"/>
      <c r="AD10" s="280"/>
      <c r="AE10" s="280"/>
      <c r="AF10" s="280"/>
      <c r="AG10" s="280"/>
      <c r="AH10" s="280"/>
      <c r="AI10" s="280"/>
      <c r="AJ10" s="280"/>
      <c r="AK10" s="280"/>
      <c r="AL10" s="280"/>
      <c r="AM10" s="280"/>
      <c r="AN10" s="280"/>
      <c r="AO10" s="280"/>
      <c r="AP10" s="280"/>
      <c r="AQ10" s="280"/>
      <c r="AR10" s="280"/>
      <c r="AS10" s="280"/>
      <c r="AX10" s="42" t="str">
        <f>'Overview (Verification)'!A8</f>
        <v>Builder Name:</v>
      </c>
      <c r="AY10" s="43">
        <f>IF(LEN('Overview (Verification)'!P8)=0,0,'Overview (Verification)'!P8)</f>
        <v>0</v>
      </c>
    </row>
    <row r="11" spans="1:62" x14ac:dyDescent="0.3">
      <c r="A11" s="1200">
        <v>5</v>
      </c>
      <c r="B11" s="1203" t="s">
        <v>267</v>
      </c>
      <c r="C11" s="1203"/>
      <c r="D11" s="1203"/>
      <c r="E11" s="1203"/>
      <c r="F11" s="1203"/>
      <c r="G11" s="1202"/>
      <c r="H11" s="1204"/>
      <c r="I11" s="90"/>
      <c r="J11" s="90"/>
      <c r="K11" s="90"/>
      <c r="L11" s="1292"/>
      <c r="M11" s="69"/>
      <c r="N11" s="282"/>
      <c r="O11" s="282"/>
      <c r="P11" s="280"/>
      <c r="Q11" s="280"/>
      <c r="R11" s="280"/>
      <c r="S11" s="280"/>
      <c r="T11" s="280"/>
      <c r="U11" s="280"/>
      <c r="V11" s="280"/>
      <c r="W11" s="280"/>
      <c r="X11" s="280"/>
      <c r="AC11" s="280"/>
      <c r="AD11" s="280"/>
      <c r="AE11" s="280"/>
      <c r="AF11" s="280"/>
      <c r="AG11" s="280"/>
      <c r="AH11" s="280"/>
      <c r="AI11" s="280"/>
      <c r="AJ11" s="280"/>
      <c r="AK11" s="280"/>
      <c r="AL11" s="280"/>
      <c r="AM11" s="280"/>
      <c r="AN11" s="280"/>
      <c r="AO11" s="280"/>
      <c r="AP11" s="280"/>
      <c r="AQ11" s="280"/>
      <c r="AR11" s="280"/>
      <c r="AS11" s="280"/>
      <c r="AX11" s="42" t="str">
        <f>'Overview (Verification)'!A9</f>
        <v>Physical Address of Home:</v>
      </c>
      <c r="AY11" s="319">
        <f>IF(LEN('Overview (Verification)'!P9)=0,0,'Overview (Verification)'!P9)</f>
        <v>0</v>
      </c>
    </row>
    <row r="12" spans="1:62" ht="18" x14ac:dyDescent="0.35">
      <c r="A12" s="1200">
        <v>5</v>
      </c>
      <c r="B12" s="1203" t="s">
        <v>811</v>
      </c>
      <c r="C12" s="1203"/>
      <c r="D12" s="1203"/>
      <c r="E12" s="1203"/>
      <c r="F12" s="1203"/>
      <c r="G12" s="1202" t="s">
        <v>4389</v>
      </c>
      <c r="H12" s="1200" t="s">
        <v>4386</v>
      </c>
      <c r="I12" s="91" t="s">
        <v>807</v>
      </c>
      <c r="J12" s="91"/>
      <c r="K12" s="91"/>
      <c r="L12" s="85"/>
      <c r="M12" s="70"/>
      <c r="N12" s="71"/>
      <c r="O12" s="71"/>
      <c r="P12" s="23"/>
      <c r="Q12" s="23"/>
      <c r="R12" s="23"/>
      <c r="S12" s="23"/>
      <c r="T12" s="23"/>
      <c r="U12" s="23"/>
      <c r="V12" s="23"/>
      <c r="W12" s="23"/>
      <c r="X12" s="23"/>
      <c r="Y12" s="23"/>
      <c r="Z12" s="23"/>
      <c r="AC12" s="280"/>
      <c r="AD12" s="280"/>
      <c r="AE12" s="280"/>
      <c r="AF12" s="280"/>
      <c r="AG12" s="280"/>
      <c r="AH12" s="280"/>
      <c r="AI12" s="280"/>
      <c r="AJ12" s="280"/>
      <c r="AK12" s="280"/>
      <c r="AL12" s="280"/>
      <c r="AM12" s="280"/>
      <c r="AN12" s="280"/>
      <c r="AO12" s="280"/>
      <c r="AP12" s="280"/>
      <c r="AQ12" s="280"/>
      <c r="AR12" s="280"/>
      <c r="AS12" s="280"/>
      <c r="AX12" s="42" t="str">
        <f>'Overview (Verification)'!A10</f>
        <v>Community/Lot #:</v>
      </c>
      <c r="AY12" s="319">
        <f>IF(LEN('Overview (Verification)'!P10)=0,0,'Overview (Verification)'!P10)</f>
        <v>0</v>
      </c>
    </row>
    <row r="13" spans="1:62" x14ac:dyDescent="0.3">
      <c r="A13" s="1200">
        <v>5</v>
      </c>
      <c r="B13" s="1203" t="s">
        <v>269</v>
      </c>
      <c r="C13" s="1203"/>
      <c r="D13" s="1203"/>
      <c r="E13" s="1203"/>
      <c r="F13" s="1203"/>
      <c r="G13" s="1202" t="str">
        <f>IF(N13&gt;0,"P","")</f>
        <v/>
      </c>
      <c r="H13" s="1200" t="s">
        <v>4386</v>
      </c>
      <c r="I13" s="94" t="s">
        <v>269</v>
      </c>
      <c r="J13" s="94"/>
      <c r="K13" s="94"/>
      <c r="L13" s="1342" t="s">
        <v>270</v>
      </c>
      <c r="M13" s="1561" t="s">
        <v>277</v>
      </c>
      <c r="N13" s="1533">
        <f>'Ch5'!O14</f>
        <v>0</v>
      </c>
      <c r="O13" s="1563">
        <f>MAX(M13*S14*W14,M15*S15*W15+M16*S16*W16+M17*S17*W17)</f>
        <v>0</v>
      </c>
      <c r="P13" s="96"/>
      <c r="Q13" s="96"/>
      <c r="R13" s="97" t="b">
        <v>0</v>
      </c>
      <c r="S13" s="97" t="b">
        <v>1</v>
      </c>
      <c r="T13" s="97" t="b">
        <v>0</v>
      </c>
      <c r="U13" s="97"/>
      <c r="V13" s="97"/>
      <c r="W13" s="97" t="s">
        <v>279</v>
      </c>
      <c r="X13" s="1295"/>
      <c r="Y13" s="1523" t="str">
        <f>IF(LEN('Ch5'!X14)=0,"None",'Ch5'!X14)</f>
        <v>None</v>
      </c>
      <c r="Z13" s="1583"/>
      <c r="AC13" s="280"/>
      <c r="AD13" s="280"/>
      <c r="AE13" s="280"/>
      <c r="AF13" s="280"/>
      <c r="AG13" s="280"/>
      <c r="AH13" s="280"/>
      <c r="AI13" s="280"/>
      <c r="AJ13" s="280"/>
      <c r="AK13" s="280"/>
      <c r="AL13" s="280"/>
      <c r="AM13" s="280"/>
      <c r="AN13" s="280"/>
      <c r="AO13" s="280"/>
      <c r="AP13" s="280"/>
      <c r="AQ13" s="280"/>
      <c r="AR13" s="280"/>
      <c r="AS13" s="280"/>
      <c r="AX13" s="42" t="str">
        <f>'Overview (Verification)'!A11</f>
        <v>City:</v>
      </c>
      <c r="AY13" s="319">
        <f>IF(LEN('Overview (Verification)'!P11)=0,0,'Overview (Verification)'!P11)</f>
        <v>0</v>
      </c>
      <c r="BJ13" s="1184" t="s">
        <v>4763</v>
      </c>
    </row>
    <row r="14" spans="1:62" x14ac:dyDescent="0.3">
      <c r="A14" s="1200">
        <v>5</v>
      </c>
      <c r="B14" s="1203" t="s">
        <v>269</v>
      </c>
      <c r="C14" s="1203"/>
      <c r="D14" s="1203"/>
      <c r="E14" s="1203"/>
      <c r="F14" s="1203"/>
      <c r="G14" s="1202" t="str">
        <f>G13</f>
        <v/>
      </c>
      <c r="H14" s="1200" t="s">
        <v>4386</v>
      </c>
      <c r="I14" s="94"/>
      <c r="J14" s="94"/>
      <c r="K14" s="94"/>
      <c r="L14" s="1342"/>
      <c r="M14" s="1561"/>
      <c r="N14" s="1533"/>
      <c r="O14" s="1563"/>
      <c r="P14" s="96" t="b">
        <v>1</v>
      </c>
      <c r="Q14" s="96" t="b">
        <v>1</v>
      </c>
      <c r="R14" s="97" t="b">
        <v>0</v>
      </c>
      <c r="S14" s="97" t="b">
        <v>1</v>
      </c>
      <c r="T14" s="97" t="b">
        <v>0</v>
      </c>
      <c r="U14" s="97"/>
      <c r="V14" s="97"/>
      <c r="W14" s="25"/>
      <c r="X14" s="1295"/>
      <c r="Y14" s="1523"/>
      <c r="Z14" s="1583"/>
      <c r="AC14" s="280"/>
      <c r="AD14" s="280"/>
      <c r="AE14" s="280"/>
      <c r="AF14" s="280"/>
      <c r="AG14" s="280"/>
      <c r="AH14" s="280"/>
      <c r="AI14" s="280"/>
      <c r="AJ14" s="280"/>
      <c r="AK14" s="280"/>
      <c r="AL14" s="1060" t="str">
        <f>SUBSTITUTE(SUBSTITUTE(SUBSTITUTE("vpa"&amp;$B14&amp;$C14&amp;$D14&amp;$E14&amp;$F14,".","_"),"(","_"),")","")</f>
        <v>vpa501_1</v>
      </c>
      <c r="AM14" s="36" t="str">
        <f>M13</f>
        <v>15</v>
      </c>
      <c r="AN14" s="311" t="str">
        <f>SUBSTITUTE(SUBSTITUTE(SUBSTITUTE("vpc"&amp;$B14&amp;$C14&amp;$D14&amp;$E14&amp;$F14,".","_"),"(","_"),")","")</f>
        <v>vpc501_1</v>
      </c>
      <c r="AO14" s="36">
        <f>O13</f>
        <v>0</v>
      </c>
      <c r="AP14" s="311" t="str">
        <f>SUBSTITUTE(SUBSTITUTE(SUBSTITUTE("vch"&amp;$B14&amp;$C14&amp;$D14&amp;$E14&amp;$F14,".","_"),"(","_"),")","")</f>
        <v>vch501_1</v>
      </c>
      <c r="AQ14" s="311">
        <f>W14</f>
        <v>0</v>
      </c>
      <c r="AR14" s="311" t="str">
        <f>SUBSTITUTE(SUBSTITUTE(SUBSTITUTE("vnt"&amp;$B14&amp;$C14&amp;$D14&amp;$E14&amp;$F14,".","_"),"(","_"),")","")</f>
        <v>vnt501_1</v>
      </c>
      <c r="AS14" s="311">
        <f>X13</f>
        <v>0</v>
      </c>
      <c r="AX14" s="42" t="str">
        <f>'Overview (Verification)'!A12</f>
        <v>State:</v>
      </c>
      <c r="AY14" s="319">
        <f>IF(LEN('Overview (Verification)'!P12)=0,0,'Overview (Verification)'!P12)</f>
        <v>0</v>
      </c>
      <c r="AZ14" s="43"/>
      <c r="BA14" s="43"/>
      <c r="BB14" s="43"/>
      <c r="BC14" s="43" t="str">
        <f>'Overview (Verification)'!T12</f>
        <v>State</v>
      </c>
      <c r="BD14" s="43" t="str">
        <f>'Overview (Verification)'!U12</f>
        <v>County</v>
      </c>
      <c r="BE14" s="43" t="str">
        <f>'Overview (Verification)'!V12</f>
        <v>Radon</v>
      </c>
      <c r="BF14" s="43" t="str">
        <f>'Overview (Verification)'!W12</f>
        <v>Climate</v>
      </c>
      <c r="BG14" s="43" t="str">
        <f>'Overview (Verification)'!X12</f>
        <v>Moist</v>
      </c>
      <c r="BH14" s="43" t="str">
        <f>'Overview (Verification)'!Y12</f>
        <v>WarmHumid</v>
      </c>
      <c r="BJ14" s="1184" t="s">
        <v>4763</v>
      </c>
    </row>
    <row r="15" spans="1:62" x14ac:dyDescent="0.3">
      <c r="A15" s="1200">
        <v>5</v>
      </c>
      <c r="B15" s="1203" t="s">
        <v>269</v>
      </c>
      <c r="C15" s="1203"/>
      <c r="D15" s="1203"/>
      <c r="E15" s="1203"/>
      <c r="F15" s="1203" t="s">
        <v>271</v>
      </c>
      <c r="G15" s="1202" t="str">
        <f t="shared" ref="G15:G17" si="0">G14</f>
        <v/>
      </c>
      <c r="H15" s="1200" t="s">
        <v>4386</v>
      </c>
      <c r="I15" s="94"/>
      <c r="J15" s="192" t="s">
        <v>271</v>
      </c>
      <c r="K15" s="192"/>
      <c r="L15" s="193" t="s">
        <v>272</v>
      </c>
      <c r="M15" s="900">
        <v>10</v>
      </c>
      <c r="N15" s="293"/>
      <c r="O15" s="324"/>
      <c r="P15" s="96" t="b">
        <v>1</v>
      </c>
      <c r="Q15" s="96" t="b">
        <v>1</v>
      </c>
      <c r="R15" s="97" t="b">
        <v>0</v>
      </c>
      <c r="S15" s="97" t="b">
        <v>1</v>
      </c>
      <c r="T15" s="97" t="b">
        <v>0</v>
      </c>
      <c r="U15" s="97"/>
      <c r="V15" s="97"/>
      <c r="W15" s="25"/>
      <c r="X15" s="1295"/>
      <c r="Y15" s="1523"/>
      <c r="Z15" s="1583"/>
      <c r="AA15">
        <f>'Photo Review'!H15</f>
        <v>0</v>
      </c>
      <c r="AC15" s="280"/>
      <c r="AD15" s="280"/>
      <c r="AE15" s="280"/>
      <c r="AF15" s="280"/>
      <c r="AG15" s="280"/>
      <c r="AH15" s="280"/>
      <c r="AI15" s="280"/>
      <c r="AJ15" s="280"/>
      <c r="AK15" s="280"/>
      <c r="AL15" s="311" t="str">
        <f t="shared" ref="AL15:AL17" si="1">SUBSTITUTE(SUBSTITUTE(SUBSTITUTE("vpa"&amp;$B15&amp;$C15&amp;$D15&amp;$E15&amp;$F15,".","_"),"(","_"),")","")</f>
        <v>vpa501_1_1</v>
      </c>
      <c r="AM15" s="311">
        <f>M15</f>
        <v>10</v>
      </c>
      <c r="AN15" s="311"/>
      <c r="AO15" s="311"/>
      <c r="AP15" s="311" t="str">
        <f>SUBSTITUTE(SUBSTITUTE(SUBSTITUTE("vch"&amp;$B15&amp;$C15&amp;$D15&amp;$E15&amp;$F15,".","_"),"(","_"),")","")</f>
        <v>vch501_1_1</v>
      </c>
      <c r="AQ15" s="311">
        <f>W15</f>
        <v>0</v>
      </c>
      <c r="AR15" s="311"/>
      <c r="AS15" s="311"/>
      <c r="AX15" s="42" t="str">
        <f>'Overview (Verification)'!A13</f>
        <v>County:</v>
      </c>
      <c r="AY15" s="319">
        <f>IF(LEN('Overview (Verification)'!P13)=0,0,'Overview (Verification)'!P13)</f>
        <v>0</v>
      </c>
      <c r="AZ15" s="43"/>
      <c r="BA15" s="43"/>
      <c r="BB15" s="43"/>
      <c r="BC15" s="43" t="str">
        <f>'Overview (Verification)'!T13</f>
        <v/>
      </c>
      <c r="BD15" s="43" t="str">
        <f>'Overview (Verification)'!U13</f>
        <v/>
      </c>
      <c r="BE15" s="43" t="str">
        <f>'Overview (Verification)'!V13</f>
        <v>!!</v>
      </c>
      <c r="BF15" s="43" t="str">
        <f>'Overview (Verification)'!W13</f>
        <v>!!</v>
      </c>
      <c r="BG15" s="43" t="str">
        <f>'Overview (Verification)'!X13</f>
        <v>!!</v>
      </c>
      <c r="BH15" s="43" t="str">
        <f>'Overview (Verification)'!Y13</f>
        <v>!!</v>
      </c>
      <c r="BJ15" s="1184" t="s">
        <v>4763</v>
      </c>
    </row>
    <row r="16" spans="1:62" x14ac:dyDescent="0.3">
      <c r="A16" s="1200">
        <v>5</v>
      </c>
      <c r="B16" s="1203" t="s">
        <v>269</v>
      </c>
      <c r="C16" s="1203"/>
      <c r="D16" s="1203"/>
      <c r="E16" s="1203"/>
      <c r="F16" s="1203" t="s">
        <v>273</v>
      </c>
      <c r="G16" s="1202" t="str">
        <f t="shared" si="0"/>
        <v/>
      </c>
      <c r="H16" s="1200" t="s">
        <v>4386</v>
      </c>
      <c r="I16" s="94"/>
      <c r="J16" s="192" t="s">
        <v>273</v>
      </c>
      <c r="K16" s="192"/>
      <c r="L16" s="193" t="s">
        <v>274</v>
      </c>
      <c r="M16" s="900">
        <v>10</v>
      </c>
      <c r="N16" s="293"/>
      <c r="O16" s="324"/>
      <c r="P16" s="96" t="b">
        <v>1</v>
      </c>
      <c r="Q16" s="96" t="b">
        <v>1</v>
      </c>
      <c r="R16" s="97" t="b">
        <v>0</v>
      </c>
      <c r="S16" s="97" t="b">
        <f>W17&lt;&gt;TRUE</f>
        <v>1</v>
      </c>
      <c r="T16" s="97" t="b">
        <f>IF(AND(NOT(S16),W16=TRUE),TRUE,FALSE)</f>
        <v>0</v>
      </c>
      <c r="U16" s="97"/>
      <c r="V16" s="97"/>
      <c r="W16" s="25"/>
      <c r="X16" s="1295"/>
      <c r="Y16" s="1523"/>
      <c r="Z16" s="1583"/>
      <c r="AC16" s="332" t="b">
        <f>OR(AD16:AE16)</f>
        <v>0</v>
      </c>
      <c r="AD16" s="332" t="b">
        <f>T16</f>
        <v>0</v>
      </c>
      <c r="AE16" s="280"/>
      <c r="AF16" s="280"/>
      <c r="AG16" s="280"/>
      <c r="AH16" s="280"/>
      <c r="AI16" s="280"/>
      <c r="AJ16" s="280"/>
      <c r="AK16" s="280"/>
      <c r="AL16" s="311" t="str">
        <f t="shared" si="1"/>
        <v>vpa501_1_2</v>
      </c>
      <c r="AM16" s="311">
        <f>M16</f>
        <v>10</v>
      </c>
      <c r="AN16" s="311"/>
      <c r="AO16" s="311"/>
      <c r="AP16" s="311" t="str">
        <f t="shared" ref="AP16:AP17" si="2">SUBSTITUTE(SUBSTITUTE(SUBSTITUTE("vch"&amp;$B16&amp;$C16&amp;$D16&amp;$E16&amp;$F16,".","_"),"(","_"),")","")</f>
        <v>vch501_1_2</v>
      </c>
      <c r="AQ16" s="311">
        <f>W16</f>
        <v>0</v>
      </c>
      <c r="AR16" s="311"/>
      <c r="AS16" s="311"/>
      <c r="AX16" s="42" t="str">
        <f>'Overview (Verification)'!A14</f>
        <v>Zip:</v>
      </c>
      <c r="AY16" s="319">
        <f>IF(LEN('Overview (Verification)'!P14)=0,0,'Overview (Verification)'!P14)</f>
        <v>0</v>
      </c>
      <c r="BJ16" s="1184" t="s">
        <v>4763</v>
      </c>
    </row>
    <row r="17" spans="1:62" ht="15" thickBot="1" x14ac:dyDescent="0.35">
      <c r="A17" s="1200">
        <v>5</v>
      </c>
      <c r="B17" s="1203" t="s">
        <v>269</v>
      </c>
      <c r="C17" s="1203"/>
      <c r="D17" s="1203"/>
      <c r="E17" s="1203"/>
      <c r="F17" s="1203" t="s">
        <v>275</v>
      </c>
      <c r="G17" s="1202" t="str">
        <f t="shared" si="0"/>
        <v/>
      </c>
      <c r="H17" s="1200" t="s">
        <v>4386</v>
      </c>
      <c r="I17" s="99"/>
      <c r="J17" s="99" t="s">
        <v>275</v>
      </c>
      <c r="K17" s="99"/>
      <c r="L17" s="100" t="s">
        <v>276</v>
      </c>
      <c r="M17" s="901">
        <v>15</v>
      </c>
      <c r="N17" s="101"/>
      <c r="O17" s="103"/>
      <c r="P17" s="96" t="b">
        <v>1</v>
      </c>
      <c r="Q17" s="96" t="b">
        <v>1</v>
      </c>
      <c r="R17" s="104" t="b">
        <v>0</v>
      </c>
      <c r="S17" s="104" t="b">
        <f>W16&lt;&gt;TRUE</f>
        <v>1</v>
      </c>
      <c r="T17" s="104" t="b">
        <f>IF(AND(NOT(S17),W17=TRUE),TRUE,FALSE)</f>
        <v>0</v>
      </c>
      <c r="U17" s="104"/>
      <c r="V17" s="104"/>
      <c r="W17" s="207"/>
      <c r="X17" s="1296"/>
      <c r="Y17" s="1524"/>
      <c r="Z17" s="1584"/>
      <c r="AC17" s="332" t="b">
        <f>OR(AD17:AE17)</f>
        <v>0</v>
      </c>
      <c r="AD17" s="332" t="b">
        <f>T17</f>
        <v>0</v>
      </c>
      <c r="AE17" s="280"/>
      <c r="AF17" s="280"/>
      <c r="AG17" s="280"/>
      <c r="AH17" s="280"/>
      <c r="AI17" s="280"/>
      <c r="AJ17" s="280"/>
      <c r="AK17" s="280"/>
      <c r="AL17" s="311" t="str">
        <f t="shared" si="1"/>
        <v>vpa501_1_3</v>
      </c>
      <c r="AM17" s="311">
        <f>M17</f>
        <v>15</v>
      </c>
      <c r="AN17" s="311"/>
      <c r="AO17" s="311"/>
      <c r="AP17" s="311" t="str">
        <f t="shared" si="2"/>
        <v>vch501_1_3</v>
      </c>
      <c r="AQ17" s="311">
        <f>W17</f>
        <v>0</v>
      </c>
      <c r="AR17" s="311"/>
      <c r="AS17" s="311"/>
      <c r="AX17" s="42"/>
      <c r="AY17" s="43"/>
      <c r="BJ17" s="1184" t="s">
        <v>4763</v>
      </c>
    </row>
    <row r="18" spans="1:62" ht="15" thickTop="1" x14ac:dyDescent="0.3">
      <c r="A18" s="1200">
        <v>5</v>
      </c>
      <c r="B18" s="1203" t="s">
        <v>280</v>
      </c>
      <c r="C18" s="1203"/>
      <c r="D18" s="1203"/>
      <c r="E18" s="1203"/>
      <c r="F18" s="1203"/>
      <c r="G18" s="1196" t="str">
        <f ca="1">IF(COUNTIF(G20:G38,"P")&gt;0,"P","")</f>
        <v/>
      </c>
      <c r="H18" s="1200" t="s">
        <v>4386</v>
      </c>
      <c r="I18" s="90" t="s">
        <v>280</v>
      </c>
      <c r="J18" s="90"/>
      <c r="K18" s="90"/>
      <c r="L18" s="1292" t="s">
        <v>281</v>
      </c>
      <c r="M18" s="1565"/>
      <c r="N18" s="292"/>
      <c r="O18" s="1578"/>
      <c r="P18" s="311"/>
      <c r="Q18" s="311"/>
      <c r="R18" s="280"/>
      <c r="S18" s="280"/>
      <c r="T18" s="280"/>
      <c r="U18" s="280"/>
      <c r="V18" s="280"/>
      <c r="W18" s="206"/>
      <c r="X18" s="1304"/>
      <c r="Y18" s="1525" t="str">
        <f>IF(LEN('Ch5'!X19)=0,"None",'Ch5'!X19)</f>
        <v>None</v>
      </c>
      <c r="Z18" s="1585"/>
      <c r="AC18" s="280"/>
      <c r="AD18" s="280"/>
      <c r="AE18" s="280"/>
      <c r="AF18" s="280"/>
      <c r="AG18" s="280"/>
      <c r="AH18" s="280"/>
      <c r="AI18" s="280"/>
      <c r="AJ18" s="280"/>
      <c r="AK18" s="280"/>
      <c r="AL18" s="311"/>
      <c r="AM18" s="311"/>
      <c r="AN18" s="311"/>
      <c r="AO18" s="311"/>
      <c r="AP18" s="311"/>
      <c r="AQ18" s="311"/>
      <c r="AR18" s="311" t="str">
        <f>SUBSTITUTE(SUBSTITUTE(SUBSTITUTE("vnt"&amp;$B18&amp;$C18&amp;$D18&amp;$E18&amp;$F18,".","_"),"(","_"),")","")</f>
        <v>vnt501_2</v>
      </c>
      <c r="AS18" s="311">
        <f>X18</f>
        <v>0</v>
      </c>
      <c r="AX18" s="42" t="str">
        <f>'Overview (Verification)'!A16</f>
        <v>Single-Family or Multifamily:</v>
      </c>
      <c r="AY18" s="319">
        <f>IF(LEN('Overview (Verification)'!P16)=0,0,'Overview (Verification)'!P16)</f>
        <v>0</v>
      </c>
      <c r="BJ18" s="1184" t="s">
        <v>4763</v>
      </c>
    </row>
    <row r="19" spans="1:62" x14ac:dyDescent="0.3">
      <c r="A19" s="1200">
        <v>5</v>
      </c>
      <c r="B19" s="1203" t="s">
        <v>280</v>
      </c>
      <c r="C19" s="1203"/>
      <c r="D19" s="1203"/>
      <c r="E19" s="1203"/>
      <c r="F19" s="1203"/>
      <c r="G19" s="1202" t="str">
        <f ca="1">G18</f>
        <v/>
      </c>
      <c r="H19" s="1200" t="s">
        <v>4386</v>
      </c>
      <c r="I19" s="90"/>
      <c r="J19" s="90"/>
      <c r="K19" s="90"/>
      <c r="L19" s="1292"/>
      <c r="M19" s="1565"/>
      <c r="N19" s="292"/>
      <c r="O19" s="1578"/>
      <c r="P19" s="311"/>
      <c r="Q19" s="311"/>
      <c r="R19" s="280"/>
      <c r="S19" s="280"/>
      <c r="T19" s="280"/>
      <c r="U19" s="280"/>
      <c r="V19" s="280"/>
      <c r="W19" s="280"/>
      <c r="X19" s="1303"/>
      <c r="Y19" s="1522"/>
      <c r="Z19" s="1586"/>
      <c r="AC19" s="280"/>
      <c r="AD19" s="280"/>
      <c r="AE19" s="280"/>
      <c r="AF19" s="280"/>
      <c r="AG19" s="280"/>
      <c r="AH19" s="280"/>
      <c r="AI19" s="280"/>
      <c r="AJ19" s="280"/>
      <c r="AK19" s="280"/>
      <c r="AL19" s="311"/>
      <c r="AM19" s="311"/>
      <c r="AN19" s="311"/>
      <c r="AO19" s="311"/>
      <c r="AP19" s="311"/>
      <c r="AQ19" s="311"/>
      <c r="AR19" s="311"/>
      <c r="AS19" s="311"/>
      <c r="AX19" s="42" t="str">
        <f>'Overview (Verification)'!A17</f>
        <v>Number of Units:</v>
      </c>
      <c r="AY19" s="319">
        <f>IF(LEN('Overview (Verification)'!P17)=0,0,'Overview (Verification)'!P17)</f>
        <v>0</v>
      </c>
      <c r="BJ19" s="1184" t="s">
        <v>4763</v>
      </c>
    </row>
    <row r="20" spans="1:62" x14ac:dyDescent="0.3">
      <c r="A20" s="1200">
        <v>5</v>
      </c>
      <c r="B20" s="1203" t="s">
        <v>280</v>
      </c>
      <c r="C20" s="1203"/>
      <c r="D20" s="1203"/>
      <c r="E20" s="1203" t="s">
        <v>271</v>
      </c>
      <c r="F20" s="1203"/>
      <c r="G20" s="1202" t="str">
        <f>IF(N20&gt;0,"P","")</f>
        <v/>
      </c>
      <c r="H20" s="1200" t="s">
        <v>4386</v>
      </c>
      <c r="I20" s="90"/>
      <c r="J20" s="94" t="s">
        <v>271</v>
      </c>
      <c r="K20" s="94"/>
      <c r="L20" s="1293" t="s">
        <v>282</v>
      </c>
      <c r="M20" s="1561" t="s">
        <v>298</v>
      </c>
      <c r="N20" s="1533">
        <f>'Ch5'!O21</f>
        <v>0</v>
      </c>
      <c r="O20" s="1563">
        <f>M20*W20</f>
        <v>0</v>
      </c>
      <c r="P20" s="96" t="b">
        <v>1</v>
      </c>
      <c r="Q20" s="96" t="b">
        <v>1</v>
      </c>
      <c r="R20" s="280" t="b">
        <v>0</v>
      </c>
      <c r="S20" s="280" t="b">
        <v>1</v>
      </c>
      <c r="T20" s="280" t="b">
        <v>0</v>
      </c>
      <c r="U20" s="280"/>
      <c r="V20" s="280"/>
      <c r="W20" s="25"/>
      <c r="X20" s="1303"/>
      <c r="Y20" s="1522" t="str">
        <f>IF(LEN('Ch5'!X21)=0,"None",'Ch5'!X21)</f>
        <v>None</v>
      </c>
      <c r="Z20" s="1586"/>
      <c r="AC20" s="280"/>
      <c r="AD20" s="280"/>
      <c r="AE20" s="280"/>
      <c r="AF20" s="280"/>
      <c r="AG20" s="280"/>
      <c r="AH20" s="280"/>
      <c r="AI20" s="280"/>
      <c r="AJ20" s="280"/>
      <c r="AK20" s="280"/>
      <c r="AL20" s="311" t="str">
        <f>SUBSTITUTE(SUBSTITUTE(SUBSTITUTE("vpa"&amp;$B20&amp;$C20&amp;$D20&amp;$E20&amp;$F20,".","_"),"(","_"),")","")</f>
        <v>vpa501_2_1</v>
      </c>
      <c r="AM20" s="311" t="str">
        <f>M20</f>
        <v>6</v>
      </c>
      <c r="AN20" s="311" t="str">
        <f>SUBSTITUTE(SUBSTITUTE(SUBSTITUTE("vpc"&amp;$B20&amp;$C20&amp;$D20&amp;$E20&amp;$F20,".","_"),"(","_"),")","")</f>
        <v>vpc501_2_1</v>
      </c>
      <c r="AO20" s="311">
        <f>O20</f>
        <v>0</v>
      </c>
      <c r="AP20" s="311" t="str">
        <f>SUBSTITUTE(SUBSTITUTE(SUBSTITUTE("vch"&amp;$B20&amp;$C20&amp;$D20&amp;$E20&amp;$F20,".","_"),"(","_"),")","")</f>
        <v>vch501_2_1</v>
      </c>
      <c r="AQ20" s="311">
        <f>W20</f>
        <v>0</v>
      </c>
      <c r="AR20" s="311" t="str">
        <f>SUBSTITUTE(SUBSTITUTE(SUBSTITUTE("vnt"&amp;$B20&amp;$C20&amp;$D20&amp;$E20&amp;$F20,".","_"),"(","_"),")","")</f>
        <v>vnt501_2_1</v>
      </c>
      <c r="AS20" s="311">
        <f>X20</f>
        <v>0</v>
      </c>
      <c r="AX20" s="42" t="str">
        <f>'Overview (Verification)'!A18</f>
        <v>Project Name:</v>
      </c>
      <c r="AY20" s="319">
        <f>IF(LEN('Overview (Verification)'!P18)=0,0,'Overview (Verification)'!P18)</f>
        <v>0</v>
      </c>
      <c r="BJ20" s="1184" t="s">
        <v>4763</v>
      </c>
    </row>
    <row r="21" spans="1:62" x14ac:dyDescent="0.3">
      <c r="A21" s="1200">
        <v>5</v>
      </c>
      <c r="B21" s="1203" t="s">
        <v>280</v>
      </c>
      <c r="C21" s="1203"/>
      <c r="D21" s="1203"/>
      <c r="E21" s="1203" t="s">
        <v>271</v>
      </c>
      <c r="F21" s="1203"/>
      <c r="G21" s="1202" t="str">
        <f>G20</f>
        <v/>
      </c>
      <c r="H21" s="1200" t="s">
        <v>4386</v>
      </c>
      <c r="I21" s="90"/>
      <c r="J21" s="192"/>
      <c r="K21" s="192"/>
      <c r="L21" s="1294"/>
      <c r="M21" s="1562"/>
      <c r="N21" s="1568"/>
      <c r="O21" s="1564"/>
      <c r="P21" s="310"/>
      <c r="Q21" s="310"/>
      <c r="R21" s="280"/>
      <c r="S21" s="280"/>
      <c r="T21" s="280"/>
      <c r="U21" s="280"/>
      <c r="V21" s="280"/>
      <c r="W21" s="280"/>
      <c r="X21" s="1303"/>
      <c r="Y21" s="1522"/>
      <c r="Z21" s="1586"/>
      <c r="AC21" s="280"/>
      <c r="AD21" s="280"/>
      <c r="AE21" s="280"/>
      <c r="AF21" s="280"/>
      <c r="AG21" s="280"/>
      <c r="AH21" s="280"/>
      <c r="AI21" s="280"/>
      <c r="AJ21" s="280"/>
      <c r="AK21" s="280"/>
      <c r="AL21" s="311"/>
      <c r="AM21" s="311"/>
      <c r="AN21" s="311"/>
      <c r="AO21" s="311"/>
      <c r="AP21" s="311"/>
      <c r="AQ21" s="311"/>
      <c r="AR21" s="311"/>
      <c r="AS21" s="311"/>
      <c r="AX21" s="42"/>
      <c r="AY21" s="43"/>
      <c r="BJ21" s="1184" t="s">
        <v>4763</v>
      </c>
    </row>
    <row r="22" spans="1:62" x14ac:dyDescent="0.3">
      <c r="A22" s="1200">
        <v>5</v>
      </c>
      <c r="B22" s="1203" t="s">
        <v>280</v>
      </c>
      <c r="C22" s="1203"/>
      <c r="D22" s="1203"/>
      <c r="E22" s="1203" t="s">
        <v>273</v>
      </c>
      <c r="F22" s="1203"/>
      <c r="G22" s="1202" t="str">
        <f>IF(N22&gt;0,"P","")</f>
        <v/>
      </c>
      <c r="H22" s="1200" t="s">
        <v>4386</v>
      </c>
      <c r="I22" s="90"/>
      <c r="J22" s="94" t="s">
        <v>273</v>
      </c>
      <c r="K22" s="94"/>
      <c r="L22" s="1305" t="s">
        <v>283</v>
      </c>
      <c r="M22" s="1561" t="s">
        <v>299</v>
      </c>
      <c r="N22" s="1567">
        <f>'Ch5'!O23</f>
        <v>0</v>
      </c>
      <c r="O22" s="1563">
        <f>M22*W22</f>
        <v>0</v>
      </c>
      <c r="P22" s="96" t="b">
        <v>1</v>
      </c>
      <c r="Q22" s="96" t="b">
        <v>1</v>
      </c>
      <c r="R22" s="280" t="b">
        <v>0</v>
      </c>
      <c r="S22" s="280" t="b">
        <v>1</v>
      </c>
      <c r="T22" s="280" t="b">
        <v>0</v>
      </c>
      <c r="U22" s="280"/>
      <c r="V22" s="280"/>
      <c r="W22" s="25"/>
      <c r="X22" s="1303"/>
      <c r="Y22" s="1522" t="str">
        <f>IF(LEN('Ch5'!X23)=0,"None",'Ch5'!X23)</f>
        <v>None</v>
      </c>
      <c r="Z22" s="1586"/>
      <c r="AC22" s="280"/>
      <c r="AD22" s="280"/>
      <c r="AE22" s="280"/>
      <c r="AF22" s="280"/>
      <c r="AG22" s="280"/>
      <c r="AH22" s="280"/>
      <c r="AI22" s="280"/>
      <c r="AJ22" s="280"/>
      <c r="AK22" s="280"/>
      <c r="AL22" s="311" t="str">
        <f>SUBSTITUTE(SUBSTITUTE(SUBSTITUTE("vpa"&amp;$B22&amp;$C22&amp;$D22&amp;$E22&amp;$F22,".","_"),"(","_"),")","")</f>
        <v>vpa501_2_2</v>
      </c>
      <c r="AM22" s="311" t="str">
        <f>M22</f>
        <v>3</v>
      </c>
      <c r="AN22" s="311" t="str">
        <f>SUBSTITUTE(SUBSTITUTE(SUBSTITUTE("vpc"&amp;$B22&amp;$C22&amp;$D22&amp;$E22&amp;$F22,".","_"),"(","_"),")","")</f>
        <v>vpc501_2_2</v>
      </c>
      <c r="AO22" s="311">
        <f>O22</f>
        <v>0</v>
      </c>
      <c r="AP22" s="311" t="str">
        <f>SUBSTITUTE(SUBSTITUTE(SUBSTITUTE("vch"&amp;$B22&amp;$C22&amp;$D22&amp;$E22&amp;$F22,".","_"),"(","_"),")","")</f>
        <v>vch501_2_2</v>
      </c>
      <c r="AQ22" s="311">
        <f>W22</f>
        <v>0</v>
      </c>
      <c r="AR22" s="311" t="str">
        <f>SUBSTITUTE(SUBSTITUTE(SUBSTITUTE("vnt"&amp;$B22&amp;$C22&amp;$D22&amp;$E22&amp;$F22,".","_"),"(","_"),")","")</f>
        <v>vnt501_2_2</v>
      </c>
      <c r="AS22" s="311">
        <f>X22</f>
        <v>0</v>
      </c>
      <c r="AX22" s="42" t="str">
        <f>'Overview (Verification)'!A20</f>
        <v>Above grade plane finished floor area:</v>
      </c>
      <c r="AY22" s="319">
        <f>IF(LEN('Overview (Verification)'!P20)=0,0,'Overview (Verification)'!P20)</f>
        <v>0</v>
      </c>
      <c r="BJ22" s="1184" t="s">
        <v>4763</v>
      </c>
    </row>
    <row r="23" spans="1:62" x14ac:dyDescent="0.3">
      <c r="A23" s="1200">
        <v>5</v>
      </c>
      <c r="B23" s="1203" t="s">
        <v>280</v>
      </c>
      <c r="C23" s="1203"/>
      <c r="D23" s="1203"/>
      <c r="E23" s="1203" t="s">
        <v>273</v>
      </c>
      <c r="F23" s="1203"/>
      <c r="G23" s="1202" t="str">
        <f>G22</f>
        <v/>
      </c>
      <c r="H23" s="1200" t="s">
        <v>4386</v>
      </c>
      <c r="I23" s="90"/>
      <c r="J23" s="192"/>
      <c r="K23" s="192"/>
      <c r="L23" s="1306"/>
      <c r="M23" s="1562"/>
      <c r="N23" s="1568"/>
      <c r="O23" s="1564"/>
      <c r="P23" s="310"/>
      <c r="Q23" s="310"/>
      <c r="R23" s="280"/>
      <c r="S23" s="280"/>
      <c r="T23" s="280"/>
      <c r="U23" s="280"/>
      <c r="V23" s="280"/>
      <c r="W23" s="280"/>
      <c r="X23" s="1303"/>
      <c r="Y23" s="1522"/>
      <c r="Z23" s="1586"/>
      <c r="AC23" s="280"/>
      <c r="AD23" s="280"/>
      <c r="AE23" s="280"/>
      <c r="AF23" s="280"/>
      <c r="AG23" s="280"/>
      <c r="AH23" s="280"/>
      <c r="AI23" s="280"/>
      <c r="AJ23" s="280"/>
      <c r="AK23" s="280"/>
      <c r="AL23" s="311"/>
      <c r="AM23" s="311"/>
      <c r="AN23" s="311"/>
      <c r="AO23" s="311"/>
      <c r="AP23" s="311"/>
      <c r="AQ23" s="311"/>
      <c r="AR23" s="311"/>
      <c r="AS23" s="311"/>
      <c r="AX23" s="42" t="str">
        <f>'Overview (Verification)'!A21</f>
        <v>Total conditioned floor area:</v>
      </c>
      <c r="AY23" s="319">
        <f>IF(LEN('Overview (Verification)'!P21)=0,0,'Overview (Verification)'!P21)</f>
        <v>0</v>
      </c>
      <c r="BJ23" s="1184" t="s">
        <v>4763</v>
      </c>
    </row>
    <row r="24" spans="1:62" x14ac:dyDescent="0.3">
      <c r="A24" s="1200">
        <v>5</v>
      </c>
      <c r="B24" s="1203" t="s">
        <v>280</v>
      </c>
      <c r="C24" s="1203"/>
      <c r="D24" s="1203"/>
      <c r="E24" s="1203" t="s">
        <v>275</v>
      </c>
      <c r="F24" s="1203"/>
      <c r="G24" s="1202" t="str">
        <f>IF(N24&gt;0,"P","")</f>
        <v/>
      </c>
      <c r="H24" s="1200" t="s">
        <v>4386</v>
      </c>
      <c r="I24" s="90"/>
      <c r="J24" s="94" t="s">
        <v>275</v>
      </c>
      <c r="K24" s="94"/>
      <c r="L24" s="1293" t="s">
        <v>284</v>
      </c>
      <c r="M24" s="1561" t="s">
        <v>300</v>
      </c>
      <c r="N24" s="1567">
        <f>'Ch5'!O25</f>
        <v>0</v>
      </c>
      <c r="O24" s="1563">
        <f>M24*W24</f>
        <v>0</v>
      </c>
      <c r="P24" s="96" t="b">
        <v>1</v>
      </c>
      <c r="Q24" s="96" t="b">
        <v>1</v>
      </c>
      <c r="R24" s="280" t="b">
        <v>0</v>
      </c>
      <c r="S24" s="280" t="b">
        <v>1</v>
      </c>
      <c r="T24" s="280" t="b">
        <v>0</v>
      </c>
      <c r="U24" s="280"/>
      <c r="V24" s="280"/>
      <c r="W24" s="25"/>
      <c r="X24" s="1303"/>
      <c r="Y24" s="1522" t="str">
        <f>IF(LEN('Ch5'!X25)=0,"None",'Ch5'!X25)</f>
        <v>None</v>
      </c>
      <c r="Z24" s="1583"/>
      <c r="AA24" s="1110">
        <f>'Photo Review'!H24</f>
        <v>0</v>
      </c>
      <c r="AC24" s="280"/>
      <c r="AD24" s="280"/>
      <c r="AE24" s="280"/>
      <c r="AF24" s="280"/>
      <c r="AG24" s="280"/>
      <c r="AH24" s="280"/>
      <c r="AI24" s="280"/>
      <c r="AJ24" s="280"/>
      <c r="AK24" s="280"/>
      <c r="AL24" s="311" t="str">
        <f>SUBSTITUTE(SUBSTITUTE(SUBSTITUTE("vpa"&amp;$B24&amp;$C24&amp;$D24&amp;$E24&amp;$F24,".","_"),"(","_"),")","")</f>
        <v>vpa501_2_3</v>
      </c>
      <c r="AM24" s="311" t="str">
        <f>M24</f>
        <v>5</v>
      </c>
      <c r="AN24" s="311" t="str">
        <f>SUBSTITUTE(SUBSTITUTE(SUBSTITUTE("vpc"&amp;$B24&amp;$C24&amp;$D24&amp;$E24&amp;$F24,".","_"),"(","_"),")","")</f>
        <v>vpc501_2_3</v>
      </c>
      <c r="AO24" s="311">
        <f>O24</f>
        <v>0</v>
      </c>
      <c r="AP24" s="311" t="str">
        <f>SUBSTITUTE(SUBSTITUTE(SUBSTITUTE("vch"&amp;$B24&amp;$C24&amp;$D24&amp;$E24&amp;$F24,".","_"),"(","_"),")","")</f>
        <v>vch501_2_3</v>
      </c>
      <c r="AQ24" s="311">
        <f>W24</f>
        <v>0</v>
      </c>
      <c r="AR24" s="311" t="str">
        <f>SUBSTITUTE(SUBSTITUTE(SUBSTITUTE("vnt"&amp;$B24&amp;$C24&amp;$D24&amp;$E24&amp;$F24,".","_"),"(","_"),")","")</f>
        <v>vnt501_2_3</v>
      </c>
      <c r="AS24" s="311">
        <f>X24</f>
        <v>0</v>
      </c>
      <c r="AX24" s="611" t="str">
        <f>'Overview (Verification)'!A22</f>
        <v>Stories above grade:</v>
      </c>
      <c r="AY24" s="612">
        <f>IF(LEN('Overview (Verification)'!P22)=0,0,'Overview (Verification)'!P22)</f>
        <v>0</v>
      </c>
      <c r="BJ24" s="1184" t="s">
        <v>4763</v>
      </c>
    </row>
    <row r="25" spans="1:62" x14ac:dyDescent="0.3">
      <c r="A25" s="1200">
        <v>5</v>
      </c>
      <c r="B25" s="1203" t="s">
        <v>280</v>
      </c>
      <c r="C25" s="1203"/>
      <c r="D25" s="1203"/>
      <c r="E25" s="1203" t="s">
        <v>275</v>
      </c>
      <c r="F25" s="1203"/>
      <c r="G25" s="1202" t="str">
        <f>G24</f>
        <v/>
      </c>
      <c r="H25" s="1200" t="s">
        <v>4386</v>
      </c>
      <c r="I25" s="90"/>
      <c r="J25" s="192"/>
      <c r="K25" s="192"/>
      <c r="L25" s="1294"/>
      <c r="M25" s="1562"/>
      <c r="N25" s="1568"/>
      <c r="O25" s="1564"/>
      <c r="P25" s="310"/>
      <c r="Q25" s="310"/>
      <c r="R25" s="280"/>
      <c r="S25" s="280"/>
      <c r="T25" s="280"/>
      <c r="U25" s="280"/>
      <c r="V25" s="280"/>
      <c r="W25" s="280"/>
      <c r="X25" s="1303"/>
      <c r="Y25" s="1522"/>
      <c r="Z25" s="1583"/>
      <c r="AC25" s="280"/>
      <c r="AD25" s="280"/>
      <c r="AE25" s="280"/>
      <c r="AF25" s="280"/>
      <c r="AG25" s="280"/>
      <c r="AH25" s="280"/>
      <c r="AI25" s="280"/>
      <c r="AJ25" s="280"/>
      <c r="AK25" s="280"/>
      <c r="AL25" s="311"/>
      <c r="AM25" s="311"/>
      <c r="AN25" s="311"/>
      <c r="AO25" s="311"/>
      <c r="AP25" s="311"/>
      <c r="AQ25" s="311"/>
      <c r="AR25" s="311"/>
      <c r="AS25" s="311"/>
      <c r="BJ25" s="1184" t="s">
        <v>4763</v>
      </c>
    </row>
    <row r="26" spans="1:62" x14ac:dyDescent="0.3">
      <c r="A26" s="1200">
        <v>5</v>
      </c>
      <c r="B26" s="1203" t="s">
        <v>280</v>
      </c>
      <c r="C26" s="1203"/>
      <c r="D26" s="1203"/>
      <c r="E26" s="1203" t="s">
        <v>285</v>
      </c>
      <c r="F26" s="1203"/>
      <c r="G26" s="1202" t="str">
        <f>IF(N26&gt;0,"P","")</f>
        <v/>
      </c>
      <c r="H26" s="1200" t="s">
        <v>4386</v>
      </c>
      <c r="I26" s="90"/>
      <c r="J26" s="94" t="s">
        <v>285</v>
      </c>
      <c r="K26" s="94"/>
      <c r="L26" s="1305" t="s">
        <v>286</v>
      </c>
      <c r="M26" s="1561" t="s">
        <v>301</v>
      </c>
      <c r="N26" s="1567">
        <f>'Ch5'!O27</f>
        <v>0</v>
      </c>
      <c r="O26" s="1563">
        <f>IF(LEN(X26)&gt;0,M26*W26,0)</f>
        <v>0</v>
      </c>
      <c r="P26" s="96" t="b">
        <v>1</v>
      </c>
      <c r="Q26" s="96" t="b">
        <v>1</v>
      </c>
      <c r="R26" s="280" t="b">
        <v>0</v>
      </c>
      <c r="S26" s="280" t="b">
        <v>1</v>
      </c>
      <c r="T26" s="280" t="b">
        <v>0</v>
      </c>
      <c r="U26" s="280"/>
      <c r="V26" s="280"/>
      <c r="W26" s="25"/>
      <c r="X26" s="1303"/>
      <c r="Y26" s="1522" t="str">
        <f>IF(LEN('Ch5'!X27)=0,"None",'Ch5'!X27)</f>
        <v>None</v>
      </c>
      <c r="Z26" s="1586"/>
      <c r="AC26" s="280" t="b">
        <f>OR(AD26:AE26)</f>
        <v>0</v>
      </c>
      <c r="AD26" s="985" t="b">
        <f>T26</f>
        <v>0</v>
      </c>
      <c r="AE26" s="280" t="b">
        <f>AND(W26=TRUE,LEN(X26)=0)</f>
        <v>0</v>
      </c>
      <c r="AF26" s="280" t="b">
        <f>AND(AE26,NOT(Q26))</f>
        <v>0</v>
      </c>
      <c r="AG26" s="280"/>
      <c r="AH26" s="280"/>
      <c r="AI26" s="280"/>
      <c r="AJ26" s="280"/>
      <c r="AK26" s="280"/>
      <c r="AL26" s="311" t="str">
        <f>SUBSTITUTE(SUBSTITUTE(SUBSTITUTE("vpa"&amp;$B26&amp;$C26&amp;$D26&amp;$E26&amp;$F26,".","_"),"(","_"),")","")</f>
        <v>vpa501_2_4</v>
      </c>
      <c r="AM26" s="311" t="str">
        <f>M26</f>
        <v>4</v>
      </c>
      <c r="AN26" s="311" t="str">
        <f>SUBSTITUTE(SUBSTITUTE(SUBSTITUTE("vpc"&amp;$B26&amp;$C26&amp;$D26&amp;$E26&amp;$F26,".","_"),"(","_"),")","")</f>
        <v>vpc501_2_4</v>
      </c>
      <c r="AO26" s="311">
        <f>O26</f>
        <v>0</v>
      </c>
      <c r="AP26" s="311" t="str">
        <f>SUBSTITUTE(SUBSTITUTE(SUBSTITUTE("vch"&amp;$B26&amp;$C26&amp;$D26&amp;$E26&amp;$F26,".","_"),"(","_"),")","")</f>
        <v>vch501_2_4</v>
      </c>
      <c r="AQ26" s="311">
        <f>W26</f>
        <v>0</v>
      </c>
      <c r="AR26" s="311" t="str">
        <f>SUBSTITUTE(SUBSTITUTE(SUBSTITUTE("vnt"&amp;$B26&amp;$C26&amp;$D26&amp;$E26&amp;$F26,".","_"),"(","_"),")","")</f>
        <v>vnt501_2_4</v>
      </c>
      <c r="AS26" s="311">
        <f>X26</f>
        <v>0</v>
      </c>
      <c r="AX26" s="42" t="str">
        <f>'Overview (Verification)'!A24</f>
        <v xml:space="preserve">Project Description (optional): </v>
      </c>
      <c r="AY26" s="319">
        <f>IF(LEN('Overview (Verification)'!P24)=0,0,'Overview (Verification)'!P24)</f>
        <v>0</v>
      </c>
      <c r="BJ26" s="1184" t="s">
        <v>4763</v>
      </c>
    </row>
    <row r="27" spans="1:62" x14ac:dyDescent="0.3">
      <c r="A27" s="1200">
        <v>5</v>
      </c>
      <c r="B27" s="1203" t="s">
        <v>280</v>
      </c>
      <c r="C27" s="1203"/>
      <c r="D27" s="1203"/>
      <c r="E27" s="1203" t="s">
        <v>285</v>
      </c>
      <c r="F27" s="1203"/>
      <c r="G27" s="1202" t="str">
        <f t="shared" ref="G27:G34" si="3">G26</f>
        <v/>
      </c>
      <c r="H27" s="1200" t="s">
        <v>4386</v>
      </c>
      <c r="I27" s="90"/>
      <c r="J27" s="94"/>
      <c r="K27" s="94"/>
      <c r="L27" s="1305"/>
      <c r="M27" s="1561"/>
      <c r="N27" s="1533"/>
      <c r="O27" s="1563"/>
      <c r="P27" s="310"/>
      <c r="Q27" s="310"/>
      <c r="R27" s="280"/>
      <c r="S27" s="280"/>
      <c r="T27" s="280"/>
      <c r="U27" s="280"/>
      <c r="V27" s="280"/>
      <c r="W27" s="280"/>
      <c r="X27" s="1303"/>
      <c r="Y27" s="1522" t="str">
        <f>IF(LEN('Ch5'!X28)=0,"None",'Ch5'!X28:X32)</f>
        <v>None</v>
      </c>
      <c r="Z27" s="1586"/>
      <c r="AC27" s="280"/>
      <c r="AD27" s="280"/>
      <c r="AE27" s="280"/>
      <c r="AF27" s="280"/>
      <c r="AG27" s="280"/>
      <c r="AH27" s="280"/>
      <c r="AI27" s="280"/>
      <c r="AJ27" s="280"/>
      <c r="AK27" s="280"/>
      <c r="AL27" s="311"/>
      <c r="AM27" s="311"/>
      <c r="AN27" s="311"/>
      <c r="AO27" s="311"/>
      <c r="AP27" s="311"/>
      <c r="AQ27" s="311"/>
      <c r="AR27" s="311"/>
      <c r="AS27" s="311"/>
      <c r="AX27" s="611"/>
      <c r="AY27" s="319"/>
      <c r="BJ27" s="1184" t="s">
        <v>4763</v>
      </c>
    </row>
    <row r="28" spans="1:62" x14ac:dyDescent="0.3">
      <c r="A28" s="1200">
        <v>5</v>
      </c>
      <c r="B28" s="1203" t="s">
        <v>280</v>
      </c>
      <c r="C28" s="1203"/>
      <c r="D28" s="1203"/>
      <c r="E28" s="1203" t="s">
        <v>285</v>
      </c>
      <c r="F28" s="1203"/>
      <c r="G28" s="1202" t="str">
        <f t="shared" si="3"/>
        <v/>
      </c>
      <c r="H28" s="1200" t="s">
        <v>4386</v>
      </c>
      <c r="I28" s="90"/>
      <c r="J28" s="94"/>
      <c r="K28" s="94"/>
      <c r="L28" s="1305"/>
      <c r="M28" s="1561"/>
      <c r="N28" s="1533"/>
      <c r="O28" s="1563"/>
      <c r="P28" s="310"/>
      <c r="Q28" s="310"/>
      <c r="R28" s="280"/>
      <c r="S28" s="280"/>
      <c r="T28" s="280"/>
      <c r="U28" s="280"/>
      <c r="V28" s="280"/>
      <c r="W28" s="280"/>
      <c r="X28" s="1303"/>
      <c r="Y28" s="1522" t="str">
        <f>IF(LEN('Ch5'!X29)=0,"None",'Ch5'!X29:X33)</f>
        <v>None</v>
      </c>
      <c r="Z28" s="1586"/>
      <c r="AC28" s="280"/>
      <c r="AD28" s="280"/>
      <c r="AE28" s="280"/>
      <c r="AF28" s="280"/>
      <c r="AG28" s="280"/>
      <c r="AH28" s="280"/>
      <c r="AI28" s="280"/>
      <c r="AJ28" s="280"/>
      <c r="AK28" s="280"/>
      <c r="AL28" s="311"/>
      <c r="AM28" s="311"/>
      <c r="AN28" s="311"/>
      <c r="AO28" s="311"/>
      <c r="AP28" s="311"/>
      <c r="AQ28" s="311"/>
      <c r="AR28" s="311"/>
      <c r="AS28" s="311"/>
      <c r="AX28" s="42" t="str">
        <f>'Overview (Verification)'!A26</f>
        <v>HERS Index (if available):</v>
      </c>
      <c r="AY28" s="319">
        <f>IF(LEN('Overview (Verification)'!P26)=0,0,'Overview (Verification)'!P26)</f>
        <v>0</v>
      </c>
      <c r="BJ28" s="1184" t="s">
        <v>4763</v>
      </c>
    </row>
    <row r="29" spans="1:62" x14ac:dyDescent="0.3">
      <c r="A29" s="1200">
        <v>5</v>
      </c>
      <c r="B29" s="1203" t="s">
        <v>280</v>
      </c>
      <c r="C29" s="1203"/>
      <c r="D29" s="1203"/>
      <c r="E29" s="1203" t="s">
        <v>285</v>
      </c>
      <c r="F29" s="1203"/>
      <c r="G29" s="1202" t="str">
        <f t="shared" si="3"/>
        <v/>
      </c>
      <c r="H29" s="1200" t="s">
        <v>4386</v>
      </c>
      <c r="I29" s="90"/>
      <c r="J29" s="94"/>
      <c r="K29" s="94"/>
      <c r="L29" s="1305"/>
      <c r="M29" s="1561"/>
      <c r="N29" s="1533"/>
      <c r="O29" s="1563"/>
      <c r="P29" s="310"/>
      <c r="Q29" s="310"/>
      <c r="R29" s="280"/>
      <c r="S29" s="280"/>
      <c r="T29" s="280"/>
      <c r="U29" s="280"/>
      <c r="V29" s="280"/>
      <c r="W29" s="280"/>
      <c r="X29" s="1303"/>
      <c r="Y29" s="1522" t="str">
        <f>IF(LEN('Ch5'!X30)=0,"None",'Ch5'!X30:X34)</f>
        <v>None</v>
      </c>
      <c r="Z29" s="1586"/>
      <c r="AC29" s="280"/>
      <c r="AD29" s="280"/>
      <c r="AE29" s="280"/>
      <c r="AF29" s="280"/>
      <c r="AG29" s="280"/>
      <c r="AH29" s="280"/>
      <c r="AI29" s="280"/>
      <c r="AJ29" s="280"/>
      <c r="AK29" s="280"/>
      <c r="AL29" s="311"/>
      <c r="AM29" s="311"/>
      <c r="AN29" s="311"/>
      <c r="AO29" s="311"/>
      <c r="AP29" s="311"/>
      <c r="AQ29" s="311"/>
      <c r="AR29" s="311"/>
      <c r="AS29" s="311"/>
      <c r="AX29" s="42" t="str">
        <f>'Overview (Verification)'!A27</f>
        <v>Foundation Type:</v>
      </c>
      <c r="AY29" s="319">
        <f>IF(LEN('Overview (Verification)'!P27)=0,0,'Overview (Verification)'!P27)</f>
        <v>0</v>
      </c>
      <c r="AZ29" s="1">
        <f>IFERROR(MATCH(AY29,ddFoundation,0),0)</f>
        <v>0</v>
      </c>
      <c r="BJ29" s="1184" t="s">
        <v>4763</v>
      </c>
    </row>
    <row r="30" spans="1:62" x14ac:dyDescent="0.3">
      <c r="A30" s="1200">
        <v>5</v>
      </c>
      <c r="B30" s="1203" t="s">
        <v>280</v>
      </c>
      <c r="C30" s="1203"/>
      <c r="D30" s="1203"/>
      <c r="E30" s="1203" t="s">
        <v>285</v>
      </c>
      <c r="F30" s="1203"/>
      <c r="G30" s="1202" t="str">
        <f t="shared" si="3"/>
        <v/>
      </c>
      <c r="H30" s="1200" t="s">
        <v>4386</v>
      </c>
      <c r="I30" s="90"/>
      <c r="J30" s="94"/>
      <c r="K30" s="94"/>
      <c r="L30" s="98" t="s">
        <v>287</v>
      </c>
      <c r="M30" s="1561"/>
      <c r="N30" s="1533"/>
      <c r="O30" s="1563"/>
      <c r="P30" s="310"/>
      <c r="Q30" s="310"/>
      <c r="R30" s="280"/>
      <c r="S30" s="280"/>
      <c r="T30" s="280"/>
      <c r="U30" s="280"/>
      <c r="V30" s="280"/>
      <c r="W30" s="280"/>
      <c r="X30" s="1303"/>
      <c r="Y30" s="1522" t="str">
        <f>IF(LEN('Ch5'!X31)=0,"None",'Ch5'!X31:X35)</f>
        <v>None</v>
      </c>
      <c r="Z30" s="1586"/>
      <c r="AC30" s="280"/>
      <c r="AD30" s="280"/>
      <c r="AE30" s="280"/>
      <c r="AF30" s="280"/>
      <c r="AG30" s="280"/>
      <c r="AH30" s="280"/>
      <c r="AI30" s="280"/>
      <c r="AJ30" s="280"/>
      <c r="AK30" s="280"/>
      <c r="AL30" s="311"/>
      <c r="AM30" s="311"/>
      <c r="AN30" s="311"/>
      <c r="AO30" s="311"/>
      <c r="AP30" s="311"/>
      <c r="AQ30" s="311"/>
      <c r="AR30" s="311"/>
      <c r="AS30" s="311"/>
      <c r="AX30" s="611"/>
      <c r="AY30" s="612"/>
      <c r="BJ30" s="1184" t="s">
        <v>4763</v>
      </c>
    </row>
    <row r="31" spans="1:62" x14ac:dyDescent="0.3">
      <c r="A31" s="1200">
        <v>5</v>
      </c>
      <c r="B31" s="1203" t="s">
        <v>280</v>
      </c>
      <c r="C31" s="1203"/>
      <c r="D31" s="1203"/>
      <c r="E31" s="1203" t="s">
        <v>285</v>
      </c>
      <c r="F31" s="1203"/>
      <c r="G31" s="1202" t="str">
        <f t="shared" si="3"/>
        <v/>
      </c>
      <c r="H31" s="1200" t="s">
        <v>4386</v>
      </c>
      <c r="I31" s="90"/>
      <c r="J31" s="94"/>
      <c r="K31" s="94"/>
      <c r="L31" s="98" t="s">
        <v>288</v>
      </c>
      <c r="M31" s="1561"/>
      <c r="N31" s="1533"/>
      <c r="O31" s="1563"/>
      <c r="P31" s="310"/>
      <c r="Q31" s="310"/>
      <c r="R31" s="280"/>
      <c r="S31" s="280"/>
      <c r="T31" s="280"/>
      <c r="U31" s="280"/>
      <c r="V31" s="280"/>
      <c r="W31" s="280"/>
      <c r="X31" s="1303"/>
      <c r="Y31" s="1522" t="str">
        <f>IF(LEN('Ch5'!X32)=0,"None",'Ch5'!X32:X36)</f>
        <v>None</v>
      </c>
      <c r="Z31" s="1586"/>
      <c r="AC31" s="280"/>
      <c r="AD31" s="280"/>
      <c r="AE31" s="280"/>
      <c r="AF31" s="280"/>
      <c r="AG31" s="280"/>
      <c r="AH31" s="280"/>
      <c r="AI31" s="280"/>
      <c r="AJ31" s="280"/>
      <c r="AK31" s="280"/>
      <c r="AL31" s="311"/>
      <c r="AM31" s="311"/>
      <c r="AN31" s="311"/>
      <c r="AO31" s="311"/>
      <c r="AP31" s="311"/>
      <c r="AQ31" s="311"/>
      <c r="AR31" s="311"/>
      <c r="AS31" s="311"/>
      <c r="AX31" s="611" t="str">
        <f>'Overview (Verification)'!A29</f>
        <v>Type of Heating System (main system):</v>
      </c>
      <c r="AY31" s="612">
        <f>IF(LEN('Overview (Verification)'!P29)=0,0,'Overview (Verification)'!P29)</f>
        <v>0</v>
      </c>
      <c r="BJ31" s="1184" t="s">
        <v>4763</v>
      </c>
    </row>
    <row r="32" spans="1:62" x14ac:dyDescent="0.3">
      <c r="A32" s="1200">
        <v>5</v>
      </c>
      <c r="B32" s="1203" t="s">
        <v>280</v>
      </c>
      <c r="C32" s="1203"/>
      <c r="D32" s="1203"/>
      <c r="E32" s="1203" t="s">
        <v>285</v>
      </c>
      <c r="F32" s="1203"/>
      <c r="G32" s="1202" t="str">
        <f t="shared" si="3"/>
        <v/>
      </c>
      <c r="H32" s="1200" t="s">
        <v>4386</v>
      </c>
      <c r="I32" s="90"/>
      <c r="J32" s="94"/>
      <c r="K32" s="94"/>
      <c r="L32" s="98" t="s">
        <v>289</v>
      </c>
      <c r="M32" s="1561"/>
      <c r="N32" s="1533"/>
      <c r="O32" s="1563"/>
      <c r="P32" s="310"/>
      <c r="Q32" s="310"/>
      <c r="R32" s="280"/>
      <c r="S32" s="280"/>
      <c r="T32" s="280"/>
      <c r="U32" s="280"/>
      <c r="V32" s="280"/>
      <c r="W32" s="280"/>
      <c r="X32" s="1303"/>
      <c r="Y32" s="1522" t="str">
        <f>IF(LEN('Ch5'!X33)=0,"None",'Ch5'!X33:X37)</f>
        <v>None</v>
      </c>
      <c r="Z32" s="1586"/>
      <c r="AC32" s="280"/>
      <c r="AD32" s="280"/>
      <c r="AE32" s="280"/>
      <c r="AF32" s="280"/>
      <c r="AG32" s="280"/>
      <c r="AH32" s="280"/>
      <c r="AI32" s="280"/>
      <c r="AJ32" s="280"/>
      <c r="AK32" s="280"/>
      <c r="AL32" s="311"/>
      <c r="AM32" s="311"/>
      <c r="AN32" s="311"/>
      <c r="AO32" s="311"/>
      <c r="AP32" s="311"/>
      <c r="AQ32" s="311"/>
      <c r="AR32" s="311"/>
      <c r="AS32" s="311"/>
      <c r="AX32" s="611" t="str">
        <f>'Overview (Verification)'!A30</f>
        <v>Type of Heating System (system 2):</v>
      </c>
      <c r="AY32" s="612">
        <f>IF(LEN('Overview (Verification)'!P30)=0,0,'Overview (Verification)'!P30)</f>
        <v>0</v>
      </c>
      <c r="BJ32" s="1184" t="s">
        <v>4763</v>
      </c>
    </row>
    <row r="33" spans="1:62" x14ac:dyDescent="0.3">
      <c r="A33" s="1200">
        <v>5</v>
      </c>
      <c r="B33" s="1203" t="s">
        <v>280</v>
      </c>
      <c r="C33" s="1203"/>
      <c r="D33" s="1203"/>
      <c r="E33" s="1203" t="s">
        <v>285</v>
      </c>
      <c r="F33" s="1203"/>
      <c r="G33" s="1202" t="str">
        <f t="shared" si="3"/>
        <v/>
      </c>
      <c r="H33" s="1200" t="s">
        <v>4386</v>
      </c>
      <c r="I33" s="90"/>
      <c r="J33" s="94"/>
      <c r="K33" s="94"/>
      <c r="L33" s="98" t="s">
        <v>290</v>
      </c>
      <c r="M33" s="1561"/>
      <c r="N33" s="1533"/>
      <c r="O33" s="1563"/>
      <c r="P33" s="310"/>
      <c r="Q33" s="310"/>
      <c r="R33" s="280"/>
      <c r="S33" s="280"/>
      <c r="T33" s="280"/>
      <c r="U33" s="280"/>
      <c r="V33" s="280"/>
      <c r="W33" s="280"/>
      <c r="X33" s="1303"/>
      <c r="Y33" s="1522" t="str">
        <f>IF(LEN('Ch5'!X34)=0,"None",'Ch5'!X34:X38)</f>
        <v>None</v>
      </c>
      <c r="Z33" s="1586"/>
      <c r="AC33" s="280"/>
      <c r="AD33" s="280"/>
      <c r="AE33" s="280"/>
      <c r="AF33" s="280"/>
      <c r="AG33" s="280"/>
      <c r="AH33" s="280"/>
      <c r="AI33" s="280"/>
      <c r="AJ33" s="280"/>
      <c r="AK33" s="280"/>
      <c r="AL33" s="311"/>
      <c r="AM33" s="311"/>
      <c r="AN33" s="311"/>
      <c r="AO33" s="311"/>
      <c r="AP33" s="311"/>
      <c r="AQ33" s="311"/>
      <c r="AR33" s="311"/>
      <c r="AS33" s="311"/>
      <c r="AX33" s="611" t="str">
        <f>'Overview (Verification)'!A31</f>
        <v>Type of Heating System (system 3):</v>
      </c>
      <c r="AY33" s="612">
        <f>IF(LEN('Overview (Verification)'!P31)=0,0,'Overview (Verification)'!P31)</f>
        <v>0</v>
      </c>
      <c r="BJ33" s="1184" t="s">
        <v>4763</v>
      </c>
    </row>
    <row r="34" spans="1:62" x14ac:dyDescent="0.3">
      <c r="A34" s="1200">
        <v>5</v>
      </c>
      <c r="B34" s="1203" t="s">
        <v>280</v>
      </c>
      <c r="C34" s="1203"/>
      <c r="D34" s="1203"/>
      <c r="E34" s="1203" t="s">
        <v>285</v>
      </c>
      <c r="F34" s="1203"/>
      <c r="G34" s="1202" t="str">
        <f t="shared" si="3"/>
        <v/>
      </c>
      <c r="H34" s="1200" t="s">
        <v>4386</v>
      </c>
      <c r="I34" s="90"/>
      <c r="J34" s="192"/>
      <c r="K34" s="192"/>
      <c r="L34" s="304" t="s">
        <v>304</v>
      </c>
      <c r="M34" s="1562"/>
      <c r="N34" s="1568"/>
      <c r="O34" s="1564"/>
      <c r="P34" s="310"/>
      <c r="Q34" s="310"/>
      <c r="R34" s="280"/>
      <c r="S34" s="280"/>
      <c r="T34" s="280"/>
      <c r="U34" s="280"/>
      <c r="V34" s="280"/>
      <c r="W34" s="280"/>
      <c r="X34" s="1303"/>
      <c r="Y34" s="1522" t="str">
        <f>IF(LEN('Ch5'!X35)=0,"None",'Ch5'!X35:X39)</f>
        <v>None</v>
      </c>
      <c r="Z34" s="1586"/>
      <c r="AC34" s="280"/>
      <c r="AD34" s="280"/>
      <c r="AE34" s="280"/>
      <c r="AF34" s="280"/>
      <c r="AG34" s="280"/>
      <c r="AH34" s="280"/>
      <c r="AI34" s="280"/>
      <c r="AJ34" s="280"/>
      <c r="AK34" s="280"/>
      <c r="AL34" s="311"/>
      <c r="AM34" s="311"/>
      <c r="AN34" s="311"/>
      <c r="AO34" s="311"/>
      <c r="AP34" s="311"/>
      <c r="AQ34" s="311"/>
      <c r="AR34" s="311"/>
      <c r="AS34" s="311"/>
      <c r="AX34" s="611" t="str">
        <f>'Overview (Verification)'!A32</f>
        <v>Heating Fuel:</v>
      </c>
      <c r="AY34" s="612">
        <f>IF(LEN('Overview (Verification)'!P32)=0,0,'Overview (Verification)'!P32)</f>
        <v>0</v>
      </c>
      <c r="BJ34" s="1184" t="s">
        <v>4763</v>
      </c>
    </row>
    <row r="35" spans="1:62" x14ac:dyDescent="0.3">
      <c r="A35" s="1200">
        <v>5</v>
      </c>
      <c r="B35" s="1203" t="s">
        <v>280</v>
      </c>
      <c r="C35" s="1203"/>
      <c r="D35" s="1203"/>
      <c r="E35" s="1203" t="s">
        <v>291</v>
      </c>
      <c r="F35" s="1203"/>
      <c r="G35" s="1202" t="str">
        <f>IF(N35&gt;0,"P","")</f>
        <v/>
      </c>
      <c r="H35" s="1200" t="s">
        <v>4386</v>
      </c>
      <c r="I35" s="90"/>
      <c r="J35" s="94" t="s">
        <v>291</v>
      </c>
      <c r="K35" s="94"/>
      <c r="L35" s="1305" t="s">
        <v>292</v>
      </c>
      <c r="M35" s="1561" t="s">
        <v>300</v>
      </c>
      <c r="N35" s="1567">
        <f>'Ch5'!O36</f>
        <v>0</v>
      </c>
      <c r="O35" s="1563">
        <f>M35*W35</f>
        <v>0</v>
      </c>
      <c r="P35" s="96" t="b">
        <v>1</v>
      </c>
      <c r="Q35" s="96" t="b">
        <v>1</v>
      </c>
      <c r="R35" s="280" t="b">
        <v>0</v>
      </c>
      <c r="S35" s="280" t="b">
        <v>1</v>
      </c>
      <c r="T35" s="280" t="b">
        <v>0</v>
      </c>
      <c r="U35" s="280"/>
      <c r="V35" s="280"/>
      <c r="W35" s="25"/>
      <c r="X35" s="1303"/>
      <c r="Y35" s="1522" t="str">
        <f>IF(LEN('Ch5'!X36)=0,"None",'Ch5'!X36)</f>
        <v>None</v>
      </c>
      <c r="Z35" s="1586"/>
      <c r="AC35" s="280"/>
      <c r="AD35" s="280"/>
      <c r="AE35" s="280"/>
      <c r="AF35" s="280"/>
      <c r="AG35" s="280"/>
      <c r="AH35" s="280"/>
      <c r="AI35" s="280"/>
      <c r="AJ35" s="280"/>
      <c r="AK35" s="280"/>
      <c r="AL35" s="311" t="str">
        <f>SUBSTITUTE(SUBSTITUTE(SUBSTITUTE("vpa"&amp;$B35&amp;$C35&amp;$D35&amp;$E35&amp;$F35,".","_"),"(","_"),")","")</f>
        <v>vpa501_2_5</v>
      </c>
      <c r="AM35" s="311" t="str">
        <f>M35</f>
        <v>5</v>
      </c>
      <c r="AN35" s="311" t="str">
        <f>SUBSTITUTE(SUBSTITUTE(SUBSTITUTE("vpc"&amp;$B35&amp;$C35&amp;$D35&amp;$E35&amp;$F35,".","_"),"(","_"),")","")</f>
        <v>vpc501_2_5</v>
      </c>
      <c r="AO35" s="311">
        <f>O35</f>
        <v>0</v>
      </c>
      <c r="AP35" s="311" t="str">
        <f>SUBSTITUTE(SUBSTITUTE(SUBSTITUTE("vch"&amp;$B35&amp;$C35&amp;$D35&amp;$E35&amp;$F35,".","_"),"(","_"),")","")</f>
        <v>vch501_2_5</v>
      </c>
      <c r="AQ35" s="311">
        <f>W35</f>
        <v>0</v>
      </c>
      <c r="AR35" s="311" t="str">
        <f>SUBSTITUTE(SUBSTITUTE(SUBSTITUTE("vnt"&amp;$B35&amp;$C35&amp;$D35&amp;$E35&amp;$F35,".","_"),"(","_"),")","")</f>
        <v>vnt501_2_5</v>
      </c>
      <c r="AS35" s="311">
        <f>X35</f>
        <v>0</v>
      </c>
      <c r="AX35" s="611" t="str">
        <f>'Overview (Verification)'!A33</f>
        <v>Heating Ducts:</v>
      </c>
      <c r="AY35" s="612">
        <f>IF(LEN('Overview (Verification)'!P33)=0,0,'Overview (Verification)'!P33)</f>
        <v>0</v>
      </c>
      <c r="BJ35" s="1184" t="s">
        <v>4763</v>
      </c>
    </row>
    <row r="36" spans="1:62" x14ac:dyDescent="0.3">
      <c r="A36" s="1200">
        <v>5</v>
      </c>
      <c r="B36" s="1203" t="s">
        <v>280</v>
      </c>
      <c r="C36" s="1203"/>
      <c r="D36" s="1203"/>
      <c r="E36" s="1203" t="s">
        <v>291</v>
      </c>
      <c r="F36" s="1203"/>
      <c r="G36" s="1202" t="str">
        <f t="shared" ref="G36:G37" si="4">G35</f>
        <v/>
      </c>
      <c r="H36" s="1200" t="s">
        <v>4386</v>
      </c>
      <c r="I36" s="90"/>
      <c r="J36" s="94"/>
      <c r="K36" s="94"/>
      <c r="L36" s="1305"/>
      <c r="M36" s="1561"/>
      <c r="N36" s="1533"/>
      <c r="O36" s="1563"/>
      <c r="P36" s="310"/>
      <c r="Q36" s="310"/>
      <c r="R36" s="280"/>
      <c r="S36" s="280"/>
      <c r="T36" s="280"/>
      <c r="U36" s="280"/>
      <c r="V36" s="280"/>
      <c r="W36" s="280"/>
      <c r="X36" s="1303"/>
      <c r="Y36" s="1522" t="str">
        <f>IF(LEN('Ch5'!X37)=0,"None",'Ch5'!X37:X41)</f>
        <v>None</v>
      </c>
      <c r="Z36" s="1586"/>
      <c r="AC36" s="280"/>
      <c r="AD36" s="280"/>
      <c r="AE36" s="280"/>
      <c r="AF36" s="280"/>
      <c r="AG36" s="280"/>
      <c r="AH36" s="280"/>
      <c r="AI36" s="280"/>
      <c r="AJ36" s="280"/>
      <c r="AK36" s="280"/>
      <c r="AL36" s="311"/>
      <c r="AM36" s="311"/>
      <c r="AN36" s="311"/>
      <c r="AO36" s="311"/>
      <c r="AP36" s="311"/>
      <c r="AQ36" s="311"/>
      <c r="AR36" s="311"/>
      <c r="AS36" s="311"/>
      <c r="AX36" s="611" t="str">
        <f>'Overview (Verification)'!A34</f>
        <v>Type of Cooling System (main system):</v>
      </c>
      <c r="AY36" s="612">
        <f>IF(LEN('Overview (Verification)'!P34)=0,0,'Overview (Verification)'!P34)</f>
        <v>0</v>
      </c>
      <c r="BJ36" s="1184" t="s">
        <v>4763</v>
      </c>
    </row>
    <row r="37" spans="1:62" x14ac:dyDescent="0.3">
      <c r="A37" s="1200">
        <v>5</v>
      </c>
      <c r="B37" s="1203" t="s">
        <v>280</v>
      </c>
      <c r="C37" s="1203"/>
      <c r="D37" s="1203"/>
      <c r="E37" s="1203" t="s">
        <v>291</v>
      </c>
      <c r="F37" s="1203"/>
      <c r="G37" s="1202" t="str">
        <f t="shared" si="4"/>
        <v/>
      </c>
      <c r="H37" s="1200" t="s">
        <v>4386</v>
      </c>
      <c r="I37" s="90"/>
      <c r="J37" s="192"/>
      <c r="K37" s="192"/>
      <c r="L37" s="1306"/>
      <c r="M37" s="1562"/>
      <c r="N37" s="1568"/>
      <c r="O37" s="1564"/>
      <c r="P37" s="310"/>
      <c r="Q37" s="310"/>
      <c r="R37" s="280"/>
      <c r="S37" s="280"/>
      <c r="T37" s="280"/>
      <c r="U37" s="280"/>
      <c r="V37" s="280"/>
      <c r="W37" s="280"/>
      <c r="X37" s="1303"/>
      <c r="Y37" s="1522" t="str">
        <f>IF(LEN('Ch5'!X38)=0,"None",'Ch5'!X38:X42)</f>
        <v>None</v>
      </c>
      <c r="Z37" s="1586"/>
      <c r="AC37" s="280"/>
      <c r="AD37" s="280"/>
      <c r="AE37" s="280"/>
      <c r="AF37" s="280"/>
      <c r="AG37" s="280"/>
      <c r="AH37" s="280"/>
      <c r="AI37" s="280"/>
      <c r="AJ37" s="280"/>
      <c r="AK37" s="280"/>
      <c r="AL37" s="311"/>
      <c r="AM37" s="311"/>
      <c r="AN37" s="311"/>
      <c r="AO37" s="311"/>
      <c r="AP37" s="311"/>
      <c r="AQ37" s="311"/>
      <c r="AR37" s="311"/>
      <c r="AS37" s="311"/>
      <c r="AX37" s="611" t="str">
        <f>'Overview (Verification)'!A35</f>
        <v>Type of Cooling System (system 2):</v>
      </c>
      <c r="AY37" s="612">
        <f>IF(LEN('Overview (Verification)'!P35)=0,0,'Overview (Verification)'!P35)</f>
        <v>0</v>
      </c>
      <c r="BJ37" s="1184" t="s">
        <v>4763</v>
      </c>
    </row>
    <row r="38" spans="1:62" x14ac:dyDescent="0.3">
      <c r="A38" s="1200">
        <v>5</v>
      </c>
      <c r="B38" s="1203" t="s">
        <v>280</v>
      </c>
      <c r="C38" s="1203"/>
      <c r="D38" s="1203"/>
      <c r="E38" s="1203" t="s">
        <v>293</v>
      </c>
      <c r="F38" s="1203"/>
      <c r="G38" s="1202" t="str">
        <f ca="1">IF(N38&gt;0,"P","")</f>
        <v/>
      </c>
      <c r="H38" s="1200" t="s">
        <v>4386</v>
      </c>
      <c r="I38" s="90"/>
      <c r="J38" s="90" t="s">
        <v>293</v>
      </c>
      <c r="K38" s="90"/>
      <c r="L38" s="1329" t="s">
        <v>294</v>
      </c>
      <c r="M38" s="1565"/>
      <c r="N38" s="1567">
        <f ca="1">'Ch5'!O39</f>
        <v>0</v>
      </c>
      <c r="O38" s="1566">
        <f ca="1">IFERROR(INDEX({2,4,6},MATCH(W38,INDIRECT(U38),0)),0)*S38</f>
        <v>0</v>
      </c>
      <c r="P38" s="96" t="b">
        <v>1</v>
      </c>
      <c r="Q38" s="96" t="b">
        <v>1</v>
      </c>
      <c r="R38" s="280" t="b">
        <v>0</v>
      </c>
      <c r="S38" s="280" t="b">
        <f ca="1">IF($AY$18=INDEX(INDIRECT("ddSingleOrMulti"),2),TRUE,FALSE)</f>
        <v>0</v>
      </c>
      <c r="T38" s="97" t="b">
        <f ca="1">IF(AND(NOT(S38),LEN(W38)&gt;0),TRUE,FALSE)</f>
        <v>0</v>
      </c>
      <c r="U38" s="280" t="str">
        <f>SUBSTITUTE(SUBSTITUTE(SUBSTITUTE("dd"&amp;$B38&amp;$C38&amp;$D38&amp;$E38&amp;$F38,".","_"),"(","_"),")","")</f>
        <v>dd501_2_6</v>
      </c>
      <c r="V38" s="280"/>
      <c r="W38" s="12"/>
      <c r="X38" s="1303"/>
      <c r="Y38" s="1522" t="str">
        <f>IF(LEN('Ch5'!X39)=0,"None",'Ch5'!X39)</f>
        <v>None</v>
      </c>
      <c r="Z38" s="1586"/>
      <c r="AC38" s="280" t="b">
        <f ca="1">OR(AD38:AE38)</f>
        <v>0</v>
      </c>
      <c r="AD38" s="280" t="b">
        <f ca="1">T38</f>
        <v>0</v>
      </c>
      <c r="AE38" s="280"/>
      <c r="AF38" s="280"/>
      <c r="AG38" s="280"/>
      <c r="AH38" s="280"/>
      <c r="AI38" s="280"/>
      <c r="AJ38" s="280"/>
      <c r="AK38" s="280"/>
      <c r="AL38" s="311"/>
      <c r="AM38" s="311"/>
      <c r="AN38" s="311" t="str">
        <f>SUBSTITUTE(SUBSTITUTE(SUBSTITUTE("vpc"&amp;$B38&amp;$C38&amp;$D38&amp;$E38&amp;$F38,".","_"),"(","_"),")","")</f>
        <v>vpc501_2_6</v>
      </c>
      <c r="AO38" s="311">
        <f ca="1">O38</f>
        <v>0</v>
      </c>
      <c r="AP38" s="311" t="str">
        <f>SUBSTITUTE(SUBSTITUTE(SUBSTITUTE("vch"&amp;$B38&amp;$C38&amp;$D38&amp;$E38&amp;$F38,".","_"),"(","_"),")","")</f>
        <v>vch501_2_6</v>
      </c>
      <c r="AQ38" s="311">
        <f>W38</f>
        <v>0</v>
      </c>
      <c r="AR38" s="311" t="str">
        <f>SUBSTITUTE(SUBSTITUTE(SUBSTITUTE("vnt"&amp;$B38&amp;$C38&amp;$D38&amp;$E38&amp;$F38,".","_"),"(","_"),")","")</f>
        <v>vnt501_2_6</v>
      </c>
      <c r="AS38" s="311">
        <f>X38</f>
        <v>0</v>
      </c>
      <c r="AX38" s="611" t="str">
        <f>'Overview (Verification)'!A36</f>
        <v>Type of Cooling System (system 3):</v>
      </c>
      <c r="AY38" s="612">
        <f>IF(LEN('Overview (Verification)'!P36)=0,0,'Overview (Verification)'!P36)</f>
        <v>0</v>
      </c>
      <c r="BJ38" s="1184" t="s">
        <v>4763</v>
      </c>
    </row>
    <row r="39" spans="1:62" x14ac:dyDescent="0.3">
      <c r="A39" s="1200">
        <v>5</v>
      </c>
      <c r="B39" s="1203" t="s">
        <v>280</v>
      </c>
      <c r="C39" s="1203"/>
      <c r="D39" s="1203"/>
      <c r="E39" s="1203" t="s">
        <v>293</v>
      </c>
      <c r="F39" s="1203"/>
      <c r="G39" s="1202" t="str">
        <f t="shared" ref="G39:G42" ca="1" si="5">G38</f>
        <v/>
      </c>
      <c r="H39" s="1200" t="s">
        <v>4386</v>
      </c>
      <c r="I39" s="90"/>
      <c r="J39" s="90"/>
      <c r="K39" s="90"/>
      <c r="L39" s="1329"/>
      <c r="M39" s="1565"/>
      <c r="N39" s="1533"/>
      <c r="O39" s="1566"/>
      <c r="P39" s="310"/>
      <c r="Q39" s="310"/>
      <c r="R39" s="280"/>
      <c r="S39" s="280"/>
      <c r="T39" s="280"/>
      <c r="U39" s="280"/>
      <c r="V39" s="280"/>
      <c r="W39" s="280"/>
      <c r="X39" s="1303"/>
      <c r="Y39" s="1522" t="str">
        <f>IF(LEN('Ch5'!X40)=0,"None",'Ch5'!X40:X44)</f>
        <v>None</v>
      </c>
      <c r="Z39" s="1586"/>
      <c r="AC39" s="280"/>
      <c r="AD39" s="280"/>
      <c r="AE39" s="280"/>
      <c r="AF39" s="280"/>
      <c r="AG39" s="280"/>
      <c r="AH39" s="280"/>
      <c r="AI39" s="280"/>
      <c r="AJ39" s="280"/>
      <c r="AK39" s="280"/>
      <c r="AL39" s="311"/>
      <c r="AM39" s="311"/>
      <c r="AN39" s="311"/>
      <c r="AO39" s="311"/>
      <c r="AP39" s="311"/>
      <c r="AQ39" s="311"/>
      <c r="AR39" s="311"/>
      <c r="AS39" s="311"/>
      <c r="AX39" s="611" t="str">
        <f>'Overview (Verification)'!A37</f>
        <v>Cooling Ducts:</v>
      </c>
      <c r="AY39" s="612">
        <f>IF(LEN('Overview (Verification)'!P37)=0,0,'Overview (Verification)'!P37)</f>
        <v>0</v>
      </c>
      <c r="BJ39" s="1184" t="s">
        <v>4763</v>
      </c>
    </row>
    <row r="40" spans="1:62" x14ac:dyDescent="0.3">
      <c r="A40" s="1200">
        <v>5</v>
      </c>
      <c r="B40" s="1203" t="s">
        <v>280</v>
      </c>
      <c r="C40" s="1203"/>
      <c r="D40" s="1203"/>
      <c r="E40" s="1203" t="s">
        <v>293</v>
      </c>
      <c r="F40" s="1203" t="s">
        <v>121</v>
      </c>
      <c r="G40" s="1202" t="str">
        <f t="shared" ca="1" si="5"/>
        <v/>
      </c>
      <c r="H40" s="1200" t="s">
        <v>4386</v>
      </c>
      <c r="I40" s="90"/>
      <c r="J40" s="90"/>
      <c r="K40" s="90" t="s">
        <v>121</v>
      </c>
      <c r="L40" s="86" t="s">
        <v>295</v>
      </c>
      <c r="M40" s="902" t="s">
        <v>302</v>
      </c>
      <c r="N40" s="292"/>
      <c r="O40" s="282"/>
      <c r="P40" s="280"/>
      <c r="Q40" s="280"/>
      <c r="R40" s="280"/>
      <c r="S40" s="280"/>
      <c r="T40" s="280"/>
      <c r="U40" s="280"/>
      <c r="V40" s="280"/>
      <c r="W40" s="280"/>
      <c r="X40" s="1303"/>
      <c r="Y40" s="1522" t="str">
        <f>IF(LEN('Ch5'!X41)=0,"None",'Ch5'!X41:X45)</f>
        <v>None</v>
      </c>
      <c r="Z40" s="1586"/>
      <c r="AC40" s="280"/>
      <c r="AD40" s="280"/>
      <c r="AE40" s="280"/>
      <c r="AF40" s="280"/>
      <c r="AG40" s="280"/>
      <c r="AH40" s="280"/>
      <c r="AI40" s="280"/>
      <c r="AJ40" s="280"/>
      <c r="AK40" s="280"/>
      <c r="AL40" s="311" t="str">
        <f t="shared" ref="AL40:AL42" si="6">SUBSTITUTE(SUBSTITUTE(SUBSTITUTE("vpa"&amp;$B40&amp;$C40&amp;$D40&amp;$E40&amp;$F40,".","_"),"(","_"),")","")</f>
        <v>vpa501_2_6_a</v>
      </c>
      <c r="AM40" s="311" t="str">
        <f>M40</f>
        <v>2</v>
      </c>
      <c r="AN40" s="311"/>
      <c r="AO40" s="311"/>
      <c r="AP40" s="311"/>
      <c r="AQ40" s="311"/>
      <c r="AR40" s="311"/>
      <c r="AS40" s="311"/>
      <c r="AX40" s="611"/>
      <c r="AY40" s="612"/>
      <c r="BJ40" s="1184" t="s">
        <v>4763</v>
      </c>
    </row>
    <row r="41" spans="1:62" x14ac:dyDescent="0.3">
      <c r="A41" s="1200">
        <v>5</v>
      </c>
      <c r="B41" s="1203" t="s">
        <v>280</v>
      </c>
      <c r="C41" s="1203"/>
      <c r="D41" s="1203"/>
      <c r="E41" s="1203" t="s">
        <v>293</v>
      </c>
      <c r="F41" s="1203" t="s">
        <v>122</v>
      </c>
      <c r="G41" s="1202" t="str">
        <f t="shared" ca="1" si="5"/>
        <v/>
      </c>
      <c r="H41" s="1200" t="s">
        <v>4386</v>
      </c>
      <c r="I41" s="90"/>
      <c r="J41" s="90"/>
      <c r="K41" s="90" t="s">
        <v>122</v>
      </c>
      <c r="L41" s="86" t="s">
        <v>296</v>
      </c>
      <c r="M41" s="902" t="s">
        <v>301</v>
      </c>
      <c r="N41" s="292"/>
      <c r="O41" s="282"/>
      <c r="P41" s="280"/>
      <c r="Q41" s="280"/>
      <c r="R41" s="280"/>
      <c r="S41" s="280"/>
      <c r="T41" s="280"/>
      <c r="U41" s="280"/>
      <c r="V41" s="280"/>
      <c r="W41" s="280"/>
      <c r="X41" s="1303"/>
      <c r="Y41" s="1522" t="str">
        <f>IF(LEN('Ch5'!X42)=0,"None",'Ch5'!X42:X46)</f>
        <v>None</v>
      </c>
      <c r="Z41" s="1586"/>
      <c r="AC41" s="280"/>
      <c r="AD41" s="280"/>
      <c r="AE41" s="280"/>
      <c r="AF41" s="280"/>
      <c r="AG41" s="280"/>
      <c r="AH41" s="280"/>
      <c r="AI41" s="280"/>
      <c r="AJ41" s="280"/>
      <c r="AK41" s="280"/>
      <c r="AL41" s="311" t="str">
        <f t="shared" si="6"/>
        <v>vpa501_2_6_b</v>
      </c>
      <c r="AM41" s="311" t="str">
        <f>M41</f>
        <v>4</v>
      </c>
      <c r="AN41" s="311"/>
      <c r="AO41" s="311"/>
      <c r="AP41" s="311"/>
      <c r="AQ41" s="311"/>
      <c r="AR41" s="311"/>
      <c r="AS41" s="311"/>
      <c r="AX41" s="611" t="str">
        <f>'Overview (Verification)'!A39</f>
        <v>Maximum window and door SHGC:</v>
      </c>
      <c r="AY41" s="612">
        <f>IF(LEN('Overview (Verification)'!P39)=0,0,'Overview (Verification)'!P39)</f>
        <v>0</v>
      </c>
      <c r="BJ41" s="1184" t="s">
        <v>4763</v>
      </c>
    </row>
    <row r="42" spans="1:62" x14ac:dyDescent="0.3">
      <c r="A42" s="1200">
        <v>5</v>
      </c>
      <c r="B42" s="1203" t="s">
        <v>280</v>
      </c>
      <c r="C42" s="1203"/>
      <c r="D42" s="1203"/>
      <c r="E42" s="1203" t="s">
        <v>293</v>
      </c>
      <c r="F42" s="1205" t="s">
        <v>123</v>
      </c>
      <c r="G42" s="1202" t="str">
        <f t="shared" ca="1" si="5"/>
        <v/>
      </c>
      <c r="H42" s="1200" t="s">
        <v>4386</v>
      </c>
      <c r="I42" s="90"/>
      <c r="J42" s="90"/>
      <c r="K42" s="92" t="s">
        <v>123</v>
      </c>
      <c r="L42" s="86" t="s">
        <v>297</v>
      </c>
      <c r="M42" s="902" t="s">
        <v>298</v>
      </c>
      <c r="N42" s="292"/>
      <c r="O42" s="282"/>
      <c r="P42" s="280"/>
      <c r="Q42" s="280"/>
      <c r="R42" s="280"/>
      <c r="S42" s="280"/>
      <c r="T42" s="280"/>
      <c r="U42" s="280"/>
      <c r="V42" s="280"/>
      <c r="W42" s="280"/>
      <c r="X42" s="1303"/>
      <c r="Y42" s="1522" t="str">
        <f>IF(LEN('Ch5'!X43)=0,"None",'Ch5'!X43:X47)</f>
        <v>None</v>
      </c>
      <c r="Z42" s="1586"/>
      <c r="AC42" s="280"/>
      <c r="AD42" s="280"/>
      <c r="AE42" s="280"/>
      <c r="AF42" s="280"/>
      <c r="AG42" s="280"/>
      <c r="AH42" s="280"/>
      <c r="AI42" s="280"/>
      <c r="AJ42" s="280"/>
      <c r="AK42" s="280"/>
      <c r="AL42" s="311" t="str">
        <f t="shared" si="6"/>
        <v>vpa501_2_6_c</v>
      </c>
      <c r="AM42" s="311" t="str">
        <f>M42</f>
        <v>6</v>
      </c>
      <c r="AN42" s="311"/>
      <c r="AO42" s="311"/>
      <c r="AP42" s="311"/>
      <c r="AQ42" s="311"/>
      <c r="AR42" s="311"/>
      <c r="AS42" s="311"/>
      <c r="AX42" s="611" t="str">
        <f>'Overview (Verification)'!A40</f>
        <v>Maximum skylight SHGC:</v>
      </c>
      <c r="AY42" s="612">
        <f>IF(LEN('Overview (Verification)'!P40)=0,0,'Overview (Verification)'!P40)</f>
        <v>0</v>
      </c>
      <c r="BJ42" s="1184" t="s">
        <v>4763</v>
      </c>
    </row>
    <row r="43" spans="1:62" ht="18" x14ac:dyDescent="0.35">
      <c r="A43" s="1200">
        <v>5</v>
      </c>
      <c r="B43" s="1203" t="s">
        <v>535</v>
      </c>
      <c r="C43" s="1203"/>
      <c r="D43" s="1203"/>
      <c r="E43" s="1203"/>
      <c r="F43" s="1203"/>
      <c r="G43" s="1202" t="s">
        <v>4389</v>
      </c>
      <c r="H43" s="1200" t="s">
        <v>4386</v>
      </c>
      <c r="I43" s="72" t="s">
        <v>389</v>
      </c>
      <c r="J43" s="72"/>
      <c r="K43" s="72"/>
      <c r="L43" s="72"/>
      <c r="M43" s="71"/>
      <c r="N43" s="71"/>
      <c r="O43" s="71"/>
      <c r="P43" s="23"/>
      <c r="Q43" s="23"/>
      <c r="R43" s="23"/>
      <c r="S43" s="23"/>
      <c r="T43" s="23"/>
      <c r="U43" s="23"/>
      <c r="V43" s="23"/>
      <c r="W43" s="23"/>
      <c r="X43" s="23"/>
      <c r="Y43" s="23"/>
      <c r="Z43" s="1168"/>
      <c r="AC43" s="280"/>
      <c r="AD43" s="280"/>
      <c r="AE43" s="280"/>
      <c r="AF43" s="280"/>
      <c r="AG43" s="280"/>
      <c r="AH43" s="280"/>
      <c r="AI43" s="280"/>
      <c r="AJ43" s="280"/>
      <c r="AK43" s="280"/>
      <c r="AL43" s="280"/>
      <c r="AM43" s="280"/>
      <c r="AN43" s="280"/>
      <c r="AO43" s="280"/>
      <c r="AP43" s="280"/>
      <c r="AQ43" s="280"/>
      <c r="AR43" s="280"/>
      <c r="AS43" s="280"/>
      <c r="AX43" s="611" t="str">
        <f>'Overview (Verification)'!A41</f>
        <v>Maximum window and door U-value:</v>
      </c>
      <c r="AY43" s="612">
        <f>IF(LEN('Overview (Verification)'!P41)=0,0,'Overview (Verification)'!P41)</f>
        <v>0</v>
      </c>
      <c r="BJ43" s="1184" t="s">
        <v>4763</v>
      </c>
    </row>
    <row r="44" spans="1:62" x14ac:dyDescent="0.3">
      <c r="A44" s="1200">
        <v>5</v>
      </c>
      <c r="B44" s="1203" t="s">
        <v>390</v>
      </c>
      <c r="C44" s="1203"/>
      <c r="D44" s="1203"/>
      <c r="E44" s="1203"/>
      <c r="F44" s="1203"/>
      <c r="G44" s="1202" t="str">
        <f>IF(N44&gt;0,"P","")</f>
        <v>P</v>
      </c>
      <c r="H44" s="1200" t="s">
        <v>4386</v>
      </c>
      <c r="I44" s="152">
        <v>502.1</v>
      </c>
      <c r="J44" s="93"/>
      <c r="K44" s="93"/>
      <c r="L44" s="1292" t="s">
        <v>391</v>
      </c>
      <c r="M44" s="1542">
        <v>4</v>
      </c>
      <c r="N44" s="1533">
        <f>'Ch5'!O45</f>
        <v>4</v>
      </c>
      <c r="O44" s="1463">
        <f>M44*W44</f>
        <v>0</v>
      </c>
      <c r="P44" s="280" t="b">
        <v>1</v>
      </c>
      <c r="Q44" s="280" t="b">
        <v>1</v>
      </c>
      <c r="R44" s="280" t="b">
        <v>0</v>
      </c>
      <c r="S44" s="280" t="b">
        <v>1</v>
      </c>
      <c r="T44" s="280" t="b">
        <v>0</v>
      </c>
      <c r="U44" s="280"/>
      <c r="V44" s="280"/>
      <c r="W44" s="25"/>
      <c r="X44" s="1303"/>
      <c r="Y44" s="1522" t="str">
        <f>IF(LEN('Ch5'!X45)=0,"None",'Ch5'!X45)</f>
        <v>None</v>
      </c>
      <c r="Z44" s="1586"/>
      <c r="AC44" s="280"/>
      <c r="AD44" s="280"/>
      <c r="AE44" s="280"/>
      <c r="AF44" s="280"/>
      <c r="AG44" s="280"/>
      <c r="AH44" s="280"/>
      <c r="AI44" s="280"/>
      <c r="AJ44" s="280"/>
      <c r="AK44" s="280"/>
      <c r="AL44" s="311" t="str">
        <f>SUBSTITUTE(SUBSTITUTE(SUBSTITUTE("vpa"&amp;$B44&amp;$C44&amp;$D44&amp;$E44&amp;$F44,".","_"),"(","_"),")","")</f>
        <v>vpa502_1</v>
      </c>
      <c r="AM44" s="311">
        <f>M44</f>
        <v>4</v>
      </c>
      <c r="AN44" s="311" t="str">
        <f>SUBSTITUTE(SUBSTITUTE(SUBSTITUTE("vpc"&amp;$B44&amp;$C44&amp;$D44&amp;$E44&amp;$F44,".","_"),"(","_"),")","")</f>
        <v>vpc502_1</v>
      </c>
      <c r="AO44" s="311">
        <f>O44</f>
        <v>0</v>
      </c>
      <c r="AP44" s="311" t="str">
        <f>SUBSTITUTE(SUBSTITUTE(SUBSTITUTE("vch"&amp;$B44&amp;$C44&amp;$D44&amp;$E44&amp;$F44,".","_"),"(","_"),")","")</f>
        <v>vch502_1</v>
      </c>
      <c r="AQ44" s="311">
        <f>W44</f>
        <v>0</v>
      </c>
      <c r="AR44" s="311" t="str">
        <f>SUBSTITUTE(SUBSTITUTE(SUBSTITUTE("vnt"&amp;$B44&amp;$C44&amp;$D44&amp;$E44&amp;$F44,".","_"),"(","_"),")","")</f>
        <v>vnt502_1</v>
      </c>
      <c r="AS44" s="311">
        <f>X44</f>
        <v>0</v>
      </c>
      <c r="AX44" s="611" t="str">
        <f>'Overview (Verification)'!A42</f>
        <v>Maximum skylight U-value:</v>
      </c>
      <c r="AY44" s="612">
        <f>IF(LEN('Overview (Verification)'!P42)=0,0,'Overview (Verification)'!P42)</f>
        <v>0</v>
      </c>
      <c r="BJ44" s="1184" t="s">
        <v>4763</v>
      </c>
    </row>
    <row r="45" spans="1:62" x14ac:dyDescent="0.3">
      <c r="A45" s="1200">
        <v>5</v>
      </c>
      <c r="B45" s="1203" t="s">
        <v>390</v>
      </c>
      <c r="C45" s="1203"/>
      <c r="D45" s="1203"/>
      <c r="E45" s="1203"/>
      <c r="F45" s="1203"/>
      <c r="G45" s="1202" t="str">
        <f t="shared" ref="G45:G47" si="7">G44</f>
        <v>P</v>
      </c>
      <c r="H45" s="1200" t="s">
        <v>4386</v>
      </c>
      <c r="I45" s="93"/>
      <c r="J45" s="93"/>
      <c r="K45" s="93"/>
      <c r="L45" s="1292"/>
      <c r="M45" s="1542"/>
      <c r="N45" s="1533"/>
      <c r="O45" s="1463"/>
      <c r="P45" s="280"/>
      <c r="Q45" s="280"/>
      <c r="R45" s="280"/>
      <c r="S45" s="280"/>
      <c r="T45" s="280"/>
      <c r="U45" s="280"/>
      <c r="V45" s="280"/>
      <c r="W45" s="280"/>
      <c r="X45" s="1303"/>
      <c r="Y45" s="1522"/>
      <c r="Z45" s="1586"/>
      <c r="AC45" s="280"/>
      <c r="AD45" s="280"/>
      <c r="AE45" s="280"/>
      <c r="AF45" s="280"/>
      <c r="AG45" s="280"/>
      <c r="AH45" s="280"/>
      <c r="AI45" s="280"/>
      <c r="AJ45" s="280"/>
      <c r="AK45" s="280"/>
      <c r="AL45" s="280"/>
      <c r="AM45" s="280"/>
      <c r="AN45" s="280"/>
      <c r="AO45" s="280"/>
      <c r="AP45" s="280"/>
      <c r="AQ45" s="280"/>
      <c r="AR45" s="280"/>
      <c r="AS45" s="280"/>
      <c r="AX45" s="611" t="str">
        <f>'Overview (Verification)'!A43</f>
        <v>Renewable Energy:</v>
      </c>
      <c r="AY45" s="612">
        <f>IF(LEN('Overview (Verification)'!P43)=0,0,'Overview (Verification)'!P43)</f>
        <v>0</v>
      </c>
      <c r="BJ45" s="1184" t="s">
        <v>4763</v>
      </c>
    </row>
    <row r="46" spans="1:62" x14ac:dyDescent="0.3">
      <c r="A46" s="1200">
        <v>5</v>
      </c>
      <c r="B46" s="1203" t="s">
        <v>390</v>
      </c>
      <c r="C46" s="1203"/>
      <c r="D46" s="1203"/>
      <c r="E46" s="1203"/>
      <c r="F46" s="1203"/>
      <c r="G46" s="1202" t="str">
        <f t="shared" si="7"/>
        <v>P</v>
      </c>
      <c r="H46" s="1200" t="s">
        <v>4386</v>
      </c>
      <c r="I46" s="93"/>
      <c r="J46" s="93"/>
      <c r="K46" s="93"/>
      <c r="L46" s="1292"/>
      <c r="M46" s="1542"/>
      <c r="N46" s="1533"/>
      <c r="O46" s="1463"/>
      <c r="P46" s="280"/>
      <c r="Q46" s="280"/>
      <c r="R46" s="280"/>
      <c r="S46" s="280"/>
      <c r="T46" s="280"/>
      <c r="U46" s="280"/>
      <c r="V46" s="280"/>
      <c r="W46" s="280"/>
      <c r="X46" s="1303"/>
      <c r="Y46" s="1522"/>
      <c r="Z46" s="1586"/>
      <c r="AC46" s="280"/>
      <c r="AD46" s="280"/>
      <c r="AE46" s="280"/>
      <c r="AF46" s="280"/>
      <c r="AG46" s="280"/>
      <c r="AH46" s="280"/>
      <c r="AI46" s="280"/>
      <c r="AJ46" s="280"/>
      <c r="AK46" s="280"/>
      <c r="AL46" s="280"/>
      <c r="AM46" s="280"/>
      <c r="AN46" s="280"/>
      <c r="AO46" s="280"/>
      <c r="AP46" s="280"/>
      <c r="AQ46" s="280"/>
      <c r="AR46" s="280"/>
      <c r="AS46" s="280"/>
      <c r="AX46" s="611" t="str">
        <f>'Overview (Verification)'!A44</f>
        <v>Thermal Envelope Insulation:</v>
      </c>
      <c r="AY46" s="612">
        <f>IF(LEN('Overview (Verification)'!P44)=0,0,'Overview (Verification)'!P44)</f>
        <v>0</v>
      </c>
      <c r="BJ46" s="1184" t="s">
        <v>4763</v>
      </c>
    </row>
    <row r="47" spans="1:62" x14ac:dyDescent="0.3">
      <c r="A47" s="1200">
        <v>5</v>
      </c>
      <c r="B47" s="1203" t="s">
        <v>390</v>
      </c>
      <c r="C47" s="1203"/>
      <c r="D47" s="1203"/>
      <c r="E47" s="1203"/>
      <c r="F47" s="1203"/>
      <c r="G47" s="1202" t="str">
        <f t="shared" si="7"/>
        <v>P</v>
      </c>
      <c r="H47" s="1200" t="s">
        <v>4386</v>
      </c>
      <c r="I47" s="93"/>
      <c r="J47" s="93"/>
      <c r="K47" s="93"/>
      <c r="L47" s="1292"/>
      <c r="M47" s="1542"/>
      <c r="N47" s="1533"/>
      <c r="O47" s="1463"/>
      <c r="P47" s="280"/>
      <c r="Q47" s="280"/>
      <c r="R47" s="280"/>
      <c r="S47" s="280"/>
      <c r="T47" s="280"/>
      <c r="U47" s="280"/>
      <c r="V47" s="280"/>
      <c r="W47" s="280"/>
      <c r="X47" s="1303"/>
      <c r="Y47" s="1522"/>
      <c r="Z47" s="1586"/>
      <c r="AC47" s="280"/>
      <c r="AD47" s="280"/>
      <c r="AE47" s="280"/>
      <c r="AF47" s="280"/>
      <c r="AG47" s="280"/>
      <c r="AH47" s="280"/>
      <c r="AI47" s="280"/>
      <c r="AJ47" s="280"/>
      <c r="AK47" s="280"/>
      <c r="AL47" s="280"/>
      <c r="AM47" s="280"/>
      <c r="AN47" s="280"/>
      <c r="AO47" s="280"/>
      <c r="AP47" s="280"/>
      <c r="AQ47" s="280"/>
      <c r="AR47" s="280"/>
      <c r="AS47" s="280"/>
      <c r="AX47" s="611" t="str">
        <f>'Overview (Verification)'!A45</f>
        <v>Attic Type:</v>
      </c>
      <c r="AY47" s="612">
        <f>IF(LEN('Overview (Verification)'!P45)=0,0,'Overview (Verification)'!P45)</f>
        <v>0</v>
      </c>
      <c r="BJ47" s="1184" t="s">
        <v>4763</v>
      </c>
    </row>
    <row r="48" spans="1:62" ht="18" x14ac:dyDescent="0.35">
      <c r="A48" s="1200">
        <v>5</v>
      </c>
      <c r="B48" s="1203" t="s">
        <v>392</v>
      </c>
      <c r="C48" s="1203"/>
      <c r="D48" s="1203"/>
      <c r="E48" s="1203"/>
      <c r="F48" s="1203"/>
      <c r="G48" s="1202" t="s">
        <v>4389</v>
      </c>
      <c r="H48" s="1200" t="s">
        <v>4386</v>
      </c>
      <c r="I48" s="72" t="s">
        <v>393</v>
      </c>
      <c r="J48" s="91"/>
      <c r="K48" s="91"/>
      <c r="L48" s="87"/>
      <c r="M48" s="71"/>
      <c r="N48" s="71"/>
      <c r="O48" s="71"/>
      <c r="P48" s="23"/>
      <c r="Q48" s="23"/>
      <c r="R48" s="23"/>
      <c r="S48" s="23"/>
      <c r="T48" s="23"/>
      <c r="U48" s="23"/>
      <c r="V48" s="23"/>
      <c r="W48" s="23"/>
      <c r="X48" s="23"/>
      <c r="Y48" s="23"/>
      <c r="Z48" s="1168"/>
      <c r="AC48" s="280"/>
      <c r="AD48" s="280"/>
      <c r="AE48" s="280"/>
      <c r="AF48" s="280"/>
      <c r="AG48" s="280"/>
      <c r="AH48" s="280"/>
      <c r="AI48" s="280"/>
      <c r="AJ48" s="280"/>
      <c r="AK48" s="280"/>
      <c r="AL48" s="280"/>
      <c r="AM48" s="280"/>
      <c r="AN48" s="280"/>
      <c r="AO48" s="280"/>
      <c r="AP48" s="280"/>
      <c r="AQ48" s="280"/>
      <c r="AR48" s="280"/>
      <c r="AS48" s="280"/>
      <c r="AX48" s="611" t="str">
        <f>'Overview (Verification)'!A46</f>
        <v>Attached Garage:</v>
      </c>
      <c r="AY48" s="612">
        <f>IF(LEN('Overview (Verification)'!P46)=0,0,'Overview (Verification)'!P46)</f>
        <v>0</v>
      </c>
      <c r="BJ48" s="1184" t="s">
        <v>4763</v>
      </c>
    </row>
    <row r="49" spans="1:62" x14ac:dyDescent="0.3">
      <c r="A49" s="1200">
        <v>5</v>
      </c>
      <c r="B49" s="1203" t="s">
        <v>394</v>
      </c>
      <c r="C49" s="1203"/>
      <c r="D49" s="1203"/>
      <c r="E49" s="1203"/>
      <c r="F49" s="1203"/>
      <c r="G49" s="1204"/>
      <c r="H49" s="1204"/>
      <c r="I49" s="926" t="s">
        <v>394</v>
      </c>
      <c r="J49" s="107"/>
      <c r="K49" s="107"/>
      <c r="L49" s="1313" t="s">
        <v>395</v>
      </c>
      <c r="M49" s="286"/>
      <c r="N49" s="283"/>
      <c r="O49" s="283"/>
      <c r="P49" s="97"/>
      <c r="Q49" s="97"/>
      <c r="R49" s="97"/>
      <c r="S49" s="97"/>
      <c r="T49" s="97"/>
      <c r="U49" s="97"/>
      <c r="V49" s="97"/>
      <c r="W49" s="97"/>
      <c r="X49" s="1295"/>
      <c r="Y49" s="1523" t="str">
        <f>IF(LEN('Ch5'!X50)=0,"None",'Ch5'!X50)</f>
        <v>None</v>
      </c>
      <c r="Z49" s="1583"/>
      <c r="AC49" s="280"/>
      <c r="AD49" s="280"/>
      <c r="AE49" s="280"/>
      <c r="AF49" s="280"/>
      <c r="AG49" s="280"/>
      <c r="AH49" s="280"/>
      <c r="AI49" s="280"/>
      <c r="AJ49" s="280"/>
      <c r="AK49" s="280"/>
      <c r="AL49" s="280"/>
      <c r="AM49" s="280"/>
      <c r="AN49" s="280"/>
      <c r="AO49" s="280"/>
      <c r="AP49" s="280"/>
      <c r="AQ49" s="280"/>
      <c r="AR49" s="311" t="str">
        <f>SUBSTITUTE(SUBSTITUTE(SUBSTITUTE("vnt"&amp;$B49&amp;$C49&amp;$D49&amp;$E49&amp;$F49,".","_"),"(","_"),")","")</f>
        <v>vnt503_0</v>
      </c>
      <c r="AS49" s="311">
        <f>X49</f>
        <v>0</v>
      </c>
      <c r="AX49" s="611" t="str">
        <f>'Overview (Verification)'!A47</f>
        <v>Recessed Lighting:</v>
      </c>
      <c r="AY49" s="612">
        <f>IF(LEN('Overview (Verification)'!P47)=0,0,'Overview (Verification)'!P47)</f>
        <v>0</v>
      </c>
      <c r="BJ49" s="1184" t="s">
        <v>4763</v>
      </c>
    </row>
    <row r="50" spans="1:62" x14ac:dyDescent="0.3">
      <c r="A50" s="1200">
        <v>5</v>
      </c>
      <c r="B50" s="1203" t="s">
        <v>394</v>
      </c>
      <c r="C50" s="1203"/>
      <c r="D50" s="1203"/>
      <c r="E50" s="1203"/>
      <c r="F50" s="1203"/>
      <c r="G50" s="1204"/>
      <c r="H50" s="1204"/>
      <c r="I50" s="107"/>
      <c r="J50" s="107"/>
      <c r="K50" s="107"/>
      <c r="L50" s="1313"/>
      <c r="M50" s="286"/>
      <c r="N50" s="283"/>
      <c r="O50" s="283"/>
      <c r="P50" s="97"/>
      <c r="Q50" s="97"/>
      <c r="R50" s="97"/>
      <c r="S50" s="97"/>
      <c r="T50" s="97"/>
      <c r="U50" s="97"/>
      <c r="V50" s="97"/>
      <c r="W50" s="97"/>
      <c r="X50" s="1295"/>
      <c r="Y50" s="1523"/>
      <c r="Z50" s="1583"/>
      <c r="AC50" s="280"/>
      <c r="AD50" s="280"/>
      <c r="AE50" s="280"/>
      <c r="AF50" s="280"/>
      <c r="AG50" s="280"/>
      <c r="AH50" s="280"/>
      <c r="AI50" s="280"/>
      <c r="AJ50" s="280"/>
      <c r="AK50" s="280"/>
      <c r="AL50" s="280"/>
      <c r="AM50" s="280"/>
      <c r="AN50" s="280"/>
      <c r="AO50" s="280"/>
      <c r="AP50" s="280"/>
      <c r="AQ50" s="280"/>
      <c r="AR50" s="280"/>
      <c r="AS50" s="280"/>
      <c r="AX50" s="611"/>
      <c r="AY50" s="612"/>
      <c r="BJ50" s="1184" t="s">
        <v>4763</v>
      </c>
    </row>
    <row r="51" spans="1:62" x14ac:dyDescent="0.3">
      <c r="A51" s="1200">
        <v>5</v>
      </c>
      <c r="B51" s="1203" t="s">
        <v>394</v>
      </c>
      <c r="C51" s="1203"/>
      <c r="D51" s="1203"/>
      <c r="E51" s="1203"/>
      <c r="F51" s="1203"/>
      <c r="G51" s="1204"/>
      <c r="H51" s="1204"/>
      <c r="I51" s="107"/>
      <c r="J51" s="107"/>
      <c r="K51" s="107"/>
      <c r="L51" s="1313"/>
      <c r="M51" s="286"/>
      <c r="N51" s="283"/>
      <c r="O51" s="283"/>
      <c r="P51" s="97"/>
      <c r="Q51" s="97"/>
      <c r="R51" s="97"/>
      <c r="S51" s="97"/>
      <c r="T51" s="97"/>
      <c r="U51" s="97"/>
      <c r="V51" s="97"/>
      <c r="W51" s="97"/>
      <c r="X51" s="1295"/>
      <c r="Y51" s="1523"/>
      <c r="Z51" s="1583"/>
      <c r="AC51" s="280"/>
      <c r="AD51" s="280"/>
      <c r="AE51" s="280"/>
      <c r="AF51" s="280"/>
      <c r="AG51" s="280"/>
      <c r="AH51" s="280"/>
      <c r="AI51" s="280"/>
      <c r="AJ51" s="280"/>
      <c r="AK51" s="280"/>
      <c r="AL51" s="280"/>
      <c r="AM51" s="280"/>
      <c r="AN51" s="280"/>
      <c r="AO51" s="280"/>
      <c r="AP51" s="280"/>
      <c r="AQ51" s="280"/>
      <c r="AR51" s="280"/>
      <c r="AS51" s="280"/>
      <c r="AX51" s="611" t="str">
        <f>'Overview (Verification)'!A49</f>
        <v>Special Design Features:</v>
      </c>
      <c r="AY51" s="612"/>
      <c r="BJ51" s="1184" t="s">
        <v>4763</v>
      </c>
    </row>
    <row r="52" spans="1:62" x14ac:dyDescent="0.3">
      <c r="A52" s="1200">
        <v>5</v>
      </c>
      <c r="B52" s="1203" t="s">
        <v>394</v>
      </c>
      <c r="C52" s="1203"/>
      <c r="D52" s="1203"/>
      <c r="E52" s="1203"/>
      <c r="F52" s="1203"/>
      <c r="G52" s="1204"/>
      <c r="H52" s="1204"/>
      <c r="I52" s="107"/>
      <c r="J52" s="107"/>
      <c r="K52" s="107"/>
      <c r="L52" s="1313"/>
      <c r="M52" s="286"/>
      <c r="N52" s="283"/>
      <c r="O52" s="283"/>
      <c r="P52" s="97"/>
      <c r="Q52" s="97"/>
      <c r="R52" s="97"/>
      <c r="S52" s="97"/>
      <c r="T52" s="97"/>
      <c r="U52" s="97"/>
      <c r="V52" s="97"/>
      <c r="W52" s="97"/>
      <c r="X52" s="1295"/>
      <c r="Y52" s="1523"/>
      <c r="Z52" s="1583"/>
      <c r="AC52" s="280"/>
      <c r="AD52" s="280"/>
      <c r="AE52" s="280"/>
      <c r="AF52" s="280"/>
      <c r="AG52" s="280"/>
      <c r="AH52" s="280"/>
      <c r="AI52" s="280"/>
      <c r="AJ52" s="280"/>
      <c r="AK52" s="280"/>
      <c r="AL52" s="280"/>
      <c r="AM52" s="280"/>
      <c r="AN52" s="280"/>
      <c r="AO52" s="280"/>
      <c r="AP52" s="280"/>
      <c r="AQ52" s="280"/>
      <c r="AR52" s="280"/>
      <c r="AS52" s="280"/>
      <c r="AX52" s="611" t="str">
        <f>'Overview (Verification)'!A50</f>
        <v>Passive Solar:</v>
      </c>
      <c r="AY52" s="612">
        <f>IF(LEN('Overview (Verification)'!P50)=0,0,'Overview (Verification)'!P50)</f>
        <v>0</v>
      </c>
      <c r="BJ52" s="1184" t="s">
        <v>4763</v>
      </c>
    </row>
    <row r="53" spans="1:62" ht="15" thickBot="1" x14ac:dyDescent="0.35">
      <c r="A53" s="1200">
        <v>5</v>
      </c>
      <c r="B53" s="1203" t="s">
        <v>394</v>
      </c>
      <c r="C53" s="1203"/>
      <c r="D53" s="1203"/>
      <c r="E53" s="1203"/>
      <c r="F53" s="1203"/>
      <c r="G53" s="1204"/>
      <c r="H53" s="1204"/>
      <c r="I53" s="108"/>
      <c r="J53" s="108"/>
      <c r="K53" s="108"/>
      <c r="L53" s="109" t="s">
        <v>396</v>
      </c>
      <c r="M53" s="295"/>
      <c r="N53" s="288"/>
      <c r="O53" s="288"/>
      <c r="P53" s="104"/>
      <c r="Q53" s="104"/>
      <c r="R53" s="104"/>
      <c r="S53" s="104"/>
      <c r="T53" s="104"/>
      <c r="U53" s="104"/>
      <c r="V53" s="104"/>
      <c r="W53" s="104"/>
      <c r="X53" s="1296"/>
      <c r="Y53" s="1524"/>
      <c r="Z53" s="1584"/>
      <c r="AC53" s="280"/>
      <c r="AD53" s="280"/>
      <c r="AE53" s="280"/>
      <c r="AF53" s="280"/>
      <c r="AG53" s="280"/>
      <c r="AH53" s="280"/>
      <c r="AI53" s="280"/>
      <c r="AJ53" s="280"/>
      <c r="AK53" s="280"/>
      <c r="AL53" s="280"/>
      <c r="AM53" s="280"/>
      <c r="AN53" s="280"/>
      <c r="AO53" s="280"/>
      <c r="AP53" s="280"/>
      <c r="AQ53" s="280"/>
      <c r="AR53" s="280"/>
      <c r="AS53" s="280"/>
      <c r="AX53" s="611" t="str">
        <f>'Overview (Verification)'!A51</f>
        <v>Mass Walls:</v>
      </c>
      <c r="AY53" s="612">
        <f>IF(LEN('Overview (Verification)'!P51)=0,0,'Overview (Verification)'!P51)</f>
        <v>0</v>
      </c>
      <c r="BJ53" s="1184" t="s">
        <v>4763</v>
      </c>
    </row>
    <row r="54" spans="1:62" ht="15" thickTop="1" x14ac:dyDescent="0.3">
      <c r="A54" s="1200">
        <v>5</v>
      </c>
      <c r="B54" s="1203" t="s">
        <v>397</v>
      </c>
      <c r="C54" s="1203"/>
      <c r="D54" s="1203"/>
      <c r="E54" s="1203"/>
      <c r="F54" s="1203"/>
      <c r="G54" s="1196" t="str">
        <f>IF(COUNTIF(G55:G64,"P")&gt;0,"P","")</f>
        <v>P</v>
      </c>
      <c r="H54" s="1204" t="s">
        <v>4387</v>
      </c>
      <c r="I54" s="1547" t="s">
        <v>398</v>
      </c>
      <c r="J54" s="1547"/>
      <c r="K54" s="1547"/>
      <c r="L54" s="1547"/>
      <c r="M54" s="297"/>
      <c r="N54" s="296"/>
      <c r="O54" s="296"/>
      <c r="P54" s="110"/>
      <c r="Q54" s="110"/>
      <c r="R54" s="110"/>
      <c r="S54" s="110"/>
      <c r="T54" s="110"/>
      <c r="U54" s="110"/>
      <c r="V54" s="110"/>
      <c r="W54" s="110"/>
      <c r="X54" s="1327"/>
      <c r="Y54" s="1525" t="str">
        <f>IF(LEN('Ch5'!X55)=0,"None",'Ch5'!X55)</f>
        <v>None</v>
      </c>
      <c r="Z54" s="1585"/>
      <c r="AC54" s="280"/>
      <c r="AD54" s="280"/>
      <c r="AE54" s="280"/>
      <c r="AF54" s="280"/>
      <c r="AG54" s="280"/>
      <c r="AH54" s="280"/>
      <c r="AI54" s="280"/>
      <c r="AJ54" s="280"/>
      <c r="AK54" s="280"/>
      <c r="AL54" s="280"/>
      <c r="AM54" s="280"/>
      <c r="AN54" s="280"/>
      <c r="AO54" s="280"/>
      <c r="AP54" s="280"/>
      <c r="AQ54" s="280"/>
      <c r="AR54" s="311" t="str">
        <f>SUBSTITUTE(SUBSTITUTE(SUBSTITUTE("vnt"&amp;$B54&amp;$C54&amp;$D54&amp;$E54&amp;$F54,".","_"),"(","_"),")","")</f>
        <v>vnt503_1</v>
      </c>
      <c r="AS54" s="311">
        <f>X54</f>
        <v>0</v>
      </c>
      <c r="AX54" s="611" t="str">
        <f>'Overview (Verification)'!A52</f>
        <v>Ductless:</v>
      </c>
      <c r="AY54" s="612">
        <f>IF(LEN('Overview (Verification)'!P52)=0,0,'Overview (Verification)'!P52)</f>
        <v>0</v>
      </c>
      <c r="BJ54" s="1184" t="s">
        <v>4763</v>
      </c>
    </row>
    <row r="55" spans="1:62" x14ac:dyDescent="0.3">
      <c r="A55" s="1200">
        <v>5</v>
      </c>
      <c r="B55" s="1203" t="s">
        <v>397</v>
      </c>
      <c r="C55" s="1203"/>
      <c r="D55" s="1203"/>
      <c r="E55" s="1203" t="s">
        <v>271</v>
      </c>
      <c r="F55" s="1203"/>
      <c r="G55" s="1202" t="str">
        <f>IF(N55&gt;0,"P","")</f>
        <v/>
      </c>
      <c r="H55" s="1204" t="s">
        <v>4387</v>
      </c>
      <c r="I55" s="107"/>
      <c r="J55" s="192" t="s">
        <v>271</v>
      </c>
      <c r="K55" s="195"/>
      <c r="L55" s="193" t="s">
        <v>399</v>
      </c>
      <c r="M55" s="287">
        <v>5</v>
      </c>
      <c r="N55" s="284">
        <f>'Ch5'!O56</f>
        <v>0</v>
      </c>
      <c r="O55" s="284">
        <f>M55*W55</f>
        <v>0</v>
      </c>
      <c r="P55" s="280" t="b">
        <v>1</v>
      </c>
      <c r="Q55" s="280" t="b">
        <v>0</v>
      </c>
      <c r="R55" s="97" t="b">
        <v>0</v>
      </c>
      <c r="S55" s="97" t="b">
        <v>1</v>
      </c>
      <c r="T55" s="97" t="b">
        <v>0</v>
      </c>
      <c r="U55" s="97"/>
      <c r="V55" s="97"/>
      <c r="W55" s="25"/>
      <c r="X55" s="1295"/>
      <c r="Y55" s="1523"/>
      <c r="Z55" s="1583"/>
      <c r="AC55" s="280"/>
      <c r="AD55" s="280"/>
      <c r="AE55" s="280"/>
      <c r="AF55" s="280"/>
      <c r="AG55" s="280"/>
      <c r="AH55" s="280"/>
      <c r="AI55" s="280"/>
      <c r="AJ55" s="280"/>
      <c r="AK55" s="280"/>
      <c r="AL55" s="311" t="str">
        <f t="shared" ref="AL55:AL56" si="8">SUBSTITUTE(SUBSTITUTE(SUBSTITUTE("vpa"&amp;$B55&amp;$C55&amp;$D55&amp;$E55&amp;$F55,".","_"),"(","_"),")","")</f>
        <v>vpa503_1_1</v>
      </c>
      <c r="AM55" s="311">
        <f>M55</f>
        <v>5</v>
      </c>
      <c r="AN55" s="311" t="str">
        <f t="shared" ref="AN55:AN56" si="9">SUBSTITUTE(SUBSTITUTE(SUBSTITUTE("vpc"&amp;$B55&amp;$C55&amp;$D55&amp;$E55&amp;$F55,".","_"),"(","_"),")","")</f>
        <v>vpc503_1_1</v>
      </c>
      <c r="AO55" s="311">
        <f>O55</f>
        <v>0</v>
      </c>
      <c r="AP55" s="311" t="str">
        <f t="shared" ref="AP55:AP56" si="10">SUBSTITUTE(SUBSTITUTE(SUBSTITUTE("vch"&amp;$B55&amp;$C55&amp;$D55&amp;$E55&amp;$F55,".","_"),"(","_"),")","")</f>
        <v>vch503_1_1</v>
      </c>
      <c r="AQ55" s="311">
        <f>W55</f>
        <v>0</v>
      </c>
      <c r="AR55" s="311"/>
      <c r="AS55" s="311"/>
      <c r="AX55" s="611" t="str">
        <f>'Overview (Verification)'!A53</f>
        <v>Radiant/Hydronic:</v>
      </c>
      <c r="AY55" s="612">
        <f>IF(LEN('Overview (Verification)'!P53)=0,0,'Overview (Verification)'!P53)</f>
        <v>0</v>
      </c>
      <c r="BJ55" s="1184" t="s">
        <v>4763</v>
      </c>
    </row>
    <row r="56" spans="1:62" x14ac:dyDescent="0.3">
      <c r="A56" s="1200">
        <v>5</v>
      </c>
      <c r="B56" s="1203" t="s">
        <v>397</v>
      </c>
      <c r="C56" s="1203"/>
      <c r="D56" s="1203"/>
      <c r="E56" s="1203" t="s">
        <v>273</v>
      </c>
      <c r="F56" s="1203"/>
      <c r="G56" s="1202" t="str">
        <f>IF(N56&gt;0,"P","")</f>
        <v/>
      </c>
      <c r="H56" s="1204" t="s">
        <v>4387</v>
      </c>
      <c r="I56" s="107"/>
      <c r="J56" s="94" t="s">
        <v>273</v>
      </c>
      <c r="K56" s="107"/>
      <c r="L56" s="1305" t="s">
        <v>400</v>
      </c>
      <c r="M56" s="1540">
        <v>6</v>
      </c>
      <c r="N56" s="1472">
        <f>'Ch5'!O57</f>
        <v>0</v>
      </c>
      <c r="O56" s="1473">
        <f>M56*S56*W56</f>
        <v>0</v>
      </c>
      <c r="P56" s="280" t="b">
        <v>1</v>
      </c>
      <c r="Q56" s="280" t="b">
        <v>0</v>
      </c>
      <c r="R56" s="97" t="b">
        <v>0</v>
      </c>
      <c r="S56" s="97" t="b">
        <f>IF(W55=TRUE,TRUE,FALSE)</f>
        <v>0</v>
      </c>
      <c r="T56" s="97" t="b">
        <f>IF(AND(NOT(S56),W56=TRUE),TRUE,FALSE)</f>
        <v>0</v>
      </c>
      <c r="U56" s="97"/>
      <c r="V56" s="97"/>
      <c r="W56" s="25"/>
      <c r="X56" s="1295"/>
      <c r="Y56" s="1523"/>
      <c r="Z56" s="1583"/>
      <c r="AC56" s="280" t="b">
        <f>OR(AD56:AE56)</f>
        <v>0</v>
      </c>
      <c r="AD56" s="280" t="b">
        <f>T56</f>
        <v>0</v>
      </c>
      <c r="AE56" s="280"/>
      <c r="AF56" s="280"/>
      <c r="AG56" s="280"/>
      <c r="AH56" s="280"/>
      <c r="AI56" s="280"/>
      <c r="AJ56" s="280"/>
      <c r="AK56" s="280"/>
      <c r="AL56" s="311" t="str">
        <f t="shared" si="8"/>
        <v>vpa503_1_2</v>
      </c>
      <c r="AM56" s="311">
        <f>M56</f>
        <v>6</v>
      </c>
      <c r="AN56" s="311" t="str">
        <f t="shared" si="9"/>
        <v>vpc503_1_2</v>
      </c>
      <c r="AO56" s="311">
        <f>O56</f>
        <v>0</v>
      </c>
      <c r="AP56" s="311" t="str">
        <f t="shared" si="10"/>
        <v>vch503_1_2</v>
      </c>
      <c r="AQ56" s="311">
        <f>W56</f>
        <v>0</v>
      </c>
      <c r="AR56" s="311"/>
      <c r="AS56" s="311"/>
      <c r="AX56" s="611" t="str">
        <f>'Overview (Verification)'!A54</f>
        <v>Tankless Water Heater:</v>
      </c>
      <c r="AY56" s="612">
        <f>IF(LEN('Overview (Verification)'!P54)=0,0,'Overview (Verification)'!P54)</f>
        <v>0</v>
      </c>
      <c r="BJ56" s="1184" t="s">
        <v>4763</v>
      </c>
    </row>
    <row r="57" spans="1:62" x14ac:dyDescent="0.3">
      <c r="A57" s="1200">
        <v>5</v>
      </c>
      <c r="B57" s="1203" t="s">
        <v>397</v>
      </c>
      <c r="C57" s="1203"/>
      <c r="D57" s="1203"/>
      <c r="E57" s="1203" t="s">
        <v>273</v>
      </c>
      <c r="F57" s="1203"/>
      <c r="G57" s="1202" t="str">
        <f>G56</f>
        <v/>
      </c>
      <c r="H57" s="1204" t="s">
        <v>4387</v>
      </c>
      <c r="I57" s="107"/>
      <c r="J57" s="192"/>
      <c r="K57" s="195"/>
      <c r="L57" s="1306"/>
      <c r="M57" s="1543"/>
      <c r="N57" s="1491"/>
      <c r="O57" s="1491"/>
      <c r="P57" s="97"/>
      <c r="Q57" s="97"/>
      <c r="R57" s="97"/>
      <c r="S57" s="97"/>
      <c r="T57" s="97"/>
      <c r="U57" s="97"/>
      <c r="V57" s="97"/>
      <c r="W57" s="97"/>
      <c r="X57" s="1295"/>
      <c r="Y57" s="1523"/>
      <c r="Z57" s="1583"/>
      <c r="AC57" s="280"/>
      <c r="AD57" s="280"/>
      <c r="AE57" s="280"/>
      <c r="AF57" s="280"/>
      <c r="AG57" s="280"/>
      <c r="AH57" s="280"/>
      <c r="AI57" s="280"/>
      <c r="AJ57" s="280"/>
      <c r="AK57" s="280"/>
      <c r="AL57" s="280"/>
      <c r="AM57" s="280"/>
      <c r="AN57" s="280"/>
      <c r="AO57" s="280"/>
      <c r="AP57" s="280"/>
      <c r="AQ57" s="280"/>
      <c r="AR57" s="280"/>
      <c r="AS57" s="280"/>
      <c r="AX57" s="611" t="str">
        <f>'Overview (Verification)'!A55</f>
        <v>Composting Toilet:</v>
      </c>
      <c r="AY57" s="612">
        <f>IF(LEN('Overview (Verification)'!P55)=0,0,'Overview (Verification)'!P55)</f>
        <v>0</v>
      </c>
      <c r="BJ57" s="1184" t="s">
        <v>4763</v>
      </c>
    </row>
    <row r="58" spans="1:62" x14ac:dyDescent="0.3">
      <c r="A58" s="1200">
        <v>5</v>
      </c>
      <c r="B58" s="1203" t="s">
        <v>397</v>
      </c>
      <c r="C58" s="1203"/>
      <c r="D58" s="1203"/>
      <c r="E58" s="1203" t="s">
        <v>275</v>
      </c>
      <c r="F58" s="1203"/>
      <c r="G58" s="1202" t="str">
        <f>IF(N58&gt;0,"P","")</f>
        <v/>
      </c>
      <c r="H58" s="1204" t="s">
        <v>4387</v>
      </c>
      <c r="I58" s="107"/>
      <c r="J58" s="94" t="s">
        <v>275</v>
      </c>
      <c r="K58" s="107"/>
      <c r="L58" s="1305" t="s">
        <v>401</v>
      </c>
      <c r="M58" s="1540">
        <v>4</v>
      </c>
      <c r="N58" s="1472">
        <f>'Ch5'!O59</f>
        <v>0</v>
      </c>
      <c r="O58" s="1473">
        <f>M58*S58*W58</f>
        <v>0</v>
      </c>
      <c r="P58" s="280" t="b">
        <v>1</v>
      </c>
      <c r="Q58" s="280" t="b">
        <v>0</v>
      </c>
      <c r="R58" s="97" t="b">
        <v>0</v>
      </c>
      <c r="S58" s="97" t="b">
        <f>IF(AND(W55=TRUE,W56=TRUE),TRUE,FALSE)</f>
        <v>0</v>
      </c>
      <c r="T58" s="97" t="b">
        <f>IF(AND(NOT(S58),W58=TRUE),TRUE,FALSE)</f>
        <v>0</v>
      </c>
      <c r="U58" s="97"/>
      <c r="V58" s="97"/>
      <c r="W58" s="25"/>
      <c r="X58" s="1295"/>
      <c r="Y58" s="1523"/>
      <c r="Z58" s="1583"/>
      <c r="AC58" s="280" t="b">
        <f>OR(AD58:AE58)</f>
        <v>0</v>
      </c>
      <c r="AD58" s="280" t="b">
        <f>T58</f>
        <v>0</v>
      </c>
      <c r="AE58" s="280"/>
      <c r="AF58" s="280"/>
      <c r="AG58" s="280"/>
      <c r="AH58" s="280"/>
      <c r="AI58" s="280"/>
      <c r="AJ58" s="280"/>
      <c r="AK58" s="280"/>
      <c r="AL58" s="311" t="str">
        <f>SUBSTITUTE(SUBSTITUTE(SUBSTITUTE("vpa"&amp;$B58&amp;$C58&amp;$D58&amp;$E58&amp;$F58,".","_"),"(","_"),")","")</f>
        <v>vpa503_1_3</v>
      </c>
      <c r="AM58" s="311">
        <f>M58</f>
        <v>4</v>
      </c>
      <c r="AN58" s="311" t="str">
        <f>SUBSTITUTE(SUBSTITUTE(SUBSTITUTE("vpc"&amp;$B58&amp;$C58&amp;$D58&amp;$E58&amp;$F58,".","_"),"(","_"),")","")</f>
        <v>vpc503_1_3</v>
      </c>
      <c r="AO58" s="311">
        <f>O58</f>
        <v>0</v>
      </c>
      <c r="AP58" s="311" t="str">
        <f>SUBSTITUTE(SUBSTITUTE(SUBSTITUTE("vch"&amp;$B58&amp;$C58&amp;$D58&amp;$E58&amp;$F58,".","_"),"(","_"),")","")</f>
        <v>vch503_1_3</v>
      </c>
      <c r="AQ58" s="311">
        <f>W58</f>
        <v>0</v>
      </c>
      <c r="AR58" s="311"/>
      <c r="AS58" s="311"/>
      <c r="AX58" s="611"/>
      <c r="AY58" s="612"/>
      <c r="BJ58" s="1184" t="s">
        <v>4763</v>
      </c>
    </row>
    <row r="59" spans="1:62" x14ac:dyDescent="0.3">
      <c r="A59" s="1200">
        <v>5</v>
      </c>
      <c r="B59" s="1203" t="s">
        <v>397</v>
      </c>
      <c r="C59" s="1203"/>
      <c r="D59" s="1203"/>
      <c r="E59" s="1203" t="s">
        <v>275</v>
      </c>
      <c r="F59" s="1203"/>
      <c r="G59" s="1202" t="str">
        <f>G58</f>
        <v/>
      </c>
      <c r="H59" s="1204" t="s">
        <v>4387</v>
      </c>
      <c r="I59" s="107"/>
      <c r="J59" s="192"/>
      <c r="K59" s="195"/>
      <c r="L59" s="1306"/>
      <c r="M59" s="1543"/>
      <c r="N59" s="1491"/>
      <c r="O59" s="1491"/>
      <c r="P59" s="97"/>
      <c r="Q59" s="97"/>
      <c r="R59" s="97"/>
      <c r="S59" s="97"/>
      <c r="T59" s="97"/>
      <c r="U59" s="97"/>
      <c r="V59" s="97"/>
      <c r="W59" s="97"/>
      <c r="X59" s="1295"/>
      <c r="Y59" s="1523"/>
      <c r="Z59" s="1583"/>
      <c r="AC59" s="280"/>
      <c r="AD59" s="280"/>
      <c r="AE59" s="280"/>
      <c r="AF59" s="280"/>
      <c r="AG59" s="280"/>
      <c r="AH59" s="280"/>
      <c r="AI59" s="280"/>
      <c r="AJ59" s="280"/>
      <c r="AK59" s="280"/>
      <c r="AL59" s="280"/>
      <c r="AM59" s="280"/>
      <c r="AN59" s="280"/>
      <c r="AO59" s="280"/>
      <c r="AP59" s="280"/>
      <c r="AQ59" s="280"/>
      <c r="AR59" s="280"/>
      <c r="AS59" s="280"/>
      <c r="AX59" s="611" t="str">
        <f>'Overview (Verification)'!A57</f>
        <v>Local Energy Code:</v>
      </c>
      <c r="AY59" s="612">
        <f>IF(LEN('Overview (Verification)'!P57)=0,0,'Overview (Verification)'!P57)</f>
        <v>0</v>
      </c>
      <c r="BJ59" s="1184" t="s">
        <v>4763</v>
      </c>
    </row>
    <row r="60" spans="1:62" x14ac:dyDescent="0.3">
      <c r="A60" s="1200">
        <v>5</v>
      </c>
      <c r="B60" s="1203" t="s">
        <v>397</v>
      </c>
      <c r="C60" s="1203"/>
      <c r="D60" s="1203"/>
      <c r="E60" s="1203" t="s">
        <v>285</v>
      </c>
      <c r="F60" s="1203"/>
      <c r="G60" s="1202" t="str">
        <f>IF(N60&gt;0,"P","")</f>
        <v>P</v>
      </c>
      <c r="H60" s="1204" t="s">
        <v>4387</v>
      </c>
      <c r="I60" s="107"/>
      <c r="J60" s="192" t="s">
        <v>285</v>
      </c>
      <c r="K60" s="195"/>
      <c r="L60" s="193" t="s">
        <v>402</v>
      </c>
      <c r="M60" s="287">
        <v>4</v>
      </c>
      <c r="N60" s="284">
        <f>'Ch5'!O61</f>
        <v>4</v>
      </c>
      <c r="O60" s="284">
        <f>M60*W60</f>
        <v>0</v>
      </c>
      <c r="P60" s="280" t="b">
        <v>1</v>
      </c>
      <c r="Q60" s="280" t="b">
        <v>0</v>
      </c>
      <c r="R60" s="97" t="b">
        <v>0</v>
      </c>
      <c r="S60" s="97" t="b">
        <v>1</v>
      </c>
      <c r="T60" s="97" t="b">
        <v>0</v>
      </c>
      <c r="U60" s="97"/>
      <c r="V60" s="97"/>
      <c r="W60" s="25"/>
      <c r="X60" s="1295"/>
      <c r="Y60" s="1523"/>
      <c r="Z60" s="1583"/>
      <c r="AC60" s="280"/>
      <c r="AD60" s="280"/>
      <c r="AE60" s="280"/>
      <c r="AF60" s="280"/>
      <c r="AG60" s="280"/>
      <c r="AH60" s="280"/>
      <c r="AI60" s="280"/>
      <c r="AJ60" s="280"/>
      <c r="AK60" s="280"/>
      <c r="AL60" s="311" t="str">
        <f t="shared" ref="AL60:AL62" si="11">SUBSTITUTE(SUBSTITUTE(SUBSTITUTE("vpa"&amp;$B60&amp;$C60&amp;$D60&amp;$E60&amp;$F60,".","_"),"(","_"),")","")</f>
        <v>vpa503_1_4</v>
      </c>
      <c r="AM60" s="311">
        <f>M60</f>
        <v>4</v>
      </c>
      <c r="AN60" s="311" t="str">
        <f t="shared" ref="AN60:AN62" si="12">SUBSTITUTE(SUBSTITUTE(SUBSTITUTE("vpc"&amp;$B60&amp;$C60&amp;$D60&amp;$E60&amp;$F60,".","_"),"(","_"),")","")</f>
        <v>vpc503_1_4</v>
      </c>
      <c r="AO60" s="311">
        <f>O60</f>
        <v>0</v>
      </c>
      <c r="AP60" s="311" t="str">
        <f t="shared" ref="AP60:AP62" si="13">SUBSTITUTE(SUBSTITUTE(SUBSTITUTE("vch"&amp;$B60&amp;$C60&amp;$D60&amp;$E60&amp;$F60,".","_"),"(","_"),")","")</f>
        <v>vch503_1_4</v>
      </c>
      <c r="AQ60" s="311">
        <f>W60</f>
        <v>0</v>
      </c>
      <c r="AR60" s="311"/>
      <c r="AS60" s="311"/>
      <c r="AX60" s="611" t="str">
        <f>'Overview (Verification)'!A58</f>
        <v>Local Building Code:</v>
      </c>
      <c r="AY60" s="612">
        <f>IF(LEN('Overview (Verification)'!P58)=0,0,'Overview (Verification)'!P58)</f>
        <v>0</v>
      </c>
      <c r="BJ60" s="1184" t="s">
        <v>4763</v>
      </c>
    </row>
    <row r="61" spans="1:62" x14ac:dyDescent="0.3">
      <c r="A61" s="1200">
        <v>5</v>
      </c>
      <c r="B61" s="1203" t="s">
        <v>397</v>
      </c>
      <c r="C61" s="1203"/>
      <c r="D61" s="1203"/>
      <c r="E61" s="1203" t="s">
        <v>291</v>
      </c>
      <c r="F61" s="1203"/>
      <c r="G61" s="1202" t="str">
        <f>IF(N61&gt;0,"P","")</f>
        <v/>
      </c>
      <c r="H61" s="1204" t="s">
        <v>4387</v>
      </c>
      <c r="I61" s="107"/>
      <c r="J61" s="192" t="s">
        <v>291</v>
      </c>
      <c r="K61" s="195"/>
      <c r="L61" s="193" t="s">
        <v>403</v>
      </c>
      <c r="M61" s="287">
        <v>3</v>
      </c>
      <c r="N61" s="284">
        <f>'Ch5'!O62</f>
        <v>0</v>
      </c>
      <c r="O61" s="284">
        <f>M61*W61</f>
        <v>0</v>
      </c>
      <c r="P61" s="280" t="b">
        <v>1</v>
      </c>
      <c r="Q61" s="280" t="b">
        <v>0</v>
      </c>
      <c r="R61" s="97" t="b">
        <v>0</v>
      </c>
      <c r="S61" s="97" t="b">
        <v>1</v>
      </c>
      <c r="T61" s="97" t="b">
        <v>0</v>
      </c>
      <c r="U61" s="97"/>
      <c r="V61" s="97"/>
      <c r="W61" s="25"/>
      <c r="X61" s="1295"/>
      <c r="Y61" s="1523"/>
      <c r="Z61" s="1583"/>
      <c r="AC61" s="280"/>
      <c r="AD61" s="280"/>
      <c r="AE61" s="280"/>
      <c r="AF61" s="280"/>
      <c r="AG61" s="280"/>
      <c r="AH61" s="280"/>
      <c r="AI61" s="280"/>
      <c r="AJ61" s="280"/>
      <c r="AK61" s="280"/>
      <c r="AL61" s="311" t="str">
        <f t="shared" si="11"/>
        <v>vpa503_1_5</v>
      </c>
      <c r="AM61" s="311">
        <f>M61</f>
        <v>3</v>
      </c>
      <c r="AN61" s="311" t="str">
        <f t="shared" si="12"/>
        <v>vpc503_1_5</v>
      </c>
      <c r="AO61" s="311">
        <f>O61</f>
        <v>0</v>
      </c>
      <c r="AP61" s="311" t="str">
        <f t="shared" si="13"/>
        <v>vch503_1_5</v>
      </c>
      <c r="AQ61" s="311">
        <f>W61</f>
        <v>0</v>
      </c>
      <c r="AR61" s="311"/>
      <c r="AS61" s="311"/>
      <c r="AX61" s="611"/>
      <c r="AY61" s="612"/>
      <c r="BJ61" s="1184" t="s">
        <v>4763</v>
      </c>
    </row>
    <row r="62" spans="1:62" x14ac:dyDescent="0.3">
      <c r="A62" s="1200">
        <v>5</v>
      </c>
      <c r="B62" s="1203" t="s">
        <v>397</v>
      </c>
      <c r="C62" s="1203"/>
      <c r="D62" s="1203"/>
      <c r="E62" s="1203" t="s">
        <v>293</v>
      </c>
      <c r="F62" s="1203"/>
      <c r="G62" s="1202" t="str">
        <f>IF(N62&gt;0,"P","")</f>
        <v/>
      </c>
      <c r="H62" s="1204" t="s">
        <v>4387</v>
      </c>
      <c r="I62" s="107"/>
      <c r="J62" s="94" t="s">
        <v>293</v>
      </c>
      <c r="K62" s="107"/>
      <c r="L62" s="1305" t="s">
        <v>404</v>
      </c>
      <c r="M62" s="1540">
        <v>4</v>
      </c>
      <c r="N62" s="1472">
        <f>'Ch5'!O63</f>
        <v>0</v>
      </c>
      <c r="O62" s="1473">
        <f>M62*W62</f>
        <v>0</v>
      </c>
      <c r="P62" s="280" t="b">
        <v>1</v>
      </c>
      <c r="Q62" s="280" t="b">
        <v>0</v>
      </c>
      <c r="R62" s="97" t="b">
        <v>0</v>
      </c>
      <c r="S62" s="97" t="b">
        <v>1</v>
      </c>
      <c r="T62" s="97" t="b">
        <v>0</v>
      </c>
      <c r="U62" s="97"/>
      <c r="V62" s="97"/>
      <c r="W62" s="25"/>
      <c r="X62" s="1295"/>
      <c r="Y62" s="1523"/>
      <c r="Z62" s="1583"/>
      <c r="AC62" s="280"/>
      <c r="AD62" s="280"/>
      <c r="AE62" s="280"/>
      <c r="AF62" s="280"/>
      <c r="AG62" s="280"/>
      <c r="AH62" s="280"/>
      <c r="AI62" s="280"/>
      <c r="AJ62" s="280"/>
      <c r="AK62" s="280"/>
      <c r="AL62" s="311" t="str">
        <f t="shared" si="11"/>
        <v>vpa503_1_6</v>
      </c>
      <c r="AM62" s="311">
        <f>M62</f>
        <v>4</v>
      </c>
      <c r="AN62" s="311" t="str">
        <f t="shared" si="12"/>
        <v>vpc503_1_6</v>
      </c>
      <c r="AO62" s="311">
        <f>O62</f>
        <v>0</v>
      </c>
      <c r="AP62" s="311" t="str">
        <f t="shared" si="13"/>
        <v>vch503_1_6</v>
      </c>
      <c r="AQ62" s="311">
        <f>W62</f>
        <v>0</v>
      </c>
      <c r="AR62" s="311"/>
      <c r="AS62" s="311"/>
      <c r="BJ62" s="1184" t="s">
        <v>4763</v>
      </c>
    </row>
    <row r="63" spans="1:62" x14ac:dyDescent="0.3">
      <c r="A63" s="1200">
        <v>5</v>
      </c>
      <c r="B63" s="1203" t="s">
        <v>397</v>
      </c>
      <c r="C63" s="1203"/>
      <c r="D63" s="1203"/>
      <c r="E63" s="1203" t="s">
        <v>293</v>
      </c>
      <c r="F63" s="1203"/>
      <c r="G63" s="1202" t="str">
        <f>G62</f>
        <v/>
      </c>
      <c r="H63" s="1204" t="s">
        <v>4387</v>
      </c>
      <c r="I63" s="107"/>
      <c r="J63" s="192"/>
      <c r="K63" s="195"/>
      <c r="L63" s="1306"/>
      <c r="M63" s="1543"/>
      <c r="N63" s="1491"/>
      <c r="O63" s="1491"/>
      <c r="P63" s="97"/>
      <c r="Q63" s="97"/>
      <c r="R63" s="97"/>
      <c r="S63" s="97"/>
      <c r="T63" s="97"/>
      <c r="U63" s="97"/>
      <c r="V63" s="97"/>
      <c r="W63" s="97"/>
      <c r="X63" s="1295"/>
      <c r="Y63" s="1523"/>
      <c r="Z63" s="1583"/>
      <c r="AC63" s="280"/>
      <c r="AD63" s="280"/>
      <c r="AE63" s="280"/>
      <c r="AF63" s="280"/>
      <c r="AG63" s="280"/>
      <c r="AH63" s="280"/>
      <c r="AI63" s="280"/>
      <c r="AJ63" s="280"/>
      <c r="AK63" s="280"/>
      <c r="AL63" s="280"/>
      <c r="AM63" s="280"/>
      <c r="AN63" s="280"/>
      <c r="AO63" s="280"/>
      <c r="AP63" s="280"/>
      <c r="AQ63" s="280"/>
      <c r="AR63" s="280"/>
      <c r="AS63" s="280"/>
      <c r="BJ63" s="1184" t="s">
        <v>4763</v>
      </c>
    </row>
    <row r="64" spans="1:62" x14ac:dyDescent="0.3">
      <c r="A64" s="1200">
        <v>5</v>
      </c>
      <c r="B64" s="1203" t="s">
        <v>397</v>
      </c>
      <c r="C64" s="1203"/>
      <c r="D64" s="1203"/>
      <c r="E64" s="1203" t="s">
        <v>405</v>
      </c>
      <c r="F64" s="1203"/>
      <c r="G64" s="1202" t="str">
        <f>IF(N64&gt;0,"P","")</f>
        <v/>
      </c>
      <c r="H64" s="1204" t="s">
        <v>4387</v>
      </c>
      <c r="I64" s="107"/>
      <c r="J64" s="94" t="s">
        <v>405</v>
      </c>
      <c r="K64" s="107"/>
      <c r="L64" s="1305" t="s">
        <v>406</v>
      </c>
      <c r="M64" s="1540">
        <v>5</v>
      </c>
      <c r="N64" s="1472">
        <f>'Ch5'!O65</f>
        <v>0</v>
      </c>
      <c r="O64" s="1473">
        <f>M64*W64</f>
        <v>0</v>
      </c>
      <c r="P64" s="280" t="b">
        <v>1</v>
      </c>
      <c r="Q64" s="280" t="b">
        <v>0</v>
      </c>
      <c r="R64" s="97" t="b">
        <v>0</v>
      </c>
      <c r="S64" s="97" t="b">
        <v>1</v>
      </c>
      <c r="T64" s="97" t="b">
        <v>0</v>
      </c>
      <c r="U64" s="97"/>
      <c r="V64" s="97"/>
      <c r="W64" s="25"/>
      <c r="X64" s="1295"/>
      <c r="Y64" s="1523"/>
      <c r="Z64" s="1583"/>
      <c r="AC64" s="280"/>
      <c r="AD64" s="280"/>
      <c r="AE64" s="280"/>
      <c r="AF64" s="280"/>
      <c r="AG64" s="280"/>
      <c r="AH64" s="280"/>
      <c r="AI64" s="280"/>
      <c r="AJ64" s="280"/>
      <c r="AK64" s="280"/>
      <c r="AL64" s="311" t="str">
        <f>SUBSTITUTE(SUBSTITUTE(SUBSTITUTE("vpa"&amp;$B64&amp;$C64&amp;$D64&amp;$E64&amp;$F64,".","_"),"(","_"),")","")</f>
        <v>vpa503_1_7</v>
      </c>
      <c r="AM64" s="311">
        <f>M64</f>
        <v>5</v>
      </c>
      <c r="AN64" s="311" t="str">
        <f>SUBSTITUTE(SUBSTITUTE(SUBSTITUTE("vpc"&amp;$B64&amp;$C64&amp;$D64&amp;$E64&amp;$F64,".","_"),"(","_"),")","")</f>
        <v>vpc503_1_7</v>
      </c>
      <c r="AO64" s="311">
        <f>O64</f>
        <v>0</v>
      </c>
      <c r="AP64" s="311" t="str">
        <f>SUBSTITUTE(SUBSTITUTE(SUBSTITUTE("vch"&amp;$B64&amp;$C64&amp;$D64&amp;$E64&amp;$F64,".","_"),"(","_"),")","")</f>
        <v>vch503_1_7</v>
      </c>
      <c r="AQ64" s="311">
        <f>W64</f>
        <v>0</v>
      </c>
      <c r="AR64" s="311"/>
      <c r="AS64" s="311"/>
      <c r="BJ64" s="1184" t="s">
        <v>4763</v>
      </c>
    </row>
    <row r="65" spans="1:62" ht="15" thickBot="1" x14ac:dyDescent="0.35">
      <c r="A65" s="1200">
        <v>5</v>
      </c>
      <c r="B65" s="1203" t="s">
        <v>397</v>
      </c>
      <c r="C65" s="1203"/>
      <c r="D65" s="1203"/>
      <c r="E65" s="1203" t="s">
        <v>405</v>
      </c>
      <c r="F65" s="1203"/>
      <c r="G65" s="1202" t="str">
        <f>G64</f>
        <v/>
      </c>
      <c r="H65" s="1204" t="s">
        <v>4387</v>
      </c>
      <c r="I65" s="108"/>
      <c r="J65" s="108"/>
      <c r="K65" s="108"/>
      <c r="L65" s="1330"/>
      <c r="M65" s="1541"/>
      <c r="N65" s="1529"/>
      <c r="O65" s="1529"/>
      <c r="P65" s="104"/>
      <c r="Q65" s="104"/>
      <c r="R65" s="104"/>
      <c r="S65" s="104"/>
      <c r="T65" s="104"/>
      <c r="U65" s="104"/>
      <c r="V65" s="104"/>
      <c r="W65" s="104"/>
      <c r="X65" s="1296"/>
      <c r="Y65" s="1524"/>
      <c r="Z65" s="1584"/>
      <c r="AC65" s="280"/>
      <c r="AD65" s="280"/>
      <c r="AE65" s="280"/>
      <c r="AF65" s="280"/>
      <c r="AG65" s="280"/>
      <c r="AH65" s="280"/>
      <c r="AI65" s="280"/>
      <c r="AJ65" s="280"/>
      <c r="AK65" s="280"/>
      <c r="AL65" s="280"/>
      <c r="AM65" s="280"/>
      <c r="AN65" s="280"/>
      <c r="AO65" s="280"/>
      <c r="AP65" s="280"/>
      <c r="AQ65" s="280"/>
      <c r="AR65" s="280"/>
      <c r="AS65" s="280"/>
      <c r="BJ65" s="1184" t="s">
        <v>4763</v>
      </c>
    </row>
    <row r="66" spans="1:62" ht="15" thickTop="1" x14ac:dyDescent="0.3">
      <c r="A66" s="1200">
        <v>5</v>
      </c>
      <c r="B66" s="1203" t="s">
        <v>407</v>
      </c>
      <c r="C66" s="1203"/>
      <c r="D66" s="1203"/>
      <c r="E66" s="1203"/>
      <c r="F66" s="1203"/>
      <c r="G66" s="1196" t="str">
        <f ca="1">IF(COUNTIF(G68:G78,"P")&gt;0,"P","")</f>
        <v/>
      </c>
      <c r="H66" s="1204" t="s">
        <v>4386</v>
      </c>
      <c r="I66" s="111">
        <v>503.2</v>
      </c>
      <c r="J66" s="112"/>
      <c r="K66" s="112"/>
      <c r="L66" s="135" t="s">
        <v>408</v>
      </c>
      <c r="M66" s="297"/>
      <c r="N66" s="296"/>
      <c r="O66" s="296"/>
      <c r="P66" s="110"/>
      <c r="Q66" s="110"/>
      <c r="R66" s="110"/>
      <c r="S66" s="110"/>
      <c r="T66" s="110"/>
      <c r="U66" s="110"/>
      <c r="V66" s="110"/>
      <c r="W66" s="110" t="s">
        <v>810</v>
      </c>
      <c r="X66" s="1327"/>
      <c r="Y66" s="1525" t="str">
        <f>IF(LEN('Ch5'!X67)=0,"None",'Ch5'!X67)</f>
        <v>None</v>
      </c>
      <c r="Z66" s="1587"/>
      <c r="AA66" s="1110">
        <f>'Photo Review'!H66</f>
        <v>0</v>
      </c>
      <c r="AC66" s="280"/>
      <c r="AD66" s="280"/>
      <c r="AE66" s="280"/>
      <c r="AF66" s="280"/>
      <c r="AG66" s="280"/>
      <c r="AH66" s="280"/>
      <c r="AI66" s="280"/>
      <c r="AJ66" s="280"/>
      <c r="AK66" s="280"/>
      <c r="AL66" s="280"/>
      <c r="AM66" s="280"/>
      <c r="AN66" s="280"/>
      <c r="AO66" s="280"/>
      <c r="AP66" s="280"/>
      <c r="AQ66" s="280"/>
      <c r="AR66" s="311" t="str">
        <f>SUBSTITUTE(SUBSTITUTE(SUBSTITUTE("vnt"&amp;$B66&amp;$C66&amp;$D66&amp;$E66&amp;$F66,".","_"),"(","_"),")","")</f>
        <v>vnt503_2</v>
      </c>
      <c r="AS66" s="311">
        <f>X66</f>
        <v>0</v>
      </c>
      <c r="BJ66" s="1184" t="s">
        <v>4763</v>
      </c>
    </row>
    <row r="67" spans="1:62" x14ac:dyDescent="0.3">
      <c r="A67" s="1200">
        <v>5</v>
      </c>
      <c r="B67" s="1203" t="s">
        <v>407</v>
      </c>
      <c r="C67" s="1203"/>
      <c r="D67" s="1203"/>
      <c r="E67" s="1203"/>
      <c r="F67" s="1203"/>
      <c r="G67" s="1202" t="str">
        <f t="shared" ref="G67" ca="1" si="14">G66</f>
        <v/>
      </c>
      <c r="H67" s="1204" t="s">
        <v>4386</v>
      </c>
      <c r="I67" s="106"/>
      <c r="J67" s="107"/>
      <c r="K67" s="107"/>
      <c r="L67" s="291" t="s">
        <v>3598</v>
      </c>
      <c r="M67" s="286"/>
      <c r="N67" s="283"/>
      <c r="O67" s="283"/>
      <c r="P67" s="280" t="b">
        <v>1</v>
      </c>
      <c r="Q67" s="280" t="b">
        <v>1</v>
      </c>
      <c r="R67" s="97" t="b">
        <v>1</v>
      </c>
      <c r="S67" s="97" t="b">
        <v>1</v>
      </c>
      <c r="T67" s="97" t="b">
        <v>0</v>
      </c>
      <c r="U67" s="97"/>
      <c r="V67" s="97"/>
      <c r="W67" s="113"/>
      <c r="X67" s="1295"/>
      <c r="Y67" s="1523"/>
      <c r="Z67" s="1588"/>
      <c r="AC67" s="280"/>
      <c r="AD67" s="280"/>
      <c r="AE67" s="280"/>
      <c r="AF67" s="280"/>
      <c r="AG67" s="280"/>
      <c r="AH67" s="280"/>
      <c r="AI67" s="280"/>
      <c r="AJ67" s="280"/>
      <c r="AK67" s="280"/>
      <c r="AL67" s="280"/>
      <c r="AM67" s="280"/>
      <c r="AN67" s="280"/>
      <c r="AO67" s="280"/>
      <c r="AP67" s="311" t="str">
        <f t="shared" ref="AP67:AP69" si="15">SUBSTITUTE(SUBSTITUTE(SUBSTITUTE("vch"&amp;$B67&amp;$C67&amp;$D67&amp;$E67&amp;$F67,".","_"),"(","_"),")","")</f>
        <v>vch503_2</v>
      </c>
      <c r="AQ67" s="311">
        <f>W67</f>
        <v>0</v>
      </c>
      <c r="AR67" s="280"/>
      <c r="AS67" s="280"/>
      <c r="BJ67" s="1184" t="s">
        <v>4763</v>
      </c>
    </row>
    <row r="68" spans="1:62" x14ac:dyDescent="0.3">
      <c r="A68" s="1200">
        <v>5</v>
      </c>
      <c r="B68" s="1203" t="s">
        <v>407</v>
      </c>
      <c r="C68" s="1203"/>
      <c r="D68" s="1203"/>
      <c r="E68" s="1203" t="s">
        <v>271</v>
      </c>
      <c r="F68" s="1203"/>
      <c r="G68" s="1202" t="str">
        <f>IF(N68&gt;0,"P","")</f>
        <v/>
      </c>
      <c r="H68" s="1204" t="s">
        <v>4386</v>
      </c>
      <c r="I68" s="107"/>
      <c r="J68" s="192" t="s">
        <v>271</v>
      </c>
      <c r="K68" s="195"/>
      <c r="L68" s="193" t="s">
        <v>409</v>
      </c>
      <c r="M68" s="287">
        <v>5</v>
      </c>
      <c r="N68" s="284">
        <f>'Ch5'!O69</f>
        <v>0</v>
      </c>
      <c r="O68" s="284">
        <f>M68*W68*S68</f>
        <v>0</v>
      </c>
      <c r="P68" s="280" t="b">
        <v>1</v>
      </c>
      <c r="Q68" s="440" t="b">
        <v>1</v>
      </c>
      <c r="R68" s="97" t="b">
        <v>0</v>
      </c>
      <c r="S68" s="97" t="b">
        <f>IF(W67&gt;=0.25,TRUE,FALSE)</f>
        <v>0</v>
      </c>
      <c r="T68" s="97" t="b">
        <f>IF(AND(NOT(S68),W68=TRUE),TRUE,FALSE)</f>
        <v>0</v>
      </c>
      <c r="U68" s="97"/>
      <c r="V68" s="97"/>
      <c r="W68" s="25"/>
      <c r="X68" s="1295"/>
      <c r="Y68" s="1523"/>
      <c r="Z68" s="1588"/>
      <c r="AC68" s="280" t="b">
        <f>OR(AD68:AE68)</f>
        <v>0</v>
      </c>
      <c r="AD68" s="280" t="b">
        <f>T68</f>
        <v>0</v>
      </c>
      <c r="AE68" s="280"/>
      <c r="AF68" s="280"/>
      <c r="AG68" s="280"/>
      <c r="AH68" s="280"/>
      <c r="AI68" s="280"/>
      <c r="AJ68" s="280"/>
      <c r="AK68" s="280"/>
      <c r="AL68" s="311" t="str">
        <f t="shared" ref="AL68:AL69" si="16">SUBSTITUTE(SUBSTITUTE(SUBSTITUTE("vpa"&amp;$B68&amp;$C68&amp;$D68&amp;$E68&amp;$F68,".","_"),"(","_"),")","")</f>
        <v>vpa503_2_1</v>
      </c>
      <c r="AM68" s="311">
        <f>M68</f>
        <v>5</v>
      </c>
      <c r="AN68" s="311" t="str">
        <f t="shared" ref="AN68:AN69" si="17">SUBSTITUTE(SUBSTITUTE(SUBSTITUTE("vpc"&amp;$B68&amp;$C68&amp;$D68&amp;$E68&amp;$F68,".","_"),"(","_"),")","")</f>
        <v>vpc503_2_1</v>
      </c>
      <c r="AO68" s="311">
        <f>O68</f>
        <v>0</v>
      </c>
      <c r="AP68" s="311" t="str">
        <f t="shared" si="15"/>
        <v>vch503_2_1</v>
      </c>
      <c r="AQ68" s="311">
        <f>W68</f>
        <v>0</v>
      </c>
      <c r="AR68" s="311"/>
      <c r="AS68" s="311"/>
      <c r="BJ68" s="1184" t="s">
        <v>4763</v>
      </c>
    </row>
    <row r="69" spans="1:62" x14ac:dyDescent="0.3">
      <c r="A69" s="1200">
        <v>5</v>
      </c>
      <c r="B69" s="1203" t="s">
        <v>407</v>
      </c>
      <c r="C69" s="1203"/>
      <c r="D69" s="1203"/>
      <c r="E69" s="1203" t="s">
        <v>273</v>
      </c>
      <c r="F69" s="1203"/>
      <c r="G69" s="1202" t="str">
        <f>IF(N69&gt;0,"P","")</f>
        <v/>
      </c>
      <c r="H69" s="1204" t="s">
        <v>4386</v>
      </c>
      <c r="I69" s="107"/>
      <c r="J69" s="94" t="s">
        <v>273</v>
      </c>
      <c r="K69" s="107"/>
      <c r="L69" s="1305" t="s">
        <v>410</v>
      </c>
      <c r="M69" s="1540">
        <v>5</v>
      </c>
      <c r="N69" s="1472">
        <f>'Ch5'!O70</f>
        <v>0</v>
      </c>
      <c r="O69" s="1473">
        <f>M69*W69*S69</f>
        <v>0</v>
      </c>
      <c r="P69" s="280" t="b">
        <v>1</v>
      </c>
      <c r="Q69" s="440" t="b">
        <v>1</v>
      </c>
      <c r="R69" s="97" t="b">
        <v>0</v>
      </c>
      <c r="S69" s="97" t="b">
        <f>S68</f>
        <v>0</v>
      </c>
      <c r="T69" s="97" t="b">
        <f>IF(AND(NOT(S69),W69=TRUE),TRUE,FALSE)</f>
        <v>0</v>
      </c>
      <c r="U69" s="97"/>
      <c r="V69" s="97"/>
      <c r="W69" s="25"/>
      <c r="X69" s="1295"/>
      <c r="Y69" s="1523"/>
      <c r="Z69" s="1588"/>
      <c r="AC69" s="280" t="b">
        <f>OR(AD69:AE69)</f>
        <v>0</v>
      </c>
      <c r="AD69" s="280" t="b">
        <f>T69</f>
        <v>0</v>
      </c>
      <c r="AE69" s="280"/>
      <c r="AF69" s="280"/>
      <c r="AG69" s="280"/>
      <c r="AH69" s="280"/>
      <c r="AI69" s="280"/>
      <c r="AJ69" s="280"/>
      <c r="AK69" s="280"/>
      <c r="AL69" s="311" t="str">
        <f t="shared" si="16"/>
        <v>vpa503_2_2</v>
      </c>
      <c r="AM69" s="311">
        <f>M69</f>
        <v>5</v>
      </c>
      <c r="AN69" s="311" t="str">
        <f t="shared" si="17"/>
        <v>vpc503_2_2</v>
      </c>
      <c r="AO69" s="311">
        <f>O69</f>
        <v>0</v>
      </c>
      <c r="AP69" s="311" t="str">
        <f t="shared" si="15"/>
        <v>vch503_2_2</v>
      </c>
      <c r="AQ69" s="311">
        <f>W69</f>
        <v>0</v>
      </c>
      <c r="AR69" s="280"/>
      <c r="AS69" s="280"/>
      <c r="BJ69" s="1184" t="s">
        <v>4763</v>
      </c>
    </row>
    <row r="70" spans="1:62" x14ac:dyDescent="0.3">
      <c r="A70" s="1200">
        <v>5</v>
      </c>
      <c r="B70" s="1203" t="s">
        <v>407</v>
      </c>
      <c r="C70" s="1203"/>
      <c r="D70" s="1203"/>
      <c r="E70" s="1203" t="s">
        <v>273</v>
      </c>
      <c r="F70" s="1203"/>
      <c r="G70" s="1202" t="str">
        <f>G69</f>
        <v/>
      </c>
      <c r="H70" s="1204" t="s">
        <v>4386</v>
      </c>
      <c r="I70" s="107"/>
      <c r="J70" s="195"/>
      <c r="K70" s="195"/>
      <c r="L70" s="1306"/>
      <c r="M70" s="1543"/>
      <c r="N70" s="1491"/>
      <c r="O70" s="1491"/>
      <c r="P70" s="97"/>
      <c r="Q70" s="97"/>
      <c r="R70" s="97"/>
      <c r="S70" s="97"/>
      <c r="T70" s="97"/>
      <c r="U70" s="97"/>
      <c r="V70" s="97"/>
      <c r="W70" s="97"/>
      <c r="X70" s="1295"/>
      <c r="Y70" s="1523"/>
      <c r="Z70" s="1588"/>
      <c r="AC70" s="280"/>
      <c r="AD70" s="280"/>
      <c r="AE70" s="280"/>
      <c r="AF70" s="280"/>
      <c r="AG70" s="280"/>
      <c r="AH70" s="280"/>
      <c r="AI70" s="280"/>
      <c r="AJ70" s="280"/>
      <c r="AK70" s="280"/>
      <c r="AL70" s="280"/>
      <c r="AM70" s="280"/>
      <c r="AN70" s="280"/>
      <c r="AO70" s="280"/>
      <c r="AP70" s="280"/>
      <c r="AQ70" s="280"/>
      <c r="AR70" s="280"/>
      <c r="AS70" s="280"/>
      <c r="BJ70" s="1184" t="s">
        <v>4763</v>
      </c>
    </row>
    <row r="71" spans="1:62" x14ac:dyDescent="0.3">
      <c r="A71" s="1200">
        <v>5</v>
      </c>
      <c r="B71" s="1203" t="s">
        <v>407</v>
      </c>
      <c r="C71" s="1203"/>
      <c r="D71" s="1203"/>
      <c r="E71" s="1203" t="s">
        <v>275</v>
      </c>
      <c r="F71" s="1203"/>
      <c r="G71" s="1202" t="str">
        <f ca="1">IF(N71&gt;0,"P","")</f>
        <v/>
      </c>
      <c r="H71" s="1204" t="s">
        <v>4386</v>
      </c>
      <c r="I71" s="107"/>
      <c r="J71" s="94" t="s">
        <v>275</v>
      </c>
      <c r="K71" s="107"/>
      <c r="L71" s="1305" t="s">
        <v>411</v>
      </c>
      <c r="M71" s="286"/>
      <c r="N71" s="1472">
        <f ca="1">'Ch5'!O72</f>
        <v>0</v>
      </c>
      <c r="O71" s="1473">
        <f ca="1">S71*IFERROR(INDEX({1,4,6},MATCH(W71,INDIRECT(U71))),0)</f>
        <v>0</v>
      </c>
      <c r="P71" s="280" t="b">
        <v>1</v>
      </c>
      <c r="Q71" s="440" t="b">
        <v>1</v>
      </c>
      <c r="R71" s="97" t="b">
        <v>0</v>
      </c>
      <c r="S71" s="97" t="b">
        <f>S68</f>
        <v>0</v>
      </c>
      <c r="T71" s="97" t="b">
        <f>IF(AND(NOT(S71),LEN(W71)&gt;0),TRUE,FALSE)</f>
        <v>0</v>
      </c>
      <c r="U71" s="97" t="str">
        <f>SUBSTITUTE(SUBSTITUTE(SUBSTITUTE("dd"&amp;B71&amp;C71&amp;D71&amp;E71&amp;F71,".","_"),"(","_"),")","")</f>
        <v>dd503_2_3</v>
      </c>
      <c r="V71" s="97"/>
      <c r="W71" s="12"/>
      <c r="X71" s="1295"/>
      <c r="Y71" s="1523"/>
      <c r="Z71" s="1588"/>
      <c r="AC71" s="280" t="b">
        <f>OR(AD71:AE71)</f>
        <v>0</v>
      </c>
      <c r="AD71" s="280" t="b">
        <f>T71</f>
        <v>0</v>
      </c>
      <c r="AE71" s="280"/>
      <c r="AF71" s="280"/>
      <c r="AG71" s="280"/>
      <c r="AH71" s="280"/>
      <c r="AI71" s="280"/>
      <c r="AJ71" s="280"/>
      <c r="AK71" s="280"/>
      <c r="AL71" s="280"/>
      <c r="AM71" s="280"/>
      <c r="AN71" s="311" t="str">
        <f>SUBSTITUTE(SUBSTITUTE(SUBSTITUTE("vpc"&amp;$B71&amp;$C71&amp;$D71&amp;$E71&amp;$F71,".","_"),"(","_"),")","")</f>
        <v>vpc503_2_3</v>
      </c>
      <c r="AO71" s="311">
        <f ca="1">O71</f>
        <v>0</v>
      </c>
      <c r="AP71" s="311" t="str">
        <f>SUBSTITUTE(SUBSTITUTE(SUBSTITUTE("vch"&amp;$B71&amp;$C71&amp;$D71&amp;$E71&amp;$F71,".","_"),"(","_"),")","")</f>
        <v>vch503_2_3</v>
      </c>
      <c r="AQ71" s="311">
        <f>W71</f>
        <v>0</v>
      </c>
      <c r="AR71" s="280"/>
      <c r="AS71" s="280"/>
      <c r="BJ71" s="1184" t="s">
        <v>4763</v>
      </c>
    </row>
    <row r="72" spans="1:62" x14ac:dyDescent="0.3">
      <c r="A72" s="1200">
        <v>5</v>
      </c>
      <c r="B72" s="1203" t="s">
        <v>407</v>
      </c>
      <c r="C72" s="1203"/>
      <c r="D72" s="1203"/>
      <c r="E72" s="1203" t="s">
        <v>275</v>
      </c>
      <c r="F72" s="1203"/>
      <c r="G72" s="1202" t="str">
        <f t="shared" ref="G72:G75" ca="1" si="18">G71</f>
        <v/>
      </c>
      <c r="H72" s="1204" t="s">
        <v>4386</v>
      </c>
      <c r="I72" s="107"/>
      <c r="J72" s="107"/>
      <c r="K72" s="107"/>
      <c r="L72" s="1305"/>
      <c r="M72" s="286"/>
      <c r="N72" s="1473"/>
      <c r="O72" s="1473"/>
      <c r="P72" s="97"/>
      <c r="Q72" s="97"/>
      <c r="R72" s="97"/>
      <c r="S72" s="97"/>
      <c r="T72" s="97"/>
      <c r="U72" s="97"/>
      <c r="V72" s="97"/>
      <c r="W72" s="97"/>
      <c r="X72" s="1295"/>
      <c r="Y72" s="1523"/>
      <c r="Z72" s="1588"/>
      <c r="AC72" s="280"/>
      <c r="AD72" s="280"/>
      <c r="AE72" s="280"/>
      <c r="AF72" s="280"/>
      <c r="AG72" s="280"/>
      <c r="AH72" s="280"/>
      <c r="AI72" s="280"/>
      <c r="AJ72" s="280"/>
      <c r="AK72" s="280"/>
      <c r="AL72" s="280"/>
      <c r="AM72" s="280"/>
      <c r="AN72" s="280"/>
      <c r="AO72" s="280"/>
      <c r="AP72" s="280"/>
      <c r="AQ72" s="280"/>
      <c r="AR72" s="280"/>
      <c r="AS72" s="280"/>
      <c r="BJ72" s="1184" t="s">
        <v>4763</v>
      </c>
    </row>
    <row r="73" spans="1:62" x14ac:dyDescent="0.3">
      <c r="A73" s="1200">
        <v>5</v>
      </c>
      <c r="B73" s="1203" t="s">
        <v>407</v>
      </c>
      <c r="C73" s="1203"/>
      <c r="D73" s="1203"/>
      <c r="E73" s="1203" t="s">
        <v>275</v>
      </c>
      <c r="F73" s="1203" t="s">
        <v>121</v>
      </c>
      <c r="G73" s="1202" t="str">
        <f t="shared" ca="1" si="18"/>
        <v/>
      </c>
      <c r="H73" s="1204" t="s">
        <v>4386</v>
      </c>
      <c r="I73" s="107"/>
      <c r="J73" s="107"/>
      <c r="K73" s="94" t="s">
        <v>121</v>
      </c>
      <c r="L73" s="98" t="s">
        <v>839</v>
      </c>
      <c r="M73" s="286">
        <v>1</v>
      </c>
      <c r="N73" s="283"/>
      <c r="O73" s="283"/>
      <c r="P73" s="97"/>
      <c r="Q73" s="97"/>
      <c r="R73" s="97"/>
      <c r="S73" s="97"/>
      <c r="T73" s="97"/>
      <c r="U73" s="97"/>
      <c r="V73" s="97"/>
      <c r="W73" s="97"/>
      <c r="X73" s="1295"/>
      <c r="Y73" s="1523"/>
      <c r="Z73" s="1588"/>
      <c r="AC73" s="280"/>
      <c r="AD73" s="280"/>
      <c r="AE73" s="280"/>
      <c r="AF73" s="280"/>
      <c r="AG73" s="280"/>
      <c r="AH73" s="280"/>
      <c r="AI73" s="280"/>
      <c r="AJ73" s="280"/>
      <c r="AK73" s="280"/>
      <c r="AL73" s="311" t="str">
        <f t="shared" ref="AL73:AL76" si="19">SUBSTITUTE(SUBSTITUTE(SUBSTITUTE("vpa"&amp;$B73&amp;$C73&amp;$D73&amp;$E73&amp;$F73,".","_"),"(","_"),")","")</f>
        <v>vpa503_2_3_a</v>
      </c>
      <c r="AM73" s="311">
        <f>M73</f>
        <v>1</v>
      </c>
      <c r="AN73" s="280"/>
      <c r="AO73" s="280"/>
      <c r="AP73" s="280"/>
      <c r="AQ73" s="280"/>
      <c r="AR73" s="280"/>
      <c r="AS73" s="280"/>
      <c r="BJ73" s="1184" t="s">
        <v>4763</v>
      </c>
    </row>
    <row r="74" spans="1:62" x14ac:dyDescent="0.3">
      <c r="A74" s="1200">
        <v>5</v>
      </c>
      <c r="B74" s="1203" t="s">
        <v>407</v>
      </c>
      <c r="C74" s="1203"/>
      <c r="D74" s="1203"/>
      <c r="E74" s="1203" t="s">
        <v>275</v>
      </c>
      <c r="F74" s="1203" t="s">
        <v>122</v>
      </c>
      <c r="G74" s="1202" t="str">
        <f t="shared" ca="1" si="18"/>
        <v/>
      </c>
      <c r="H74" s="1204" t="s">
        <v>4386</v>
      </c>
      <c r="I74" s="107"/>
      <c r="J74" s="107"/>
      <c r="K74" s="94" t="s">
        <v>122</v>
      </c>
      <c r="L74" s="98" t="s">
        <v>412</v>
      </c>
      <c r="M74" s="286">
        <v>4</v>
      </c>
      <c r="N74" s="283"/>
      <c r="O74" s="283"/>
      <c r="P74" s="97"/>
      <c r="Q74" s="97"/>
      <c r="R74" s="97"/>
      <c r="S74" s="97"/>
      <c r="T74" s="97"/>
      <c r="U74" s="97"/>
      <c r="V74" s="97"/>
      <c r="W74" s="97"/>
      <c r="X74" s="1295"/>
      <c r="Y74" s="1523"/>
      <c r="Z74" s="1588"/>
      <c r="AC74" s="280"/>
      <c r="AD74" s="280"/>
      <c r="AE74" s="280"/>
      <c r="AF74" s="280"/>
      <c r="AG74" s="280"/>
      <c r="AH74" s="280"/>
      <c r="AI74" s="280"/>
      <c r="AJ74" s="280"/>
      <c r="AK74" s="280"/>
      <c r="AL74" s="311" t="str">
        <f t="shared" si="19"/>
        <v>vpa503_2_3_b</v>
      </c>
      <c r="AM74" s="311">
        <f>M74</f>
        <v>4</v>
      </c>
      <c r="AN74" s="280"/>
      <c r="AO74" s="280"/>
      <c r="AP74" s="280"/>
      <c r="AQ74" s="280"/>
      <c r="AR74" s="280"/>
      <c r="AS74" s="280"/>
      <c r="BJ74" s="1184" t="s">
        <v>4763</v>
      </c>
    </row>
    <row r="75" spans="1:62" x14ac:dyDescent="0.3">
      <c r="A75" s="1200">
        <v>5</v>
      </c>
      <c r="B75" s="1203" t="s">
        <v>407</v>
      </c>
      <c r="C75" s="1203"/>
      <c r="D75" s="1203"/>
      <c r="E75" s="1203" t="s">
        <v>275</v>
      </c>
      <c r="F75" s="1205" t="s">
        <v>123</v>
      </c>
      <c r="G75" s="1202" t="str">
        <f t="shared" ca="1" si="18"/>
        <v/>
      </c>
      <c r="H75" s="1206" t="s">
        <v>4386</v>
      </c>
      <c r="I75" s="107"/>
      <c r="J75" s="195"/>
      <c r="K75" s="197" t="s">
        <v>123</v>
      </c>
      <c r="L75" s="193" t="s">
        <v>413</v>
      </c>
      <c r="M75" s="287">
        <v>6</v>
      </c>
      <c r="N75" s="283"/>
      <c r="O75" s="284"/>
      <c r="P75" s="97"/>
      <c r="Q75" s="97"/>
      <c r="R75" s="97"/>
      <c r="S75" s="97"/>
      <c r="T75" s="97"/>
      <c r="U75" s="97"/>
      <c r="V75" s="97"/>
      <c r="W75" s="97"/>
      <c r="X75" s="1295"/>
      <c r="Y75" s="1523"/>
      <c r="Z75" s="1588"/>
      <c r="AC75" s="280"/>
      <c r="AD75" s="280"/>
      <c r="AE75" s="280"/>
      <c r="AF75" s="280"/>
      <c r="AG75" s="280"/>
      <c r="AH75" s="280"/>
      <c r="AI75" s="280"/>
      <c r="AJ75" s="280"/>
      <c r="AK75" s="280"/>
      <c r="AL75" s="311" t="str">
        <f t="shared" si="19"/>
        <v>vpa503_2_3_c</v>
      </c>
      <c r="AM75" s="311">
        <f>M75</f>
        <v>6</v>
      </c>
      <c r="AN75" s="280"/>
      <c r="AO75" s="280"/>
      <c r="AP75" s="280"/>
      <c r="AQ75" s="280"/>
      <c r="AR75" s="280"/>
      <c r="AS75" s="280"/>
      <c r="BJ75" s="1184" t="s">
        <v>4763</v>
      </c>
    </row>
    <row r="76" spans="1:62" x14ac:dyDescent="0.3">
      <c r="A76" s="1200">
        <v>5</v>
      </c>
      <c r="B76" s="1203" t="s">
        <v>407</v>
      </c>
      <c r="C76" s="1203"/>
      <c r="D76" s="1203"/>
      <c r="E76" s="1203" t="s">
        <v>285</v>
      </c>
      <c r="F76" s="1203"/>
      <c r="G76" s="1202" t="str">
        <f>IF(N76&gt;0,"P","")</f>
        <v/>
      </c>
      <c r="H76" s="1204" t="s">
        <v>4386</v>
      </c>
      <c r="I76" s="107"/>
      <c r="J76" s="94" t="s">
        <v>285</v>
      </c>
      <c r="K76" s="107"/>
      <c r="L76" s="1305" t="s">
        <v>414</v>
      </c>
      <c r="M76" s="1540">
        <v>6</v>
      </c>
      <c r="N76" s="1472">
        <f>'Ch5'!O77</f>
        <v>0</v>
      </c>
      <c r="O76" s="1473">
        <f>M76*W76*S76</f>
        <v>0</v>
      </c>
      <c r="P76" s="280" t="b">
        <v>1</v>
      </c>
      <c r="Q76" s="440" t="b">
        <v>1</v>
      </c>
      <c r="R76" s="97" t="b">
        <v>0</v>
      </c>
      <c r="S76" s="97" t="b">
        <f>S68</f>
        <v>0</v>
      </c>
      <c r="T76" s="97" t="b">
        <f>IF(AND(NOT(S76),W76=TRUE),TRUE,FALSE)</f>
        <v>0</v>
      </c>
      <c r="U76" s="97"/>
      <c r="V76" s="97"/>
      <c r="W76" s="25"/>
      <c r="X76" s="1295"/>
      <c r="Y76" s="1523"/>
      <c r="Z76" s="1588"/>
      <c r="AC76" s="280" t="b">
        <f>OR(AD76:AE76)</f>
        <v>0</v>
      </c>
      <c r="AD76" s="280" t="b">
        <f>T76</f>
        <v>0</v>
      </c>
      <c r="AE76" s="280"/>
      <c r="AF76" s="280"/>
      <c r="AG76" s="280"/>
      <c r="AH76" s="280"/>
      <c r="AI76" s="280"/>
      <c r="AJ76" s="280"/>
      <c r="AK76" s="280"/>
      <c r="AL76" s="311" t="str">
        <f t="shared" si="19"/>
        <v>vpa503_2_4</v>
      </c>
      <c r="AM76" s="311">
        <f>M76</f>
        <v>6</v>
      </c>
      <c r="AN76" s="311" t="str">
        <f>SUBSTITUTE(SUBSTITUTE(SUBSTITUTE("vpc"&amp;$B76&amp;$C76&amp;$D76&amp;$E76&amp;$F76,".","_"),"(","_"),")","")</f>
        <v>vpc503_2_4</v>
      </c>
      <c r="AO76" s="311">
        <f>O76</f>
        <v>0</v>
      </c>
      <c r="AP76" s="311" t="str">
        <f>SUBSTITUTE(SUBSTITUTE(SUBSTITUTE("vch"&amp;$B76&amp;$C76&amp;$D76&amp;$E76&amp;$F76,".","_"),"(","_"),")","")</f>
        <v>vch503_2_4</v>
      </c>
      <c r="AQ76" s="311">
        <f>W76</f>
        <v>0</v>
      </c>
      <c r="AR76" s="280"/>
      <c r="AS76" s="280"/>
      <c r="BJ76" s="1184" t="s">
        <v>4763</v>
      </c>
    </row>
    <row r="77" spans="1:62" x14ac:dyDescent="0.3">
      <c r="A77" s="1200">
        <v>5</v>
      </c>
      <c r="B77" s="1203" t="s">
        <v>407</v>
      </c>
      <c r="C77" s="1203"/>
      <c r="D77" s="1203"/>
      <c r="E77" s="1203" t="s">
        <v>285</v>
      </c>
      <c r="F77" s="1203"/>
      <c r="G77" s="1202" t="str">
        <f>G76</f>
        <v/>
      </c>
      <c r="H77" s="1204" t="s">
        <v>4386</v>
      </c>
      <c r="I77" s="107"/>
      <c r="J77" s="195"/>
      <c r="K77" s="195"/>
      <c r="L77" s="1306"/>
      <c r="M77" s="1543"/>
      <c r="N77" s="1491"/>
      <c r="O77" s="1491"/>
      <c r="P77" s="97"/>
      <c r="Q77" s="97"/>
      <c r="R77" s="97"/>
      <c r="S77" s="97"/>
      <c r="T77" s="97"/>
      <c r="U77" s="97"/>
      <c r="V77" s="97"/>
      <c r="W77" s="97"/>
      <c r="X77" s="1295"/>
      <c r="Y77" s="1523"/>
      <c r="Z77" s="1588"/>
      <c r="AC77" s="280"/>
      <c r="AD77" s="280"/>
      <c r="AE77" s="280"/>
      <c r="AF77" s="280"/>
      <c r="AG77" s="280"/>
      <c r="AH77" s="280"/>
      <c r="AI77" s="280"/>
      <c r="AJ77" s="280"/>
      <c r="AK77" s="280"/>
      <c r="AL77" s="280"/>
      <c r="AM77" s="280"/>
      <c r="AN77" s="280"/>
      <c r="AO77" s="280"/>
      <c r="AP77" s="280"/>
      <c r="AQ77" s="280"/>
      <c r="AR77" s="280"/>
      <c r="AS77" s="280"/>
      <c r="BJ77" s="1184" t="s">
        <v>4763</v>
      </c>
    </row>
    <row r="78" spans="1:62" ht="15" thickBot="1" x14ac:dyDescent="0.35">
      <c r="A78" s="1200">
        <v>5</v>
      </c>
      <c r="B78" s="1203" t="s">
        <v>407</v>
      </c>
      <c r="C78" s="1203"/>
      <c r="D78" s="1203"/>
      <c r="E78" s="1203" t="s">
        <v>291</v>
      </c>
      <c r="F78" s="1203"/>
      <c r="G78" s="1202" t="str">
        <f>IF(N78&gt;0,"P","")</f>
        <v/>
      </c>
      <c r="H78" s="1204" t="s">
        <v>4386</v>
      </c>
      <c r="I78" s="108"/>
      <c r="J78" s="99" t="s">
        <v>291</v>
      </c>
      <c r="K78" s="108"/>
      <c r="L78" s="100" t="s">
        <v>415</v>
      </c>
      <c r="M78" s="295">
        <v>5</v>
      </c>
      <c r="N78" s="288">
        <f>'Ch5'!O79</f>
        <v>0</v>
      </c>
      <c r="O78" s="288">
        <f>M78*W78*S78</f>
        <v>0</v>
      </c>
      <c r="P78" s="280" t="b">
        <v>1</v>
      </c>
      <c r="Q78" s="280" t="b">
        <v>1</v>
      </c>
      <c r="R78" s="104" t="b">
        <v>0</v>
      </c>
      <c r="S78" s="104" t="b">
        <f>S68</f>
        <v>0</v>
      </c>
      <c r="T78" s="104" t="b">
        <f>IF(AND(NOT(S78),W78=TRUE),TRUE,FALSE)</f>
        <v>0</v>
      </c>
      <c r="U78" s="104"/>
      <c r="V78" s="104"/>
      <c r="W78" s="25"/>
      <c r="X78" s="1296"/>
      <c r="Y78" s="1524"/>
      <c r="Z78" s="1589"/>
      <c r="AC78" s="280" t="b">
        <f>OR(AD78:AE78)</f>
        <v>0</v>
      </c>
      <c r="AD78" s="280" t="b">
        <f>T78</f>
        <v>0</v>
      </c>
      <c r="AE78" s="280"/>
      <c r="AF78" s="280"/>
      <c r="AG78" s="280"/>
      <c r="AH78" s="280"/>
      <c r="AI78" s="280"/>
      <c r="AJ78" s="280"/>
      <c r="AK78" s="280"/>
      <c r="AL78" s="311" t="str">
        <f>SUBSTITUTE(SUBSTITUTE(SUBSTITUTE("vpa"&amp;$B78&amp;$C78&amp;$D78&amp;$E78&amp;$F78,".","_"),"(","_"),")","")</f>
        <v>vpa503_2_5</v>
      </c>
      <c r="AM78" s="311">
        <f>M78</f>
        <v>5</v>
      </c>
      <c r="AN78" s="311" t="str">
        <f>SUBSTITUTE(SUBSTITUTE(SUBSTITUTE("vpc"&amp;$B78&amp;$C78&amp;$D78&amp;$E78&amp;$F78,".","_"),"(","_"),")","")</f>
        <v>vpc503_2_5</v>
      </c>
      <c r="AO78" s="311">
        <f>O78</f>
        <v>0</v>
      </c>
      <c r="AP78" s="311" t="str">
        <f>SUBSTITUTE(SUBSTITUTE(SUBSTITUTE("vch"&amp;$B78&amp;$C78&amp;$D78&amp;$E78&amp;$F78,".","_"),"(","_"),")","")</f>
        <v>vch503_2_5</v>
      </c>
      <c r="AQ78" s="311">
        <f>W78</f>
        <v>0</v>
      </c>
      <c r="AR78" s="280"/>
      <c r="AS78" s="280"/>
      <c r="BJ78" s="1184" t="s">
        <v>4763</v>
      </c>
    </row>
    <row r="79" spans="1:62" ht="15" thickTop="1" x14ac:dyDescent="0.3">
      <c r="A79" s="1200">
        <v>5</v>
      </c>
      <c r="B79" s="1203" t="s">
        <v>416</v>
      </c>
      <c r="C79" s="1203"/>
      <c r="D79" s="1203"/>
      <c r="E79" s="1203"/>
      <c r="F79" s="1203"/>
      <c r="G79" s="1196" t="str">
        <f>IF(COUNTIF(G82:G91,"P")&gt;0,"P","")</f>
        <v/>
      </c>
      <c r="H79" s="1204" t="s">
        <v>4387</v>
      </c>
      <c r="I79" s="111">
        <v>503.3</v>
      </c>
      <c r="J79" s="112"/>
      <c r="K79" s="112"/>
      <c r="L79" s="1331" t="s">
        <v>417</v>
      </c>
      <c r="M79" s="297"/>
      <c r="N79" s="296"/>
      <c r="O79" s="296"/>
      <c r="P79" s="110"/>
      <c r="Q79" s="110"/>
      <c r="R79" s="110"/>
      <c r="S79" s="110"/>
      <c r="T79" s="110"/>
      <c r="U79" s="110"/>
      <c r="V79" s="110"/>
      <c r="W79" s="110"/>
      <c r="X79" s="1327"/>
      <c r="Y79" s="1525" t="str">
        <f>IF(LEN('Ch5'!X80)=0,"None",'Ch5'!X80)</f>
        <v>None</v>
      </c>
      <c r="Z79" s="1585"/>
      <c r="AC79" s="280"/>
      <c r="AD79" s="280"/>
      <c r="AE79" s="280"/>
      <c r="AF79" s="280"/>
      <c r="AG79" s="280"/>
      <c r="AH79" s="280"/>
      <c r="AI79" s="280"/>
      <c r="AJ79" s="280"/>
      <c r="AK79" s="280"/>
      <c r="AL79" s="280"/>
      <c r="AM79" s="280"/>
      <c r="AN79" s="280"/>
      <c r="AO79" s="280"/>
      <c r="AP79" s="280"/>
      <c r="AQ79" s="280"/>
      <c r="AR79" s="311" t="str">
        <f>SUBSTITUTE(SUBSTITUTE(SUBSTITUTE("vnt"&amp;$B79&amp;$C79&amp;$D79&amp;$E79&amp;$F79,".","_"),"(","_"),")","")</f>
        <v>vnt503_3</v>
      </c>
      <c r="AS79" s="311">
        <f>X79</f>
        <v>0</v>
      </c>
      <c r="BJ79" s="1184" t="s">
        <v>4763</v>
      </c>
    </row>
    <row r="80" spans="1:62" x14ac:dyDescent="0.3">
      <c r="A80" s="1200">
        <v>5</v>
      </c>
      <c r="B80" s="1203" t="s">
        <v>416</v>
      </c>
      <c r="C80" s="1203"/>
      <c r="D80" s="1203"/>
      <c r="E80" s="1203"/>
      <c r="F80" s="1203"/>
      <c r="G80" s="1202" t="str">
        <f t="shared" ref="G80:G81" si="20">G79</f>
        <v/>
      </c>
      <c r="H80" s="1204" t="s">
        <v>4387</v>
      </c>
      <c r="I80" s="107"/>
      <c r="J80" s="107"/>
      <c r="K80" s="107"/>
      <c r="L80" s="1313"/>
      <c r="M80" s="286"/>
      <c r="N80" s="283"/>
      <c r="O80" s="283"/>
      <c r="P80" s="97"/>
      <c r="Q80" s="97"/>
      <c r="R80" s="97"/>
      <c r="S80" s="97"/>
      <c r="T80" s="97"/>
      <c r="U80" s="97"/>
      <c r="V80" s="97"/>
      <c r="W80" s="97"/>
      <c r="X80" s="1295"/>
      <c r="Y80" s="1523"/>
      <c r="Z80" s="1583"/>
      <c r="AC80" s="280"/>
      <c r="AD80" s="280"/>
      <c r="AE80" s="280"/>
      <c r="AF80" s="280"/>
      <c r="AG80" s="280"/>
      <c r="AH80" s="280"/>
      <c r="AI80" s="280"/>
      <c r="AJ80" s="280"/>
      <c r="AK80" s="280"/>
      <c r="AL80" s="280"/>
      <c r="AM80" s="280"/>
      <c r="AN80" s="280"/>
      <c r="AO80" s="280"/>
      <c r="AP80" s="280"/>
      <c r="AQ80" s="280"/>
      <c r="AR80" s="280"/>
      <c r="AS80" s="280"/>
      <c r="BJ80" s="1184" t="s">
        <v>4763</v>
      </c>
    </row>
    <row r="81" spans="1:62" x14ac:dyDescent="0.3">
      <c r="A81" s="1200">
        <v>5</v>
      </c>
      <c r="B81" s="1203" t="s">
        <v>416</v>
      </c>
      <c r="C81" s="1203"/>
      <c r="D81" s="1203"/>
      <c r="E81" s="1203"/>
      <c r="F81" s="1203"/>
      <c r="G81" s="1202" t="str">
        <f t="shared" si="20"/>
        <v/>
      </c>
      <c r="H81" s="1204" t="s">
        <v>4387</v>
      </c>
      <c r="I81" s="107"/>
      <c r="J81" s="107"/>
      <c r="K81" s="107"/>
      <c r="L81" s="291" t="s">
        <v>840</v>
      </c>
      <c r="M81" s="286"/>
      <c r="N81" s="283"/>
      <c r="O81" s="283"/>
      <c r="P81" s="97"/>
      <c r="Q81" s="97"/>
      <c r="R81" s="97"/>
      <c r="S81" s="97"/>
      <c r="T81" s="97"/>
      <c r="U81" s="97"/>
      <c r="V81" s="97"/>
      <c r="W81" s="97"/>
      <c r="X81" s="1295"/>
      <c r="Y81" s="1523"/>
      <c r="Z81" s="1583"/>
      <c r="AC81" s="280"/>
      <c r="AD81" s="280"/>
      <c r="AE81" s="280"/>
      <c r="AF81" s="280"/>
      <c r="AG81" s="280"/>
      <c r="AH81" s="280"/>
      <c r="AI81" s="280"/>
      <c r="AJ81" s="280"/>
      <c r="AK81" s="280"/>
      <c r="AL81" s="280"/>
      <c r="AM81" s="280"/>
      <c r="AN81" s="280"/>
      <c r="AO81" s="280"/>
      <c r="AP81" s="280"/>
      <c r="AQ81" s="280"/>
      <c r="AR81" s="280"/>
      <c r="AS81" s="280"/>
      <c r="BJ81" s="1184" t="s">
        <v>4763</v>
      </c>
    </row>
    <row r="82" spans="1:62" x14ac:dyDescent="0.3">
      <c r="A82" s="1200">
        <v>5</v>
      </c>
      <c r="B82" s="1203" t="s">
        <v>416</v>
      </c>
      <c r="C82" s="1203"/>
      <c r="D82" s="1203"/>
      <c r="E82" s="1203" t="s">
        <v>271</v>
      </c>
      <c r="F82" s="1203"/>
      <c r="G82" s="1202" t="str">
        <f>IF(N82&gt;0,"P","")</f>
        <v/>
      </c>
      <c r="H82" s="1204" t="s">
        <v>4387</v>
      </c>
      <c r="I82" s="107"/>
      <c r="J82" s="94" t="s">
        <v>271</v>
      </c>
      <c r="K82" s="107"/>
      <c r="L82" s="1305" t="s">
        <v>418</v>
      </c>
      <c r="M82" s="1540">
        <v>5</v>
      </c>
      <c r="N82" s="1473">
        <f>'Ch5'!O83</f>
        <v>0</v>
      </c>
      <c r="O82" s="1473">
        <f>M82*W82</f>
        <v>0</v>
      </c>
      <c r="P82" s="280" t="b">
        <v>1</v>
      </c>
      <c r="Q82" s="280" t="b">
        <v>0</v>
      </c>
      <c r="R82" s="97" t="b">
        <v>0</v>
      </c>
      <c r="S82" s="97" t="b">
        <v>1</v>
      </c>
      <c r="T82" s="97" t="b">
        <v>0</v>
      </c>
      <c r="U82" s="97"/>
      <c r="V82" s="97"/>
      <c r="W82" s="25"/>
      <c r="X82" s="1295"/>
      <c r="Y82" s="1523"/>
      <c r="Z82" s="1583"/>
      <c r="AC82" s="280"/>
      <c r="AD82" s="280"/>
      <c r="AE82" s="280"/>
      <c r="AF82" s="280"/>
      <c r="AG82" s="280"/>
      <c r="AH82" s="280"/>
      <c r="AI82" s="280"/>
      <c r="AJ82" s="280"/>
      <c r="AK82" s="280"/>
      <c r="AL82" s="311" t="str">
        <f>SUBSTITUTE(SUBSTITUTE(SUBSTITUTE("vpa"&amp;$B82&amp;$C82&amp;$D82&amp;$E82&amp;$F82,".","_"),"(","_"),")","")</f>
        <v>vpa503_3_1</v>
      </c>
      <c r="AM82" s="311">
        <f>M82</f>
        <v>5</v>
      </c>
      <c r="AN82" s="311" t="str">
        <f>SUBSTITUTE(SUBSTITUTE(SUBSTITUTE("vpc"&amp;$B82&amp;$C82&amp;$D82&amp;$E82&amp;$F82,".","_"),"(","_"),")","")</f>
        <v>vpc503_3_1</v>
      </c>
      <c r="AO82" s="311">
        <f>O82</f>
        <v>0</v>
      </c>
      <c r="AP82" s="311" t="str">
        <f>SUBSTITUTE(SUBSTITUTE(SUBSTITUTE("vch"&amp;$B82&amp;$C82&amp;$D82&amp;$E82&amp;$F82,".","_"),"(","_"),")","")</f>
        <v>vch503_3_1</v>
      </c>
      <c r="AQ82" s="311">
        <f>W82</f>
        <v>0</v>
      </c>
      <c r="AR82" s="280"/>
      <c r="AS82" s="280"/>
      <c r="BJ82" s="1184" t="s">
        <v>4763</v>
      </c>
    </row>
    <row r="83" spans="1:62" x14ac:dyDescent="0.3">
      <c r="A83" s="1200">
        <v>5</v>
      </c>
      <c r="B83" s="1203" t="s">
        <v>416</v>
      </c>
      <c r="C83" s="1203"/>
      <c r="D83" s="1203"/>
      <c r="E83" s="1203" t="s">
        <v>271</v>
      </c>
      <c r="F83" s="1203"/>
      <c r="G83" s="1202" t="str">
        <f>G82</f>
        <v/>
      </c>
      <c r="H83" s="1204" t="s">
        <v>4387</v>
      </c>
      <c r="I83" s="107"/>
      <c r="J83" s="192"/>
      <c r="K83" s="195"/>
      <c r="L83" s="1306"/>
      <c r="M83" s="1543"/>
      <c r="N83" s="1491"/>
      <c r="O83" s="1491"/>
      <c r="P83" s="97"/>
      <c r="Q83" s="97"/>
      <c r="R83" s="97"/>
      <c r="S83" s="97"/>
      <c r="T83" s="97"/>
      <c r="U83" s="97"/>
      <c r="V83" s="97"/>
      <c r="W83" s="97"/>
      <c r="X83" s="1295"/>
      <c r="Y83" s="1523"/>
      <c r="Z83" s="1583"/>
      <c r="AC83" s="280"/>
      <c r="AD83" s="280"/>
      <c r="AE83" s="280"/>
      <c r="AF83" s="280"/>
      <c r="AG83" s="280"/>
      <c r="AH83" s="280"/>
      <c r="AI83" s="280"/>
      <c r="AJ83" s="280"/>
      <c r="AK83" s="280"/>
      <c r="AL83" s="280"/>
      <c r="AM83" s="280"/>
      <c r="AN83" s="280"/>
      <c r="AO83" s="280"/>
      <c r="AP83" s="280"/>
      <c r="AQ83" s="280"/>
      <c r="AR83" s="280"/>
      <c r="AS83" s="280"/>
      <c r="BJ83" s="1184" t="s">
        <v>4763</v>
      </c>
    </row>
    <row r="84" spans="1:62" x14ac:dyDescent="0.3">
      <c r="A84" s="1200">
        <v>5</v>
      </c>
      <c r="B84" s="1203" t="s">
        <v>416</v>
      </c>
      <c r="C84" s="1203"/>
      <c r="D84" s="1203"/>
      <c r="E84" s="1203" t="s">
        <v>273</v>
      </c>
      <c r="F84" s="1203"/>
      <c r="G84" s="1202" t="str">
        <f>IF(N84&gt;0,"P","")</f>
        <v/>
      </c>
      <c r="H84" s="1204" t="s">
        <v>4387</v>
      </c>
      <c r="I84" s="107"/>
      <c r="J84" s="94" t="s">
        <v>273</v>
      </c>
      <c r="K84" s="107"/>
      <c r="L84" s="1305" t="s">
        <v>419</v>
      </c>
      <c r="M84" s="1546">
        <v>5</v>
      </c>
      <c r="N84" s="1472">
        <f>'Ch5'!O85</f>
        <v>0</v>
      </c>
      <c r="O84" s="1472">
        <f>M84*MIN(W86+W87+W89+W90,1)</f>
        <v>0</v>
      </c>
      <c r="P84" s="280" t="b">
        <v>1</v>
      </c>
      <c r="Q84" s="280" t="b">
        <v>0</v>
      </c>
      <c r="R84" s="97" t="b">
        <v>0</v>
      </c>
      <c r="S84" s="97" t="b">
        <v>1</v>
      </c>
      <c r="T84" s="97" t="b">
        <v>0</v>
      </c>
      <c r="U84" s="97"/>
      <c r="V84" s="97"/>
      <c r="W84" s="97"/>
      <c r="X84" s="1295"/>
      <c r="Y84" s="1523"/>
      <c r="Z84" s="1583"/>
      <c r="AC84" s="280"/>
      <c r="AD84" s="280"/>
      <c r="AE84" s="280"/>
      <c r="AF84" s="280"/>
      <c r="AG84" s="280"/>
      <c r="AH84" s="280"/>
      <c r="AI84" s="280"/>
      <c r="AJ84" s="280"/>
      <c r="AK84" s="280"/>
      <c r="AL84" s="311" t="str">
        <f>SUBSTITUTE(SUBSTITUTE(SUBSTITUTE("vpa"&amp;$B84&amp;$C84&amp;$D84&amp;$E84&amp;$F84,".","_"),"(","_"),")","")</f>
        <v>vpa503_3_2</v>
      </c>
      <c r="AM84" s="311">
        <f>M84</f>
        <v>5</v>
      </c>
      <c r="AN84" s="311" t="str">
        <f>SUBSTITUTE(SUBSTITUTE(SUBSTITUTE("vpc"&amp;$B84&amp;$C84&amp;$D84&amp;$E84&amp;$F84,".","_"),"(","_"),")","")</f>
        <v>vpc503_3_2</v>
      </c>
      <c r="AO84" s="311">
        <f>O84</f>
        <v>0</v>
      </c>
      <c r="AP84" s="280"/>
      <c r="AQ84" s="280"/>
      <c r="AR84" s="280"/>
      <c r="AS84" s="280"/>
      <c r="BJ84" s="1184" t="s">
        <v>4763</v>
      </c>
    </row>
    <row r="85" spans="1:62" x14ac:dyDescent="0.3">
      <c r="A85" s="1200">
        <v>5</v>
      </c>
      <c r="B85" s="1203" t="s">
        <v>416</v>
      </c>
      <c r="C85" s="1203"/>
      <c r="D85" s="1203"/>
      <c r="E85" s="1203" t="s">
        <v>273</v>
      </c>
      <c r="F85" s="1203"/>
      <c r="G85" s="1202" t="str">
        <f t="shared" ref="G85:G90" si="21">G84</f>
        <v/>
      </c>
      <c r="H85" s="1204" t="s">
        <v>4387</v>
      </c>
      <c r="I85" s="107"/>
      <c r="J85" s="107"/>
      <c r="K85" s="107"/>
      <c r="L85" s="1305"/>
      <c r="M85" s="1540"/>
      <c r="N85" s="1473"/>
      <c r="O85" s="1473"/>
      <c r="P85" s="97"/>
      <c r="Q85" s="97"/>
      <c r="R85" s="97"/>
      <c r="S85" s="97"/>
      <c r="T85" s="97"/>
      <c r="U85" s="97"/>
      <c r="V85" s="97"/>
      <c r="W85" s="97"/>
      <c r="X85" s="1295"/>
      <c r="Y85" s="1523"/>
      <c r="Z85" s="1583"/>
      <c r="AC85" s="280"/>
      <c r="AD85" s="280"/>
      <c r="AE85" s="280"/>
      <c r="AF85" s="280"/>
      <c r="AG85" s="280"/>
      <c r="AH85" s="280"/>
      <c r="AI85" s="280"/>
      <c r="AJ85" s="280"/>
      <c r="AK85" s="280"/>
      <c r="AL85" s="280"/>
      <c r="AM85" s="280"/>
      <c r="AN85" s="280"/>
      <c r="AO85" s="280"/>
      <c r="AP85" s="280"/>
      <c r="AQ85" s="280"/>
      <c r="AR85" s="280"/>
      <c r="AS85" s="280"/>
      <c r="BJ85" s="1184" t="s">
        <v>4763</v>
      </c>
    </row>
    <row r="86" spans="1:62" x14ac:dyDescent="0.3">
      <c r="A86" s="1200">
        <v>5</v>
      </c>
      <c r="B86" s="1203" t="s">
        <v>416</v>
      </c>
      <c r="C86" s="1203"/>
      <c r="D86" s="1203"/>
      <c r="E86" s="1203" t="s">
        <v>273</v>
      </c>
      <c r="F86" s="1203" t="s">
        <v>121</v>
      </c>
      <c r="G86" s="1202" t="str">
        <f t="shared" si="21"/>
        <v/>
      </c>
      <c r="H86" s="1204" t="s">
        <v>4387</v>
      </c>
      <c r="I86" s="107"/>
      <c r="J86" s="107"/>
      <c r="K86" s="94" t="s">
        <v>121</v>
      </c>
      <c r="L86" s="98" t="s">
        <v>420</v>
      </c>
      <c r="M86" s="1540"/>
      <c r="N86" s="1473"/>
      <c r="O86" s="1473"/>
      <c r="P86" s="280" t="b">
        <v>1</v>
      </c>
      <c r="Q86" s="280" t="b">
        <v>0</v>
      </c>
      <c r="R86" s="97" t="b">
        <v>0</v>
      </c>
      <c r="S86" s="97" t="b">
        <v>1</v>
      </c>
      <c r="T86" s="97" t="b">
        <v>0</v>
      </c>
      <c r="U86" s="97"/>
      <c r="V86" s="97"/>
      <c r="W86" s="25"/>
      <c r="X86" s="1295"/>
      <c r="Y86" s="1523"/>
      <c r="Z86" s="1583"/>
      <c r="AC86" s="280"/>
      <c r="AD86" s="280"/>
      <c r="AE86" s="280"/>
      <c r="AF86" s="280"/>
      <c r="AG86" s="280"/>
      <c r="AH86" s="280"/>
      <c r="AI86" s="280"/>
      <c r="AJ86" s="280"/>
      <c r="AK86" s="280"/>
      <c r="AL86" s="280"/>
      <c r="AM86" s="280"/>
      <c r="AN86" s="280"/>
      <c r="AO86" s="280"/>
      <c r="AP86" s="311" t="str">
        <f t="shared" ref="AP86:AP87" si="22">SUBSTITUTE(SUBSTITUTE(SUBSTITUTE("vch"&amp;$B86&amp;$C86&amp;$D86&amp;$E86&amp;$F86,".","_"),"(","_"),")","")</f>
        <v>vch503_3_2_a</v>
      </c>
      <c r="AQ86" s="311">
        <f>W86</f>
        <v>0</v>
      </c>
      <c r="AR86" s="280"/>
      <c r="AS86" s="280"/>
      <c r="BJ86" s="1184" t="s">
        <v>4763</v>
      </c>
    </row>
    <row r="87" spans="1:62" x14ac:dyDescent="0.3">
      <c r="A87" s="1200">
        <v>5</v>
      </c>
      <c r="B87" s="1203" t="s">
        <v>416</v>
      </c>
      <c r="C87" s="1203"/>
      <c r="D87" s="1203"/>
      <c r="E87" s="1203" t="s">
        <v>273</v>
      </c>
      <c r="F87" s="1203" t="s">
        <v>122</v>
      </c>
      <c r="G87" s="1202" t="str">
        <f t="shared" si="21"/>
        <v/>
      </c>
      <c r="H87" s="1204" t="s">
        <v>4387</v>
      </c>
      <c r="I87" s="107"/>
      <c r="J87" s="107"/>
      <c r="K87" s="94" t="s">
        <v>122</v>
      </c>
      <c r="L87" s="1305" t="s">
        <v>421</v>
      </c>
      <c r="M87" s="1540"/>
      <c r="N87" s="1473"/>
      <c r="O87" s="1473"/>
      <c r="P87" s="280" t="b">
        <v>1</v>
      </c>
      <c r="Q87" s="280" t="b">
        <v>0</v>
      </c>
      <c r="R87" s="97" t="b">
        <v>0</v>
      </c>
      <c r="S87" s="97" t="b">
        <v>1</v>
      </c>
      <c r="T87" s="97" t="b">
        <v>0</v>
      </c>
      <c r="U87" s="97"/>
      <c r="V87" s="97"/>
      <c r="W87" s="25"/>
      <c r="X87" s="1295"/>
      <c r="Y87" s="1523"/>
      <c r="Z87" s="1583"/>
      <c r="AC87" s="280"/>
      <c r="AD87" s="280"/>
      <c r="AE87" s="280"/>
      <c r="AF87" s="280"/>
      <c r="AG87" s="280"/>
      <c r="AH87" s="280"/>
      <c r="AI87" s="280"/>
      <c r="AJ87" s="280"/>
      <c r="AK87" s="280"/>
      <c r="AL87" s="280"/>
      <c r="AM87" s="280"/>
      <c r="AN87" s="280"/>
      <c r="AO87" s="280"/>
      <c r="AP87" s="311" t="str">
        <f t="shared" si="22"/>
        <v>vch503_3_2_b</v>
      </c>
      <c r="AQ87" s="311">
        <f>W87</f>
        <v>0</v>
      </c>
      <c r="AR87" s="280"/>
      <c r="AS87" s="280"/>
      <c r="BJ87" s="1184" t="s">
        <v>4763</v>
      </c>
    </row>
    <row r="88" spans="1:62" x14ac:dyDescent="0.3">
      <c r="A88" s="1200">
        <v>5</v>
      </c>
      <c r="B88" s="1203" t="s">
        <v>416</v>
      </c>
      <c r="C88" s="1203"/>
      <c r="D88" s="1203"/>
      <c r="E88" s="1203" t="s">
        <v>273</v>
      </c>
      <c r="F88" s="1203" t="s">
        <v>122</v>
      </c>
      <c r="G88" s="1202" t="str">
        <f t="shared" si="21"/>
        <v/>
      </c>
      <c r="H88" s="1204" t="s">
        <v>4387</v>
      </c>
      <c r="I88" s="107"/>
      <c r="J88" s="107"/>
      <c r="K88" s="107"/>
      <c r="L88" s="1305"/>
      <c r="M88" s="1540"/>
      <c r="N88" s="1473"/>
      <c r="O88" s="1473"/>
      <c r="P88" s="97"/>
      <c r="Q88" s="97"/>
      <c r="R88" s="97"/>
      <c r="S88" s="97"/>
      <c r="T88" s="97"/>
      <c r="U88" s="97"/>
      <c r="V88" s="97"/>
      <c r="W88" s="97"/>
      <c r="X88" s="1295"/>
      <c r="Y88" s="1523"/>
      <c r="Z88" s="1583"/>
      <c r="AC88" s="280"/>
      <c r="AD88" s="280"/>
      <c r="AE88" s="280"/>
      <c r="AF88" s="280"/>
      <c r="AG88" s="280"/>
      <c r="AH88" s="280"/>
      <c r="AI88" s="280"/>
      <c r="AJ88" s="280"/>
      <c r="AK88" s="280"/>
      <c r="AL88" s="280"/>
      <c r="AM88" s="280"/>
      <c r="AN88" s="280"/>
      <c r="AO88" s="280"/>
      <c r="AP88" s="280"/>
      <c r="AQ88" s="280"/>
      <c r="AR88" s="280"/>
      <c r="AS88" s="280"/>
      <c r="BJ88" s="1184" t="s">
        <v>4763</v>
      </c>
    </row>
    <row r="89" spans="1:62" x14ac:dyDescent="0.3">
      <c r="A89" s="1200">
        <v>5</v>
      </c>
      <c r="B89" s="1203" t="s">
        <v>416</v>
      </c>
      <c r="C89" s="1203"/>
      <c r="D89" s="1203"/>
      <c r="E89" s="1203" t="s">
        <v>273</v>
      </c>
      <c r="F89" s="1205" t="s">
        <v>123</v>
      </c>
      <c r="G89" s="1202" t="str">
        <f t="shared" si="21"/>
        <v/>
      </c>
      <c r="H89" s="1206" t="s">
        <v>4387</v>
      </c>
      <c r="I89" s="107"/>
      <c r="J89" s="107"/>
      <c r="K89" s="115" t="s">
        <v>123</v>
      </c>
      <c r="L89" s="98" t="s">
        <v>422</v>
      </c>
      <c r="M89" s="1540"/>
      <c r="N89" s="1473"/>
      <c r="O89" s="1473"/>
      <c r="P89" s="280" t="b">
        <v>1</v>
      </c>
      <c r="Q89" s="280" t="b">
        <v>0</v>
      </c>
      <c r="R89" s="97" t="b">
        <v>0</v>
      </c>
      <c r="S89" s="97" t="b">
        <v>1</v>
      </c>
      <c r="T89" s="97" t="b">
        <v>0</v>
      </c>
      <c r="U89" s="97"/>
      <c r="V89" s="97"/>
      <c r="W89" s="25"/>
      <c r="X89" s="1295"/>
      <c r="Y89" s="1523"/>
      <c r="Z89" s="1583"/>
      <c r="AC89" s="280"/>
      <c r="AD89" s="280"/>
      <c r="AE89" s="280"/>
      <c r="AF89" s="280"/>
      <c r="AG89" s="280"/>
      <c r="AH89" s="280"/>
      <c r="AI89" s="280"/>
      <c r="AJ89" s="280"/>
      <c r="AK89" s="280"/>
      <c r="AL89" s="280"/>
      <c r="AM89" s="280"/>
      <c r="AN89" s="280"/>
      <c r="AO89" s="280"/>
      <c r="AP89" s="311" t="str">
        <f t="shared" ref="AP89:AP91" si="23">SUBSTITUTE(SUBSTITUTE(SUBSTITUTE("vch"&amp;$B89&amp;$C89&amp;$D89&amp;$E89&amp;$F89,".","_"),"(","_"),")","")</f>
        <v>vch503_3_2_c</v>
      </c>
      <c r="AQ89" s="311">
        <f>W89</f>
        <v>0</v>
      </c>
      <c r="AR89" s="280"/>
      <c r="AS89" s="280"/>
      <c r="BJ89" s="1184" t="s">
        <v>4763</v>
      </c>
    </row>
    <row r="90" spans="1:62" x14ac:dyDescent="0.3">
      <c r="A90" s="1200">
        <v>5</v>
      </c>
      <c r="B90" s="1203" t="s">
        <v>416</v>
      </c>
      <c r="C90" s="1203"/>
      <c r="D90" s="1203"/>
      <c r="E90" s="1203" t="s">
        <v>273</v>
      </c>
      <c r="F90" s="1205" t="s">
        <v>423</v>
      </c>
      <c r="G90" s="1202" t="str">
        <f t="shared" si="21"/>
        <v/>
      </c>
      <c r="H90" s="1206" t="s">
        <v>4387</v>
      </c>
      <c r="I90" s="107"/>
      <c r="J90" s="195"/>
      <c r="K90" s="197" t="s">
        <v>423</v>
      </c>
      <c r="L90" s="193" t="s">
        <v>424</v>
      </c>
      <c r="M90" s="1543"/>
      <c r="N90" s="1491"/>
      <c r="O90" s="1491"/>
      <c r="P90" s="280" t="b">
        <v>1</v>
      </c>
      <c r="Q90" s="280" t="b">
        <v>0</v>
      </c>
      <c r="R90" s="97" t="b">
        <v>0</v>
      </c>
      <c r="S90" s="97" t="b">
        <v>1</v>
      </c>
      <c r="T90" s="97" t="b">
        <v>0</v>
      </c>
      <c r="U90" s="97"/>
      <c r="V90" s="97"/>
      <c r="W90" s="25"/>
      <c r="X90" s="1295"/>
      <c r="Y90" s="1523"/>
      <c r="Z90" s="1583"/>
      <c r="AC90" s="280"/>
      <c r="AD90" s="280"/>
      <c r="AE90" s="280"/>
      <c r="AF90" s="280"/>
      <c r="AG90" s="280"/>
      <c r="AH90" s="280"/>
      <c r="AI90" s="280"/>
      <c r="AJ90" s="280"/>
      <c r="AK90" s="280"/>
      <c r="AL90" s="280"/>
      <c r="AM90" s="280"/>
      <c r="AN90" s="280"/>
      <c r="AO90" s="280"/>
      <c r="AP90" s="311" t="str">
        <f t="shared" si="23"/>
        <v>vch503_3_2_d</v>
      </c>
      <c r="AQ90" s="311">
        <f>W90</f>
        <v>0</v>
      </c>
      <c r="AR90" s="280"/>
      <c r="AS90" s="280"/>
      <c r="BJ90" s="1184" t="s">
        <v>4763</v>
      </c>
    </row>
    <row r="91" spans="1:62" ht="15" thickBot="1" x14ac:dyDescent="0.35">
      <c r="A91" s="1200">
        <v>5</v>
      </c>
      <c r="B91" s="1203" t="s">
        <v>416</v>
      </c>
      <c r="C91" s="1203"/>
      <c r="D91" s="1203"/>
      <c r="E91" s="1203" t="s">
        <v>275</v>
      </c>
      <c r="F91" s="1203"/>
      <c r="G91" s="1202" t="str">
        <f>IF(N91&gt;0,"P","")</f>
        <v/>
      </c>
      <c r="H91" s="1204" t="s">
        <v>4387</v>
      </c>
      <c r="I91" s="108"/>
      <c r="J91" s="99" t="s">
        <v>275</v>
      </c>
      <c r="K91" s="108"/>
      <c r="L91" s="100" t="s">
        <v>425</v>
      </c>
      <c r="M91" s="295">
        <v>5</v>
      </c>
      <c r="N91" s="288">
        <f>'Ch5'!O92</f>
        <v>0</v>
      </c>
      <c r="O91" s="288">
        <f>M91*W91</f>
        <v>0</v>
      </c>
      <c r="P91" s="280" t="b">
        <v>1</v>
      </c>
      <c r="Q91" s="280" t="b">
        <v>0</v>
      </c>
      <c r="R91" s="104" t="b">
        <v>0</v>
      </c>
      <c r="S91" s="104" t="b">
        <v>1</v>
      </c>
      <c r="T91" s="104" t="b">
        <v>0</v>
      </c>
      <c r="U91" s="104"/>
      <c r="V91" s="104"/>
      <c r="W91" s="207"/>
      <c r="X91" s="1296"/>
      <c r="Y91" s="1524"/>
      <c r="Z91" s="1584"/>
      <c r="AC91" s="280"/>
      <c r="AD91" s="280"/>
      <c r="AE91" s="280"/>
      <c r="AF91" s="280"/>
      <c r="AG91" s="280"/>
      <c r="AH91" s="280"/>
      <c r="AI91" s="280"/>
      <c r="AJ91" s="280"/>
      <c r="AK91" s="280"/>
      <c r="AL91" s="311" t="str">
        <f>SUBSTITUTE(SUBSTITUTE(SUBSTITUTE("vpa"&amp;$B91&amp;$C91&amp;$D91&amp;$E91&amp;$F91,".","_"),"(","_"),")","")</f>
        <v>vpa503_3_3</v>
      </c>
      <c r="AM91" s="311">
        <f>M91</f>
        <v>5</v>
      </c>
      <c r="AN91" s="311" t="str">
        <f>SUBSTITUTE(SUBSTITUTE(SUBSTITUTE("vpc"&amp;$B91&amp;$C91&amp;$D91&amp;$E91&amp;$F91,".","_"),"(","_"),")","")</f>
        <v>vpc503_3_3</v>
      </c>
      <c r="AO91" s="311">
        <f>O91</f>
        <v>0</v>
      </c>
      <c r="AP91" s="311" t="str">
        <f t="shared" si="23"/>
        <v>vch503_3_3</v>
      </c>
      <c r="AQ91" s="311">
        <f>W91</f>
        <v>0</v>
      </c>
      <c r="AR91" s="280"/>
      <c r="AS91" s="280"/>
      <c r="BJ91" s="1184" t="s">
        <v>4763</v>
      </c>
    </row>
    <row r="92" spans="1:62" ht="15" thickTop="1" x14ac:dyDescent="0.3">
      <c r="A92" s="1200">
        <v>5</v>
      </c>
      <c r="B92" s="1203" t="s">
        <v>426</v>
      </c>
      <c r="C92" s="1203"/>
      <c r="D92" s="1203"/>
      <c r="E92" s="1203"/>
      <c r="F92" s="1203"/>
      <c r="G92" s="1196" t="str">
        <f ca="1">IF(COUNTIF(G99:G113,"P")&gt;0,"P","")</f>
        <v>P</v>
      </c>
      <c r="H92" s="1204" t="s">
        <v>4386</v>
      </c>
      <c r="I92" s="152">
        <v>503.4</v>
      </c>
      <c r="J92" s="93"/>
      <c r="K92" s="93"/>
      <c r="L92" s="1331" t="s">
        <v>427</v>
      </c>
      <c r="M92" s="294"/>
      <c r="N92" s="282"/>
      <c r="O92" s="282"/>
      <c r="P92" s="280"/>
      <c r="Q92" s="280"/>
      <c r="R92" s="280"/>
      <c r="S92" s="280"/>
      <c r="T92" s="280"/>
      <c r="U92" s="280"/>
      <c r="V92" s="280"/>
      <c r="W92" s="206"/>
      <c r="X92" s="1311"/>
      <c r="Y92" s="1525" t="str">
        <f>IF(LEN('Ch5'!X93)=0,"None",'Ch5'!X93)</f>
        <v>None</v>
      </c>
      <c r="Z92" s="1585"/>
      <c r="AC92" s="280"/>
      <c r="AD92" s="280"/>
      <c r="AE92" s="280"/>
      <c r="AF92" s="280"/>
      <c r="AG92" s="280"/>
      <c r="AH92" s="280"/>
      <c r="AI92" s="280"/>
      <c r="AJ92" s="280"/>
      <c r="AK92" s="280"/>
      <c r="AL92" s="280"/>
      <c r="AM92" s="280"/>
      <c r="AN92" s="280"/>
      <c r="AO92" s="280"/>
      <c r="AP92" s="280"/>
      <c r="AQ92" s="280"/>
      <c r="AR92" s="311" t="str">
        <f>SUBSTITUTE(SUBSTITUTE(SUBSTITUTE("vnt"&amp;$B92&amp;$C92&amp;$D92&amp;$E92&amp;$F92,".","_"),"(","_"),")","")</f>
        <v>vnt503_4</v>
      </c>
      <c r="AS92" s="311">
        <f>X92</f>
        <v>0</v>
      </c>
      <c r="BJ92" s="1184" t="s">
        <v>4763</v>
      </c>
    </row>
    <row r="93" spans="1:62" x14ac:dyDescent="0.3">
      <c r="A93" s="1200">
        <v>5</v>
      </c>
      <c r="B93" s="1203" t="s">
        <v>426</v>
      </c>
      <c r="C93" s="1203"/>
      <c r="D93" s="1203"/>
      <c r="E93" s="1203"/>
      <c r="F93" s="1203"/>
      <c r="G93" s="1202" t="str">
        <f t="shared" ref="G93:G95" ca="1" si="24">G92</f>
        <v>P</v>
      </c>
      <c r="H93" s="1204" t="s">
        <v>4386</v>
      </c>
      <c r="I93" s="93"/>
      <c r="J93" s="93"/>
      <c r="K93" s="93"/>
      <c r="L93" s="1292"/>
      <c r="M93" s="294"/>
      <c r="N93" s="282"/>
      <c r="O93" s="282"/>
      <c r="P93" s="280"/>
      <c r="Q93" s="280"/>
      <c r="R93" s="280"/>
      <c r="S93" s="280"/>
      <c r="T93" s="280"/>
      <c r="U93" s="280"/>
      <c r="V93" s="280"/>
      <c r="W93" s="280"/>
      <c r="X93" s="1312"/>
      <c r="Y93" s="1522"/>
      <c r="Z93" s="1586"/>
      <c r="AC93" s="280"/>
      <c r="AD93" s="280"/>
      <c r="AE93" s="280"/>
      <c r="AF93" s="280"/>
      <c r="AG93" s="280"/>
      <c r="AH93" s="280"/>
      <c r="AI93" s="280"/>
      <c r="AJ93" s="280"/>
      <c r="AK93" s="280"/>
      <c r="AL93" s="280"/>
      <c r="AM93" s="280"/>
      <c r="AN93" s="280"/>
      <c r="AO93" s="280"/>
      <c r="AP93" s="280"/>
      <c r="AQ93" s="280"/>
      <c r="AR93" s="280"/>
      <c r="AS93" s="280"/>
      <c r="BJ93" s="1184" t="s">
        <v>4763</v>
      </c>
    </row>
    <row r="94" spans="1:62" x14ac:dyDescent="0.3">
      <c r="A94" s="1200">
        <v>5</v>
      </c>
      <c r="B94" s="1203" t="s">
        <v>426</v>
      </c>
      <c r="C94" s="1203"/>
      <c r="D94" s="1203"/>
      <c r="E94" s="1203"/>
      <c r="F94" s="1203"/>
      <c r="G94" s="1202" t="str">
        <f t="shared" ca="1" si="24"/>
        <v>P</v>
      </c>
      <c r="H94" s="1204" t="s">
        <v>4386</v>
      </c>
      <c r="I94" s="93"/>
      <c r="J94" s="93"/>
      <c r="K94" s="93"/>
      <c r="L94" s="1292"/>
      <c r="M94" s="294"/>
      <c r="N94" s="282"/>
      <c r="O94" s="282"/>
      <c r="P94" s="280"/>
      <c r="Q94" s="280"/>
      <c r="R94" s="280"/>
      <c r="S94" s="280"/>
      <c r="T94" s="280"/>
      <c r="U94" s="280"/>
      <c r="V94" s="280"/>
      <c r="W94" s="280"/>
      <c r="X94" s="1312"/>
      <c r="Y94" s="1522"/>
      <c r="Z94" s="1586"/>
      <c r="AC94" s="280"/>
      <c r="AD94" s="280"/>
      <c r="AE94" s="280"/>
      <c r="AF94" s="280"/>
      <c r="AG94" s="280"/>
      <c r="AH94" s="280"/>
      <c r="AI94" s="280"/>
      <c r="AJ94" s="280"/>
      <c r="AK94" s="280"/>
      <c r="AL94" s="280"/>
      <c r="AM94" s="280"/>
      <c r="AN94" s="280"/>
      <c r="AO94" s="280"/>
      <c r="AP94" s="280"/>
      <c r="AQ94" s="280"/>
      <c r="AR94" s="280"/>
      <c r="AS94" s="280"/>
      <c r="BJ94" s="1184" t="s">
        <v>4763</v>
      </c>
    </row>
    <row r="95" spans="1:62" x14ac:dyDescent="0.3">
      <c r="A95" s="1200">
        <v>5</v>
      </c>
      <c r="B95" s="1203" t="s">
        <v>426</v>
      </c>
      <c r="C95" s="1203"/>
      <c r="D95" s="1203"/>
      <c r="E95" s="1203"/>
      <c r="F95" s="1203"/>
      <c r="G95" s="1202" t="str">
        <f t="shared" ca="1" si="24"/>
        <v>P</v>
      </c>
      <c r="H95" s="1204" t="s">
        <v>4386</v>
      </c>
      <c r="I95" s="93"/>
      <c r="J95" s="93"/>
      <c r="K95" s="93"/>
      <c r="L95" s="1292"/>
      <c r="M95" s="294"/>
      <c r="N95" s="282"/>
      <c r="O95" s="282"/>
      <c r="P95" s="280"/>
      <c r="Q95" s="280"/>
      <c r="R95" s="280"/>
      <c r="S95" s="280"/>
      <c r="T95" s="280"/>
      <c r="U95" s="280"/>
      <c r="V95" s="280"/>
      <c r="W95" s="280"/>
      <c r="X95" s="1312"/>
      <c r="Y95" s="1522"/>
      <c r="Z95" s="1586"/>
      <c r="AC95" s="280"/>
      <c r="AD95" s="280"/>
      <c r="AE95" s="280"/>
      <c r="AF95" s="280"/>
      <c r="AG95" s="280"/>
      <c r="AH95" s="280"/>
      <c r="AI95" s="280"/>
      <c r="AJ95" s="280"/>
      <c r="AK95" s="280"/>
      <c r="AL95" s="280"/>
      <c r="AM95" s="280"/>
      <c r="AN95" s="280"/>
      <c r="AO95" s="280"/>
      <c r="AP95" s="280"/>
      <c r="AQ95" s="280"/>
      <c r="AR95" s="280"/>
      <c r="AS95" s="280"/>
      <c r="BJ95" s="1184" t="s">
        <v>4763</v>
      </c>
    </row>
    <row r="96" spans="1:62" x14ac:dyDescent="0.3">
      <c r="A96" s="1200">
        <v>5</v>
      </c>
      <c r="B96" s="1203" t="s">
        <v>426</v>
      </c>
      <c r="C96" s="1203"/>
      <c r="D96" s="1203"/>
      <c r="E96" s="1203"/>
      <c r="F96" s="1203"/>
      <c r="G96" s="1202"/>
      <c r="H96" s="1204"/>
      <c r="I96" s="93"/>
      <c r="J96" s="93"/>
      <c r="K96" s="93"/>
      <c r="L96" s="1328" t="s">
        <v>3167</v>
      </c>
      <c r="M96" s="294"/>
      <c r="N96" s="282"/>
      <c r="O96" s="282"/>
      <c r="P96" s="280"/>
      <c r="Q96" s="280"/>
      <c r="R96" s="280"/>
      <c r="S96" s="280"/>
      <c r="T96" s="280"/>
      <c r="U96" s="280"/>
      <c r="V96" s="280"/>
      <c r="W96" s="280"/>
      <c r="X96" s="1312"/>
      <c r="Y96" s="1522"/>
      <c r="Z96" s="1586"/>
      <c r="AC96" s="280"/>
      <c r="AD96" s="280"/>
      <c r="AE96" s="280"/>
      <c r="AF96" s="280"/>
      <c r="AG96" s="280"/>
      <c r="AH96" s="280"/>
      <c r="AI96" s="280"/>
      <c r="AJ96" s="280"/>
      <c r="AK96" s="280"/>
      <c r="AL96" s="280"/>
      <c r="AM96" s="280"/>
      <c r="AN96" s="280"/>
      <c r="AO96" s="280"/>
      <c r="AP96" s="280"/>
      <c r="AQ96" s="280"/>
      <c r="AR96" s="280"/>
      <c r="AS96" s="280"/>
      <c r="BJ96" s="1184" t="s">
        <v>4763</v>
      </c>
    </row>
    <row r="97" spans="1:62" x14ac:dyDescent="0.3">
      <c r="A97" s="1200">
        <v>5</v>
      </c>
      <c r="B97" s="1203" t="s">
        <v>426</v>
      </c>
      <c r="C97" s="1203"/>
      <c r="D97" s="1203"/>
      <c r="E97" s="1203"/>
      <c r="F97" s="1203"/>
      <c r="G97" s="1202"/>
      <c r="H97" s="1204"/>
      <c r="I97" s="93"/>
      <c r="J97" s="93"/>
      <c r="K97" s="93"/>
      <c r="L97" s="1328"/>
      <c r="M97" s="294"/>
      <c r="N97" s="282"/>
      <c r="O97" s="282"/>
      <c r="P97" s="280"/>
      <c r="Q97" s="280"/>
      <c r="R97" s="280"/>
      <c r="S97" s="280"/>
      <c r="T97" s="280"/>
      <c r="U97" s="280"/>
      <c r="V97" s="280"/>
      <c r="W97" s="280"/>
      <c r="X97" s="1312"/>
      <c r="Y97" s="1522"/>
      <c r="Z97" s="1586"/>
      <c r="AC97" s="280"/>
      <c r="AD97" s="280"/>
      <c r="AE97" s="280"/>
      <c r="AF97" s="280"/>
      <c r="AG97" s="280"/>
      <c r="AH97" s="280"/>
      <c r="AI97" s="280"/>
      <c r="AJ97" s="280"/>
      <c r="AK97" s="280"/>
      <c r="AL97" s="280"/>
      <c r="AM97" s="280"/>
      <c r="AN97" s="280"/>
      <c r="AO97" s="280"/>
      <c r="AP97" s="280"/>
      <c r="AQ97" s="280"/>
      <c r="AR97" s="280"/>
      <c r="AS97" s="280"/>
      <c r="BJ97" s="1184" t="s">
        <v>4763</v>
      </c>
    </row>
    <row r="98" spans="1:62" x14ac:dyDescent="0.3">
      <c r="A98" s="1200">
        <v>5</v>
      </c>
      <c r="B98" s="1203" t="s">
        <v>426</v>
      </c>
      <c r="C98" s="1203"/>
      <c r="D98" s="1203"/>
      <c r="E98" s="1203"/>
      <c r="F98" s="1203"/>
      <c r="G98" s="1202"/>
      <c r="H98" s="1204"/>
      <c r="I98" s="93"/>
      <c r="J98" s="93"/>
      <c r="K98" s="93"/>
      <c r="L98" s="1328"/>
      <c r="M98" s="294"/>
      <c r="N98" s="282"/>
      <c r="O98" s="282"/>
      <c r="P98" s="280"/>
      <c r="Q98" s="280"/>
      <c r="R98" s="280"/>
      <c r="S98" s="280"/>
      <c r="T98" s="280"/>
      <c r="U98" s="280"/>
      <c r="V98" s="280"/>
      <c r="W98" s="280"/>
      <c r="X98" s="1304"/>
      <c r="Y98" s="1522"/>
      <c r="Z98" s="1586"/>
      <c r="AC98" s="280"/>
      <c r="AD98" s="280"/>
      <c r="AE98" s="280"/>
      <c r="AF98" s="280"/>
      <c r="AG98" s="280"/>
      <c r="AH98" s="280"/>
      <c r="AI98" s="280"/>
      <c r="AJ98" s="280"/>
      <c r="AK98" s="280"/>
      <c r="AL98" s="280"/>
      <c r="AM98" s="280"/>
      <c r="AN98" s="280"/>
      <c r="AO98" s="280"/>
      <c r="AP98" s="280"/>
      <c r="AQ98" s="280"/>
      <c r="AR98" s="280"/>
      <c r="AS98" s="280"/>
      <c r="BJ98" s="1184" t="s">
        <v>4763</v>
      </c>
    </row>
    <row r="99" spans="1:62" x14ac:dyDescent="0.3">
      <c r="A99" s="1200">
        <v>5</v>
      </c>
      <c r="B99" s="1203" t="s">
        <v>426</v>
      </c>
      <c r="C99" s="1203"/>
      <c r="D99" s="1203"/>
      <c r="E99" s="1203" t="s">
        <v>271</v>
      </c>
      <c r="F99" s="1203"/>
      <c r="G99" s="1202" t="str">
        <f>IF(N99&gt;0,"P","")</f>
        <v/>
      </c>
      <c r="H99" s="1204" t="s">
        <v>4387</v>
      </c>
      <c r="I99" s="93"/>
      <c r="J99" s="94" t="s">
        <v>271</v>
      </c>
      <c r="K99" s="107"/>
      <c r="L99" s="1305" t="s">
        <v>428</v>
      </c>
      <c r="M99" s="1540">
        <v>7</v>
      </c>
      <c r="N99" s="1473">
        <f>'Ch5'!O100</f>
        <v>0</v>
      </c>
      <c r="O99" s="1473">
        <f>M99*W99</f>
        <v>0</v>
      </c>
      <c r="P99" s="280" t="b">
        <v>1</v>
      </c>
      <c r="Q99" s="280" t="b">
        <v>0</v>
      </c>
      <c r="R99" s="280" t="b">
        <v>0</v>
      </c>
      <c r="S99" s="280" t="b">
        <v>1</v>
      </c>
      <c r="T99" s="280" t="b">
        <v>0</v>
      </c>
      <c r="U99" s="280"/>
      <c r="V99" s="280"/>
      <c r="W99" s="25"/>
      <c r="X99" s="1303"/>
      <c r="Y99" s="1522" t="str">
        <f>IF(LEN('Ch5'!X100)=0,"None",'Ch5'!X100)</f>
        <v>None</v>
      </c>
      <c r="Z99" s="1586"/>
      <c r="AC99" s="280"/>
      <c r="AD99" s="280"/>
      <c r="AE99" s="280"/>
      <c r="AF99" s="280"/>
      <c r="AG99" s="280"/>
      <c r="AH99" s="280"/>
      <c r="AI99" s="280"/>
      <c r="AJ99" s="280"/>
      <c r="AK99" s="280"/>
      <c r="AL99" s="311" t="str">
        <f>SUBSTITUTE(SUBSTITUTE(SUBSTITUTE("vpa"&amp;$B99&amp;$C99&amp;$D99&amp;$E99&amp;$F99,".","_"),"(","_"),")","")</f>
        <v>vpa503_4_1</v>
      </c>
      <c r="AM99" s="311">
        <f>M99</f>
        <v>7</v>
      </c>
      <c r="AN99" s="311" t="str">
        <f>SUBSTITUTE(SUBSTITUTE(SUBSTITUTE("vpc"&amp;$B99&amp;$C99&amp;$D99&amp;$E99&amp;$F99,".","_"),"(","_"),")","")</f>
        <v>vpc503_4_1</v>
      </c>
      <c r="AO99" s="311">
        <f>O99</f>
        <v>0</v>
      </c>
      <c r="AP99" s="311" t="str">
        <f>SUBSTITUTE(SUBSTITUTE(SUBSTITUTE("vch"&amp;$B99&amp;$C99&amp;$D99&amp;$E99&amp;$F99,".","_"),"(","_"),")","")</f>
        <v>vch503_4_1</v>
      </c>
      <c r="AQ99" s="311">
        <f>W99</f>
        <v>0</v>
      </c>
      <c r="AR99" s="311" t="str">
        <f>SUBSTITUTE(SUBSTITUTE(SUBSTITUTE("vnt"&amp;$B99&amp;$C99&amp;$D99&amp;$E99&amp;$F99,".","_"),"(","_"),")","")</f>
        <v>vnt503_4_1</v>
      </c>
      <c r="AS99" s="311">
        <f>X99</f>
        <v>0</v>
      </c>
      <c r="BJ99" s="1184" t="s">
        <v>4763</v>
      </c>
    </row>
    <row r="100" spans="1:62" x14ac:dyDescent="0.3">
      <c r="A100" s="1200">
        <v>5</v>
      </c>
      <c r="B100" s="1203" t="s">
        <v>426</v>
      </c>
      <c r="C100" s="1203"/>
      <c r="D100" s="1203"/>
      <c r="E100" s="1203" t="s">
        <v>271</v>
      </c>
      <c r="F100" s="1203"/>
      <c r="G100" s="1202" t="str">
        <f t="shared" ref="G100:G101" si="25">G99</f>
        <v/>
      </c>
      <c r="H100" s="1204" t="s">
        <v>4387</v>
      </c>
      <c r="I100" s="93"/>
      <c r="J100" s="94"/>
      <c r="K100" s="107"/>
      <c r="L100" s="1305"/>
      <c r="M100" s="1540"/>
      <c r="N100" s="1473"/>
      <c r="O100" s="1473"/>
      <c r="P100" s="280"/>
      <c r="Q100" s="280"/>
      <c r="R100" s="280"/>
      <c r="S100" s="280"/>
      <c r="T100" s="280"/>
      <c r="U100" s="280"/>
      <c r="V100" s="280"/>
      <c r="W100" s="280"/>
      <c r="X100" s="1303"/>
      <c r="Y100" s="1522"/>
      <c r="Z100" s="1586"/>
      <c r="AC100" s="280"/>
      <c r="AD100" s="280"/>
      <c r="AE100" s="280"/>
      <c r="AF100" s="280"/>
      <c r="AG100" s="280"/>
      <c r="AH100" s="280"/>
      <c r="AI100" s="280"/>
      <c r="AJ100" s="280"/>
      <c r="AK100" s="280"/>
      <c r="AL100" s="280"/>
      <c r="AM100" s="280"/>
      <c r="AN100" s="280"/>
      <c r="AO100" s="280"/>
      <c r="AP100" s="280"/>
      <c r="AQ100" s="280"/>
      <c r="AR100" s="280"/>
      <c r="AS100" s="280"/>
      <c r="BJ100" s="1184" t="s">
        <v>4763</v>
      </c>
    </row>
    <row r="101" spans="1:62" x14ac:dyDescent="0.3">
      <c r="A101" s="1200">
        <v>5</v>
      </c>
      <c r="B101" s="1203" t="s">
        <v>426</v>
      </c>
      <c r="C101" s="1203"/>
      <c r="D101" s="1203"/>
      <c r="E101" s="1203" t="s">
        <v>271</v>
      </c>
      <c r="F101" s="1203"/>
      <c r="G101" s="1202" t="str">
        <f t="shared" si="25"/>
        <v/>
      </c>
      <c r="H101" s="1204" t="s">
        <v>4387</v>
      </c>
      <c r="I101" s="93"/>
      <c r="J101" s="195"/>
      <c r="K101" s="195"/>
      <c r="L101" s="1306"/>
      <c r="M101" s="1543"/>
      <c r="N101" s="1491"/>
      <c r="O101" s="1491"/>
      <c r="P101" s="280"/>
      <c r="Q101" s="280"/>
      <c r="R101" s="280"/>
      <c r="S101" s="280"/>
      <c r="T101" s="280"/>
      <c r="U101" s="280"/>
      <c r="V101" s="280"/>
      <c r="W101" s="280"/>
      <c r="X101" s="1303"/>
      <c r="Y101" s="1522"/>
      <c r="Z101" s="1586"/>
      <c r="AC101" s="280"/>
      <c r="AD101" s="280"/>
      <c r="AE101" s="280"/>
      <c r="AF101" s="280"/>
      <c r="AG101" s="280"/>
      <c r="AH101" s="280"/>
      <c r="AI101" s="280"/>
      <c r="AJ101" s="280"/>
      <c r="AK101" s="280"/>
      <c r="AL101" s="280"/>
      <c r="AM101" s="280"/>
      <c r="AN101" s="280"/>
      <c r="AO101" s="280"/>
      <c r="AP101" s="280"/>
      <c r="AQ101" s="280"/>
      <c r="AR101" s="280"/>
      <c r="AS101" s="280"/>
      <c r="BJ101" s="1184" t="s">
        <v>4763</v>
      </c>
    </row>
    <row r="102" spans="1:62" x14ac:dyDescent="0.3">
      <c r="A102" s="1200">
        <v>5</v>
      </c>
      <c r="B102" s="1203" t="s">
        <v>426</v>
      </c>
      <c r="C102" s="1203"/>
      <c r="D102" s="1203"/>
      <c r="E102" s="1203" t="s">
        <v>273</v>
      </c>
      <c r="F102" s="1203"/>
      <c r="G102" s="1202" t="str">
        <f>IF(N102&gt;0,"P","")</f>
        <v>P</v>
      </c>
      <c r="H102" s="1204" t="s">
        <v>4387</v>
      </c>
      <c r="I102" s="93"/>
      <c r="J102" s="94" t="s">
        <v>273</v>
      </c>
      <c r="K102" s="107"/>
      <c r="L102" s="1305" t="s">
        <v>429</v>
      </c>
      <c r="M102" s="1540">
        <v>10</v>
      </c>
      <c r="N102" s="1472">
        <f>'Ch5'!O103</f>
        <v>10</v>
      </c>
      <c r="O102" s="1473">
        <f>M102*W102</f>
        <v>0</v>
      </c>
      <c r="P102" s="280" t="b">
        <v>1</v>
      </c>
      <c r="Q102" s="280" t="b">
        <v>0</v>
      </c>
      <c r="R102" s="280" t="b">
        <v>0</v>
      </c>
      <c r="S102" s="280" t="b">
        <v>1</v>
      </c>
      <c r="T102" s="280" t="b">
        <v>0</v>
      </c>
      <c r="U102" s="280"/>
      <c r="V102" s="280"/>
      <c r="W102" s="25"/>
      <c r="X102" s="1303"/>
      <c r="Y102" s="1522" t="str">
        <f>IF(LEN('Ch5'!X103)=0,"None",'Ch5'!X103)</f>
        <v>None</v>
      </c>
      <c r="Z102" s="1586"/>
      <c r="AC102" s="280"/>
      <c r="AD102" s="280"/>
      <c r="AE102" s="280"/>
      <c r="AF102" s="280"/>
      <c r="AG102" s="280"/>
      <c r="AH102" s="280"/>
      <c r="AI102" s="280"/>
      <c r="AJ102" s="280"/>
      <c r="AK102" s="280"/>
      <c r="AL102" s="311" t="str">
        <f>SUBSTITUTE(SUBSTITUTE(SUBSTITUTE("vpa"&amp;$B102&amp;$C102&amp;$D102&amp;$E102&amp;$F102,".","_"),"(","_"),")","")</f>
        <v>vpa503_4_2</v>
      </c>
      <c r="AM102" s="311">
        <f>M102</f>
        <v>10</v>
      </c>
      <c r="AN102" s="311" t="str">
        <f>SUBSTITUTE(SUBSTITUTE(SUBSTITUTE("vpc"&amp;$B102&amp;$C102&amp;$D102&amp;$E102&amp;$F102,".","_"),"(","_"),")","")</f>
        <v>vpc503_4_2</v>
      </c>
      <c r="AO102" s="311">
        <f>O102</f>
        <v>0</v>
      </c>
      <c r="AP102" s="311" t="str">
        <f>SUBSTITUTE(SUBSTITUTE(SUBSTITUTE("vch"&amp;$B102&amp;$C102&amp;$D102&amp;$E102&amp;$F102,".","_"),"(","_"),")","")</f>
        <v>vch503_4_2</v>
      </c>
      <c r="AQ102" s="311">
        <f>W102</f>
        <v>0</v>
      </c>
      <c r="AR102" s="311" t="str">
        <f>SUBSTITUTE(SUBSTITUTE(SUBSTITUTE("vnt"&amp;$B102&amp;$C102&amp;$D102&amp;$E102&amp;$F102,".","_"),"(","_"),")","")</f>
        <v>vnt503_4_2</v>
      </c>
      <c r="AS102" s="311">
        <f>X102</f>
        <v>0</v>
      </c>
      <c r="BJ102" s="1184" t="s">
        <v>4763</v>
      </c>
    </row>
    <row r="103" spans="1:62" x14ac:dyDescent="0.3">
      <c r="A103" s="1200">
        <v>5</v>
      </c>
      <c r="B103" s="1203" t="s">
        <v>426</v>
      </c>
      <c r="C103" s="1203"/>
      <c r="D103" s="1203"/>
      <c r="E103" s="1203" t="s">
        <v>273</v>
      </c>
      <c r="F103" s="1203"/>
      <c r="G103" s="1202" t="str">
        <f t="shared" ref="G103:G105" si="26">G102</f>
        <v>P</v>
      </c>
      <c r="H103" s="1204" t="s">
        <v>4387</v>
      </c>
      <c r="I103" s="93"/>
      <c r="J103" s="107"/>
      <c r="K103" s="107"/>
      <c r="L103" s="1305"/>
      <c r="M103" s="1540"/>
      <c r="N103" s="1473"/>
      <c r="O103" s="1473"/>
      <c r="P103" s="280"/>
      <c r="Q103" s="280"/>
      <c r="R103" s="280"/>
      <c r="S103" s="280"/>
      <c r="T103" s="280"/>
      <c r="U103" s="280"/>
      <c r="V103" s="280"/>
      <c r="W103" s="280"/>
      <c r="X103" s="1303"/>
      <c r="Y103" s="1522"/>
      <c r="Z103" s="1586"/>
      <c r="AC103" s="280"/>
      <c r="AD103" s="280"/>
      <c r="AE103" s="280"/>
      <c r="AF103" s="280"/>
      <c r="AG103" s="280"/>
      <c r="AH103" s="280"/>
      <c r="AI103" s="280"/>
      <c r="AJ103" s="280"/>
      <c r="AK103" s="280"/>
      <c r="AL103" s="280"/>
      <c r="AM103" s="280"/>
      <c r="AN103" s="280"/>
      <c r="AO103" s="280"/>
      <c r="AP103" s="280"/>
      <c r="AQ103" s="280"/>
      <c r="AR103" s="280"/>
      <c r="AS103" s="280"/>
      <c r="BJ103" s="1184" t="s">
        <v>4763</v>
      </c>
    </row>
    <row r="104" spans="1:62" x14ac:dyDescent="0.3">
      <c r="A104" s="1200">
        <v>5</v>
      </c>
      <c r="B104" s="1203" t="s">
        <v>426</v>
      </c>
      <c r="C104" s="1203"/>
      <c r="D104" s="1203"/>
      <c r="E104" s="1203" t="s">
        <v>273</v>
      </c>
      <c r="F104" s="1203"/>
      <c r="G104" s="1202" t="str">
        <f t="shared" si="26"/>
        <v>P</v>
      </c>
      <c r="H104" s="1204" t="s">
        <v>4387</v>
      </c>
      <c r="I104" s="93"/>
      <c r="J104" s="107"/>
      <c r="K104" s="107"/>
      <c r="L104" s="1305"/>
      <c r="M104" s="1540"/>
      <c r="N104" s="1473"/>
      <c r="O104" s="1473"/>
      <c r="P104" s="280"/>
      <c r="Q104" s="280"/>
      <c r="R104" s="280"/>
      <c r="S104" s="280"/>
      <c r="T104" s="280"/>
      <c r="U104" s="280"/>
      <c r="V104" s="280"/>
      <c r="W104" s="280"/>
      <c r="X104" s="1303"/>
      <c r="Y104" s="1522"/>
      <c r="Z104" s="1586"/>
      <c r="AC104" s="280"/>
      <c r="AD104" s="280"/>
      <c r="AE104" s="280"/>
      <c r="AF104" s="280"/>
      <c r="AG104" s="280"/>
      <c r="AH104" s="280"/>
      <c r="AI104" s="280"/>
      <c r="AJ104" s="280"/>
      <c r="AK104" s="280"/>
      <c r="AL104" s="280"/>
      <c r="AM104" s="280"/>
      <c r="AN104" s="280"/>
      <c r="AO104" s="280"/>
      <c r="AP104" s="280"/>
      <c r="AQ104" s="280"/>
      <c r="AR104" s="280"/>
      <c r="AS104" s="280"/>
      <c r="BJ104" s="1184" t="s">
        <v>4763</v>
      </c>
    </row>
    <row r="105" spans="1:62" x14ac:dyDescent="0.3">
      <c r="A105" s="1200">
        <v>5</v>
      </c>
      <c r="B105" s="1203" t="s">
        <v>426</v>
      </c>
      <c r="C105" s="1203"/>
      <c r="D105" s="1203"/>
      <c r="E105" s="1203" t="s">
        <v>273</v>
      </c>
      <c r="F105" s="1203"/>
      <c r="G105" s="1202" t="str">
        <f t="shared" si="26"/>
        <v>P</v>
      </c>
      <c r="H105" s="1204" t="s">
        <v>4387</v>
      </c>
      <c r="I105" s="93"/>
      <c r="J105" s="195"/>
      <c r="K105" s="195"/>
      <c r="L105" s="1306"/>
      <c r="M105" s="1543"/>
      <c r="N105" s="1491"/>
      <c r="O105" s="1491"/>
      <c r="P105" s="280"/>
      <c r="Q105" s="280"/>
      <c r="R105" s="280"/>
      <c r="S105" s="280"/>
      <c r="T105" s="280"/>
      <c r="U105" s="280"/>
      <c r="V105" s="280"/>
      <c r="W105" s="280"/>
      <c r="X105" s="1303"/>
      <c r="Y105" s="1522"/>
      <c r="Z105" s="1586"/>
      <c r="AC105" s="280"/>
      <c r="AD105" s="280"/>
      <c r="AE105" s="280"/>
      <c r="AF105" s="280"/>
      <c r="AG105" s="280"/>
      <c r="AH105" s="280"/>
      <c r="AI105" s="280"/>
      <c r="AJ105" s="280"/>
      <c r="AK105" s="280"/>
      <c r="AL105" s="280"/>
      <c r="AM105" s="280"/>
      <c r="AN105" s="280"/>
      <c r="AO105" s="280"/>
      <c r="AP105" s="280"/>
      <c r="AQ105" s="280"/>
      <c r="AR105" s="280"/>
      <c r="AS105" s="280"/>
      <c r="BJ105" s="1184" t="s">
        <v>4763</v>
      </c>
    </row>
    <row r="106" spans="1:62" x14ac:dyDescent="0.3">
      <c r="A106" s="1200">
        <v>5</v>
      </c>
      <c r="B106" s="1203" t="s">
        <v>426</v>
      </c>
      <c r="C106" s="1203"/>
      <c r="D106" s="1203"/>
      <c r="E106" s="1203" t="s">
        <v>275</v>
      </c>
      <c r="F106" s="1203"/>
      <c r="G106" s="1202" t="str">
        <f ca="1">IF(N106&gt;0,"P","")</f>
        <v/>
      </c>
      <c r="H106" s="1204" t="s">
        <v>4387</v>
      </c>
      <c r="I106" s="93"/>
      <c r="J106" s="90" t="s">
        <v>275</v>
      </c>
      <c r="K106" s="93"/>
      <c r="L106" s="1329" t="s">
        <v>430</v>
      </c>
      <c r="M106" s="294"/>
      <c r="N106" s="1472">
        <f ca="1">'Ch5'!O107</f>
        <v>0</v>
      </c>
      <c r="O106" s="1463">
        <f ca="1">S106*IFERROR(INDEX({5,8,10},MATCH(W106,INDIRECT(U106))),0)</f>
        <v>0</v>
      </c>
      <c r="P106" s="280" t="b">
        <v>1</v>
      </c>
      <c r="Q106" s="280" t="b">
        <v>0</v>
      </c>
      <c r="R106" s="280" t="b">
        <v>0</v>
      </c>
      <c r="S106" s="280" t="b">
        <v>1</v>
      </c>
      <c r="T106" s="280" t="b">
        <v>0</v>
      </c>
      <c r="U106" s="280" t="str">
        <f>SUBSTITUTE(SUBSTITUTE(SUBSTITUTE("dd"&amp;B106&amp;C106&amp;D106&amp;E106&amp;F106,".","_"),"(","_"),")","")</f>
        <v>dd503_4_3</v>
      </c>
      <c r="V106" s="280"/>
      <c r="W106" s="12"/>
      <c r="X106" s="1303"/>
      <c r="Y106" s="1522" t="str">
        <f>IF(LEN('Ch5'!X107)=0,"None",'Ch5'!X107)</f>
        <v>None</v>
      </c>
      <c r="Z106" s="1586"/>
      <c r="AC106" s="280"/>
      <c r="AD106" s="280"/>
      <c r="AE106" s="280"/>
      <c r="AF106" s="280"/>
      <c r="AG106" s="280"/>
      <c r="AH106" s="280"/>
      <c r="AI106" s="280"/>
      <c r="AJ106" s="280"/>
      <c r="AK106" s="280"/>
      <c r="AL106" s="280"/>
      <c r="AM106" s="280"/>
      <c r="AN106" s="311" t="str">
        <f>SUBSTITUTE(SUBSTITUTE(SUBSTITUTE("vpc"&amp;$B106&amp;$C106&amp;$D106&amp;$E106&amp;$F106,".","_"),"(","_"),")","")</f>
        <v>vpc503_4_3</v>
      </c>
      <c r="AO106" s="311">
        <f ca="1">O106</f>
        <v>0</v>
      </c>
      <c r="AP106" s="311" t="str">
        <f>SUBSTITUTE(SUBSTITUTE(SUBSTITUTE("vch"&amp;$B106&amp;$C106&amp;$D106&amp;$E106&amp;$F106,".","_"),"(","_"),")","")</f>
        <v>vch503_4_3</v>
      </c>
      <c r="AQ106" s="311">
        <f>W106</f>
        <v>0</v>
      </c>
      <c r="AR106" s="311" t="str">
        <f>SUBSTITUTE(SUBSTITUTE(SUBSTITUTE("vnt"&amp;$B106&amp;$C106&amp;$D106&amp;$E106&amp;$F106,".","_"),"(","_"),")","")</f>
        <v>vnt503_4_3</v>
      </c>
      <c r="AS106" s="311">
        <f>X106</f>
        <v>0</v>
      </c>
      <c r="BJ106" s="1184" t="s">
        <v>4763</v>
      </c>
    </row>
    <row r="107" spans="1:62" x14ac:dyDescent="0.3">
      <c r="A107" s="1200">
        <v>5</v>
      </c>
      <c r="B107" s="1203" t="s">
        <v>426</v>
      </c>
      <c r="C107" s="1203"/>
      <c r="D107" s="1203"/>
      <c r="E107" s="1203" t="s">
        <v>275</v>
      </c>
      <c r="F107" s="1203"/>
      <c r="G107" s="1202" t="str">
        <f t="shared" ref="G107:G112" ca="1" si="27">G106</f>
        <v/>
      </c>
      <c r="H107" s="1204" t="s">
        <v>4387</v>
      </c>
      <c r="I107" s="93"/>
      <c r="J107" s="93"/>
      <c r="K107" s="93"/>
      <c r="L107" s="1329"/>
      <c r="M107" s="294"/>
      <c r="N107" s="1463"/>
      <c r="O107" s="1463"/>
      <c r="P107" s="280"/>
      <c r="Q107" s="280"/>
      <c r="R107" s="280"/>
      <c r="S107" s="280"/>
      <c r="T107" s="280"/>
      <c r="U107" s="280"/>
      <c r="V107" s="280"/>
      <c r="W107" s="280"/>
      <c r="X107" s="1303"/>
      <c r="Y107" s="1522"/>
      <c r="Z107" s="1586"/>
      <c r="AC107" s="280"/>
      <c r="AD107" s="280"/>
      <c r="AE107" s="280"/>
      <c r="AF107" s="280"/>
      <c r="AG107" s="280"/>
      <c r="AH107" s="280"/>
      <c r="AI107" s="280"/>
      <c r="AJ107" s="280"/>
      <c r="AK107" s="280"/>
      <c r="AL107" s="280"/>
      <c r="AM107" s="280"/>
      <c r="AN107" s="280"/>
      <c r="AO107" s="280"/>
      <c r="AP107" s="280"/>
      <c r="AQ107" s="280"/>
      <c r="AR107" s="280"/>
      <c r="AS107" s="280"/>
      <c r="BJ107" s="1184" t="s">
        <v>4763</v>
      </c>
    </row>
    <row r="108" spans="1:62" x14ac:dyDescent="0.3">
      <c r="A108" s="1200">
        <v>5</v>
      </c>
      <c r="B108" s="1203" t="s">
        <v>426</v>
      </c>
      <c r="C108" s="1203"/>
      <c r="D108" s="1203"/>
      <c r="E108" s="1203" t="s">
        <v>275</v>
      </c>
      <c r="F108" s="1203"/>
      <c r="G108" s="1202" t="str">
        <f t="shared" ca="1" si="27"/>
        <v/>
      </c>
      <c r="H108" s="1204" t="s">
        <v>4387</v>
      </c>
      <c r="I108" s="93"/>
      <c r="J108" s="93"/>
      <c r="K108" s="93"/>
      <c r="L108" s="1329"/>
      <c r="M108" s="294"/>
      <c r="N108" s="1463"/>
      <c r="O108" s="1463"/>
      <c r="P108" s="280"/>
      <c r="Q108" s="280"/>
      <c r="R108" s="280"/>
      <c r="S108" s="280"/>
      <c r="T108" s="280"/>
      <c r="U108" s="280"/>
      <c r="V108" s="280"/>
      <c r="W108" s="280"/>
      <c r="X108" s="1303"/>
      <c r="Y108" s="1522"/>
      <c r="Z108" s="1586"/>
      <c r="AC108" s="280"/>
      <c r="AD108" s="280"/>
      <c r="AE108" s="280"/>
      <c r="AF108" s="280"/>
      <c r="AG108" s="280"/>
      <c r="AH108" s="280"/>
      <c r="AI108" s="280"/>
      <c r="AJ108" s="280"/>
      <c r="AK108" s="280"/>
      <c r="AL108" s="280"/>
      <c r="AM108" s="280"/>
      <c r="AN108" s="280"/>
      <c r="AO108" s="280"/>
      <c r="AP108" s="280"/>
      <c r="AQ108" s="280"/>
      <c r="AR108" s="280"/>
      <c r="AS108" s="280"/>
      <c r="BJ108" s="1184" t="s">
        <v>4763</v>
      </c>
    </row>
    <row r="109" spans="1:62" x14ac:dyDescent="0.3">
      <c r="A109" s="1200">
        <v>5</v>
      </c>
      <c r="B109" s="1203" t="s">
        <v>426</v>
      </c>
      <c r="C109" s="1203"/>
      <c r="D109" s="1203"/>
      <c r="E109" s="1203" t="s">
        <v>275</v>
      </c>
      <c r="F109" s="1203"/>
      <c r="G109" s="1202" t="str">
        <f t="shared" ca="1" si="27"/>
        <v/>
      </c>
      <c r="H109" s="1204" t="s">
        <v>4387</v>
      </c>
      <c r="I109" s="93"/>
      <c r="J109" s="93"/>
      <c r="K109" s="93"/>
      <c r="L109" s="1329"/>
      <c r="M109" s="294"/>
      <c r="N109" s="1463"/>
      <c r="O109" s="1463"/>
      <c r="P109" s="280"/>
      <c r="Q109" s="280"/>
      <c r="R109" s="280"/>
      <c r="S109" s="280"/>
      <c r="T109" s="280"/>
      <c r="U109" s="280"/>
      <c r="V109" s="280"/>
      <c r="W109" s="280"/>
      <c r="X109" s="1303"/>
      <c r="Y109" s="1522"/>
      <c r="Z109" s="1586"/>
      <c r="AC109" s="280"/>
      <c r="AD109" s="280"/>
      <c r="AE109" s="280"/>
      <c r="AF109" s="280"/>
      <c r="AG109" s="280"/>
      <c r="AH109" s="280"/>
      <c r="AI109" s="280"/>
      <c r="AJ109" s="280"/>
      <c r="AK109" s="280"/>
      <c r="AL109" s="280"/>
      <c r="AM109" s="280"/>
      <c r="AN109" s="280"/>
      <c r="AO109" s="280"/>
      <c r="AP109" s="280"/>
      <c r="AQ109" s="280"/>
      <c r="AR109" s="280"/>
      <c r="AS109" s="280"/>
      <c r="BJ109" s="1184" t="s">
        <v>4763</v>
      </c>
    </row>
    <row r="110" spans="1:62" x14ac:dyDescent="0.3">
      <c r="A110" s="1200">
        <v>5</v>
      </c>
      <c r="B110" s="1203" t="s">
        <v>426</v>
      </c>
      <c r="C110" s="1203"/>
      <c r="D110" s="1203"/>
      <c r="E110" s="1203" t="s">
        <v>275</v>
      </c>
      <c r="F110" s="1203" t="s">
        <v>121</v>
      </c>
      <c r="G110" s="1202" t="str">
        <f t="shared" ca="1" si="27"/>
        <v/>
      </c>
      <c r="H110" s="1204" t="s">
        <v>4387</v>
      </c>
      <c r="I110" s="93"/>
      <c r="J110" s="93"/>
      <c r="K110" s="90" t="s">
        <v>121</v>
      </c>
      <c r="L110" s="86" t="s">
        <v>431</v>
      </c>
      <c r="M110" s="294">
        <v>5</v>
      </c>
      <c r="N110" s="282"/>
      <c r="O110" s="282"/>
      <c r="P110" s="280"/>
      <c r="Q110" s="280"/>
      <c r="R110" s="280"/>
      <c r="S110" s="280"/>
      <c r="T110" s="280"/>
      <c r="U110" s="280"/>
      <c r="V110" s="280"/>
      <c r="W110" s="280"/>
      <c r="X110" s="1303"/>
      <c r="Y110" s="1522"/>
      <c r="Z110" s="1586"/>
      <c r="AC110" s="280"/>
      <c r="AD110" s="280"/>
      <c r="AE110" s="280"/>
      <c r="AF110" s="280"/>
      <c r="AG110" s="280"/>
      <c r="AH110" s="280"/>
      <c r="AI110" s="280"/>
      <c r="AJ110" s="280"/>
      <c r="AK110" s="280"/>
      <c r="AL110" s="311" t="str">
        <f t="shared" ref="AL110:AL112" si="28">SUBSTITUTE(SUBSTITUTE(SUBSTITUTE("vpa"&amp;$B110&amp;$C110&amp;$D110&amp;$E110&amp;$F110,".","_"),"(","_"),")","")</f>
        <v>vpa503_4_3_a</v>
      </c>
      <c r="AM110" s="311">
        <f>M110</f>
        <v>5</v>
      </c>
      <c r="AN110" s="280"/>
      <c r="AO110" s="280"/>
      <c r="AP110" s="280"/>
      <c r="AQ110" s="280"/>
      <c r="AR110" s="280"/>
      <c r="AS110" s="280"/>
      <c r="BJ110" s="1184" t="s">
        <v>4763</v>
      </c>
    </row>
    <row r="111" spans="1:62" x14ac:dyDescent="0.3">
      <c r="A111" s="1200">
        <v>5</v>
      </c>
      <c r="B111" s="1203" t="s">
        <v>426</v>
      </c>
      <c r="C111" s="1203"/>
      <c r="D111" s="1203"/>
      <c r="E111" s="1203" t="s">
        <v>275</v>
      </c>
      <c r="F111" s="1203" t="s">
        <v>122</v>
      </c>
      <c r="G111" s="1202" t="str">
        <f t="shared" ca="1" si="27"/>
        <v/>
      </c>
      <c r="H111" s="1204" t="s">
        <v>4387</v>
      </c>
      <c r="I111" s="93"/>
      <c r="J111" s="93"/>
      <c r="K111" s="90" t="s">
        <v>122</v>
      </c>
      <c r="L111" s="86" t="s">
        <v>432</v>
      </c>
      <c r="M111" s="294">
        <v>8</v>
      </c>
      <c r="N111" s="282"/>
      <c r="O111" s="282"/>
      <c r="P111" s="280"/>
      <c r="Q111" s="280"/>
      <c r="R111" s="280"/>
      <c r="S111" s="280"/>
      <c r="T111" s="280"/>
      <c r="U111" s="280"/>
      <c r="V111" s="280"/>
      <c r="W111" s="280"/>
      <c r="X111" s="1303"/>
      <c r="Y111" s="1522"/>
      <c r="Z111" s="1586"/>
      <c r="AC111" s="280"/>
      <c r="AD111" s="280"/>
      <c r="AE111" s="280"/>
      <c r="AF111" s="280"/>
      <c r="AG111" s="280"/>
      <c r="AH111" s="280"/>
      <c r="AI111" s="280"/>
      <c r="AJ111" s="280"/>
      <c r="AK111" s="280"/>
      <c r="AL111" s="311" t="str">
        <f t="shared" si="28"/>
        <v>vpa503_4_3_b</v>
      </c>
      <c r="AM111" s="311">
        <f>M111</f>
        <v>8</v>
      </c>
      <c r="AN111" s="280"/>
      <c r="AO111" s="280"/>
      <c r="AP111" s="280"/>
      <c r="AQ111" s="280"/>
      <c r="AR111" s="280"/>
      <c r="AS111" s="280"/>
      <c r="BJ111" s="1184" t="s">
        <v>4763</v>
      </c>
    </row>
    <row r="112" spans="1:62" x14ac:dyDescent="0.3">
      <c r="A112" s="1200">
        <v>5</v>
      </c>
      <c r="B112" s="1203" t="s">
        <v>426</v>
      </c>
      <c r="C112" s="1203"/>
      <c r="D112" s="1203"/>
      <c r="E112" s="1203" t="s">
        <v>275</v>
      </c>
      <c r="F112" s="1203" t="s">
        <v>123</v>
      </c>
      <c r="G112" s="1202" t="str">
        <f t="shared" ca="1" si="27"/>
        <v/>
      </c>
      <c r="H112" s="1204" t="s">
        <v>4387</v>
      </c>
      <c r="I112" s="93"/>
      <c r="J112" s="195"/>
      <c r="K112" s="197" t="s">
        <v>123</v>
      </c>
      <c r="L112" s="193" t="s">
        <v>433</v>
      </c>
      <c r="M112" s="287">
        <v>10</v>
      </c>
      <c r="N112" s="284"/>
      <c r="O112" s="284"/>
      <c r="P112" s="280"/>
      <c r="Q112" s="280"/>
      <c r="R112" s="280"/>
      <c r="S112" s="280"/>
      <c r="T112" s="280"/>
      <c r="U112" s="280"/>
      <c r="V112" s="280"/>
      <c r="W112" s="280"/>
      <c r="X112" s="1303"/>
      <c r="Y112" s="1522"/>
      <c r="Z112" s="1586"/>
      <c r="AC112" s="280"/>
      <c r="AD112" s="280"/>
      <c r="AE112" s="280"/>
      <c r="AF112" s="280"/>
      <c r="AG112" s="280"/>
      <c r="AH112" s="280"/>
      <c r="AI112" s="280"/>
      <c r="AJ112" s="280"/>
      <c r="AK112" s="280"/>
      <c r="AL112" s="311" t="str">
        <f t="shared" si="28"/>
        <v>vpa503_4_3_c</v>
      </c>
      <c r="AM112" s="311">
        <f>M112</f>
        <v>10</v>
      </c>
      <c r="AN112" s="280"/>
      <c r="AO112" s="280"/>
      <c r="AP112" s="280"/>
      <c r="AQ112" s="280"/>
      <c r="AR112" s="280"/>
      <c r="AS112" s="280"/>
      <c r="BJ112" s="1184" t="s">
        <v>4763</v>
      </c>
    </row>
    <row r="113" spans="1:62" x14ac:dyDescent="0.3">
      <c r="A113" s="1200">
        <v>5</v>
      </c>
      <c r="B113" s="1203" t="s">
        <v>426</v>
      </c>
      <c r="C113" s="1203"/>
      <c r="D113" s="1203"/>
      <c r="E113" s="1203" t="s">
        <v>285</v>
      </c>
      <c r="F113" s="1203"/>
      <c r="G113" s="1202" t="str">
        <f ca="1">IF(N113&gt;0,"P","")</f>
        <v/>
      </c>
      <c r="H113" s="1204" t="s">
        <v>4386</v>
      </c>
      <c r="I113" s="107"/>
      <c r="J113" s="94" t="s">
        <v>285</v>
      </c>
      <c r="K113" s="115"/>
      <c r="L113" s="1305" t="s">
        <v>434</v>
      </c>
      <c r="M113" s="286"/>
      <c r="N113" s="1472">
        <f ca="1">'Ch5'!O114</f>
        <v>0</v>
      </c>
      <c r="O113" s="1463">
        <f ca="1">S113*IFERROR(INDEX({5,8,10},MATCH(W113,INDIRECT(U113))),0)</f>
        <v>0</v>
      </c>
      <c r="P113" s="97" t="b">
        <v>1</v>
      </c>
      <c r="Q113" s="97" t="b">
        <v>1</v>
      </c>
      <c r="R113" s="97" t="b">
        <v>0</v>
      </c>
      <c r="S113" s="97" t="b">
        <v>1</v>
      </c>
      <c r="T113" s="97" t="b">
        <v>0</v>
      </c>
      <c r="U113" s="97" t="str">
        <f>SUBSTITUTE(SUBSTITUTE(SUBSTITUTE("dd"&amp;B113&amp;C113&amp;D113&amp;E113&amp;F113,".","_"),"(","_"),")","")</f>
        <v>dd503_4_4</v>
      </c>
      <c r="V113" s="97"/>
      <c r="W113" s="12"/>
      <c r="X113" s="1295"/>
      <c r="Y113" s="1523" t="str">
        <f>IF(LEN('Ch5'!X114)=0,"None",'Ch5'!X114)</f>
        <v>None</v>
      </c>
      <c r="Z113" s="1583"/>
      <c r="AA113" s="1110">
        <f>'Photo Review'!H113</f>
        <v>0</v>
      </c>
      <c r="AC113" s="280"/>
      <c r="AD113" s="280"/>
      <c r="AE113" s="280"/>
      <c r="AF113" s="280"/>
      <c r="AG113" s="280"/>
      <c r="AH113" s="280"/>
      <c r="AI113" s="280"/>
      <c r="AJ113" s="280"/>
      <c r="AK113" s="280"/>
      <c r="AL113" s="280"/>
      <c r="AM113" s="280"/>
      <c r="AN113" s="311" t="str">
        <f>SUBSTITUTE(SUBSTITUTE(SUBSTITUTE("vpc"&amp;$B113&amp;$C113&amp;$D113&amp;$E113&amp;$F113,".","_"),"(","_"),")","")</f>
        <v>vpc503_4_4</v>
      </c>
      <c r="AO113" s="311">
        <f ca="1">O113</f>
        <v>0</v>
      </c>
      <c r="AP113" s="311" t="str">
        <f>SUBSTITUTE(SUBSTITUTE(SUBSTITUTE("vch"&amp;$B113&amp;$C113&amp;$D113&amp;$E113&amp;$F113,".","_"),"(","_"),")","")</f>
        <v>vch503_4_4</v>
      </c>
      <c r="AQ113" s="311">
        <f>W113</f>
        <v>0</v>
      </c>
      <c r="AR113" s="311" t="str">
        <f>SUBSTITUTE(SUBSTITUTE(SUBSTITUTE("vnt"&amp;$B113&amp;$C113&amp;$D113&amp;$E113&amp;$F113,".","_"),"(","_"),")","")</f>
        <v>vnt503_4_4</v>
      </c>
      <c r="AS113" s="311">
        <f>X113</f>
        <v>0</v>
      </c>
      <c r="BJ113" s="1184" t="s">
        <v>4763</v>
      </c>
    </row>
    <row r="114" spans="1:62" x14ac:dyDescent="0.3">
      <c r="A114" s="1200">
        <v>5</v>
      </c>
      <c r="B114" s="1203" t="s">
        <v>426</v>
      </c>
      <c r="C114" s="1203"/>
      <c r="D114" s="1203"/>
      <c r="E114" s="1203" t="s">
        <v>285</v>
      </c>
      <c r="F114" s="1203"/>
      <c r="G114" s="1202" t="str">
        <f t="shared" ref="G114:G117" ca="1" si="29">G113</f>
        <v/>
      </c>
      <c r="H114" s="1204" t="s">
        <v>4386</v>
      </c>
      <c r="I114" s="107"/>
      <c r="J114" s="107"/>
      <c r="K114" s="107"/>
      <c r="L114" s="1305"/>
      <c r="M114" s="286"/>
      <c r="N114" s="1473"/>
      <c r="O114" s="1463"/>
      <c r="P114" s="97"/>
      <c r="Q114" s="97"/>
      <c r="R114" s="97"/>
      <c r="S114" s="97"/>
      <c r="T114" s="97"/>
      <c r="U114" s="97"/>
      <c r="V114" s="97"/>
      <c r="W114" s="97"/>
      <c r="X114" s="1295"/>
      <c r="Y114" s="1523"/>
      <c r="Z114" s="1583"/>
      <c r="AC114" s="280"/>
      <c r="AD114" s="280"/>
      <c r="AE114" s="280"/>
      <c r="AF114" s="280"/>
      <c r="AG114" s="280"/>
      <c r="AH114" s="280"/>
      <c r="AI114" s="280"/>
      <c r="AJ114" s="280"/>
      <c r="AK114" s="280"/>
      <c r="AL114" s="280"/>
      <c r="AM114" s="280"/>
      <c r="AN114" s="280"/>
      <c r="AO114" s="280"/>
      <c r="AP114" s="280"/>
      <c r="AQ114" s="280"/>
      <c r="AR114" s="280"/>
      <c r="AS114" s="280"/>
      <c r="BJ114" s="1184" t="s">
        <v>4763</v>
      </c>
    </row>
    <row r="115" spans="1:62" x14ac:dyDescent="0.3">
      <c r="A115" s="1200">
        <v>5</v>
      </c>
      <c r="B115" s="1203" t="s">
        <v>426</v>
      </c>
      <c r="C115" s="1203"/>
      <c r="D115" s="1203"/>
      <c r="E115" s="1203" t="s">
        <v>285</v>
      </c>
      <c r="F115" s="1203" t="s">
        <v>121</v>
      </c>
      <c r="G115" s="1202" t="str">
        <f t="shared" ca="1" si="29"/>
        <v/>
      </c>
      <c r="H115" s="1204" t="s">
        <v>4386</v>
      </c>
      <c r="I115" s="107"/>
      <c r="J115" s="107"/>
      <c r="K115" s="94" t="s">
        <v>121</v>
      </c>
      <c r="L115" s="98" t="s">
        <v>435</v>
      </c>
      <c r="M115" s="286">
        <v>5</v>
      </c>
      <c r="N115" s="283"/>
      <c r="O115" s="282"/>
      <c r="P115" s="97"/>
      <c r="Q115" s="97"/>
      <c r="R115" s="97"/>
      <c r="S115" s="97"/>
      <c r="T115" s="97"/>
      <c r="U115" s="97"/>
      <c r="V115" s="97"/>
      <c r="W115" s="97"/>
      <c r="X115" s="1295"/>
      <c r="Y115" s="1523"/>
      <c r="Z115" s="1583"/>
      <c r="AC115" s="280"/>
      <c r="AD115" s="280"/>
      <c r="AE115" s="280"/>
      <c r="AF115" s="280"/>
      <c r="AG115" s="280"/>
      <c r="AH115" s="280"/>
      <c r="AI115" s="280"/>
      <c r="AJ115" s="280"/>
      <c r="AK115" s="280"/>
      <c r="AL115" s="311" t="str">
        <f t="shared" ref="AL115:AL117" si="30">SUBSTITUTE(SUBSTITUTE(SUBSTITUTE("vpa"&amp;$B115&amp;$C115&amp;$D115&amp;$E115&amp;$F115,".","_"),"(","_"),")","")</f>
        <v>vpa503_4_4_a</v>
      </c>
      <c r="AM115" s="311">
        <f>M115</f>
        <v>5</v>
      </c>
      <c r="AN115" s="280"/>
      <c r="AO115" s="280"/>
      <c r="AP115" s="280"/>
      <c r="AQ115" s="280"/>
      <c r="AR115" s="280"/>
      <c r="AS115" s="280"/>
      <c r="BJ115" s="1184" t="s">
        <v>4763</v>
      </c>
    </row>
    <row r="116" spans="1:62" x14ac:dyDescent="0.3">
      <c r="A116" s="1200">
        <v>5</v>
      </c>
      <c r="B116" s="1203" t="s">
        <v>426</v>
      </c>
      <c r="C116" s="1203"/>
      <c r="D116" s="1203"/>
      <c r="E116" s="1203" t="s">
        <v>285</v>
      </c>
      <c r="F116" s="1203" t="s">
        <v>122</v>
      </c>
      <c r="G116" s="1202" t="str">
        <f t="shared" ca="1" si="29"/>
        <v/>
      </c>
      <c r="H116" s="1204" t="s">
        <v>4386</v>
      </c>
      <c r="I116" s="107"/>
      <c r="J116" s="107"/>
      <c r="K116" s="94" t="s">
        <v>122</v>
      </c>
      <c r="L116" s="98" t="s">
        <v>436</v>
      </c>
      <c r="M116" s="286">
        <v>8</v>
      </c>
      <c r="N116" s="283"/>
      <c r="O116" s="282"/>
      <c r="P116" s="97"/>
      <c r="Q116" s="97"/>
      <c r="R116" s="97"/>
      <c r="S116" s="97"/>
      <c r="T116" s="97"/>
      <c r="U116" s="97"/>
      <c r="V116" s="97"/>
      <c r="W116" s="97"/>
      <c r="X116" s="1295"/>
      <c r="Y116" s="1523"/>
      <c r="Z116" s="1583"/>
      <c r="AC116" s="280"/>
      <c r="AD116" s="280"/>
      <c r="AE116" s="280"/>
      <c r="AF116" s="280"/>
      <c r="AG116" s="280"/>
      <c r="AH116" s="280"/>
      <c r="AI116" s="280"/>
      <c r="AJ116" s="280"/>
      <c r="AK116" s="280"/>
      <c r="AL116" s="311" t="str">
        <f t="shared" si="30"/>
        <v>vpa503_4_4_b</v>
      </c>
      <c r="AM116" s="311">
        <f>M116</f>
        <v>8</v>
      </c>
      <c r="AN116" s="280"/>
      <c r="AO116" s="280"/>
      <c r="AP116" s="280"/>
      <c r="AQ116" s="280"/>
      <c r="AR116" s="280"/>
      <c r="AS116" s="280"/>
      <c r="BJ116" s="1184" t="s">
        <v>4763</v>
      </c>
    </row>
    <row r="117" spans="1:62" ht="15" thickBot="1" x14ac:dyDescent="0.35">
      <c r="A117" s="1200">
        <v>5</v>
      </c>
      <c r="B117" s="1203" t="s">
        <v>426</v>
      </c>
      <c r="C117" s="1203"/>
      <c r="D117" s="1203"/>
      <c r="E117" s="1203" t="s">
        <v>285</v>
      </c>
      <c r="F117" s="1203" t="s">
        <v>123</v>
      </c>
      <c r="G117" s="1202" t="str">
        <f t="shared" ca="1" si="29"/>
        <v/>
      </c>
      <c r="H117" s="1204" t="s">
        <v>4386</v>
      </c>
      <c r="I117" s="108"/>
      <c r="J117" s="108"/>
      <c r="K117" s="116" t="s">
        <v>123</v>
      </c>
      <c r="L117" s="100" t="s">
        <v>437</v>
      </c>
      <c r="M117" s="295">
        <v>10</v>
      </c>
      <c r="N117" s="288"/>
      <c r="O117" s="288"/>
      <c r="P117" s="104"/>
      <c r="Q117" s="104"/>
      <c r="R117" s="104"/>
      <c r="S117" s="104"/>
      <c r="T117" s="104"/>
      <c r="U117" s="104"/>
      <c r="V117" s="104"/>
      <c r="W117" s="104"/>
      <c r="X117" s="1296"/>
      <c r="Y117" s="1524"/>
      <c r="Z117" s="1584"/>
      <c r="AC117" s="280"/>
      <c r="AD117" s="280"/>
      <c r="AE117" s="280"/>
      <c r="AF117" s="280"/>
      <c r="AG117" s="280"/>
      <c r="AH117" s="280"/>
      <c r="AI117" s="280"/>
      <c r="AJ117" s="280"/>
      <c r="AK117" s="280"/>
      <c r="AL117" s="311" t="str">
        <f t="shared" si="30"/>
        <v>vpa503_4_4_c</v>
      </c>
      <c r="AM117" s="311">
        <f>M117</f>
        <v>10</v>
      </c>
      <c r="AN117" s="280"/>
      <c r="AO117" s="280"/>
      <c r="AP117" s="280"/>
      <c r="AQ117" s="280"/>
      <c r="AR117" s="280"/>
      <c r="AS117" s="280"/>
      <c r="BJ117" s="1184" t="s">
        <v>4763</v>
      </c>
    </row>
    <row r="118" spans="1:62" ht="15" thickTop="1" x14ac:dyDescent="0.3">
      <c r="A118" s="1200">
        <v>5</v>
      </c>
      <c r="B118" s="1203" t="s">
        <v>438</v>
      </c>
      <c r="C118" s="1203"/>
      <c r="D118" s="1203"/>
      <c r="E118" s="1203"/>
      <c r="F118" s="1203"/>
      <c r="G118" s="1196" t="str">
        <f ca="1">IF(COUNTIF(G122:G154,"P")&gt;0,"P","")</f>
        <v>P</v>
      </c>
      <c r="H118" s="1204" t="s">
        <v>4388</v>
      </c>
      <c r="I118" s="152">
        <v>503.5</v>
      </c>
      <c r="J118" s="93"/>
      <c r="K118" s="93"/>
      <c r="L118" s="1292" t="s">
        <v>439</v>
      </c>
      <c r="M118" s="294"/>
      <c r="N118" s="282"/>
      <c r="O118" s="280"/>
      <c r="P118" s="280"/>
      <c r="Q118" s="280"/>
      <c r="R118" s="280"/>
      <c r="S118" s="280"/>
      <c r="T118" s="280"/>
      <c r="U118" s="280"/>
      <c r="V118" s="280"/>
      <c r="W118" s="280"/>
      <c r="X118" s="1304"/>
      <c r="Y118" s="1525" t="str">
        <f>IF(LEN('Ch5'!X119)=0,"None",'Ch5'!X119)</f>
        <v>None</v>
      </c>
      <c r="Z118" s="1585"/>
      <c r="AC118" s="280"/>
      <c r="AD118" s="280"/>
      <c r="AE118" s="280"/>
      <c r="AF118" s="280"/>
      <c r="AG118" s="280"/>
      <c r="AH118" s="280"/>
      <c r="AI118" s="280"/>
      <c r="AJ118" s="280"/>
      <c r="AK118" s="280"/>
      <c r="AL118" s="280"/>
      <c r="AM118" s="280"/>
      <c r="AN118" s="280"/>
      <c r="AO118" s="280"/>
      <c r="AP118" s="280"/>
      <c r="AQ118" s="280"/>
      <c r="AR118" s="311" t="str">
        <f>SUBSTITUTE(SUBSTITUTE(SUBSTITUTE("vnt"&amp;$B118&amp;$C118&amp;$D118&amp;$E118&amp;$F118,".","_"),"(","_"),")","")</f>
        <v>vnt503_5</v>
      </c>
      <c r="AS118" s="311">
        <f>X118</f>
        <v>0</v>
      </c>
      <c r="BJ118" s="1184" t="s">
        <v>4763</v>
      </c>
    </row>
    <row r="119" spans="1:62" x14ac:dyDescent="0.3">
      <c r="A119" s="1200">
        <v>5</v>
      </c>
      <c r="B119" s="1203" t="s">
        <v>438</v>
      </c>
      <c r="C119" s="1203"/>
      <c r="D119" s="1203"/>
      <c r="E119" s="1203"/>
      <c r="F119" s="1203"/>
      <c r="G119" s="1202" t="str">
        <f t="shared" ref="G119" ca="1" si="31">G118</f>
        <v>P</v>
      </c>
      <c r="H119" s="1204" t="s">
        <v>4388</v>
      </c>
      <c r="I119" s="93"/>
      <c r="J119" s="93"/>
      <c r="K119" s="93"/>
      <c r="L119" s="1292"/>
      <c r="M119" s="294"/>
      <c r="N119" s="282"/>
      <c r="O119" s="280"/>
      <c r="P119" s="280"/>
      <c r="Q119" s="280"/>
      <c r="R119" s="280"/>
      <c r="S119" s="280"/>
      <c r="T119" s="280"/>
      <c r="U119" s="280"/>
      <c r="V119" s="280"/>
      <c r="W119" s="280"/>
      <c r="X119" s="1303"/>
      <c r="Y119" s="1522"/>
      <c r="Z119" s="1586"/>
      <c r="AC119" s="280"/>
      <c r="AD119" s="280"/>
      <c r="AE119" s="280"/>
      <c r="AF119" s="280"/>
      <c r="AG119" s="280"/>
      <c r="AH119" s="280"/>
      <c r="AI119" s="280"/>
      <c r="AJ119" s="280"/>
      <c r="AK119" s="280"/>
      <c r="AL119" s="280"/>
      <c r="AM119" s="280"/>
      <c r="AN119" s="280"/>
      <c r="AO119" s="280"/>
      <c r="AP119" s="280"/>
      <c r="AQ119" s="280"/>
      <c r="AR119" s="280"/>
      <c r="AS119" s="280"/>
      <c r="BJ119" s="1184" t="s">
        <v>4763</v>
      </c>
    </row>
    <row r="120" spans="1:62" x14ac:dyDescent="0.3">
      <c r="A120" s="1200">
        <v>5</v>
      </c>
      <c r="B120" s="1203" t="s">
        <v>438</v>
      </c>
      <c r="C120" s="1203"/>
      <c r="D120" s="1203"/>
      <c r="E120" s="1203"/>
      <c r="F120" s="1203"/>
      <c r="G120" s="1204"/>
      <c r="H120" s="1204"/>
      <c r="I120" s="93"/>
      <c r="J120" s="93"/>
      <c r="K120" s="93"/>
      <c r="L120" s="1328" t="s">
        <v>440</v>
      </c>
      <c r="M120" s="294"/>
      <c r="N120" s="282"/>
      <c r="O120" s="280"/>
      <c r="P120" s="97" t="b">
        <v>0</v>
      </c>
      <c r="Q120" s="97" t="b">
        <v>1</v>
      </c>
      <c r="R120" s="280" t="b">
        <v>0</v>
      </c>
      <c r="S120" s="280" t="b">
        <v>1</v>
      </c>
      <c r="T120" s="280" t="b">
        <v>0</v>
      </c>
      <c r="U120" s="280" t="str">
        <f>SUBSTITUTE(SUBSTITUTE(SUBSTITUTE("dd"&amp;B120&amp;C120&amp;D120&amp;E120&amp;F120,".","_"),"(","_"),")","")</f>
        <v>dd503_5</v>
      </c>
      <c r="V120" s="280"/>
      <c r="W120" s="12"/>
      <c r="X120" s="1303"/>
      <c r="Y120" s="1522"/>
      <c r="Z120" s="1586"/>
      <c r="AC120" s="280"/>
      <c r="AD120" s="280"/>
      <c r="AE120" s="280"/>
      <c r="AF120" s="280"/>
      <c r="AG120" s="280"/>
      <c r="AH120" s="280"/>
      <c r="AI120" s="280"/>
      <c r="AJ120" s="280"/>
      <c r="AK120" s="280"/>
      <c r="AL120" s="280"/>
      <c r="AM120" s="280"/>
      <c r="AN120" s="280"/>
      <c r="AO120" s="280"/>
      <c r="AP120" s="311" t="str">
        <f>SUBSTITUTE(SUBSTITUTE(SUBSTITUTE("vch"&amp;$B120&amp;$C120&amp;$D120&amp;$E120&amp;$F120,".","_"),"(","_"),")","")</f>
        <v>vch503_5</v>
      </c>
      <c r="AQ120" s="311">
        <f>W120</f>
        <v>0</v>
      </c>
      <c r="AR120" s="280"/>
      <c r="AS120" s="280"/>
      <c r="BJ120" s="1184" t="s">
        <v>4763</v>
      </c>
    </row>
    <row r="121" spans="1:62" x14ac:dyDescent="0.3">
      <c r="A121" s="1200">
        <v>5</v>
      </c>
      <c r="B121" s="1203" t="s">
        <v>438</v>
      </c>
      <c r="C121" s="1203"/>
      <c r="D121" s="1203"/>
      <c r="E121" s="1203"/>
      <c r="F121" s="1203"/>
      <c r="G121" s="1204"/>
      <c r="H121" s="1204"/>
      <c r="I121" s="93"/>
      <c r="J121" s="93"/>
      <c r="K121" s="93"/>
      <c r="L121" s="1328"/>
      <c r="M121" s="294"/>
      <c r="N121" s="282"/>
      <c r="O121" s="280"/>
      <c r="P121" s="280"/>
      <c r="Q121" s="280"/>
      <c r="R121" s="280"/>
      <c r="S121" s="280"/>
      <c r="T121" s="280"/>
      <c r="U121" s="280"/>
      <c r="V121" s="280"/>
      <c r="W121" s="280"/>
      <c r="X121" s="1303"/>
      <c r="Y121" s="1522"/>
      <c r="Z121" s="1586"/>
      <c r="AC121" s="280"/>
      <c r="AD121" s="280"/>
      <c r="AE121" s="280"/>
      <c r="AF121" s="280"/>
      <c r="AG121" s="280"/>
      <c r="AH121" s="280"/>
      <c r="AI121" s="280"/>
      <c r="AJ121" s="280"/>
      <c r="AK121" s="280"/>
      <c r="AL121" s="280"/>
      <c r="AM121" s="280"/>
      <c r="AN121" s="280"/>
      <c r="AO121" s="280"/>
      <c r="AP121" s="280"/>
      <c r="AQ121" s="280"/>
      <c r="AR121" s="280"/>
      <c r="AS121" s="280"/>
      <c r="BJ121" s="1184" t="s">
        <v>4763</v>
      </c>
    </row>
    <row r="122" spans="1:62" x14ac:dyDescent="0.3">
      <c r="A122" s="1200">
        <v>5</v>
      </c>
      <c r="B122" s="1203" t="s">
        <v>438</v>
      </c>
      <c r="C122" s="1203"/>
      <c r="D122" s="1203"/>
      <c r="E122" s="1203" t="s">
        <v>271</v>
      </c>
      <c r="F122" s="1203"/>
      <c r="G122" s="1202" t="str">
        <f ca="1">IF(N122&gt;0,"P","")</f>
        <v/>
      </c>
      <c r="H122" s="1204" t="s">
        <v>4388</v>
      </c>
      <c r="I122" s="93"/>
      <c r="J122" s="90" t="s">
        <v>271</v>
      </c>
      <c r="K122" s="93"/>
      <c r="L122" s="1329" t="s">
        <v>441</v>
      </c>
      <c r="M122" s="294"/>
      <c r="N122" s="1463">
        <f ca="1">'Ch5'!O123</f>
        <v>0</v>
      </c>
      <c r="O122" s="1463">
        <f ca="1">S122*IFERROR(INDEX(M124:M127,MATCH(W122,INDIRECT(U122))),0)</f>
        <v>0</v>
      </c>
      <c r="P122" s="97" t="b">
        <v>0</v>
      </c>
      <c r="Q122" s="97" t="b">
        <v>1</v>
      </c>
      <c r="R122" s="280" t="b">
        <v>0</v>
      </c>
      <c r="S122" s="280" t="b">
        <f>NOT(ISBLANK(W120))</f>
        <v>0</v>
      </c>
      <c r="T122" s="97" t="b">
        <f>IF(AND(NOT(S122),LEN(W122)&gt;0),TRUE,FALSE)</f>
        <v>0</v>
      </c>
      <c r="U122" s="280" t="str">
        <f>SUBSTITUTE(SUBSTITUTE(SUBSTITUTE("dd"&amp;B122&amp;C122&amp;D122&amp;E122&amp;F122,".","_"),"(","_"),")","")</f>
        <v>dd503_5_1</v>
      </c>
      <c r="V122" s="280"/>
      <c r="W122" s="12"/>
      <c r="X122" s="1303"/>
      <c r="Y122" s="1522" t="str">
        <f>IF(LEN('Ch5'!X123)=0,"None",'Ch5'!X123)</f>
        <v>None</v>
      </c>
      <c r="Z122" s="1586"/>
      <c r="AC122" s="280" t="b">
        <f>OR(AD122:AE122)</f>
        <v>0</v>
      </c>
      <c r="AD122" s="280" t="b">
        <f>T122</f>
        <v>0</v>
      </c>
      <c r="AE122" s="280"/>
      <c r="AF122" s="280"/>
      <c r="AG122" s="280"/>
      <c r="AH122" s="280"/>
      <c r="AI122" s="280"/>
      <c r="AJ122" s="280"/>
      <c r="AK122" s="280"/>
      <c r="AL122" s="280"/>
      <c r="AM122" s="280"/>
      <c r="AN122" s="311" t="str">
        <f>SUBSTITUTE(SUBSTITUTE(SUBSTITUTE("vpc"&amp;$B122&amp;$C122&amp;$D122&amp;$E122&amp;$F122,".","_"),"(","_"),")","")</f>
        <v>vpc503_5_1</v>
      </c>
      <c r="AO122" s="311">
        <f ca="1">O122</f>
        <v>0</v>
      </c>
      <c r="AP122" s="311" t="str">
        <f>SUBSTITUTE(SUBSTITUTE(SUBSTITUTE("vch"&amp;$B122&amp;$C122&amp;$D122&amp;$E122&amp;$F122,".","_"),"(","_"),")","")</f>
        <v>vch503_5_1</v>
      </c>
      <c r="AQ122" s="311">
        <f>W122</f>
        <v>0</v>
      </c>
      <c r="AR122" s="311" t="str">
        <f>SUBSTITUTE(SUBSTITUTE(SUBSTITUTE("vnt"&amp;$B122&amp;$C122&amp;$D122&amp;$E122&amp;$F122,".","_"),"(","_"),")","")</f>
        <v>vnt503_5_1</v>
      </c>
      <c r="AS122" s="311">
        <f>X122</f>
        <v>0</v>
      </c>
      <c r="BJ122" s="1184" t="s">
        <v>4763</v>
      </c>
    </row>
    <row r="123" spans="1:62" x14ac:dyDescent="0.3">
      <c r="A123" s="1200">
        <v>5</v>
      </c>
      <c r="B123" s="1203" t="s">
        <v>438</v>
      </c>
      <c r="C123" s="1203"/>
      <c r="D123" s="1203"/>
      <c r="E123" s="1203" t="s">
        <v>271</v>
      </c>
      <c r="F123" s="1203"/>
      <c r="G123" s="1202" t="str">
        <f t="shared" ref="G123:G127" ca="1" si="32">G122</f>
        <v/>
      </c>
      <c r="H123" s="1204" t="s">
        <v>4388</v>
      </c>
      <c r="I123" s="93"/>
      <c r="J123" s="90"/>
      <c r="K123" s="93"/>
      <c r="L123" s="1329"/>
      <c r="M123" s="294"/>
      <c r="N123" s="1463"/>
      <c r="O123" s="1463"/>
      <c r="P123" s="280"/>
      <c r="Q123" s="280"/>
      <c r="R123" s="280"/>
      <c r="S123" s="280"/>
      <c r="T123" s="280"/>
      <c r="U123" s="280"/>
      <c r="V123" s="280"/>
      <c r="W123" s="280"/>
      <c r="X123" s="1303"/>
      <c r="Y123" s="1522"/>
      <c r="Z123" s="1586"/>
      <c r="AC123" s="280"/>
      <c r="AD123" s="280"/>
      <c r="AE123" s="280"/>
      <c r="AF123" s="280"/>
      <c r="AG123" s="280"/>
      <c r="AH123" s="280"/>
      <c r="AI123" s="280"/>
      <c r="AJ123" s="280"/>
      <c r="AK123" s="280"/>
      <c r="AL123" s="280"/>
      <c r="AM123" s="280"/>
      <c r="AN123" s="280"/>
      <c r="AO123" s="280"/>
      <c r="AP123" s="280"/>
      <c r="AQ123" s="280"/>
      <c r="AR123" s="280"/>
      <c r="AS123" s="280"/>
      <c r="BJ123" s="1184" t="s">
        <v>4763</v>
      </c>
    </row>
    <row r="124" spans="1:62" x14ac:dyDescent="0.3">
      <c r="A124" s="1200">
        <v>5</v>
      </c>
      <c r="B124" s="1203" t="s">
        <v>438</v>
      </c>
      <c r="C124" s="1203"/>
      <c r="D124" s="1203"/>
      <c r="E124" s="1203" t="s">
        <v>271</v>
      </c>
      <c r="F124" s="1203" t="s">
        <v>121</v>
      </c>
      <c r="G124" s="1202" t="str">
        <f t="shared" ca="1" si="32"/>
        <v/>
      </c>
      <c r="H124" s="1204" t="s">
        <v>4388</v>
      </c>
      <c r="I124" s="93"/>
      <c r="J124" s="93"/>
      <c r="K124" s="90" t="s">
        <v>121</v>
      </c>
      <c r="L124" s="86" t="s">
        <v>442</v>
      </c>
      <c r="M124" s="149">
        <f ca="1">4*IFERROR(INDEX({0.5,0.5,1},MATCH($W$120,INDIRECT($U$120),0)),0)</f>
        <v>0</v>
      </c>
      <c r="N124" s="282"/>
      <c r="O124" s="282"/>
      <c r="P124" s="280"/>
      <c r="Q124" s="280"/>
      <c r="R124" s="280"/>
      <c r="S124" s="280"/>
      <c r="T124" s="280"/>
      <c r="U124" s="280"/>
      <c r="V124" s="280"/>
      <c r="W124" s="280"/>
      <c r="X124" s="1303"/>
      <c r="Y124" s="1522"/>
      <c r="Z124" s="1586"/>
      <c r="AC124" s="280"/>
      <c r="AD124" s="280"/>
      <c r="AE124" s="280"/>
      <c r="AF124" s="280"/>
      <c r="AG124" s="280"/>
      <c r="AH124" s="280"/>
      <c r="AI124" s="280"/>
      <c r="AJ124" s="280"/>
      <c r="AK124" s="280"/>
      <c r="AL124" s="311" t="str">
        <f t="shared" ref="AL124:AL128" si="33">SUBSTITUTE(SUBSTITUTE(SUBSTITUTE("vpa"&amp;$B124&amp;$C124&amp;$D124&amp;$E124&amp;$F124,".","_"),"(","_"),")","")</f>
        <v>vpa503_5_1_a</v>
      </c>
      <c r="AM124" s="311">
        <f ca="1">M124</f>
        <v>0</v>
      </c>
      <c r="AN124" s="280"/>
      <c r="AO124" s="280"/>
      <c r="AP124" s="280"/>
      <c r="AQ124" s="280"/>
      <c r="AR124" s="280"/>
      <c r="AS124" s="280"/>
      <c r="BJ124" s="1184" t="s">
        <v>4763</v>
      </c>
    </row>
    <row r="125" spans="1:62" x14ac:dyDescent="0.3">
      <c r="A125" s="1200">
        <v>5</v>
      </c>
      <c r="B125" s="1203" t="s">
        <v>438</v>
      </c>
      <c r="C125" s="1203"/>
      <c r="D125" s="1203"/>
      <c r="E125" s="1203" t="s">
        <v>271</v>
      </c>
      <c r="F125" s="1203" t="s">
        <v>122</v>
      </c>
      <c r="G125" s="1202" t="str">
        <f t="shared" ca="1" si="32"/>
        <v/>
      </c>
      <c r="H125" s="1204" t="s">
        <v>4388</v>
      </c>
      <c r="I125" s="93"/>
      <c r="J125" s="93"/>
      <c r="K125" s="90" t="s">
        <v>122</v>
      </c>
      <c r="L125" s="86" t="s">
        <v>443</v>
      </c>
      <c r="M125" s="149">
        <f ca="1">3*IFERROR(INDEX({0.5,0.5,1},MATCH($W$120,INDIRECT($U$120),0)),0)</f>
        <v>0</v>
      </c>
      <c r="N125" s="282"/>
      <c r="O125" s="282"/>
      <c r="P125" s="280"/>
      <c r="Q125" s="280"/>
      <c r="R125" s="280"/>
      <c r="S125" s="280"/>
      <c r="T125" s="280"/>
      <c r="U125" s="280"/>
      <c r="V125" s="280"/>
      <c r="W125" s="280"/>
      <c r="X125" s="1303"/>
      <c r="Y125" s="1522"/>
      <c r="Z125" s="1586"/>
      <c r="AC125" s="280"/>
      <c r="AD125" s="280"/>
      <c r="AE125" s="280"/>
      <c r="AF125" s="280"/>
      <c r="AG125" s="280"/>
      <c r="AH125" s="280"/>
      <c r="AI125" s="280"/>
      <c r="AJ125" s="280"/>
      <c r="AK125" s="280"/>
      <c r="AL125" s="311" t="str">
        <f t="shared" si="33"/>
        <v>vpa503_5_1_b</v>
      </c>
      <c r="AM125" s="311">
        <f ca="1">M125</f>
        <v>0</v>
      </c>
      <c r="AN125" s="280"/>
      <c r="AO125" s="280"/>
      <c r="AP125" s="280"/>
      <c r="AQ125" s="280"/>
      <c r="AR125" s="280"/>
      <c r="AS125" s="280"/>
      <c r="BJ125" s="1184" t="s">
        <v>4763</v>
      </c>
    </row>
    <row r="126" spans="1:62" x14ac:dyDescent="0.3">
      <c r="A126" s="1200">
        <v>5</v>
      </c>
      <c r="B126" s="1203" t="s">
        <v>438</v>
      </c>
      <c r="C126" s="1203"/>
      <c r="D126" s="1203"/>
      <c r="E126" s="1203" t="s">
        <v>271</v>
      </c>
      <c r="F126" s="1203" t="s">
        <v>123</v>
      </c>
      <c r="G126" s="1202" t="str">
        <f t="shared" ca="1" si="32"/>
        <v/>
      </c>
      <c r="H126" s="1204" t="s">
        <v>4388</v>
      </c>
      <c r="I126" s="93"/>
      <c r="J126" s="93"/>
      <c r="K126" s="92" t="s">
        <v>123</v>
      </c>
      <c r="L126" s="86" t="s">
        <v>444</v>
      </c>
      <c r="M126" s="149">
        <f ca="1">2*IFERROR(INDEX({0.5,0.5,1},MATCH($W$120,INDIRECT($U$120),0)),0)</f>
        <v>0</v>
      </c>
      <c r="N126" s="282"/>
      <c r="O126" s="282"/>
      <c r="P126" s="280"/>
      <c r="Q126" s="280"/>
      <c r="R126" s="280"/>
      <c r="S126" s="280"/>
      <c r="T126" s="280"/>
      <c r="U126" s="280"/>
      <c r="V126" s="280"/>
      <c r="W126" s="280"/>
      <c r="X126" s="1303"/>
      <c r="Y126" s="1522"/>
      <c r="Z126" s="1586"/>
      <c r="AC126" s="280"/>
      <c r="AD126" s="280"/>
      <c r="AE126" s="280"/>
      <c r="AF126" s="280"/>
      <c r="AG126" s="280"/>
      <c r="AH126" s="280"/>
      <c r="AI126" s="280"/>
      <c r="AJ126" s="280"/>
      <c r="AK126" s="280"/>
      <c r="AL126" s="311" t="str">
        <f t="shared" si="33"/>
        <v>vpa503_5_1_c</v>
      </c>
      <c r="AM126" s="311">
        <f ca="1">M126</f>
        <v>0</v>
      </c>
      <c r="AN126" s="280"/>
      <c r="AO126" s="280"/>
      <c r="AP126" s="280"/>
      <c r="AQ126" s="280"/>
      <c r="AR126" s="280"/>
      <c r="AS126" s="280"/>
      <c r="BJ126" s="1184" t="s">
        <v>4763</v>
      </c>
    </row>
    <row r="127" spans="1:62" x14ac:dyDescent="0.3">
      <c r="A127" s="1200">
        <v>5</v>
      </c>
      <c r="B127" s="1203" t="s">
        <v>438</v>
      </c>
      <c r="C127" s="1203"/>
      <c r="D127" s="1203"/>
      <c r="E127" s="1203" t="s">
        <v>271</v>
      </c>
      <c r="F127" s="1203" t="s">
        <v>423</v>
      </c>
      <c r="G127" s="1202" t="str">
        <f t="shared" ca="1" si="32"/>
        <v/>
      </c>
      <c r="H127" s="1204" t="s">
        <v>4388</v>
      </c>
      <c r="I127" s="93"/>
      <c r="J127" s="195"/>
      <c r="K127" s="197" t="s">
        <v>423</v>
      </c>
      <c r="L127" s="193" t="s">
        <v>445</v>
      </c>
      <c r="M127" s="285">
        <f ca="1">1*IFERROR(INDEX({0.5,0.5,1},MATCH($W$120,INDIRECT($U$120),0)),0)</f>
        <v>0</v>
      </c>
      <c r="N127" s="284"/>
      <c r="O127" s="284"/>
      <c r="P127" s="280"/>
      <c r="Q127" s="280"/>
      <c r="R127" s="280"/>
      <c r="S127" s="280"/>
      <c r="T127" s="280"/>
      <c r="U127" s="280"/>
      <c r="V127" s="280"/>
      <c r="W127" s="280"/>
      <c r="X127" s="1303"/>
      <c r="Y127" s="1522"/>
      <c r="Z127" s="1586"/>
      <c r="AC127" s="280"/>
      <c r="AD127" s="280"/>
      <c r="AE127" s="280"/>
      <c r="AF127" s="280"/>
      <c r="AG127" s="280"/>
      <c r="AH127" s="280"/>
      <c r="AI127" s="280"/>
      <c r="AJ127" s="280"/>
      <c r="AK127" s="280"/>
      <c r="AL127" s="311" t="str">
        <f t="shared" si="33"/>
        <v>vpa503_5_1_d</v>
      </c>
      <c r="AM127" s="311">
        <f ca="1">M127</f>
        <v>0</v>
      </c>
      <c r="AN127" s="280"/>
      <c r="AO127" s="280"/>
      <c r="AP127" s="280"/>
      <c r="AQ127" s="280"/>
      <c r="AR127" s="280"/>
      <c r="AS127" s="280"/>
      <c r="BJ127" s="1184" t="s">
        <v>4763</v>
      </c>
    </row>
    <row r="128" spans="1:62" x14ac:dyDescent="0.3">
      <c r="A128" s="1200">
        <v>5</v>
      </c>
      <c r="B128" s="1203" t="s">
        <v>438</v>
      </c>
      <c r="C128" s="1203"/>
      <c r="D128" s="1203"/>
      <c r="E128" s="1203" t="s">
        <v>273</v>
      </c>
      <c r="F128" s="1203"/>
      <c r="G128" s="1202" t="str">
        <f ca="1">IF(N128&gt;0,"P","")</f>
        <v>P</v>
      </c>
      <c r="H128" s="1204" t="s">
        <v>4388</v>
      </c>
      <c r="I128" s="93"/>
      <c r="J128" s="94" t="s">
        <v>273</v>
      </c>
      <c r="K128" s="107"/>
      <c r="L128" s="1305" t="s">
        <v>446</v>
      </c>
      <c r="M128" s="1544">
        <f ca="1">7*IFERROR(INDEX({0.5,0.5,1},MATCH($W$120,INDIRECT($U$120),0)),0)</f>
        <v>0</v>
      </c>
      <c r="N128" s="1472">
        <f ca="1">'Ch5'!O129</f>
        <v>7</v>
      </c>
      <c r="O128" s="1473">
        <f ca="1">M128*S128*W128</f>
        <v>0</v>
      </c>
      <c r="P128" s="280" t="b">
        <v>0</v>
      </c>
      <c r="Q128" s="280" t="b">
        <v>1</v>
      </c>
      <c r="R128" s="280" t="b">
        <v>0</v>
      </c>
      <c r="S128" s="280" t="b">
        <f>NOT(ISBLANK(W120))</f>
        <v>0</v>
      </c>
      <c r="T128" s="97" t="b">
        <f>IF(AND(NOT(S128),W128=TRUE),TRUE,FALSE)</f>
        <v>0</v>
      </c>
      <c r="U128" s="280"/>
      <c r="V128" s="280"/>
      <c r="W128" s="25"/>
      <c r="X128" s="1303"/>
      <c r="Y128" s="1522" t="str">
        <f>IF(LEN('Ch5'!X129)=0,"None",'Ch5'!X129)</f>
        <v>None</v>
      </c>
      <c r="Z128" s="1586"/>
      <c r="AA128" s="1110">
        <f>'Photo Review'!H128</f>
        <v>0</v>
      </c>
      <c r="AC128" s="280" t="b">
        <f>OR(AD128:AE128)</f>
        <v>0</v>
      </c>
      <c r="AD128" s="280" t="b">
        <f>T128</f>
        <v>0</v>
      </c>
      <c r="AE128" s="280"/>
      <c r="AF128" s="280"/>
      <c r="AG128" s="280"/>
      <c r="AH128" s="280"/>
      <c r="AI128" s="280"/>
      <c r="AJ128" s="280"/>
      <c r="AK128" s="280"/>
      <c r="AL128" s="311" t="str">
        <f t="shared" si="33"/>
        <v>vpa503_5_2</v>
      </c>
      <c r="AM128" s="311">
        <f ca="1">M128</f>
        <v>0</v>
      </c>
      <c r="AN128" s="311" t="str">
        <f>SUBSTITUTE(SUBSTITUTE(SUBSTITUTE("vpc"&amp;$B128&amp;$C128&amp;$D128&amp;$E128&amp;$F128,".","_"),"(","_"),")","")</f>
        <v>vpc503_5_2</v>
      </c>
      <c r="AO128" s="311">
        <f ca="1">O128</f>
        <v>0</v>
      </c>
      <c r="AP128" s="311" t="str">
        <f>SUBSTITUTE(SUBSTITUTE(SUBSTITUTE("vch"&amp;$B128&amp;$C128&amp;$D128&amp;$E128&amp;$F128,".","_"),"(","_"),")","")</f>
        <v>vch503_5_2</v>
      </c>
      <c r="AQ128" s="311">
        <f>W128</f>
        <v>0</v>
      </c>
      <c r="AR128" s="311" t="str">
        <f>SUBSTITUTE(SUBSTITUTE(SUBSTITUTE("vnt"&amp;$B128&amp;$C128&amp;$D128&amp;$E128&amp;$F128,".","_"),"(","_"),")","")</f>
        <v>vnt503_5_2</v>
      </c>
      <c r="AS128" s="311">
        <f>X128</f>
        <v>0</v>
      </c>
      <c r="BJ128" s="1184" t="s">
        <v>4763</v>
      </c>
    </row>
    <row r="129" spans="1:62" x14ac:dyDescent="0.3">
      <c r="A129" s="1200">
        <v>5</v>
      </c>
      <c r="B129" s="1203" t="s">
        <v>438</v>
      </c>
      <c r="C129" s="1203"/>
      <c r="D129" s="1203"/>
      <c r="E129" s="1203" t="s">
        <v>273</v>
      </c>
      <c r="F129" s="1203"/>
      <c r="G129" s="1202" t="str">
        <f ca="1">G128</f>
        <v>P</v>
      </c>
      <c r="H129" s="1204" t="s">
        <v>4388</v>
      </c>
      <c r="I129" s="93"/>
      <c r="J129" s="195"/>
      <c r="K129" s="195"/>
      <c r="L129" s="1306"/>
      <c r="M129" s="1545"/>
      <c r="N129" s="1491"/>
      <c r="O129" s="1491"/>
      <c r="P129" s="280"/>
      <c r="Q129" s="280"/>
      <c r="R129" s="280"/>
      <c r="S129" s="280"/>
      <c r="T129" s="280"/>
      <c r="U129" s="280"/>
      <c r="V129" s="280"/>
      <c r="W129" s="280"/>
      <c r="X129" s="1303"/>
      <c r="Y129" s="1522"/>
      <c r="Z129" s="1586"/>
      <c r="AC129" s="280"/>
      <c r="AD129" s="280"/>
      <c r="AE129" s="280"/>
      <c r="AF129" s="280"/>
      <c r="AG129" s="280"/>
      <c r="AH129" s="280"/>
      <c r="AI129" s="280"/>
      <c r="AJ129" s="280"/>
      <c r="AK129" s="280"/>
      <c r="AL129" s="280"/>
      <c r="AM129" s="280"/>
      <c r="AN129" s="280"/>
      <c r="AO129" s="280"/>
      <c r="AP129" s="280"/>
      <c r="AQ129" s="280"/>
      <c r="AR129" s="280"/>
      <c r="AS129" s="280"/>
      <c r="BJ129" s="1184" t="s">
        <v>4763</v>
      </c>
    </row>
    <row r="130" spans="1:62" x14ac:dyDescent="0.3">
      <c r="A130" s="1200">
        <v>5</v>
      </c>
      <c r="B130" s="1203" t="s">
        <v>438</v>
      </c>
      <c r="C130" s="1203"/>
      <c r="D130" s="1203"/>
      <c r="E130" s="1203" t="s">
        <v>275</v>
      </c>
      <c r="F130" s="1203"/>
      <c r="G130" s="1202" t="str">
        <f ca="1">IF(N130&gt;0,"P","")</f>
        <v/>
      </c>
      <c r="H130" s="1204" t="s">
        <v>4388</v>
      </c>
      <c r="I130" s="93"/>
      <c r="J130" s="94" t="s">
        <v>275</v>
      </c>
      <c r="K130" s="107"/>
      <c r="L130" s="1305" t="s">
        <v>447</v>
      </c>
      <c r="M130" s="1544">
        <f ca="1">3*IFERROR(INDEX({0.5,0.5,1},MATCH($W$120,INDIRECT($U$120),0)),0)</f>
        <v>0</v>
      </c>
      <c r="N130" s="1472">
        <f ca="1">'Ch5'!O131</f>
        <v>0</v>
      </c>
      <c r="O130" s="1473">
        <f ca="1">M130*S130*W130</f>
        <v>0</v>
      </c>
      <c r="P130" s="280" t="b">
        <v>0</v>
      </c>
      <c r="Q130" s="280" t="b">
        <v>1</v>
      </c>
      <c r="R130" s="280" t="b">
        <v>0</v>
      </c>
      <c r="S130" s="280" t="b">
        <f>NOT(ISBLANK(W120))</f>
        <v>0</v>
      </c>
      <c r="T130" s="97" t="b">
        <f>IF(AND(NOT(S130),W130=TRUE),TRUE,FALSE)</f>
        <v>0</v>
      </c>
      <c r="U130" s="280"/>
      <c r="V130" s="280"/>
      <c r="W130" s="25"/>
      <c r="X130" s="1303"/>
      <c r="Y130" s="1522" t="str">
        <f>IF(LEN('Ch5'!X131)=0,"None",'Ch5'!X131)</f>
        <v>None</v>
      </c>
      <c r="Z130" s="1586"/>
      <c r="AC130" s="280" t="b">
        <f>OR(AD130:AE130)</f>
        <v>0</v>
      </c>
      <c r="AD130" s="280" t="b">
        <f>T130</f>
        <v>0</v>
      </c>
      <c r="AE130" s="280"/>
      <c r="AF130" s="280"/>
      <c r="AG130" s="280"/>
      <c r="AH130" s="280"/>
      <c r="AI130" s="280"/>
      <c r="AJ130" s="280"/>
      <c r="AK130" s="280"/>
      <c r="AL130" s="311" t="str">
        <f>SUBSTITUTE(SUBSTITUTE(SUBSTITUTE("vpa"&amp;$B130&amp;$C130&amp;$D130&amp;$E130&amp;$F130,".","_"),"(","_"),")","")</f>
        <v>vpa503_5_3</v>
      </c>
      <c r="AM130" s="311">
        <f ca="1">M130</f>
        <v>0</v>
      </c>
      <c r="AN130" s="311" t="str">
        <f>SUBSTITUTE(SUBSTITUTE(SUBSTITUTE("vpc"&amp;$B130&amp;$C130&amp;$D130&amp;$E130&amp;$F130,".","_"),"(","_"),")","")</f>
        <v>vpc503_5_3</v>
      </c>
      <c r="AO130" s="311">
        <f ca="1">O130</f>
        <v>0</v>
      </c>
      <c r="AP130" s="311" t="str">
        <f>SUBSTITUTE(SUBSTITUTE(SUBSTITUTE("vch"&amp;$B130&amp;$C130&amp;$D130&amp;$E130&amp;$F130,".","_"),"(","_"),")","")</f>
        <v>vch503_5_3</v>
      </c>
      <c r="AQ130" s="311">
        <f>W130</f>
        <v>0</v>
      </c>
      <c r="AR130" s="311" t="str">
        <f>SUBSTITUTE(SUBSTITUTE(SUBSTITUTE("vnt"&amp;$B130&amp;$C130&amp;$D130&amp;$E130&amp;$F130,".","_"),"(","_"),")","")</f>
        <v>vnt503_5_3</v>
      </c>
      <c r="AS130" s="311">
        <f>X130</f>
        <v>0</v>
      </c>
      <c r="BJ130" s="1184" t="s">
        <v>4763</v>
      </c>
    </row>
    <row r="131" spans="1:62" x14ac:dyDescent="0.3">
      <c r="A131" s="1200">
        <v>5</v>
      </c>
      <c r="B131" s="1203" t="s">
        <v>438</v>
      </c>
      <c r="C131" s="1203"/>
      <c r="D131" s="1203"/>
      <c r="E131" s="1203" t="s">
        <v>275</v>
      </c>
      <c r="F131" s="1203"/>
      <c r="G131" s="1202" t="str">
        <f ca="1">G130</f>
        <v/>
      </c>
      <c r="H131" s="1204" t="s">
        <v>4388</v>
      </c>
      <c r="I131" s="93"/>
      <c r="J131" s="195"/>
      <c r="K131" s="195"/>
      <c r="L131" s="1306"/>
      <c r="M131" s="1545"/>
      <c r="N131" s="1491"/>
      <c r="O131" s="1491"/>
      <c r="P131" s="280"/>
      <c r="Q131" s="280"/>
      <c r="R131" s="280"/>
      <c r="S131" s="280"/>
      <c r="T131" s="280"/>
      <c r="U131" s="280"/>
      <c r="V131" s="280"/>
      <c r="W131" s="280"/>
      <c r="X131" s="1303"/>
      <c r="Y131" s="1522"/>
      <c r="Z131" s="1586"/>
      <c r="AC131" s="280"/>
      <c r="AD131" s="280"/>
      <c r="AE131" s="280"/>
      <c r="AF131" s="280"/>
      <c r="AG131" s="280"/>
      <c r="AH131" s="280"/>
      <c r="AI131" s="280"/>
      <c r="AJ131" s="280"/>
      <c r="AK131" s="280"/>
      <c r="AL131" s="280"/>
      <c r="AM131" s="280"/>
      <c r="AN131" s="280"/>
      <c r="AO131" s="280"/>
      <c r="AP131" s="280"/>
      <c r="AQ131" s="280"/>
      <c r="AR131" s="280"/>
      <c r="AS131" s="280"/>
      <c r="BJ131" s="1184" t="s">
        <v>4763</v>
      </c>
    </row>
    <row r="132" spans="1:62" x14ac:dyDescent="0.3">
      <c r="A132" s="1200">
        <v>5</v>
      </c>
      <c r="B132" s="1203" t="s">
        <v>438</v>
      </c>
      <c r="C132" s="1203"/>
      <c r="D132" s="1203"/>
      <c r="E132" s="1203" t="s">
        <v>285</v>
      </c>
      <c r="F132" s="1203"/>
      <c r="G132" s="1202" t="str">
        <f ca="1">IF(N132&gt;0,"P","")</f>
        <v/>
      </c>
      <c r="H132" s="1204" t="s">
        <v>4388</v>
      </c>
      <c r="I132" s="93"/>
      <c r="J132" s="94" t="s">
        <v>285</v>
      </c>
      <c r="K132" s="107"/>
      <c r="L132" s="1305" t="s">
        <v>448</v>
      </c>
      <c r="M132" s="1544">
        <f ca="1">2*IFERROR(INDEX({0.5,0.5,1},MATCH($W$120,INDIRECT($U$120),0)),0)</f>
        <v>0</v>
      </c>
      <c r="N132" s="1472">
        <f ca="1">'Ch5'!O133</f>
        <v>0</v>
      </c>
      <c r="O132" s="1473">
        <f ca="1">M132*S132*W132</f>
        <v>0</v>
      </c>
      <c r="P132" s="280" t="b">
        <v>0</v>
      </c>
      <c r="Q132" s="280" t="b">
        <v>1</v>
      </c>
      <c r="R132" s="280" t="b">
        <v>0</v>
      </c>
      <c r="S132" s="280" t="b">
        <f>NOT(ISBLANK(W120))</f>
        <v>0</v>
      </c>
      <c r="T132" s="97" t="b">
        <f>IF(AND(NOT(S132),W132=TRUE),TRUE,FALSE)</f>
        <v>0</v>
      </c>
      <c r="U132" s="280"/>
      <c r="V132" s="280"/>
      <c r="W132" s="25"/>
      <c r="X132" s="1303"/>
      <c r="Y132" s="1522" t="str">
        <f>IF(LEN('Ch5'!X133)=0,"None",'Ch5'!X133)</f>
        <v>None</v>
      </c>
      <c r="Z132" s="1586"/>
      <c r="AC132" s="280" t="b">
        <f>OR(AD132:AE132)</f>
        <v>0</v>
      </c>
      <c r="AD132" s="280" t="b">
        <f>T132</f>
        <v>0</v>
      </c>
      <c r="AE132" s="280"/>
      <c r="AF132" s="280"/>
      <c r="AG132" s="280"/>
      <c r="AH132" s="280"/>
      <c r="AI132" s="280"/>
      <c r="AJ132" s="280"/>
      <c r="AK132" s="280"/>
      <c r="AL132" s="311" t="str">
        <f>SUBSTITUTE(SUBSTITUTE(SUBSTITUTE("vpa"&amp;$B132&amp;$C132&amp;$D132&amp;$E132&amp;$F132,".","_"),"(","_"),")","")</f>
        <v>vpa503_5_4</v>
      </c>
      <c r="AM132" s="311">
        <f ca="1">M132</f>
        <v>0</v>
      </c>
      <c r="AN132" s="311" t="str">
        <f>SUBSTITUTE(SUBSTITUTE(SUBSTITUTE("vpc"&amp;$B132&amp;$C132&amp;$D132&amp;$E132&amp;$F132,".","_"),"(","_"),")","")</f>
        <v>vpc503_5_4</v>
      </c>
      <c r="AO132" s="311">
        <f ca="1">O132</f>
        <v>0</v>
      </c>
      <c r="AP132" s="311" t="str">
        <f>SUBSTITUTE(SUBSTITUTE(SUBSTITUTE("vch"&amp;$B132&amp;$C132&amp;$D132&amp;$E132&amp;$F132,".","_"),"(","_"),")","")</f>
        <v>vch503_5_4</v>
      </c>
      <c r="AQ132" s="311">
        <f>W132</f>
        <v>0</v>
      </c>
      <c r="AR132" s="311" t="str">
        <f>SUBSTITUTE(SUBSTITUTE(SUBSTITUTE("vnt"&amp;$B132&amp;$C132&amp;$D132&amp;$E132&amp;$F132,".","_"),"(","_"),")","")</f>
        <v>vnt503_5_4</v>
      </c>
      <c r="AS132" s="311">
        <f>X132</f>
        <v>0</v>
      </c>
      <c r="BJ132" s="1184" t="s">
        <v>4763</v>
      </c>
    </row>
    <row r="133" spans="1:62" x14ac:dyDescent="0.3">
      <c r="A133" s="1200">
        <v>5</v>
      </c>
      <c r="B133" s="1203" t="s">
        <v>438</v>
      </c>
      <c r="C133" s="1203"/>
      <c r="D133" s="1203"/>
      <c r="E133" s="1203" t="s">
        <v>285</v>
      </c>
      <c r="F133" s="1203"/>
      <c r="G133" s="1202" t="str">
        <f ca="1">G132</f>
        <v/>
      </c>
      <c r="H133" s="1204" t="s">
        <v>4388</v>
      </c>
      <c r="I133" s="93"/>
      <c r="J133" s="195"/>
      <c r="K133" s="195"/>
      <c r="L133" s="1306"/>
      <c r="M133" s="1545"/>
      <c r="N133" s="1491"/>
      <c r="O133" s="1491"/>
      <c r="P133" s="280"/>
      <c r="Q133" s="280"/>
      <c r="R133" s="280"/>
      <c r="S133" s="280"/>
      <c r="T133" s="280"/>
      <c r="U133" s="280"/>
      <c r="V133" s="280"/>
      <c r="W133" s="280"/>
      <c r="X133" s="1303"/>
      <c r="Y133" s="1522"/>
      <c r="Z133" s="1586"/>
      <c r="AC133" s="280"/>
      <c r="AD133" s="280"/>
      <c r="AE133" s="280"/>
      <c r="AF133" s="280"/>
      <c r="AG133" s="280"/>
      <c r="AH133" s="280"/>
      <c r="AI133" s="280"/>
      <c r="AJ133" s="280"/>
      <c r="AK133" s="280"/>
      <c r="AL133" s="280"/>
      <c r="AM133" s="280"/>
      <c r="AN133" s="280"/>
      <c r="AO133" s="280"/>
      <c r="AP133" s="280"/>
      <c r="AQ133" s="280"/>
      <c r="AR133" s="280"/>
      <c r="AS133" s="280"/>
      <c r="BJ133" s="1184" t="s">
        <v>4763</v>
      </c>
    </row>
    <row r="134" spans="1:62" x14ac:dyDescent="0.3">
      <c r="A134" s="1200">
        <v>5</v>
      </c>
      <c r="B134" s="1203" t="s">
        <v>438</v>
      </c>
      <c r="C134" s="1203"/>
      <c r="D134" s="1203"/>
      <c r="E134" s="1203" t="s">
        <v>291</v>
      </c>
      <c r="F134" s="1203"/>
      <c r="G134" s="1202" t="str">
        <f ca="1">IF(N134&gt;0,"P","")</f>
        <v/>
      </c>
      <c r="H134" s="1204" t="s">
        <v>4388</v>
      </c>
      <c r="I134" s="93"/>
      <c r="J134" s="90" t="s">
        <v>291</v>
      </c>
      <c r="K134" s="93"/>
      <c r="L134" s="86" t="s">
        <v>449</v>
      </c>
      <c r="M134" s="149"/>
      <c r="N134" s="282">
        <f ca="1">'Ch5'!O135</f>
        <v>0</v>
      </c>
      <c r="O134" s="282">
        <f ca="1">S134*IFERROR(INDEX(M135:M138,MATCH(W134,INDIRECT(U134))),0)</f>
        <v>0</v>
      </c>
      <c r="P134" s="280" t="b">
        <v>0</v>
      </c>
      <c r="Q134" s="280" t="b">
        <v>1</v>
      </c>
      <c r="R134" s="280" t="b">
        <v>0</v>
      </c>
      <c r="S134" s="280" t="b">
        <f>NOT(ISBLANK(W120))</f>
        <v>0</v>
      </c>
      <c r="T134" s="97" t="b">
        <f>IF(AND(NOT(S134),LEN(W134)&gt;0),TRUE,FALSE)</f>
        <v>0</v>
      </c>
      <c r="U134" s="280" t="str">
        <f>SUBSTITUTE(SUBSTITUTE(SUBSTITUTE("dd"&amp;B134&amp;C134&amp;D134&amp;E134&amp;F134,".","_"),"(","_"),")","")</f>
        <v>dd503_5_5</v>
      </c>
      <c r="V134" s="280"/>
      <c r="W134" s="12"/>
      <c r="X134" s="1303"/>
      <c r="Y134" s="1522" t="str">
        <f>IF(LEN('Ch5'!X135)=0,"None",'Ch5'!X135)</f>
        <v>None</v>
      </c>
      <c r="Z134" s="1586"/>
      <c r="AA134" s="1110">
        <f>'Photo Review'!H134</f>
        <v>0</v>
      </c>
      <c r="AC134" s="280" t="b">
        <f>OR(AD134:AE134)</f>
        <v>0</v>
      </c>
      <c r="AD134" s="280" t="b">
        <f>T134</f>
        <v>0</v>
      </c>
      <c r="AE134" s="280"/>
      <c r="AF134" s="280"/>
      <c r="AG134" s="280"/>
      <c r="AH134" s="280"/>
      <c r="AI134" s="280"/>
      <c r="AJ134" s="280"/>
      <c r="AK134" s="280"/>
      <c r="AL134" s="280"/>
      <c r="AM134" s="280"/>
      <c r="AN134" s="311" t="str">
        <f>SUBSTITUTE(SUBSTITUTE(SUBSTITUTE("vpc"&amp;$B134&amp;$C134&amp;$D134&amp;$E134&amp;$F134,".","_"),"(","_"),")","")</f>
        <v>vpc503_5_5</v>
      </c>
      <c r="AO134" s="311">
        <f ca="1">O134</f>
        <v>0</v>
      </c>
      <c r="AP134" s="311" t="str">
        <f>SUBSTITUTE(SUBSTITUTE(SUBSTITUTE("vch"&amp;$B134&amp;$C134&amp;$D134&amp;$E134&amp;$F134,".","_"),"(","_"),")","")</f>
        <v>vch503_5_5</v>
      </c>
      <c r="AQ134" s="311">
        <f>W134</f>
        <v>0</v>
      </c>
      <c r="AR134" s="311" t="str">
        <f>SUBSTITUTE(SUBSTITUTE(SUBSTITUTE("vnt"&amp;$B134&amp;$C134&amp;$D134&amp;$E134&amp;$F134,".","_"),"(","_"),")","")</f>
        <v>vnt503_5_5</v>
      </c>
      <c r="AS134" s="311">
        <f>X134</f>
        <v>0</v>
      </c>
      <c r="BJ134" s="1184" t="s">
        <v>4763</v>
      </c>
    </row>
    <row r="135" spans="1:62" x14ac:dyDescent="0.3">
      <c r="A135" s="1200">
        <v>5</v>
      </c>
      <c r="B135" s="1203" t="s">
        <v>438</v>
      </c>
      <c r="C135" s="1203"/>
      <c r="D135" s="1203"/>
      <c r="E135" s="1203" t="s">
        <v>291</v>
      </c>
      <c r="F135" s="1203" t="s">
        <v>121</v>
      </c>
      <c r="G135" s="1202" t="str">
        <f t="shared" ref="G135:G138" ca="1" si="34">G134</f>
        <v/>
      </c>
      <c r="H135" s="1204" t="s">
        <v>4388</v>
      </c>
      <c r="I135" s="93"/>
      <c r="J135" s="93"/>
      <c r="K135" s="90" t="s">
        <v>121</v>
      </c>
      <c r="L135" s="86" t="s">
        <v>450</v>
      </c>
      <c r="M135" s="149">
        <f ca="1">5*IFERROR(INDEX({0.5,0.5,1},MATCH($W$120,INDIRECT($U$120),0)),0)</f>
        <v>0</v>
      </c>
      <c r="N135" s="282"/>
      <c r="O135" s="282"/>
      <c r="P135" s="280"/>
      <c r="Q135" s="280"/>
      <c r="R135" s="280"/>
      <c r="S135" s="280"/>
      <c r="T135" s="280"/>
      <c r="U135" s="280"/>
      <c r="V135" s="280"/>
      <c r="W135" s="280"/>
      <c r="X135" s="1303"/>
      <c r="Y135" s="1522"/>
      <c r="Z135" s="1586"/>
      <c r="AC135" s="280"/>
      <c r="AD135" s="280"/>
      <c r="AE135" s="280"/>
      <c r="AF135" s="280"/>
      <c r="AG135" s="280"/>
      <c r="AH135" s="280"/>
      <c r="AI135" s="280"/>
      <c r="AJ135" s="280"/>
      <c r="AK135" s="280"/>
      <c r="AL135" s="311" t="str">
        <f t="shared" ref="AL135:AL140" si="35">SUBSTITUTE(SUBSTITUTE(SUBSTITUTE("vpa"&amp;$B135&amp;$C135&amp;$D135&amp;$E135&amp;$F135,".","_"),"(","_"),")","")</f>
        <v>vpa503_5_5_a</v>
      </c>
      <c r="AM135" s="311">
        <f t="shared" ref="AM135:AM140" ca="1" si="36">M135</f>
        <v>0</v>
      </c>
      <c r="AN135" s="280"/>
      <c r="AO135" s="280"/>
      <c r="AP135" s="280"/>
      <c r="AQ135" s="280"/>
      <c r="AR135" s="280"/>
      <c r="AS135" s="280"/>
      <c r="BJ135" s="1184" t="s">
        <v>4763</v>
      </c>
    </row>
    <row r="136" spans="1:62" x14ac:dyDescent="0.3">
      <c r="A136" s="1200">
        <v>5</v>
      </c>
      <c r="B136" s="1203" t="s">
        <v>438</v>
      </c>
      <c r="C136" s="1203"/>
      <c r="D136" s="1203"/>
      <c r="E136" s="1203" t="s">
        <v>291</v>
      </c>
      <c r="F136" s="1203" t="s">
        <v>122</v>
      </c>
      <c r="G136" s="1202" t="str">
        <f t="shared" ca="1" si="34"/>
        <v/>
      </c>
      <c r="H136" s="1204" t="s">
        <v>4388</v>
      </c>
      <c r="I136" s="93"/>
      <c r="J136" s="93"/>
      <c r="K136" s="90" t="s">
        <v>122</v>
      </c>
      <c r="L136" s="86" t="s">
        <v>451</v>
      </c>
      <c r="M136" s="149">
        <f ca="1">4*IFERROR(INDEX({0.5,0.5,1},MATCH($W$120,INDIRECT($U$120),0)),0)</f>
        <v>0</v>
      </c>
      <c r="N136" s="282"/>
      <c r="O136" s="282"/>
      <c r="P136" s="280"/>
      <c r="Q136" s="280"/>
      <c r="R136" s="280"/>
      <c r="S136" s="280"/>
      <c r="T136" s="280"/>
      <c r="U136" s="280"/>
      <c r="V136" s="280"/>
      <c r="W136" s="280"/>
      <c r="X136" s="1303"/>
      <c r="Y136" s="1522"/>
      <c r="Z136" s="1586"/>
      <c r="AC136" s="280"/>
      <c r="AD136" s="280"/>
      <c r="AE136" s="280"/>
      <c r="AF136" s="280"/>
      <c r="AG136" s="280"/>
      <c r="AH136" s="280"/>
      <c r="AI136" s="280"/>
      <c r="AJ136" s="280"/>
      <c r="AK136" s="280"/>
      <c r="AL136" s="311" t="str">
        <f t="shared" si="35"/>
        <v>vpa503_5_5_b</v>
      </c>
      <c r="AM136" s="311">
        <f t="shared" ca="1" si="36"/>
        <v>0</v>
      </c>
      <c r="AN136" s="280"/>
      <c r="AO136" s="280"/>
      <c r="AP136" s="280"/>
      <c r="AQ136" s="280"/>
      <c r="AR136" s="280"/>
      <c r="AS136" s="280"/>
      <c r="BJ136" s="1184" t="s">
        <v>4763</v>
      </c>
    </row>
    <row r="137" spans="1:62" x14ac:dyDescent="0.3">
      <c r="A137" s="1200">
        <v>5</v>
      </c>
      <c r="B137" s="1203" t="s">
        <v>438</v>
      </c>
      <c r="C137" s="1203"/>
      <c r="D137" s="1203"/>
      <c r="E137" s="1203" t="s">
        <v>291</v>
      </c>
      <c r="F137" s="1203" t="s">
        <v>123</v>
      </c>
      <c r="G137" s="1202" t="str">
        <f t="shared" ca="1" si="34"/>
        <v/>
      </c>
      <c r="H137" s="1204" t="s">
        <v>4388</v>
      </c>
      <c r="I137" s="93"/>
      <c r="J137" s="93"/>
      <c r="K137" s="92" t="s">
        <v>123</v>
      </c>
      <c r="L137" s="86" t="s">
        <v>452</v>
      </c>
      <c r="M137" s="149">
        <f ca="1">3*IFERROR(INDEX({0.5,0.5,1},MATCH($W$120,INDIRECT($U$120),0)),0)</f>
        <v>0</v>
      </c>
      <c r="N137" s="282"/>
      <c r="O137" s="282"/>
      <c r="P137" s="280"/>
      <c r="Q137" s="280"/>
      <c r="R137" s="280"/>
      <c r="S137" s="280"/>
      <c r="T137" s="280"/>
      <c r="U137" s="280"/>
      <c r="V137" s="280"/>
      <c r="W137" s="280"/>
      <c r="X137" s="1303"/>
      <c r="Y137" s="1522"/>
      <c r="Z137" s="1586"/>
      <c r="AC137" s="280"/>
      <c r="AD137" s="280"/>
      <c r="AE137" s="280"/>
      <c r="AF137" s="280"/>
      <c r="AG137" s="280"/>
      <c r="AH137" s="280"/>
      <c r="AI137" s="280"/>
      <c r="AJ137" s="280"/>
      <c r="AK137" s="280"/>
      <c r="AL137" s="311" t="str">
        <f t="shared" si="35"/>
        <v>vpa503_5_5_c</v>
      </c>
      <c r="AM137" s="311">
        <f t="shared" ca="1" si="36"/>
        <v>0</v>
      </c>
      <c r="AN137" s="280"/>
      <c r="AO137" s="280"/>
      <c r="AP137" s="280"/>
      <c r="AQ137" s="280"/>
      <c r="AR137" s="280"/>
      <c r="AS137" s="280"/>
      <c r="BJ137" s="1184" t="s">
        <v>4763</v>
      </c>
    </row>
    <row r="138" spans="1:62" x14ac:dyDescent="0.3">
      <c r="A138" s="1200">
        <v>5</v>
      </c>
      <c r="B138" s="1203" t="s">
        <v>438</v>
      </c>
      <c r="C138" s="1203"/>
      <c r="D138" s="1203"/>
      <c r="E138" s="1203" t="s">
        <v>291</v>
      </c>
      <c r="F138" s="1203" t="s">
        <v>423</v>
      </c>
      <c r="G138" s="1202" t="str">
        <f t="shared" ca="1" si="34"/>
        <v/>
      </c>
      <c r="H138" s="1204" t="s">
        <v>4388</v>
      </c>
      <c r="I138" s="93"/>
      <c r="J138" s="195"/>
      <c r="K138" s="197" t="s">
        <v>423</v>
      </c>
      <c r="L138" s="193" t="s">
        <v>453</v>
      </c>
      <c r="M138" s="285">
        <f ca="1">2*IFERROR(INDEX({0.5,0.5,1},MATCH($W$120,INDIRECT($U$120),0)),0)</f>
        <v>0</v>
      </c>
      <c r="N138" s="284"/>
      <c r="O138" s="284"/>
      <c r="P138" s="280"/>
      <c r="Q138" s="280"/>
      <c r="R138" s="280"/>
      <c r="S138" s="280"/>
      <c r="T138" s="280"/>
      <c r="U138" s="280"/>
      <c r="V138" s="280"/>
      <c r="W138" s="280"/>
      <c r="X138" s="1303"/>
      <c r="Y138" s="1522"/>
      <c r="Z138" s="1586"/>
      <c r="AC138" s="280"/>
      <c r="AD138" s="280"/>
      <c r="AE138" s="280"/>
      <c r="AF138" s="280"/>
      <c r="AG138" s="280"/>
      <c r="AH138" s="280"/>
      <c r="AI138" s="280"/>
      <c r="AJ138" s="280"/>
      <c r="AK138" s="280"/>
      <c r="AL138" s="311" t="str">
        <f t="shared" si="35"/>
        <v>vpa503_5_5_d</v>
      </c>
      <c r="AM138" s="311">
        <f t="shared" ca="1" si="36"/>
        <v>0</v>
      </c>
      <c r="AN138" s="280"/>
      <c r="AO138" s="280"/>
      <c r="AP138" s="280"/>
      <c r="AQ138" s="280"/>
      <c r="AR138" s="280"/>
      <c r="AS138" s="280"/>
      <c r="BJ138" s="1184" t="s">
        <v>4763</v>
      </c>
    </row>
    <row r="139" spans="1:62" x14ac:dyDescent="0.3">
      <c r="A139" s="1200">
        <v>5</v>
      </c>
      <c r="B139" s="1203" t="s">
        <v>438</v>
      </c>
      <c r="C139" s="1203"/>
      <c r="D139" s="1203"/>
      <c r="E139" s="1203" t="s">
        <v>293</v>
      </c>
      <c r="F139" s="1203"/>
      <c r="G139" s="1202" t="str">
        <f ca="1">IF(N139&gt;0,"P","")</f>
        <v>P</v>
      </c>
      <c r="H139" s="1204" t="s">
        <v>4388</v>
      </c>
      <c r="I139" s="93"/>
      <c r="J139" s="192" t="s">
        <v>293</v>
      </c>
      <c r="K139" s="195"/>
      <c r="L139" s="193" t="s">
        <v>454</v>
      </c>
      <c r="M139" s="285">
        <f ca="1">5*IFERROR(INDEX({0.5,0.5,1},MATCH($W$120,INDIRECT($U$120),0)),0)</f>
        <v>0</v>
      </c>
      <c r="N139" s="284">
        <f ca="1">'Ch5'!O140</f>
        <v>5</v>
      </c>
      <c r="O139" s="284">
        <f ca="1">M139*S139*W139</f>
        <v>0</v>
      </c>
      <c r="P139" s="280" t="b">
        <v>0</v>
      </c>
      <c r="Q139" s="280" t="b">
        <v>1</v>
      </c>
      <c r="R139" s="280" t="b">
        <v>0</v>
      </c>
      <c r="S139" s="280" t="b">
        <f>NOT(ISBLANK(W120))</f>
        <v>0</v>
      </c>
      <c r="T139" s="97" t="b">
        <f>IF(AND(NOT(S139),W139=TRUE),TRUE,FALSE)</f>
        <v>0</v>
      </c>
      <c r="U139" s="280"/>
      <c r="V139" s="280"/>
      <c r="W139" s="25"/>
      <c r="X139" s="281"/>
      <c r="Y139" s="312" t="str">
        <f>IF(LEN('Ch5'!X140)=0,"None",'Ch5'!X140)</f>
        <v>None</v>
      </c>
      <c r="Z139" s="1169"/>
      <c r="AA139" s="1110">
        <f>'Photo Review'!H139</f>
        <v>0</v>
      </c>
      <c r="AC139" s="280" t="b">
        <f>OR(AD139:AE139)</f>
        <v>0</v>
      </c>
      <c r="AD139" s="280" t="b">
        <f>T139</f>
        <v>0</v>
      </c>
      <c r="AE139" s="280"/>
      <c r="AF139" s="280"/>
      <c r="AG139" s="280"/>
      <c r="AH139" s="280"/>
      <c r="AI139" s="280"/>
      <c r="AJ139" s="280"/>
      <c r="AK139" s="280"/>
      <c r="AL139" s="311" t="str">
        <f t="shared" si="35"/>
        <v>vpa503_5_6</v>
      </c>
      <c r="AM139" s="311">
        <f t="shared" ca="1" si="36"/>
        <v>0</v>
      </c>
      <c r="AN139" s="311" t="str">
        <f t="shared" ref="AN139:AN140" si="37">SUBSTITUTE(SUBSTITUTE(SUBSTITUTE("vpc"&amp;$B139&amp;$C139&amp;$D139&amp;$E139&amp;$F139,".","_"),"(","_"),")","")</f>
        <v>vpc503_5_6</v>
      </c>
      <c r="AO139" s="311">
        <f ca="1">O139</f>
        <v>0</v>
      </c>
      <c r="AP139" s="311" t="str">
        <f t="shared" ref="AP139:AP140" si="38">SUBSTITUTE(SUBSTITUTE(SUBSTITUTE("vch"&amp;$B139&amp;$C139&amp;$D139&amp;$E139&amp;$F139,".","_"),"(","_"),")","")</f>
        <v>vch503_5_6</v>
      </c>
      <c r="AQ139" s="311">
        <f>W139</f>
        <v>0</v>
      </c>
      <c r="AR139" s="311" t="str">
        <f t="shared" ref="AR139:AR140" si="39">SUBSTITUTE(SUBSTITUTE(SUBSTITUTE("vnt"&amp;$B139&amp;$C139&amp;$D139&amp;$E139&amp;$F139,".","_"),"(","_"),")","")</f>
        <v>vnt503_5_6</v>
      </c>
      <c r="AS139" s="311">
        <f>X139</f>
        <v>0</v>
      </c>
      <c r="BJ139" s="1184" t="s">
        <v>4763</v>
      </c>
    </row>
    <row r="140" spans="1:62" x14ac:dyDescent="0.3">
      <c r="A140" s="1200">
        <v>5</v>
      </c>
      <c r="B140" s="1203" t="s">
        <v>438</v>
      </c>
      <c r="C140" s="1203"/>
      <c r="D140" s="1203"/>
      <c r="E140" s="1203" t="s">
        <v>405</v>
      </c>
      <c r="F140" s="1203"/>
      <c r="G140" s="1202" t="str">
        <f ca="1">IF(N140&gt;0,"P","")</f>
        <v/>
      </c>
      <c r="H140" s="1204" t="s">
        <v>4388</v>
      </c>
      <c r="I140" s="93"/>
      <c r="J140" s="94" t="s">
        <v>405</v>
      </c>
      <c r="K140" s="107"/>
      <c r="L140" s="1305" t="s">
        <v>455</v>
      </c>
      <c r="M140" s="1544">
        <f ca="1">5*IFERROR(INDEX({0.5,0.5,1},MATCH($W$120,INDIRECT($U$120),0)),0)</f>
        <v>0</v>
      </c>
      <c r="N140" s="1472">
        <f ca="1">'Ch5'!O141</f>
        <v>0</v>
      </c>
      <c r="O140" s="1473">
        <f ca="1">M140*S140*W140</f>
        <v>0</v>
      </c>
      <c r="P140" s="280" t="b">
        <v>0</v>
      </c>
      <c r="Q140" s="280" t="b">
        <v>1</v>
      </c>
      <c r="R140" s="280" t="b">
        <v>0</v>
      </c>
      <c r="S140" s="280" t="b">
        <f>NOT(ISBLANK(W120))</f>
        <v>0</v>
      </c>
      <c r="T140" s="97" t="b">
        <f>IF(AND(NOT(S140),W140=TRUE),TRUE,FALSE)</f>
        <v>0</v>
      </c>
      <c r="U140" s="280"/>
      <c r="V140" s="280"/>
      <c r="W140" s="25"/>
      <c r="X140" s="1303"/>
      <c r="Y140" s="1522" t="str">
        <f>IF(LEN('Ch5'!X141)=0,"None",'Ch5'!X141)</f>
        <v>None</v>
      </c>
      <c r="Z140" s="1586"/>
      <c r="AA140" s="1110">
        <f>'Photo Review'!H140</f>
        <v>0</v>
      </c>
      <c r="AC140" s="280" t="b">
        <f>OR(AD140:AE140)</f>
        <v>0</v>
      </c>
      <c r="AD140" s="280" t="b">
        <f>T140</f>
        <v>0</v>
      </c>
      <c r="AE140" s="280"/>
      <c r="AF140" s="280"/>
      <c r="AG140" s="280"/>
      <c r="AH140" s="280"/>
      <c r="AI140" s="280"/>
      <c r="AJ140" s="280"/>
      <c r="AK140" s="280"/>
      <c r="AL140" s="311" t="str">
        <f t="shared" si="35"/>
        <v>vpa503_5_7</v>
      </c>
      <c r="AM140" s="311">
        <f t="shared" ca="1" si="36"/>
        <v>0</v>
      </c>
      <c r="AN140" s="311" t="str">
        <f t="shared" si="37"/>
        <v>vpc503_5_7</v>
      </c>
      <c r="AO140" s="311">
        <f ca="1">O140</f>
        <v>0</v>
      </c>
      <c r="AP140" s="311" t="str">
        <f t="shared" si="38"/>
        <v>vch503_5_7</v>
      </c>
      <c r="AQ140" s="311">
        <f>W140</f>
        <v>0</v>
      </c>
      <c r="AR140" s="311" t="str">
        <f t="shared" si="39"/>
        <v>vnt503_5_7</v>
      </c>
      <c r="AS140" s="311">
        <f>X140</f>
        <v>0</v>
      </c>
      <c r="BJ140" s="1184" t="s">
        <v>4763</v>
      </c>
    </row>
    <row r="141" spans="1:62" x14ac:dyDescent="0.3">
      <c r="A141" s="1200">
        <v>5</v>
      </c>
      <c r="B141" s="1203" t="s">
        <v>438</v>
      </c>
      <c r="C141" s="1203"/>
      <c r="D141" s="1203"/>
      <c r="E141" s="1203" t="s">
        <v>405</v>
      </c>
      <c r="F141" s="1203"/>
      <c r="G141" s="1202" t="str">
        <f t="shared" ref="G141:G144" ca="1" si="40">G140</f>
        <v/>
      </c>
      <c r="H141" s="1204" t="s">
        <v>4388</v>
      </c>
      <c r="I141" s="93"/>
      <c r="J141" s="107"/>
      <c r="K141" s="107"/>
      <c r="L141" s="1305"/>
      <c r="M141" s="1544"/>
      <c r="N141" s="1473"/>
      <c r="O141" s="1473"/>
      <c r="P141" s="280"/>
      <c r="Q141" s="280"/>
      <c r="R141" s="280"/>
      <c r="S141" s="280"/>
      <c r="T141" s="280"/>
      <c r="U141" s="280"/>
      <c r="V141" s="280"/>
      <c r="W141" s="280"/>
      <c r="X141" s="1303"/>
      <c r="Y141" s="1522"/>
      <c r="Z141" s="1586"/>
      <c r="AC141" s="280"/>
      <c r="AD141" s="280"/>
      <c r="AE141" s="280"/>
      <c r="AF141" s="280"/>
      <c r="AG141" s="280"/>
      <c r="AH141" s="280"/>
      <c r="AI141" s="280"/>
      <c r="AJ141" s="280"/>
      <c r="AK141" s="280"/>
      <c r="AL141" s="280"/>
      <c r="AM141" s="280"/>
      <c r="AN141" s="280"/>
      <c r="AO141" s="280"/>
      <c r="AP141" s="280"/>
      <c r="AQ141" s="280"/>
      <c r="AR141" s="280"/>
      <c r="AS141" s="280"/>
      <c r="BJ141" s="1184" t="s">
        <v>4763</v>
      </c>
    </row>
    <row r="142" spans="1:62" x14ac:dyDescent="0.3">
      <c r="A142" s="1200">
        <v>5</v>
      </c>
      <c r="B142" s="1203" t="s">
        <v>438</v>
      </c>
      <c r="C142" s="1203"/>
      <c r="D142" s="1203"/>
      <c r="E142" s="1203" t="s">
        <v>405</v>
      </c>
      <c r="F142" s="1203"/>
      <c r="G142" s="1202" t="str">
        <f t="shared" ca="1" si="40"/>
        <v/>
      </c>
      <c r="H142" s="1204" t="s">
        <v>4388</v>
      </c>
      <c r="I142" s="93"/>
      <c r="J142" s="107"/>
      <c r="K142" s="107"/>
      <c r="L142" s="1305"/>
      <c r="M142" s="1544"/>
      <c r="N142" s="1473"/>
      <c r="O142" s="1473"/>
      <c r="P142" s="280"/>
      <c r="Q142" s="280"/>
      <c r="R142" s="280"/>
      <c r="S142" s="280"/>
      <c r="T142" s="280"/>
      <c r="U142" s="280"/>
      <c r="V142" s="280"/>
      <c r="W142" s="280"/>
      <c r="X142" s="1303"/>
      <c r="Y142" s="1522"/>
      <c r="Z142" s="1586"/>
      <c r="AC142" s="280"/>
      <c r="AD142" s="280"/>
      <c r="AE142" s="280"/>
      <c r="AF142" s="280"/>
      <c r="AG142" s="280"/>
      <c r="AH142" s="280"/>
      <c r="AI142" s="280"/>
      <c r="AJ142" s="280"/>
      <c r="AK142" s="280"/>
      <c r="AL142" s="280"/>
      <c r="AM142" s="280"/>
      <c r="AN142" s="280"/>
      <c r="AO142" s="280"/>
      <c r="AP142" s="280"/>
      <c r="AQ142" s="280"/>
      <c r="AR142" s="280"/>
      <c r="AS142" s="280"/>
      <c r="BJ142" s="1184" t="s">
        <v>4763</v>
      </c>
    </row>
    <row r="143" spans="1:62" x14ac:dyDescent="0.3">
      <c r="A143" s="1200">
        <v>5</v>
      </c>
      <c r="B143" s="1203" t="s">
        <v>438</v>
      </c>
      <c r="C143" s="1203"/>
      <c r="D143" s="1203"/>
      <c r="E143" s="1203" t="s">
        <v>405</v>
      </c>
      <c r="F143" s="1203"/>
      <c r="G143" s="1202" t="str">
        <f t="shared" ca="1" si="40"/>
        <v/>
      </c>
      <c r="H143" s="1204" t="s">
        <v>4388</v>
      </c>
      <c r="I143" s="93"/>
      <c r="J143" s="107"/>
      <c r="K143" s="107"/>
      <c r="L143" s="1305"/>
      <c r="M143" s="1544"/>
      <c r="N143" s="1473"/>
      <c r="O143" s="1473"/>
      <c r="P143" s="280"/>
      <c r="Q143" s="280"/>
      <c r="R143" s="280"/>
      <c r="S143" s="280"/>
      <c r="T143" s="280"/>
      <c r="U143" s="280"/>
      <c r="V143" s="280"/>
      <c r="W143" s="280"/>
      <c r="X143" s="1303"/>
      <c r="Y143" s="1522"/>
      <c r="Z143" s="1586"/>
      <c r="AC143" s="280"/>
      <c r="AD143" s="280"/>
      <c r="AE143" s="280"/>
      <c r="AF143" s="280"/>
      <c r="AG143" s="280"/>
      <c r="AH143" s="280"/>
      <c r="AI143" s="280"/>
      <c r="AJ143" s="280"/>
      <c r="AK143" s="280"/>
      <c r="AL143" s="280"/>
      <c r="AM143" s="280"/>
      <c r="AN143" s="280"/>
      <c r="AO143" s="280"/>
      <c r="AP143" s="280"/>
      <c r="AQ143" s="280"/>
      <c r="AR143" s="280"/>
      <c r="AS143" s="280"/>
      <c r="BJ143" s="1184" t="s">
        <v>4763</v>
      </c>
    </row>
    <row r="144" spans="1:62" x14ac:dyDescent="0.3">
      <c r="A144" s="1200">
        <v>5</v>
      </c>
      <c r="B144" s="1203" t="s">
        <v>438</v>
      </c>
      <c r="C144" s="1203"/>
      <c r="D144" s="1203"/>
      <c r="E144" s="1203" t="s">
        <v>405</v>
      </c>
      <c r="F144" s="1203"/>
      <c r="G144" s="1202" t="str">
        <f t="shared" ca="1" si="40"/>
        <v/>
      </c>
      <c r="H144" s="1204" t="s">
        <v>4388</v>
      </c>
      <c r="I144" s="93"/>
      <c r="J144" s="195"/>
      <c r="K144" s="195"/>
      <c r="L144" s="1306"/>
      <c r="M144" s="1545"/>
      <c r="N144" s="1491"/>
      <c r="O144" s="1491"/>
      <c r="P144" s="280"/>
      <c r="Q144" s="280"/>
      <c r="R144" s="280"/>
      <c r="S144" s="280"/>
      <c r="T144" s="280"/>
      <c r="U144" s="280"/>
      <c r="V144" s="280"/>
      <c r="W144" s="280"/>
      <c r="X144" s="1303"/>
      <c r="Y144" s="1522"/>
      <c r="Z144" s="1586"/>
      <c r="AC144" s="280"/>
      <c r="AD144" s="280"/>
      <c r="AE144" s="280"/>
      <c r="AF144" s="280"/>
      <c r="AG144" s="280"/>
      <c r="AH144" s="280"/>
      <c r="AI144" s="280"/>
      <c r="AJ144" s="280"/>
      <c r="AK144" s="280"/>
      <c r="AL144" s="280"/>
      <c r="AM144" s="280"/>
      <c r="AN144" s="280"/>
      <c r="AO144" s="280"/>
      <c r="AP144" s="280"/>
      <c r="AQ144" s="280"/>
      <c r="AR144" s="280"/>
      <c r="AS144" s="280"/>
      <c r="BJ144" s="1184" t="s">
        <v>4763</v>
      </c>
    </row>
    <row r="145" spans="1:62" x14ac:dyDescent="0.3">
      <c r="A145" s="1200">
        <v>5</v>
      </c>
      <c r="B145" s="1203" t="s">
        <v>438</v>
      </c>
      <c r="C145" s="1203"/>
      <c r="D145" s="1203"/>
      <c r="E145" s="1203" t="s">
        <v>456</v>
      </c>
      <c r="F145" s="1203"/>
      <c r="G145" s="1202" t="str">
        <f ca="1">IF(N145&gt;0,"P","")</f>
        <v/>
      </c>
      <c r="H145" s="1204" t="s">
        <v>4388</v>
      </c>
      <c r="I145" s="93"/>
      <c r="J145" s="94" t="s">
        <v>456</v>
      </c>
      <c r="K145" s="107"/>
      <c r="L145" s="1305" t="s">
        <v>457</v>
      </c>
      <c r="M145" s="1544">
        <f ca="1">5*IFERROR(INDEX({0.5,0.5,1},MATCH($W$120,INDIRECT($U$120),0)),0)</f>
        <v>0</v>
      </c>
      <c r="N145" s="1472">
        <f ca="1">'Ch5'!O146</f>
        <v>0</v>
      </c>
      <c r="O145" s="1473">
        <f ca="1">M145*S145*W145</f>
        <v>0</v>
      </c>
      <c r="P145" s="97" t="b">
        <v>0</v>
      </c>
      <c r="Q145" s="97" t="b">
        <v>1</v>
      </c>
      <c r="R145" s="280" t="b">
        <v>0</v>
      </c>
      <c r="S145" s="280" t="b">
        <f>NOT(ISBLANK(W120))</f>
        <v>0</v>
      </c>
      <c r="T145" s="97" t="b">
        <f>IF(AND(NOT(S145),W145=TRUE),TRUE,FALSE)</f>
        <v>0</v>
      </c>
      <c r="U145" s="280"/>
      <c r="V145" s="280"/>
      <c r="W145" s="25"/>
      <c r="X145" s="1303"/>
      <c r="Y145" s="1522" t="str">
        <f>IF(LEN('Ch5'!X146)=0,"None",'Ch5'!X146)</f>
        <v>None</v>
      </c>
      <c r="Z145" s="1586"/>
      <c r="AC145" s="280" t="b">
        <f>OR(AD145:AE145)</f>
        <v>0</v>
      </c>
      <c r="AD145" s="280" t="b">
        <f>T145</f>
        <v>0</v>
      </c>
      <c r="AE145" s="280"/>
      <c r="AF145" s="280"/>
      <c r="AG145" s="280"/>
      <c r="AH145" s="280"/>
      <c r="AI145" s="280"/>
      <c r="AJ145" s="280"/>
      <c r="AK145" s="280"/>
      <c r="AL145" s="311" t="str">
        <f>SUBSTITUTE(SUBSTITUTE(SUBSTITUTE("vpa"&amp;$B145&amp;$C145&amp;$D145&amp;$E145&amp;$F145,".","_"),"(","_"),")","")</f>
        <v>vpa503_5_8</v>
      </c>
      <c r="AM145" s="311">
        <f ca="1">M145</f>
        <v>0</v>
      </c>
      <c r="AN145" s="311" t="str">
        <f>SUBSTITUTE(SUBSTITUTE(SUBSTITUTE("vpc"&amp;$B145&amp;$C145&amp;$D145&amp;$E145&amp;$F145,".","_"),"(","_"),")","")</f>
        <v>vpc503_5_8</v>
      </c>
      <c r="AO145" s="311">
        <f ca="1">O145</f>
        <v>0</v>
      </c>
      <c r="AP145" s="311" t="str">
        <f>SUBSTITUTE(SUBSTITUTE(SUBSTITUTE("vch"&amp;$B145&amp;$C145&amp;$D145&amp;$E145&amp;$F145,".","_"),"(","_"),")","")</f>
        <v>vch503_5_8</v>
      </c>
      <c r="AQ145" s="311">
        <f>W145</f>
        <v>0</v>
      </c>
      <c r="AR145" s="311" t="str">
        <f>SUBSTITUTE(SUBSTITUTE(SUBSTITUTE("vnt"&amp;$B145&amp;$C145&amp;$D145&amp;$E145&amp;$F145,".","_"),"(","_"),")","")</f>
        <v>vnt503_5_8</v>
      </c>
      <c r="AS145" s="311">
        <f>X145</f>
        <v>0</v>
      </c>
      <c r="BJ145" s="1184" t="s">
        <v>4763</v>
      </c>
    </row>
    <row r="146" spans="1:62" x14ac:dyDescent="0.3">
      <c r="A146" s="1200">
        <v>5</v>
      </c>
      <c r="B146" s="1203" t="s">
        <v>438</v>
      </c>
      <c r="C146" s="1203"/>
      <c r="D146" s="1203"/>
      <c r="E146" s="1203" t="s">
        <v>456</v>
      </c>
      <c r="F146" s="1203"/>
      <c r="G146" s="1202" t="str">
        <f ca="1">G145</f>
        <v/>
      </c>
      <c r="H146" s="1204" t="s">
        <v>4388</v>
      </c>
      <c r="I146" s="93"/>
      <c r="J146" s="195"/>
      <c r="K146" s="195"/>
      <c r="L146" s="1306"/>
      <c r="M146" s="1545"/>
      <c r="N146" s="1491"/>
      <c r="O146" s="1491"/>
      <c r="P146" s="280"/>
      <c r="Q146" s="280"/>
      <c r="R146" s="280"/>
      <c r="S146" s="280"/>
      <c r="T146" s="280"/>
      <c r="U146" s="280"/>
      <c r="V146" s="280"/>
      <c r="W146" s="280"/>
      <c r="X146" s="1303"/>
      <c r="Y146" s="1522"/>
      <c r="Z146" s="1586"/>
      <c r="AC146" s="280"/>
      <c r="AD146" s="280"/>
      <c r="AE146" s="280"/>
      <c r="AF146" s="280"/>
      <c r="AG146" s="280"/>
      <c r="AH146" s="280"/>
      <c r="AI146" s="280"/>
      <c r="AJ146" s="280"/>
      <c r="AK146" s="280"/>
      <c r="AL146" s="280"/>
      <c r="AM146" s="280"/>
      <c r="AN146" s="280"/>
      <c r="AO146" s="280"/>
      <c r="AP146" s="280"/>
      <c r="AQ146" s="280"/>
      <c r="AR146" s="280"/>
      <c r="AS146" s="280"/>
      <c r="BJ146" s="1184" t="s">
        <v>4763</v>
      </c>
    </row>
    <row r="147" spans="1:62" x14ac:dyDescent="0.3">
      <c r="A147" s="1200">
        <v>5</v>
      </c>
      <c r="B147" s="1203" t="s">
        <v>438</v>
      </c>
      <c r="C147" s="1203"/>
      <c r="D147" s="1203"/>
      <c r="E147" s="1203" t="s">
        <v>458</v>
      </c>
      <c r="F147" s="1203"/>
      <c r="G147" s="1202" t="str">
        <f>IF(N147&gt;0,"P","")</f>
        <v/>
      </c>
      <c r="H147" s="1204" t="s">
        <v>4388</v>
      </c>
      <c r="I147" s="93"/>
      <c r="J147" s="94" t="s">
        <v>458</v>
      </c>
      <c r="K147" s="107"/>
      <c r="L147" s="1305" t="s">
        <v>459</v>
      </c>
      <c r="M147" s="1546">
        <v>3</v>
      </c>
      <c r="N147" s="1472">
        <f>'Ch5'!O148</f>
        <v>0</v>
      </c>
      <c r="O147" s="1472">
        <f>M147*S147*W147</f>
        <v>0</v>
      </c>
      <c r="P147" s="97" t="b">
        <v>0</v>
      </c>
      <c r="Q147" s="97" t="b">
        <v>1</v>
      </c>
      <c r="R147" s="280" t="b">
        <v>0</v>
      </c>
      <c r="S147" s="280" t="b">
        <f>NOT(ISBLANK(W120))</f>
        <v>0</v>
      </c>
      <c r="T147" s="97" t="b">
        <f>IF(AND(NOT(S147),W147=TRUE),TRUE,FALSE)</f>
        <v>0</v>
      </c>
      <c r="U147" s="280"/>
      <c r="V147" s="280"/>
      <c r="W147" s="25"/>
      <c r="X147" s="1337"/>
      <c r="Y147" s="1522" t="str">
        <f>IF(LEN('Ch5'!X148)=0,"None",'Ch5'!X148)</f>
        <v>None</v>
      </c>
      <c r="Z147" s="1586"/>
      <c r="AC147" s="280" t="b">
        <f>OR(AD147:AE147)</f>
        <v>0</v>
      </c>
      <c r="AD147" s="280" t="b">
        <f>T147</f>
        <v>0</v>
      </c>
      <c r="AE147" s="280"/>
      <c r="AF147" s="280"/>
      <c r="AG147" s="280"/>
      <c r="AH147" s="280"/>
      <c r="AI147" s="280"/>
      <c r="AJ147" s="280"/>
      <c r="AK147" s="280"/>
      <c r="AL147" s="311" t="str">
        <f>SUBSTITUTE(SUBSTITUTE(SUBSTITUTE("vpa"&amp;$B147&amp;$C147&amp;$D147&amp;$E147&amp;$F147,".","_"),"(","_"),")","")</f>
        <v>vpa503_5_9</v>
      </c>
      <c r="AM147" s="311">
        <f>M147</f>
        <v>3</v>
      </c>
      <c r="AN147" s="311" t="str">
        <f>SUBSTITUTE(SUBSTITUTE(SUBSTITUTE("vpc"&amp;$B147&amp;$C147&amp;$D147&amp;$E147&amp;$F147,".","_"),"(","_"),")","")</f>
        <v>vpc503_5_9</v>
      </c>
      <c r="AO147" s="311">
        <f>O147</f>
        <v>0</v>
      </c>
      <c r="AP147" s="311" t="str">
        <f>SUBSTITUTE(SUBSTITUTE(SUBSTITUTE("vch"&amp;$B147&amp;$C147&amp;$D147&amp;$E147&amp;$F147,".","_"),"(","_"),")","")</f>
        <v>vch503_5_9</v>
      </c>
      <c r="AQ147" s="311">
        <f>W147</f>
        <v>0</v>
      </c>
      <c r="AR147" s="311" t="str">
        <f>SUBSTITUTE(SUBSTITUTE(SUBSTITUTE("vnt"&amp;$B147&amp;$C147&amp;$D147&amp;$E147&amp;$F147,".","_"),"(","_"),")","")</f>
        <v>vnt503_5_9</v>
      </c>
      <c r="AS147" s="311">
        <f>X147</f>
        <v>0</v>
      </c>
      <c r="BJ147" s="1184" t="s">
        <v>4763</v>
      </c>
    </row>
    <row r="148" spans="1:62" x14ac:dyDescent="0.3">
      <c r="A148" s="1200">
        <v>5</v>
      </c>
      <c r="B148" s="1203" t="s">
        <v>438</v>
      </c>
      <c r="C148" s="1203"/>
      <c r="D148" s="1203"/>
      <c r="E148" s="1203" t="s">
        <v>458</v>
      </c>
      <c r="F148" s="1203"/>
      <c r="G148" s="1202" t="str">
        <f t="shared" ref="G148:G149" si="41">G147</f>
        <v/>
      </c>
      <c r="H148" s="1204" t="s">
        <v>4388</v>
      </c>
      <c r="I148" s="93"/>
      <c r="J148" s="107"/>
      <c r="K148" s="107"/>
      <c r="L148" s="1305"/>
      <c r="M148" s="1540"/>
      <c r="N148" s="1473"/>
      <c r="O148" s="1473"/>
      <c r="P148" s="280"/>
      <c r="Q148" s="280"/>
      <c r="R148" s="280"/>
      <c r="S148" s="280"/>
      <c r="T148" s="280"/>
      <c r="U148" s="280"/>
      <c r="V148" s="280"/>
      <c r="W148" s="280"/>
      <c r="X148" s="1312"/>
      <c r="Y148" s="1522"/>
      <c r="Z148" s="1586"/>
      <c r="AC148" s="280"/>
      <c r="AD148" s="280"/>
      <c r="AE148" s="280"/>
      <c r="AF148" s="280"/>
      <c r="AG148" s="280"/>
      <c r="AH148" s="280"/>
      <c r="AI148" s="280"/>
      <c r="AJ148" s="280"/>
      <c r="AK148" s="280"/>
      <c r="AL148" s="280"/>
      <c r="AM148" s="280"/>
      <c r="AN148" s="280"/>
      <c r="AO148" s="280"/>
      <c r="AP148" s="280"/>
      <c r="AQ148" s="280"/>
      <c r="AR148" s="280"/>
      <c r="AS148" s="280"/>
      <c r="BJ148" s="1184" t="s">
        <v>4763</v>
      </c>
    </row>
    <row r="149" spans="1:62" x14ac:dyDescent="0.3">
      <c r="A149" s="1200">
        <v>5</v>
      </c>
      <c r="B149" s="1203" t="s">
        <v>438</v>
      </c>
      <c r="C149" s="1203"/>
      <c r="D149" s="1203"/>
      <c r="E149" s="1203" t="s">
        <v>458</v>
      </c>
      <c r="F149" s="1203"/>
      <c r="G149" s="1202" t="str">
        <f t="shared" si="41"/>
        <v/>
      </c>
      <c r="H149" s="1204" t="s">
        <v>4388</v>
      </c>
      <c r="I149" s="93"/>
      <c r="J149" s="195"/>
      <c r="K149" s="195"/>
      <c r="L149" s="1306"/>
      <c r="M149" s="1543"/>
      <c r="N149" s="1491"/>
      <c r="O149" s="1491"/>
      <c r="P149" s="280"/>
      <c r="Q149" s="280"/>
      <c r="R149" s="280"/>
      <c r="S149" s="280"/>
      <c r="T149" s="280"/>
      <c r="U149" s="280"/>
      <c r="V149" s="280"/>
      <c r="W149" s="280"/>
      <c r="X149" s="1304"/>
      <c r="Y149" s="1522"/>
      <c r="Z149" s="1586"/>
      <c r="AC149" s="280"/>
      <c r="AD149" s="280"/>
      <c r="AE149" s="280"/>
      <c r="AF149" s="280"/>
      <c r="AG149" s="280"/>
      <c r="AH149" s="280"/>
      <c r="AI149" s="280"/>
      <c r="AJ149" s="280"/>
      <c r="AK149" s="280"/>
      <c r="AL149" s="280"/>
      <c r="AM149" s="280"/>
      <c r="AN149" s="280"/>
      <c r="AO149" s="280"/>
      <c r="AP149" s="280"/>
      <c r="AQ149" s="280"/>
      <c r="AR149" s="280"/>
      <c r="AS149" s="280"/>
      <c r="BJ149" s="1184" t="s">
        <v>4763</v>
      </c>
    </row>
    <row r="150" spans="1:62" x14ac:dyDescent="0.3">
      <c r="A150" s="1200">
        <v>5</v>
      </c>
      <c r="B150" s="1203" t="s">
        <v>438</v>
      </c>
      <c r="C150" s="1203"/>
      <c r="D150" s="1203"/>
      <c r="E150" s="1203" t="s">
        <v>460</v>
      </c>
      <c r="F150" s="1203"/>
      <c r="G150" s="1202" t="str">
        <f>IF(N150&gt;0,"P","")</f>
        <v/>
      </c>
      <c r="H150" s="1204" t="s">
        <v>4388</v>
      </c>
      <c r="I150" s="93"/>
      <c r="J150" s="94" t="s">
        <v>460</v>
      </c>
      <c r="K150" s="107"/>
      <c r="L150" s="1305" t="s">
        <v>461</v>
      </c>
      <c r="M150" s="1540">
        <v>4</v>
      </c>
      <c r="N150" s="1472">
        <f>'Ch5'!O151</f>
        <v>0</v>
      </c>
      <c r="O150" s="1473">
        <f>M150*S150*W150</f>
        <v>0</v>
      </c>
      <c r="P150" s="97" t="b">
        <v>0</v>
      </c>
      <c r="Q150" s="97" t="b">
        <v>1</v>
      </c>
      <c r="R150" s="280" t="b">
        <v>0</v>
      </c>
      <c r="S150" s="280" t="b">
        <f>NOT(ISBLANK(W120))</f>
        <v>0</v>
      </c>
      <c r="T150" s="97" t="b">
        <f>IF(AND(NOT(S150),W150=TRUE),TRUE,FALSE)</f>
        <v>0</v>
      </c>
      <c r="U150" s="280"/>
      <c r="V150" s="280"/>
      <c r="W150" s="25"/>
      <c r="X150" s="1303"/>
      <c r="Y150" s="1522" t="str">
        <f>IF(LEN('Ch5'!X151)=0,"None",'Ch5'!X151)</f>
        <v>None</v>
      </c>
      <c r="Z150" s="1586"/>
      <c r="AC150" s="280" t="b">
        <f>OR(AD150:AE150)</f>
        <v>0</v>
      </c>
      <c r="AD150" s="280" t="b">
        <f>T150</f>
        <v>0</v>
      </c>
      <c r="AE150" s="280"/>
      <c r="AF150" s="280"/>
      <c r="AG150" s="280"/>
      <c r="AH150" s="280"/>
      <c r="AI150" s="280"/>
      <c r="AJ150" s="280"/>
      <c r="AK150" s="280"/>
      <c r="AL150" s="311" t="str">
        <f>SUBSTITUTE(SUBSTITUTE(SUBSTITUTE("vpa"&amp;$B150&amp;$C150&amp;$D150&amp;$E150&amp;$F150,".","_"),"(","_"),")","")</f>
        <v>vpa503_5_10</v>
      </c>
      <c r="AM150" s="311">
        <f>M150</f>
        <v>4</v>
      </c>
      <c r="AN150" s="311" t="str">
        <f>SUBSTITUTE(SUBSTITUTE(SUBSTITUTE("vpc"&amp;$B150&amp;$C150&amp;$D150&amp;$E150&amp;$F150,".","_"),"(","_"),")","")</f>
        <v>vpc503_5_10</v>
      </c>
      <c r="AO150" s="311">
        <f>O150</f>
        <v>0</v>
      </c>
      <c r="AP150" s="311" t="str">
        <f>SUBSTITUTE(SUBSTITUTE(SUBSTITUTE("vch"&amp;$B150&amp;$C150&amp;$D150&amp;$E150&amp;$F150,".","_"),"(","_"),")","")</f>
        <v>vch503_5_10</v>
      </c>
      <c r="AQ150" s="311">
        <f>W150</f>
        <v>0</v>
      </c>
      <c r="AR150" s="311" t="str">
        <f>SUBSTITUTE(SUBSTITUTE(SUBSTITUTE("vnt"&amp;$B150&amp;$C150&amp;$D150&amp;$E150&amp;$F150,".","_"),"(","_"),")","")</f>
        <v>vnt503_5_10</v>
      </c>
      <c r="AS150" s="311">
        <f>X150</f>
        <v>0</v>
      </c>
      <c r="BJ150" s="1184" t="s">
        <v>4763</v>
      </c>
    </row>
    <row r="151" spans="1:62" x14ac:dyDescent="0.3">
      <c r="A151" s="1200">
        <v>5</v>
      </c>
      <c r="B151" s="1203" t="s">
        <v>438</v>
      </c>
      <c r="C151" s="1203"/>
      <c r="D151" s="1203"/>
      <c r="E151" s="1203" t="s">
        <v>460</v>
      </c>
      <c r="F151" s="1203"/>
      <c r="G151" s="1202" t="str">
        <f>G150</f>
        <v/>
      </c>
      <c r="H151" s="1204" t="s">
        <v>4388</v>
      </c>
      <c r="I151" s="93"/>
      <c r="J151" s="195"/>
      <c r="K151" s="195"/>
      <c r="L151" s="1306"/>
      <c r="M151" s="1543"/>
      <c r="N151" s="1491"/>
      <c r="O151" s="1491"/>
      <c r="P151" s="280"/>
      <c r="Q151" s="280"/>
      <c r="R151" s="280"/>
      <c r="S151" s="280"/>
      <c r="T151" s="280"/>
      <c r="U151" s="280"/>
      <c r="V151" s="280"/>
      <c r="W151" s="280"/>
      <c r="X151" s="1303"/>
      <c r="Y151" s="1522"/>
      <c r="Z151" s="1586"/>
      <c r="AC151" s="280"/>
      <c r="AD151" s="280"/>
      <c r="AE151" s="280"/>
      <c r="AF151" s="280"/>
      <c r="AG151" s="280"/>
      <c r="AH151" s="280"/>
      <c r="AI151" s="280"/>
      <c r="AJ151" s="280"/>
      <c r="AK151" s="280"/>
      <c r="AL151" s="280"/>
      <c r="AM151" s="280"/>
      <c r="AN151" s="280"/>
      <c r="AO151" s="280"/>
      <c r="AP151" s="280"/>
      <c r="AQ151" s="280"/>
      <c r="AR151" s="280"/>
      <c r="AS151" s="280"/>
      <c r="BJ151" s="1184" t="s">
        <v>4763</v>
      </c>
    </row>
    <row r="152" spans="1:62" x14ac:dyDescent="0.3">
      <c r="A152" s="1200">
        <v>5</v>
      </c>
      <c r="B152" s="1203" t="s">
        <v>438</v>
      </c>
      <c r="C152" s="1203"/>
      <c r="D152" s="1203"/>
      <c r="E152" s="1203" t="s">
        <v>462</v>
      </c>
      <c r="F152" s="1203"/>
      <c r="G152" s="1202" t="str">
        <f>IF(N152&gt;0,"P","")</f>
        <v/>
      </c>
      <c r="H152" s="1204" t="s">
        <v>4388</v>
      </c>
      <c r="I152" s="93"/>
      <c r="J152" s="94" t="s">
        <v>462</v>
      </c>
      <c r="K152" s="107"/>
      <c r="L152" s="1305" t="s">
        <v>463</v>
      </c>
      <c r="M152" s="1540">
        <v>3</v>
      </c>
      <c r="N152" s="1472">
        <f>'Ch5'!O153</f>
        <v>0</v>
      </c>
      <c r="O152" s="1473">
        <f>M152*S152*W152</f>
        <v>0</v>
      </c>
      <c r="P152" s="97" t="b">
        <v>0</v>
      </c>
      <c r="Q152" s="97" t="b">
        <v>1</v>
      </c>
      <c r="R152" s="280" t="b">
        <v>0</v>
      </c>
      <c r="S152" s="280" t="b">
        <f>NOT(ISBLANK(W120))</f>
        <v>0</v>
      </c>
      <c r="T152" s="97" t="b">
        <f>IF(AND(NOT(S152),W152=TRUE),TRUE,FALSE)</f>
        <v>0</v>
      </c>
      <c r="U152" s="280"/>
      <c r="V152" s="280"/>
      <c r="W152" s="25"/>
      <c r="X152" s="1303"/>
      <c r="Y152" s="1522" t="str">
        <f>IF(LEN('Ch5'!X153)=0,"None",'Ch5'!X153)</f>
        <v>None</v>
      </c>
      <c r="Z152" s="1586"/>
      <c r="AC152" s="280" t="b">
        <f>OR(AD152:AE152)</f>
        <v>0</v>
      </c>
      <c r="AD152" s="280" t="b">
        <f>T152</f>
        <v>0</v>
      </c>
      <c r="AE152" s="280"/>
      <c r="AF152" s="280"/>
      <c r="AG152" s="280"/>
      <c r="AH152" s="280"/>
      <c r="AI152" s="280"/>
      <c r="AJ152" s="280"/>
      <c r="AK152" s="280"/>
      <c r="AL152" s="311" t="str">
        <f>SUBSTITUTE(SUBSTITUTE(SUBSTITUTE("vpa"&amp;$B152&amp;$C152&amp;$D152&amp;$E152&amp;$F152,".","_"),"(","_"),")","")</f>
        <v>vpa503_5_11</v>
      </c>
      <c r="AM152" s="311">
        <f>M152</f>
        <v>3</v>
      </c>
      <c r="AN152" s="311" t="str">
        <f>SUBSTITUTE(SUBSTITUTE(SUBSTITUTE("vpc"&amp;$B152&amp;$C152&amp;$D152&amp;$E152&amp;$F152,".","_"),"(","_"),")","")</f>
        <v>vpc503_5_11</v>
      </c>
      <c r="AO152" s="311">
        <f>O152</f>
        <v>0</v>
      </c>
      <c r="AP152" s="311" t="str">
        <f>SUBSTITUTE(SUBSTITUTE(SUBSTITUTE("vch"&amp;$B152&amp;$C152&amp;$D152&amp;$E152&amp;$F152,".","_"),"(","_"),")","")</f>
        <v>vch503_5_11</v>
      </c>
      <c r="AQ152" s="311">
        <f>W152</f>
        <v>0</v>
      </c>
      <c r="AR152" s="311" t="str">
        <f>SUBSTITUTE(SUBSTITUTE(SUBSTITUTE("vnt"&amp;$B152&amp;$C152&amp;$D152&amp;$E152&amp;$F152,".","_"),"(","_"),")","")</f>
        <v>vnt503_5_11</v>
      </c>
      <c r="AS152" s="311">
        <f>X152</f>
        <v>0</v>
      </c>
      <c r="BJ152" s="1184" t="s">
        <v>4763</v>
      </c>
    </row>
    <row r="153" spans="1:62" x14ac:dyDescent="0.3">
      <c r="A153" s="1200">
        <v>5</v>
      </c>
      <c r="B153" s="1203" t="s">
        <v>438</v>
      </c>
      <c r="C153" s="1203"/>
      <c r="D153" s="1203"/>
      <c r="E153" s="1203" t="s">
        <v>462</v>
      </c>
      <c r="F153" s="1203"/>
      <c r="G153" s="1202" t="str">
        <f>G152</f>
        <v/>
      </c>
      <c r="H153" s="1204" t="s">
        <v>4388</v>
      </c>
      <c r="I153" s="93"/>
      <c r="J153" s="195"/>
      <c r="K153" s="195"/>
      <c r="L153" s="1306"/>
      <c r="M153" s="1543"/>
      <c r="N153" s="1491"/>
      <c r="O153" s="1491"/>
      <c r="P153" s="280"/>
      <c r="Q153" s="280"/>
      <c r="R153" s="280"/>
      <c r="S153" s="280"/>
      <c r="T153" s="280"/>
      <c r="U153" s="280"/>
      <c r="V153" s="280"/>
      <c r="W153" s="280"/>
      <c r="X153" s="1303"/>
      <c r="Y153" s="1522"/>
      <c r="Z153" s="1586"/>
      <c r="AC153" s="280"/>
      <c r="AD153" s="280"/>
      <c r="AE153" s="280"/>
      <c r="AF153" s="280"/>
      <c r="AG153" s="280"/>
      <c r="AH153" s="280"/>
      <c r="AI153" s="280"/>
      <c r="AJ153" s="280"/>
      <c r="AK153" s="280"/>
      <c r="AL153" s="280"/>
      <c r="AM153" s="280"/>
      <c r="AN153" s="280"/>
      <c r="AO153" s="280"/>
      <c r="AP153" s="280"/>
      <c r="AQ153" s="280"/>
      <c r="AR153" s="280"/>
      <c r="AS153" s="280"/>
      <c r="BJ153" s="1184" t="s">
        <v>4763</v>
      </c>
    </row>
    <row r="154" spans="1:62" x14ac:dyDescent="0.3">
      <c r="A154" s="1200">
        <v>5</v>
      </c>
      <c r="B154" s="1203" t="s">
        <v>438</v>
      </c>
      <c r="C154" s="1203"/>
      <c r="D154" s="1203"/>
      <c r="E154" s="1203" t="s">
        <v>464</v>
      </c>
      <c r="F154" s="1203"/>
      <c r="G154" s="1202" t="str">
        <f>IF(N154&gt;0,"P","")</f>
        <v/>
      </c>
      <c r="H154" s="1204" t="s">
        <v>4388</v>
      </c>
      <c r="I154" s="107"/>
      <c r="J154" s="94" t="s">
        <v>464</v>
      </c>
      <c r="K154" s="107"/>
      <c r="L154" s="1305" t="s">
        <v>465</v>
      </c>
      <c r="M154" s="1540">
        <v>6</v>
      </c>
      <c r="N154" s="1472">
        <f>'Ch5'!O155</f>
        <v>0</v>
      </c>
      <c r="O154" s="1463">
        <f>M154*S154*W154</f>
        <v>0</v>
      </c>
      <c r="P154" s="97" t="b">
        <v>0</v>
      </c>
      <c r="Q154" s="97" t="b">
        <v>1</v>
      </c>
      <c r="R154" s="97" t="b">
        <v>0</v>
      </c>
      <c r="S154" s="280" t="b">
        <f>NOT(ISBLANK(W120))</f>
        <v>0</v>
      </c>
      <c r="T154" s="97" t="b">
        <f>IF(AND(NOT(S154),W154=TRUE),TRUE,FALSE)</f>
        <v>0</v>
      </c>
      <c r="U154" s="97"/>
      <c r="V154" s="97"/>
      <c r="W154" s="25"/>
      <c r="X154" s="1295"/>
      <c r="Y154" s="1523" t="str">
        <f>IF(LEN('Ch5'!X155)=0,"None",'Ch5'!X155)</f>
        <v>None</v>
      </c>
      <c r="Z154" s="1583"/>
      <c r="AC154" s="280" t="b">
        <f>OR(AD154:AE154)</f>
        <v>0</v>
      </c>
      <c r="AD154" s="280" t="b">
        <f>T154</f>
        <v>0</v>
      </c>
      <c r="AE154" s="280"/>
      <c r="AF154" s="280"/>
      <c r="AG154" s="280"/>
      <c r="AH154" s="280"/>
      <c r="AI154" s="280"/>
      <c r="AJ154" s="280"/>
      <c r="AK154" s="280"/>
      <c r="AL154" s="311" t="str">
        <f>SUBSTITUTE(SUBSTITUTE(SUBSTITUTE("vpa"&amp;$B154&amp;$C154&amp;$D154&amp;$E154&amp;$F154,".","_"),"(","_"),")","")</f>
        <v>vpa503_5_12</v>
      </c>
      <c r="AM154" s="311">
        <f>M154</f>
        <v>6</v>
      </c>
      <c r="AN154" s="311" t="str">
        <f>SUBSTITUTE(SUBSTITUTE(SUBSTITUTE("vpc"&amp;$B154&amp;$C154&amp;$D154&amp;$E154&amp;$F154,".","_"),"(","_"),")","")</f>
        <v>vpc503_5_12</v>
      </c>
      <c r="AO154" s="311">
        <f>O154</f>
        <v>0</v>
      </c>
      <c r="AP154" s="311" t="str">
        <f>SUBSTITUTE(SUBSTITUTE(SUBSTITUTE("vch"&amp;$B154&amp;$C154&amp;$D154&amp;$E154&amp;$F154,".","_"),"(","_"),")","")</f>
        <v>vch503_5_12</v>
      </c>
      <c r="AQ154" s="311">
        <f>W154</f>
        <v>0</v>
      </c>
      <c r="AR154" s="311" t="str">
        <f>SUBSTITUTE(SUBSTITUTE(SUBSTITUTE("vnt"&amp;$B154&amp;$C154&amp;$D154&amp;$E154&amp;$F154,".","_"),"(","_"),")","")</f>
        <v>vnt503_5_12</v>
      </c>
      <c r="AS154" s="311">
        <f>X154</f>
        <v>0</v>
      </c>
      <c r="BJ154" s="1184" t="s">
        <v>4763</v>
      </c>
    </row>
    <row r="155" spans="1:62" ht="15" thickBot="1" x14ac:dyDescent="0.35">
      <c r="A155" s="1200">
        <v>5</v>
      </c>
      <c r="B155" s="1203" t="s">
        <v>438</v>
      </c>
      <c r="C155" s="1203"/>
      <c r="D155" s="1203"/>
      <c r="E155" s="1203" t="s">
        <v>464</v>
      </c>
      <c r="F155" s="1203"/>
      <c r="G155" s="1202" t="str">
        <f>G154</f>
        <v/>
      </c>
      <c r="H155" s="1204" t="s">
        <v>4388</v>
      </c>
      <c r="I155" s="108"/>
      <c r="J155" s="108"/>
      <c r="K155" s="108"/>
      <c r="L155" s="1330"/>
      <c r="M155" s="1541"/>
      <c r="N155" s="1529"/>
      <c r="O155" s="1529"/>
      <c r="P155" s="104"/>
      <c r="Q155" s="104"/>
      <c r="R155" s="104"/>
      <c r="S155" s="104"/>
      <c r="T155" s="104"/>
      <c r="U155" s="104"/>
      <c r="V155" s="104"/>
      <c r="W155" s="104"/>
      <c r="X155" s="1296"/>
      <c r="Y155" s="1524"/>
      <c r="Z155" s="1584"/>
      <c r="AC155" s="280"/>
      <c r="AD155" s="280"/>
      <c r="AE155" s="280"/>
      <c r="AF155" s="280"/>
      <c r="AG155" s="280"/>
      <c r="AH155" s="280"/>
      <c r="AI155" s="280"/>
      <c r="AJ155" s="280"/>
      <c r="AK155" s="280"/>
      <c r="AL155" s="280"/>
      <c r="AM155" s="280"/>
      <c r="AN155" s="280"/>
      <c r="AO155" s="280"/>
      <c r="AP155" s="280"/>
      <c r="AQ155" s="280"/>
      <c r="AR155" s="280"/>
      <c r="AS155" s="280"/>
      <c r="BJ155" s="1184" t="s">
        <v>4763</v>
      </c>
    </row>
    <row r="156" spans="1:62" ht="15" thickTop="1" x14ac:dyDescent="0.3">
      <c r="A156" s="1200">
        <v>5</v>
      </c>
      <c r="B156" s="1203" t="s">
        <v>466</v>
      </c>
      <c r="C156" s="1203"/>
      <c r="D156" s="1203"/>
      <c r="E156" s="1203"/>
      <c r="F156" s="1203"/>
      <c r="G156" s="1196" t="str">
        <f>IF(COUNTIF(G158:G162,"P")&gt;0,"P","")</f>
        <v/>
      </c>
      <c r="H156" s="1204" t="s">
        <v>4388</v>
      </c>
      <c r="I156" s="152">
        <v>503.6</v>
      </c>
      <c r="J156" s="93"/>
      <c r="K156" s="93"/>
      <c r="L156" s="1292" t="s">
        <v>467</v>
      </c>
      <c r="M156" s="294"/>
      <c r="N156" s="1528">
        <f>'Ch5'!O157</f>
        <v>6</v>
      </c>
      <c r="O156" s="1528">
        <f>IF((M158*W158+M159*W159+M160*W160+M162*W162)&gt;=6,(M158*W158+M159*W159+M160*W160+M162*W162),0)</f>
        <v>0</v>
      </c>
      <c r="P156" s="280"/>
      <c r="Q156" s="280"/>
      <c r="R156" s="280"/>
      <c r="S156" s="280"/>
      <c r="T156" s="280"/>
      <c r="U156" s="280"/>
      <c r="V156" s="280"/>
      <c r="W156" s="280"/>
      <c r="X156" s="1327"/>
      <c r="Y156" s="1525" t="str">
        <f>IF(LEN('Ch5'!X157)=0,"None",'Ch5'!X157)</f>
        <v>None</v>
      </c>
      <c r="Z156" s="1585"/>
      <c r="AC156" s="280"/>
      <c r="AD156" s="280"/>
      <c r="AE156" s="280"/>
      <c r="AF156" s="280"/>
      <c r="AG156" s="280"/>
      <c r="AH156" s="280"/>
      <c r="AI156" s="280"/>
      <c r="AJ156" s="280"/>
      <c r="AK156" s="280"/>
      <c r="AL156" s="280"/>
      <c r="AM156" s="280"/>
      <c r="AN156" s="280"/>
      <c r="AO156" s="280"/>
      <c r="AP156" s="280"/>
      <c r="AQ156" s="280"/>
      <c r="AR156" s="311" t="str">
        <f>SUBSTITUTE(SUBSTITUTE(SUBSTITUTE("vnt"&amp;$B156&amp;$C156&amp;$D156&amp;$E156&amp;$F156,".","_"),"(","_"),")","")</f>
        <v>vnt503_6</v>
      </c>
      <c r="AS156" s="311">
        <f>X156</f>
        <v>0</v>
      </c>
      <c r="BJ156" s="1184" t="s">
        <v>4763</v>
      </c>
    </row>
    <row r="157" spans="1:62" x14ac:dyDescent="0.3">
      <c r="A157" s="1200">
        <v>5</v>
      </c>
      <c r="B157" s="1203" t="s">
        <v>466</v>
      </c>
      <c r="C157" s="1203"/>
      <c r="D157" s="1203"/>
      <c r="E157" s="1203"/>
      <c r="F157" s="1203"/>
      <c r="G157" s="1202" t="str">
        <f t="shared" ref="G157" si="42">G156</f>
        <v/>
      </c>
      <c r="H157" s="1204" t="s">
        <v>4388</v>
      </c>
      <c r="I157" s="93"/>
      <c r="J157" s="93"/>
      <c r="K157" s="93"/>
      <c r="L157" s="1292"/>
      <c r="M157" s="294"/>
      <c r="N157" s="1463"/>
      <c r="O157" s="1463"/>
      <c r="P157" s="280"/>
      <c r="Q157" s="280"/>
      <c r="R157" s="280"/>
      <c r="S157" s="280"/>
      <c r="T157" s="280"/>
      <c r="U157" s="280"/>
      <c r="V157" s="280"/>
      <c r="W157" s="280"/>
      <c r="X157" s="1295"/>
      <c r="Y157" s="1523"/>
      <c r="Z157" s="1583"/>
      <c r="AC157" s="280"/>
      <c r="AD157" s="280"/>
      <c r="AE157" s="280"/>
      <c r="AF157" s="280"/>
      <c r="AG157" s="280"/>
      <c r="AH157" s="280"/>
      <c r="AI157" s="280"/>
      <c r="AJ157" s="280"/>
      <c r="AK157" s="280"/>
      <c r="AL157" s="280"/>
      <c r="AM157" s="280"/>
      <c r="AN157" s="280"/>
      <c r="AO157" s="280"/>
      <c r="AP157" s="280"/>
      <c r="AQ157" s="280"/>
      <c r="AR157" s="280"/>
      <c r="AS157" s="280"/>
      <c r="BJ157" s="1184" t="s">
        <v>4763</v>
      </c>
    </row>
    <row r="158" spans="1:62" x14ac:dyDescent="0.3">
      <c r="A158" s="1200">
        <v>5</v>
      </c>
      <c r="B158" s="1203" t="s">
        <v>466</v>
      </c>
      <c r="C158" s="1203"/>
      <c r="D158" s="1203"/>
      <c r="E158" s="1203" t="s">
        <v>271</v>
      </c>
      <c r="F158" s="1203"/>
      <c r="G158" s="1202" t="str">
        <f>IF(N158&gt;0,"P","")</f>
        <v/>
      </c>
      <c r="H158" s="1204" t="s">
        <v>4388</v>
      </c>
      <c r="I158" s="93"/>
      <c r="J158" s="192" t="s">
        <v>271</v>
      </c>
      <c r="K158" s="195"/>
      <c r="L158" s="193" t="s">
        <v>468</v>
      </c>
      <c r="M158" s="287">
        <v>3</v>
      </c>
      <c r="N158" s="284"/>
      <c r="O158" s="284"/>
      <c r="P158" s="280" t="b">
        <v>0</v>
      </c>
      <c r="Q158" s="280" t="b">
        <v>1</v>
      </c>
      <c r="R158" s="280" t="b">
        <v>0</v>
      </c>
      <c r="S158" s="280" t="b">
        <v>1</v>
      </c>
      <c r="T158" s="280" t="b">
        <v>0</v>
      </c>
      <c r="U158" s="280"/>
      <c r="V158" s="280"/>
      <c r="W158" s="25"/>
      <c r="X158" s="1295"/>
      <c r="Y158" s="1523"/>
      <c r="Z158" s="1583"/>
      <c r="AC158" s="280"/>
      <c r="AD158" s="280"/>
      <c r="AE158" s="280"/>
      <c r="AF158" s="280"/>
      <c r="AG158" s="280"/>
      <c r="AH158" s="280"/>
      <c r="AI158" s="280"/>
      <c r="AJ158" s="280"/>
      <c r="AK158" s="280"/>
      <c r="AL158" s="311" t="str">
        <f t="shared" ref="AL158:AL160" si="43">SUBSTITUTE(SUBSTITUTE(SUBSTITUTE("vpa"&amp;$B158&amp;$C158&amp;$D158&amp;$E158&amp;$F158,".","_"),"(","_"),")","")</f>
        <v>vpa503_6_1</v>
      </c>
      <c r="AM158" s="311">
        <f>M158</f>
        <v>3</v>
      </c>
      <c r="AN158" s="311" t="str">
        <f t="shared" ref="AN158:AN160" si="44">SUBSTITUTE(SUBSTITUTE(SUBSTITUTE("vpc"&amp;$B158&amp;$C158&amp;$D158&amp;$E158&amp;$F158,".","_"),"(","_"),")","")</f>
        <v>vpc503_6_1</v>
      </c>
      <c r="AO158" s="311">
        <f>O158</f>
        <v>0</v>
      </c>
      <c r="AP158" s="311" t="str">
        <f t="shared" ref="AP158:AP160" si="45">SUBSTITUTE(SUBSTITUTE(SUBSTITUTE("vch"&amp;$B158&amp;$C158&amp;$D158&amp;$E158&amp;$F158,".","_"),"(","_"),")","")</f>
        <v>vch503_6_1</v>
      </c>
      <c r="AQ158" s="311">
        <f>W158</f>
        <v>0</v>
      </c>
      <c r="AR158" s="280"/>
      <c r="AS158" s="280"/>
      <c r="BJ158" s="1184" t="s">
        <v>4763</v>
      </c>
    </row>
    <row r="159" spans="1:62" x14ac:dyDescent="0.3">
      <c r="A159" s="1200">
        <v>5</v>
      </c>
      <c r="B159" s="1203" t="s">
        <v>466</v>
      </c>
      <c r="C159" s="1203"/>
      <c r="D159" s="1203"/>
      <c r="E159" s="1203" t="s">
        <v>273</v>
      </c>
      <c r="F159" s="1203"/>
      <c r="G159" s="1202" t="str">
        <f>IF(N159&gt;0,"P","")</f>
        <v/>
      </c>
      <c r="H159" s="1204" t="s">
        <v>4388</v>
      </c>
      <c r="I159" s="93"/>
      <c r="J159" s="192" t="s">
        <v>273</v>
      </c>
      <c r="K159" s="195"/>
      <c r="L159" s="193" t="s">
        <v>469</v>
      </c>
      <c r="M159" s="287">
        <v>3</v>
      </c>
      <c r="N159" s="284"/>
      <c r="O159" s="284"/>
      <c r="P159" s="280" t="b">
        <v>0</v>
      </c>
      <c r="Q159" s="280" t="b">
        <v>1</v>
      </c>
      <c r="R159" s="280" t="b">
        <v>0</v>
      </c>
      <c r="S159" s="280" t="b">
        <v>1</v>
      </c>
      <c r="T159" s="280" t="b">
        <v>0</v>
      </c>
      <c r="U159" s="280"/>
      <c r="V159" s="280"/>
      <c r="W159" s="25"/>
      <c r="X159" s="1295"/>
      <c r="Y159" s="1523"/>
      <c r="Z159" s="1583"/>
      <c r="AC159" s="280"/>
      <c r="AD159" s="280"/>
      <c r="AE159" s="280"/>
      <c r="AF159" s="280"/>
      <c r="AG159" s="280"/>
      <c r="AH159" s="280"/>
      <c r="AI159" s="280"/>
      <c r="AJ159" s="280"/>
      <c r="AK159" s="280"/>
      <c r="AL159" s="311" t="str">
        <f t="shared" si="43"/>
        <v>vpa503_6_2</v>
      </c>
      <c r="AM159" s="311">
        <f>M159</f>
        <v>3</v>
      </c>
      <c r="AN159" s="311" t="str">
        <f t="shared" si="44"/>
        <v>vpc503_6_2</v>
      </c>
      <c r="AO159" s="311">
        <f>O159</f>
        <v>0</v>
      </c>
      <c r="AP159" s="311" t="str">
        <f t="shared" si="45"/>
        <v>vch503_6_2</v>
      </c>
      <c r="AQ159" s="311">
        <f>W159</f>
        <v>0</v>
      </c>
      <c r="AR159" s="280"/>
      <c r="AS159" s="280"/>
      <c r="BJ159" s="1184" t="s">
        <v>4763</v>
      </c>
    </row>
    <row r="160" spans="1:62" x14ac:dyDescent="0.3">
      <c r="A160" s="1200">
        <v>5</v>
      </c>
      <c r="B160" s="1203" t="s">
        <v>466</v>
      </c>
      <c r="C160" s="1203"/>
      <c r="D160" s="1203"/>
      <c r="E160" s="1203" t="s">
        <v>275</v>
      </c>
      <c r="F160" s="1203"/>
      <c r="G160" s="1202" t="str">
        <f>IF(N160&gt;0,"P","")</f>
        <v/>
      </c>
      <c r="H160" s="1204" t="s">
        <v>4388</v>
      </c>
      <c r="I160" s="93"/>
      <c r="J160" s="94" t="s">
        <v>275</v>
      </c>
      <c r="K160" s="107"/>
      <c r="L160" s="1305" t="s">
        <v>470</v>
      </c>
      <c r="M160" s="1540">
        <v>3</v>
      </c>
      <c r="N160" s="283"/>
      <c r="O160" s="283"/>
      <c r="P160" s="280" t="b">
        <v>0</v>
      </c>
      <c r="Q160" s="280" t="b">
        <v>1</v>
      </c>
      <c r="R160" s="280" t="b">
        <v>0</v>
      </c>
      <c r="S160" s="280" t="b">
        <v>1</v>
      </c>
      <c r="T160" s="280" t="b">
        <v>0</v>
      </c>
      <c r="U160" s="280"/>
      <c r="V160" s="280"/>
      <c r="W160" s="25"/>
      <c r="X160" s="1295"/>
      <c r="Y160" s="1523"/>
      <c r="Z160" s="1583"/>
      <c r="AC160" s="280"/>
      <c r="AD160" s="280"/>
      <c r="AE160" s="280"/>
      <c r="AF160" s="280"/>
      <c r="AG160" s="280"/>
      <c r="AH160" s="280"/>
      <c r="AI160" s="280"/>
      <c r="AJ160" s="280"/>
      <c r="AK160" s="280"/>
      <c r="AL160" s="311" t="str">
        <f t="shared" si="43"/>
        <v>vpa503_6_3</v>
      </c>
      <c r="AM160" s="311">
        <f>M160</f>
        <v>3</v>
      </c>
      <c r="AN160" s="311" t="str">
        <f t="shared" si="44"/>
        <v>vpc503_6_3</v>
      </c>
      <c r="AO160" s="311">
        <f>O160</f>
        <v>0</v>
      </c>
      <c r="AP160" s="311" t="str">
        <f t="shared" si="45"/>
        <v>vch503_6_3</v>
      </c>
      <c r="AQ160" s="311">
        <f>W160</f>
        <v>0</v>
      </c>
      <c r="AR160" s="280"/>
      <c r="AS160" s="280"/>
      <c r="BJ160" s="1184" t="s">
        <v>4763</v>
      </c>
    </row>
    <row r="161" spans="1:62" x14ac:dyDescent="0.3">
      <c r="A161" s="1200">
        <v>5</v>
      </c>
      <c r="B161" s="1203" t="s">
        <v>466</v>
      </c>
      <c r="C161" s="1203"/>
      <c r="D161" s="1203"/>
      <c r="E161" s="1203" t="s">
        <v>275</v>
      </c>
      <c r="F161" s="1203"/>
      <c r="G161" s="1202" t="str">
        <f>G160</f>
        <v/>
      </c>
      <c r="H161" s="1204" t="s">
        <v>4388</v>
      </c>
      <c r="I161" s="93"/>
      <c r="J161" s="195"/>
      <c r="K161" s="195"/>
      <c r="L161" s="1306"/>
      <c r="M161" s="1543"/>
      <c r="N161" s="284"/>
      <c r="O161" s="284"/>
      <c r="P161" s="280"/>
      <c r="Q161" s="280"/>
      <c r="R161" s="280"/>
      <c r="S161" s="280"/>
      <c r="T161" s="280"/>
      <c r="U161" s="280"/>
      <c r="V161" s="280"/>
      <c r="W161" s="280"/>
      <c r="X161" s="1295"/>
      <c r="Y161" s="1523"/>
      <c r="Z161" s="1583"/>
      <c r="AC161" s="280"/>
      <c r="AD161" s="280"/>
      <c r="AE161" s="280"/>
      <c r="AF161" s="280"/>
      <c r="AG161" s="280"/>
      <c r="AH161" s="280"/>
      <c r="AI161" s="280"/>
      <c r="AJ161" s="280"/>
      <c r="AK161" s="280"/>
      <c r="AL161" s="280"/>
      <c r="AM161" s="280"/>
      <c r="AN161" s="280"/>
      <c r="AO161" s="280"/>
      <c r="AP161" s="280"/>
      <c r="AQ161" s="280"/>
      <c r="AR161" s="280"/>
      <c r="AS161" s="280"/>
      <c r="BJ161" s="1184" t="s">
        <v>4763</v>
      </c>
    </row>
    <row r="162" spans="1:62" ht="15" thickBot="1" x14ac:dyDescent="0.35">
      <c r="A162" s="1200">
        <v>5</v>
      </c>
      <c r="B162" s="1203" t="s">
        <v>466</v>
      </c>
      <c r="C162" s="1203"/>
      <c r="D162" s="1203"/>
      <c r="E162" s="1203" t="s">
        <v>285</v>
      </c>
      <c r="F162" s="1203"/>
      <c r="G162" s="1202" t="str">
        <f>IF(N162&gt;0,"P","")</f>
        <v/>
      </c>
      <c r="H162" s="1204" t="s">
        <v>4388</v>
      </c>
      <c r="I162" s="108"/>
      <c r="J162" s="99" t="s">
        <v>285</v>
      </c>
      <c r="K162" s="108"/>
      <c r="L162" s="100" t="s">
        <v>471</v>
      </c>
      <c r="M162" s="295">
        <v>3</v>
      </c>
      <c r="N162" s="288"/>
      <c r="O162" s="288"/>
      <c r="P162" s="280" t="b">
        <v>0</v>
      </c>
      <c r="Q162" s="280" t="b">
        <v>1</v>
      </c>
      <c r="R162" s="104" t="b">
        <v>0</v>
      </c>
      <c r="S162" s="104" t="b">
        <v>1</v>
      </c>
      <c r="T162" s="104" t="b">
        <v>0</v>
      </c>
      <c r="U162" s="104"/>
      <c r="V162" s="104"/>
      <c r="W162" s="207"/>
      <c r="X162" s="1296"/>
      <c r="Y162" s="1524"/>
      <c r="Z162" s="1584"/>
      <c r="AC162" s="280"/>
      <c r="AD162" s="280"/>
      <c r="AE162" s="280"/>
      <c r="AF162" s="280"/>
      <c r="AG162" s="280"/>
      <c r="AH162" s="280"/>
      <c r="AI162" s="280"/>
      <c r="AJ162" s="280"/>
      <c r="AK162" s="280"/>
      <c r="AL162" s="311" t="str">
        <f>SUBSTITUTE(SUBSTITUTE(SUBSTITUTE("vpa"&amp;$B162&amp;$C162&amp;$D162&amp;$E162&amp;$F162,".","_"),"(","_"),")","")</f>
        <v>vpa503_6_4</v>
      </c>
      <c r="AM162" s="311">
        <f>M162</f>
        <v>3</v>
      </c>
      <c r="AN162" s="311" t="str">
        <f>SUBSTITUTE(SUBSTITUTE(SUBSTITUTE("vpc"&amp;$B162&amp;$C162&amp;$D162&amp;$E162&amp;$F162,".","_"),"(","_"),")","")</f>
        <v>vpc503_6_4</v>
      </c>
      <c r="AO162" s="311">
        <f>O162</f>
        <v>0</v>
      </c>
      <c r="AP162" s="311" t="str">
        <f>SUBSTITUTE(SUBSTITUTE(SUBSTITUTE("vch"&amp;$B162&amp;$C162&amp;$D162&amp;$E162&amp;$F162,".","_"),"(","_"),")","")</f>
        <v>vch503_6_4</v>
      </c>
      <c r="AQ162" s="311">
        <f>W162</f>
        <v>0</v>
      </c>
      <c r="AR162" s="280"/>
      <c r="AS162" s="280"/>
      <c r="BJ162" s="1184" t="s">
        <v>4763</v>
      </c>
    </row>
    <row r="163" spans="1:62" ht="15" thickTop="1" x14ac:dyDescent="0.3">
      <c r="A163" s="1200">
        <v>5</v>
      </c>
      <c r="B163" s="1203" t="s">
        <v>472</v>
      </c>
      <c r="C163" s="1203"/>
      <c r="D163" s="1203"/>
      <c r="E163" s="1203"/>
      <c r="F163" s="1203"/>
      <c r="G163" s="1196" t="str">
        <f>IF(COUNTIF(G165:G167,"P")&gt;0,"P","")</f>
        <v/>
      </c>
      <c r="H163" s="1204" t="s">
        <v>4386</v>
      </c>
      <c r="I163" s="152">
        <v>503.7</v>
      </c>
      <c r="J163" s="93"/>
      <c r="K163" s="93"/>
      <c r="L163" s="1292" t="s">
        <v>473</v>
      </c>
      <c r="M163" s="294"/>
      <c r="N163" s="282"/>
      <c r="O163" s="282"/>
      <c r="P163" s="280"/>
      <c r="Q163" s="280"/>
      <c r="R163" s="280"/>
      <c r="S163" s="280"/>
      <c r="T163" s="280"/>
      <c r="U163" s="280"/>
      <c r="V163" s="280"/>
      <c r="W163" s="206"/>
      <c r="X163" s="1304"/>
      <c r="Y163" s="1525" t="str">
        <f>IF(LEN('Ch5'!X164)=0,"None",'Ch5'!X164)</f>
        <v>None</v>
      </c>
      <c r="Z163" s="1585"/>
      <c r="AC163" s="280"/>
      <c r="AD163" s="280"/>
      <c r="AE163" s="280"/>
      <c r="AF163" s="280"/>
      <c r="AG163" s="280"/>
      <c r="AH163" s="280"/>
      <c r="AI163" s="280"/>
      <c r="AJ163" s="280"/>
      <c r="AK163" s="280"/>
      <c r="AL163" s="280"/>
      <c r="AM163" s="280"/>
      <c r="AN163" s="280"/>
      <c r="AO163" s="280"/>
      <c r="AP163" s="280"/>
      <c r="AQ163" s="280"/>
      <c r="AR163" s="311" t="str">
        <f>SUBSTITUTE(SUBSTITUTE(SUBSTITUTE("vnt"&amp;$B163&amp;$C163&amp;$D163&amp;$E163&amp;$F163,".","_"),"(","_"),")","")</f>
        <v>vnt503_7</v>
      </c>
      <c r="AS163" s="311">
        <f>X163</f>
        <v>0</v>
      </c>
      <c r="BJ163" s="1184" t="s">
        <v>4763</v>
      </c>
    </row>
    <row r="164" spans="1:62" x14ac:dyDescent="0.3">
      <c r="A164" s="1200">
        <v>5</v>
      </c>
      <c r="B164" s="1203" t="s">
        <v>472</v>
      </c>
      <c r="C164" s="1203"/>
      <c r="D164" s="1203"/>
      <c r="E164" s="1203"/>
      <c r="F164" s="1203"/>
      <c r="G164" s="1202" t="str">
        <f t="shared" ref="G164" si="46">G163</f>
        <v/>
      </c>
      <c r="H164" s="1204" t="s">
        <v>4386</v>
      </c>
      <c r="I164" s="93"/>
      <c r="J164" s="93"/>
      <c r="K164" s="93"/>
      <c r="L164" s="1292"/>
      <c r="M164" s="294"/>
      <c r="N164" s="282"/>
      <c r="O164" s="282"/>
      <c r="P164" s="280"/>
      <c r="Q164" s="280"/>
      <c r="R164" s="280"/>
      <c r="S164" s="280"/>
      <c r="T164" s="280"/>
      <c r="U164" s="280"/>
      <c r="V164" s="280"/>
      <c r="W164" s="280"/>
      <c r="X164" s="1295"/>
      <c r="Y164" s="1523"/>
      <c r="Z164" s="1583"/>
      <c r="AC164" s="280"/>
      <c r="AD164" s="280"/>
      <c r="AE164" s="280"/>
      <c r="AF164" s="280"/>
      <c r="AG164" s="280"/>
      <c r="AH164" s="280"/>
      <c r="AI164" s="280"/>
      <c r="AJ164" s="280"/>
      <c r="AK164" s="280"/>
      <c r="AL164" s="280"/>
      <c r="AM164" s="280"/>
      <c r="AN164" s="280"/>
      <c r="AO164" s="280"/>
      <c r="AP164" s="280"/>
      <c r="AQ164" s="280"/>
      <c r="AR164" s="280"/>
      <c r="AS164" s="280"/>
      <c r="BJ164" s="1184" t="s">
        <v>4763</v>
      </c>
    </row>
    <row r="165" spans="1:62" x14ac:dyDescent="0.3">
      <c r="A165" s="1200">
        <v>5</v>
      </c>
      <c r="B165" s="1203" t="s">
        <v>472</v>
      </c>
      <c r="C165" s="1203"/>
      <c r="D165" s="1203"/>
      <c r="E165" s="1203" t="s">
        <v>271</v>
      </c>
      <c r="F165" s="1203"/>
      <c r="G165" s="1202" t="str">
        <f>IF(N165&gt;0,"P","")</f>
        <v/>
      </c>
      <c r="H165" s="1204" t="s">
        <v>4386</v>
      </c>
      <c r="I165" s="93"/>
      <c r="J165" s="94" t="s">
        <v>271</v>
      </c>
      <c r="K165" s="107"/>
      <c r="L165" s="1305" t="s">
        <v>474</v>
      </c>
      <c r="M165" s="1540">
        <v>4</v>
      </c>
      <c r="N165" s="1473">
        <f>'Ch5'!O166</f>
        <v>0</v>
      </c>
      <c r="O165" s="1473">
        <f>M165*W165</f>
        <v>0</v>
      </c>
      <c r="P165" s="280" t="b">
        <v>1</v>
      </c>
      <c r="Q165" s="440" t="b">
        <v>1</v>
      </c>
      <c r="R165" s="280" t="b">
        <v>0</v>
      </c>
      <c r="S165" s="280" t="b">
        <v>1</v>
      </c>
      <c r="T165" s="280" t="b">
        <v>0</v>
      </c>
      <c r="U165" s="280"/>
      <c r="V165" s="280"/>
      <c r="W165" s="25"/>
      <c r="X165" s="1295"/>
      <c r="Y165" s="1523"/>
      <c r="Z165" s="1583"/>
      <c r="AC165" s="280"/>
      <c r="AD165" s="280"/>
      <c r="AE165" s="280"/>
      <c r="AF165" s="280"/>
      <c r="AG165" s="280"/>
      <c r="AH165" s="280"/>
      <c r="AI165" s="280"/>
      <c r="AJ165" s="280"/>
      <c r="AK165" s="280"/>
      <c r="AL165" s="311" t="str">
        <f>SUBSTITUTE(SUBSTITUTE(SUBSTITUTE("vpa"&amp;$B165&amp;$C165&amp;$D165&amp;$E165&amp;$F165,".","_"),"(","_"),")","")</f>
        <v>vpa503_7_1</v>
      </c>
      <c r="AM165" s="311">
        <f>M165</f>
        <v>4</v>
      </c>
      <c r="AN165" s="311" t="str">
        <f>SUBSTITUTE(SUBSTITUTE(SUBSTITUTE("vpc"&amp;$B165&amp;$C165&amp;$D165&amp;$E165&amp;$F165,".","_"),"(","_"),")","")</f>
        <v>vpc503_7_1</v>
      </c>
      <c r="AO165" s="311">
        <f>O165</f>
        <v>0</v>
      </c>
      <c r="AP165" s="311" t="str">
        <f>SUBSTITUTE(SUBSTITUTE(SUBSTITUTE("vch"&amp;$B165&amp;$C165&amp;$D165&amp;$E165&amp;$F165,".","_"),"(","_"),")","")</f>
        <v>vch503_7_1</v>
      </c>
      <c r="AQ165" s="311">
        <f>W165</f>
        <v>0</v>
      </c>
      <c r="AR165" s="280"/>
      <c r="AS165" s="280"/>
      <c r="BJ165" s="1184" t="s">
        <v>4763</v>
      </c>
    </row>
    <row r="166" spans="1:62" x14ac:dyDescent="0.3">
      <c r="A166" s="1200">
        <v>5</v>
      </c>
      <c r="B166" s="1203" t="s">
        <v>472</v>
      </c>
      <c r="C166" s="1203"/>
      <c r="D166" s="1203"/>
      <c r="E166" s="1203" t="s">
        <v>271</v>
      </c>
      <c r="F166" s="1203"/>
      <c r="G166" s="1202" t="str">
        <f>G165</f>
        <v/>
      </c>
      <c r="H166" s="1204" t="s">
        <v>4386</v>
      </c>
      <c r="I166" s="93"/>
      <c r="J166" s="192"/>
      <c r="K166" s="195"/>
      <c r="L166" s="1306"/>
      <c r="M166" s="1543"/>
      <c r="N166" s="1491"/>
      <c r="O166" s="1491"/>
      <c r="P166" s="280"/>
      <c r="Q166" s="280"/>
      <c r="R166" s="280"/>
      <c r="S166" s="280"/>
      <c r="T166" s="280"/>
      <c r="U166" s="280"/>
      <c r="V166" s="280"/>
      <c r="W166" s="280"/>
      <c r="X166" s="1295"/>
      <c r="Y166" s="1523"/>
      <c r="Z166" s="1583"/>
      <c r="AC166" s="280"/>
      <c r="AD166" s="280"/>
      <c r="AE166" s="280"/>
      <c r="AF166" s="280"/>
      <c r="AG166" s="280"/>
      <c r="AH166" s="280"/>
      <c r="AI166" s="280"/>
      <c r="AJ166" s="280"/>
      <c r="AK166" s="280"/>
      <c r="AL166" s="280"/>
      <c r="AM166" s="280"/>
      <c r="AN166" s="280"/>
      <c r="AO166" s="280"/>
      <c r="AP166" s="280"/>
      <c r="AQ166" s="280"/>
      <c r="AR166" s="280"/>
      <c r="AS166" s="280"/>
      <c r="BJ166" s="1184" t="s">
        <v>4763</v>
      </c>
    </row>
    <row r="167" spans="1:62" x14ac:dyDescent="0.3">
      <c r="A167" s="1200">
        <v>5</v>
      </c>
      <c r="B167" s="1203" t="s">
        <v>472</v>
      </c>
      <c r="C167" s="1203"/>
      <c r="D167" s="1203"/>
      <c r="E167" s="1203" t="s">
        <v>273</v>
      </c>
      <c r="F167" s="1203"/>
      <c r="G167" s="1202" t="str">
        <f>IF(N167&gt;0,"P","")</f>
        <v/>
      </c>
      <c r="H167" s="1204" t="s">
        <v>4386</v>
      </c>
      <c r="I167" s="107"/>
      <c r="J167" s="94" t="s">
        <v>273</v>
      </c>
      <c r="K167" s="107"/>
      <c r="L167" s="1305" t="s">
        <v>475</v>
      </c>
      <c r="M167" s="1540">
        <v>4</v>
      </c>
      <c r="N167" s="1472">
        <f>'Ch5'!O168</f>
        <v>0</v>
      </c>
      <c r="O167" s="1463">
        <f>M167*W167</f>
        <v>0</v>
      </c>
      <c r="P167" s="280" t="b">
        <v>1</v>
      </c>
      <c r="Q167" s="440" t="b">
        <v>1</v>
      </c>
      <c r="R167" s="97" t="b">
        <v>0</v>
      </c>
      <c r="S167" s="97" t="b">
        <v>1</v>
      </c>
      <c r="T167" s="97" t="b">
        <v>0</v>
      </c>
      <c r="U167" s="97"/>
      <c r="V167" s="97"/>
      <c r="W167" s="25"/>
      <c r="X167" s="1295"/>
      <c r="Y167" s="1523"/>
      <c r="Z167" s="1583"/>
      <c r="AC167" s="280"/>
      <c r="AD167" s="280"/>
      <c r="AE167" s="280"/>
      <c r="AF167" s="280"/>
      <c r="AG167" s="280"/>
      <c r="AH167" s="280"/>
      <c r="AI167" s="280"/>
      <c r="AJ167" s="280"/>
      <c r="AK167" s="280"/>
      <c r="AL167" s="311" t="str">
        <f>SUBSTITUTE(SUBSTITUTE(SUBSTITUTE("vpa"&amp;$B167&amp;$C167&amp;$D167&amp;$E167&amp;$F167,".","_"),"(","_"),")","")</f>
        <v>vpa503_7_2</v>
      </c>
      <c r="AM167" s="311">
        <f>M167</f>
        <v>4</v>
      </c>
      <c r="AN167" s="311" t="str">
        <f>SUBSTITUTE(SUBSTITUTE(SUBSTITUTE("vpc"&amp;$B167&amp;$C167&amp;$D167&amp;$E167&amp;$F167,".","_"),"(","_"),")","")</f>
        <v>vpc503_7_2</v>
      </c>
      <c r="AO167" s="311">
        <f>O167</f>
        <v>0</v>
      </c>
      <c r="AP167" s="311" t="str">
        <f>SUBSTITUTE(SUBSTITUTE(SUBSTITUTE("vch"&amp;$B167&amp;$C167&amp;$D167&amp;$E167&amp;$F167,".","_"),"(","_"),")","")</f>
        <v>vch503_7_2</v>
      </c>
      <c r="AQ167" s="311">
        <f>W167</f>
        <v>0</v>
      </c>
      <c r="AR167" s="280"/>
      <c r="AS167" s="280"/>
      <c r="BJ167" s="1184" t="s">
        <v>4763</v>
      </c>
    </row>
    <row r="168" spans="1:62" ht="15" thickBot="1" x14ac:dyDescent="0.35">
      <c r="A168" s="1200">
        <v>5</v>
      </c>
      <c r="B168" s="1203" t="s">
        <v>472</v>
      </c>
      <c r="C168" s="1203"/>
      <c r="D168" s="1203"/>
      <c r="E168" s="1203" t="s">
        <v>273</v>
      </c>
      <c r="F168" s="1203"/>
      <c r="G168" s="1202" t="str">
        <f>G167</f>
        <v/>
      </c>
      <c r="H168" s="1204" t="s">
        <v>4386</v>
      </c>
      <c r="I168" s="108"/>
      <c r="J168" s="108"/>
      <c r="K168" s="108"/>
      <c r="L168" s="1330"/>
      <c r="M168" s="1541"/>
      <c r="N168" s="1529"/>
      <c r="O168" s="1529"/>
      <c r="P168" s="104"/>
      <c r="Q168" s="104"/>
      <c r="R168" s="104"/>
      <c r="S168" s="104"/>
      <c r="T168" s="104"/>
      <c r="U168" s="104"/>
      <c r="V168" s="104"/>
      <c r="W168" s="104"/>
      <c r="X168" s="1296"/>
      <c r="Y168" s="1524"/>
      <c r="Z168" s="1584"/>
      <c r="AC168" s="280"/>
      <c r="AD168" s="280"/>
      <c r="AE168" s="280"/>
      <c r="AF168" s="280"/>
      <c r="AG168" s="280"/>
      <c r="AH168" s="280"/>
      <c r="AI168" s="280"/>
      <c r="AJ168" s="280"/>
      <c r="AK168" s="280"/>
      <c r="AL168" s="280"/>
      <c r="AM168" s="280"/>
      <c r="AN168" s="280"/>
      <c r="AO168" s="280"/>
      <c r="AP168" s="280"/>
      <c r="AQ168" s="280"/>
      <c r="AR168" s="280"/>
      <c r="AS168" s="280"/>
      <c r="BJ168" s="1184" t="s">
        <v>4763</v>
      </c>
    </row>
    <row r="169" spans="1:62" ht="15" thickTop="1" x14ac:dyDescent="0.3">
      <c r="A169" s="1200">
        <v>5</v>
      </c>
      <c r="B169" s="1203" t="s">
        <v>476</v>
      </c>
      <c r="C169" s="1203"/>
      <c r="D169" s="1203"/>
      <c r="E169" s="1203"/>
      <c r="F169" s="1203"/>
      <c r="G169" s="1202" t="str">
        <f ca="1">IF(N169&gt;0,"P","")</f>
        <v/>
      </c>
      <c r="H169" s="1204" t="s">
        <v>4387</v>
      </c>
      <c r="I169" s="152">
        <v>503.8</v>
      </c>
      <c r="J169" s="93"/>
      <c r="K169" s="93"/>
      <c r="L169" s="1292" t="s">
        <v>477</v>
      </c>
      <c r="M169" s="1542">
        <v>5</v>
      </c>
      <c r="N169" s="1528">
        <f ca="1">'Ch5'!O170</f>
        <v>0</v>
      </c>
      <c r="O169" s="1528">
        <f ca="1">IFERROR(INDEX({5,6,7,8,9,10},MATCH(W170,INDIRECT(U170),0)),0)</f>
        <v>0</v>
      </c>
      <c r="P169" s="280"/>
      <c r="Q169" s="280"/>
      <c r="R169" s="280"/>
      <c r="S169" s="280"/>
      <c r="T169" s="280"/>
      <c r="U169" s="280"/>
      <c r="V169" s="280"/>
      <c r="W169" s="280"/>
      <c r="X169" s="1304"/>
      <c r="Y169" s="1525" t="str">
        <f>IF(LEN('Ch5'!X170)=0,"None",'Ch5'!X170)</f>
        <v>None</v>
      </c>
      <c r="Z169" s="1585"/>
      <c r="AC169" s="280"/>
      <c r="AD169" s="280"/>
      <c r="AE169" s="280"/>
      <c r="AF169" s="280"/>
      <c r="AG169" s="280"/>
      <c r="AH169" s="280"/>
      <c r="AI169" s="280"/>
      <c r="AJ169" s="280"/>
      <c r="AK169" s="280"/>
      <c r="AL169" s="311" t="str">
        <f>SUBSTITUTE(SUBSTITUTE(SUBSTITUTE("vpa"&amp;$B169&amp;$C169&amp;$D169&amp;$E169&amp;$F169,".","_"),"(","_"),")","")</f>
        <v>vpa503_8</v>
      </c>
      <c r="AM169" s="311">
        <f>M169</f>
        <v>5</v>
      </c>
      <c r="AN169" s="311" t="str">
        <f>SUBSTITUTE(SUBSTITUTE(SUBSTITUTE("vpc"&amp;$B169&amp;$C169&amp;$D169&amp;$E169&amp;$F169,".","_"),"(","_"),")","")</f>
        <v>vpc503_8</v>
      </c>
      <c r="AO169" s="311">
        <f ca="1">O169</f>
        <v>0</v>
      </c>
      <c r="AP169" s="311" t="str">
        <f>SUBSTITUTE(SUBSTITUTE(SUBSTITUTE("vch"&amp;$B169&amp;$C169&amp;$D169&amp;$E169&amp;$F169,".","_"),"(","_"),")","")</f>
        <v>vch503_8</v>
      </c>
      <c r="AQ169" s="311">
        <f>W169</f>
        <v>0</v>
      </c>
      <c r="AR169" s="311" t="str">
        <f>SUBSTITUTE(SUBSTITUTE(SUBSTITUTE("vnt"&amp;$B169&amp;$C169&amp;$D169&amp;$E169&amp;$F169,".","_"),"(","_"),")","")</f>
        <v>vnt503_8</v>
      </c>
      <c r="AS169" s="311">
        <f>X169</f>
        <v>0</v>
      </c>
      <c r="BJ169" s="1184" t="s">
        <v>4763</v>
      </c>
    </row>
    <row r="170" spans="1:62" x14ac:dyDescent="0.3">
      <c r="A170" s="1200">
        <v>5</v>
      </c>
      <c r="B170" s="1203" t="s">
        <v>476</v>
      </c>
      <c r="C170" s="1203"/>
      <c r="D170" s="1203"/>
      <c r="E170" s="1203"/>
      <c r="F170" s="1203"/>
      <c r="G170" s="1202" t="str">
        <f t="shared" ref="G170:G173" ca="1" si="47">G169</f>
        <v/>
      </c>
      <c r="H170" s="1204" t="s">
        <v>4387</v>
      </c>
      <c r="I170" s="93"/>
      <c r="J170" s="93"/>
      <c r="K170" s="93"/>
      <c r="L170" s="1292"/>
      <c r="M170" s="1542"/>
      <c r="N170" s="1463"/>
      <c r="O170" s="1473"/>
      <c r="P170" s="280" t="b">
        <v>1</v>
      </c>
      <c r="Q170" s="280" t="b">
        <v>0</v>
      </c>
      <c r="R170" s="280" t="b">
        <v>0</v>
      </c>
      <c r="S170" s="280" t="b">
        <v>1</v>
      </c>
      <c r="T170" s="280" t="b">
        <v>0</v>
      </c>
      <c r="U170" s="280" t="str">
        <f>SUBSTITUTE(SUBSTITUTE(SUBSTITUTE("dd"&amp;B170&amp;C170&amp;D170&amp;E170&amp;F170,".","_"),"(","_"),")","")</f>
        <v>dd503_8</v>
      </c>
      <c r="V170" s="280"/>
      <c r="W170" s="12"/>
      <c r="X170" s="1303"/>
      <c r="Y170" s="1522"/>
      <c r="Z170" s="1586"/>
      <c r="AC170" s="280"/>
      <c r="AD170" s="280"/>
      <c r="AE170" s="280"/>
      <c r="AF170" s="280"/>
      <c r="AG170" s="280"/>
      <c r="AH170" s="280"/>
      <c r="AI170" s="280"/>
      <c r="AJ170" s="280"/>
      <c r="AK170" s="280"/>
      <c r="AL170" s="280"/>
      <c r="AM170" s="280"/>
      <c r="AN170" s="280"/>
      <c r="AO170" s="280"/>
      <c r="AP170" s="280"/>
      <c r="AQ170" s="280"/>
      <c r="AR170" s="280"/>
      <c r="AS170" s="280"/>
      <c r="BJ170" s="1184" t="s">
        <v>4763</v>
      </c>
    </row>
    <row r="171" spans="1:62" x14ac:dyDescent="0.3">
      <c r="A171" s="1200">
        <v>5</v>
      </c>
      <c r="B171" s="1203" t="s">
        <v>476</v>
      </c>
      <c r="C171" s="1203"/>
      <c r="D171" s="1203"/>
      <c r="E171" s="1203"/>
      <c r="F171" s="1203"/>
      <c r="G171" s="1202" t="str">
        <f t="shared" ca="1" si="47"/>
        <v/>
      </c>
      <c r="H171" s="1204" t="s">
        <v>4387</v>
      </c>
      <c r="I171" s="93"/>
      <c r="J171" s="93"/>
      <c r="K171" s="93"/>
      <c r="L171" s="1292"/>
      <c r="M171" s="1542"/>
      <c r="N171" s="1463"/>
      <c r="O171" s="1473"/>
      <c r="P171" s="280"/>
      <c r="Q171" s="280"/>
      <c r="R171" s="280"/>
      <c r="S171" s="280"/>
      <c r="T171" s="280"/>
      <c r="U171" s="280"/>
      <c r="V171" s="280"/>
      <c r="W171" s="280"/>
      <c r="X171" s="1303"/>
      <c r="Y171" s="1522"/>
      <c r="Z171" s="1586"/>
      <c r="AC171" s="280"/>
      <c r="AD171" s="280"/>
      <c r="AE171" s="280"/>
      <c r="AF171" s="280"/>
      <c r="AG171" s="280"/>
      <c r="AH171" s="280"/>
      <c r="AI171" s="280"/>
      <c r="AJ171" s="280"/>
      <c r="AK171" s="280"/>
      <c r="AL171" s="280"/>
      <c r="AM171" s="280"/>
      <c r="AN171" s="280"/>
      <c r="AO171" s="280"/>
      <c r="AP171" s="280"/>
      <c r="AQ171" s="280"/>
      <c r="AR171" s="280"/>
      <c r="AS171" s="280"/>
      <c r="BJ171" s="1184" t="s">
        <v>4763</v>
      </c>
    </row>
    <row r="172" spans="1:62" x14ac:dyDescent="0.3">
      <c r="A172" s="1200">
        <v>5</v>
      </c>
      <c r="B172" s="1203" t="s">
        <v>476</v>
      </c>
      <c r="C172" s="1203"/>
      <c r="D172" s="1203"/>
      <c r="E172" s="1203"/>
      <c r="F172" s="1203"/>
      <c r="G172" s="1202" t="str">
        <f t="shared" ca="1" si="47"/>
        <v/>
      </c>
      <c r="H172" s="1204" t="s">
        <v>4387</v>
      </c>
      <c r="I172" s="93"/>
      <c r="J172" s="93"/>
      <c r="K172" s="93"/>
      <c r="L172" s="1329" t="s">
        <v>478</v>
      </c>
      <c r="M172" s="1542" t="s">
        <v>834</v>
      </c>
      <c r="N172" s="282"/>
      <c r="O172" s="282"/>
      <c r="P172" s="280"/>
      <c r="Q172" s="280"/>
      <c r="R172" s="280"/>
      <c r="S172" s="280"/>
      <c r="T172" s="280"/>
      <c r="U172" s="280"/>
      <c r="V172" s="280"/>
      <c r="W172" s="280"/>
      <c r="X172" s="1303"/>
      <c r="Y172" s="1522"/>
      <c r="Z172" s="1586"/>
      <c r="AC172" s="280"/>
      <c r="AD172" s="280"/>
      <c r="AE172" s="280"/>
      <c r="AF172" s="280"/>
      <c r="AG172" s="280"/>
      <c r="AH172" s="280"/>
      <c r="AI172" s="280"/>
      <c r="AJ172" s="280"/>
      <c r="AK172" s="280"/>
      <c r="AL172" s="311"/>
      <c r="AM172" s="311"/>
      <c r="AN172" s="280"/>
      <c r="AO172" s="280"/>
      <c r="AP172" s="280"/>
      <c r="AQ172" s="280"/>
      <c r="AR172" s="280"/>
      <c r="AS172" s="280"/>
      <c r="BJ172" s="1184" t="s">
        <v>4763</v>
      </c>
    </row>
    <row r="173" spans="1:62" x14ac:dyDescent="0.3">
      <c r="A173" s="1200">
        <v>5</v>
      </c>
      <c r="B173" s="1203" t="s">
        <v>476</v>
      </c>
      <c r="C173" s="1203"/>
      <c r="D173" s="1203"/>
      <c r="E173" s="1203"/>
      <c r="F173" s="1203"/>
      <c r="G173" s="1202" t="str">
        <f t="shared" ca="1" si="47"/>
        <v/>
      </c>
      <c r="H173" s="1204" t="s">
        <v>4387</v>
      </c>
      <c r="I173" s="93"/>
      <c r="J173" s="93"/>
      <c r="K173" s="93"/>
      <c r="L173" s="1329"/>
      <c r="M173" s="1542"/>
      <c r="N173" s="282"/>
      <c r="O173" s="282"/>
      <c r="P173" s="280"/>
      <c r="Q173" s="280"/>
      <c r="R173" s="280"/>
      <c r="S173" s="280"/>
      <c r="T173" s="280"/>
      <c r="U173" s="280"/>
      <c r="V173" s="280"/>
      <c r="W173" s="280"/>
      <c r="X173" s="1303"/>
      <c r="Y173" s="1522"/>
      <c r="Z173" s="1586"/>
      <c r="AC173" s="280"/>
      <c r="AD173" s="280"/>
      <c r="AE173" s="280"/>
      <c r="AF173" s="280"/>
      <c r="AG173" s="280"/>
      <c r="AH173" s="280"/>
      <c r="AI173" s="280"/>
      <c r="AJ173" s="280"/>
      <c r="AK173" s="280"/>
      <c r="AL173" s="280"/>
      <c r="AM173" s="280"/>
      <c r="AN173" s="280"/>
      <c r="AO173" s="280"/>
      <c r="AP173" s="280"/>
      <c r="AQ173" s="280"/>
      <c r="AR173" s="280"/>
      <c r="AS173" s="280"/>
      <c r="BJ173" s="1184" t="s">
        <v>4763</v>
      </c>
    </row>
    <row r="174" spans="1:62" ht="18" x14ac:dyDescent="0.35">
      <c r="A174" s="1200">
        <v>5</v>
      </c>
      <c r="B174" s="1203" t="s">
        <v>479</v>
      </c>
      <c r="C174" s="1203"/>
      <c r="D174" s="1203"/>
      <c r="E174" s="1203"/>
      <c r="F174" s="1203"/>
      <c r="G174" s="1202" t="s">
        <v>4389</v>
      </c>
      <c r="H174" s="1200" t="s">
        <v>4386</v>
      </c>
      <c r="I174" s="91" t="s">
        <v>480</v>
      </c>
      <c r="J174" s="91"/>
      <c r="K174" s="91"/>
      <c r="L174" s="87"/>
      <c r="M174" s="71"/>
      <c r="N174" s="71"/>
      <c r="O174" s="71"/>
      <c r="P174" s="23"/>
      <c r="Q174" s="23"/>
      <c r="R174" s="23"/>
      <c r="S174" s="23"/>
      <c r="T174" s="23"/>
      <c r="U174" s="23"/>
      <c r="V174" s="23"/>
      <c r="W174" s="23"/>
      <c r="X174" s="23"/>
      <c r="Y174" s="23"/>
      <c r="Z174" s="1168"/>
      <c r="AC174" s="280"/>
      <c r="AD174" s="280"/>
      <c r="AE174" s="280"/>
      <c r="AF174" s="280"/>
      <c r="AG174" s="280"/>
      <c r="AH174" s="280"/>
      <c r="AI174" s="280"/>
      <c r="AJ174" s="280"/>
      <c r="AK174" s="280"/>
      <c r="AL174" s="280"/>
      <c r="AM174" s="280"/>
      <c r="AN174" s="280"/>
      <c r="AO174" s="280"/>
      <c r="AP174" s="280"/>
      <c r="AQ174" s="280"/>
      <c r="AR174" s="280"/>
      <c r="AS174" s="280"/>
      <c r="BJ174" s="1184" t="s">
        <v>4763</v>
      </c>
    </row>
    <row r="175" spans="1:62" x14ac:dyDescent="0.3">
      <c r="A175" s="1200">
        <v>5</v>
      </c>
      <c r="B175" s="1203" t="s">
        <v>479</v>
      </c>
      <c r="C175" s="1203"/>
      <c r="D175" s="1203"/>
      <c r="E175" s="1203"/>
      <c r="F175" s="1203"/>
      <c r="G175" s="1204"/>
      <c r="H175" s="1204"/>
      <c r="I175" s="94" t="s">
        <v>479</v>
      </c>
      <c r="J175" s="107"/>
      <c r="K175" s="107"/>
      <c r="L175" s="1313" t="s">
        <v>481</v>
      </c>
      <c r="M175" s="286"/>
      <c r="N175" s="283"/>
      <c r="O175" s="283"/>
      <c r="P175" s="97"/>
      <c r="Q175" s="97"/>
      <c r="R175" s="97"/>
      <c r="S175" s="97"/>
      <c r="T175" s="97"/>
      <c r="U175" s="97"/>
      <c r="V175" s="97"/>
      <c r="W175" s="97"/>
      <c r="X175" s="118"/>
      <c r="Z175" s="1055"/>
      <c r="AC175" s="280"/>
      <c r="AD175" s="280"/>
      <c r="AE175" s="280"/>
      <c r="AF175" s="280"/>
      <c r="AG175" s="280"/>
      <c r="AH175" s="280"/>
      <c r="AI175" s="280"/>
      <c r="AJ175" s="280"/>
      <c r="AK175" s="280"/>
      <c r="AL175" s="280"/>
      <c r="AM175" s="280"/>
      <c r="AN175" s="280"/>
      <c r="AO175" s="280"/>
      <c r="AP175" s="280"/>
      <c r="AQ175" s="280"/>
      <c r="AR175" s="280"/>
      <c r="AS175" s="280"/>
      <c r="BJ175" s="1184" t="s">
        <v>4763</v>
      </c>
    </row>
    <row r="176" spans="1:62" ht="15" thickBot="1" x14ac:dyDescent="0.35">
      <c r="A176" s="1200">
        <v>5</v>
      </c>
      <c r="B176" s="1203" t="s">
        <v>479</v>
      </c>
      <c r="C176" s="1203"/>
      <c r="D176" s="1203"/>
      <c r="E176" s="1203"/>
      <c r="F176" s="1203"/>
      <c r="G176" s="1204"/>
      <c r="H176" s="1204"/>
      <c r="I176" s="108"/>
      <c r="J176" s="108"/>
      <c r="K176" s="108"/>
      <c r="L176" s="1332"/>
      <c r="M176" s="295"/>
      <c r="N176" s="288"/>
      <c r="O176" s="288"/>
      <c r="P176" s="104"/>
      <c r="Q176" s="104"/>
      <c r="R176" s="104"/>
      <c r="S176" s="104"/>
      <c r="T176" s="104"/>
      <c r="U176" s="104"/>
      <c r="V176" s="104"/>
      <c r="W176" s="104"/>
      <c r="X176" s="117"/>
      <c r="Y176" s="315"/>
      <c r="Z176" s="1170"/>
      <c r="AC176" s="280"/>
      <c r="AD176" s="280"/>
      <c r="AE176" s="280"/>
      <c r="AF176" s="280"/>
      <c r="AG176" s="280"/>
      <c r="AH176" s="280"/>
      <c r="AI176" s="280"/>
      <c r="AJ176" s="280"/>
      <c r="AK176" s="280"/>
      <c r="AL176" s="280"/>
      <c r="AM176" s="280"/>
      <c r="AN176" s="280"/>
      <c r="AO176" s="280"/>
      <c r="AP176" s="280"/>
      <c r="AQ176" s="280"/>
      <c r="AR176" s="280"/>
      <c r="AS176" s="280"/>
      <c r="BJ176" s="1184" t="s">
        <v>4763</v>
      </c>
    </row>
    <row r="177" spans="1:62" ht="15" thickTop="1" x14ac:dyDescent="0.3">
      <c r="A177" s="1200">
        <v>5</v>
      </c>
      <c r="B177" s="1203" t="s">
        <v>482</v>
      </c>
      <c r="C177" s="1203"/>
      <c r="D177" s="1203"/>
      <c r="E177" s="1203"/>
      <c r="F177" s="1203"/>
      <c r="G177" s="1202" t="str">
        <f>IF(N177&gt;0,"P","")</f>
        <v/>
      </c>
      <c r="H177" s="1204" t="s">
        <v>4386</v>
      </c>
      <c r="I177" s="119" t="s">
        <v>482</v>
      </c>
      <c r="J177" s="112"/>
      <c r="K177" s="112"/>
      <c r="L177" s="1331" t="s">
        <v>483</v>
      </c>
      <c r="M177" s="1539">
        <v>4</v>
      </c>
      <c r="N177" s="1528">
        <f>'Ch5'!O178</f>
        <v>0</v>
      </c>
      <c r="O177" s="1528">
        <f>M177*W177*S177</f>
        <v>0</v>
      </c>
      <c r="P177" s="280" t="b">
        <v>1</v>
      </c>
      <c r="Q177" s="280" t="b">
        <v>1</v>
      </c>
      <c r="R177" s="110" t="b">
        <v>0</v>
      </c>
      <c r="S177" s="110" t="b">
        <f>IF((O82+O84+O91)&gt;0,TRUE,FALSE)</f>
        <v>0</v>
      </c>
      <c r="T177" s="97" t="b">
        <f>IF(AND(NOT(S177),W177=TRUE),TRUE,FALSE)</f>
        <v>0</v>
      </c>
      <c r="U177" s="110"/>
      <c r="V177" s="110"/>
      <c r="W177" s="25"/>
      <c r="X177" s="1327"/>
      <c r="Y177" s="1525" t="str">
        <f>IF(LEN('Ch5'!X178)=0,"None",'Ch5'!X178)</f>
        <v>None</v>
      </c>
      <c r="Z177" s="1585"/>
      <c r="AC177" s="280" t="b">
        <f>OR(AD177:AE177)</f>
        <v>0</v>
      </c>
      <c r="AD177" s="280" t="b">
        <f>T177</f>
        <v>0</v>
      </c>
      <c r="AE177" s="280"/>
      <c r="AF177" s="280"/>
      <c r="AG177" s="280"/>
      <c r="AH177" s="280"/>
      <c r="AI177" s="280"/>
      <c r="AJ177" s="280"/>
      <c r="AK177" s="280"/>
      <c r="AL177" s="311" t="str">
        <f>SUBSTITUTE(SUBSTITUTE(SUBSTITUTE("vpa"&amp;$B177&amp;$C177&amp;$D177&amp;$E177&amp;$F177,".","_"),"(","_"),")","")</f>
        <v>vpa504_1</v>
      </c>
      <c r="AM177" s="311">
        <f>M177</f>
        <v>4</v>
      </c>
      <c r="AN177" s="311" t="str">
        <f>SUBSTITUTE(SUBSTITUTE(SUBSTITUTE("vpc"&amp;$B177&amp;$C177&amp;$D177&amp;$E177&amp;$F177,".","_"),"(","_"),")","")</f>
        <v>vpc504_1</v>
      </c>
      <c r="AO177" s="311">
        <f>O177</f>
        <v>0</v>
      </c>
      <c r="AP177" s="311" t="str">
        <f>SUBSTITUTE(SUBSTITUTE(SUBSTITUTE("vch"&amp;$B177&amp;$C177&amp;$D177&amp;$E177&amp;$F177,".","_"),"(","_"),")","")</f>
        <v>vch504_1</v>
      </c>
      <c r="AQ177" s="311">
        <f>W177</f>
        <v>0</v>
      </c>
      <c r="AR177" s="311" t="str">
        <f>SUBSTITUTE(SUBSTITUTE(SUBSTITUTE("vnt"&amp;$B177&amp;$C177&amp;$D177&amp;$E177&amp;$F177,".","_"),"(","_"),")","")</f>
        <v>vnt504_1</v>
      </c>
      <c r="AS177" s="311">
        <f>X177</f>
        <v>0</v>
      </c>
      <c r="BJ177" s="1184" t="s">
        <v>4763</v>
      </c>
    </row>
    <row r="178" spans="1:62" x14ac:dyDescent="0.3">
      <c r="A178" s="1200">
        <v>5</v>
      </c>
      <c r="B178" s="1203" t="s">
        <v>482</v>
      </c>
      <c r="C178" s="1203"/>
      <c r="D178" s="1203"/>
      <c r="E178" s="1203"/>
      <c r="F178" s="1203"/>
      <c r="G178" s="1202" t="str">
        <f t="shared" ref="G178:G181" si="48">G177</f>
        <v/>
      </c>
      <c r="H178" s="1204" t="s">
        <v>4386</v>
      </c>
      <c r="I178" s="107"/>
      <c r="J178" s="107"/>
      <c r="K178" s="107"/>
      <c r="L178" s="1313"/>
      <c r="M178" s="1540"/>
      <c r="N178" s="1473"/>
      <c r="O178" s="1473"/>
      <c r="P178" s="97"/>
      <c r="Q178" s="97"/>
      <c r="R178" s="97"/>
      <c r="S178" s="97"/>
      <c r="T178" s="97"/>
      <c r="U178" s="97"/>
      <c r="V178" s="97"/>
      <c r="W178" s="97"/>
      <c r="X178" s="1295"/>
      <c r="Y178" s="1523"/>
      <c r="Z178" s="1583"/>
      <c r="AC178" s="280"/>
      <c r="AD178" s="280"/>
      <c r="AE178" s="280"/>
      <c r="AF178" s="280"/>
      <c r="AG178" s="280"/>
      <c r="AH178" s="280"/>
      <c r="AI178" s="280"/>
      <c r="AJ178" s="280"/>
      <c r="AK178" s="280"/>
      <c r="AL178" s="280"/>
      <c r="AM178" s="280"/>
      <c r="AN178" s="280"/>
      <c r="AO178" s="280"/>
      <c r="AP178" s="280"/>
      <c r="AQ178" s="280"/>
      <c r="AR178" s="280"/>
      <c r="AS178" s="280"/>
      <c r="BJ178" s="1184" t="s">
        <v>4763</v>
      </c>
    </row>
    <row r="179" spans="1:62" x14ac:dyDescent="0.3">
      <c r="A179" s="1200">
        <v>5</v>
      </c>
      <c r="B179" s="1203" t="s">
        <v>482</v>
      </c>
      <c r="C179" s="1203"/>
      <c r="D179" s="1203"/>
      <c r="E179" s="1203"/>
      <c r="F179" s="1203"/>
      <c r="G179" s="1202" t="str">
        <f t="shared" si="48"/>
        <v/>
      </c>
      <c r="H179" s="1204" t="s">
        <v>4386</v>
      </c>
      <c r="I179" s="107"/>
      <c r="J179" s="107"/>
      <c r="K179" s="107"/>
      <c r="L179" s="1313"/>
      <c r="M179" s="1540"/>
      <c r="N179" s="1473"/>
      <c r="O179" s="1473"/>
      <c r="P179" s="97"/>
      <c r="Q179" s="97"/>
      <c r="R179" s="97"/>
      <c r="S179" s="97"/>
      <c r="T179" s="97"/>
      <c r="U179" s="97"/>
      <c r="V179" s="97"/>
      <c r="W179" s="97"/>
      <c r="X179" s="1295"/>
      <c r="Y179" s="1523"/>
      <c r="Z179" s="1583"/>
      <c r="AC179" s="280"/>
      <c r="AD179" s="280"/>
      <c r="AE179" s="280"/>
      <c r="AF179" s="280"/>
      <c r="AG179" s="280"/>
      <c r="AH179" s="280"/>
      <c r="AI179" s="280"/>
      <c r="AJ179" s="280"/>
      <c r="AK179" s="280"/>
      <c r="AL179" s="280"/>
      <c r="AM179" s="280"/>
      <c r="AN179" s="280"/>
      <c r="AO179" s="280"/>
      <c r="AP179" s="280"/>
      <c r="AQ179" s="280"/>
      <c r="AR179" s="280"/>
      <c r="AS179" s="280"/>
      <c r="BJ179" s="1184" t="s">
        <v>4763</v>
      </c>
    </row>
    <row r="180" spans="1:62" x14ac:dyDescent="0.3">
      <c r="A180" s="1200">
        <v>5</v>
      </c>
      <c r="B180" s="1203" t="s">
        <v>482</v>
      </c>
      <c r="C180" s="1203"/>
      <c r="D180" s="1203"/>
      <c r="E180" s="1203"/>
      <c r="F180" s="1203"/>
      <c r="G180" s="1202" t="str">
        <f t="shared" si="48"/>
        <v/>
      </c>
      <c r="H180" s="1204" t="s">
        <v>4386</v>
      </c>
      <c r="I180" s="107"/>
      <c r="J180" s="107"/>
      <c r="K180" s="107"/>
      <c r="L180" s="1313"/>
      <c r="M180" s="1540"/>
      <c r="N180" s="1473"/>
      <c r="O180" s="1473"/>
      <c r="P180" s="97"/>
      <c r="Q180" s="97"/>
      <c r="R180" s="97"/>
      <c r="S180" s="97"/>
      <c r="T180" s="97"/>
      <c r="U180" s="97"/>
      <c r="V180" s="97"/>
      <c r="W180" s="97"/>
      <c r="X180" s="1295"/>
      <c r="Y180" s="1523"/>
      <c r="Z180" s="1583"/>
      <c r="AC180" s="280"/>
      <c r="AD180" s="280"/>
      <c r="AE180" s="280"/>
      <c r="AF180" s="280"/>
      <c r="AG180" s="280"/>
      <c r="AH180" s="280"/>
      <c r="AI180" s="280"/>
      <c r="AJ180" s="280"/>
      <c r="AK180" s="280"/>
      <c r="AL180" s="280"/>
      <c r="AM180" s="280"/>
      <c r="AN180" s="280"/>
      <c r="AO180" s="280"/>
      <c r="AP180" s="280"/>
      <c r="AQ180" s="280"/>
      <c r="AR180" s="280"/>
      <c r="AS180" s="280"/>
      <c r="BJ180" s="1184" t="s">
        <v>4763</v>
      </c>
    </row>
    <row r="181" spans="1:62" ht="15" thickBot="1" x14ac:dyDescent="0.35">
      <c r="A181" s="1200">
        <v>5</v>
      </c>
      <c r="B181" s="1203" t="s">
        <v>482</v>
      </c>
      <c r="C181" s="1203"/>
      <c r="D181" s="1203"/>
      <c r="E181" s="1203"/>
      <c r="F181" s="1203"/>
      <c r="G181" s="1202" t="str">
        <f t="shared" si="48"/>
        <v/>
      </c>
      <c r="H181" s="1204" t="s">
        <v>4386</v>
      </c>
      <c r="I181" s="108"/>
      <c r="J181" s="108"/>
      <c r="K181" s="108"/>
      <c r="L181" s="199" t="s">
        <v>841</v>
      </c>
      <c r="M181" s="1541"/>
      <c r="N181" s="1529"/>
      <c r="O181" s="1529"/>
      <c r="P181" s="104"/>
      <c r="Q181" s="104"/>
      <c r="R181" s="104"/>
      <c r="S181" s="104"/>
      <c r="T181" s="104"/>
      <c r="U181" s="104"/>
      <c r="V181" s="104"/>
      <c r="W181" s="104"/>
      <c r="X181" s="1296"/>
      <c r="Y181" s="1524"/>
      <c r="Z181" s="1584"/>
      <c r="AC181" s="280"/>
      <c r="AD181" s="280"/>
      <c r="AE181" s="280"/>
      <c r="AF181" s="280"/>
      <c r="AG181" s="280"/>
      <c r="AH181" s="280"/>
      <c r="AI181" s="280"/>
      <c r="AJ181" s="280"/>
      <c r="AK181" s="280"/>
      <c r="AL181" s="280"/>
      <c r="AM181" s="280"/>
      <c r="AN181" s="280"/>
      <c r="AO181" s="280"/>
      <c r="AP181" s="280"/>
      <c r="AQ181" s="280"/>
      <c r="AR181" s="280"/>
      <c r="AS181" s="280"/>
      <c r="BJ181" s="1184" t="s">
        <v>4763</v>
      </c>
    </row>
    <row r="182" spans="1:62" ht="15" thickTop="1" x14ac:dyDescent="0.3">
      <c r="A182" s="1200">
        <v>5</v>
      </c>
      <c r="B182" s="1203" t="s">
        <v>484</v>
      </c>
      <c r="C182" s="1203"/>
      <c r="D182" s="1203"/>
      <c r="E182" s="1203"/>
      <c r="F182" s="1203"/>
      <c r="G182" s="1196" t="str">
        <f>IF(COUNTIF(G184:G187,"P")&gt;0,"P","")</f>
        <v/>
      </c>
      <c r="H182" s="1204" t="s">
        <v>4387</v>
      </c>
      <c r="I182" s="90" t="s">
        <v>484</v>
      </c>
      <c r="J182" s="93"/>
      <c r="K182" s="93"/>
      <c r="L182" s="1292" t="s">
        <v>485</v>
      </c>
      <c r="M182" s="294"/>
      <c r="N182" s="282"/>
      <c r="O182" s="282"/>
      <c r="P182" s="280"/>
      <c r="Q182" s="280"/>
      <c r="R182" s="280"/>
      <c r="S182" s="280"/>
      <c r="T182" s="280"/>
      <c r="U182" s="280"/>
      <c r="V182" s="280"/>
      <c r="W182" s="280"/>
      <c r="X182" s="1304"/>
      <c r="Y182" s="1525" t="str">
        <f>IF(LEN('Ch5'!X183)=0,"None",'Ch5'!X183)</f>
        <v>None</v>
      </c>
      <c r="Z182" s="1585"/>
      <c r="AC182" s="280"/>
      <c r="AD182" s="280"/>
      <c r="AE182" s="280"/>
      <c r="AF182" s="280"/>
      <c r="AG182" s="280"/>
      <c r="AH182" s="280"/>
      <c r="AI182" s="280"/>
      <c r="AJ182" s="280"/>
      <c r="AK182" s="280"/>
      <c r="AL182" s="280"/>
      <c r="AM182" s="280"/>
      <c r="AN182" s="280"/>
      <c r="AO182" s="280"/>
      <c r="AP182" s="280"/>
      <c r="AQ182" s="280"/>
      <c r="AR182" s="311" t="str">
        <f>SUBSTITUTE(SUBSTITUTE(SUBSTITUTE("vnt"&amp;$B182&amp;$C182&amp;$D182&amp;$E182&amp;$F182,".","_"),"(","_"),")","")</f>
        <v>vnt504_2</v>
      </c>
      <c r="AS182" s="311">
        <f>X182</f>
        <v>0</v>
      </c>
      <c r="BJ182" s="1184" t="s">
        <v>4763</v>
      </c>
    </row>
    <row r="183" spans="1:62" x14ac:dyDescent="0.3">
      <c r="A183" s="1200">
        <v>5</v>
      </c>
      <c r="B183" s="1203" t="s">
        <v>484</v>
      </c>
      <c r="C183" s="1203"/>
      <c r="D183" s="1203"/>
      <c r="E183" s="1203"/>
      <c r="F183" s="1203"/>
      <c r="G183" s="1202" t="str">
        <f t="shared" ref="G183" si="49">G182</f>
        <v/>
      </c>
      <c r="H183" s="1204" t="s">
        <v>4387</v>
      </c>
      <c r="I183" s="93"/>
      <c r="J183" s="93"/>
      <c r="K183" s="93"/>
      <c r="L183" s="1292"/>
      <c r="M183" s="294"/>
      <c r="N183" s="282"/>
      <c r="O183" s="282"/>
      <c r="P183" s="280"/>
      <c r="Q183" s="280"/>
      <c r="R183" s="280"/>
      <c r="S183" s="280"/>
      <c r="T183" s="280"/>
      <c r="U183" s="280"/>
      <c r="V183" s="280"/>
      <c r="W183" s="280"/>
      <c r="X183" s="1295"/>
      <c r="Y183" s="1523"/>
      <c r="Z183" s="1583"/>
      <c r="AC183" s="280"/>
      <c r="AD183" s="280"/>
      <c r="AE183" s="280"/>
      <c r="AF183" s="280"/>
      <c r="AG183" s="280"/>
      <c r="AH183" s="280"/>
      <c r="AI183" s="280"/>
      <c r="AJ183" s="280"/>
      <c r="AK183" s="280"/>
      <c r="AL183" s="280"/>
      <c r="AM183" s="280"/>
      <c r="AN183" s="280"/>
      <c r="AO183" s="280"/>
      <c r="AP183" s="280"/>
      <c r="AQ183" s="280"/>
      <c r="AR183" s="280"/>
      <c r="AS183" s="280"/>
      <c r="BJ183" s="1184" t="s">
        <v>4763</v>
      </c>
    </row>
    <row r="184" spans="1:62" x14ac:dyDescent="0.3">
      <c r="A184" s="1200">
        <v>5</v>
      </c>
      <c r="B184" s="1203" t="s">
        <v>484</v>
      </c>
      <c r="C184" s="1203"/>
      <c r="D184" s="1203"/>
      <c r="E184" s="1203" t="s">
        <v>271</v>
      </c>
      <c r="F184" s="1203"/>
      <c r="G184" s="1202" t="str">
        <f>IF(N184&gt;0,"P","")</f>
        <v/>
      </c>
      <c r="H184" s="1204" t="s">
        <v>4387</v>
      </c>
      <c r="I184" s="93"/>
      <c r="J184" s="192" t="s">
        <v>271</v>
      </c>
      <c r="K184" s="195"/>
      <c r="L184" s="193" t="s">
        <v>486</v>
      </c>
      <c r="M184" s="287">
        <v>3</v>
      </c>
      <c r="N184" s="284">
        <f>'Ch5'!O185</f>
        <v>0</v>
      </c>
      <c r="O184" s="284">
        <f>M184*W184</f>
        <v>0</v>
      </c>
      <c r="P184" s="280" t="b">
        <v>1</v>
      </c>
      <c r="Q184" s="280" t="b">
        <v>0</v>
      </c>
      <c r="R184" s="280" t="b">
        <v>0</v>
      </c>
      <c r="S184" s="280" t="b">
        <v>1</v>
      </c>
      <c r="T184" s="280" t="b">
        <v>0</v>
      </c>
      <c r="U184" s="280"/>
      <c r="V184" s="280"/>
      <c r="W184" s="25"/>
      <c r="X184" s="1295"/>
      <c r="Y184" s="1523"/>
      <c r="Z184" s="1583"/>
      <c r="AC184" s="280"/>
      <c r="AD184" s="280"/>
      <c r="AE184" s="280"/>
      <c r="AF184" s="280"/>
      <c r="AG184" s="280"/>
      <c r="AH184" s="280"/>
      <c r="AI184" s="280"/>
      <c r="AJ184" s="280"/>
      <c r="AK184" s="280"/>
      <c r="AL184" s="311" t="str">
        <f t="shared" ref="AL184:AL185" si="50">SUBSTITUTE(SUBSTITUTE(SUBSTITUTE("vpa"&amp;$B184&amp;$C184&amp;$D184&amp;$E184&amp;$F184,".","_"),"(","_"),")","")</f>
        <v>vpa504_2_1</v>
      </c>
      <c r="AM184" s="311">
        <f>M184</f>
        <v>3</v>
      </c>
      <c r="AN184" s="311" t="str">
        <f t="shared" ref="AN184:AN185" si="51">SUBSTITUTE(SUBSTITUTE(SUBSTITUTE("vpc"&amp;$B184&amp;$C184&amp;$D184&amp;$E184&amp;$F184,".","_"),"(","_"),")","")</f>
        <v>vpc504_2_1</v>
      </c>
      <c r="AO184" s="311">
        <f>O184</f>
        <v>0</v>
      </c>
      <c r="AP184" s="311" t="str">
        <f t="shared" ref="AP184:AP185" si="52">SUBSTITUTE(SUBSTITUTE(SUBSTITUTE("vch"&amp;$B184&amp;$C184&amp;$D184&amp;$E184&amp;$F184,".","_"),"(","_"),")","")</f>
        <v>vch504_2_1</v>
      </c>
      <c r="AQ184" s="311">
        <f>W184</f>
        <v>0</v>
      </c>
      <c r="AR184" s="280"/>
      <c r="AS184" s="280"/>
      <c r="BJ184" s="1184" t="s">
        <v>4763</v>
      </c>
    </row>
    <row r="185" spans="1:62" x14ac:dyDescent="0.3">
      <c r="A185" s="1200">
        <v>5</v>
      </c>
      <c r="B185" s="1203" t="s">
        <v>484</v>
      </c>
      <c r="C185" s="1203"/>
      <c r="D185" s="1203"/>
      <c r="E185" s="1203" t="s">
        <v>273</v>
      </c>
      <c r="F185" s="1203"/>
      <c r="G185" s="1202" t="str">
        <f>IF(N185&gt;0,"P","")</f>
        <v/>
      </c>
      <c r="H185" s="1204" t="s">
        <v>4387</v>
      </c>
      <c r="I185" s="93"/>
      <c r="J185" s="94" t="s">
        <v>273</v>
      </c>
      <c r="K185" s="107"/>
      <c r="L185" s="1305" t="s">
        <v>487</v>
      </c>
      <c r="M185" s="1540">
        <v>5</v>
      </c>
      <c r="N185" s="1472">
        <f>'Ch5'!O186</f>
        <v>0</v>
      </c>
      <c r="O185" s="1473">
        <f>M185*W185</f>
        <v>0</v>
      </c>
      <c r="P185" s="280" t="b">
        <v>1</v>
      </c>
      <c r="Q185" s="280" t="b">
        <v>0</v>
      </c>
      <c r="R185" s="280" t="b">
        <v>0</v>
      </c>
      <c r="S185" s="280" t="b">
        <v>1</v>
      </c>
      <c r="T185" s="280" t="b">
        <v>0</v>
      </c>
      <c r="U185" s="280"/>
      <c r="V185" s="280"/>
      <c r="W185" s="25"/>
      <c r="X185" s="1295"/>
      <c r="Y185" s="1523"/>
      <c r="Z185" s="1583"/>
      <c r="AC185" s="280"/>
      <c r="AD185" s="280"/>
      <c r="AE185" s="280"/>
      <c r="AF185" s="280"/>
      <c r="AG185" s="280"/>
      <c r="AH185" s="280"/>
      <c r="AI185" s="280"/>
      <c r="AJ185" s="280"/>
      <c r="AK185" s="280"/>
      <c r="AL185" s="311" t="str">
        <f t="shared" si="50"/>
        <v>vpa504_2_2</v>
      </c>
      <c r="AM185" s="311">
        <f>M185</f>
        <v>5</v>
      </c>
      <c r="AN185" s="311" t="str">
        <f t="shared" si="51"/>
        <v>vpc504_2_2</v>
      </c>
      <c r="AO185" s="311">
        <f>O185</f>
        <v>0</v>
      </c>
      <c r="AP185" s="311" t="str">
        <f t="shared" si="52"/>
        <v>vch504_2_2</v>
      </c>
      <c r="AQ185" s="311">
        <f>W185</f>
        <v>0</v>
      </c>
      <c r="AR185" s="280"/>
      <c r="AS185" s="280"/>
      <c r="BJ185" s="1184" t="s">
        <v>4763</v>
      </c>
    </row>
    <row r="186" spans="1:62" x14ac:dyDescent="0.3">
      <c r="A186" s="1200">
        <v>5</v>
      </c>
      <c r="B186" s="1203" t="s">
        <v>484</v>
      </c>
      <c r="C186" s="1203"/>
      <c r="D186" s="1203"/>
      <c r="E186" s="1203" t="s">
        <v>273</v>
      </c>
      <c r="F186" s="1203"/>
      <c r="G186" s="1202" t="str">
        <f>G185</f>
        <v/>
      </c>
      <c r="H186" s="1204" t="s">
        <v>4387</v>
      </c>
      <c r="I186" s="93"/>
      <c r="J186" s="192"/>
      <c r="K186" s="195"/>
      <c r="L186" s="1306"/>
      <c r="M186" s="1543"/>
      <c r="N186" s="1491"/>
      <c r="O186" s="1491"/>
      <c r="P186" s="280"/>
      <c r="Q186" s="280"/>
      <c r="R186" s="280"/>
      <c r="S186" s="280"/>
      <c r="T186" s="280"/>
      <c r="U186" s="280"/>
      <c r="V186" s="280"/>
      <c r="W186" s="280"/>
      <c r="X186" s="1295"/>
      <c r="Y186" s="1523"/>
      <c r="Z186" s="1583"/>
      <c r="AC186" s="280"/>
      <c r="AD186" s="280"/>
      <c r="AE186" s="280"/>
      <c r="AF186" s="280"/>
      <c r="AG186" s="280"/>
      <c r="AH186" s="280"/>
      <c r="AI186" s="280"/>
      <c r="AJ186" s="280"/>
      <c r="AK186" s="280"/>
      <c r="AL186" s="280"/>
      <c r="AM186" s="280"/>
      <c r="AN186" s="280"/>
      <c r="AO186" s="280"/>
      <c r="AP186" s="280"/>
      <c r="AQ186" s="280"/>
      <c r="AR186" s="280"/>
      <c r="AS186" s="280"/>
      <c r="BJ186" s="1184" t="s">
        <v>4763</v>
      </c>
    </row>
    <row r="187" spans="1:62" x14ac:dyDescent="0.3">
      <c r="A187" s="1200">
        <v>5</v>
      </c>
      <c r="B187" s="1203" t="s">
        <v>484</v>
      </c>
      <c r="C187" s="1203"/>
      <c r="D187" s="1203"/>
      <c r="E187" s="1203" t="s">
        <v>275</v>
      </c>
      <c r="F187" s="1203"/>
      <c r="G187" s="1202" t="str">
        <f>IF(N187&gt;0,"P","")</f>
        <v/>
      </c>
      <c r="H187" s="1204" t="s">
        <v>4387</v>
      </c>
      <c r="I187" s="107"/>
      <c r="J187" s="94" t="s">
        <v>275</v>
      </c>
      <c r="K187" s="107"/>
      <c r="L187" s="1305" t="s">
        <v>488</v>
      </c>
      <c r="M187" s="1540">
        <v>4</v>
      </c>
      <c r="N187" s="1472">
        <f>'Ch5'!O188</f>
        <v>0</v>
      </c>
      <c r="O187" s="1463">
        <f>M187*W187</f>
        <v>0</v>
      </c>
      <c r="P187" s="280" t="b">
        <v>1</v>
      </c>
      <c r="Q187" s="280" t="b">
        <v>0</v>
      </c>
      <c r="R187" s="97" t="b">
        <v>0</v>
      </c>
      <c r="S187" s="97" t="b">
        <v>1</v>
      </c>
      <c r="T187" s="97" t="b">
        <v>0</v>
      </c>
      <c r="U187" s="97"/>
      <c r="V187" s="97"/>
      <c r="W187" s="25"/>
      <c r="X187" s="1295"/>
      <c r="Y187" s="1523"/>
      <c r="Z187" s="1583"/>
      <c r="AC187" s="280"/>
      <c r="AD187" s="280"/>
      <c r="AE187" s="280"/>
      <c r="AF187" s="280"/>
      <c r="AG187" s="280"/>
      <c r="AH187" s="280"/>
      <c r="AI187" s="280"/>
      <c r="AJ187" s="280"/>
      <c r="AK187" s="280"/>
      <c r="AL187" s="311" t="str">
        <f>SUBSTITUTE(SUBSTITUTE(SUBSTITUTE("vpa"&amp;$B187&amp;$C187&amp;$D187&amp;$E187&amp;$F187,".","_"),"(","_"),")","")</f>
        <v>vpa504_2_3</v>
      </c>
      <c r="AM187" s="311">
        <f>M187</f>
        <v>4</v>
      </c>
      <c r="AN187" s="311" t="str">
        <f>SUBSTITUTE(SUBSTITUTE(SUBSTITUTE("vpc"&amp;$B187&amp;$C187&amp;$D187&amp;$E187&amp;$F187,".","_"),"(","_"),")","")</f>
        <v>vpc504_2_3</v>
      </c>
      <c r="AO187" s="311">
        <f>O187</f>
        <v>0</v>
      </c>
      <c r="AP187" s="311" t="str">
        <f>SUBSTITUTE(SUBSTITUTE(SUBSTITUTE("vch"&amp;$B187&amp;$C187&amp;$D187&amp;$E187&amp;$F187,".","_"),"(","_"),")","")</f>
        <v>vch504_2_3</v>
      </c>
      <c r="AQ187" s="311">
        <f>W187</f>
        <v>0</v>
      </c>
      <c r="AR187" s="280"/>
      <c r="AS187" s="280"/>
      <c r="BJ187" s="1184" t="s">
        <v>4763</v>
      </c>
    </row>
    <row r="188" spans="1:62" ht="15" thickBot="1" x14ac:dyDescent="0.35">
      <c r="A188" s="1200">
        <v>5</v>
      </c>
      <c r="B188" s="1203" t="s">
        <v>484</v>
      </c>
      <c r="C188" s="1203"/>
      <c r="D188" s="1203"/>
      <c r="E188" s="1203" t="s">
        <v>275</v>
      </c>
      <c r="F188" s="1203"/>
      <c r="G188" s="1202" t="str">
        <f>G187</f>
        <v/>
      </c>
      <c r="H188" s="1204" t="s">
        <v>4387</v>
      </c>
      <c r="I188" s="108"/>
      <c r="J188" s="108"/>
      <c r="K188" s="108"/>
      <c r="L188" s="1330"/>
      <c r="M188" s="1541"/>
      <c r="N188" s="1529"/>
      <c r="O188" s="1529"/>
      <c r="P188" s="104"/>
      <c r="Q188" s="104"/>
      <c r="R188" s="104"/>
      <c r="S188" s="104"/>
      <c r="T188" s="104"/>
      <c r="U188" s="104"/>
      <c r="V188" s="104"/>
      <c r="W188" s="104"/>
      <c r="X188" s="1296"/>
      <c r="Y188" s="1524"/>
      <c r="Z188" s="1584"/>
      <c r="AC188" s="280"/>
      <c r="AD188" s="280"/>
      <c r="AE188" s="280"/>
      <c r="AF188" s="280"/>
      <c r="AG188" s="280"/>
      <c r="AH188" s="280"/>
      <c r="AI188" s="280"/>
      <c r="AJ188" s="280"/>
      <c r="AK188" s="280"/>
      <c r="AL188" s="280"/>
      <c r="AM188" s="280"/>
      <c r="AN188" s="280"/>
      <c r="AO188" s="280"/>
      <c r="AP188" s="280"/>
      <c r="AQ188" s="280"/>
      <c r="AR188" s="280"/>
      <c r="AS188" s="280"/>
      <c r="BJ188" s="1184" t="s">
        <v>4763</v>
      </c>
    </row>
    <row r="189" spans="1:62" ht="15" thickTop="1" x14ac:dyDescent="0.3">
      <c r="A189" s="1200">
        <v>5</v>
      </c>
      <c r="B189" s="1203" t="s">
        <v>489</v>
      </c>
      <c r="C189" s="1203"/>
      <c r="D189" s="1203"/>
      <c r="E189" s="1203"/>
      <c r="F189" s="1203"/>
      <c r="G189" s="1196" t="str">
        <f>IF(COUNTIF(G192:G215,"P")&gt;0,"P","")</f>
        <v>P</v>
      </c>
      <c r="H189" s="1204" t="s">
        <v>4386</v>
      </c>
      <c r="I189" s="90" t="s">
        <v>489</v>
      </c>
      <c r="J189" s="93"/>
      <c r="K189" s="93"/>
      <c r="L189" s="1292" t="s">
        <v>490</v>
      </c>
      <c r="M189" s="294"/>
      <c r="N189" s="282"/>
      <c r="O189" s="282"/>
      <c r="P189" s="280"/>
      <c r="Q189" s="280"/>
      <c r="R189" s="280"/>
      <c r="S189" s="280"/>
      <c r="T189" s="280"/>
      <c r="U189" s="280"/>
      <c r="V189" s="280"/>
      <c r="W189" s="280"/>
      <c r="X189" s="1304"/>
      <c r="Y189" s="1525" t="str">
        <f>IF(LEN('Ch5'!X190)=0,"None",'Ch5'!X190)</f>
        <v>None</v>
      </c>
      <c r="Z189" s="1585"/>
      <c r="AC189" s="280"/>
      <c r="AD189" s="280"/>
      <c r="AE189" s="280"/>
      <c r="AF189" s="280"/>
      <c r="AG189" s="280"/>
      <c r="AH189" s="280"/>
      <c r="AI189" s="280"/>
      <c r="AJ189" s="280"/>
      <c r="AK189" s="280"/>
      <c r="AL189" s="280"/>
      <c r="AM189" s="280"/>
      <c r="AN189" s="280"/>
      <c r="AO189" s="280"/>
      <c r="AP189" s="280"/>
      <c r="AQ189" s="280"/>
      <c r="AR189" s="311" t="str">
        <f>SUBSTITUTE(SUBSTITUTE(SUBSTITUTE("vnt"&amp;$B189&amp;$C189&amp;$D189&amp;$E189&amp;$F189,".","_"),"(","_"),")","")</f>
        <v>vnt504_3</v>
      </c>
      <c r="AS189" s="311">
        <f>X189</f>
        <v>0</v>
      </c>
      <c r="BJ189" s="1184" t="s">
        <v>4763</v>
      </c>
    </row>
    <row r="190" spans="1:62" x14ac:dyDescent="0.3">
      <c r="A190" s="1200">
        <v>5</v>
      </c>
      <c r="B190" s="1203" t="s">
        <v>489</v>
      </c>
      <c r="C190" s="1203"/>
      <c r="D190" s="1203"/>
      <c r="E190" s="1203"/>
      <c r="F190" s="1203"/>
      <c r="G190" s="1202" t="str">
        <f t="shared" ref="G190:G191" si="53">G189</f>
        <v>P</v>
      </c>
      <c r="H190" s="1204" t="s">
        <v>4386</v>
      </c>
      <c r="I190" s="93"/>
      <c r="J190" s="93"/>
      <c r="K190" s="93"/>
      <c r="L190" s="1292"/>
      <c r="M190" s="294"/>
      <c r="N190" s="282"/>
      <c r="O190" s="282"/>
      <c r="P190" s="280"/>
      <c r="Q190" s="280"/>
      <c r="R190" s="280"/>
      <c r="S190" s="280"/>
      <c r="T190" s="280"/>
      <c r="U190" s="280"/>
      <c r="V190" s="280"/>
      <c r="W190" s="280"/>
      <c r="X190" s="1303"/>
      <c r="Y190" s="1522"/>
      <c r="Z190" s="1586"/>
      <c r="AC190" s="280"/>
      <c r="AD190" s="280"/>
      <c r="AE190" s="280"/>
      <c r="AF190" s="280"/>
      <c r="AG190" s="280"/>
      <c r="AH190" s="280"/>
      <c r="AI190" s="280"/>
      <c r="AJ190" s="280"/>
      <c r="AK190" s="280"/>
      <c r="AL190" s="280"/>
      <c r="AM190" s="280"/>
      <c r="AN190" s="280"/>
      <c r="AO190" s="280"/>
      <c r="AP190" s="280"/>
      <c r="AQ190" s="280"/>
      <c r="AR190" s="280"/>
      <c r="AS190" s="280"/>
      <c r="BJ190" s="1184" t="s">
        <v>4763</v>
      </c>
    </row>
    <row r="191" spans="1:62" x14ac:dyDescent="0.3">
      <c r="A191" s="1200">
        <v>5</v>
      </c>
      <c r="B191" s="1203" t="s">
        <v>489</v>
      </c>
      <c r="C191" s="1203"/>
      <c r="D191" s="1203"/>
      <c r="E191" s="1203"/>
      <c r="F191" s="1203"/>
      <c r="G191" s="1202" t="str">
        <f t="shared" si="53"/>
        <v>P</v>
      </c>
      <c r="H191" s="1204" t="s">
        <v>4386</v>
      </c>
      <c r="I191" s="93"/>
      <c r="J191" s="93"/>
      <c r="K191" s="93"/>
      <c r="L191" s="1292"/>
      <c r="M191" s="294"/>
      <c r="N191" s="282"/>
      <c r="O191" s="282"/>
      <c r="P191" s="280"/>
      <c r="Q191" s="280"/>
      <c r="R191" s="280"/>
      <c r="S191" s="280"/>
      <c r="T191" s="280"/>
      <c r="U191" s="280"/>
      <c r="V191" s="280"/>
      <c r="W191" s="280"/>
      <c r="X191" s="1303"/>
      <c r="Y191" s="1522"/>
      <c r="Z191" s="1586"/>
      <c r="AC191" s="280"/>
      <c r="AD191" s="280"/>
      <c r="AE191" s="280"/>
      <c r="AF191" s="280"/>
      <c r="AG191" s="280"/>
      <c r="AH191" s="280"/>
      <c r="AI191" s="280"/>
      <c r="AJ191" s="280"/>
      <c r="AK191" s="280"/>
      <c r="AL191" s="280"/>
      <c r="AM191" s="280"/>
      <c r="AN191" s="280"/>
      <c r="AO191" s="280"/>
      <c r="AP191" s="280"/>
      <c r="AQ191" s="280"/>
      <c r="AR191" s="280"/>
      <c r="AS191" s="280"/>
      <c r="BJ191" s="1184" t="s">
        <v>4763</v>
      </c>
    </row>
    <row r="192" spans="1:62" x14ac:dyDescent="0.3">
      <c r="A192" s="1200">
        <v>5</v>
      </c>
      <c r="B192" s="1203" t="s">
        <v>489</v>
      </c>
      <c r="C192" s="1203"/>
      <c r="D192" s="1203"/>
      <c r="E192" s="1203" t="s">
        <v>271</v>
      </c>
      <c r="F192" s="1203"/>
      <c r="G192" s="1202" t="str">
        <f>IF(N192&gt;0,"P","")</f>
        <v>P</v>
      </c>
      <c r="H192" s="1204" t="s">
        <v>4387</v>
      </c>
      <c r="I192" s="93"/>
      <c r="J192" s="94" t="s">
        <v>271</v>
      </c>
      <c r="K192" s="107"/>
      <c r="L192" s="1305" t="s">
        <v>491</v>
      </c>
      <c r="M192" s="1540">
        <v>5</v>
      </c>
      <c r="N192" s="1473">
        <f>'Ch5'!O193</f>
        <v>5</v>
      </c>
      <c r="O192" s="1473">
        <f>M192*W192</f>
        <v>0</v>
      </c>
      <c r="P192" s="280" t="b">
        <v>1</v>
      </c>
      <c r="Q192" s="280" t="b">
        <v>0</v>
      </c>
      <c r="R192" s="280" t="b">
        <v>0</v>
      </c>
      <c r="S192" s="280" t="b">
        <v>1</v>
      </c>
      <c r="T192" s="280" t="b">
        <v>0</v>
      </c>
      <c r="U192" s="280"/>
      <c r="V192" s="280"/>
      <c r="W192" s="25"/>
      <c r="X192" s="1303"/>
      <c r="Y192" s="1522" t="str">
        <f>IF(LEN('Ch5'!X193)=0,"None",'Ch5'!X193)</f>
        <v>None</v>
      </c>
      <c r="Z192" s="1586"/>
      <c r="AA192" s="1110">
        <f>'Photo Review'!H192</f>
        <v>0</v>
      </c>
      <c r="AC192" s="280"/>
      <c r="AD192" s="280"/>
      <c r="AE192" s="280"/>
      <c r="AF192" s="280"/>
      <c r="AG192" s="280"/>
      <c r="AH192" s="280"/>
      <c r="AI192" s="280"/>
      <c r="AJ192" s="280"/>
      <c r="AK192" s="280"/>
      <c r="AL192" s="311" t="str">
        <f>SUBSTITUTE(SUBSTITUTE(SUBSTITUTE("vpa"&amp;$B192&amp;$C192&amp;$D192&amp;$E192&amp;$F192,".","_"),"(","_"),")","")</f>
        <v>vpa504_3_1</v>
      </c>
      <c r="AM192" s="311">
        <f>M192</f>
        <v>5</v>
      </c>
      <c r="AN192" s="311" t="str">
        <f>SUBSTITUTE(SUBSTITUTE(SUBSTITUTE("vpc"&amp;$B192&amp;$C192&amp;$D192&amp;$E192&amp;$F192,".","_"),"(","_"),")","")</f>
        <v>vpc504_3_1</v>
      </c>
      <c r="AO192" s="311">
        <f>O192</f>
        <v>0</v>
      </c>
      <c r="AP192" s="311" t="str">
        <f>SUBSTITUTE(SUBSTITUTE(SUBSTITUTE("vch"&amp;$B192&amp;$C192&amp;$D192&amp;$E192&amp;$F192,".","_"),"(","_"),")","")</f>
        <v>vch504_3_1</v>
      </c>
      <c r="AQ192" s="311">
        <f>W192</f>
        <v>0</v>
      </c>
      <c r="AR192" s="311" t="str">
        <f>SUBSTITUTE(SUBSTITUTE(SUBSTITUTE("vnt"&amp;$B192&amp;$C192&amp;$D192&amp;$E192&amp;$F192,".","_"),"(","_"),")","")</f>
        <v>vnt504_3_1</v>
      </c>
      <c r="AS192" s="311">
        <f>X192</f>
        <v>0</v>
      </c>
      <c r="BJ192" s="1184" t="s">
        <v>4763</v>
      </c>
    </row>
    <row r="193" spans="1:62" x14ac:dyDescent="0.3">
      <c r="A193" s="1200">
        <v>5</v>
      </c>
      <c r="B193" s="1203" t="s">
        <v>489</v>
      </c>
      <c r="C193" s="1203"/>
      <c r="D193" s="1203"/>
      <c r="E193" s="1203" t="s">
        <v>271</v>
      </c>
      <c r="F193" s="1203"/>
      <c r="G193" s="1202" t="str">
        <f>G192</f>
        <v>P</v>
      </c>
      <c r="H193" s="1204" t="s">
        <v>4387</v>
      </c>
      <c r="I193" s="93"/>
      <c r="J193" s="192"/>
      <c r="K193" s="195"/>
      <c r="L193" s="1306"/>
      <c r="M193" s="1543"/>
      <c r="N193" s="1491"/>
      <c r="O193" s="1491"/>
      <c r="P193" s="280"/>
      <c r="Q193" s="280"/>
      <c r="R193" s="280"/>
      <c r="S193" s="280"/>
      <c r="T193" s="280"/>
      <c r="U193" s="280"/>
      <c r="V193" s="280"/>
      <c r="W193" s="280"/>
      <c r="X193" s="1303"/>
      <c r="Y193" s="1522"/>
      <c r="Z193" s="1586"/>
      <c r="AC193" s="280"/>
      <c r="AD193" s="280"/>
      <c r="AE193" s="280"/>
      <c r="AF193" s="280"/>
      <c r="AG193" s="280"/>
      <c r="AH193" s="280"/>
      <c r="AI193" s="280"/>
      <c r="AJ193" s="280"/>
      <c r="AK193" s="280"/>
      <c r="AL193" s="280"/>
      <c r="AM193" s="280"/>
      <c r="AN193" s="280"/>
      <c r="AO193" s="280"/>
      <c r="AP193" s="280"/>
      <c r="AQ193" s="280"/>
      <c r="AR193" s="280"/>
      <c r="AS193" s="280"/>
      <c r="BJ193" s="1184" t="s">
        <v>4763</v>
      </c>
    </row>
    <row r="194" spans="1:62" x14ac:dyDescent="0.3">
      <c r="A194" s="1200">
        <v>5</v>
      </c>
      <c r="B194" s="1203" t="s">
        <v>489</v>
      </c>
      <c r="C194" s="1203"/>
      <c r="D194" s="1203"/>
      <c r="E194" s="1203" t="s">
        <v>273</v>
      </c>
      <c r="F194" s="1203"/>
      <c r="G194" s="1202" t="str">
        <f>IF(N194&gt;0,"P","")</f>
        <v>P</v>
      </c>
      <c r="H194" s="1204" t="s">
        <v>4387</v>
      </c>
      <c r="I194" s="93"/>
      <c r="J194" s="192" t="s">
        <v>273</v>
      </c>
      <c r="K194" s="195"/>
      <c r="L194" s="193" t="s">
        <v>492</v>
      </c>
      <c r="M194" s="287">
        <v>5</v>
      </c>
      <c r="N194" s="284">
        <f>'Ch5'!O195</f>
        <v>5</v>
      </c>
      <c r="O194" s="284">
        <f>M194*W194</f>
        <v>0</v>
      </c>
      <c r="P194" s="280" t="b">
        <v>1</v>
      </c>
      <c r="Q194" s="280" t="b">
        <v>0</v>
      </c>
      <c r="R194" s="280" t="b">
        <v>0</v>
      </c>
      <c r="S194" s="280" t="b">
        <v>1</v>
      </c>
      <c r="T194" s="280" t="b">
        <v>0</v>
      </c>
      <c r="U194" s="280"/>
      <c r="V194" s="280"/>
      <c r="W194" s="25"/>
      <c r="X194" s="281"/>
      <c r="Y194" s="312" t="str">
        <f>IF(LEN('Ch5'!X195)=0,"None",'Ch5'!X195)</f>
        <v>None</v>
      </c>
      <c r="Z194" s="1169"/>
      <c r="AA194" s="1110">
        <f>'Photo Review'!H194</f>
        <v>0</v>
      </c>
      <c r="AC194" s="280"/>
      <c r="AD194" s="280"/>
      <c r="AE194" s="280"/>
      <c r="AF194" s="280"/>
      <c r="AG194" s="280"/>
      <c r="AH194" s="280"/>
      <c r="AI194" s="280"/>
      <c r="AJ194" s="280"/>
      <c r="AK194" s="280"/>
      <c r="AL194" s="311" t="str">
        <f t="shared" ref="AL194:AL195" si="54">SUBSTITUTE(SUBSTITUTE(SUBSTITUTE("vpa"&amp;$B194&amp;$C194&amp;$D194&amp;$E194&amp;$F194,".","_"),"(","_"),")","")</f>
        <v>vpa504_3_2</v>
      </c>
      <c r="AM194" s="311">
        <f>M194</f>
        <v>5</v>
      </c>
      <c r="AN194" s="311" t="str">
        <f t="shared" ref="AN194:AN195" si="55">SUBSTITUTE(SUBSTITUTE(SUBSTITUTE("vpc"&amp;$B194&amp;$C194&amp;$D194&amp;$E194&amp;$F194,".","_"),"(","_"),")","")</f>
        <v>vpc504_3_2</v>
      </c>
      <c r="AO194" s="311">
        <f>O194</f>
        <v>0</v>
      </c>
      <c r="AP194" s="311" t="str">
        <f t="shared" ref="AP194:AP195" si="56">SUBSTITUTE(SUBSTITUTE(SUBSTITUTE("vch"&amp;$B194&amp;$C194&amp;$D194&amp;$E194&amp;$F194,".","_"),"(","_"),")","")</f>
        <v>vch504_3_2</v>
      </c>
      <c r="AQ194" s="311">
        <f>W194</f>
        <v>0</v>
      </c>
      <c r="AR194" s="311" t="str">
        <f t="shared" ref="AR194:AR195" si="57">SUBSTITUTE(SUBSTITUTE(SUBSTITUTE("vnt"&amp;$B194&amp;$C194&amp;$D194&amp;$E194&amp;$F194,".","_"),"(","_"),")","")</f>
        <v>vnt504_3_2</v>
      </c>
      <c r="AS194" s="311">
        <f>X194</f>
        <v>0</v>
      </c>
      <c r="BJ194" s="1184" t="s">
        <v>4763</v>
      </c>
    </row>
    <row r="195" spans="1:62" x14ac:dyDescent="0.3">
      <c r="A195" s="1200">
        <v>5</v>
      </c>
      <c r="B195" s="1203" t="s">
        <v>489</v>
      </c>
      <c r="C195" s="1203"/>
      <c r="D195" s="1203"/>
      <c r="E195" s="1203" t="s">
        <v>275</v>
      </c>
      <c r="F195" s="1203"/>
      <c r="G195" s="1202" t="str">
        <f>IF(N195&gt;0,"P","")</f>
        <v/>
      </c>
      <c r="H195" s="1204" t="s">
        <v>4387</v>
      </c>
      <c r="I195" s="93"/>
      <c r="J195" s="94" t="s">
        <v>275</v>
      </c>
      <c r="K195" s="107"/>
      <c r="L195" s="1305" t="s">
        <v>493</v>
      </c>
      <c r="M195" s="1540">
        <v>5</v>
      </c>
      <c r="N195" s="1472">
        <f>'Ch5'!O196</f>
        <v>0</v>
      </c>
      <c r="O195" s="1473">
        <f>M195*W195</f>
        <v>0</v>
      </c>
      <c r="P195" s="280" t="b">
        <v>1</v>
      </c>
      <c r="Q195" s="280" t="b">
        <v>0</v>
      </c>
      <c r="R195" s="280" t="b">
        <v>0</v>
      </c>
      <c r="S195" s="280" t="b">
        <v>1</v>
      </c>
      <c r="T195" s="280" t="b">
        <v>0</v>
      </c>
      <c r="U195" s="280"/>
      <c r="V195" s="280"/>
      <c r="W195" s="25"/>
      <c r="X195" s="1303"/>
      <c r="Y195" s="1522" t="str">
        <f>IF(LEN('Ch5'!X196)=0,"None",'Ch5'!X196)</f>
        <v>None</v>
      </c>
      <c r="Z195" s="1586"/>
      <c r="AA195" s="1110">
        <f>'Photo Review'!H195</f>
        <v>0</v>
      </c>
      <c r="AC195" s="280"/>
      <c r="AD195" s="280"/>
      <c r="AE195" s="280"/>
      <c r="AF195" s="280"/>
      <c r="AG195" s="280"/>
      <c r="AH195" s="280"/>
      <c r="AI195" s="280"/>
      <c r="AJ195" s="280"/>
      <c r="AK195" s="280"/>
      <c r="AL195" s="311" t="str">
        <f t="shared" si="54"/>
        <v>vpa504_3_3</v>
      </c>
      <c r="AM195" s="311">
        <f>M195</f>
        <v>5</v>
      </c>
      <c r="AN195" s="311" t="str">
        <f t="shared" si="55"/>
        <v>vpc504_3_3</v>
      </c>
      <c r="AO195" s="311">
        <f>O195</f>
        <v>0</v>
      </c>
      <c r="AP195" s="311" t="str">
        <f t="shared" si="56"/>
        <v>vch504_3_3</v>
      </c>
      <c r="AQ195" s="311">
        <f>W195</f>
        <v>0</v>
      </c>
      <c r="AR195" s="311" t="str">
        <f t="shared" si="57"/>
        <v>vnt504_3_3</v>
      </c>
      <c r="AS195" s="311">
        <f>X195</f>
        <v>0</v>
      </c>
      <c r="BJ195" s="1184" t="s">
        <v>4763</v>
      </c>
    </row>
    <row r="196" spans="1:62" x14ac:dyDescent="0.3">
      <c r="A196" s="1200">
        <v>5</v>
      </c>
      <c r="B196" s="1203" t="s">
        <v>489</v>
      </c>
      <c r="C196" s="1203"/>
      <c r="D196" s="1203"/>
      <c r="E196" s="1203" t="s">
        <v>275</v>
      </c>
      <c r="F196" s="1203"/>
      <c r="G196" s="1202" t="str">
        <f>G195</f>
        <v/>
      </c>
      <c r="H196" s="1204" t="s">
        <v>4387</v>
      </c>
      <c r="I196" s="93"/>
      <c r="J196" s="195"/>
      <c r="K196" s="195"/>
      <c r="L196" s="1306"/>
      <c r="M196" s="1543"/>
      <c r="N196" s="1491"/>
      <c r="O196" s="1491"/>
      <c r="P196" s="280"/>
      <c r="Q196" s="280"/>
      <c r="R196" s="280"/>
      <c r="S196" s="280"/>
      <c r="T196" s="280"/>
      <c r="U196" s="280"/>
      <c r="V196" s="280"/>
      <c r="W196" s="280"/>
      <c r="X196" s="1303"/>
      <c r="Y196" s="1522"/>
      <c r="Z196" s="1586"/>
      <c r="AC196" s="280"/>
      <c r="AD196" s="280"/>
      <c r="AE196" s="280"/>
      <c r="AF196" s="280"/>
      <c r="AG196" s="280"/>
      <c r="AH196" s="280"/>
      <c r="AI196" s="280"/>
      <c r="AJ196" s="280"/>
      <c r="AK196" s="280"/>
      <c r="AL196" s="280"/>
      <c r="AM196" s="280"/>
      <c r="AN196" s="280"/>
      <c r="AO196" s="280"/>
      <c r="AP196" s="280"/>
      <c r="AQ196" s="280"/>
      <c r="AR196" s="280"/>
      <c r="AS196" s="280"/>
      <c r="BJ196" s="1184" t="s">
        <v>4763</v>
      </c>
    </row>
    <row r="197" spans="1:62" x14ac:dyDescent="0.3">
      <c r="A197" s="1200">
        <v>5</v>
      </c>
      <c r="B197" s="1203" t="s">
        <v>489</v>
      </c>
      <c r="C197" s="1203"/>
      <c r="D197" s="1203"/>
      <c r="E197" s="1203" t="s">
        <v>285</v>
      </c>
      <c r="F197" s="1203"/>
      <c r="G197" s="1202" t="str">
        <f>IF(N197&gt;0,"P","")</f>
        <v/>
      </c>
      <c r="H197" s="1204" t="s">
        <v>4387</v>
      </c>
      <c r="I197" s="93"/>
      <c r="J197" s="94" t="s">
        <v>285</v>
      </c>
      <c r="K197" s="107"/>
      <c r="L197" s="1305" t="s">
        <v>494</v>
      </c>
      <c r="M197" s="1540">
        <v>5</v>
      </c>
      <c r="N197" s="1472">
        <f>'Ch5'!O198</f>
        <v>0</v>
      </c>
      <c r="O197" s="1473">
        <f>M197*W197</f>
        <v>0</v>
      </c>
      <c r="P197" s="280" t="b">
        <v>1</v>
      </c>
      <c r="Q197" s="280" t="b">
        <v>0</v>
      </c>
      <c r="R197" s="280" t="b">
        <v>0</v>
      </c>
      <c r="S197" s="280" t="b">
        <v>1</v>
      </c>
      <c r="T197" s="280" t="b">
        <v>0</v>
      </c>
      <c r="U197" s="280"/>
      <c r="V197" s="280"/>
      <c r="W197" s="25"/>
      <c r="X197" s="1303"/>
      <c r="Y197" s="1522" t="str">
        <f>IF(LEN('Ch5'!X198)=0,"None",'Ch5'!X198)</f>
        <v>None</v>
      </c>
      <c r="Z197" s="1586"/>
      <c r="AC197" s="280"/>
      <c r="AD197" s="280"/>
      <c r="AE197" s="280"/>
      <c r="AF197" s="280"/>
      <c r="AG197" s="280"/>
      <c r="AH197" s="280"/>
      <c r="AI197" s="280"/>
      <c r="AJ197" s="280"/>
      <c r="AK197" s="280"/>
      <c r="AL197" s="311" t="str">
        <f>SUBSTITUTE(SUBSTITUTE(SUBSTITUTE("vpa"&amp;$B197&amp;$C197&amp;$D197&amp;$E197&amp;$F197,".","_"),"(","_"),")","")</f>
        <v>vpa504_3_4</v>
      </c>
      <c r="AM197" s="311">
        <f>M197</f>
        <v>5</v>
      </c>
      <c r="AN197" s="311" t="str">
        <f>SUBSTITUTE(SUBSTITUTE(SUBSTITUTE("vpc"&amp;$B197&amp;$C197&amp;$D197&amp;$E197&amp;$F197,".","_"),"(","_"),")","")</f>
        <v>vpc504_3_4</v>
      </c>
      <c r="AO197" s="311">
        <f>O197</f>
        <v>0</v>
      </c>
      <c r="AP197" s="311" t="str">
        <f>SUBSTITUTE(SUBSTITUTE(SUBSTITUTE("vch"&amp;$B197&amp;$C197&amp;$D197&amp;$E197&amp;$F197,".","_"),"(","_"),")","")</f>
        <v>vch504_3_4</v>
      </c>
      <c r="AQ197" s="311">
        <f>W197</f>
        <v>0</v>
      </c>
      <c r="AR197" s="311" t="str">
        <f>SUBSTITUTE(SUBSTITUTE(SUBSTITUTE("vnt"&amp;$B197&amp;$C197&amp;$D197&amp;$E197&amp;$F197,".","_"),"(","_"),")","")</f>
        <v>vnt504_3_4</v>
      </c>
      <c r="AS197" s="311">
        <f>X197</f>
        <v>0</v>
      </c>
      <c r="BJ197" s="1184" t="s">
        <v>4763</v>
      </c>
    </row>
    <row r="198" spans="1:62" x14ac:dyDescent="0.3">
      <c r="A198" s="1200">
        <v>5</v>
      </c>
      <c r="B198" s="1203" t="s">
        <v>489</v>
      </c>
      <c r="C198" s="1203"/>
      <c r="D198" s="1203"/>
      <c r="E198" s="1203" t="s">
        <v>285</v>
      </c>
      <c r="F198" s="1203"/>
      <c r="G198" s="1202" t="str">
        <f>G197</f>
        <v/>
      </c>
      <c r="H198" s="1204" t="s">
        <v>4387</v>
      </c>
      <c r="I198" s="93"/>
      <c r="J198" s="195"/>
      <c r="K198" s="195"/>
      <c r="L198" s="1306"/>
      <c r="M198" s="1543"/>
      <c r="N198" s="1491"/>
      <c r="O198" s="1491"/>
      <c r="P198" s="280"/>
      <c r="Q198" s="280"/>
      <c r="R198" s="280"/>
      <c r="S198" s="280"/>
      <c r="T198" s="280"/>
      <c r="U198" s="280"/>
      <c r="V198" s="280"/>
      <c r="W198" s="280"/>
      <c r="X198" s="1303"/>
      <c r="Y198" s="1522"/>
      <c r="Z198" s="1586"/>
      <c r="AC198" s="280"/>
      <c r="AD198" s="280"/>
      <c r="AE198" s="280"/>
      <c r="AF198" s="280"/>
      <c r="AG198" s="280"/>
      <c r="AH198" s="280"/>
      <c r="AI198" s="280"/>
      <c r="AJ198" s="280"/>
      <c r="AK198" s="280"/>
      <c r="AL198" s="280"/>
      <c r="AM198" s="280"/>
      <c r="AN198" s="280"/>
      <c r="AO198" s="280"/>
      <c r="AP198" s="280"/>
      <c r="AQ198" s="280"/>
      <c r="AR198" s="280"/>
      <c r="AS198" s="280"/>
      <c r="BJ198" s="1184" t="s">
        <v>4763</v>
      </c>
    </row>
    <row r="199" spans="1:62" x14ac:dyDescent="0.3">
      <c r="A199" s="1200">
        <v>5</v>
      </c>
      <c r="B199" s="1203" t="s">
        <v>489</v>
      </c>
      <c r="C199" s="1203"/>
      <c r="D199" s="1203"/>
      <c r="E199" s="1203" t="s">
        <v>291</v>
      </c>
      <c r="F199" s="1203"/>
      <c r="G199" s="1202" t="str">
        <f>IF(N199&gt;0,"P","")</f>
        <v/>
      </c>
      <c r="H199" s="1204" t="s">
        <v>4387</v>
      </c>
      <c r="I199" s="93"/>
      <c r="J199" s="94" t="s">
        <v>291</v>
      </c>
      <c r="K199" s="107"/>
      <c r="L199" s="1305" t="s">
        <v>495</v>
      </c>
      <c r="M199" s="1540">
        <v>4</v>
      </c>
      <c r="N199" s="1472">
        <f>'Ch5'!O200</f>
        <v>0</v>
      </c>
      <c r="O199" s="1473">
        <f>M199*W199</f>
        <v>0</v>
      </c>
      <c r="P199" s="280" t="b">
        <v>1</v>
      </c>
      <c r="Q199" s="280" t="b">
        <v>0</v>
      </c>
      <c r="R199" s="280" t="b">
        <v>0</v>
      </c>
      <c r="S199" s="280" t="b">
        <v>1</v>
      </c>
      <c r="T199" s="280" t="b">
        <v>0</v>
      </c>
      <c r="U199" s="280"/>
      <c r="V199" s="280"/>
      <c r="W199" s="25"/>
      <c r="X199" s="1303"/>
      <c r="Y199" s="1522" t="str">
        <f>IF(LEN('Ch5'!X200)=0,"None",'Ch5'!X200)</f>
        <v>None</v>
      </c>
      <c r="Z199" s="1586"/>
      <c r="AC199" s="280"/>
      <c r="AD199" s="280"/>
      <c r="AE199" s="280"/>
      <c r="AF199" s="280"/>
      <c r="AG199" s="280"/>
      <c r="AH199" s="280"/>
      <c r="AI199" s="280"/>
      <c r="AJ199" s="280"/>
      <c r="AK199" s="280"/>
      <c r="AL199" s="311" t="str">
        <f>SUBSTITUTE(SUBSTITUTE(SUBSTITUTE("vpa"&amp;$B199&amp;$C199&amp;$D199&amp;$E199&amp;$F199,".","_"),"(","_"),")","")</f>
        <v>vpa504_3_5</v>
      </c>
      <c r="AM199" s="311">
        <f>M199</f>
        <v>4</v>
      </c>
      <c r="AN199" s="311" t="str">
        <f>SUBSTITUTE(SUBSTITUTE(SUBSTITUTE("vpc"&amp;$B199&amp;$C199&amp;$D199&amp;$E199&amp;$F199,".","_"),"(","_"),")","")</f>
        <v>vpc504_3_5</v>
      </c>
      <c r="AO199" s="311">
        <f>O199</f>
        <v>0</v>
      </c>
      <c r="AP199" s="311" t="str">
        <f>SUBSTITUTE(SUBSTITUTE(SUBSTITUTE("vch"&amp;$B199&amp;$C199&amp;$D199&amp;$E199&amp;$F199,".","_"),"(","_"),")","")</f>
        <v>vch504_3_5</v>
      </c>
      <c r="AQ199" s="311">
        <f>W199</f>
        <v>0</v>
      </c>
      <c r="AR199" s="311" t="str">
        <f>SUBSTITUTE(SUBSTITUTE(SUBSTITUTE("vnt"&amp;$B199&amp;$C199&amp;$D199&amp;$E199&amp;$F199,".","_"),"(","_"),")","")</f>
        <v>vnt504_3_5</v>
      </c>
      <c r="AS199" s="311">
        <f>X199</f>
        <v>0</v>
      </c>
      <c r="BJ199" s="1184" t="s">
        <v>4763</v>
      </c>
    </row>
    <row r="200" spans="1:62" x14ac:dyDescent="0.3">
      <c r="A200" s="1200">
        <v>5</v>
      </c>
      <c r="B200" s="1203" t="s">
        <v>489</v>
      </c>
      <c r="C200" s="1203"/>
      <c r="D200" s="1203"/>
      <c r="E200" s="1203" t="s">
        <v>291</v>
      </c>
      <c r="F200" s="1203"/>
      <c r="G200" s="1202" t="str">
        <f t="shared" ref="G200:G202" si="58">G199</f>
        <v/>
      </c>
      <c r="H200" s="1204" t="s">
        <v>4387</v>
      </c>
      <c r="I200" s="93"/>
      <c r="J200" s="107"/>
      <c r="K200" s="107"/>
      <c r="L200" s="1305"/>
      <c r="M200" s="1540"/>
      <c r="N200" s="1473"/>
      <c r="O200" s="1473"/>
      <c r="P200" s="280"/>
      <c r="Q200" s="280"/>
      <c r="R200" s="280"/>
      <c r="S200" s="280"/>
      <c r="T200" s="280"/>
      <c r="U200" s="280"/>
      <c r="V200" s="280"/>
      <c r="W200" s="280"/>
      <c r="X200" s="1303"/>
      <c r="Y200" s="1522"/>
      <c r="Z200" s="1586"/>
      <c r="AC200" s="280"/>
      <c r="AD200" s="280"/>
      <c r="AE200" s="280"/>
      <c r="AF200" s="280"/>
      <c r="AG200" s="280"/>
      <c r="AH200" s="280"/>
      <c r="AI200" s="280"/>
      <c r="AJ200" s="280"/>
      <c r="AK200" s="280"/>
      <c r="AL200" s="280"/>
      <c r="AM200" s="280"/>
      <c r="AN200" s="280"/>
      <c r="AO200" s="280"/>
      <c r="AP200" s="280"/>
      <c r="AQ200" s="280"/>
      <c r="AR200" s="280"/>
      <c r="AS200" s="280"/>
      <c r="BJ200" s="1184" t="s">
        <v>4763</v>
      </c>
    </row>
    <row r="201" spans="1:62" x14ac:dyDescent="0.3">
      <c r="A201" s="1200">
        <v>5</v>
      </c>
      <c r="B201" s="1203" t="s">
        <v>489</v>
      </c>
      <c r="C201" s="1203"/>
      <c r="D201" s="1203"/>
      <c r="E201" s="1203" t="s">
        <v>291</v>
      </c>
      <c r="F201" s="1203"/>
      <c r="G201" s="1202" t="str">
        <f t="shared" si="58"/>
        <v/>
      </c>
      <c r="H201" s="1204" t="s">
        <v>4387</v>
      </c>
      <c r="I201" s="93"/>
      <c r="J201" s="107"/>
      <c r="K201" s="107"/>
      <c r="L201" s="1305"/>
      <c r="M201" s="1540"/>
      <c r="N201" s="1473"/>
      <c r="O201" s="1473"/>
      <c r="P201" s="280"/>
      <c r="Q201" s="280"/>
      <c r="R201" s="280"/>
      <c r="S201" s="280"/>
      <c r="T201" s="280"/>
      <c r="U201" s="280"/>
      <c r="V201" s="280"/>
      <c r="W201" s="280"/>
      <c r="X201" s="1303"/>
      <c r="Y201" s="1522"/>
      <c r="Z201" s="1586"/>
      <c r="AC201" s="280"/>
      <c r="AD201" s="280"/>
      <c r="AE201" s="280"/>
      <c r="AF201" s="280"/>
      <c r="AG201" s="280"/>
      <c r="AH201" s="280"/>
      <c r="AI201" s="280"/>
      <c r="AJ201" s="280"/>
      <c r="AK201" s="280"/>
      <c r="AL201" s="280"/>
      <c r="AM201" s="280"/>
      <c r="AN201" s="280"/>
      <c r="AO201" s="280"/>
      <c r="AP201" s="280"/>
      <c r="AQ201" s="280"/>
      <c r="AR201" s="280"/>
      <c r="AS201" s="280"/>
      <c r="BJ201" s="1184" t="s">
        <v>4763</v>
      </c>
    </row>
    <row r="202" spans="1:62" x14ac:dyDescent="0.3">
      <c r="A202" s="1200">
        <v>5</v>
      </c>
      <c r="B202" s="1203" t="s">
        <v>489</v>
      </c>
      <c r="C202" s="1203"/>
      <c r="D202" s="1203"/>
      <c r="E202" s="1203" t="s">
        <v>291</v>
      </c>
      <c r="F202" s="1203"/>
      <c r="G202" s="1202" t="str">
        <f t="shared" si="58"/>
        <v/>
      </c>
      <c r="H202" s="1204" t="s">
        <v>4387</v>
      </c>
      <c r="I202" s="93"/>
      <c r="J202" s="195"/>
      <c r="K202" s="195"/>
      <c r="L202" s="1306"/>
      <c r="M202" s="1543"/>
      <c r="N202" s="1491"/>
      <c r="O202" s="1491"/>
      <c r="P202" s="280"/>
      <c r="Q202" s="280"/>
      <c r="R202" s="280"/>
      <c r="S202" s="280"/>
      <c r="T202" s="280"/>
      <c r="U202" s="280"/>
      <c r="V202" s="280"/>
      <c r="W202" s="280"/>
      <c r="X202" s="1303"/>
      <c r="Y202" s="1522"/>
      <c r="Z202" s="1586"/>
      <c r="AC202" s="280"/>
      <c r="AD202" s="280"/>
      <c r="AE202" s="280"/>
      <c r="AF202" s="280"/>
      <c r="AG202" s="280"/>
      <c r="AH202" s="280"/>
      <c r="AI202" s="280"/>
      <c r="AJ202" s="280"/>
      <c r="AK202" s="280"/>
      <c r="AL202" s="280"/>
      <c r="AM202" s="280"/>
      <c r="AN202" s="280"/>
      <c r="AO202" s="280"/>
      <c r="AP202" s="280"/>
      <c r="AQ202" s="280"/>
      <c r="AR202" s="280"/>
      <c r="AS202" s="280"/>
      <c r="BJ202" s="1184" t="s">
        <v>4763</v>
      </c>
    </row>
    <row r="203" spans="1:62" x14ac:dyDescent="0.3">
      <c r="A203" s="1200">
        <v>5</v>
      </c>
      <c r="B203" s="1203" t="s">
        <v>489</v>
      </c>
      <c r="C203" s="1203"/>
      <c r="D203" s="1203"/>
      <c r="E203" s="1203" t="s">
        <v>293</v>
      </c>
      <c r="F203" s="1203"/>
      <c r="G203" s="1202" t="str">
        <f>IF(N203&gt;0,"P","")</f>
        <v/>
      </c>
      <c r="H203" s="1204" t="s">
        <v>4387</v>
      </c>
      <c r="I203" s="93"/>
      <c r="J203" s="94" t="s">
        <v>293</v>
      </c>
      <c r="K203" s="107"/>
      <c r="L203" s="1305" t="s">
        <v>496</v>
      </c>
      <c r="M203" s="1540">
        <v>3</v>
      </c>
      <c r="N203" s="1472">
        <f>'Ch5'!O204</f>
        <v>0</v>
      </c>
      <c r="O203" s="1473">
        <f>M203*W203</f>
        <v>0</v>
      </c>
      <c r="P203" s="280" t="b">
        <v>1</v>
      </c>
      <c r="Q203" s="280" t="b">
        <v>0</v>
      </c>
      <c r="R203" s="280" t="b">
        <v>0</v>
      </c>
      <c r="S203" s="280" t="b">
        <v>1</v>
      </c>
      <c r="T203" s="280" t="b">
        <v>0</v>
      </c>
      <c r="U203" s="280"/>
      <c r="V203" s="280"/>
      <c r="W203" s="25"/>
      <c r="X203" s="1303"/>
      <c r="Y203" s="1522" t="str">
        <f>IF(LEN('Ch5'!X204)=0,"None",'Ch5'!X204)</f>
        <v>None</v>
      </c>
      <c r="Z203" s="1586"/>
      <c r="AC203" s="280"/>
      <c r="AD203" s="280"/>
      <c r="AE203" s="280"/>
      <c r="AF203" s="280"/>
      <c r="AG203" s="280"/>
      <c r="AH203" s="280"/>
      <c r="AI203" s="280"/>
      <c r="AJ203" s="280"/>
      <c r="AK203" s="280"/>
      <c r="AL203" s="311" t="str">
        <f>SUBSTITUTE(SUBSTITUTE(SUBSTITUTE("vpa"&amp;$B203&amp;$C203&amp;$D203&amp;$E203&amp;$F203,".","_"),"(","_"),")","")</f>
        <v>vpa504_3_6</v>
      </c>
      <c r="AM203" s="311">
        <f>M203</f>
        <v>3</v>
      </c>
      <c r="AN203" s="311" t="str">
        <f>SUBSTITUTE(SUBSTITUTE(SUBSTITUTE("vpc"&amp;$B203&amp;$C203&amp;$D203&amp;$E203&amp;$F203,".","_"),"(","_"),")","")</f>
        <v>vpc504_3_6</v>
      </c>
      <c r="AO203" s="311">
        <f>O203</f>
        <v>0</v>
      </c>
      <c r="AP203" s="311" t="str">
        <f>SUBSTITUTE(SUBSTITUTE(SUBSTITUTE("vch"&amp;$B203&amp;$C203&amp;$D203&amp;$E203&amp;$F203,".","_"),"(","_"),")","")</f>
        <v>vch504_3_6</v>
      </c>
      <c r="AQ203" s="311">
        <f>W203</f>
        <v>0</v>
      </c>
      <c r="AR203" s="311" t="str">
        <f>SUBSTITUTE(SUBSTITUTE(SUBSTITUTE("vnt"&amp;$B203&amp;$C203&amp;$D203&amp;$E203&amp;$F203,".","_"),"(","_"),")","")</f>
        <v>vnt504_3_6</v>
      </c>
      <c r="AS203" s="311">
        <f>X203</f>
        <v>0</v>
      </c>
      <c r="BJ203" s="1184" t="s">
        <v>4763</v>
      </c>
    </row>
    <row r="204" spans="1:62" x14ac:dyDescent="0.3">
      <c r="A204" s="1200">
        <v>5</v>
      </c>
      <c r="B204" s="1203" t="s">
        <v>489</v>
      </c>
      <c r="C204" s="1203"/>
      <c r="D204" s="1203"/>
      <c r="E204" s="1203" t="s">
        <v>293</v>
      </c>
      <c r="F204" s="1203"/>
      <c r="G204" s="1202" t="str">
        <f t="shared" ref="G204:G205" si="59">G203</f>
        <v/>
      </c>
      <c r="H204" s="1204" t="s">
        <v>4387</v>
      </c>
      <c r="I204" s="93"/>
      <c r="J204" s="107"/>
      <c r="K204" s="107"/>
      <c r="L204" s="1305"/>
      <c r="M204" s="1540"/>
      <c r="N204" s="1473"/>
      <c r="O204" s="1473"/>
      <c r="P204" s="280"/>
      <c r="Q204" s="280"/>
      <c r="R204" s="280"/>
      <c r="S204" s="280"/>
      <c r="T204" s="280"/>
      <c r="U204" s="280"/>
      <c r="V204" s="280"/>
      <c r="W204" s="280"/>
      <c r="X204" s="1303"/>
      <c r="Y204" s="1522"/>
      <c r="Z204" s="1586"/>
      <c r="AC204" s="280"/>
      <c r="AD204" s="280"/>
      <c r="AE204" s="280"/>
      <c r="AF204" s="280"/>
      <c r="AG204" s="280"/>
      <c r="AH204" s="280"/>
      <c r="AI204" s="280"/>
      <c r="AJ204" s="280"/>
      <c r="AK204" s="280"/>
      <c r="AL204" s="280"/>
      <c r="AM204" s="280"/>
      <c r="AN204" s="280"/>
      <c r="AO204" s="280"/>
      <c r="AP204" s="280"/>
      <c r="AQ204" s="280"/>
      <c r="AR204" s="280"/>
      <c r="AS204" s="280"/>
      <c r="BJ204" s="1184" t="s">
        <v>4763</v>
      </c>
    </row>
    <row r="205" spans="1:62" x14ac:dyDescent="0.3">
      <c r="A205" s="1200">
        <v>5</v>
      </c>
      <c r="B205" s="1203" t="s">
        <v>489</v>
      </c>
      <c r="C205" s="1203"/>
      <c r="D205" s="1203"/>
      <c r="E205" s="1203" t="s">
        <v>293</v>
      </c>
      <c r="F205" s="1203"/>
      <c r="G205" s="1202" t="str">
        <f t="shared" si="59"/>
        <v/>
      </c>
      <c r="H205" s="1204" t="s">
        <v>4387</v>
      </c>
      <c r="I205" s="93"/>
      <c r="J205" s="195"/>
      <c r="K205" s="195"/>
      <c r="L205" s="1306"/>
      <c r="M205" s="1543"/>
      <c r="N205" s="1491"/>
      <c r="O205" s="1491"/>
      <c r="P205" s="280"/>
      <c r="Q205" s="280"/>
      <c r="R205" s="280"/>
      <c r="S205" s="280"/>
      <c r="T205" s="280"/>
      <c r="U205" s="280"/>
      <c r="V205" s="280"/>
      <c r="W205" s="280"/>
      <c r="X205" s="1303"/>
      <c r="Y205" s="1522"/>
      <c r="Z205" s="1586"/>
      <c r="AC205" s="280"/>
      <c r="AD205" s="280"/>
      <c r="AE205" s="280"/>
      <c r="AF205" s="280"/>
      <c r="AG205" s="280"/>
      <c r="AH205" s="280"/>
      <c r="AI205" s="280"/>
      <c r="AJ205" s="280"/>
      <c r="AK205" s="280"/>
      <c r="AL205" s="280"/>
      <c r="AM205" s="280"/>
      <c r="AN205" s="280"/>
      <c r="AO205" s="280"/>
      <c r="AP205" s="280"/>
      <c r="AQ205" s="280"/>
      <c r="AR205" s="280"/>
      <c r="AS205" s="280"/>
      <c r="BJ205" s="1184" t="s">
        <v>4763</v>
      </c>
    </row>
    <row r="206" spans="1:62" x14ac:dyDescent="0.3">
      <c r="A206" s="1200">
        <v>5</v>
      </c>
      <c r="B206" s="1203" t="s">
        <v>489</v>
      </c>
      <c r="C206" s="1203"/>
      <c r="D206" s="1203"/>
      <c r="E206" s="1203" t="s">
        <v>405</v>
      </c>
      <c r="F206" s="1203"/>
      <c r="G206" s="1202" t="str">
        <f>IF(N206&gt;0,"P","")</f>
        <v/>
      </c>
      <c r="H206" s="1204" t="s">
        <v>4386</v>
      </c>
      <c r="I206" s="93"/>
      <c r="J206" s="192" t="s">
        <v>405</v>
      </c>
      <c r="K206" s="195"/>
      <c r="L206" s="193" t="s">
        <v>497</v>
      </c>
      <c r="M206" s="287">
        <v>3</v>
      </c>
      <c r="N206" s="284">
        <f>'Ch5'!O207</f>
        <v>0</v>
      </c>
      <c r="O206" s="284">
        <f>M206*W206</f>
        <v>0</v>
      </c>
      <c r="P206" s="280" t="b">
        <v>1</v>
      </c>
      <c r="Q206" s="280" t="b">
        <v>1</v>
      </c>
      <c r="R206" s="280" t="b">
        <v>0</v>
      </c>
      <c r="S206" s="280" t="b">
        <v>1</v>
      </c>
      <c r="T206" s="280" t="b">
        <v>0</v>
      </c>
      <c r="U206" s="280"/>
      <c r="V206" s="280"/>
      <c r="W206" s="25"/>
      <c r="X206" s="281"/>
      <c r="Y206" s="312" t="str">
        <f>IF(LEN('Ch5'!X207)=0,"None",'Ch5'!X207)</f>
        <v>None</v>
      </c>
      <c r="Z206" s="1169"/>
      <c r="AC206" s="280"/>
      <c r="AD206" s="280"/>
      <c r="AE206" s="280"/>
      <c r="AF206" s="280"/>
      <c r="AG206" s="280"/>
      <c r="AH206" s="280"/>
      <c r="AI206" s="280"/>
      <c r="AJ206" s="280"/>
      <c r="AK206" s="280"/>
      <c r="AL206" s="311" t="str">
        <f>SUBSTITUTE(SUBSTITUTE(SUBSTITUTE("vpa"&amp;$B206&amp;$C206&amp;$D206&amp;$E206&amp;$F206,".","_"),"(","_"),")","")</f>
        <v>vpa504_3_7</v>
      </c>
      <c r="AM206" s="311">
        <f>M206</f>
        <v>3</v>
      </c>
      <c r="AN206" s="311" t="str">
        <f t="shared" ref="AN206:AN207" si="60">SUBSTITUTE(SUBSTITUTE(SUBSTITUTE("vpc"&amp;$B206&amp;$C206&amp;$D206&amp;$E206&amp;$F206,".","_"),"(","_"),")","")</f>
        <v>vpc504_3_7</v>
      </c>
      <c r="AO206" s="311">
        <f>O206</f>
        <v>0</v>
      </c>
      <c r="AP206" s="311" t="str">
        <f>SUBSTITUTE(SUBSTITUTE(SUBSTITUTE("vch"&amp;$B206&amp;$C206&amp;$D206&amp;$E206&amp;$F206,".","_"),"(","_"),")","")</f>
        <v>vch504_3_7</v>
      </c>
      <c r="AQ206" s="311">
        <f>W206</f>
        <v>0</v>
      </c>
      <c r="AR206" s="311" t="str">
        <f t="shared" ref="AR206:AR207" si="61">SUBSTITUTE(SUBSTITUTE(SUBSTITUTE("vnt"&amp;$B206&amp;$C206&amp;$D206&amp;$E206&amp;$F206,".","_"),"(","_"),")","")</f>
        <v>vnt504_3_7</v>
      </c>
      <c r="AS206" s="311">
        <f>X206</f>
        <v>0</v>
      </c>
      <c r="BJ206" s="1184" t="s">
        <v>4763</v>
      </c>
    </row>
    <row r="207" spans="1:62" x14ac:dyDescent="0.3">
      <c r="A207" s="1200">
        <v>5</v>
      </c>
      <c r="B207" s="1203" t="s">
        <v>489</v>
      </c>
      <c r="C207" s="1203"/>
      <c r="D207" s="1203"/>
      <c r="E207" s="1203" t="s">
        <v>456</v>
      </c>
      <c r="F207" s="1203"/>
      <c r="G207" s="1202" t="str">
        <f>IF(N207&gt;0,"P","")</f>
        <v/>
      </c>
      <c r="H207" s="1204" t="s">
        <v>4386</v>
      </c>
      <c r="I207" s="93"/>
      <c r="J207" s="94" t="s">
        <v>456</v>
      </c>
      <c r="K207" s="107"/>
      <c r="L207" s="289" t="s">
        <v>3180</v>
      </c>
      <c r="M207" s="1540">
        <v>5</v>
      </c>
      <c r="N207" s="1472">
        <f>'Ch5'!O208</f>
        <v>0</v>
      </c>
      <c r="O207" s="1473">
        <f>M207*MIN(1,(W208+W209+W210+W211+W212+W213))</f>
        <v>0</v>
      </c>
      <c r="P207" s="280"/>
      <c r="Q207" s="280"/>
      <c r="R207" s="280"/>
      <c r="S207" s="280"/>
      <c r="T207" s="280"/>
      <c r="U207" s="280"/>
      <c r="V207" s="280"/>
      <c r="W207" s="280"/>
      <c r="X207" s="1303"/>
      <c r="Y207" s="1522" t="str">
        <f>IF(LEN('Ch5'!X208)=0,"None",'Ch5'!X208)</f>
        <v>None</v>
      </c>
      <c r="Z207" s="1586"/>
      <c r="AC207" s="280" t="b">
        <f>OR(AD207:AE207)</f>
        <v>0</v>
      </c>
      <c r="AD207" s="280" t="b">
        <v>0</v>
      </c>
      <c r="AE207" s="280" t="b">
        <f>AND(W207=TRUE,LEN(X207)=0)</f>
        <v>0</v>
      </c>
      <c r="AF207" s="1182" t="b">
        <f>AND(AE207,NOT(Q207))</f>
        <v>0</v>
      </c>
      <c r="AG207" s="280"/>
      <c r="AH207" s="280"/>
      <c r="AI207" s="280"/>
      <c r="AJ207" s="280"/>
      <c r="AK207" s="280"/>
      <c r="AL207" s="311" t="str">
        <f>SUBSTITUTE(SUBSTITUTE(SUBSTITUTE("vpa"&amp;$B207&amp;$C207&amp;$D207&amp;$E207&amp;$F207,".","_"),"(","_"),")","")</f>
        <v>vpa504_3_8</v>
      </c>
      <c r="AM207" s="311">
        <f>M207</f>
        <v>5</v>
      </c>
      <c r="AN207" s="311" t="str">
        <f t="shared" si="60"/>
        <v>vpc504_3_8</v>
      </c>
      <c r="AO207" s="311">
        <f>O207</f>
        <v>0</v>
      </c>
      <c r="AP207" s="311"/>
      <c r="AQ207" s="311"/>
      <c r="AR207" s="311" t="str">
        <f t="shared" si="61"/>
        <v>vnt504_3_8</v>
      </c>
      <c r="AS207" s="311">
        <f>X207</f>
        <v>0</v>
      </c>
      <c r="BJ207" s="1184" t="s">
        <v>4763</v>
      </c>
    </row>
    <row r="208" spans="1:62" x14ac:dyDescent="0.3">
      <c r="A208" s="1200">
        <v>5</v>
      </c>
      <c r="B208" s="1203" t="s">
        <v>489</v>
      </c>
      <c r="C208" s="1203"/>
      <c r="D208" s="1203"/>
      <c r="E208" s="1203" t="s">
        <v>456</v>
      </c>
      <c r="F208" s="1203" t="s">
        <v>3173</v>
      </c>
      <c r="G208" s="1202" t="str">
        <f t="shared" ref="G208:G214" si="62">G207</f>
        <v/>
      </c>
      <c r="H208" s="1204" t="s">
        <v>4386</v>
      </c>
      <c r="I208" s="93"/>
      <c r="J208" s="107"/>
      <c r="K208" s="107"/>
      <c r="L208" s="289" t="s">
        <v>3186</v>
      </c>
      <c r="M208" s="1540"/>
      <c r="N208" s="1473"/>
      <c r="O208" s="1473"/>
      <c r="P208" s="280" t="b">
        <v>1</v>
      </c>
      <c r="Q208" s="440" t="b">
        <v>1</v>
      </c>
      <c r="R208" s="280" t="b">
        <v>0</v>
      </c>
      <c r="S208" s="280" t="b">
        <v>1</v>
      </c>
      <c r="T208" s="280" t="b">
        <v>0</v>
      </c>
      <c r="U208" s="280"/>
      <c r="V208" s="280"/>
      <c r="W208" s="25"/>
      <c r="X208" s="1303"/>
      <c r="Y208" s="1522"/>
      <c r="Z208" s="1586"/>
      <c r="AC208" s="280"/>
      <c r="AD208" s="280"/>
      <c r="AE208" s="280"/>
      <c r="AF208" s="280"/>
      <c r="AG208" s="280"/>
      <c r="AH208" s="280"/>
      <c r="AI208" s="280"/>
      <c r="AJ208" s="280"/>
      <c r="AK208" s="280"/>
      <c r="AL208" s="280"/>
      <c r="AM208" s="280"/>
      <c r="AN208" s="280"/>
      <c r="AO208" s="280"/>
      <c r="AP208" s="311" t="str">
        <f t="shared" ref="AP208:AP213" si="63">SUBSTITUTE(SUBSTITUTE(SUBSTITUTE("vch"&amp;$B208&amp;$C208&amp;$D208&amp;$E208&amp;$F208,".","_"),"(","_"),")","")</f>
        <v>vch504_3_8a</v>
      </c>
      <c r="AQ208" s="311">
        <f t="shared" ref="AQ208:AQ213" si="64">W208</f>
        <v>0</v>
      </c>
      <c r="AR208" s="280"/>
      <c r="AS208" s="280"/>
      <c r="BJ208" s="1184" t="s">
        <v>4763</v>
      </c>
    </row>
    <row r="209" spans="1:62" x14ac:dyDescent="0.3">
      <c r="A209" s="1200">
        <v>5</v>
      </c>
      <c r="B209" s="1203" t="s">
        <v>489</v>
      </c>
      <c r="C209" s="1203"/>
      <c r="D209" s="1203"/>
      <c r="E209" s="1203" t="s">
        <v>456</v>
      </c>
      <c r="F209" s="1203" t="s">
        <v>3174</v>
      </c>
      <c r="G209" s="1202" t="str">
        <f t="shared" si="62"/>
        <v/>
      </c>
      <c r="H209" s="1204" t="s">
        <v>4386</v>
      </c>
      <c r="I209" s="93"/>
      <c r="J209" s="107"/>
      <c r="K209" s="107"/>
      <c r="L209" s="289" t="s">
        <v>3185</v>
      </c>
      <c r="M209" s="1540"/>
      <c r="N209" s="1473"/>
      <c r="O209" s="1473"/>
      <c r="P209" s="280" t="b">
        <v>1</v>
      </c>
      <c r="Q209" s="440" t="b">
        <v>1</v>
      </c>
      <c r="R209" s="280" t="b">
        <v>0</v>
      </c>
      <c r="S209" s="280" t="b">
        <v>1</v>
      </c>
      <c r="T209" s="280" t="b">
        <v>0</v>
      </c>
      <c r="U209" s="280"/>
      <c r="V209" s="280"/>
      <c r="W209" s="25"/>
      <c r="X209" s="1303"/>
      <c r="Y209" s="1522"/>
      <c r="Z209" s="1586"/>
      <c r="AC209" s="280"/>
      <c r="AD209" s="280"/>
      <c r="AE209" s="280"/>
      <c r="AF209" s="280"/>
      <c r="AG209" s="280"/>
      <c r="AH209" s="280"/>
      <c r="AI209" s="280"/>
      <c r="AJ209" s="280"/>
      <c r="AK209" s="280"/>
      <c r="AL209" s="280"/>
      <c r="AM209" s="280"/>
      <c r="AN209" s="280"/>
      <c r="AO209" s="280"/>
      <c r="AP209" s="311" t="str">
        <f t="shared" si="63"/>
        <v>vch504_3_8b</v>
      </c>
      <c r="AQ209" s="311">
        <f t="shared" si="64"/>
        <v>0</v>
      </c>
      <c r="AR209" s="280"/>
      <c r="AS209" s="280"/>
      <c r="BJ209" s="1184" t="s">
        <v>4763</v>
      </c>
    </row>
    <row r="210" spans="1:62" x14ac:dyDescent="0.3">
      <c r="A210" s="1200">
        <v>5</v>
      </c>
      <c r="B210" s="1203" t="s">
        <v>489</v>
      </c>
      <c r="C210" s="1203"/>
      <c r="D210" s="1203"/>
      <c r="E210" s="1203" t="s">
        <v>456</v>
      </c>
      <c r="F210" s="1203" t="s">
        <v>3175</v>
      </c>
      <c r="G210" s="1202" t="str">
        <f t="shared" si="62"/>
        <v/>
      </c>
      <c r="H210" s="1204" t="s">
        <v>4386</v>
      </c>
      <c r="I210" s="93"/>
      <c r="J210" s="107"/>
      <c r="K210" s="107"/>
      <c r="L210" s="289" t="s">
        <v>3184</v>
      </c>
      <c r="M210" s="1540"/>
      <c r="N210" s="1473"/>
      <c r="O210" s="1473"/>
      <c r="P210" s="280" t="b">
        <v>1</v>
      </c>
      <c r="Q210" s="440" t="b">
        <v>1</v>
      </c>
      <c r="R210" s="280" t="b">
        <v>0</v>
      </c>
      <c r="S210" s="280" t="b">
        <v>1</v>
      </c>
      <c r="T210" s="280" t="b">
        <v>0</v>
      </c>
      <c r="U210" s="280"/>
      <c r="V210" s="280"/>
      <c r="W210" s="25"/>
      <c r="X210" s="1303"/>
      <c r="Y210" s="1522"/>
      <c r="Z210" s="1586"/>
      <c r="AC210" s="280"/>
      <c r="AD210" s="280"/>
      <c r="AE210" s="280"/>
      <c r="AF210" s="280"/>
      <c r="AG210" s="280"/>
      <c r="AH210" s="280"/>
      <c r="AI210" s="280"/>
      <c r="AJ210" s="280"/>
      <c r="AK210" s="280"/>
      <c r="AL210" s="280"/>
      <c r="AM210" s="280"/>
      <c r="AN210" s="280"/>
      <c r="AO210" s="280"/>
      <c r="AP210" s="311" t="str">
        <f t="shared" si="63"/>
        <v>vch504_3_8c</v>
      </c>
      <c r="AQ210" s="311">
        <f t="shared" si="64"/>
        <v>0</v>
      </c>
      <c r="AR210" s="280"/>
      <c r="AS210" s="280"/>
      <c r="BJ210" s="1184" t="s">
        <v>4763</v>
      </c>
    </row>
    <row r="211" spans="1:62" x14ac:dyDescent="0.3">
      <c r="A211" s="1200">
        <v>5</v>
      </c>
      <c r="B211" s="1203" t="s">
        <v>489</v>
      </c>
      <c r="C211" s="1203"/>
      <c r="D211" s="1203"/>
      <c r="E211" s="1203" t="s">
        <v>456</v>
      </c>
      <c r="F211" s="1203" t="s">
        <v>3176</v>
      </c>
      <c r="G211" s="1202" t="str">
        <f t="shared" si="62"/>
        <v/>
      </c>
      <c r="H211" s="1204" t="s">
        <v>4386</v>
      </c>
      <c r="I211" s="93"/>
      <c r="J211" s="107"/>
      <c r="K211" s="107"/>
      <c r="L211" s="289" t="s">
        <v>3183</v>
      </c>
      <c r="M211" s="1540"/>
      <c r="N211" s="1473"/>
      <c r="O211" s="1473"/>
      <c r="P211" s="280" t="b">
        <v>1</v>
      </c>
      <c r="Q211" s="440" t="b">
        <v>1</v>
      </c>
      <c r="R211" s="280" t="b">
        <v>0</v>
      </c>
      <c r="S211" s="280" t="b">
        <v>1</v>
      </c>
      <c r="T211" s="280" t="b">
        <v>0</v>
      </c>
      <c r="U211" s="280"/>
      <c r="V211" s="280"/>
      <c r="W211" s="25"/>
      <c r="X211" s="1303"/>
      <c r="Y211" s="1522"/>
      <c r="Z211" s="1586"/>
      <c r="AC211" s="280"/>
      <c r="AD211" s="280"/>
      <c r="AE211" s="280"/>
      <c r="AF211" s="280"/>
      <c r="AG211" s="280"/>
      <c r="AH211" s="280"/>
      <c r="AI211" s="280"/>
      <c r="AJ211" s="280"/>
      <c r="AK211" s="280"/>
      <c r="AL211" s="280"/>
      <c r="AM211" s="280"/>
      <c r="AN211" s="280"/>
      <c r="AO211" s="280"/>
      <c r="AP211" s="311" t="str">
        <f t="shared" si="63"/>
        <v>vch504_3_8d</v>
      </c>
      <c r="AQ211" s="311">
        <f t="shared" si="64"/>
        <v>0</v>
      </c>
      <c r="AR211" s="280"/>
      <c r="AS211" s="280"/>
      <c r="BJ211" s="1184" t="s">
        <v>4763</v>
      </c>
    </row>
    <row r="212" spans="1:62" x14ac:dyDescent="0.3">
      <c r="A212" s="1200">
        <v>5</v>
      </c>
      <c r="B212" s="1203" t="s">
        <v>489</v>
      </c>
      <c r="C212" s="1203"/>
      <c r="D212" s="1203"/>
      <c r="E212" s="1203" t="s">
        <v>456</v>
      </c>
      <c r="F212" s="1203" t="s">
        <v>3177</v>
      </c>
      <c r="G212" s="1202" t="str">
        <f t="shared" si="62"/>
        <v/>
      </c>
      <c r="H212" s="1204" t="s">
        <v>4386</v>
      </c>
      <c r="I212" s="93"/>
      <c r="J212" s="107"/>
      <c r="K212" s="107"/>
      <c r="L212" s="289" t="s">
        <v>3182</v>
      </c>
      <c r="M212" s="1540"/>
      <c r="N212" s="1473"/>
      <c r="O212" s="1473"/>
      <c r="P212" s="280" t="b">
        <v>1</v>
      </c>
      <c r="Q212" s="440" t="b">
        <v>1</v>
      </c>
      <c r="R212" s="280" t="b">
        <v>0</v>
      </c>
      <c r="S212" s="280" t="b">
        <v>1</v>
      </c>
      <c r="T212" s="280" t="b">
        <v>0</v>
      </c>
      <c r="U212" s="280"/>
      <c r="V212" s="280"/>
      <c r="W212" s="25"/>
      <c r="X212" s="1303"/>
      <c r="Y212" s="1522"/>
      <c r="Z212" s="1586"/>
      <c r="AC212" s="280"/>
      <c r="AD212" s="280"/>
      <c r="AE212" s="280"/>
      <c r="AF212" s="280"/>
      <c r="AG212" s="280"/>
      <c r="AH212" s="280"/>
      <c r="AI212" s="280"/>
      <c r="AJ212" s="280"/>
      <c r="AK212" s="280"/>
      <c r="AL212" s="280"/>
      <c r="AM212" s="280"/>
      <c r="AN212" s="280"/>
      <c r="AO212" s="280"/>
      <c r="AP212" s="311" t="str">
        <f t="shared" si="63"/>
        <v>vch504_3_8e</v>
      </c>
      <c r="AQ212" s="311">
        <f t="shared" si="64"/>
        <v>0</v>
      </c>
      <c r="AR212" s="280"/>
      <c r="AS212" s="280"/>
      <c r="BJ212" s="1184" t="s">
        <v>4763</v>
      </c>
    </row>
    <row r="213" spans="1:62" x14ac:dyDescent="0.3">
      <c r="A213" s="1200">
        <v>5</v>
      </c>
      <c r="B213" s="1203" t="s">
        <v>489</v>
      </c>
      <c r="C213" s="1203"/>
      <c r="D213" s="1203"/>
      <c r="E213" s="1203" t="s">
        <v>456</v>
      </c>
      <c r="F213" s="1203" t="s">
        <v>3178</v>
      </c>
      <c r="G213" s="1202" t="str">
        <f t="shared" si="62"/>
        <v/>
      </c>
      <c r="H213" s="1204" t="s">
        <v>4386</v>
      </c>
      <c r="I213" s="93"/>
      <c r="J213" s="107"/>
      <c r="K213" s="107"/>
      <c r="L213" s="289" t="s">
        <v>3181</v>
      </c>
      <c r="M213" s="1540"/>
      <c r="N213" s="1473"/>
      <c r="O213" s="1473"/>
      <c r="P213" s="280" t="b">
        <v>1</v>
      </c>
      <c r="Q213" s="440" t="b">
        <v>1</v>
      </c>
      <c r="R213" s="280" t="b">
        <v>0</v>
      </c>
      <c r="S213" s="280" t="b">
        <v>1</v>
      </c>
      <c r="T213" s="280" t="b">
        <v>0</v>
      </c>
      <c r="U213" s="280"/>
      <c r="V213" s="280"/>
      <c r="W213" s="25"/>
      <c r="X213" s="1303"/>
      <c r="Y213" s="1522"/>
      <c r="Z213" s="1586"/>
      <c r="AC213" s="280" t="b">
        <f>OR(AD213:AE213)</f>
        <v>0</v>
      </c>
      <c r="AD213" s="985" t="b">
        <f>T213</f>
        <v>0</v>
      </c>
      <c r="AE213" s="280" t="b">
        <f>AND(W213=TRUE,LEN(X207)=0)</f>
        <v>0</v>
      </c>
      <c r="AF213" s="1182" t="b">
        <f>AND(AE213,NOT(Q213))</f>
        <v>0</v>
      </c>
      <c r="AG213" s="280"/>
      <c r="AH213" s="280"/>
      <c r="AI213" s="280"/>
      <c r="AJ213" s="280"/>
      <c r="AK213" s="280"/>
      <c r="AL213" s="280"/>
      <c r="AM213" s="280"/>
      <c r="AN213" s="280"/>
      <c r="AO213" s="280"/>
      <c r="AP213" s="311" t="str">
        <f t="shared" si="63"/>
        <v>vch504_3_8f</v>
      </c>
      <c r="AQ213" s="311">
        <f t="shared" si="64"/>
        <v>0</v>
      </c>
      <c r="AR213" s="280"/>
      <c r="AS213" s="280"/>
      <c r="BJ213" s="1184" t="s">
        <v>4763</v>
      </c>
    </row>
    <row r="214" spans="1:62" x14ac:dyDescent="0.3">
      <c r="A214" s="1200">
        <v>5</v>
      </c>
      <c r="B214" s="1203" t="s">
        <v>489</v>
      </c>
      <c r="C214" s="1203"/>
      <c r="D214" s="1203"/>
      <c r="E214" s="1203" t="s">
        <v>456</v>
      </c>
      <c r="F214" s="1203"/>
      <c r="G214" s="1202" t="str">
        <f t="shared" si="62"/>
        <v/>
      </c>
      <c r="H214" s="1204" t="s">
        <v>4386</v>
      </c>
      <c r="I214" s="93"/>
      <c r="J214" s="195"/>
      <c r="K214" s="195"/>
      <c r="L214" s="304" t="s">
        <v>3179</v>
      </c>
      <c r="M214" s="1543"/>
      <c r="N214" s="1491"/>
      <c r="O214" s="1491"/>
      <c r="P214" s="280"/>
      <c r="Q214" s="280"/>
      <c r="R214" s="280"/>
      <c r="S214" s="280"/>
      <c r="T214" s="280"/>
      <c r="U214" s="280"/>
      <c r="V214" s="280"/>
      <c r="W214" s="280"/>
      <c r="X214" s="1303"/>
      <c r="Y214" s="1522"/>
      <c r="Z214" s="1586"/>
      <c r="AC214" s="280"/>
      <c r="AD214" s="280"/>
      <c r="AE214" s="280"/>
      <c r="AF214" s="280"/>
      <c r="AG214" s="280"/>
      <c r="AH214" s="280"/>
      <c r="AI214" s="280"/>
      <c r="AJ214" s="280"/>
      <c r="AK214" s="280"/>
      <c r="AL214" s="280"/>
      <c r="AM214" s="280"/>
      <c r="AN214" s="280"/>
      <c r="AO214" s="280"/>
      <c r="AP214" s="280"/>
      <c r="AQ214" s="280"/>
      <c r="AR214" s="280"/>
      <c r="AS214" s="280"/>
      <c r="BJ214" s="1184" t="s">
        <v>4763</v>
      </c>
    </row>
    <row r="215" spans="1:62" x14ac:dyDescent="0.3">
      <c r="A215" s="1200">
        <v>5</v>
      </c>
      <c r="B215" s="1203" t="s">
        <v>489</v>
      </c>
      <c r="C215" s="1203"/>
      <c r="D215" s="1203"/>
      <c r="E215" s="1203" t="s">
        <v>458</v>
      </c>
      <c r="F215" s="1203"/>
      <c r="G215" s="1202" t="str">
        <f>IF(N215&gt;0,"P","")</f>
        <v>P</v>
      </c>
      <c r="H215" s="1204" t="s">
        <v>4386</v>
      </c>
      <c r="I215" s="93"/>
      <c r="J215" s="90" t="s">
        <v>458</v>
      </c>
      <c r="K215" s="93"/>
      <c r="L215" s="86" t="s">
        <v>498</v>
      </c>
      <c r="M215" s="294">
        <v>3</v>
      </c>
      <c r="N215" s="282">
        <f>'Ch5'!O216</f>
        <v>3</v>
      </c>
      <c r="O215" s="282">
        <f>M215*W215</f>
        <v>0</v>
      </c>
      <c r="P215" s="280" t="b">
        <v>1</v>
      </c>
      <c r="Q215" s="280" t="b">
        <v>1</v>
      </c>
      <c r="R215" s="280" t="b">
        <v>0</v>
      </c>
      <c r="S215" s="280" t="b">
        <v>1</v>
      </c>
      <c r="T215" s="280" t="b">
        <v>0</v>
      </c>
      <c r="U215" s="280"/>
      <c r="V215" s="280"/>
      <c r="W215" s="25"/>
      <c r="X215" s="281"/>
      <c r="Y215" s="312" t="str">
        <f>IF(LEN('Ch5'!X216)=0,"None",'Ch5'!X216)</f>
        <v>None</v>
      </c>
      <c r="Z215" s="1169"/>
      <c r="AC215" s="280"/>
      <c r="AD215" s="280"/>
      <c r="AE215" s="280"/>
      <c r="AF215" s="280"/>
      <c r="AG215" s="280"/>
      <c r="AH215" s="280"/>
      <c r="AI215" s="280"/>
      <c r="AJ215" s="280"/>
      <c r="AK215" s="280"/>
      <c r="AL215" s="311" t="str">
        <f>SUBSTITUTE(SUBSTITUTE(SUBSTITUTE("vpa"&amp;$B215&amp;$C215&amp;$D215&amp;$E215&amp;$F215,".","_"),"(","_"),")","")</f>
        <v>vpa504_3_9</v>
      </c>
      <c r="AM215" s="311">
        <f>M215</f>
        <v>3</v>
      </c>
      <c r="AN215" s="311" t="str">
        <f>SUBSTITUTE(SUBSTITUTE(SUBSTITUTE("vpc"&amp;$B215&amp;$C215&amp;$D215&amp;$E215&amp;$F215,".","_"),"(","_"),")","")</f>
        <v>vpc504_3_9</v>
      </c>
      <c r="AO215" s="311">
        <f>O215</f>
        <v>0</v>
      </c>
      <c r="AP215" s="311" t="str">
        <f>SUBSTITUTE(SUBSTITUTE(SUBSTITUTE("vch"&amp;$B215&amp;$C215&amp;$D215&amp;$E215&amp;$F215,".","_"),"(","_"),")","")</f>
        <v>vch504_3_9</v>
      </c>
      <c r="AQ215" s="311">
        <f>W215</f>
        <v>0</v>
      </c>
      <c r="AR215" s="311" t="str">
        <f>SUBSTITUTE(SUBSTITUTE(SUBSTITUTE("vnt"&amp;$B215&amp;$C215&amp;$D215&amp;$E215&amp;$F215,".","_"),"(","_"),")","")</f>
        <v>vnt504_3_9</v>
      </c>
      <c r="AS215" s="311">
        <f>X215</f>
        <v>0</v>
      </c>
      <c r="BJ215" s="1184" t="s">
        <v>4763</v>
      </c>
    </row>
    <row r="216" spans="1:62" ht="18" x14ac:dyDescent="0.35">
      <c r="A216" s="1200">
        <v>5</v>
      </c>
      <c r="B216" s="1203" t="s">
        <v>499</v>
      </c>
      <c r="C216" s="1203"/>
      <c r="D216" s="1203"/>
      <c r="E216" s="1203"/>
      <c r="F216" s="1203"/>
      <c r="G216" s="1202" t="s">
        <v>4389</v>
      </c>
      <c r="H216" s="1200" t="s">
        <v>4386</v>
      </c>
      <c r="I216" s="72" t="s">
        <v>500</v>
      </c>
      <c r="J216" s="72"/>
      <c r="K216" s="72"/>
      <c r="L216" s="87"/>
      <c r="M216" s="71"/>
      <c r="N216" s="71"/>
      <c r="O216" s="71"/>
      <c r="P216" s="23"/>
      <c r="Q216" s="23"/>
      <c r="R216" s="23"/>
      <c r="S216" s="23"/>
      <c r="T216" s="23"/>
      <c r="U216" s="23"/>
      <c r="V216" s="23"/>
      <c r="W216" s="23"/>
      <c r="X216" s="23"/>
      <c r="Y216" s="23"/>
      <c r="Z216" s="1168"/>
      <c r="AC216" s="280"/>
      <c r="AD216" s="280"/>
      <c r="AE216" s="280"/>
      <c r="AF216" s="280"/>
      <c r="AG216" s="280"/>
      <c r="AH216" s="280"/>
      <c r="AI216" s="280"/>
      <c r="AJ216" s="280"/>
      <c r="AK216" s="280"/>
      <c r="AL216" s="280"/>
      <c r="AM216" s="280"/>
      <c r="AN216" s="280"/>
      <c r="AO216" s="280"/>
      <c r="AP216" s="280"/>
      <c r="AQ216" s="280"/>
      <c r="AR216" s="280"/>
      <c r="AS216" s="280"/>
      <c r="BJ216" s="1184" t="s">
        <v>4763</v>
      </c>
    </row>
    <row r="217" spans="1:62" x14ac:dyDescent="0.3">
      <c r="A217" s="1200">
        <v>5</v>
      </c>
      <c r="B217" s="1203" t="s">
        <v>4437</v>
      </c>
      <c r="C217" s="1203"/>
      <c r="D217" s="1203"/>
      <c r="E217" s="1203"/>
      <c r="F217" s="1203"/>
      <c r="G217" s="1204"/>
      <c r="H217" s="1204"/>
      <c r="I217" s="94" t="s">
        <v>4437</v>
      </c>
      <c r="J217" s="107"/>
      <c r="K217" s="107"/>
      <c r="L217" s="1313" t="s">
        <v>501</v>
      </c>
      <c r="M217" s="286"/>
      <c r="N217" s="283"/>
      <c r="O217" s="283"/>
      <c r="P217" s="97"/>
      <c r="Q217" s="97"/>
      <c r="R217" s="97"/>
      <c r="S217" s="97"/>
      <c r="T217" s="97"/>
      <c r="U217" s="97"/>
      <c r="V217" s="97"/>
      <c r="W217" s="97"/>
      <c r="X217" s="118"/>
      <c r="Z217" s="1055"/>
      <c r="AC217" s="280"/>
      <c r="AD217" s="280"/>
      <c r="AE217" s="280"/>
      <c r="AF217" s="280"/>
      <c r="AG217" s="280"/>
      <c r="AH217" s="280"/>
      <c r="AI217" s="280"/>
      <c r="AJ217" s="280"/>
      <c r="AK217" s="280"/>
      <c r="AL217" s="280"/>
      <c r="AM217" s="280"/>
      <c r="AN217" s="280"/>
      <c r="AO217" s="280"/>
      <c r="AP217" s="280"/>
      <c r="AQ217" s="280"/>
      <c r="AR217" s="280"/>
      <c r="AS217" s="280"/>
      <c r="BJ217" s="1184" t="s">
        <v>4763</v>
      </c>
    </row>
    <row r="218" spans="1:62" x14ac:dyDescent="0.3">
      <c r="A218" s="1200">
        <v>5</v>
      </c>
      <c r="B218" s="1203" t="s">
        <v>4437</v>
      </c>
      <c r="C218" s="1203"/>
      <c r="D218" s="1203"/>
      <c r="E218" s="1203"/>
      <c r="F218" s="1203"/>
      <c r="G218" s="1204"/>
      <c r="H218" s="1204"/>
      <c r="I218" s="107"/>
      <c r="J218" s="107"/>
      <c r="K218" s="107"/>
      <c r="L218" s="1313"/>
      <c r="M218" s="286"/>
      <c r="N218" s="283"/>
      <c r="O218" s="283"/>
      <c r="P218" s="97"/>
      <c r="Q218" s="97"/>
      <c r="R218" s="97"/>
      <c r="S218" s="97"/>
      <c r="T218" s="97"/>
      <c r="U218" s="97"/>
      <c r="V218" s="97"/>
      <c r="W218" s="97"/>
      <c r="X218" s="118"/>
      <c r="Z218" s="1055"/>
      <c r="AC218" s="280"/>
      <c r="AD218" s="280"/>
      <c r="AE218" s="280"/>
      <c r="AF218" s="280"/>
      <c r="AG218" s="280"/>
      <c r="AH218" s="280"/>
      <c r="AI218" s="280"/>
      <c r="AJ218" s="280"/>
      <c r="AK218" s="280"/>
      <c r="AL218" s="280"/>
      <c r="AM218" s="280"/>
      <c r="AN218" s="280"/>
      <c r="AO218" s="280"/>
      <c r="AP218" s="280"/>
      <c r="AQ218" s="280"/>
      <c r="AR218" s="280"/>
      <c r="AS218" s="280"/>
      <c r="BJ218" s="1184" t="s">
        <v>4763</v>
      </c>
    </row>
    <row r="219" spans="1:62" ht="15" thickBot="1" x14ac:dyDescent="0.35">
      <c r="A219" s="1200">
        <v>5</v>
      </c>
      <c r="B219" s="1203" t="s">
        <v>4437</v>
      </c>
      <c r="C219" s="1203"/>
      <c r="D219" s="1203"/>
      <c r="E219" s="1203"/>
      <c r="F219" s="1203"/>
      <c r="G219" s="1204"/>
      <c r="H219" s="1204"/>
      <c r="I219" s="108"/>
      <c r="J219" s="108"/>
      <c r="K219" s="108"/>
      <c r="L219" s="1332"/>
      <c r="M219" s="295"/>
      <c r="N219" s="288"/>
      <c r="O219" s="288"/>
      <c r="P219" s="104"/>
      <c r="Q219" s="104"/>
      <c r="R219" s="104"/>
      <c r="S219" s="104"/>
      <c r="T219" s="104"/>
      <c r="U219" s="104"/>
      <c r="V219" s="104"/>
      <c r="W219" s="104"/>
      <c r="X219" s="117"/>
      <c r="Y219" s="315"/>
      <c r="Z219" s="1170"/>
      <c r="AC219" s="280"/>
      <c r="AD219" s="280"/>
      <c r="AE219" s="280"/>
      <c r="AF219" s="280"/>
      <c r="AG219" s="280"/>
      <c r="AH219" s="280"/>
      <c r="AI219" s="280"/>
      <c r="AJ219" s="280"/>
      <c r="AK219" s="280"/>
      <c r="AL219" s="280"/>
      <c r="AM219" s="280"/>
      <c r="AN219" s="280"/>
      <c r="AO219" s="280"/>
      <c r="AP219" s="280"/>
      <c r="AQ219" s="280"/>
      <c r="AR219" s="280"/>
      <c r="AS219" s="280"/>
      <c r="BJ219" s="1184" t="s">
        <v>4763</v>
      </c>
    </row>
    <row r="220" spans="1:62" ht="15" thickTop="1" x14ac:dyDescent="0.3">
      <c r="A220" s="1200">
        <v>5</v>
      </c>
      <c r="B220" s="1203" t="s">
        <v>502</v>
      </c>
      <c r="C220" s="1203"/>
      <c r="D220" s="1203"/>
      <c r="E220" s="1203"/>
      <c r="F220" s="1203"/>
      <c r="G220" s="1196" t="str">
        <f ca="1">IF(COUNTIF(G222:G229,"P")&gt;0,"P","")</f>
        <v/>
      </c>
      <c r="H220" s="1204" t="s">
        <v>4388</v>
      </c>
      <c r="I220" s="90" t="s">
        <v>502</v>
      </c>
      <c r="J220" s="93"/>
      <c r="K220" s="93"/>
      <c r="L220" s="1292" t="s">
        <v>503</v>
      </c>
      <c r="M220" s="294"/>
      <c r="N220" s="282"/>
      <c r="O220" s="282"/>
      <c r="P220" s="280"/>
      <c r="Q220" s="280"/>
      <c r="R220" s="280"/>
      <c r="S220" s="280"/>
      <c r="T220" s="280"/>
      <c r="U220" s="280"/>
      <c r="V220" s="280"/>
      <c r="W220" s="280"/>
      <c r="X220"/>
      <c r="Y220"/>
      <c r="Z220" s="1055"/>
      <c r="AC220" s="280"/>
      <c r="AD220" s="280"/>
      <c r="AE220" s="280"/>
      <c r="AF220" s="280"/>
      <c r="AG220" s="280"/>
      <c r="AH220" s="280"/>
      <c r="AI220" s="280"/>
      <c r="AJ220" s="280"/>
      <c r="AK220" s="280"/>
      <c r="AL220" s="280"/>
      <c r="AM220" s="280"/>
      <c r="AN220" s="280"/>
      <c r="AO220" s="280"/>
      <c r="AP220" s="280"/>
      <c r="AQ220" s="280"/>
      <c r="AR220" s="311"/>
      <c r="AS220" s="311"/>
      <c r="BJ220" s="1184" t="s">
        <v>4763</v>
      </c>
    </row>
    <row r="221" spans="1:62" x14ac:dyDescent="0.3">
      <c r="A221" s="1200">
        <v>5</v>
      </c>
      <c r="B221" s="1203" t="s">
        <v>502</v>
      </c>
      <c r="C221" s="1203"/>
      <c r="D221" s="1203"/>
      <c r="E221" s="1203"/>
      <c r="F221" s="1203"/>
      <c r="G221" s="1202" t="str">
        <f t="shared" ref="G221" ca="1" si="65">G220</f>
        <v/>
      </c>
      <c r="H221" s="1204" t="s">
        <v>4388</v>
      </c>
      <c r="I221" s="93"/>
      <c r="J221" s="93"/>
      <c r="K221" s="93"/>
      <c r="L221" s="1292"/>
      <c r="M221" s="294"/>
      <c r="N221" s="282"/>
      <c r="O221" s="282"/>
      <c r="P221" s="280"/>
      <c r="Q221" s="280"/>
      <c r="R221" s="280"/>
      <c r="S221" s="280"/>
      <c r="T221" s="280"/>
      <c r="U221" s="280"/>
      <c r="V221" s="280"/>
      <c r="W221" s="280"/>
      <c r="X221"/>
      <c r="Y221"/>
      <c r="Z221" s="1055"/>
      <c r="AC221" s="280"/>
      <c r="AD221" s="280"/>
      <c r="AE221" s="280"/>
      <c r="AF221" s="280"/>
      <c r="AG221" s="280"/>
      <c r="AH221" s="280"/>
      <c r="AI221" s="280"/>
      <c r="AJ221" s="280"/>
      <c r="AK221" s="280"/>
      <c r="AL221" s="280"/>
      <c r="AM221" s="280"/>
      <c r="AN221" s="280"/>
      <c r="AO221" s="280"/>
      <c r="AP221" s="280"/>
      <c r="AQ221" s="280"/>
      <c r="AR221" s="280"/>
      <c r="AS221" s="280"/>
      <c r="BJ221" s="1184" t="s">
        <v>4763</v>
      </c>
    </row>
    <row r="222" spans="1:62" x14ac:dyDescent="0.3">
      <c r="A222" s="1200">
        <v>5</v>
      </c>
      <c r="B222" s="1203" t="s">
        <v>502</v>
      </c>
      <c r="C222" s="1203"/>
      <c r="D222" s="1203"/>
      <c r="E222" s="1203" t="s">
        <v>271</v>
      </c>
      <c r="F222" s="1203"/>
      <c r="G222" s="1202" t="str">
        <f>IF(N222&gt;0,"P","")</f>
        <v/>
      </c>
      <c r="H222" s="1204" t="s">
        <v>4388</v>
      </c>
      <c r="I222" s="93"/>
      <c r="J222" s="94" t="s">
        <v>271</v>
      </c>
      <c r="K222" s="107"/>
      <c r="L222" s="1305" t="s">
        <v>504</v>
      </c>
      <c r="M222" s="1540">
        <v>5</v>
      </c>
      <c r="N222" s="1473">
        <f>'Ch5'!O223</f>
        <v>0</v>
      </c>
      <c r="O222" s="1473">
        <f>M222*S222*W222</f>
        <v>0</v>
      </c>
      <c r="P222" s="280" t="b">
        <v>0</v>
      </c>
      <c r="Q222" s="280" t="b">
        <v>1</v>
      </c>
      <c r="R222" s="280" t="b">
        <v>0</v>
      </c>
      <c r="S222" s="280" t="b">
        <v>1</v>
      </c>
      <c r="T222" s="280" t="b">
        <v>0</v>
      </c>
      <c r="U222" s="280"/>
      <c r="V222" s="280"/>
      <c r="W222" s="25"/>
      <c r="X222" s="1337"/>
      <c r="Y222" s="1527" t="str">
        <f>IF(LEN('Ch5'!X223)=0,"None",'Ch5'!X223)</f>
        <v>None</v>
      </c>
      <c r="Z222" s="1590"/>
      <c r="AA222" s="1110">
        <f>'Photo Review'!H222</f>
        <v>0</v>
      </c>
      <c r="AC222" s="280"/>
      <c r="AD222" s="280"/>
      <c r="AE222" s="280"/>
      <c r="AF222" s="280"/>
      <c r="AG222" s="280"/>
      <c r="AH222" s="280"/>
      <c r="AI222" s="280"/>
      <c r="AJ222" s="280"/>
      <c r="AK222" s="280"/>
      <c r="AL222" s="311" t="str">
        <f>SUBSTITUTE(SUBSTITUTE(SUBSTITUTE("vpa"&amp;$B222&amp;$C222&amp;$D222&amp;$E222&amp;$F222,".","_"),"(","_"),")","")</f>
        <v>vpa505_1_1</v>
      </c>
      <c r="AM222" s="311">
        <f>M222</f>
        <v>5</v>
      </c>
      <c r="AN222" s="311" t="str">
        <f>SUBSTITUTE(SUBSTITUTE(SUBSTITUTE("vpc"&amp;$B222&amp;$C222&amp;$D222&amp;$E222&amp;$F222,".","_"),"(","_"),")","")</f>
        <v>vpc505_1_1</v>
      </c>
      <c r="AO222" s="311">
        <f>O222</f>
        <v>0</v>
      </c>
      <c r="AP222" s="311" t="str">
        <f>SUBSTITUTE(SUBSTITUTE(SUBSTITUTE("vch"&amp;$B222&amp;$C222&amp;$D222&amp;$E222&amp;$F222,".","_"),"(","_"),")","")</f>
        <v>vch505_1_1</v>
      </c>
      <c r="AQ222" s="311">
        <f>W222</f>
        <v>0</v>
      </c>
      <c r="AR222" s="311" t="str">
        <f>SUBSTITUTE(SUBSTITUTE(SUBSTITUTE("vnt"&amp;$B222&amp;$C222&amp;$D222&amp;$E222&amp;$F222,".","_"),"(","_"),")","")</f>
        <v>vnt505_1_1</v>
      </c>
      <c r="AS222" s="311">
        <f>X222</f>
        <v>0</v>
      </c>
      <c r="BJ222" s="1184" t="s">
        <v>4763</v>
      </c>
    </row>
    <row r="223" spans="1:62" x14ac:dyDescent="0.3">
      <c r="A223" s="1200">
        <v>5</v>
      </c>
      <c r="B223" s="1203" t="s">
        <v>502</v>
      </c>
      <c r="C223" s="1203"/>
      <c r="D223" s="1203"/>
      <c r="E223" s="1203" t="s">
        <v>271</v>
      </c>
      <c r="F223" s="1203"/>
      <c r="G223" s="1202" t="str">
        <f>G222</f>
        <v/>
      </c>
      <c r="H223" s="1204" t="s">
        <v>4388</v>
      </c>
      <c r="I223" s="93"/>
      <c r="J223" s="192"/>
      <c r="K223" s="195"/>
      <c r="L223" s="1306"/>
      <c r="M223" s="1543"/>
      <c r="N223" s="1491"/>
      <c r="O223" s="1491"/>
      <c r="P223" s="280"/>
      <c r="Q223" s="280"/>
      <c r="R223" s="280"/>
      <c r="S223" s="280"/>
      <c r="T223" s="280"/>
      <c r="U223" s="280"/>
      <c r="V223" s="280"/>
      <c r="W223" s="280"/>
      <c r="X223" s="1304"/>
      <c r="Y223" s="1525"/>
      <c r="Z223" s="1585"/>
      <c r="AC223" s="280"/>
      <c r="AD223" s="280"/>
      <c r="AE223" s="280"/>
      <c r="AF223" s="280"/>
      <c r="AG223" s="280"/>
      <c r="AH223" s="280"/>
      <c r="AI223" s="280"/>
      <c r="AJ223" s="280"/>
      <c r="AK223" s="280"/>
      <c r="AL223" s="280"/>
      <c r="AM223" s="280"/>
      <c r="AN223" s="280"/>
      <c r="AO223" s="280"/>
      <c r="AP223" s="280"/>
      <c r="AQ223" s="280"/>
      <c r="AR223" s="280"/>
      <c r="AS223" s="280"/>
      <c r="BJ223" s="1184" t="s">
        <v>4763</v>
      </c>
    </row>
    <row r="224" spans="1:62" x14ac:dyDescent="0.3">
      <c r="A224" s="1200">
        <v>5</v>
      </c>
      <c r="B224" s="1203" t="s">
        <v>502</v>
      </c>
      <c r="C224" s="1203"/>
      <c r="D224" s="1203"/>
      <c r="E224" s="1203" t="s">
        <v>273</v>
      </c>
      <c r="F224" s="1203"/>
      <c r="G224" s="1202" t="str">
        <f ca="1">IF(N224&gt;0,"P","")</f>
        <v/>
      </c>
      <c r="H224" s="1204" t="s">
        <v>4388</v>
      </c>
      <c r="I224" s="93"/>
      <c r="J224" s="192" t="s">
        <v>273</v>
      </c>
      <c r="K224" s="195"/>
      <c r="L224" s="193" t="s">
        <v>505</v>
      </c>
      <c r="M224" s="287">
        <v>5</v>
      </c>
      <c r="N224" s="284">
        <f ca="1">'Ch5'!O225</f>
        <v>0</v>
      </c>
      <c r="O224" s="284">
        <f ca="1">M224*S224*W224</f>
        <v>0</v>
      </c>
      <c r="P224" s="440" t="b">
        <v>0</v>
      </c>
      <c r="Q224" s="440" t="b">
        <v>1</v>
      </c>
      <c r="R224" s="280" t="b">
        <v>0</v>
      </c>
      <c r="S224" s="280" t="b">
        <f ca="1">IF($AY$18=INDEX(INDIRECT("ddSingleOrMulti"),2),TRUE,FALSE)</f>
        <v>0</v>
      </c>
      <c r="T224" s="97" t="b">
        <f ca="1">IF(AND(NOT(S224),W224=TRUE),TRUE,FALSE)</f>
        <v>0</v>
      </c>
      <c r="U224" s="280"/>
      <c r="V224" s="280"/>
      <c r="W224" s="25"/>
      <c r="X224" s="323"/>
      <c r="Y224" s="325" t="str">
        <f>IF(LEN('Ch5'!X225)=0,"None",'Ch5'!X225)</f>
        <v>None</v>
      </c>
      <c r="Z224" s="1169"/>
      <c r="AC224" s="280" t="b">
        <f ca="1">OR(AD224:AE224)</f>
        <v>0</v>
      </c>
      <c r="AD224" s="280" t="b">
        <f ca="1">T224</f>
        <v>0</v>
      </c>
      <c r="AE224" s="280"/>
      <c r="AF224" s="280"/>
      <c r="AG224" s="280"/>
      <c r="AH224" s="280"/>
      <c r="AI224" s="280"/>
      <c r="AJ224" s="280"/>
      <c r="AK224" s="280"/>
      <c r="AL224" s="311" t="str">
        <f>SUBSTITUTE(SUBSTITUTE(SUBSTITUTE("vpa"&amp;$B224&amp;$C224&amp;$D224&amp;$E224&amp;$F224,".","_"),"(","_"),")","")</f>
        <v>vpa505_1_2</v>
      </c>
      <c r="AM224" s="311">
        <f>M224</f>
        <v>5</v>
      </c>
      <c r="AN224" s="311" t="str">
        <f t="shared" ref="AN224:AN225" si="66">SUBSTITUTE(SUBSTITUTE(SUBSTITUTE("vpc"&amp;$B224&amp;$C224&amp;$D224&amp;$E224&amp;$F224,".","_"),"(","_"),")","")</f>
        <v>vpc505_1_2</v>
      </c>
      <c r="AO224" s="311">
        <f ca="1">O224</f>
        <v>0</v>
      </c>
      <c r="AP224" s="311" t="str">
        <f t="shared" ref="AP224:AP225" si="67">SUBSTITUTE(SUBSTITUTE(SUBSTITUTE("vch"&amp;$B224&amp;$C224&amp;$D224&amp;$E224&amp;$F224,".","_"),"(","_"),")","")</f>
        <v>vch505_1_2</v>
      </c>
      <c r="AQ224" s="311">
        <f>W224</f>
        <v>0</v>
      </c>
      <c r="AR224" s="311" t="str">
        <f t="shared" ref="AR224:AR225" si="68">SUBSTITUTE(SUBSTITUTE(SUBSTITUTE("vnt"&amp;$B224&amp;$C224&amp;$D224&amp;$E224&amp;$F224,".","_"),"(","_"),")","")</f>
        <v>vnt505_1_2</v>
      </c>
      <c r="AS224" s="311">
        <f>X224</f>
        <v>0</v>
      </c>
      <c r="BJ224" s="1184" t="s">
        <v>4763</v>
      </c>
    </row>
    <row r="225" spans="1:62" x14ac:dyDescent="0.3">
      <c r="A225" s="1200">
        <v>5</v>
      </c>
      <c r="B225" s="1203" t="s">
        <v>502</v>
      </c>
      <c r="C225" s="1203"/>
      <c r="D225" s="1203"/>
      <c r="E225" s="1203" t="s">
        <v>275</v>
      </c>
      <c r="F225" s="1203"/>
      <c r="G225" s="1202" t="str">
        <f ca="1">IF(N225&gt;0,"P","")</f>
        <v/>
      </c>
      <c r="H225" s="1204" t="s">
        <v>4388</v>
      </c>
      <c r="I225" s="93"/>
      <c r="J225" s="90" t="s">
        <v>275</v>
      </c>
      <c r="K225" s="93"/>
      <c r="L225" s="86" t="s">
        <v>506</v>
      </c>
      <c r="M225" s="294"/>
      <c r="N225" s="282">
        <f ca="1">'Ch5'!O226</f>
        <v>0</v>
      </c>
      <c r="O225" s="282">
        <f ca="1">S225*IFERROR(INDEX({4,5,6},MATCH(W225,INDIRECT(U225),0)),0)</f>
        <v>0</v>
      </c>
      <c r="P225" s="280" t="b">
        <v>0</v>
      </c>
      <c r="Q225" s="280" t="b">
        <v>1</v>
      </c>
      <c r="R225" s="280" t="b">
        <v>0</v>
      </c>
      <c r="S225" s="280" t="b">
        <v>1</v>
      </c>
      <c r="T225" s="280" t="b">
        <v>0</v>
      </c>
      <c r="U225" s="280" t="str">
        <f>SUBSTITUTE(SUBSTITUTE(SUBSTITUTE("dd"&amp;B225&amp;C225&amp;D225&amp;E225&amp;F225,".","_"),"(","_"),")","")</f>
        <v>dd505_1_3</v>
      </c>
      <c r="V225" s="280"/>
      <c r="W225" s="12"/>
      <c r="X225" s="1337"/>
      <c r="Y225" s="1527" t="str">
        <f>IF(LEN('Ch5'!X226)=0,"None",'Ch5'!X226)</f>
        <v>None</v>
      </c>
      <c r="Z225" s="1590"/>
      <c r="AC225" s="280"/>
      <c r="AD225" s="280"/>
      <c r="AE225" s="280"/>
      <c r="AF225" s="280"/>
      <c r="AG225" s="280"/>
      <c r="AH225" s="280"/>
      <c r="AI225" s="280"/>
      <c r="AJ225" s="280"/>
      <c r="AK225" s="280"/>
      <c r="AL225" s="280"/>
      <c r="AM225" s="280"/>
      <c r="AN225" s="311" t="str">
        <f t="shared" si="66"/>
        <v>vpc505_1_3</v>
      </c>
      <c r="AO225" s="311">
        <f ca="1">O225</f>
        <v>0</v>
      </c>
      <c r="AP225" s="311" t="str">
        <f t="shared" si="67"/>
        <v>vch505_1_3</v>
      </c>
      <c r="AQ225" s="311">
        <f>W225</f>
        <v>0</v>
      </c>
      <c r="AR225" s="311" t="str">
        <f t="shared" si="68"/>
        <v>vnt505_1_3</v>
      </c>
      <c r="AS225" s="311">
        <f>X225</f>
        <v>0</v>
      </c>
      <c r="BJ225" s="1184" t="s">
        <v>4763</v>
      </c>
    </row>
    <row r="226" spans="1:62" x14ac:dyDescent="0.3">
      <c r="A226" s="1200">
        <v>5</v>
      </c>
      <c r="B226" s="1203" t="s">
        <v>502</v>
      </c>
      <c r="C226" s="1203"/>
      <c r="D226" s="1203"/>
      <c r="E226" s="1203" t="s">
        <v>275</v>
      </c>
      <c r="F226" s="1207" t="s">
        <v>121</v>
      </c>
      <c r="G226" s="1202" t="str">
        <f t="shared" ref="G226:G228" ca="1" si="69">G225</f>
        <v/>
      </c>
      <c r="H226" s="1200" t="s">
        <v>4388</v>
      </c>
      <c r="I226" s="89"/>
      <c r="J226" s="93"/>
      <c r="K226" s="90" t="s">
        <v>121</v>
      </c>
      <c r="L226" s="86" t="s">
        <v>507</v>
      </c>
      <c r="M226" s="294">
        <v>4</v>
      </c>
      <c r="N226" s="282"/>
      <c r="O226" s="282"/>
      <c r="P226" s="280"/>
      <c r="Q226" s="280"/>
      <c r="R226" s="280" t="b">
        <v>0</v>
      </c>
      <c r="S226" s="280" t="b">
        <v>1</v>
      </c>
      <c r="T226" s="280" t="b">
        <v>0</v>
      </c>
      <c r="U226" s="280"/>
      <c r="V226" s="280"/>
      <c r="W226" s="280"/>
      <c r="X226" s="1312"/>
      <c r="Y226" s="1531"/>
      <c r="Z226" s="1588"/>
      <c r="AC226" s="280"/>
      <c r="AD226" s="280"/>
      <c r="AE226" s="280"/>
      <c r="AF226" s="280"/>
      <c r="AG226" s="280"/>
      <c r="AH226" s="280"/>
      <c r="AI226" s="280"/>
      <c r="AJ226" s="280"/>
      <c r="AK226" s="280"/>
      <c r="AL226" s="311" t="str">
        <f t="shared" ref="AL226:AL228" si="70">SUBSTITUTE(SUBSTITUTE(SUBSTITUTE("vpa"&amp;$B226&amp;$C226&amp;$D226&amp;$E226&amp;$F226,".","_"),"(","_"),")","")</f>
        <v>vpa505_1_3_a</v>
      </c>
      <c r="AM226" s="311">
        <f>M226</f>
        <v>4</v>
      </c>
      <c r="AN226" s="280"/>
      <c r="AO226" s="280"/>
      <c r="AP226" s="280"/>
      <c r="AQ226" s="280"/>
      <c r="AR226" s="280"/>
      <c r="AS226" s="280"/>
      <c r="BJ226" s="1184" t="s">
        <v>4763</v>
      </c>
    </row>
    <row r="227" spans="1:62" x14ac:dyDescent="0.3">
      <c r="A227" s="1200">
        <v>5</v>
      </c>
      <c r="B227" s="1203" t="s">
        <v>502</v>
      </c>
      <c r="C227" s="1203"/>
      <c r="D227" s="1203"/>
      <c r="E227" s="1203" t="s">
        <v>275</v>
      </c>
      <c r="F227" s="1207" t="s">
        <v>122</v>
      </c>
      <c r="G227" s="1202" t="str">
        <f t="shared" ca="1" si="69"/>
        <v/>
      </c>
      <c r="H227" s="1200" t="s">
        <v>4388</v>
      </c>
      <c r="I227" s="89"/>
      <c r="J227" s="93"/>
      <c r="K227" s="90" t="s">
        <v>122</v>
      </c>
      <c r="L227" s="86" t="s">
        <v>508</v>
      </c>
      <c r="M227" s="294">
        <v>5</v>
      </c>
      <c r="N227" s="282"/>
      <c r="O227" s="282"/>
      <c r="P227" s="280"/>
      <c r="Q227" s="280"/>
      <c r="R227" s="280" t="b">
        <v>0</v>
      </c>
      <c r="S227" s="280" t="b">
        <v>1</v>
      </c>
      <c r="T227" s="280" t="b">
        <v>0</v>
      </c>
      <c r="U227" s="280"/>
      <c r="V227" s="280"/>
      <c r="W227" s="280"/>
      <c r="X227" s="1312"/>
      <c r="Y227" s="1531"/>
      <c r="Z227" s="1588"/>
      <c r="AC227" s="280"/>
      <c r="AD227" s="280"/>
      <c r="AE227" s="280"/>
      <c r="AF227" s="280"/>
      <c r="AG227" s="280"/>
      <c r="AH227" s="280"/>
      <c r="AI227" s="280"/>
      <c r="AJ227" s="280"/>
      <c r="AK227" s="280"/>
      <c r="AL227" s="311" t="str">
        <f t="shared" si="70"/>
        <v>vpa505_1_3_b</v>
      </c>
      <c r="AM227" s="311">
        <f>M227</f>
        <v>5</v>
      </c>
      <c r="AN227" s="280"/>
      <c r="AO227" s="280"/>
      <c r="AP227" s="280"/>
      <c r="AQ227" s="280"/>
      <c r="AR227" s="280"/>
      <c r="AS227" s="280"/>
      <c r="BJ227" s="1184" t="s">
        <v>4763</v>
      </c>
    </row>
    <row r="228" spans="1:62" x14ac:dyDescent="0.3">
      <c r="A228" s="1200">
        <v>5</v>
      </c>
      <c r="B228" s="1203" t="s">
        <v>502</v>
      </c>
      <c r="C228" s="1203"/>
      <c r="D228" s="1203"/>
      <c r="E228" s="1203" t="s">
        <v>275</v>
      </c>
      <c r="F228" s="1207" t="s">
        <v>123</v>
      </c>
      <c r="G228" s="1202" t="str">
        <f t="shared" ca="1" si="69"/>
        <v/>
      </c>
      <c r="H228" s="1200" t="s">
        <v>4388</v>
      </c>
      <c r="I228" s="89"/>
      <c r="J228" s="195"/>
      <c r="K228" s="197" t="s">
        <v>123</v>
      </c>
      <c r="L228" s="193" t="s">
        <v>413</v>
      </c>
      <c r="M228" s="287">
        <v>6</v>
      </c>
      <c r="N228" s="284"/>
      <c r="O228" s="284"/>
      <c r="P228" s="280"/>
      <c r="Q228" s="280"/>
      <c r="R228" s="280" t="b">
        <v>0</v>
      </c>
      <c r="S228" s="280" t="b">
        <v>1</v>
      </c>
      <c r="T228" s="280" t="b">
        <v>0</v>
      </c>
      <c r="U228" s="280"/>
      <c r="V228" s="280"/>
      <c r="W228" s="280"/>
      <c r="X228" s="1304"/>
      <c r="Y228" s="1525"/>
      <c r="Z228" s="1585"/>
      <c r="AC228" s="280"/>
      <c r="AD228" s="280"/>
      <c r="AE228" s="280"/>
      <c r="AF228" s="280"/>
      <c r="AG228" s="280"/>
      <c r="AH228" s="280"/>
      <c r="AI228" s="280"/>
      <c r="AJ228" s="280"/>
      <c r="AK228" s="280"/>
      <c r="AL228" s="311" t="str">
        <f t="shared" si="70"/>
        <v>vpa505_1_3_c</v>
      </c>
      <c r="AM228" s="311">
        <f>M228</f>
        <v>6</v>
      </c>
      <c r="AN228" s="280"/>
      <c r="AO228" s="280"/>
      <c r="AP228" s="280"/>
      <c r="AQ228" s="280"/>
      <c r="AR228" s="280"/>
      <c r="AS228" s="280"/>
      <c r="BJ228" s="1184" t="s">
        <v>4763</v>
      </c>
    </row>
    <row r="229" spans="1:62" x14ac:dyDescent="0.3">
      <c r="A229" s="1200">
        <v>5</v>
      </c>
      <c r="B229" s="1203" t="s">
        <v>502</v>
      </c>
      <c r="C229" s="1203"/>
      <c r="D229" s="1203"/>
      <c r="E229" s="1203" t="s">
        <v>285</v>
      </c>
      <c r="F229" s="1203"/>
      <c r="G229" s="1202" t="str">
        <f ca="1">IF(N229&gt;0,"P","")</f>
        <v/>
      </c>
      <c r="H229" s="1204" t="s">
        <v>4388</v>
      </c>
      <c r="I229" s="93"/>
      <c r="J229" s="90" t="s">
        <v>285</v>
      </c>
      <c r="K229" s="93"/>
      <c r="L229" s="1329" t="s">
        <v>509</v>
      </c>
      <c r="M229" s="294"/>
      <c r="N229" s="1472">
        <f ca="1">'Ch5'!O230</f>
        <v>0</v>
      </c>
      <c r="O229" s="1463">
        <f ca="1">S229*IFERROR(INDEX({1,2,3},MATCH(W229,INDIRECT(U229),0)),0)</f>
        <v>0</v>
      </c>
      <c r="P229" s="280" t="b">
        <v>0</v>
      </c>
      <c r="Q229" s="280" t="b">
        <v>1</v>
      </c>
      <c r="R229" s="280" t="b">
        <v>0</v>
      </c>
      <c r="S229" s="280" t="b">
        <v>1</v>
      </c>
      <c r="T229" s="280" t="b">
        <v>0</v>
      </c>
      <c r="U229" s="280" t="str">
        <f>SUBSTITUTE(SUBSTITUTE(SUBSTITUTE("dd"&amp;B229&amp;C229&amp;D229&amp;E229&amp;F229,".","_"),"(","_"),")","")</f>
        <v>dd505_1_4</v>
      </c>
      <c r="V229" s="280"/>
      <c r="W229" s="12"/>
      <c r="X229" s="1337"/>
      <c r="Y229" s="1527" t="str">
        <f>IF(LEN('Ch5'!X230)=0,"None",'Ch5'!X230)</f>
        <v>None</v>
      </c>
      <c r="Z229" s="1590"/>
      <c r="AC229" s="280"/>
      <c r="AD229" s="280"/>
      <c r="AE229" s="280"/>
      <c r="AF229" s="280"/>
      <c r="AG229" s="280"/>
      <c r="AH229" s="280"/>
      <c r="AI229" s="280"/>
      <c r="AJ229" s="280"/>
      <c r="AK229" s="280"/>
      <c r="AL229" s="280"/>
      <c r="AM229" s="280"/>
      <c r="AN229" s="311" t="str">
        <f>SUBSTITUTE(SUBSTITUTE(SUBSTITUTE("vpc"&amp;$B229&amp;$C229&amp;$D229&amp;$E229&amp;$F229,".","_"),"(","_"),")","")</f>
        <v>vpc505_1_4</v>
      </c>
      <c r="AO229" s="311">
        <f ca="1">O229</f>
        <v>0</v>
      </c>
      <c r="AP229" s="311" t="str">
        <f>SUBSTITUTE(SUBSTITUTE(SUBSTITUTE("vch"&amp;$B229&amp;$C229&amp;$D229&amp;$E229&amp;$F229,".","_"),"(","_"),")","")</f>
        <v>vch505_1_4</v>
      </c>
      <c r="AQ229" s="311">
        <f>W229</f>
        <v>0</v>
      </c>
      <c r="AR229" s="311" t="str">
        <f>SUBSTITUTE(SUBSTITUTE(SUBSTITUTE("vnt"&amp;$B229&amp;$C229&amp;$D229&amp;$E229&amp;$F229,".","_"),"(","_"),")","")</f>
        <v>vnt505_1_4</v>
      </c>
      <c r="AS229" s="311">
        <f>X229</f>
        <v>0</v>
      </c>
      <c r="BJ229" s="1184" t="s">
        <v>4763</v>
      </c>
    </row>
    <row r="230" spans="1:62" x14ac:dyDescent="0.3">
      <c r="A230" s="1200">
        <v>5</v>
      </c>
      <c r="B230" s="1203" t="s">
        <v>502</v>
      </c>
      <c r="C230" s="1203"/>
      <c r="D230" s="1203"/>
      <c r="E230" s="1203" t="s">
        <v>285</v>
      </c>
      <c r="F230" s="1203"/>
      <c r="G230" s="1202" t="str">
        <f t="shared" ref="G230:G233" ca="1" si="71">G229</f>
        <v/>
      </c>
      <c r="H230" s="1204" t="s">
        <v>4388</v>
      </c>
      <c r="I230" s="93"/>
      <c r="J230" s="93"/>
      <c r="K230" s="93"/>
      <c r="L230" s="1329"/>
      <c r="M230" s="294"/>
      <c r="N230" s="1463"/>
      <c r="O230" s="1463"/>
      <c r="P230" s="280"/>
      <c r="Q230" s="280"/>
      <c r="R230" s="280"/>
      <c r="S230" s="280"/>
      <c r="T230" s="280"/>
      <c r="U230" s="280"/>
      <c r="V230" s="280"/>
      <c r="W230" s="280"/>
      <c r="X230" s="1312"/>
      <c r="Y230" s="1531"/>
      <c r="Z230" s="1588"/>
      <c r="AC230" s="280"/>
      <c r="AD230" s="280"/>
      <c r="AE230" s="280"/>
      <c r="AF230" s="280"/>
      <c r="AG230" s="280"/>
      <c r="AH230" s="280"/>
      <c r="AI230" s="280"/>
      <c r="AJ230" s="280"/>
      <c r="AK230" s="280"/>
      <c r="AL230" s="280"/>
      <c r="AM230" s="280"/>
      <c r="AN230" s="280"/>
      <c r="AO230" s="280"/>
      <c r="AP230" s="280"/>
      <c r="AQ230" s="280"/>
      <c r="AR230" s="280"/>
      <c r="AS230" s="280"/>
      <c r="BJ230" s="1184" t="s">
        <v>4763</v>
      </c>
    </row>
    <row r="231" spans="1:62" x14ac:dyDescent="0.3">
      <c r="A231" s="1200">
        <v>5</v>
      </c>
      <c r="B231" s="1203" t="s">
        <v>502</v>
      </c>
      <c r="C231" s="1203"/>
      <c r="D231" s="1203"/>
      <c r="E231" s="1203" t="s">
        <v>285</v>
      </c>
      <c r="F231" s="1207" t="s">
        <v>121</v>
      </c>
      <c r="G231" s="1202" t="str">
        <f t="shared" ca="1" si="71"/>
        <v/>
      </c>
      <c r="H231" s="1200" t="s">
        <v>4388</v>
      </c>
      <c r="I231" s="89"/>
      <c r="J231" s="93"/>
      <c r="K231" s="90" t="s">
        <v>121</v>
      </c>
      <c r="L231" s="86" t="s">
        <v>510</v>
      </c>
      <c r="M231" s="294">
        <v>1</v>
      </c>
      <c r="N231" s="282"/>
      <c r="O231" s="282"/>
      <c r="P231" s="280"/>
      <c r="Q231" s="280"/>
      <c r="R231" s="280" t="b">
        <v>0</v>
      </c>
      <c r="S231" s="280" t="b">
        <v>1</v>
      </c>
      <c r="T231" s="280" t="b">
        <v>0</v>
      </c>
      <c r="U231" s="280"/>
      <c r="V231" s="280"/>
      <c r="W231" s="280"/>
      <c r="X231" s="1312"/>
      <c r="Y231" s="1531"/>
      <c r="Z231" s="1588"/>
      <c r="AC231" s="280"/>
      <c r="AD231" s="280"/>
      <c r="AE231" s="280"/>
      <c r="AF231" s="280"/>
      <c r="AG231" s="280"/>
      <c r="AH231" s="280"/>
      <c r="AI231" s="280"/>
      <c r="AJ231" s="280"/>
      <c r="AK231" s="280"/>
      <c r="AL231" s="311" t="str">
        <f t="shared" ref="AL231:AL233" si="72">SUBSTITUTE(SUBSTITUTE(SUBSTITUTE("vpa"&amp;$B231&amp;$C231&amp;$D231&amp;$E231&amp;$F231,".","_"),"(","_"),")","")</f>
        <v>vpa505_1_4_a</v>
      </c>
      <c r="AM231" s="311">
        <f>M231</f>
        <v>1</v>
      </c>
      <c r="AN231" s="280"/>
      <c r="AO231" s="280"/>
      <c r="AP231" s="280"/>
      <c r="AQ231" s="280"/>
      <c r="AR231" s="280"/>
      <c r="AS231" s="280"/>
      <c r="BJ231" s="1184" t="s">
        <v>4763</v>
      </c>
    </row>
    <row r="232" spans="1:62" x14ac:dyDescent="0.3">
      <c r="A232" s="1200">
        <v>5</v>
      </c>
      <c r="B232" s="1203" t="s">
        <v>502</v>
      </c>
      <c r="C232" s="1203"/>
      <c r="D232" s="1203"/>
      <c r="E232" s="1203" t="s">
        <v>285</v>
      </c>
      <c r="F232" s="1207" t="s">
        <v>122</v>
      </c>
      <c r="G232" s="1202" t="str">
        <f t="shared" ca="1" si="71"/>
        <v/>
      </c>
      <c r="H232" s="1200" t="s">
        <v>4388</v>
      </c>
      <c r="I232" s="89"/>
      <c r="J232" s="93"/>
      <c r="K232" s="90" t="s">
        <v>122</v>
      </c>
      <c r="L232" s="86" t="s">
        <v>412</v>
      </c>
      <c r="M232" s="294">
        <v>2</v>
      </c>
      <c r="N232" s="282"/>
      <c r="O232" s="282"/>
      <c r="P232" s="280"/>
      <c r="Q232" s="280"/>
      <c r="R232" s="280" t="b">
        <v>0</v>
      </c>
      <c r="S232" s="280" t="b">
        <v>1</v>
      </c>
      <c r="T232" s="280" t="b">
        <v>0</v>
      </c>
      <c r="U232" s="280"/>
      <c r="V232" s="280"/>
      <c r="W232" s="280"/>
      <c r="X232" s="1312"/>
      <c r="Y232" s="1531"/>
      <c r="Z232" s="1588"/>
      <c r="AC232" s="280"/>
      <c r="AD232" s="280"/>
      <c r="AE232" s="280"/>
      <c r="AF232" s="280"/>
      <c r="AG232" s="280"/>
      <c r="AH232" s="280"/>
      <c r="AI232" s="280"/>
      <c r="AJ232" s="280"/>
      <c r="AK232" s="280"/>
      <c r="AL232" s="311" t="str">
        <f t="shared" si="72"/>
        <v>vpa505_1_4_b</v>
      </c>
      <c r="AM232" s="311">
        <f>M232</f>
        <v>2</v>
      </c>
      <c r="AN232" s="280"/>
      <c r="AO232" s="280"/>
      <c r="AP232" s="280"/>
      <c r="AQ232" s="280"/>
      <c r="AR232" s="280"/>
      <c r="AS232" s="280"/>
      <c r="BJ232" s="1184" t="s">
        <v>4763</v>
      </c>
    </row>
    <row r="233" spans="1:62" ht="15" thickBot="1" x14ac:dyDescent="0.35">
      <c r="A233" s="1200">
        <v>5</v>
      </c>
      <c r="B233" s="1203" t="s">
        <v>502</v>
      </c>
      <c r="C233" s="1203"/>
      <c r="D233" s="1203"/>
      <c r="E233" s="1203" t="s">
        <v>285</v>
      </c>
      <c r="F233" s="1207" t="s">
        <v>123</v>
      </c>
      <c r="G233" s="1202" t="str">
        <f t="shared" ca="1" si="71"/>
        <v/>
      </c>
      <c r="H233" s="1200" t="s">
        <v>4388</v>
      </c>
      <c r="I233" s="120"/>
      <c r="J233" s="108"/>
      <c r="K233" s="116" t="s">
        <v>123</v>
      </c>
      <c r="L233" s="100" t="s">
        <v>413</v>
      </c>
      <c r="M233" s="295">
        <v>3</v>
      </c>
      <c r="N233" s="288"/>
      <c r="O233" s="288"/>
      <c r="P233" s="104"/>
      <c r="Q233" s="104"/>
      <c r="R233" s="104" t="b">
        <v>0</v>
      </c>
      <c r="S233" s="104" t="b">
        <v>1</v>
      </c>
      <c r="T233" s="104" t="b">
        <v>0</v>
      </c>
      <c r="U233" s="104"/>
      <c r="V233" s="104"/>
      <c r="W233" s="104"/>
      <c r="X233" s="1338"/>
      <c r="Y233" s="1532"/>
      <c r="Z233" s="1589"/>
      <c r="AC233" s="280"/>
      <c r="AD233" s="280"/>
      <c r="AE233" s="280"/>
      <c r="AF233" s="280"/>
      <c r="AG233" s="280"/>
      <c r="AH233" s="280"/>
      <c r="AI233" s="280"/>
      <c r="AJ233" s="280"/>
      <c r="AK233" s="280"/>
      <c r="AL233" s="311" t="str">
        <f t="shared" si="72"/>
        <v>vpa505_1_4_c</v>
      </c>
      <c r="AM233" s="311">
        <f>M233</f>
        <v>3</v>
      </c>
      <c r="AN233" s="280"/>
      <c r="AO233" s="280"/>
      <c r="AP233" s="280"/>
      <c r="AQ233" s="280"/>
      <c r="AR233" s="280"/>
      <c r="AS233" s="280"/>
      <c r="BJ233" s="1184" t="s">
        <v>4763</v>
      </c>
    </row>
    <row r="234" spans="1:62" ht="15" thickTop="1" x14ac:dyDescent="0.3">
      <c r="A234" s="1200">
        <v>5</v>
      </c>
      <c r="B234" s="1203" t="s">
        <v>511</v>
      </c>
      <c r="C234" s="1203"/>
      <c r="D234" s="1203"/>
      <c r="E234" s="1203"/>
      <c r="F234" s="1203"/>
      <c r="G234" s="1196" t="str">
        <f>IF(COUNTIF(G235:G245,"P")&gt;0,"P","")</f>
        <v>P</v>
      </c>
      <c r="H234" s="1204" t="s">
        <v>4388</v>
      </c>
      <c r="I234" s="90" t="s">
        <v>512</v>
      </c>
      <c r="J234" s="93"/>
      <c r="K234" s="93"/>
      <c r="L234" s="88" t="s">
        <v>513</v>
      </c>
      <c r="M234" s="294"/>
      <c r="N234" s="282"/>
      <c r="O234" s="282"/>
      <c r="P234" s="280"/>
      <c r="Q234" s="280"/>
      <c r="R234" s="280"/>
      <c r="S234" s="280"/>
      <c r="T234" s="280"/>
      <c r="U234" s="280"/>
      <c r="V234" s="280"/>
      <c r="W234" s="280"/>
      <c r="X234" s="322"/>
      <c r="Y234"/>
      <c r="Z234" s="1055"/>
      <c r="AC234" s="280"/>
      <c r="AD234" s="280"/>
      <c r="AE234" s="280"/>
      <c r="AF234" s="280"/>
      <c r="AG234" s="280"/>
      <c r="AH234" s="280"/>
      <c r="AI234" s="280"/>
      <c r="AJ234" s="280"/>
      <c r="AK234" s="280"/>
      <c r="AL234" s="280"/>
      <c r="AM234" s="280"/>
      <c r="AN234" s="280"/>
      <c r="AO234" s="280"/>
      <c r="AP234" s="280"/>
      <c r="AQ234" s="280"/>
      <c r="AR234" s="311"/>
      <c r="AS234" s="311"/>
      <c r="BJ234" s="1184" t="s">
        <v>4763</v>
      </c>
    </row>
    <row r="235" spans="1:62" x14ac:dyDescent="0.3">
      <c r="A235" s="1200">
        <v>5</v>
      </c>
      <c r="B235" s="1203" t="s">
        <v>511</v>
      </c>
      <c r="C235" s="1203"/>
      <c r="D235" s="1203"/>
      <c r="E235" s="1203" t="s">
        <v>271</v>
      </c>
      <c r="F235" s="1203"/>
      <c r="G235" s="1202" t="str">
        <f>IF(N235&gt;0,"P","")</f>
        <v>P</v>
      </c>
      <c r="H235" s="1204" t="s">
        <v>4388</v>
      </c>
      <c r="I235" s="93"/>
      <c r="J235" s="90" t="s">
        <v>271</v>
      </c>
      <c r="K235" s="93"/>
      <c r="L235" s="1329" t="s">
        <v>514</v>
      </c>
      <c r="M235" s="1542">
        <v>5</v>
      </c>
      <c r="N235" s="1463">
        <f>'Ch5'!O236</f>
        <v>5</v>
      </c>
      <c r="O235" s="1463">
        <f>M235*MIN(1,W237+W240+W244)</f>
        <v>0</v>
      </c>
      <c r="P235" s="280"/>
      <c r="Q235" s="280"/>
      <c r="R235" s="280" t="b">
        <v>0</v>
      </c>
      <c r="S235" s="280" t="b">
        <v>1</v>
      </c>
      <c r="T235" s="280" t="b">
        <v>0</v>
      </c>
      <c r="U235" s="280"/>
      <c r="V235" s="280"/>
      <c r="W235" s="280"/>
      <c r="X235" s="1337"/>
      <c r="Y235" s="1527" t="str">
        <f>IF(LEN('Ch5'!X236)=0,"None",'Ch5'!X236)</f>
        <v>None</v>
      </c>
      <c r="Z235" s="1590"/>
      <c r="AC235" s="280"/>
      <c r="AD235" s="280"/>
      <c r="AE235" s="280"/>
      <c r="AF235" s="280"/>
      <c r="AG235" s="280"/>
      <c r="AH235" s="280"/>
      <c r="AI235" s="280"/>
      <c r="AJ235" s="280"/>
      <c r="AK235" s="280"/>
      <c r="AL235" s="311" t="str">
        <f>SUBSTITUTE(SUBSTITUTE(SUBSTITUTE("vpa"&amp;$B235&amp;$C235&amp;$D235&amp;$E235&amp;$F235,".","_"),"(","_"),")","")</f>
        <v>vpa505_2_1</v>
      </c>
      <c r="AM235" s="311">
        <f>M235</f>
        <v>5</v>
      </c>
      <c r="AN235" s="311" t="str">
        <f>SUBSTITUTE(SUBSTITUTE(SUBSTITUTE("vpc"&amp;$B235&amp;$C235&amp;$D235&amp;$E235&amp;$F235,".","_"),"(","_"),")","")</f>
        <v>vpc505_2_1</v>
      </c>
      <c r="AO235" s="311">
        <f>O235</f>
        <v>0</v>
      </c>
      <c r="AP235" s="280"/>
      <c r="AQ235" s="280"/>
      <c r="AR235" s="311" t="str">
        <f>SUBSTITUTE(SUBSTITUTE(SUBSTITUTE("vnt"&amp;$B235&amp;$C235&amp;$D235&amp;$E235&amp;$F235,".","_"),"(","_"),")","")</f>
        <v>vnt505_2_1</v>
      </c>
      <c r="AS235" s="311">
        <f>X235</f>
        <v>0</v>
      </c>
      <c r="BJ235" s="1184" t="s">
        <v>4763</v>
      </c>
    </row>
    <row r="236" spans="1:62" x14ac:dyDescent="0.3">
      <c r="A236" s="1200">
        <v>5</v>
      </c>
      <c r="B236" s="1203" t="s">
        <v>511</v>
      </c>
      <c r="C236" s="1203"/>
      <c r="D236" s="1203"/>
      <c r="E236" s="1203" t="s">
        <v>271</v>
      </c>
      <c r="F236" s="1203"/>
      <c r="G236" s="1202" t="str">
        <f t="shared" ref="G236:G244" si="73">G235</f>
        <v>P</v>
      </c>
      <c r="H236" s="1204" t="s">
        <v>4388</v>
      </c>
      <c r="I236" s="93"/>
      <c r="J236" s="93"/>
      <c r="K236" s="93"/>
      <c r="L236" s="1329"/>
      <c r="M236" s="1542"/>
      <c r="N236" s="1463"/>
      <c r="O236" s="1463"/>
      <c r="P236" s="280"/>
      <c r="Q236" s="280"/>
      <c r="R236" s="280"/>
      <c r="S236" s="280"/>
      <c r="T236" s="280"/>
      <c r="U236" s="280"/>
      <c r="V236" s="280"/>
      <c r="W236" s="280"/>
      <c r="X236" s="1312"/>
      <c r="Y236" s="1531"/>
      <c r="Z236" s="1588"/>
      <c r="AC236" s="280"/>
      <c r="AD236" s="280"/>
      <c r="AE236" s="280"/>
      <c r="AF236" s="280"/>
      <c r="AG236" s="280"/>
      <c r="AH236" s="280"/>
      <c r="AI236" s="280"/>
      <c r="AJ236" s="280"/>
      <c r="AK236" s="280"/>
      <c r="AL236" s="280"/>
      <c r="AM236" s="280"/>
      <c r="AN236" s="280"/>
      <c r="AO236" s="280"/>
      <c r="AP236" s="280"/>
      <c r="AQ236" s="280"/>
      <c r="AR236" s="280"/>
      <c r="AS236" s="280"/>
      <c r="BJ236" s="1184" t="s">
        <v>4763</v>
      </c>
    </row>
    <row r="237" spans="1:62" x14ac:dyDescent="0.3">
      <c r="A237" s="1200">
        <v>5</v>
      </c>
      <c r="B237" s="1203" t="s">
        <v>511</v>
      </c>
      <c r="C237" s="1203"/>
      <c r="D237" s="1203"/>
      <c r="E237" s="1203" t="s">
        <v>271</v>
      </c>
      <c r="F237" s="1207" t="s">
        <v>121</v>
      </c>
      <c r="G237" s="1202" t="str">
        <f t="shared" si="73"/>
        <v>P</v>
      </c>
      <c r="H237" s="1200" t="s">
        <v>4388</v>
      </c>
      <c r="I237" s="89"/>
      <c r="J237" s="93"/>
      <c r="K237" s="90" t="s">
        <v>121</v>
      </c>
      <c r="L237" s="1329" t="s">
        <v>515</v>
      </c>
      <c r="M237" s="294"/>
      <c r="N237" s="282"/>
      <c r="O237" s="282"/>
      <c r="P237" s="280" t="b">
        <v>0</v>
      </c>
      <c r="Q237" s="280" t="b">
        <v>1</v>
      </c>
      <c r="R237" s="280" t="b">
        <v>0</v>
      </c>
      <c r="S237" s="280" t="b">
        <v>1</v>
      </c>
      <c r="T237" s="280" t="b">
        <v>0</v>
      </c>
      <c r="U237" s="280"/>
      <c r="V237" s="280"/>
      <c r="W237" s="25"/>
      <c r="X237" s="1312"/>
      <c r="Y237" s="1531"/>
      <c r="Z237" s="1588"/>
      <c r="AA237" s="1110">
        <f>'Photo Review'!H237</f>
        <v>0</v>
      </c>
      <c r="AC237" s="280"/>
      <c r="AD237" s="280"/>
      <c r="AE237" s="280"/>
      <c r="AF237" s="280"/>
      <c r="AG237" s="280"/>
      <c r="AH237" s="280"/>
      <c r="AI237" s="280"/>
      <c r="AJ237" s="280"/>
      <c r="AK237" s="280"/>
      <c r="AL237" s="280"/>
      <c r="AM237" s="280"/>
      <c r="AN237" s="280"/>
      <c r="AO237" s="280"/>
      <c r="AP237" s="311" t="str">
        <f>SUBSTITUTE(SUBSTITUTE(SUBSTITUTE("vch"&amp;$B237&amp;$C237&amp;$D237&amp;$E237&amp;$F237,".","_"),"(","_"),")","")</f>
        <v>vch505_2_1_a</v>
      </c>
      <c r="AQ237" s="311">
        <f>W237</f>
        <v>0</v>
      </c>
      <c r="AR237" s="280"/>
      <c r="AS237" s="280"/>
      <c r="BJ237" s="1184" t="s">
        <v>4763</v>
      </c>
    </row>
    <row r="238" spans="1:62" x14ac:dyDescent="0.3">
      <c r="A238" s="1200">
        <v>5</v>
      </c>
      <c r="B238" s="1203" t="s">
        <v>511</v>
      </c>
      <c r="C238" s="1203"/>
      <c r="D238" s="1203"/>
      <c r="E238" s="1203" t="s">
        <v>271</v>
      </c>
      <c r="F238" s="1207" t="s">
        <v>121</v>
      </c>
      <c r="G238" s="1202" t="str">
        <f t="shared" si="73"/>
        <v>P</v>
      </c>
      <c r="H238" s="1200" t="s">
        <v>4388</v>
      </c>
      <c r="I238" s="89"/>
      <c r="J238" s="93"/>
      <c r="K238" s="93"/>
      <c r="L238" s="1329"/>
      <c r="M238" s="294"/>
      <c r="N238" s="282"/>
      <c r="O238" s="282"/>
      <c r="P238" s="280"/>
      <c r="Q238" s="280"/>
      <c r="R238" s="280"/>
      <c r="S238" s="280"/>
      <c r="T238" s="280"/>
      <c r="U238" s="280"/>
      <c r="V238" s="280"/>
      <c r="W238" s="280"/>
      <c r="X238" s="1312"/>
      <c r="Y238" s="1531"/>
      <c r="Z238" s="1588"/>
      <c r="AC238" s="280"/>
      <c r="AD238" s="280"/>
      <c r="AE238" s="280"/>
      <c r="AF238" s="280"/>
      <c r="AG238" s="280"/>
      <c r="AH238" s="280"/>
      <c r="AI238" s="280"/>
      <c r="AJ238" s="280"/>
      <c r="AK238" s="280"/>
      <c r="AL238" s="280"/>
      <c r="AM238" s="280"/>
      <c r="AN238" s="280"/>
      <c r="AO238" s="280"/>
      <c r="AP238" s="280"/>
      <c r="AQ238" s="280"/>
      <c r="AR238" s="280"/>
      <c r="AS238" s="280"/>
      <c r="BJ238" s="1184" t="s">
        <v>4763</v>
      </c>
    </row>
    <row r="239" spans="1:62" x14ac:dyDescent="0.3">
      <c r="A239" s="1200">
        <v>5</v>
      </c>
      <c r="B239" s="1203" t="s">
        <v>511</v>
      </c>
      <c r="C239" s="1203"/>
      <c r="D239" s="1203"/>
      <c r="E239" s="1203" t="s">
        <v>271</v>
      </c>
      <c r="F239" s="1207" t="s">
        <v>121</v>
      </c>
      <c r="G239" s="1202" t="str">
        <f t="shared" si="73"/>
        <v>P</v>
      </c>
      <c r="H239" s="1200" t="s">
        <v>4388</v>
      </c>
      <c r="I239" s="89"/>
      <c r="J239" s="93"/>
      <c r="K239" s="93"/>
      <c r="L239" s="1329"/>
      <c r="M239" s="294"/>
      <c r="N239" s="282"/>
      <c r="O239" s="282"/>
      <c r="P239" s="280"/>
      <c r="Q239" s="280"/>
      <c r="R239" s="280"/>
      <c r="S239" s="280"/>
      <c r="T239" s="280"/>
      <c r="U239" s="280"/>
      <c r="V239" s="280"/>
      <c r="W239" s="280"/>
      <c r="X239" s="1312"/>
      <c r="Y239" s="1531"/>
      <c r="Z239" s="1588"/>
      <c r="AC239" s="280"/>
      <c r="AD239" s="280"/>
      <c r="AE239" s="280"/>
      <c r="AF239" s="280"/>
      <c r="AG239" s="280"/>
      <c r="AH239" s="280"/>
      <c r="AI239" s="280"/>
      <c r="AJ239" s="280"/>
      <c r="AK239" s="280"/>
      <c r="AL239" s="280"/>
      <c r="AM239" s="280"/>
      <c r="AN239" s="280"/>
      <c r="AO239" s="280"/>
      <c r="AP239" s="280"/>
      <c r="AQ239" s="280"/>
      <c r="AR239" s="280"/>
      <c r="AS239" s="280"/>
      <c r="BJ239" s="1184" t="s">
        <v>4763</v>
      </c>
    </row>
    <row r="240" spans="1:62" x14ac:dyDescent="0.3">
      <c r="A240" s="1200">
        <v>5</v>
      </c>
      <c r="B240" s="1203" t="s">
        <v>511</v>
      </c>
      <c r="C240" s="1203"/>
      <c r="D240" s="1203"/>
      <c r="E240" s="1203" t="s">
        <v>271</v>
      </c>
      <c r="F240" s="1207" t="s">
        <v>122</v>
      </c>
      <c r="G240" s="1202" t="str">
        <f t="shared" si="73"/>
        <v>P</v>
      </c>
      <c r="H240" s="1200" t="s">
        <v>4388</v>
      </c>
      <c r="I240" s="89"/>
      <c r="J240" s="93"/>
      <c r="K240" s="90" t="s">
        <v>122</v>
      </c>
      <c r="L240" s="1329" t="s">
        <v>516</v>
      </c>
      <c r="M240" s="294"/>
      <c r="N240" s="282"/>
      <c r="O240" s="282"/>
      <c r="P240" s="280" t="b">
        <v>0</v>
      </c>
      <c r="Q240" s="280" t="b">
        <v>1</v>
      </c>
      <c r="R240" s="280" t="b">
        <v>0</v>
      </c>
      <c r="S240" s="280" t="b">
        <v>1</v>
      </c>
      <c r="T240" s="280" t="b">
        <v>0</v>
      </c>
      <c r="U240" s="280"/>
      <c r="V240" s="280"/>
      <c r="W240" s="25"/>
      <c r="X240" s="1312"/>
      <c r="Y240" s="1531"/>
      <c r="Z240" s="1588"/>
      <c r="AA240" s="1110">
        <f>'Photo Review'!H240</f>
        <v>0</v>
      </c>
      <c r="AC240" s="280"/>
      <c r="AD240" s="280"/>
      <c r="AE240" s="280"/>
      <c r="AF240" s="280"/>
      <c r="AG240" s="280"/>
      <c r="AH240" s="280"/>
      <c r="AI240" s="280"/>
      <c r="AJ240" s="280"/>
      <c r="AK240" s="280"/>
      <c r="AL240" s="280"/>
      <c r="AM240" s="280"/>
      <c r="AN240" s="280"/>
      <c r="AO240" s="280"/>
      <c r="AP240" s="311" t="str">
        <f>SUBSTITUTE(SUBSTITUTE(SUBSTITUTE("vch"&amp;$B240&amp;$C240&amp;$D240&amp;$E240&amp;$F240,".","_"),"(","_"),")","")</f>
        <v>vch505_2_1_b</v>
      </c>
      <c r="AQ240" s="311">
        <f>W240</f>
        <v>0</v>
      </c>
      <c r="AR240" s="280"/>
      <c r="AS240" s="280"/>
      <c r="BJ240" s="1184" t="s">
        <v>4763</v>
      </c>
    </row>
    <row r="241" spans="1:62" x14ac:dyDescent="0.3">
      <c r="A241" s="1200">
        <v>5</v>
      </c>
      <c r="B241" s="1203" t="s">
        <v>511</v>
      </c>
      <c r="C241" s="1203"/>
      <c r="D241" s="1203"/>
      <c r="E241" s="1203" t="s">
        <v>271</v>
      </c>
      <c r="F241" s="1207" t="s">
        <v>122</v>
      </c>
      <c r="G241" s="1202" t="str">
        <f t="shared" si="73"/>
        <v>P</v>
      </c>
      <c r="H241" s="1200" t="s">
        <v>4388</v>
      </c>
      <c r="I241" s="89"/>
      <c r="J241" s="93"/>
      <c r="K241" s="93"/>
      <c r="L241" s="1329"/>
      <c r="M241" s="294"/>
      <c r="N241" s="282"/>
      <c r="O241" s="282"/>
      <c r="P241" s="280"/>
      <c r="Q241" s="280"/>
      <c r="R241" s="280"/>
      <c r="S241" s="280"/>
      <c r="T241" s="280"/>
      <c r="U241" s="280"/>
      <c r="V241" s="280"/>
      <c r="W241" s="280"/>
      <c r="X241" s="1312"/>
      <c r="Y241" s="1531"/>
      <c r="Z241" s="1588"/>
      <c r="AC241" s="280"/>
      <c r="AD241" s="280"/>
      <c r="AE241" s="280"/>
      <c r="AF241" s="280"/>
      <c r="AG241" s="280"/>
      <c r="AH241" s="280"/>
      <c r="AI241" s="280"/>
      <c r="AJ241" s="280"/>
      <c r="AK241" s="280"/>
      <c r="AL241" s="280"/>
      <c r="AM241" s="280"/>
      <c r="AN241" s="280"/>
      <c r="AO241" s="280"/>
      <c r="AP241" s="280"/>
      <c r="AQ241" s="280"/>
      <c r="AR241" s="280"/>
      <c r="AS241" s="280"/>
      <c r="BJ241" s="1184" t="s">
        <v>4763</v>
      </c>
    </row>
    <row r="242" spans="1:62" x14ac:dyDescent="0.3">
      <c r="A242" s="1200">
        <v>5</v>
      </c>
      <c r="B242" s="1203" t="s">
        <v>511</v>
      </c>
      <c r="C242" s="1203"/>
      <c r="D242" s="1203"/>
      <c r="E242" s="1203" t="s">
        <v>271</v>
      </c>
      <c r="F242" s="1207" t="s">
        <v>122</v>
      </c>
      <c r="G242" s="1202" t="str">
        <f t="shared" si="73"/>
        <v>P</v>
      </c>
      <c r="H242" s="1200" t="s">
        <v>4388</v>
      </c>
      <c r="I242" s="89"/>
      <c r="J242" s="93"/>
      <c r="K242" s="93"/>
      <c r="L242" s="1329"/>
      <c r="M242" s="294"/>
      <c r="N242" s="282"/>
      <c r="O242" s="282"/>
      <c r="P242" s="280"/>
      <c r="Q242" s="280"/>
      <c r="R242" s="280"/>
      <c r="S242" s="280"/>
      <c r="T242" s="280"/>
      <c r="U242" s="280"/>
      <c r="V242" s="280"/>
      <c r="W242" s="280"/>
      <c r="X242" s="1312"/>
      <c r="Y242" s="1531"/>
      <c r="Z242" s="1588"/>
      <c r="AC242" s="280"/>
      <c r="AD242" s="280"/>
      <c r="AE242" s="280"/>
      <c r="AF242" s="280"/>
      <c r="AG242" s="280"/>
      <c r="AH242" s="280"/>
      <c r="AI242" s="280"/>
      <c r="AJ242" s="280"/>
      <c r="AK242" s="280"/>
      <c r="AL242" s="280"/>
      <c r="AM242" s="280"/>
      <c r="AN242" s="280"/>
      <c r="AO242" s="280"/>
      <c r="AP242" s="280"/>
      <c r="AQ242" s="280"/>
      <c r="AR242" s="280"/>
      <c r="AS242" s="280"/>
      <c r="BJ242" s="1184" t="s">
        <v>4763</v>
      </c>
    </row>
    <row r="243" spans="1:62" x14ac:dyDescent="0.3">
      <c r="A243" s="1200">
        <v>5</v>
      </c>
      <c r="B243" s="1203" t="s">
        <v>511</v>
      </c>
      <c r="C243" s="1203"/>
      <c r="D243" s="1203"/>
      <c r="E243" s="1203" t="s">
        <v>271</v>
      </c>
      <c r="F243" s="1207" t="s">
        <v>122</v>
      </c>
      <c r="G243" s="1202" t="str">
        <f t="shared" si="73"/>
        <v>P</v>
      </c>
      <c r="H243" s="1200" t="s">
        <v>4388</v>
      </c>
      <c r="I243" s="89"/>
      <c r="J243" s="93"/>
      <c r="K243" s="93"/>
      <c r="L243" s="1329"/>
      <c r="M243" s="294"/>
      <c r="N243" s="282"/>
      <c r="O243" s="282"/>
      <c r="P243" s="280"/>
      <c r="Q243" s="280"/>
      <c r="R243" s="280"/>
      <c r="S243" s="280"/>
      <c r="T243" s="280"/>
      <c r="U243" s="280"/>
      <c r="V243" s="280"/>
      <c r="W243" s="280"/>
      <c r="X243" s="1312"/>
      <c r="Y243" s="1531"/>
      <c r="Z243" s="1588"/>
      <c r="AC243" s="280"/>
      <c r="AD243" s="280"/>
      <c r="AE243" s="280"/>
      <c r="AF243" s="280"/>
      <c r="AG243" s="280"/>
      <c r="AH243" s="280"/>
      <c r="AI243" s="280"/>
      <c r="AJ243" s="280"/>
      <c r="AK243" s="280"/>
      <c r="AL243" s="280"/>
      <c r="AM243" s="280"/>
      <c r="AN243" s="280"/>
      <c r="AO243" s="280"/>
      <c r="AP243" s="280"/>
      <c r="AQ243" s="280"/>
      <c r="AR243" s="280"/>
      <c r="AS243" s="280"/>
      <c r="BJ243" s="1184" t="s">
        <v>4763</v>
      </c>
    </row>
    <row r="244" spans="1:62" x14ac:dyDescent="0.3">
      <c r="A244" s="1200">
        <v>5</v>
      </c>
      <c r="B244" s="1203" t="s">
        <v>511</v>
      </c>
      <c r="C244" s="1203"/>
      <c r="D244" s="1203"/>
      <c r="E244" s="1203" t="s">
        <v>271</v>
      </c>
      <c r="F244" s="1207" t="s">
        <v>123</v>
      </c>
      <c r="G244" s="1202" t="str">
        <f t="shared" si="73"/>
        <v>P</v>
      </c>
      <c r="H244" s="1200" t="s">
        <v>4388</v>
      </c>
      <c r="I244" s="89"/>
      <c r="J244" s="195"/>
      <c r="K244" s="197" t="s">
        <v>123</v>
      </c>
      <c r="L244" s="193" t="s">
        <v>517</v>
      </c>
      <c r="M244" s="287"/>
      <c r="N244" s="284"/>
      <c r="O244" s="284"/>
      <c r="P244" s="280" t="b">
        <v>0</v>
      </c>
      <c r="Q244" s="280" t="b">
        <v>1</v>
      </c>
      <c r="R244" s="280" t="b">
        <v>0</v>
      </c>
      <c r="S244" s="280" t="b">
        <v>1</v>
      </c>
      <c r="T244" s="280" t="b">
        <v>0</v>
      </c>
      <c r="U244" s="280"/>
      <c r="V244" s="280"/>
      <c r="W244" s="25"/>
      <c r="X244" s="1304"/>
      <c r="Y244" s="1525"/>
      <c r="Z244" s="1585"/>
      <c r="AC244" s="280"/>
      <c r="AD244" s="280"/>
      <c r="AE244" s="280"/>
      <c r="AF244" s="280"/>
      <c r="AG244" s="280"/>
      <c r="AH244" s="280"/>
      <c r="AI244" s="280"/>
      <c r="AJ244" s="280"/>
      <c r="AK244" s="280"/>
      <c r="AL244" s="280"/>
      <c r="AM244" s="280"/>
      <c r="AN244" s="280"/>
      <c r="AO244" s="280"/>
      <c r="AP244" s="311" t="str">
        <f t="shared" ref="AP244:AP245" si="74">SUBSTITUTE(SUBSTITUTE(SUBSTITUTE("vch"&amp;$B244&amp;$C244&amp;$D244&amp;$E244&amp;$F244,".","_"),"(","_"),")","")</f>
        <v>vch505_2_1_c</v>
      </c>
      <c r="AQ244" s="311">
        <f>W244</f>
        <v>0</v>
      </c>
      <c r="AR244" s="280"/>
      <c r="AS244" s="280"/>
      <c r="BJ244" s="1184" t="s">
        <v>4763</v>
      </c>
    </row>
    <row r="245" spans="1:62" x14ac:dyDescent="0.3">
      <c r="A245" s="1200">
        <v>5</v>
      </c>
      <c r="B245" s="1203" t="s">
        <v>511</v>
      </c>
      <c r="C245" s="1203"/>
      <c r="D245" s="1203"/>
      <c r="E245" s="1203" t="s">
        <v>273</v>
      </c>
      <c r="F245" s="1203"/>
      <c r="G245" s="1202" t="str">
        <f>IF(N245&gt;0,"P","")</f>
        <v/>
      </c>
      <c r="H245" s="1204" t="s">
        <v>4388</v>
      </c>
      <c r="I245" s="107"/>
      <c r="J245" s="94" t="s">
        <v>273</v>
      </c>
      <c r="K245" s="107"/>
      <c r="L245" s="1305" t="s">
        <v>518</v>
      </c>
      <c r="M245" s="1540">
        <v>5</v>
      </c>
      <c r="N245" s="1472">
        <f>'Ch5'!O246</f>
        <v>0</v>
      </c>
      <c r="O245" s="1473">
        <f>M245*W245</f>
        <v>0</v>
      </c>
      <c r="P245" s="280" t="b">
        <v>0</v>
      </c>
      <c r="Q245" s="280" t="b">
        <v>1</v>
      </c>
      <c r="R245" s="97" t="b">
        <v>0</v>
      </c>
      <c r="S245" s="97" t="b">
        <v>1</v>
      </c>
      <c r="T245" s="97" t="b">
        <v>0</v>
      </c>
      <c r="U245" s="97"/>
      <c r="V245" s="97"/>
      <c r="W245" s="25"/>
      <c r="X245" s="1337"/>
      <c r="Y245" s="1527" t="str">
        <f>IF(LEN('Ch5'!X246)=0,"None",'Ch5'!X246)</f>
        <v>None</v>
      </c>
      <c r="Z245" s="1590"/>
      <c r="AA245" s="1110">
        <f>'Photo Review'!H245</f>
        <v>0</v>
      </c>
      <c r="AC245" s="280"/>
      <c r="AD245" s="280"/>
      <c r="AE245" s="280"/>
      <c r="AF245" s="280"/>
      <c r="AG245" s="280"/>
      <c r="AH245" s="280"/>
      <c r="AI245" s="280"/>
      <c r="AJ245" s="280"/>
      <c r="AK245" s="280"/>
      <c r="AL245" s="311" t="str">
        <f>SUBSTITUTE(SUBSTITUTE(SUBSTITUTE("vpa"&amp;$B245&amp;$C245&amp;$D245&amp;$E245&amp;$F245,".","_"),"(","_"),")","")</f>
        <v>vpa505_2_2</v>
      </c>
      <c r="AM245" s="311">
        <f>M245</f>
        <v>5</v>
      </c>
      <c r="AN245" s="311" t="str">
        <f>SUBSTITUTE(SUBSTITUTE(SUBSTITUTE("vpc"&amp;$B245&amp;$C245&amp;$D245&amp;$E245&amp;$F245,".","_"),"(","_"),")","")</f>
        <v>vpc505_2_2</v>
      </c>
      <c r="AO245" s="311">
        <f>O245</f>
        <v>0</v>
      </c>
      <c r="AP245" s="311" t="str">
        <f t="shared" si="74"/>
        <v>vch505_2_2</v>
      </c>
      <c r="AQ245" s="311">
        <f>W245</f>
        <v>0</v>
      </c>
      <c r="AR245" s="311" t="str">
        <f>SUBSTITUTE(SUBSTITUTE(SUBSTITUTE("vnt"&amp;$B245&amp;$C245&amp;$D245&amp;$E245&amp;$F245,".","_"),"(","_"),")","")</f>
        <v>vnt505_2_2</v>
      </c>
      <c r="AS245" s="311">
        <f>X245</f>
        <v>0</v>
      </c>
      <c r="BJ245" s="1184" t="s">
        <v>4763</v>
      </c>
    </row>
    <row r="246" spans="1:62" x14ac:dyDescent="0.3">
      <c r="A246" s="1200">
        <v>5</v>
      </c>
      <c r="B246" s="1203" t="s">
        <v>511</v>
      </c>
      <c r="C246" s="1203"/>
      <c r="D246" s="1203"/>
      <c r="E246" s="1203" t="s">
        <v>273</v>
      </c>
      <c r="F246" s="1203"/>
      <c r="G246" s="1202" t="str">
        <f t="shared" ref="G246:G247" si="75">G245</f>
        <v/>
      </c>
      <c r="H246" s="1204" t="s">
        <v>4388</v>
      </c>
      <c r="I246" s="107"/>
      <c r="J246" s="107"/>
      <c r="K246" s="107"/>
      <c r="L246" s="1305"/>
      <c r="M246" s="1540"/>
      <c r="N246" s="1473"/>
      <c r="O246" s="1473"/>
      <c r="P246" s="97"/>
      <c r="Q246" s="97"/>
      <c r="R246" s="97"/>
      <c r="S246" s="97"/>
      <c r="T246" s="97"/>
      <c r="U246" s="97"/>
      <c r="V246" s="97"/>
      <c r="W246" s="97"/>
      <c r="X246" s="1312"/>
      <c r="Y246" s="1531"/>
      <c r="Z246" s="1588"/>
      <c r="AC246" s="280"/>
      <c r="AD246" s="280"/>
      <c r="AE246" s="280"/>
      <c r="AF246" s="280"/>
      <c r="AG246" s="280"/>
      <c r="AH246" s="280"/>
      <c r="AI246" s="280"/>
      <c r="AJ246" s="280"/>
      <c r="AK246" s="280"/>
      <c r="AL246" s="280"/>
      <c r="AM246" s="280"/>
      <c r="AN246" s="280"/>
      <c r="AO246" s="280"/>
      <c r="AP246" s="280"/>
      <c r="AQ246" s="280"/>
      <c r="AR246" s="280"/>
      <c r="AS246" s="280"/>
      <c r="BJ246" s="1184" t="s">
        <v>4763</v>
      </c>
    </row>
    <row r="247" spans="1:62" ht="15" thickBot="1" x14ac:dyDescent="0.35">
      <c r="A247" s="1200">
        <v>5</v>
      </c>
      <c r="B247" s="1203" t="s">
        <v>511</v>
      </c>
      <c r="C247" s="1203"/>
      <c r="D247" s="1203"/>
      <c r="E247" s="1203" t="s">
        <v>273</v>
      </c>
      <c r="F247" s="1203"/>
      <c r="G247" s="1202" t="str">
        <f t="shared" si="75"/>
        <v/>
      </c>
      <c r="H247" s="1204" t="s">
        <v>4388</v>
      </c>
      <c r="I247" s="108"/>
      <c r="J247" s="108"/>
      <c r="K247" s="108"/>
      <c r="L247" s="1330"/>
      <c r="M247" s="1541"/>
      <c r="N247" s="1529"/>
      <c r="O247" s="1529"/>
      <c r="P247" s="104"/>
      <c r="Q247" s="104"/>
      <c r="R247" s="104"/>
      <c r="S247" s="104"/>
      <c r="T247" s="104"/>
      <c r="U247" s="104"/>
      <c r="V247" s="104"/>
      <c r="W247" s="104"/>
      <c r="X247" s="1338"/>
      <c r="Y247" s="1532"/>
      <c r="Z247" s="1589"/>
      <c r="AC247" s="280"/>
      <c r="AD247" s="280"/>
      <c r="AE247" s="280"/>
      <c r="AF247" s="280"/>
      <c r="AG247" s="280"/>
      <c r="AH247" s="280"/>
      <c r="AI247" s="280"/>
      <c r="AJ247" s="280"/>
      <c r="AK247" s="280"/>
      <c r="AL247" s="280"/>
      <c r="AM247" s="280"/>
      <c r="AN247" s="280"/>
      <c r="AO247" s="280"/>
      <c r="AP247" s="280"/>
      <c r="AQ247" s="280"/>
      <c r="AR247" s="280"/>
      <c r="AS247" s="280"/>
      <c r="BJ247" s="1184" t="s">
        <v>4763</v>
      </c>
    </row>
    <row r="248" spans="1:62" ht="15" thickTop="1" x14ac:dyDescent="0.3">
      <c r="A248" s="1200">
        <v>5</v>
      </c>
      <c r="B248" s="1203" t="s">
        <v>519</v>
      </c>
      <c r="C248" s="1203"/>
      <c r="D248" s="1203"/>
      <c r="E248" s="1203"/>
      <c r="F248" s="1203"/>
      <c r="G248" s="1202" t="str">
        <f ca="1">IF(N248&gt;0,"P","")</f>
        <v/>
      </c>
      <c r="H248" s="1204" t="s">
        <v>4386</v>
      </c>
      <c r="I248" s="90" t="s">
        <v>519</v>
      </c>
      <c r="J248" s="93"/>
      <c r="K248" s="93"/>
      <c r="L248" s="88" t="s">
        <v>520</v>
      </c>
      <c r="M248" s="294"/>
      <c r="N248" s="282">
        <f ca="1">'Ch5'!O249</f>
        <v>0</v>
      </c>
      <c r="O248" s="282">
        <f ca="1">S248*IFERROR(INDEX({4,5,6,7,8},MATCH(W248,INDIRECT(U248),0)),0)</f>
        <v>0</v>
      </c>
      <c r="P248" s="280" t="b">
        <v>1</v>
      </c>
      <c r="Q248" s="280" t="b">
        <v>1</v>
      </c>
      <c r="R248" s="280" t="b">
        <v>0</v>
      </c>
      <c r="S248" s="280" t="b">
        <v>1</v>
      </c>
      <c r="T248" s="280" t="b">
        <v>0</v>
      </c>
      <c r="U248" s="280" t="str">
        <f>SUBSTITUTE(SUBSTITUTE(SUBSTITUTE("dd"&amp;B248&amp;C248&amp;D248&amp;E248&amp;F248,".","_"),"(","_"),")","")</f>
        <v>dd505_3</v>
      </c>
      <c r="V248" s="280"/>
      <c r="W248" s="12"/>
      <c r="X248" s="1327"/>
      <c r="Y248" s="1525" t="str">
        <f>IF(LEN('Ch5'!X249)=0,"None",'Ch5'!X249)</f>
        <v>None</v>
      </c>
      <c r="Z248" s="1585"/>
      <c r="AA248" s="1110">
        <f>'Photo Review'!H248</f>
        <v>0</v>
      </c>
      <c r="AC248" s="280"/>
      <c r="AD248" s="280"/>
      <c r="AE248" s="280"/>
      <c r="AF248" s="280"/>
      <c r="AG248" s="280"/>
      <c r="AH248" s="280"/>
      <c r="AI248" s="280"/>
      <c r="AJ248" s="280"/>
      <c r="AK248" s="280"/>
      <c r="AL248" s="280"/>
      <c r="AM248" s="280"/>
      <c r="AN248" s="311" t="str">
        <f>SUBSTITUTE(SUBSTITUTE(SUBSTITUTE("vpc"&amp;$B248&amp;$C248&amp;$D248&amp;$E248&amp;$F248,".","_"),"(","_"),")","")</f>
        <v>vpc505_3</v>
      </c>
      <c r="AO248" s="311">
        <f ca="1">O248</f>
        <v>0</v>
      </c>
      <c r="AP248" s="311" t="str">
        <f>SUBSTITUTE(SUBSTITUTE(SUBSTITUTE("vch"&amp;$B248&amp;$C248&amp;$D248&amp;$E248&amp;$F248,".","_"),"(","_"),")","")</f>
        <v>vch505_3</v>
      </c>
      <c r="AQ248" s="311">
        <f>W248</f>
        <v>0</v>
      </c>
      <c r="AR248" s="311" t="str">
        <f>SUBSTITUTE(SUBSTITUTE(SUBSTITUTE("vnt"&amp;$B248&amp;$C248&amp;$D248&amp;$E248&amp;$F248,".","_"),"(","_"),")","")</f>
        <v>vnt505_3</v>
      </c>
      <c r="AS248" s="311">
        <f>X248</f>
        <v>0</v>
      </c>
      <c r="BJ248" s="1184" t="s">
        <v>4763</v>
      </c>
    </row>
    <row r="249" spans="1:62" ht="15" x14ac:dyDescent="0.3">
      <c r="A249" s="1200">
        <v>5</v>
      </c>
      <c r="B249" s="1203" t="s">
        <v>519</v>
      </c>
      <c r="C249" s="1203"/>
      <c r="D249" s="1203"/>
      <c r="E249" s="1203" t="s">
        <v>271</v>
      </c>
      <c r="F249" s="1203"/>
      <c r="G249" s="1202" t="str">
        <f t="shared" ref="G249:G253" ca="1" si="76">G248</f>
        <v/>
      </c>
      <c r="H249" s="1204" t="s">
        <v>4386</v>
      </c>
      <c r="I249" s="93"/>
      <c r="J249" s="192" t="s">
        <v>271</v>
      </c>
      <c r="K249" s="195"/>
      <c r="L249" s="193" t="s">
        <v>521</v>
      </c>
      <c r="M249" s="287">
        <v>4</v>
      </c>
      <c r="N249" s="282"/>
      <c r="O249" s="282"/>
      <c r="P249" s="280"/>
      <c r="Q249" s="280"/>
      <c r="R249" s="280"/>
      <c r="S249" s="280"/>
      <c r="T249" s="280"/>
      <c r="U249" s="280"/>
      <c r="V249" s="280"/>
      <c r="W249" s="280"/>
      <c r="X249" s="1295"/>
      <c r="Y249" s="1523"/>
      <c r="Z249" s="1583"/>
      <c r="AC249" s="280"/>
      <c r="AD249" s="280"/>
      <c r="AE249" s="280"/>
      <c r="AF249" s="280"/>
      <c r="AG249" s="280"/>
      <c r="AH249" s="280"/>
      <c r="AI249" s="280"/>
      <c r="AJ249" s="280"/>
      <c r="AK249" s="280"/>
      <c r="AL249" s="311" t="str">
        <f t="shared" ref="AL249:AL255" si="77">SUBSTITUTE(SUBSTITUTE(SUBSTITUTE("vpa"&amp;$B249&amp;$C249&amp;$D249&amp;$E249&amp;$F249,".","_"),"(","_"),")","")</f>
        <v>vpa505_3_1</v>
      </c>
      <c r="AM249" s="311">
        <f t="shared" ref="AM249:AM255" si="78">M249</f>
        <v>4</v>
      </c>
      <c r="AN249" s="280"/>
      <c r="AO249" s="280"/>
      <c r="AP249" s="280"/>
      <c r="AQ249" s="280"/>
      <c r="AR249" s="280"/>
      <c r="AS249" s="280"/>
      <c r="BJ249" s="1184" t="s">
        <v>4763</v>
      </c>
    </row>
    <row r="250" spans="1:62" ht="15" x14ac:dyDescent="0.3">
      <c r="A250" s="1200">
        <v>5</v>
      </c>
      <c r="B250" s="1203" t="s">
        <v>519</v>
      </c>
      <c r="C250" s="1203"/>
      <c r="D250" s="1203"/>
      <c r="E250" s="1203" t="s">
        <v>273</v>
      </c>
      <c r="F250" s="1203"/>
      <c r="G250" s="1202" t="str">
        <f t="shared" ca="1" si="76"/>
        <v/>
      </c>
      <c r="H250" s="1204" t="s">
        <v>4386</v>
      </c>
      <c r="I250" s="93"/>
      <c r="J250" s="192" t="s">
        <v>273</v>
      </c>
      <c r="K250" s="195"/>
      <c r="L250" s="193" t="s">
        <v>522</v>
      </c>
      <c r="M250" s="287">
        <v>5</v>
      </c>
      <c r="N250" s="282"/>
      <c r="O250" s="282"/>
      <c r="P250" s="280"/>
      <c r="Q250" s="280"/>
      <c r="R250" s="280"/>
      <c r="S250" s="280"/>
      <c r="T250" s="280"/>
      <c r="U250" s="280"/>
      <c r="V250" s="280"/>
      <c r="W250" s="280"/>
      <c r="X250" s="1295"/>
      <c r="Y250" s="1523"/>
      <c r="Z250" s="1583"/>
      <c r="AC250" s="280"/>
      <c r="AD250" s="280"/>
      <c r="AE250" s="280"/>
      <c r="AF250" s="280"/>
      <c r="AG250" s="280"/>
      <c r="AH250" s="280"/>
      <c r="AI250" s="280"/>
      <c r="AJ250" s="280"/>
      <c r="AK250" s="280"/>
      <c r="AL250" s="311" t="str">
        <f t="shared" si="77"/>
        <v>vpa505_3_2</v>
      </c>
      <c r="AM250" s="311">
        <f t="shared" si="78"/>
        <v>5</v>
      </c>
      <c r="AN250" s="280"/>
      <c r="AO250" s="280"/>
      <c r="AP250" s="280"/>
      <c r="AQ250" s="280"/>
      <c r="AR250" s="280"/>
      <c r="AS250" s="280"/>
      <c r="BJ250" s="1184" t="s">
        <v>4763</v>
      </c>
    </row>
    <row r="251" spans="1:62" ht="15" x14ac:dyDescent="0.3">
      <c r="A251" s="1200">
        <v>5</v>
      </c>
      <c r="B251" s="1203" t="s">
        <v>519</v>
      </c>
      <c r="C251" s="1203"/>
      <c r="D251" s="1203"/>
      <c r="E251" s="1203" t="s">
        <v>275</v>
      </c>
      <c r="F251" s="1203"/>
      <c r="G251" s="1202" t="str">
        <f t="shared" ca="1" si="76"/>
        <v/>
      </c>
      <c r="H251" s="1204" t="s">
        <v>4386</v>
      </c>
      <c r="I251" s="93"/>
      <c r="J251" s="192" t="s">
        <v>275</v>
      </c>
      <c r="K251" s="195"/>
      <c r="L251" s="193" t="s">
        <v>523</v>
      </c>
      <c r="M251" s="287">
        <v>6</v>
      </c>
      <c r="N251" s="282"/>
      <c r="O251" s="282"/>
      <c r="P251" s="280"/>
      <c r="Q251" s="280"/>
      <c r="R251" s="280"/>
      <c r="S251" s="280"/>
      <c r="T251" s="280"/>
      <c r="U251" s="280"/>
      <c r="V251" s="280"/>
      <c r="W251" s="280"/>
      <c r="X251" s="1295"/>
      <c r="Y251" s="1523"/>
      <c r="Z251" s="1583"/>
      <c r="AC251" s="280"/>
      <c r="AD251" s="280"/>
      <c r="AE251" s="280"/>
      <c r="AF251" s="280"/>
      <c r="AG251" s="280"/>
      <c r="AH251" s="280"/>
      <c r="AI251" s="280"/>
      <c r="AJ251" s="280"/>
      <c r="AK251" s="280"/>
      <c r="AL251" s="311" t="str">
        <f t="shared" si="77"/>
        <v>vpa505_3_3</v>
      </c>
      <c r="AM251" s="311">
        <f t="shared" si="78"/>
        <v>6</v>
      </c>
      <c r="AN251" s="280"/>
      <c r="AO251" s="280"/>
      <c r="AP251" s="280"/>
      <c r="AQ251" s="280"/>
      <c r="AR251" s="280"/>
      <c r="AS251" s="280"/>
      <c r="BJ251" s="1184" t="s">
        <v>4763</v>
      </c>
    </row>
    <row r="252" spans="1:62" ht="15" x14ac:dyDescent="0.3">
      <c r="A252" s="1200">
        <v>5</v>
      </c>
      <c r="B252" s="1203" t="s">
        <v>519</v>
      </c>
      <c r="C252" s="1203"/>
      <c r="D252" s="1203"/>
      <c r="E252" s="1203" t="s">
        <v>285</v>
      </c>
      <c r="F252" s="1203"/>
      <c r="G252" s="1202" t="str">
        <f t="shared" ca="1" si="76"/>
        <v/>
      </c>
      <c r="H252" s="1204" t="s">
        <v>4386</v>
      </c>
      <c r="I252" s="93"/>
      <c r="J252" s="192" t="s">
        <v>285</v>
      </c>
      <c r="K252" s="195"/>
      <c r="L252" s="193" t="s">
        <v>524</v>
      </c>
      <c r="M252" s="287">
        <v>7</v>
      </c>
      <c r="N252" s="282"/>
      <c r="O252" s="282"/>
      <c r="P252" s="280"/>
      <c r="Q252" s="280"/>
      <c r="R252" s="280"/>
      <c r="S252" s="280"/>
      <c r="T252" s="280"/>
      <c r="U252" s="280"/>
      <c r="V252" s="280"/>
      <c r="W252" s="280"/>
      <c r="X252" s="1295"/>
      <c r="Y252" s="1523"/>
      <c r="Z252" s="1583"/>
      <c r="AC252" s="280"/>
      <c r="AD252" s="280"/>
      <c r="AE252" s="280"/>
      <c r="AF252" s="280"/>
      <c r="AG252" s="280"/>
      <c r="AH252" s="280"/>
      <c r="AI252" s="280"/>
      <c r="AJ252" s="280"/>
      <c r="AK252" s="280"/>
      <c r="AL252" s="311" t="str">
        <f t="shared" si="77"/>
        <v>vpa505_3_4</v>
      </c>
      <c r="AM252" s="311">
        <f t="shared" si="78"/>
        <v>7</v>
      </c>
      <c r="AN252" s="280"/>
      <c r="AO252" s="280"/>
      <c r="AP252" s="280"/>
      <c r="AQ252" s="280"/>
      <c r="AR252" s="280"/>
      <c r="AS252" s="280"/>
      <c r="BJ252" s="1184" t="s">
        <v>4763</v>
      </c>
    </row>
    <row r="253" spans="1:62" ht="15.6" thickBot="1" x14ac:dyDescent="0.35">
      <c r="A253" s="1200">
        <v>5</v>
      </c>
      <c r="B253" s="1203" t="s">
        <v>519</v>
      </c>
      <c r="C253" s="1203"/>
      <c r="D253" s="1203"/>
      <c r="E253" s="1203" t="s">
        <v>291</v>
      </c>
      <c r="F253" s="1203"/>
      <c r="G253" s="1202" t="str">
        <f t="shared" ca="1" si="76"/>
        <v/>
      </c>
      <c r="H253" s="1204" t="s">
        <v>4386</v>
      </c>
      <c r="I253" s="108"/>
      <c r="J253" s="99" t="s">
        <v>291</v>
      </c>
      <c r="K253" s="108"/>
      <c r="L253" s="100" t="s">
        <v>525</v>
      </c>
      <c r="M253" s="295">
        <v>8</v>
      </c>
      <c r="N253" s="288"/>
      <c r="O253" s="288"/>
      <c r="P253" s="104"/>
      <c r="Q253" s="104"/>
      <c r="R253" s="104"/>
      <c r="S253" s="104"/>
      <c r="T253" s="104"/>
      <c r="U253" s="104"/>
      <c r="V253" s="104"/>
      <c r="W253" s="104"/>
      <c r="X253" s="1296"/>
      <c r="Y253" s="1524"/>
      <c r="Z253" s="1584"/>
      <c r="AC253" s="280"/>
      <c r="AD253" s="280"/>
      <c r="AE253" s="280"/>
      <c r="AF253" s="280"/>
      <c r="AG253" s="280"/>
      <c r="AH253" s="280"/>
      <c r="AI253" s="280"/>
      <c r="AJ253" s="280"/>
      <c r="AK253" s="280"/>
      <c r="AL253" s="311" t="str">
        <f t="shared" si="77"/>
        <v>vpa505_3_5</v>
      </c>
      <c r="AM253" s="311">
        <f t="shared" si="78"/>
        <v>8</v>
      </c>
      <c r="AN253" s="280"/>
      <c r="AO253" s="280"/>
      <c r="AP253" s="280"/>
      <c r="AQ253" s="280"/>
      <c r="AR253" s="280"/>
      <c r="AS253" s="280"/>
      <c r="BJ253" s="1184" t="s">
        <v>4763</v>
      </c>
    </row>
    <row r="254" spans="1:62" ht="15.6" thickTop="1" thickBot="1" x14ac:dyDescent="0.35">
      <c r="A254" s="1200">
        <v>5</v>
      </c>
      <c r="B254" s="1203" t="s">
        <v>526</v>
      </c>
      <c r="C254" s="1203"/>
      <c r="D254" s="1203"/>
      <c r="E254" s="1203"/>
      <c r="F254" s="1203"/>
      <c r="G254" s="1202" t="str">
        <f ca="1">IF(N254&gt;0,"P","")</f>
        <v/>
      </c>
      <c r="H254" s="1204" t="s">
        <v>4386</v>
      </c>
      <c r="I254" s="121" t="s">
        <v>526</v>
      </c>
      <c r="J254" s="122"/>
      <c r="K254" s="122"/>
      <c r="L254" s="123" t="s">
        <v>527</v>
      </c>
      <c r="M254" s="124">
        <v>8</v>
      </c>
      <c r="N254" s="126">
        <f ca="1">'Ch5'!O255</f>
        <v>0</v>
      </c>
      <c r="O254" s="126">
        <f ca="1">M254*S254*W254</f>
        <v>0</v>
      </c>
      <c r="P254" s="125" t="b">
        <v>1</v>
      </c>
      <c r="Q254" s="125" t="b">
        <v>1</v>
      </c>
      <c r="R254" s="125" t="b">
        <v>0</v>
      </c>
      <c r="S254" s="280" t="b">
        <f ca="1">IF($AY$18=INDEX(INDIRECT("ddSingleOrMulti"),2),TRUE,FALSE)</f>
        <v>0</v>
      </c>
      <c r="T254" s="97" t="b">
        <f ca="1">IF(AND(NOT(S254),W254=TRUE),TRUE,FALSE)</f>
        <v>0</v>
      </c>
      <c r="U254" s="125"/>
      <c r="V254" s="125"/>
      <c r="W254" s="128"/>
      <c r="X254" s="139"/>
      <c r="Y254" s="314" t="str">
        <f>IF(LEN('Ch5'!X255)=0,"None",'Ch5'!X255)</f>
        <v>None</v>
      </c>
      <c r="Z254" s="1171"/>
      <c r="AC254" s="280" t="b">
        <f ca="1">OR(AD254:AE254)</f>
        <v>0</v>
      </c>
      <c r="AD254" s="280" t="b">
        <f ca="1">T254</f>
        <v>0</v>
      </c>
      <c r="AE254" s="280"/>
      <c r="AF254" s="280"/>
      <c r="AG254" s="280"/>
      <c r="AH254" s="280"/>
      <c r="AI254" s="280"/>
      <c r="AJ254" s="280"/>
      <c r="AK254" s="280"/>
      <c r="AL254" s="311" t="str">
        <f t="shared" si="77"/>
        <v>vpa505_4</v>
      </c>
      <c r="AM254" s="311">
        <f t="shared" si="78"/>
        <v>8</v>
      </c>
      <c r="AN254" s="311" t="str">
        <f t="shared" ref="AN254:AN255" si="79">SUBSTITUTE(SUBSTITUTE(SUBSTITUTE("vpc"&amp;$B254&amp;$C254&amp;$D254&amp;$E254&amp;$F254,".","_"),"(","_"),")","")</f>
        <v>vpc505_4</v>
      </c>
      <c r="AO254" s="311">
        <f ca="1">O254</f>
        <v>0</v>
      </c>
      <c r="AP254" s="311" t="str">
        <f t="shared" ref="AP254:AP255" si="80">SUBSTITUTE(SUBSTITUTE(SUBSTITUTE("vch"&amp;$B254&amp;$C254&amp;$D254&amp;$E254&amp;$F254,".","_"),"(","_"),")","")</f>
        <v>vch505_4</v>
      </c>
      <c r="AQ254" s="311">
        <f>W254</f>
        <v>0</v>
      </c>
      <c r="AR254" s="311" t="str">
        <f t="shared" ref="AR254:AR255" si="81">SUBSTITUTE(SUBSTITUTE(SUBSTITUTE("vnt"&amp;$B254&amp;$C254&amp;$D254&amp;$E254&amp;$F254,".","_"),"(","_"),")","")</f>
        <v>vnt505_4</v>
      </c>
      <c r="AS254" s="311">
        <f>X254</f>
        <v>0</v>
      </c>
      <c r="BJ254" s="1184" t="s">
        <v>4763</v>
      </c>
    </row>
    <row r="255" spans="1:62" ht="15" thickTop="1" x14ac:dyDescent="0.3">
      <c r="A255" s="1200">
        <v>5</v>
      </c>
      <c r="B255" s="1203" t="s">
        <v>528</v>
      </c>
      <c r="C255" s="1203"/>
      <c r="D255" s="1203"/>
      <c r="E255" s="1203"/>
      <c r="F255" s="1203"/>
      <c r="G255" s="1202" t="str">
        <f>IF(N255&gt;0,"P","")</f>
        <v/>
      </c>
      <c r="H255" s="1204" t="s">
        <v>4386</v>
      </c>
      <c r="I255" s="119" t="s">
        <v>528</v>
      </c>
      <c r="J255" s="112"/>
      <c r="K255" s="112"/>
      <c r="L255" s="1331" t="s">
        <v>529</v>
      </c>
      <c r="M255" s="1539">
        <v>3</v>
      </c>
      <c r="N255" s="1528">
        <f>'Ch5'!O256</f>
        <v>0</v>
      </c>
      <c r="O255" s="1528">
        <f>M255*S255*W255</f>
        <v>0</v>
      </c>
      <c r="P255" s="280" t="b">
        <v>1</v>
      </c>
      <c r="Q255" s="280" t="b">
        <v>1</v>
      </c>
      <c r="R255" s="110" t="b">
        <v>0</v>
      </c>
      <c r="S255" s="110" t="b">
        <v>1</v>
      </c>
      <c r="T255" s="110" t="b">
        <v>0</v>
      </c>
      <c r="U255" s="110"/>
      <c r="V255" s="110"/>
      <c r="W255" s="127"/>
      <c r="X255" s="1327"/>
      <c r="Y255" s="1525" t="str">
        <f>IF(LEN('Ch5'!X256)=0,"None",'Ch5'!X256)</f>
        <v>None</v>
      </c>
      <c r="Z255" s="1585"/>
      <c r="AC255" s="280"/>
      <c r="AD255" s="280"/>
      <c r="AE255" s="280"/>
      <c r="AF255" s="280"/>
      <c r="AG255" s="280"/>
      <c r="AH255" s="280"/>
      <c r="AI255" s="280"/>
      <c r="AJ255" s="280"/>
      <c r="AK255" s="280"/>
      <c r="AL255" s="311" t="str">
        <f t="shared" si="77"/>
        <v>vpa505_5</v>
      </c>
      <c r="AM255" s="311">
        <f t="shared" si="78"/>
        <v>3</v>
      </c>
      <c r="AN255" s="311" t="str">
        <f t="shared" si="79"/>
        <v>vpc505_5</v>
      </c>
      <c r="AO255" s="311">
        <f>O255</f>
        <v>0</v>
      </c>
      <c r="AP255" s="311" t="str">
        <f t="shared" si="80"/>
        <v>vch505_5</v>
      </c>
      <c r="AQ255" s="311">
        <f>W255</f>
        <v>0</v>
      </c>
      <c r="AR255" s="311" t="str">
        <f t="shared" si="81"/>
        <v>vnt505_5</v>
      </c>
      <c r="AS255" s="311">
        <f>X255</f>
        <v>0</v>
      </c>
      <c r="BJ255" s="1184" t="s">
        <v>4763</v>
      </c>
    </row>
    <row r="256" spans="1:62" ht="15" thickBot="1" x14ac:dyDescent="0.35">
      <c r="A256" s="1200">
        <v>5</v>
      </c>
      <c r="B256" s="1203" t="s">
        <v>528</v>
      </c>
      <c r="C256" s="1203"/>
      <c r="D256" s="1203"/>
      <c r="E256" s="1203"/>
      <c r="F256" s="1203"/>
      <c r="G256" s="1202" t="str">
        <f>G255</f>
        <v/>
      </c>
      <c r="H256" s="1204" t="s">
        <v>4386</v>
      </c>
      <c r="I256" s="108"/>
      <c r="J256" s="108"/>
      <c r="K256" s="108"/>
      <c r="L256" s="1332"/>
      <c r="M256" s="1541"/>
      <c r="N256" s="1529"/>
      <c r="O256" s="1529"/>
      <c r="P256" s="104"/>
      <c r="Q256" s="104"/>
      <c r="R256" s="104"/>
      <c r="S256" s="104"/>
      <c r="T256" s="104"/>
      <c r="U256" s="104"/>
      <c r="V256" s="104"/>
      <c r="W256" s="104"/>
      <c r="X256" s="1296"/>
      <c r="Y256" s="1524"/>
      <c r="Z256" s="1584"/>
      <c r="AC256" s="280"/>
      <c r="AD256" s="280"/>
      <c r="AE256" s="280"/>
      <c r="AF256" s="280"/>
      <c r="AG256" s="280"/>
      <c r="AH256" s="280"/>
      <c r="AI256" s="280"/>
      <c r="AJ256" s="280"/>
      <c r="AK256" s="280"/>
      <c r="AL256" s="280"/>
      <c r="AM256" s="280"/>
      <c r="AN256" s="280"/>
      <c r="AO256" s="280"/>
      <c r="AP256" s="280"/>
      <c r="AQ256" s="280"/>
      <c r="AR256" s="280"/>
      <c r="AS256" s="280"/>
      <c r="BJ256" s="1184" t="s">
        <v>4763</v>
      </c>
    </row>
    <row r="257" spans="1:62" ht="15" thickTop="1" x14ac:dyDescent="0.3">
      <c r="A257" s="1200">
        <v>5</v>
      </c>
      <c r="B257" s="1203" t="s">
        <v>530</v>
      </c>
      <c r="C257" s="1203"/>
      <c r="D257" s="1203"/>
      <c r="E257" s="1203"/>
      <c r="F257" s="1203"/>
      <c r="G257" s="1202" t="str">
        <f ca="1">IF(N257&gt;0,"P","")</f>
        <v/>
      </c>
      <c r="H257" s="1204" t="s">
        <v>4388</v>
      </c>
      <c r="I257" s="119" t="s">
        <v>530</v>
      </c>
      <c r="J257" s="112"/>
      <c r="K257" s="112"/>
      <c r="L257" s="1331" t="s">
        <v>531</v>
      </c>
      <c r="M257" s="1539">
        <v>4</v>
      </c>
      <c r="N257" s="1528">
        <f ca="1">'Ch5'!O258</f>
        <v>0</v>
      </c>
      <c r="O257" s="1528">
        <f ca="1">M257*S257*W257</f>
        <v>0</v>
      </c>
      <c r="P257" s="280" t="b">
        <v>0</v>
      </c>
      <c r="Q257" s="280" t="b">
        <v>1</v>
      </c>
      <c r="R257" s="110" t="b">
        <v>0</v>
      </c>
      <c r="S257" s="280" t="b">
        <f ca="1">IF($AY$18=INDEX(INDIRECT("ddSingleOrMulti"),2),TRUE,FALSE)</f>
        <v>0</v>
      </c>
      <c r="T257" s="97" t="b">
        <f ca="1">IF(AND(NOT(S257),W257=TRUE),TRUE,FALSE)</f>
        <v>0</v>
      </c>
      <c r="U257" s="110"/>
      <c r="V257" s="110"/>
      <c r="W257" s="25"/>
      <c r="X257" s="1327"/>
      <c r="Y257" s="1525" t="str">
        <f>IF(LEN('Ch5'!X258)=0,"None",'Ch5'!X258)</f>
        <v>None</v>
      </c>
      <c r="Z257" s="1585"/>
      <c r="AC257" s="280" t="b">
        <f ca="1">OR(AD257:AE257)</f>
        <v>0</v>
      </c>
      <c r="AD257" s="280" t="b">
        <f ca="1">T257</f>
        <v>0</v>
      </c>
      <c r="AE257" s="280"/>
      <c r="AF257" s="280"/>
      <c r="AG257" s="280"/>
      <c r="AH257" s="280"/>
      <c r="AI257" s="280"/>
      <c r="AJ257" s="280"/>
      <c r="AK257" s="280"/>
      <c r="AL257" s="311" t="str">
        <f>SUBSTITUTE(SUBSTITUTE(SUBSTITUTE("vpa"&amp;$B257&amp;$C257&amp;$D257&amp;$E257&amp;$F257,".","_"),"(","_"),")","")</f>
        <v>vpa505_6</v>
      </c>
      <c r="AM257" s="311">
        <f>M257</f>
        <v>4</v>
      </c>
      <c r="AN257" s="311" t="str">
        <f>SUBSTITUTE(SUBSTITUTE(SUBSTITUTE("vpc"&amp;$B257&amp;$C257&amp;$D257&amp;$E257&amp;$F257,".","_"),"(","_"),")","")</f>
        <v>vpc505_6</v>
      </c>
      <c r="AO257" s="311">
        <f ca="1">O257</f>
        <v>0</v>
      </c>
      <c r="AP257" s="311" t="str">
        <f>SUBSTITUTE(SUBSTITUTE(SUBSTITUTE("vch"&amp;$B257&amp;$C257&amp;$D257&amp;$E257&amp;$F257,".","_"),"(","_"),")","")</f>
        <v>vch505_6</v>
      </c>
      <c r="AQ257" s="311">
        <f>W257</f>
        <v>0</v>
      </c>
      <c r="AR257" s="311" t="str">
        <f>SUBSTITUTE(SUBSTITUTE(SUBSTITUTE("vnt"&amp;$B257&amp;$C257&amp;$D257&amp;$E257&amp;$F257,".","_"),"(","_"),")","")</f>
        <v>vnt505_6</v>
      </c>
      <c r="AS257" s="311">
        <f>X257</f>
        <v>0</v>
      </c>
      <c r="BJ257" s="1184" t="s">
        <v>4763</v>
      </c>
    </row>
    <row r="258" spans="1:62" x14ac:dyDescent="0.3">
      <c r="A258" s="1200">
        <v>5</v>
      </c>
      <c r="B258" s="1203" t="s">
        <v>530</v>
      </c>
      <c r="C258" s="1203"/>
      <c r="D258" s="1203"/>
      <c r="E258" s="1203"/>
      <c r="F258" s="1203"/>
      <c r="G258" s="1202" t="str">
        <f t="shared" ref="G258:G262" ca="1" si="82">G257</f>
        <v/>
      </c>
      <c r="H258" s="1204" t="s">
        <v>4388</v>
      </c>
      <c r="I258" s="107"/>
      <c r="J258" s="107"/>
      <c r="K258" s="107"/>
      <c r="L258" s="1313"/>
      <c r="M258" s="1540"/>
      <c r="N258" s="1473"/>
      <c r="O258" s="1473"/>
      <c r="P258" s="97"/>
      <c r="Q258" s="97"/>
      <c r="R258" s="97"/>
      <c r="S258" s="97"/>
      <c r="T258" s="97"/>
      <c r="U258" s="97"/>
      <c r="V258" s="97"/>
      <c r="W258" s="97"/>
      <c r="X258" s="1295"/>
      <c r="Y258" s="1522"/>
      <c r="Z258" s="1586"/>
      <c r="BJ258" s="1184" t="s">
        <v>4763</v>
      </c>
    </row>
    <row r="259" spans="1:62" x14ac:dyDescent="0.3">
      <c r="A259" s="1200">
        <v>5</v>
      </c>
      <c r="B259" s="1203" t="s">
        <v>530</v>
      </c>
      <c r="C259" s="1203"/>
      <c r="D259" s="1203"/>
      <c r="E259" s="1203"/>
      <c r="F259" s="1203"/>
      <c r="G259" s="1202" t="str">
        <f t="shared" ca="1" si="82"/>
        <v/>
      </c>
      <c r="H259" s="1204" t="s">
        <v>4388</v>
      </c>
      <c r="I259" s="107"/>
      <c r="J259" s="107"/>
      <c r="K259" s="107"/>
      <c r="L259" s="1313"/>
      <c r="M259" s="1540"/>
      <c r="N259" s="1473"/>
      <c r="O259" s="1473"/>
      <c r="P259" s="97"/>
      <c r="Q259" s="97"/>
      <c r="R259" s="97"/>
      <c r="S259" s="97"/>
      <c r="T259" s="97"/>
      <c r="U259" s="97"/>
      <c r="V259" s="97"/>
      <c r="W259" s="97"/>
      <c r="X259" s="1295"/>
      <c r="Y259" s="1522"/>
      <c r="Z259" s="1586"/>
      <c r="BJ259" s="1184" t="s">
        <v>4763</v>
      </c>
    </row>
    <row r="260" spans="1:62" x14ac:dyDescent="0.3">
      <c r="A260" s="1200">
        <v>5</v>
      </c>
      <c r="B260" s="1203" t="s">
        <v>530</v>
      </c>
      <c r="C260" s="1203"/>
      <c r="D260" s="1203"/>
      <c r="E260" s="1203"/>
      <c r="F260" s="1203"/>
      <c r="G260" s="1202" t="str">
        <f t="shared" ca="1" si="82"/>
        <v/>
      </c>
      <c r="H260" s="1204" t="s">
        <v>4388</v>
      </c>
      <c r="I260" s="107"/>
      <c r="J260" s="107"/>
      <c r="K260" s="107"/>
      <c r="L260" s="1313"/>
      <c r="M260" s="1540"/>
      <c r="N260" s="1473"/>
      <c r="O260" s="1473"/>
      <c r="P260" s="97"/>
      <c r="Q260" s="97"/>
      <c r="R260" s="97"/>
      <c r="S260" s="97"/>
      <c r="T260" s="97"/>
      <c r="U260" s="97"/>
      <c r="V260" s="97"/>
      <c r="W260" s="97"/>
      <c r="X260" s="1295"/>
      <c r="Y260" s="1522"/>
      <c r="Z260" s="1586"/>
      <c r="BJ260" s="1184" t="s">
        <v>4763</v>
      </c>
    </row>
    <row r="261" spans="1:62" x14ac:dyDescent="0.3">
      <c r="A261" s="1200">
        <v>5</v>
      </c>
      <c r="B261" s="1203" t="s">
        <v>530</v>
      </c>
      <c r="C261" s="1203"/>
      <c r="D261" s="1203"/>
      <c r="E261" s="1203"/>
      <c r="F261" s="1203"/>
      <c r="G261" s="1202" t="str">
        <f t="shared" ca="1" si="82"/>
        <v/>
      </c>
      <c r="H261" s="1204" t="s">
        <v>4388</v>
      </c>
      <c r="I261" s="107"/>
      <c r="J261" s="107"/>
      <c r="K261" s="107"/>
      <c r="L261" s="1313"/>
      <c r="M261" s="1540"/>
      <c r="N261" s="1473"/>
      <c r="O261" s="1473"/>
      <c r="P261" s="97"/>
      <c r="Q261" s="97"/>
      <c r="R261" s="97"/>
      <c r="S261" s="97"/>
      <c r="T261" s="97"/>
      <c r="U261" s="97"/>
      <c r="V261" s="97"/>
      <c r="W261" s="97"/>
      <c r="X261" s="1295"/>
      <c r="Y261" s="1522"/>
      <c r="Z261" s="1586"/>
      <c r="BJ261" s="1184" t="s">
        <v>4763</v>
      </c>
    </row>
    <row r="262" spans="1:62" ht="15" thickBot="1" x14ac:dyDescent="0.35">
      <c r="A262" s="1200">
        <v>5</v>
      </c>
      <c r="B262" s="1203" t="s">
        <v>530</v>
      </c>
      <c r="C262" s="1203"/>
      <c r="D262" s="1203"/>
      <c r="E262" s="1203"/>
      <c r="F262" s="1203"/>
      <c r="G262" s="1202" t="str">
        <f t="shared" ca="1" si="82"/>
        <v/>
      </c>
      <c r="H262" s="1204" t="s">
        <v>4388</v>
      </c>
      <c r="I262" s="108"/>
      <c r="J262" s="108"/>
      <c r="K262" s="108"/>
      <c r="L262" s="1332"/>
      <c r="M262" s="1541"/>
      <c r="N262" s="1529"/>
      <c r="O262" s="1529"/>
      <c r="P262" s="104"/>
      <c r="Q262" s="104"/>
      <c r="R262" s="104"/>
      <c r="S262" s="104"/>
      <c r="T262" s="104"/>
      <c r="U262" s="104"/>
      <c r="V262" s="104"/>
      <c r="W262" s="104"/>
      <c r="X262" s="1296"/>
      <c r="Y262" s="1522"/>
      <c r="Z262" s="1586"/>
      <c r="BJ262" s="1184" t="s">
        <v>4763</v>
      </c>
    </row>
    <row r="263" spans="1:62" ht="18.600000000000001" thickTop="1" x14ac:dyDescent="0.35">
      <c r="A263" s="1200">
        <v>6</v>
      </c>
      <c r="B263" s="1208" t="s">
        <v>4675</v>
      </c>
      <c r="C263" s="1200"/>
      <c r="D263" s="1200"/>
      <c r="E263" s="1200"/>
      <c r="F263" s="1200"/>
      <c r="G263" s="1202" t="s">
        <v>4389</v>
      </c>
      <c r="H263" s="1200" t="s">
        <v>4386</v>
      </c>
      <c r="I263" s="22" t="s">
        <v>536</v>
      </c>
      <c r="J263" s="22"/>
      <c r="K263" s="22"/>
      <c r="L263" s="23"/>
      <c r="M263" s="24"/>
      <c r="N263" s="24"/>
      <c r="O263" s="24"/>
      <c r="P263" s="280" t="s">
        <v>260</v>
      </c>
      <c r="Q263" s="280" t="s">
        <v>260</v>
      </c>
      <c r="R263" s="280" t="s">
        <v>260</v>
      </c>
      <c r="S263" s="280" t="s">
        <v>260</v>
      </c>
      <c r="T263" s="280" t="s">
        <v>260</v>
      </c>
      <c r="U263" s="280" t="s">
        <v>260</v>
      </c>
      <c r="V263" s="280" t="s">
        <v>260</v>
      </c>
      <c r="W263" s="23"/>
      <c r="X263" s="23"/>
      <c r="Y263" s="23"/>
      <c r="Z263" s="1168"/>
      <c r="BJ263" s="1184" t="s">
        <v>4763</v>
      </c>
    </row>
    <row r="264" spans="1:62" x14ac:dyDescent="0.3">
      <c r="A264" s="1200">
        <v>6</v>
      </c>
      <c r="B264" s="1208" t="s">
        <v>537</v>
      </c>
      <c r="C264" s="1203"/>
      <c r="D264" s="1203"/>
      <c r="E264" s="1203"/>
      <c r="F264" s="1203"/>
      <c r="G264" s="1204"/>
      <c r="H264" s="1204"/>
      <c r="I264" s="81" t="s">
        <v>537</v>
      </c>
      <c r="J264" s="27"/>
      <c r="K264" s="90"/>
      <c r="L264" s="1292" t="s">
        <v>538</v>
      </c>
      <c r="M264" s="305"/>
      <c r="N264" s="282"/>
      <c r="O264" s="282"/>
      <c r="P264" s="280"/>
      <c r="Q264" s="280"/>
      <c r="R264" s="280"/>
      <c r="S264" s="280"/>
      <c r="T264" s="280"/>
      <c r="U264" s="280"/>
      <c r="V264" s="280"/>
      <c r="W264" s="280"/>
      <c r="X264" s="280"/>
      <c r="Z264" s="1055"/>
      <c r="BJ264" s="1184" t="s">
        <v>4763</v>
      </c>
    </row>
    <row r="265" spans="1:62" x14ac:dyDescent="0.3">
      <c r="A265" s="1200">
        <v>6</v>
      </c>
      <c r="B265" s="1208" t="s">
        <v>537</v>
      </c>
      <c r="C265" s="1203"/>
      <c r="D265" s="1203"/>
      <c r="E265" s="1203"/>
      <c r="F265" s="1203"/>
      <c r="G265" s="1200"/>
      <c r="H265" s="1200"/>
      <c r="I265" s="66"/>
      <c r="J265" s="4"/>
      <c r="K265" s="86"/>
      <c r="L265" s="1292"/>
      <c r="M265" s="305"/>
      <c r="N265" s="282"/>
      <c r="O265" s="282"/>
      <c r="P265" s="280"/>
      <c r="Q265" s="280"/>
      <c r="R265" s="280"/>
      <c r="S265" s="280"/>
      <c r="T265" s="280"/>
      <c r="U265" s="280"/>
      <c r="V265" s="280"/>
      <c r="W265" s="280"/>
      <c r="X265" s="280"/>
      <c r="Z265" s="1055"/>
      <c r="AX265" s="279" t="str">
        <f>'Overview (Verification)'!A8</f>
        <v>Builder Name:</v>
      </c>
      <c r="AY265" s="319">
        <f>IF(LEN('Overview (Verification)'!P8)=0,0,'Overview (Verification)'!P8)</f>
        <v>0</v>
      </c>
      <c r="BJ265" s="1184" t="s">
        <v>4763</v>
      </c>
    </row>
    <row r="266" spans="1:62" ht="15" thickBot="1" x14ac:dyDescent="0.35">
      <c r="A266" s="1200">
        <v>6</v>
      </c>
      <c r="B266" s="1208" t="s">
        <v>537</v>
      </c>
      <c r="C266" s="1203"/>
      <c r="D266" s="1203"/>
      <c r="E266" s="1203"/>
      <c r="F266" s="1203"/>
      <c r="G266" s="1200"/>
      <c r="H266" s="1200"/>
      <c r="I266" s="66"/>
      <c r="J266" s="4"/>
      <c r="K266" s="86"/>
      <c r="L266" s="1292"/>
      <c r="M266" s="305"/>
      <c r="N266" s="282"/>
      <c r="O266" s="282"/>
      <c r="P266" s="280"/>
      <c r="Q266" s="280"/>
      <c r="R266" s="280"/>
      <c r="S266" s="280"/>
      <c r="T266" s="280"/>
      <c r="U266" s="280"/>
      <c r="V266" s="280"/>
      <c r="W266" s="280"/>
      <c r="X266" s="280"/>
      <c r="Y266" s="104"/>
      <c r="Z266" s="1172"/>
      <c r="AX266" s="279" t="str">
        <f>'Overview (Verification)'!A9</f>
        <v>Physical Address of Home:</v>
      </c>
      <c r="AY266" s="319">
        <f>IF(LEN('Overview (Verification)'!P9)=0,0,'Overview (Verification)'!P9)</f>
        <v>0</v>
      </c>
      <c r="BJ266" s="1184" t="s">
        <v>4763</v>
      </c>
    </row>
    <row r="267" spans="1:62" ht="15" thickTop="1" x14ac:dyDescent="0.3">
      <c r="A267" s="1200">
        <v>6</v>
      </c>
      <c r="B267" s="1208">
        <v>601.1</v>
      </c>
      <c r="C267" s="1203"/>
      <c r="D267" s="1203"/>
      <c r="E267" s="1203"/>
      <c r="F267" s="1203"/>
      <c r="G267" s="1202" t="str">
        <f>IF(N267&gt;0,"P","")</f>
        <v/>
      </c>
      <c r="H267" s="1200" t="s">
        <v>4387</v>
      </c>
      <c r="I267" s="200">
        <v>601.1</v>
      </c>
      <c r="J267" s="201"/>
      <c r="K267" s="202"/>
      <c r="L267" s="1331" t="s">
        <v>539</v>
      </c>
      <c r="M267" s="306"/>
      <c r="N267" s="1528">
        <f>'Ch6'!O13</f>
        <v>0</v>
      </c>
      <c r="O267" s="1528">
        <f>IFERROR(INDEX({14,12,9,6,3,0},MATCH(AY277,{1,701,1001,1501,2001,2501,100000},1)),0)</f>
        <v>0</v>
      </c>
      <c r="P267" s="110"/>
      <c r="Q267" s="110"/>
      <c r="R267" s="110"/>
      <c r="S267" s="110"/>
      <c r="T267" s="110"/>
      <c r="U267" s="110"/>
      <c r="V267" s="110"/>
      <c r="W267" s="110"/>
      <c r="X267" s="1327"/>
      <c r="Y267" s="1525" t="str">
        <f>IF(LEN('Ch6'!X13)=0,"None",'Ch6'!X13)</f>
        <v>None</v>
      </c>
      <c r="Z267" s="1585"/>
      <c r="AA267" s="1110">
        <f>'Photo Review'!H267</f>
        <v>0</v>
      </c>
      <c r="AC267" s="280"/>
      <c r="AD267" s="280"/>
      <c r="AE267" s="280"/>
      <c r="AF267" s="280"/>
      <c r="AG267" s="280"/>
      <c r="AH267" s="280"/>
      <c r="AI267" s="280"/>
      <c r="AJ267" s="280"/>
      <c r="AK267" s="280"/>
      <c r="AL267" s="280"/>
      <c r="AM267" s="280"/>
      <c r="AN267" s="311" t="str">
        <f>SUBSTITUTE(SUBSTITUTE(SUBSTITUTE("vpc"&amp;$B267&amp;$C267&amp;$D267&amp;$E267&amp;$F267,".","_"),"(","_"),")","")</f>
        <v>vpc601_1</v>
      </c>
      <c r="AO267" s="311">
        <f>O267</f>
        <v>0</v>
      </c>
      <c r="AP267" s="280"/>
      <c r="AQ267" s="280"/>
      <c r="AR267" s="311" t="str">
        <f>SUBSTITUTE(SUBSTITUTE(SUBSTITUTE("vnt"&amp;$B267&amp;$C267&amp;$D267&amp;$E267&amp;$F267,".","_"),"(","_"),")","")</f>
        <v>vnt601_1</v>
      </c>
      <c r="AS267" s="311">
        <f>X267</f>
        <v>0</v>
      </c>
      <c r="AX267" s="279" t="str">
        <f>'Overview (Verification)'!A10</f>
        <v>Community/Lot #:</v>
      </c>
      <c r="AY267" s="319">
        <f>IF(LEN('Overview (Verification)'!P10)=0,0,'Overview (Verification)'!P10)</f>
        <v>0</v>
      </c>
      <c r="BJ267" s="1184" t="s">
        <v>4763</v>
      </c>
    </row>
    <row r="268" spans="1:62" x14ac:dyDescent="0.3">
      <c r="A268" s="1200">
        <v>6</v>
      </c>
      <c r="B268" s="1208">
        <v>601.1</v>
      </c>
      <c r="C268" s="1203"/>
      <c r="D268" s="1203"/>
      <c r="E268" s="1203"/>
      <c r="F268" s="1203"/>
      <c r="G268" s="1202" t="str">
        <f t="shared" ref="G268:G278" si="83">G267</f>
        <v/>
      </c>
      <c r="H268" s="1200" t="s">
        <v>4387</v>
      </c>
      <c r="I268" s="141"/>
      <c r="J268" s="140"/>
      <c r="K268" s="98"/>
      <c r="L268" s="1313"/>
      <c r="M268" s="300"/>
      <c r="N268" s="1473"/>
      <c r="O268" s="1473"/>
      <c r="P268" s="97"/>
      <c r="Q268" s="97"/>
      <c r="R268" s="97"/>
      <c r="S268" s="97"/>
      <c r="T268" s="97"/>
      <c r="U268" s="97"/>
      <c r="V268" s="97"/>
      <c r="W268" s="97"/>
      <c r="X268" s="1295"/>
      <c r="Y268" s="1523"/>
      <c r="Z268" s="1583"/>
      <c r="AC268" s="280"/>
      <c r="AD268" s="280"/>
      <c r="AE268" s="280"/>
      <c r="AF268" s="280"/>
      <c r="AG268" s="280"/>
      <c r="AH268" s="280"/>
      <c r="AI268" s="280"/>
      <c r="AJ268" s="280"/>
      <c r="AK268" s="280"/>
      <c r="AL268" s="280"/>
      <c r="AM268" s="280"/>
      <c r="AN268" s="280"/>
      <c r="AO268" s="280"/>
      <c r="AP268" s="280"/>
      <c r="AQ268" s="280"/>
      <c r="AR268" s="280"/>
      <c r="AS268" s="280"/>
      <c r="AX268" s="279" t="str">
        <f>'Overview (Verification)'!A11</f>
        <v>City:</v>
      </c>
      <c r="AY268" s="319">
        <f>IF(LEN('Overview (Verification)'!P11)=0,0,'Overview (Verification)'!P11)</f>
        <v>0</v>
      </c>
      <c r="BJ268" s="1184" t="s">
        <v>4763</v>
      </c>
    </row>
    <row r="269" spans="1:62" x14ac:dyDescent="0.3">
      <c r="A269" s="1200">
        <v>6</v>
      </c>
      <c r="B269" s="1208">
        <v>601.1</v>
      </c>
      <c r="C269" s="1203"/>
      <c r="D269" s="1203"/>
      <c r="E269" s="1203"/>
      <c r="F269" s="1203"/>
      <c r="G269" s="1202" t="str">
        <f t="shared" si="83"/>
        <v/>
      </c>
      <c r="H269" s="1200" t="s">
        <v>4387</v>
      </c>
      <c r="I269" s="141"/>
      <c r="J269" s="140"/>
      <c r="K269" s="98"/>
      <c r="L269" s="1313"/>
      <c r="M269" s="300"/>
      <c r="N269" s="1473"/>
      <c r="O269" s="1473"/>
      <c r="P269" s="97"/>
      <c r="Q269" s="97"/>
      <c r="R269" s="97"/>
      <c r="S269" s="97"/>
      <c r="T269" s="97"/>
      <c r="U269" s="97"/>
      <c r="V269" s="97"/>
      <c r="W269" s="97"/>
      <c r="X269" s="1295"/>
      <c r="Y269" s="1523"/>
      <c r="Z269" s="1583"/>
      <c r="AC269" s="280"/>
      <c r="AD269" s="280"/>
      <c r="AE269" s="280"/>
      <c r="AF269" s="280"/>
      <c r="AG269" s="280"/>
      <c r="AH269" s="280"/>
      <c r="AI269" s="280"/>
      <c r="AJ269" s="280"/>
      <c r="AK269" s="280"/>
      <c r="AL269" s="280"/>
      <c r="AM269" s="280"/>
      <c r="AN269" s="280"/>
      <c r="AO269" s="280"/>
      <c r="AP269" s="280"/>
      <c r="AQ269" s="280"/>
      <c r="AR269" s="280"/>
      <c r="AS269" s="280"/>
      <c r="AX269" s="279" t="str">
        <f>'Overview (Verification)'!A12</f>
        <v>State:</v>
      </c>
      <c r="AY269" s="319">
        <f>IF(LEN('Overview (Verification)'!P12)=0,0,'Overview (Verification)'!P12)</f>
        <v>0</v>
      </c>
      <c r="BC269" s="280" t="str">
        <f>'Overview (Verification)'!T12</f>
        <v>State</v>
      </c>
      <c r="BD269" s="280" t="str">
        <f>'Overview (Verification)'!U12</f>
        <v>County</v>
      </c>
      <c r="BE269" s="280" t="str">
        <f>'Overview (Verification)'!V12</f>
        <v>Radon</v>
      </c>
      <c r="BF269" s="280" t="str">
        <f>'Overview (Verification)'!W12</f>
        <v>Climate</v>
      </c>
      <c r="BG269" s="280" t="str">
        <f>'Overview (Verification)'!X12</f>
        <v>Moist</v>
      </c>
      <c r="BH269" s="280" t="str">
        <f>'Overview (Verification)'!Y12</f>
        <v>WarmHumid</v>
      </c>
      <c r="BJ269" s="1184" t="s">
        <v>4763</v>
      </c>
    </row>
    <row r="270" spans="1:62" x14ac:dyDescent="0.3">
      <c r="A270" s="1200">
        <v>6</v>
      </c>
      <c r="B270" s="1208">
        <v>601.1</v>
      </c>
      <c r="C270" s="1203"/>
      <c r="D270" s="1203"/>
      <c r="E270" s="1203"/>
      <c r="F270" s="1203"/>
      <c r="G270" s="1202" t="str">
        <f t="shared" si="83"/>
        <v/>
      </c>
      <c r="H270" s="1200" t="s">
        <v>4387</v>
      </c>
      <c r="I270" s="141"/>
      <c r="J270" s="140"/>
      <c r="K270" s="98"/>
      <c r="L270" s="1313"/>
      <c r="M270" s="300"/>
      <c r="N270" s="1473"/>
      <c r="O270" s="1473"/>
      <c r="P270" s="97"/>
      <c r="Q270" s="97"/>
      <c r="R270" s="97"/>
      <c r="S270" s="97"/>
      <c r="T270" s="97"/>
      <c r="U270" s="97"/>
      <c r="V270" s="97"/>
      <c r="W270" s="97"/>
      <c r="X270" s="1295"/>
      <c r="Y270" s="1523"/>
      <c r="Z270" s="1583"/>
      <c r="AC270" s="280" t="b">
        <f>OR(AD270:AE270)</f>
        <v>0</v>
      </c>
      <c r="AD270" s="985"/>
      <c r="AE270" s="280" t="b">
        <v>0</v>
      </c>
      <c r="AF270" s="1182" t="b">
        <f>AND(AE270,NOT(Q270))</f>
        <v>0</v>
      </c>
      <c r="AG270" s="280"/>
      <c r="AH270" s="280"/>
      <c r="AI270" s="280"/>
      <c r="AJ270" s="280"/>
      <c r="AK270" s="280"/>
      <c r="AL270" s="280"/>
      <c r="AM270" s="280"/>
      <c r="AN270" s="280"/>
      <c r="AO270" s="280"/>
      <c r="AP270" s="280"/>
      <c r="AQ270" s="280"/>
      <c r="AR270" s="280"/>
      <c r="AS270" s="280"/>
      <c r="AX270" s="279" t="str">
        <f>'Overview (Verification)'!A13</f>
        <v>County:</v>
      </c>
      <c r="AY270" s="319">
        <f>IF(LEN('Overview (Verification)'!P13)=0,0,'Overview (Verification)'!P13)</f>
        <v>0</v>
      </c>
      <c r="AZ270" s="280"/>
      <c r="BA270" s="280"/>
      <c r="BB270" s="280"/>
      <c r="BC270" s="280" t="str">
        <f>'Overview (Verification)'!T13</f>
        <v/>
      </c>
      <c r="BD270" s="280" t="str">
        <f>'Overview (Verification)'!U13</f>
        <v/>
      </c>
      <c r="BE270" s="280" t="str">
        <f>'Overview (Verification)'!V13</f>
        <v>!!</v>
      </c>
      <c r="BF270" s="280" t="str">
        <f>'Overview (Verification)'!W13</f>
        <v>!!</v>
      </c>
      <c r="BG270" s="280" t="str">
        <f>'Overview (Verification)'!X13</f>
        <v>!!</v>
      </c>
      <c r="BH270" s="280" t="str">
        <f>'Overview (Verification)'!Y13</f>
        <v>!!</v>
      </c>
      <c r="BI270" s="280"/>
      <c r="BJ270" s="1184" t="s">
        <v>4763</v>
      </c>
    </row>
    <row r="271" spans="1:62" ht="15" x14ac:dyDescent="0.3">
      <c r="A271" s="1200">
        <v>6</v>
      </c>
      <c r="B271" s="1208">
        <v>601.1</v>
      </c>
      <c r="C271" s="1203"/>
      <c r="D271" s="1203"/>
      <c r="E271" s="1203" t="s">
        <v>271</v>
      </c>
      <c r="F271" s="1203"/>
      <c r="G271" s="1202" t="str">
        <f t="shared" si="83"/>
        <v/>
      </c>
      <c r="H271" s="1200" t="s">
        <v>4387</v>
      </c>
      <c r="I271" s="141"/>
      <c r="J271" s="231" t="s">
        <v>271</v>
      </c>
      <c r="K271" s="193"/>
      <c r="L271" s="232" t="s">
        <v>540</v>
      </c>
      <c r="M271" s="301">
        <v>14</v>
      </c>
      <c r="N271" s="283"/>
      <c r="O271" s="283"/>
      <c r="P271" s="97"/>
      <c r="Q271" s="97"/>
      <c r="R271" s="97"/>
      <c r="S271" s="97"/>
      <c r="T271" s="97"/>
      <c r="U271" s="97"/>
      <c r="V271" s="97"/>
      <c r="W271" s="97"/>
      <c r="X271" s="1295"/>
      <c r="Y271" s="1523"/>
      <c r="Z271" s="1583"/>
      <c r="AC271" s="280"/>
      <c r="AD271" s="280"/>
      <c r="AE271" s="280"/>
      <c r="AF271" s="280"/>
      <c r="AG271" s="280"/>
      <c r="AH271" s="280"/>
      <c r="AI271" s="280"/>
      <c r="AJ271" s="280"/>
      <c r="AK271" s="280"/>
      <c r="AL271" s="311" t="str">
        <f t="shared" ref="AL271:AL275" si="84">SUBSTITUTE(SUBSTITUTE(SUBSTITUTE("vpa"&amp;$B271&amp;$C271&amp;$D271&amp;$E271&amp;$F271,".","_"),"(","_"),")","")</f>
        <v>vpa601_1_1</v>
      </c>
      <c r="AM271" s="311">
        <f>M271</f>
        <v>14</v>
      </c>
      <c r="AN271" s="280"/>
      <c r="AO271" s="280"/>
      <c r="AP271" s="280"/>
      <c r="AQ271" s="280"/>
      <c r="AR271" s="280"/>
      <c r="AS271" s="280"/>
      <c r="AX271" s="279" t="str">
        <f>'Overview (Verification)'!A14</f>
        <v>Zip:</v>
      </c>
      <c r="AY271" s="319">
        <f>IF(LEN('Overview (Verification)'!P14)=0,0,'Overview (Verification)'!P14)</f>
        <v>0</v>
      </c>
      <c r="AZ271" s="280"/>
      <c r="BA271" s="280"/>
      <c r="BB271" s="280"/>
      <c r="BC271" s="280"/>
      <c r="BD271" s="280"/>
      <c r="BE271" s="280"/>
      <c r="BF271" s="280"/>
      <c r="BG271" s="280"/>
      <c r="BH271" s="280"/>
      <c r="BI271" s="280"/>
      <c r="BJ271" s="1184" t="s">
        <v>4763</v>
      </c>
    </row>
    <row r="272" spans="1:62" ht="15" x14ac:dyDescent="0.3">
      <c r="A272" s="1200">
        <v>6</v>
      </c>
      <c r="B272" s="1208">
        <v>601.1</v>
      </c>
      <c r="C272" s="1203"/>
      <c r="D272" s="1203"/>
      <c r="E272" s="1203" t="s">
        <v>273</v>
      </c>
      <c r="F272" s="1203"/>
      <c r="G272" s="1202" t="str">
        <f t="shared" si="83"/>
        <v/>
      </c>
      <c r="H272" s="1200" t="s">
        <v>4387</v>
      </c>
      <c r="I272" s="141"/>
      <c r="J272" s="233" t="s">
        <v>273</v>
      </c>
      <c r="K272" s="234"/>
      <c r="L272" s="235" t="s">
        <v>541</v>
      </c>
      <c r="M272" s="236">
        <v>12</v>
      </c>
      <c r="N272" s="283"/>
      <c r="O272" s="283"/>
      <c r="P272" s="97"/>
      <c r="Q272" s="97"/>
      <c r="R272" s="97"/>
      <c r="S272" s="97"/>
      <c r="T272" s="97"/>
      <c r="U272" s="97"/>
      <c r="V272" s="97"/>
      <c r="W272" s="97"/>
      <c r="X272" s="1295"/>
      <c r="Y272" s="1523"/>
      <c r="Z272" s="1583"/>
      <c r="AC272" s="280"/>
      <c r="AD272" s="280"/>
      <c r="AE272" s="280"/>
      <c r="AF272" s="280"/>
      <c r="AG272" s="280"/>
      <c r="AH272" s="280"/>
      <c r="AI272" s="280"/>
      <c r="AJ272" s="280"/>
      <c r="AK272" s="280"/>
      <c r="AL272" s="311" t="str">
        <f t="shared" si="84"/>
        <v>vpa601_1_2</v>
      </c>
      <c r="AM272" s="311">
        <f>M272</f>
        <v>12</v>
      </c>
      <c r="AN272" s="280"/>
      <c r="AO272" s="280"/>
      <c r="AP272" s="280"/>
      <c r="AQ272" s="280"/>
      <c r="AR272" s="280"/>
      <c r="AS272" s="280"/>
      <c r="AX272" s="279"/>
      <c r="AY272" s="280"/>
      <c r="BJ272" s="1184" t="s">
        <v>4763</v>
      </c>
    </row>
    <row r="273" spans="1:62" ht="15" x14ac:dyDescent="0.3">
      <c r="A273" s="1200">
        <v>6</v>
      </c>
      <c r="B273" s="1208">
        <v>601.1</v>
      </c>
      <c r="C273" s="1203"/>
      <c r="D273" s="1203"/>
      <c r="E273" s="1203" t="s">
        <v>275</v>
      </c>
      <c r="F273" s="1203"/>
      <c r="G273" s="1202" t="str">
        <f t="shared" si="83"/>
        <v/>
      </c>
      <c r="H273" s="1200" t="s">
        <v>4387</v>
      </c>
      <c r="I273" s="141"/>
      <c r="J273" s="233" t="s">
        <v>275</v>
      </c>
      <c r="K273" s="234"/>
      <c r="L273" s="235" t="s">
        <v>542</v>
      </c>
      <c r="M273" s="236">
        <v>9</v>
      </c>
      <c r="N273" s="283"/>
      <c r="O273" s="283"/>
      <c r="P273" s="97"/>
      <c r="Q273" s="97"/>
      <c r="R273" s="97"/>
      <c r="S273" s="97"/>
      <c r="T273" s="97"/>
      <c r="U273" s="97"/>
      <c r="V273" s="97"/>
      <c r="W273" s="97"/>
      <c r="X273" s="1295"/>
      <c r="Y273" s="1523"/>
      <c r="Z273" s="1583"/>
      <c r="AC273" s="280"/>
      <c r="AD273" s="280"/>
      <c r="AE273" s="280"/>
      <c r="AF273" s="280"/>
      <c r="AG273" s="280"/>
      <c r="AH273" s="280"/>
      <c r="AI273" s="280"/>
      <c r="AJ273" s="280"/>
      <c r="AK273" s="280"/>
      <c r="AL273" s="311" t="str">
        <f t="shared" si="84"/>
        <v>vpa601_1_3</v>
      </c>
      <c r="AM273" s="311">
        <f>M273</f>
        <v>9</v>
      </c>
      <c r="AN273" s="280"/>
      <c r="AO273" s="280"/>
      <c r="AP273" s="280"/>
      <c r="AQ273" s="280"/>
      <c r="AR273" s="280"/>
      <c r="AS273" s="280"/>
      <c r="AX273" s="279" t="str">
        <f>'Overview (Verification)'!A16</f>
        <v>Single-Family or Multifamily:</v>
      </c>
      <c r="AY273" s="319">
        <f>IF(LEN('Overview (Verification)'!P16)=0,0,'Overview (Verification)'!P16)</f>
        <v>0</v>
      </c>
      <c r="BJ273" s="1184" t="s">
        <v>4763</v>
      </c>
    </row>
    <row r="274" spans="1:62" ht="15" x14ac:dyDescent="0.3">
      <c r="A274" s="1200">
        <v>6</v>
      </c>
      <c r="B274" s="1208">
        <v>601.1</v>
      </c>
      <c r="C274" s="1203"/>
      <c r="D274" s="1203"/>
      <c r="E274" s="1203" t="s">
        <v>285</v>
      </c>
      <c r="F274" s="1203"/>
      <c r="G274" s="1202" t="str">
        <f t="shared" si="83"/>
        <v/>
      </c>
      <c r="H274" s="1200" t="s">
        <v>4387</v>
      </c>
      <c r="I274" s="141"/>
      <c r="J274" s="233" t="s">
        <v>285</v>
      </c>
      <c r="K274" s="234"/>
      <c r="L274" s="235" t="s">
        <v>543</v>
      </c>
      <c r="M274" s="236">
        <v>6</v>
      </c>
      <c r="N274" s="283"/>
      <c r="O274" s="283"/>
      <c r="P274" s="97"/>
      <c r="Q274" s="97"/>
      <c r="R274" s="97"/>
      <c r="S274" s="97"/>
      <c r="T274" s="97"/>
      <c r="U274" s="97"/>
      <c r="V274" s="97"/>
      <c r="W274" s="97"/>
      <c r="X274" s="1295"/>
      <c r="Y274" s="1523"/>
      <c r="Z274" s="1583"/>
      <c r="AC274" s="280"/>
      <c r="AD274" s="280"/>
      <c r="AE274" s="280"/>
      <c r="AF274" s="280"/>
      <c r="AG274" s="280"/>
      <c r="AH274" s="280"/>
      <c r="AI274" s="280"/>
      <c r="AJ274" s="280"/>
      <c r="AK274" s="280"/>
      <c r="AL274" s="311" t="str">
        <f t="shared" si="84"/>
        <v>vpa601_1_4</v>
      </c>
      <c r="AM274" s="311">
        <f>M274</f>
        <v>6</v>
      </c>
      <c r="AN274" s="280"/>
      <c r="AO274" s="280"/>
      <c r="AP274" s="280"/>
      <c r="AQ274" s="280"/>
      <c r="AR274" s="280"/>
      <c r="AS274" s="280"/>
      <c r="AX274" s="279" t="str">
        <f>'Overview (Verification)'!A17</f>
        <v>Number of Units:</v>
      </c>
      <c r="AY274" s="319">
        <f>IF(LEN('Overview (Verification)'!P17)=0,0,'Overview (Verification)'!P17)</f>
        <v>0</v>
      </c>
      <c r="BJ274" s="1184" t="s">
        <v>4763</v>
      </c>
    </row>
    <row r="275" spans="1:62" ht="15" x14ac:dyDescent="0.3">
      <c r="A275" s="1200">
        <v>6</v>
      </c>
      <c r="B275" s="1208">
        <v>601.1</v>
      </c>
      <c r="C275" s="1203"/>
      <c r="D275" s="1203"/>
      <c r="E275" s="1203" t="s">
        <v>291</v>
      </c>
      <c r="F275" s="1203"/>
      <c r="G275" s="1202" t="str">
        <f t="shared" si="83"/>
        <v/>
      </c>
      <c r="H275" s="1200" t="s">
        <v>4387</v>
      </c>
      <c r="I275" s="141"/>
      <c r="J275" s="233" t="s">
        <v>291</v>
      </c>
      <c r="K275" s="234"/>
      <c r="L275" s="235" t="s">
        <v>544</v>
      </c>
      <c r="M275" s="236">
        <v>3</v>
      </c>
      <c r="N275" s="283"/>
      <c r="O275" s="283"/>
      <c r="P275" s="97"/>
      <c r="Q275" s="97"/>
      <c r="R275" s="97"/>
      <c r="S275" s="97"/>
      <c r="T275" s="97"/>
      <c r="U275" s="97"/>
      <c r="V275" s="97"/>
      <c r="W275" s="97"/>
      <c r="X275" s="1295"/>
      <c r="Y275" s="1523"/>
      <c r="Z275" s="1583"/>
      <c r="AC275" s="280"/>
      <c r="AD275" s="280"/>
      <c r="AE275" s="280"/>
      <c r="AF275" s="280"/>
      <c r="AG275" s="280"/>
      <c r="AH275" s="280"/>
      <c r="AI275" s="280"/>
      <c r="AJ275" s="280"/>
      <c r="AK275" s="280"/>
      <c r="AL275" s="311" t="str">
        <f t="shared" si="84"/>
        <v>vpa601_1_5</v>
      </c>
      <c r="AM275" s="311">
        <f>M275</f>
        <v>3</v>
      </c>
      <c r="AN275" s="280"/>
      <c r="AO275" s="280"/>
      <c r="AP275" s="280"/>
      <c r="AQ275" s="280"/>
      <c r="AR275" s="280"/>
      <c r="AS275" s="280"/>
      <c r="AX275" s="279" t="str">
        <f>'Overview (Verification)'!A18</f>
        <v>Project Name:</v>
      </c>
      <c r="AY275" s="319">
        <f>IF(LEN('Overview (Verification)'!P18)=0,0,'Overview (Verification)'!P18)</f>
        <v>0</v>
      </c>
      <c r="BJ275" s="1184" t="s">
        <v>4763</v>
      </c>
    </row>
    <row r="276" spans="1:62" ht="15" x14ac:dyDescent="0.3">
      <c r="A276" s="1200">
        <v>6</v>
      </c>
      <c r="B276" s="1208">
        <v>601.1</v>
      </c>
      <c r="C276" s="1203"/>
      <c r="D276" s="1203"/>
      <c r="E276" s="1203" t="s">
        <v>293</v>
      </c>
      <c r="F276" s="1203"/>
      <c r="G276" s="1202" t="str">
        <f t="shared" si="83"/>
        <v/>
      </c>
      <c r="H276" s="1200" t="s">
        <v>4387</v>
      </c>
      <c r="I276" s="141"/>
      <c r="J276" s="203" t="s">
        <v>293</v>
      </c>
      <c r="K276" s="98"/>
      <c r="L276" s="204" t="s">
        <v>545</v>
      </c>
      <c r="M276" s="1091" t="str">
        <f>IF(AY277&gt;4000,"Mandatory","N/A")</f>
        <v>N/A</v>
      </c>
      <c r="N276" s="283"/>
      <c r="O276" s="283"/>
      <c r="P276" s="97"/>
      <c r="Q276" s="97"/>
      <c r="R276" s="97"/>
      <c r="S276" s="97"/>
      <c r="T276" s="97"/>
      <c r="U276" s="97"/>
      <c r="V276" s="97"/>
      <c r="W276" s="97"/>
      <c r="X276" s="1295"/>
      <c r="Y276" s="1523"/>
      <c r="Z276" s="1583"/>
      <c r="AC276" s="280"/>
      <c r="AD276" s="280"/>
      <c r="AE276" s="280"/>
      <c r="AF276" s="280"/>
      <c r="AG276" s="280"/>
      <c r="AH276" s="280"/>
      <c r="AI276" s="280"/>
      <c r="AJ276" s="280"/>
      <c r="AK276" s="280"/>
      <c r="AL276" s="280"/>
      <c r="AM276" s="280"/>
      <c r="AN276" s="280"/>
      <c r="AO276" s="280"/>
      <c r="AP276" s="280"/>
      <c r="AQ276" s="280"/>
      <c r="AR276" s="280"/>
      <c r="AS276" s="280"/>
      <c r="AX276" s="279"/>
      <c r="AY276" s="280"/>
      <c r="BJ276" s="1184" t="s">
        <v>4763</v>
      </c>
    </row>
    <row r="277" spans="1:62" x14ac:dyDescent="0.3">
      <c r="A277" s="1200">
        <v>6</v>
      </c>
      <c r="B277" s="1208">
        <v>601.1</v>
      </c>
      <c r="C277" s="1203"/>
      <c r="D277" s="1203"/>
      <c r="E277" s="1203" t="s">
        <v>293</v>
      </c>
      <c r="F277" s="1203"/>
      <c r="G277" s="1202" t="str">
        <f t="shared" si="83"/>
        <v/>
      </c>
      <c r="H277" s="1200" t="s">
        <v>4387</v>
      </c>
      <c r="I277" s="141"/>
      <c r="J277" s="140"/>
      <c r="K277" s="98"/>
      <c r="L277" s="1313" t="s">
        <v>546</v>
      </c>
      <c r="M277" s="205" t="s">
        <v>1301</v>
      </c>
      <c r="N277" s="283"/>
      <c r="O277" s="283"/>
      <c r="P277" s="97"/>
      <c r="Q277" s="97"/>
      <c r="R277" s="97"/>
      <c r="S277" s="97"/>
      <c r="T277" s="97"/>
      <c r="U277" s="97"/>
      <c r="V277" s="97"/>
      <c r="W277" s="97"/>
      <c r="X277" s="1295"/>
      <c r="Y277" s="1523"/>
      <c r="Z277" s="1583"/>
      <c r="AC277" s="280"/>
      <c r="AD277" s="280"/>
      <c r="AE277" s="280"/>
      <c r="AF277" s="280"/>
      <c r="AG277" s="280"/>
      <c r="AH277" s="280"/>
      <c r="AI277" s="280"/>
      <c r="AJ277" s="280"/>
      <c r="AK277" s="280"/>
      <c r="AL277" s="280"/>
      <c r="AM277" s="280"/>
      <c r="AN277" s="280"/>
      <c r="AO277" s="280"/>
      <c r="AP277" s="280"/>
      <c r="AQ277" s="280"/>
      <c r="AR277" s="280"/>
      <c r="AS277" s="280"/>
      <c r="AX277" s="279" t="str">
        <f>'Overview (Verification)'!A20</f>
        <v>Above grade plane finished floor area:</v>
      </c>
      <c r="AY277" s="319">
        <f>IF(LEN('Overview (Verification)'!P20)=0,0,'Overview (Verification)'!P20)</f>
        <v>0</v>
      </c>
      <c r="BJ277" s="1184" t="s">
        <v>4763</v>
      </c>
    </row>
    <row r="278" spans="1:62" x14ac:dyDescent="0.3">
      <c r="A278" s="1200">
        <v>6</v>
      </c>
      <c r="B278" s="1208">
        <v>601.1</v>
      </c>
      <c r="C278" s="1203"/>
      <c r="D278" s="1203"/>
      <c r="E278" s="1203" t="s">
        <v>293</v>
      </c>
      <c r="F278" s="1203"/>
      <c r="G278" s="1202" t="str">
        <f t="shared" si="83"/>
        <v/>
      </c>
      <c r="H278" s="1200" t="s">
        <v>4387</v>
      </c>
      <c r="I278" s="141"/>
      <c r="J278" s="140"/>
      <c r="K278" s="98"/>
      <c r="L278" s="1313"/>
      <c r="M278" s="205">
        <f>MAX(0,ROUNDDOWN((AY277-4000)/100,0))</f>
        <v>0</v>
      </c>
      <c r="N278" s="283"/>
      <c r="O278" s="283"/>
      <c r="P278" s="97"/>
      <c r="Q278" s="97"/>
      <c r="R278" s="97"/>
      <c r="S278" s="97"/>
      <c r="T278" s="97"/>
      <c r="U278" s="97"/>
      <c r="V278" s="97"/>
      <c r="W278" s="97"/>
      <c r="X278" s="1295"/>
      <c r="Y278" s="1523"/>
      <c r="Z278" s="1583"/>
      <c r="AC278" s="280"/>
      <c r="AD278" s="280"/>
      <c r="AE278" s="280"/>
      <c r="AF278" s="280"/>
      <c r="AG278" s="280"/>
      <c r="AH278" s="280"/>
      <c r="AI278" s="280"/>
      <c r="AJ278" s="280"/>
      <c r="AK278" s="280"/>
      <c r="AL278" s="280"/>
      <c r="AM278" s="280"/>
      <c r="AN278" s="280"/>
      <c r="AO278" s="280"/>
      <c r="AP278" s="280"/>
      <c r="AQ278" s="280"/>
      <c r="AR278" s="280"/>
      <c r="AS278" s="280"/>
      <c r="AX278" s="279" t="str">
        <f>'Overview (Verification)'!A21</f>
        <v>Total conditioned floor area:</v>
      </c>
      <c r="AY278" s="319">
        <f>IF(LEN('Overview (Verification)'!P21)=0,0,'Overview (Verification)'!P21)</f>
        <v>0</v>
      </c>
      <c r="BJ278" s="1184" t="s">
        <v>4763</v>
      </c>
    </row>
    <row r="279" spans="1:62" x14ac:dyDescent="0.3">
      <c r="A279" s="1200">
        <v>6</v>
      </c>
      <c r="B279" s="1208">
        <v>601.1</v>
      </c>
      <c r="C279" s="1203"/>
      <c r="D279" s="1203"/>
      <c r="E279" s="1203" t="s">
        <v>293</v>
      </c>
      <c r="F279" s="1203"/>
      <c r="G279" s="1204"/>
      <c r="H279" s="1204"/>
      <c r="I279" s="141"/>
      <c r="J279" s="140"/>
      <c r="K279" s="280"/>
      <c r="L279" s="1328" t="s">
        <v>4102</v>
      </c>
      <c r="M279" s="300"/>
      <c r="N279" s="283"/>
      <c r="O279" s="283"/>
      <c r="P279" s="97"/>
      <c r="Q279" s="97"/>
      <c r="R279" s="97"/>
      <c r="S279" s="97"/>
      <c r="T279" s="97"/>
      <c r="U279" s="97"/>
      <c r="V279" s="97"/>
      <c r="W279" s="97"/>
      <c r="X279" s="1295"/>
      <c r="Y279" s="1523"/>
      <c r="Z279" s="1583"/>
      <c r="AC279" s="280"/>
      <c r="AD279" s="280"/>
      <c r="AE279" s="280"/>
      <c r="AF279" s="280"/>
      <c r="AG279" s="280"/>
      <c r="AH279" s="280"/>
      <c r="AI279" s="280"/>
      <c r="AJ279" s="280"/>
      <c r="AK279" s="280"/>
      <c r="AL279" s="280"/>
      <c r="AM279" s="280"/>
      <c r="AN279" s="280"/>
      <c r="AO279" s="280"/>
      <c r="AP279" s="280"/>
      <c r="AQ279" s="280"/>
      <c r="AR279" s="280"/>
      <c r="AS279" s="280"/>
      <c r="AX279" s="279"/>
      <c r="AY279" s="280"/>
      <c r="BJ279" s="1184" t="s">
        <v>4763</v>
      </c>
    </row>
    <row r="280" spans="1:62" ht="15" thickBot="1" x14ac:dyDescent="0.35">
      <c r="A280" s="1200">
        <v>6</v>
      </c>
      <c r="B280" s="1208">
        <v>601.1</v>
      </c>
      <c r="C280" s="1203"/>
      <c r="D280" s="1203"/>
      <c r="E280" s="1203" t="s">
        <v>293</v>
      </c>
      <c r="F280" s="1203"/>
      <c r="G280" s="1204"/>
      <c r="H280" s="1204"/>
      <c r="I280" s="141"/>
      <c r="J280" s="140"/>
      <c r="K280" s="309"/>
      <c r="L280" s="1328"/>
      <c r="M280" s="300"/>
      <c r="N280" s="283"/>
      <c r="O280" s="283"/>
      <c r="P280" s="97"/>
      <c r="Q280" s="97"/>
      <c r="R280" s="97"/>
      <c r="S280" s="97"/>
      <c r="T280" s="97"/>
      <c r="U280" s="97"/>
      <c r="V280" s="97"/>
      <c r="W280" s="97"/>
      <c r="X280" s="1337"/>
      <c r="Y280" s="1524"/>
      <c r="Z280" s="1584"/>
      <c r="AC280" s="280"/>
      <c r="AD280" s="280"/>
      <c r="AE280" s="280"/>
      <c r="AF280" s="280"/>
      <c r="AG280" s="280"/>
      <c r="AH280" s="280"/>
      <c r="AI280" s="280"/>
      <c r="AJ280" s="280"/>
      <c r="AK280" s="280"/>
      <c r="AL280" s="280"/>
      <c r="AM280" s="280"/>
      <c r="AN280" s="280"/>
      <c r="AO280" s="280"/>
      <c r="AP280" s="280"/>
      <c r="AQ280" s="280"/>
      <c r="AR280" s="280"/>
      <c r="AS280" s="280"/>
      <c r="AX280" s="279" t="str">
        <f>'Overview (Verification)'!A24</f>
        <v xml:space="preserve">Project Description (optional): </v>
      </c>
      <c r="AY280" s="319">
        <f>IF(LEN('Overview (Verification)'!P24)=0,0,'Overview (Verification)'!P24)</f>
        <v>0</v>
      </c>
      <c r="BJ280" s="1184" t="s">
        <v>4763</v>
      </c>
    </row>
    <row r="281" spans="1:62" ht="15" thickTop="1" x14ac:dyDescent="0.3">
      <c r="A281" s="1200">
        <v>6</v>
      </c>
      <c r="B281" s="1208">
        <v>601.20000000000005</v>
      </c>
      <c r="C281" s="1203"/>
      <c r="D281" s="1203"/>
      <c r="E281" s="1203"/>
      <c r="F281" s="1203"/>
      <c r="G281" s="1196" t="str">
        <f>IF(COUNTIF(G283:G289,"P")&gt;0,"P","")</f>
        <v>P</v>
      </c>
      <c r="H281" s="1200" t="s">
        <v>4387</v>
      </c>
      <c r="I281" s="200">
        <v>601.20000000000005</v>
      </c>
      <c r="J281" s="201"/>
      <c r="K281" s="202"/>
      <c r="L281" s="1331" t="s">
        <v>547</v>
      </c>
      <c r="M281" s="306"/>
      <c r="N281" s="296"/>
      <c r="O281" s="296"/>
      <c r="P281" s="110"/>
      <c r="Q281" s="110"/>
      <c r="R281" s="110"/>
      <c r="S281" s="110"/>
      <c r="T281" s="110"/>
      <c r="U281" s="110"/>
      <c r="V281" s="110"/>
      <c r="W281" s="110"/>
      <c r="X281" s="206"/>
      <c r="Y281"/>
      <c r="Z281" s="1055"/>
      <c r="AC281" s="280"/>
      <c r="AD281" s="280"/>
      <c r="AE281" s="280"/>
      <c r="AF281" s="280"/>
      <c r="AG281" s="280"/>
      <c r="AH281" s="280"/>
      <c r="AI281" s="280"/>
      <c r="AJ281" s="280"/>
      <c r="AK281" s="280"/>
      <c r="AL281" s="280"/>
      <c r="AM281" s="280"/>
      <c r="AN281" s="280"/>
      <c r="AO281" s="280"/>
      <c r="AP281" s="280"/>
      <c r="AQ281" s="280"/>
      <c r="AR281" s="280"/>
      <c r="AS281" s="280"/>
      <c r="BJ281" s="1184" t="s">
        <v>4763</v>
      </c>
    </row>
    <row r="282" spans="1:62" x14ac:dyDescent="0.3">
      <c r="A282" s="1200">
        <v>6</v>
      </c>
      <c r="B282" s="1208">
        <v>601.20000000000005</v>
      </c>
      <c r="C282" s="1203"/>
      <c r="D282" s="1203"/>
      <c r="E282" s="1203"/>
      <c r="F282" s="1203"/>
      <c r="G282" s="1202" t="str">
        <f t="shared" ref="G282" si="85">G281</f>
        <v>P</v>
      </c>
      <c r="H282" s="1200" t="s">
        <v>4387</v>
      </c>
      <c r="I282" s="141"/>
      <c r="J282" s="140"/>
      <c r="K282" s="98"/>
      <c r="L282" s="1313"/>
      <c r="M282" s="300"/>
      <c r="N282" s="283"/>
      <c r="O282" s="283"/>
      <c r="P282" s="97"/>
      <c r="Q282" s="97"/>
      <c r="R282" s="97"/>
      <c r="S282" s="97"/>
      <c r="T282" s="97"/>
      <c r="U282" s="97"/>
      <c r="V282" s="97"/>
      <c r="W282" s="97"/>
      <c r="X282" s="118"/>
      <c r="Y282"/>
      <c r="Z282" s="1055"/>
      <c r="AC282" s="280"/>
      <c r="AD282" s="280"/>
      <c r="AE282" s="280"/>
      <c r="AF282" s="280"/>
      <c r="AG282" s="280"/>
      <c r="AH282" s="280"/>
      <c r="AI282" s="280"/>
      <c r="AJ282" s="280"/>
      <c r="AK282" s="280"/>
      <c r="AL282" s="280"/>
      <c r="AM282" s="280"/>
      <c r="AN282" s="280"/>
      <c r="AO282" s="280"/>
      <c r="AP282" s="280"/>
      <c r="AQ282" s="280"/>
      <c r="AR282" s="280"/>
      <c r="AS282" s="280"/>
      <c r="AX282" s="320" t="str">
        <f>'Overview (Verification)'!A26</f>
        <v>HERS Index (if available):</v>
      </c>
      <c r="AY282" s="321">
        <f>IF(LEN('Overview (Verification)'!P26)=0,0,'Overview (Verification)'!P26)</f>
        <v>0</v>
      </c>
      <c r="BJ282" s="1184" t="s">
        <v>4763</v>
      </c>
    </row>
    <row r="283" spans="1:62" x14ac:dyDescent="0.3">
      <c r="A283" s="1200">
        <v>6</v>
      </c>
      <c r="B283" s="1208">
        <v>601.20000000000005</v>
      </c>
      <c r="C283" s="1203"/>
      <c r="D283" s="1203"/>
      <c r="E283" s="1203" t="s">
        <v>271</v>
      </c>
      <c r="F283" s="1203"/>
      <c r="G283" s="1202" t="str">
        <f>IF(N283&gt;0,"P","")</f>
        <v>P</v>
      </c>
      <c r="H283" s="1200" t="s">
        <v>4387</v>
      </c>
      <c r="I283" s="66"/>
      <c r="J283" s="203" t="s">
        <v>271</v>
      </c>
      <c r="K283" s="98"/>
      <c r="L283" s="1305" t="s">
        <v>549</v>
      </c>
      <c r="M283" s="1318">
        <v>3</v>
      </c>
      <c r="N283" s="1473">
        <f>'Ch6'!O29</f>
        <v>3</v>
      </c>
      <c r="O283" s="1473">
        <f>M283*S283*W283</f>
        <v>0</v>
      </c>
      <c r="P283" s="280" t="b">
        <v>1</v>
      </c>
      <c r="Q283" s="280" t="b">
        <v>0</v>
      </c>
      <c r="R283" s="280" t="b">
        <v>0</v>
      </c>
      <c r="S283" s="280" t="b">
        <v>1</v>
      </c>
      <c r="T283" s="280" t="b">
        <v>0</v>
      </c>
      <c r="U283" s="280"/>
      <c r="V283" s="280"/>
      <c r="W283" s="25"/>
      <c r="X283" s="1303"/>
      <c r="Y283" s="1522" t="str">
        <f>IF(LEN('Ch6'!X29)=0,"None",'Ch6'!X29)</f>
        <v>ZERH Requirement - ENERGY STAR Certified Home National Rater Field Checklist, Section 3.4.3 Advanced Framing</v>
      </c>
      <c r="Z283" s="1586"/>
      <c r="AC283" s="280"/>
      <c r="AD283" s="280"/>
      <c r="AE283" s="280"/>
      <c r="AF283" s="280"/>
      <c r="AG283" s="280"/>
      <c r="AH283" s="280"/>
      <c r="AI283" s="280"/>
      <c r="AJ283" s="280"/>
      <c r="AK283" s="280"/>
      <c r="AL283" s="311" t="str">
        <f>SUBSTITUTE(SUBSTITUTE(SUBSTITUTE("vpa"&amp;$B283&amp;$C283&amp;$D283&amp;$E283&amp;$F283,".","_"),"(","_"),")","")</f>
        <v>vpa601_2_1</v>
      </c>
      <c r="AM283" s="311">
        <f>M283</f>
        <v>3</v>
      </c>
      <c r="AN283" s="311" t="str">
        <f>SUBSTITUTE(SUBSTITUTE(SUBSTITUTE("vpc"&amp;$B283&amp;$C283&amp;$D283&amp;$E283&amp;$F283,".","_"),"(","_"),")","")</f>
        <v>vpc601_2_1</v>
      </c>
      <c r="AO283" s="311">
        <f>O283</f>
        <v>0</v>
      </c>
      <c r="AP283" s="311" t="str">
        <f>SUBSTITUTE(SUBSTITUTE(SUBSTITUTE("vch"&amp;$B283&amp;$C283&amp;$D283&amp;$E283&amp;$F283,".","_"),"(","_"),")","")</f>
        <v>vch601_2_1</v>
      </c>
      <c r="AQ283" s="311">
        <f>W283</f>
        <v>0</v>
      </c>
      <c r="AR283" s="311" t="str">
        <f>SUBSTITUTE(SUBSTITUTE(SUBSTITUTE("vnt"&amp;$B283&amp;$C283&amp;$D283&amp;$E283&amp;$F283,".","_"),"(","_"),")","")</f>
        <v>vnt601_2_1</v>
      </c>
      <c r="AS283" s="311">
        <f>X283</f>
        <v>0</v>
      </c>
      <c r="AX283" s="320" t="str">
        <f>'Overview (Verification)'!A27</f>
        <v>Foundation Type:</v>
      </c>
      <c r="AY283" s="321">
        <f>IF(LEN('Overview (Verification)'!P27)=0,0,'Overview (Verification)'!P27)</f>
        <v>0</v>
      </c>
      <c r="AZ283" s="1">
        <f>IFERROR(MATCH(AY283,ddFoundation,0),0)</f>
        <v>0</v>
      </c>
      <c r="BJ283" s="1184" t="s">
        <v>4763</v>
      </c>
    </row>
    <row r="284" spans="1:62" x14ac:dyDescent="0.3">
      <c r="A284" s="1200">
        <v>6</v>
      </c>
      <c r="B284" s="1208">
        <v>601.20000000000005</v>
      </c>
      <c r="C284" s="1203"/>
      <c r="D284" s="1203"/>
      <c r="E284" s="1203" t="s">
        <v>271</v>
      </c>
      <c r="F284" s="1203"/>
      <c r="G284" s="1202" t="str">
        <f t="shared" ref="G284:G285" si="86">G283</f>
        <v>P</v>
      </c>
      <c r="H284" s="1200" t="s">
        <v>4387</v>
      </c>
      <c r="I284" s="66"/>
      <c r="J284" s="140"/>
      <c r="K284" s="98"/>
      <c r="L284" s="1305"/>
      <c r="M284" s="1318"/>
      <c r="N284" s="1473"/>
      <c r="O284" s="1473"/>
      <c r="P284" s="280"/>
      <c r="Q284" s="280"/>
      <c r="R284" s="280"/>
      <c r="S284" s="280"/>
      <c r="T284" s="280"/>
      <c r="U284" s="280"/>
      <c r="V284" s="280"/>
      <c r="W284" s="280"/>
      <c r="X284" s="1303"/>
      <c r="Y284" s="1522"/>
      <c r="Z284" s="1586"/>
      <c r="AC284" s="280"/>
      <c r="AD284" s="280"/>
      <c r="AE284" s="280"/>
      <c r="AF284" s="280"/>
      <c r="AG284" s="280"/>
      <c r="AH284" s="280"/>
      <c r="AI284" s="280"/>
      <c r="AJ284" s="280"/>
      <c r="AK284" s="280"/>
      <c r="AL284" s="280"/>
      <c r="AM284" s="280"/>
      <c r="AN284" s="280"/>
      <c r="AO284" s="280"/>
      <c r="AP284" s="280"/>
      <c r="AQ284" s="280"/>
      <c r="AR284" s="280"/>
      <c r="AS284" s="280"/>
      <c r="AX284" s="320" t="str">
        <f>'Overview (Verification)'!A29</f>
        <v>Type of Heating System (main system):</v>
      </c>
      <c r="AY284" s="321">
        <f>IF(LEN('Overview (Verification)'!P29)=0,0,'Overview (Verification)'!P29)</f>
        <v>0</v>
      </c>
      <c r="BJ284" s="1184" t="s">
        <v>4763</v>
      </c>
    </row>
    <row r="285" spans="1:62" x14ac:dyDescent="0.3">
      <c r="A285" s="1200">
        <v>6</v>
      </c>
      <c r="B285" s="1208">
        <v>601.20000000000005</v>
      </c>
      <c r="C285" s="1203"/>
      <c r="D285" s="1203"/>
      <c r="E285" s="1203" t="s">
        <v>271</v>
      </c>
      <c r="F285" s="1203"/>
      <c r="G285" s="1202" t="str">
        <f t="shared" si="86"/>
        <v>P</v>
      </c>
      <c r="H285" s="1200" t="s">
        <v>4387</v>
      </c>
      <c r="I285" s="66"/>
      <c r="J285" s="238"/>
      <c r="K285" s="193"/>
      <c r="L285" s="1306"/>
      <c r="M285" s="1319"/>
      <c r="N285" s="1491"/>
      <c r="O285" s="1491"/>
      <c r="P285" s="280"/>
      <c r="Q285" s="280"/>
      <c r="R285" s="280"/>
      <c r="S285" s="280"/>
      <c r="T285" s="280"/>
      <c r="U285" s="280"/>
      <c r="V285" s="280"/>
      <c r="W285" s="280"/>
      <c r="X285" s="1303"/>
      <c r="Y285" s="1522"/>
      <c r="Z285" s="1586"/>
      <c r="AC285" s="280"/>
      <c r="AD285" s="280"/>
      <c r="AE285" s="280"/>
      <c r="AF285" s="280"/>
      <c r="AG285" s="280"/>
      <c r="AH285" s="280"/>
      <c r="AI285" s="280"/>
      <c r="AJ285" s="280"/>
      <c r="AK285" s="280"/>
      <c r="AL285" s="280"/>
      <c r="AM285" s="280"/>
      <c r="AN285" s="280"/>
      <c r="AO285" s="280"/>
      <c r="AP285" s="280"/>
      <c r="AQ285" s="280"/>
      <c r="AR285" s="280"/>
      <c r="AS285" s="280"/>
      <c r="AX285" s="320" t="str">
        <f>'Overview (Verification)'!A30</f>
        <v>Type of Heating System (system 2):</v>
      </c>
      <c r="AY285" s="321">
        <f>IF(LEN('Overview (Verification)'!P30)=0,0,'Overview (Verification)'!P30)</f>
        <v>0</v>
      </c>
      <c r="BJ285" s="1184" t="s">
        <v>4763</v>
      </c>
    </row>
    <row r="286" spans="1:62" x14ac:dyDescent="0.3">
      <c r="A286" s="1200">
        <v>6</v>
      </c>
      <c r="B286" s="1208">
        <v>601.20000000000005</v>
      </c>
      <c r="C286" s="1203"/>
      <c r="D286" s="1203"/>
      <c r="E286" s="1203" t="s">
        <v>273</v>
      </c>
      <c r="F286" s="1203"/>
      <c r="G286" s="1202" t="str">
        <f>IF(N286&gt;0,"P","")</f>
        <v/>
      </c>
      <c r="H286" s="1200" t="s">
        <v>4387</v>
      </c>
      <c r="I286" s="66"/>
      <c r="J286" s="203" t="s">
        <v>273</v>
      </c>
      <c r="K286" s="98"/>
      <c r="L286" s="1305" t="s">
        <v>550</v>
      </c>
      <c r="M286" s="1318">
        <v>3</v>
      </c>
      <c r="N286" s="1472">
        <f>'Ch6'!O32</f>
        <v>0</v>
      </c>
      <c r="O286" s="1473">
        <f>M286*S286*W286</f>
        <v>0</v>
      </c>
      <c r="P286" s="280" t="b">
        <v>1</v>
      </c>
      <c r="Q286" s="280" t="b">
        <v>0</v>
      </c>
      <c r="R286" s="280" t="b">
        <v>0</v>
      </c>
      <c r="S286" s="280" t="b">
        <v>1</v>
      </c>
      <c r="T286" s="280" t="b">
        <v>0</v>
      </c>
      <c r="U286" s="280"/>
      <c r="V286" s="280"/>
      <c r="W286" s="25"/>
      <c r="X286" s="1303"/>
      <c r="Y286" s="1522" t="str">
        <f>IF(LEN('Ch6'!X32)=0,"None",'Ch6'!X32)</f>
        <v>None</v>
      </c>
      <c r="Z286" s="1586"/>
      <c r="AC286" s="280"/>
      <c r="AD286" s="280"/>
      <c r="AE286" s="280"/>
      <c r="AF286" s="280"/>
      <c r="AG286" s="280"/>
      <c r="AH286" s="280"/>
      <c r="AI286" s="280"/>
      <c r="AJ286" s="280"/>
      <c r="AK286" s="280"/>
      <c r="AL286" s="311" t="str">
        <f>SUBSTITUTE(SUBSTITUTE(SUBSTITUTE("vpa"&amp;$B286&amp;$C286&amp;$D286&amp;$E286&amp;$F286,".","_"),"(","_"),")","")</f>
        <v>vpa601_2_2</v>
      </c>
      <c r="AM286" s="311">
        <f>M286</f>
        <v>3</v>
      </c>
      <c r="AN286" s="311" t="str">
        <f>SUBSTITUTE(SUBSTITUTE(SUBSTITUTE("vpc"&amp;$B286&amp;$C286&amp;$D286&amp;$E286&amp;$F286,".","_"),"(","_"),")","")</f>
        <v>vpc601_2_2</v>
      </c>
      <c r="AO286" s="311">
        <f>O286</f>
        <v>0</v>
      </c>
      <c r="AP286" s="311" t="str">
        <f>SUBSTITUTE(SUBSTITUTE(SUBSTITUTE("vch"&amp;$B286&amp;$C286&amp;$D286&amp;$E286&amp;$F286,".","_"),"(","_"),")","")</f>
        <v>vch601_2_2</v>
      </c>
      <c r="AQ286" s="311">
        <f>W286</f>
        <v>0</v>
      </c>
      <c r="AR286" s="311" t="str">
        <f>SUBSTITUTE(SUBSTITUTE(SUBSTITUTE("vnt"&amp;$B286&amp;$C286&amp;$D286&amp;$E286&amp;$F286,".","_"),"(","_"),")","")</f>
        <v>vnt601_2_2</v>
      </c>
      <c r="AS286" s="311">
        <f>X286</f>
        <v>0</v>
      </c>
      <c r="AX286" s="320" t="str">
        <f>'Overview (Verification)'!A31</f>
        <v>Type of Heating System (system 3):</v>
      </c>
      <c r="AY286" s="321">
        <f>IF(LEN('Overview (Verification)'!P31)=0,0,'Overview (Verification)'!P31)</f>
        <v>0</v>
      </c>
      <c r="BJ286" s="1184" t="s">
        <v>4763</v>
      </c>
    </row>
    <row r="287" spans="1:62" x14ac:dyDescent="0.3">
      <c r="A287" s="1200">
        <v>6</v>
      </c>
      <c r="B287" s="1208">
        <v>601.20000000000005</v>
      </c>
      <c r="C287" s="1203"/>
      <c r="D287" s="1203"/>
      <c r="E287" s="1203" t="s">
        <v>273</v>
      </c>
      <c r="F287" s="1203"/>
      <c r="G287" s="1202" t="str">
        <f t="shared" ref="G287:G288" si="87">G286</f>
        <v/>
      </c>
      <c r="H287" s="1200" t="s">
        <v>4387</v>
      </c>
      <c r="I287" s="66"/>
      <c r="J287" s="140"/>
      <c r="K287" s="98"/>
      <c r="L287" s="1305"/>
      <c r="M287" s="1318"/>
      <c r="N287" s="1473"/>
      <c r="O287" s="1473"/>
      <c r="P287" s="280"/>
      <c r="Q287" s="280"/>
      <c r="R287" s="280"/>
      <c r="S287" s="280"/>
      <c r="T287" s="280"/>
      <c r="U287" s="280"/>
      <c r="V287" s="280"/>
      <c r="W287" s="280"/>
      <c r="X287" s="1303"/>
      <c r="Y287" s="1522"/>
      <c r="Z287" s="1586"/>
      <c r="AC287" s="280"/>
      <c r="AD287" s="280"/>
      <c r="AE287" s="280"/>
      <c r="AF287" s="280"/>
      <c r="AG287" s="280"/>
      <c r="AH287" s="280"/>
      <c r="AI287" s="280"/>
      <c r="AJ287" s="280"/>
      <c r="AK287" s="280"/>
      <c r="AL287" s="280"/>
      <c r="AM287" s="280"/>
      <c r="AN287" s="280"/>
      <c r="AO287" s="280"/>
      <c r="AP287" s="280"/>
      <c r="AQ287" s="280"/>
      <c r="AR287" s="280"/>
      <c r="AS287" s="280"/>
      <c r="AX287" s="320" t="str">
        <f>'Overview (Verification)'!A32</f>
        <v>Heating Fuel:</v>
      </c>
      <c r="AY287" s="321">
        <f>IF(LEN('Overview (Verification)'!P32)=0,0,'Overview (Verification)'!P32)</f>
        <v>0</v>
      </c>
      <c r="BJ287" s="1184" t="s">
        <v>4763</v>
      </c>
    </row>
    <row r="288" spans="1:62" x14ac:dyDescent="0.3">
      <c r="A288" s="1200">
        <v>6</v>
      </c>
      <c r="B288" s="1208">
        <v>601.20000000000005</v>
      </c>
      <c r="C288" s="1203"/>
      <c r="D288" s="1203"/>
      <c r="E288" s="1203" t="s">
        <v>273</v>
      </c>
      <c r="F288" s="1203"/>
      <c r="G288" s="1202" t="str">
        <f t="shared" si="87"/>
        <v/>
      </c>
      <c r="H288" s="1200" t="s">
        <v>4387</v>
      </c>
      <c r="I288" s="66"/>
      <c r="J288" s="238"/>
      <c r="K288" s="193"/>
      <c r="L288" s="1306"/>
      <c r="M288" s="1319"/>
      <c r="N288" s="1491"/>
      <c r="O288" s="1491"/>
      <c r="P288" s="280"/>
      <c r="Q288" s="280"/>
      <c r="R288" s="280"/>
      <c r="S288" s="280"/>
      <c r="T288" s="280"/>
      <c r="U288" s="280"/>
      <c r="V288" s="280"/>
      <c r="W288" s="280"/>
      <c r="X288" s="1303"/>
      <c r="Y288" s="1522"/>
      <c r="Z288" s="1586"/>
      <c r="AC288" s="280"/>
      <c r="AD288" s="280"/>
      <c r="AE288" s="280"/>
      <c r="AF288" s="280"/>
      <c r="AG288" s="280"/>
      <c r="AH288" s="280"/>
      <c r="AI288" s="280"/>
      <c r="AJ288" s="280"/>
      <c r="AK288" s="280"/>
      <c r="AL288" s="280"/>
      <c r="AM288" s="280"/>
      <c r="AN288" s="280"/>
      <c r="AO288" s="280"/>
      <c r="AP288" s="280"/>
      <c r="AQ288" s="280"/>
      <c r="AR288" s="280"/>
      <c r="AS288" s="280"/>
      <c r="AX288" s="320" t="str">
        <f>'Overview (Verification)'!A43</f>
        <v>Renewable Energy:</v>
      </c>
      <c r="AY288" s="321">
        <f>IF(LEN('Overview (Verification)'!P43)=0,0,'Overview (Verification)'!P43)</f>
        <v>0</v>
      </c>
      <c r="BJ288" s="1184" t="s">
        <v>4763</v>
      </c>
    </row>
    <row r="289" spans="1:62" ht="15" thickBot="1" x14ac:dyDescent="0.35">
      <c r="A289" s="1200">
        <v>6</v>
      </c>
      <c r="B289" s="1208">
        <v>601.20000000000005</v>
      </c>
      <c r="C289" s="1203"/>
      <c r="D289" s="1203"/>
      <c r="E289" s="1203" t="s">
        <v>275</v>
      </c>
      <c r="F289" s="1203"/>
      <c r="G289" s="1202" t="str">
        <f>IF(N289&gt;0,"P","")</f>
        <v/>
      </c>
      <c r="H289" s="1200" t="s">
        <v>4387</v>
      </c>
      <c r="I289" s="66"/>
      <c r="J289" s="27" t="s">
        <v>275</v>
      </c>
      <c r="K289" s="86"/>
      <c r="L289" s="86" t="s">
        <v>551</v>
      </c>
      <c r="M289" s="305">
        <v>3</v>
      </c>
      <c r="N289" s="282">
        <f>'Ch6'!O35</f>
        <v>0</v>
      </c>
      <c r="O289" s="282">
        <f>M289*S289*W289</f>
        <v>0</v>
      </c>
      <c r="P289" s="280" t="b">
        <v>1</v>
      </c>
      <c r="Q289" s="280" t="b">
        <v>0</v>
      </c>
      <c r="R289" s="280" t="b">
        <v>0</v>
      </c>
      <c r="S289" s="280" t="b">
        <v>1</v>
      </c>
      <c r="T289" s="280" t="b">
        <v>0</v>
      </c>
      <c r="U289" s="280"/>
      <c r="V289" s="280"/>
      <c r="W289" s="25"/>
      <c r="X289" s="298"/>
      <c r="Y289" s="313" t="str">
        <f>IF(LEN('Ch6'!X35)=0,"None",'Ch6'!X35)</f>
        <v>None</v>
      </c>
      <c r="Z289" s="1173"/>
      <c r="AC289" s="280"/>
      <c r="AD289" s="280"/>
      <c r="AE289" s="280"/>
      <c r="AF289" s="280"/>
      <c r="AG289" s="280"/>
      <c r="AH289" s="280"/>
      <c r="AI289" s="280"/>
      <c r="AJ289" s="280"/>
      <c r="AK289" s="280"/>
      <c r="AL289" s="311" t="str">
        <f>SUBSTITUTE(SUBSTITUTE(SUBSTITUTE("vpa"&amp;$B289&amp;$C289&amp;$D289&amp;$E289&amp;$F289,".","_"),"(","_"),")","")</f>
        <v>vpa601_2_3</v>
      </c>
      <c r="AM289" s="311">
        <f>M289</f>
        <v>3</v>
      </c>
      <c r="AN289" s="311" t="str">
        <f>SUBSTITUTE(SUBSTITUTE(SUBSTITUTE("vpc"&amp;$B289&amp;$C289&amp;$D289&amp;$E289&amp;$F289,".","_"),"(","_"),")","")</f>
        <v>vpc601_2_3</v>
      </c>
      <c r="AO289" s="311">
        <f>O289</f>
        <v>0</v>
      </c>
      <c r="AP289" s="311" t="str">
        <f>SUBSTITUTE(SUBSTITUTE(SUBSTITUTE("vch"&amp;$B289&amp;$C289&amp;$D289&amp;$E289&amp;$F289,".","_"),"(","_"),")","")</f>
        <v>vch601_2_3</v>
      </c>
      <c r="AQ289" s="311">
        <f>W289</f>
        <v>0</v>
      </c>
      <c r="AR289" s="311" t="str">
        <f>SUBSTITUTE(SUBSTITUTE(SUBSTITUTE("vnt"&amp;$B289&amp;$C289&amp;$D289&amp;$E289&amp;$F289,".","_"),"(","_"),")","")</f>
        <v>vnt601_2_3</v>
      </c>
      <c r="AS289" s="311">
        <f>X289</f>
        <v>0</v>
      </c>
      <c r="AX289" s="320" t="str">
        <f>'Overview (Verification)'!A44</f>
        <v>Thermal Envelope Insulation:</v>
      </c>
      <c r="AY289" s="321">
        <f>IF(LEN('Overview (Verification)'!P44)=0,0,'Overview (Verification)'!P44)</f>
        <v>0</v>
      </c>
      <c r="BJ289" s="1184" t="s">
        <v>4763</v>
      </c>
    </row>
    <row r="290" spans="1:62" ht="15" thickTop="1" x14ac:dyDescent="0.3">
      <c r="A290" s="1200">
        <v>6</v>
      </c>
      <c r="B290" s="1208">
        <v>601.29999999999995</v>
      </c>
      <c r="C290" s="1203"/>
      <c r="D290" s="1203"/>
      <c r="E290" s="1203"/>
      <c r="F290" s="1203"/>
      <c r="G290" s="1196" t="str">
        <f>IF(COUNTIF(G293:G297,"P")&gt;0,"P","")</f>
        <v/>
      </c>
      <c r="H290" s="1200" t="s">
        <v>4387</v>
      </c>
      <c r="I290" s="200">
        <v>601.29999999999995</v>
      </c>
      <c r="J290" s="201"/>
      <c r="K290" s="202"/>
      <c r="L290" s="1331" t="s">
        <v>552</v>
      </c>
      <c r="M290" s="306"/>
      <c r="N290" s="296"/>
      <c r="O290" s="296"/>
      <c r="P290" s="110"/>
      <c r="Q290" s="110"/>
      <c r="R290" s="110"/>
      <c r="S290" s="110"/>
      <c r="T290" s="110"/>
      <c r="U290" s="110"/>
      <c r="V290" s="110"/>
      <c r="W290" s="110"/>
      <c r="X290" s="206"/>
      <c r="Y290"/>
      <c r="Z290" s="1055"/>
      <c r="AC290" s="280"/>
      <c r="AD290" s="280"/>
      <c r="AE290" s="280"/>
      <c r="AF290" s="280"/>
      <c r="AG290" s="280"/>
      <c r="AH290" s="280"/>
      <c r="AI290" s="280"/>
      <c r="AJ290" s="280"/>
      <c r="AK290" s="280"/>
      <c r="AL290" s="280"/>
      <c r="AM290" s="280"/>
      <c r="AN290" s="280"/>
      <c r="AO290" s="280"/>
      <c r="AP290" s="280"/>
      <c r="AQ290" s="280"/>
      <c r="AR290" s="280"/>
      <c r="AS290" s="280"/>
      <c r="AX290" s="320" t="str">
        <f>'Overview (Verification)'!A45</f>
        <v>Attic Type:</v>
      </c>
      <c r="AY290" s="321">
        <f>IF(LEN('Overview (Verification)'!P45)=0,0,'Overview (Verification)'!P45)</f>
        <v>0</v>
      </c>
      <c r="BJ290" s="1184" t="s">
        <v>4763</v>
      </c>
    </row>
    <row r="291" spans="1:62" x14ac:dyDescent="0.3">
      <c r="A291" s="1200">
        <v>6</v>
      </c>
      <c r="B291" s="1208">
        <v>601.29999999999995</v>
      </c>
      <c r="C291" s="1203"/>
      <c r="D291" s="1203"/>
      <c r="E291" s="1203"/>
      <c r="F291" s="1203"/>
      <c r="G291" s="1202" t="str">
        <f t="shared" ref="G291:G292" si="88">G290</f>
        <v/>
      </c>
      <c r="H291" s="1200" t="s">
        <v>4387</v>
      </c>
      <c r="I291" s="141"/>
      <c r="J291" s="140"/>
      <c r="K291" s="98"/>
      <c r="L291" s="1313"/>
      <c r="M291" s="300"/>
      <c r="N291" s="283"/>
      <c r="O291" s="283"/>
      <c r="P291" s="97"/>
      <c r="Q291" s="97"/>
      <c r="R291" s="97"/>
      <c r="S291" s="97"/>
      <c r="T291" s="97"/>
      <c r="U291" s="97"/>
      <c r="V291" s="97"/>
      <c r="W291" s="97"/>
      <c r="X291" s="118"/>
      <c r="Y291"/>
      <c r="Z291" s="1055"/>
      <c r="AC291" s="280"/>
      <c r="AD291" s="280"/>
      <c r="AE291" s="280"/>
      <c r="AF291" s="280"/>
      <c r="AG291" s="280"/>
      <c r="AH291" s="280"/>
      <c r="AI291" s="280"/>
      <c r="AJ291" s="280"/>
      <c r="AK291" s="280"/>
      <c r="AL291" s="280"/>
      <c r="AM291" s="280"/>
      <c r="AN291" s="280"/>
      <c r="AO291" s="280"/>
      <c r="AP291" s="280"/>
      <c r="AQ291" s="280"/>
      <c r="AR291" s="280"/>
      <c r="AS291" s="280"/>
      <c r="AX291" s="320" t="str">
        <f>'Overview (Verification)'!A46</f>
        <v>Attached Garage:</v>
      </c>
      <c r="AY291" s="321">
        <f>IF(LEN('Overview (Verification)'!P46)=0,0,'Overview (Verification)'!P46)</f>
        <v>0</v>
      </c>
      <c r="BJ291" s="1184" t="s">
        <v>4763</v>
      </c>
    </row>
    <row r="292" spans="1:62" x14ac:dyDescent="0.3">
      <c r="A292" s="1200">
        <v>6</v>
      </c>
      <c r="B292" s="1208">
        <v>601.29999999999995</v>
      </c>
      <c r="C292" s="1203"/>
      <c r="D292" s="1203"/>
      <c r="E292" s="1203"/>
      <c r="F292" s="1203"/>
      <c r="G292" s="1202" t="str">
        <f t="shared" si="88"/>
        <v/>
      </c>
      <c r="H292" s="1200" t="s">
        <v>4387</v>
      </c>
      <c r="I292" s="141"/>
      <c r="J292" s="140"/>
      <c r="K292" s="98"/>
      <c r="L292" s="1313"/>
      <c r="M292" s="300"/>
      <c r="N292" s="283"/>
      <c r="O292" s="283"/>
      <c r="P292" s="97"/>
      <c r="Q292" s="97"/>
      <c r="R292" s="97"/>
      <c r="S292" s="97"/>
      <c r="T292" s="97"/>
      <c r="U292" s="97"/>
      <c r="V292" s="97"/>
      <c r="W292" s="97"/>
      <c r="X292" s="118"/>
      <c r="Y292"/>
      <c r="Z292" s="1055"/>
      <c r="AC292" s="280"/>
      <c r="AD292" s="280"/>
      <c r="AE292" s="280"/>
      <c r="AF292" s="280"/>
      <c r="AG292" s="280"/>
      <c r="AH292" s="280"/>
      <c r="AI292" s="280"/>
      <c r="AJ292" s="280"/>
      <c r="AK292" s="280"/>
      <c r="AL292" s="280"/>
      <c r="AM292" s="280"/>
      <c r="AN292" s="280"/>
      <c r="AO292" s="280"/>
      <c r="AP292" s="280"/>
      <c r="AQ292" s="280"/>
      <c r="AR292" s="280"/>
      <c r="AS292" s="280"/>
      <c r="AX292" s="320" t="str">
        <f>'Overview (Verification)'!A47</f>
        <v>Recessed Lighting:</v>
      </c>
      <c r="AY292" s="321">
        <f>IF(LEN('Overview (Verification)'!P47)=0,0,'Overview (Verification)'!P47)</f>
        <v>0</v>
      </c>
      <c r="BJ292" s="1184" t="s">
        <v>4763</v>
      </c>
    </row>
    <row r="293" spans="1:62" x14ac:dyDescent="0.3">
      <c r="A293" s="1200">
        <v>6</v>
      </c>
      <c r="B293" s="1208">
        <v>601.29999999999995</v>
      </c>
      <c r="C293" s="1203"/>
      <c r="D293" s="1203"/>
      <c r="E293" s="1203" t="s">
        <v>271</v>
      </c>
      <c r="F293" s="1203"/>
      <c r="G293" s="1202" t="str">
        <f t="shared" ref="G293:G298" si="89">IF(N293&gt;0,"P","")</f>
        <v/>
      </c>
      <c r="H293" s="1200" t="s">
        <v>4387</v>
      </c>
      <c r="I293" s="66"/>
      <c r="J293" s="231" t="s">
        <v>271</v>
      </c>
      <c r="K293" s="193"/>
      <c r="L293" s="193" t="s">
        <v>553</v>
      </c>
      <c r="M293" s="301">
        <v>3</v>
      </c>
      <c r="N293" s="284">
        <f>'Ch6'!O39</f>
        <v>0</v>
      </c>
      <c r="O293" s="284">
        <f t="shared" ref="O293:O298" si="90">M293*S293*W293</f>
        <v>0</v>
      </c>
      <c r="P293" s="280" t="b">
        <v>1</v>
      </c>
      <c r="Q293" s="280" t="b">
        <v>0</v>
      </c>
      <c r="R293" s="280" t="b">
        <v>0</v>
      </c>
      <c r="S293" s="280" t="b">
        <v>1</v>
      </c>
      <c r="T293" s="280" t="b">
        <v>0</v>
      </c>
      <c r="U293" s="280"/>
      <c r="V293" s="280"/>
      <c r="W293" s="25"/>
      <c r="X293" s="281"/>
      <c r="Y293" s="312" t="str">
        <f>IF(LEN('Ch6'!X39)=0,"None",'Ch6'!X39)</f>
        <v>None</v>
      </c>
      <c r="Z293" s="1169"/>
      <c r="AC293" s="280"/>
      <c r="AD293" s="280"/>
      <c r="AE293" s="280"/>
      <c r="AF293" s="280"/>
      <c r="AG293" s="280"/>
      <c r="AH293" s="280"/>
      <c r="AI293" s="280"/>
      <c r="AJ293" s="280"/>
      <c r="AK293" s="280"/>
      <c r="AL293" s="311" t="str">
        <f t="shared" ref="AL293:AL298" si="91">SUBSTITUTE(SUBSTITUTE(SUBSTITUTE("vpa"&amp;$B293&amp;$C293&amp;$D293&amp;$E293&amp;$F293,".","_"),"(","_"),")","")</f>
        <v>vpa601_3_1</v>
      </c>
      <c r="AM293" s="311">
        <f t="shared" ref="AM293:AM298" si="92">M293</f>
        <v>3</v>
      </c>
      <c r="AN293" s="311" t="str">
        <f t="shared" ref="AN293:AN298" si="93">SUBSTITUTE(SUBSTITUTE(SUBSTITUTE("vpc"&amp;$B293&amp;$C293&amp;$D293&amp;$E293&amp;$F293,".","_"),"(","_"),")","")</f>
        <v>vpc601_3_1</v>
      </c>
      <c r="AO293" s="311">
        <f t="shared" ref="AO293:AO298" si="94">O293</f>
        <v>0</v>
      </c>
      <c r="AP293" s="311" t="str">
        <f t="shared" ref="AP293:AP298" si="95">SUBSTITUTE(SUBSTITUTE(SUBSTITUTE("vch"&amp;$B293&amp;$C293&amp;$D293&amp;$E293&amp;$F293,".","_"),"(","_"),")","")</f>
        <v>vch601_3_1</v>
      </c>
      <c r="AQ293" s="311">
        <f t="shared" ref="AQ293:AQ298" si="96">W293</f>
        <v>0</v>
      </c>
      <c r="AR293" s="311" t="str">
        <f t="shared" ref="AR293:AR298" si="97">SUBSTITUTE(SUBSTITUTE(SUBSTITUTE("vnt"&amp;$B293&amp;$C293&amp;$D293&amp;$E293&amp;$F293,".","_"),"(","_"),")","")</f>
        <v>vnt601_3_1</v>
      </c>
      <c r="AS293" s="311">
        <f t="shared" ref="AS293:AS298" si="98">X293</f>
        <v>0</v>
      </c>
      <c r="AX293" s="320"/>
      <c r="AY293" s="321"/>
      <c r="BJ293" s="1184" t="s">
        <v>4763</v>
      </c>
    </row>
    <row r="294" spans="1:62" x14ac:dyDescent="0.3">
      <c r="A294" s="1200">
        <v>6</v>
      </c>
      <c r="B294" s="1208">
        <v>601.29999999999995</v>
      </c>
      <c r="C294" s="1203"/>
      <c r="D294" s="1203"/>
      <c r="E294" s="1203" t="s">
        <v>273</v>
      </c>
      <c r="F294" s="1203"/>
      <c r="G294" s="1202" t="str">
        <f t="shared" si="89"/>
        <v/>
      </c>
      <c r="H294" s="1200" t="s">
        <v>4387</v>
      </c>
      <c r="I294" s="66"/>
      <c r="J294" s="233" t="s">
        <v>273</v>
      </c>
      <c r="K294" s="234"/>
      <c r="L294" s="234" t="s">
        <v>554</v>
      </c>
      <c r="M294" s="236">
        <v>3</v>
      </c>
      <c r="N294" s="240">
        <f>'Ch6'!O40</f>
        <v>0</v>
      </c>
      <c r="O294" s="240">
        <f t="shared" si="90"/>
        <v>0</v>
      </c>
      <c r="P294" s="280" t="b">
        <v>1</v>
      </c>
      <c r="Q294" s="280" t="b">
        <v>0</v>
      </c>
      <c r="R294" s="280" t="b">
        <v>0</v>
      </c>
      <c r="S294" s="280" t="b">
        <v>1</v>
      </c>
      <c r="T294" s="280" t="b">
        <v>0</v>
      </c>
      <c r="U294" s="280"/>
      <c r="V294" s="280"/>
      <c r="W294" s="25"/>
      <c r="X294" s="281"/>
      <c r="Y294" s="312" t="str">
        <f>IF(LEN('Ch6'!X40)=0,"None",'Ch6'!X40)</f>
        <v>None</v>
      </c>
      <c r="Z294" s="1169"/>
      <c r="AC294" s="280"/>
      <c r="AD294" s="280"/>
      <c r="AE294" s="280"/>
      <c r="AF294" s="280"/>
      <c r="AG294" s="280"/>
      <c r="AH294" s="280"/>
      <c r="AI294" s="280"/>
      <c r="AJ294" s="280"/>
      <c r="AK294" s="280"/>
      <c r="AL294" s="311" t="str">
        <f t="shared" si="91"/>
        <v>vpa601_3_2</v>
      </c>
      <c r="AM294" s="311">
        <f t="shared" si="92"/>
        <v>3</v>
      </c>
      <c r="AN294" s="311" t="str">
        <f t="shared" si="93"/>
        <v>vpc601_3_2</v>
      </c>
      <c r="AO294" s="311">
        <f t="shared" si="94"/>
        <v>0</v>
      </c>
      <c r="AP294" s="311" t="str">
        <f t="shared" si="95"/>
        <v>vch601_3_2</v>
      </c>
      <c r="AQ294" s="311">
        <f t="shared" si="96"/>
        <v>0</v>
      </c>
      <c r="AR294" s="311" t="str">
        <f t="shared" si="97"/>
        <v>vnt601_3_2</v>
      </c>
      <c r="AS294" s="311">
        <f t="shared" si="98"/>
        <v>0</v>
      </c>
      <c r="AX294" s="320" t="str">
        <f>'Overview (Verification)'!A49</f>
        <v>Special Design Features:</v>
      </c>
      <c r="AY294" s="321"/>
      <c r="BJ294" s="1184" t="s">
        <v>4763</v>
      </c>
    </row>
    <row r="295" spans="1:62" x14ac:dyDescent="0.3">
      <c r="A295" s="1200">
        <v>6</v>
      </c>
      <c r="B295" s="1208">
        <v>601.29999999999995</v>
      </c>
      <c r="C295" s="1203"/>
      <c r="D295" s="1203"/>
      <c r="E295" s="1203" t="s">
        <v>275</v>
      </c>
      <c r="F295" s="1203"/>
      <c r="G295" s="1202" t="str">
        <f t="shared" si="89"/>
        <v/>
      </c>
      <c r="H295" s="1200" t="s">
        <v>4387</v>
      </c>
      <c r="I295" s="66"/>
      <c r="J295" s="233" t="s">
        <v>275</v>
      </c>
      <c r="K295" s="234"/>
      <c r="L295" s="234" t="s">
        <v>555</v>
      </c>
      <c r="M295" s="236">
        <v>3</v>
      </c>
      <c r="N295" s="240">
        <f>'Ch6'!O41</f>
        <v>0</v>
      </c>
      <c r="O295" s="240">
        <f t="shared" si="90"/>
        <v>0</v>
      </c>
      <c r="P295" s="280" t="b">
        <v>1</v>
      </c>
      <c r="Q295" s="280" t="b">
        <v>0</v>
      </c>
      <c r="R295" s="280" t="b">
        <v>0</v>
      </c>
      <c r="S295" s="280" t="b">
        <v>1</v>
      </c>
      <c r="T295" s="280" t="b">
        <v>0</v>
      </c>
      <c r="U295" s="280"/>
      <c r="V295" s="280"/>
      <c r="W295" s="25"/>
      <c r="X295" s="281"/>
      <c r="Y295" s="312" t="str">
        <f>IF(LEN('Ch6'!X41)=0,"None",'Ch6'!X41)</f>
        <v>None</v>
      </c>
      <c r="Z295" s="1169"/>
      <c r="AC295" s="280"/>
      <c r="AD295" s="280"/>
      <c r="AE295" s="280"/>
      <c r="AF295" s="280"/>
      <c r="AG295" s="280"/>
      <c r="AH295" s="280"/>
      <c r="AI295" s="280"/>
      <c r="AJ295" s="280"/>
      <c r="AK295" s="280"/>
      <c r="AL295" s="311" t="str">
        <f t="shared" si="91"/>
        <v>vpa601_3_3</v>
      </c>
      <c r="AM295" s="311">
        <f t="shared" si="92"/>
        <v>3</v>
      </c>
      <c r="AN295" s="311" t="str">
        <f t="shared" si="93"/>
        <v>vpc601_3_3</v>
      </c>
      <c r="AO295" s="311">
        <f t="shared" si="94"/>
        <v>0</v>
      </c>
      <c r="AP295" s="311" t="str">
        <f t="shared" si="95"/>
        <v>vch601_3_3</v>
      </c>
      <c r="AQ295" s="311">
        <f t="shared" si="96"/>
        <v>0</v>
      </c>
      <c r="AR295" s="311" t="str">
        <f t="shared" si="97"/>
        <v>vnt601_3_3</v>
      </c>
      <c r="AS295" s="311">
        <f t="shared" si="98"/>
        <v>0</v>
      </c>
      <c r="AX295" s="320" t="str">
        <f>'Overview (Verification)'!A50</f>
        <v>Passive Solar:</v>
      </c>
      <c r="AY295" s="321">
        <f>IF(LEN('Overview (Verification)'!P50)=0,0,'Overview (Verification)'!P50)</f>
        <v>0</v>
      </c>
      <c r="BJ295" s="1184" t="s">
        <v>4763</v>
      </c>
    </row>
    <row r="296" spans="1:62" x14ac:dyDescent="0.3">
      <c r="A296" s="1200">
        <v>6</v>
      </c>
      <c r="B296" s="1208">
        <v>601.29999999999995</v>
      </c>
      <c r="C296" s="1203"/>
      <c r="D296" s="1203"/>
      <c r="E296" s="1203" t="s">
        <v>285</v>
      </c>
      <c r="F296" s="1203"/>
      <c r="G296" s="1202" t="str">
        <f t="shared" si="89"/>
        <v/>
      </c>
      <c r="H296" s="1200" t="s">
        <v>4387</v>
      </c>
      <c r="I296" s="66"/>
      <c r="J296" s="233" t="s">
        <v>285</v>
      </c>
      <c r="K296" s="234"/>
      <c r="L296" s="234" t="s">
        <v>556</v>
      </c>
      <c r="M296" s="236">
        <v>3</v>
      </c>
      <c r="N296" s="240">
        <f>'Ch6'!O42</f>
        <v>0</v>
      </c>
      <c r="O296" s="240">
        <f t="shared" si="90"/>
        <v>0</v>
      </c>
      <c r="P296" s="280" t="b">
        <v>1</v>
      </c>
      <c r="Q296" s="280" t="b">
        <v>0</v>
      </c>
      <c r="R296" s="280" t="b">
        <v>0</v>
      </c>
      <c r="S296" s="280" t="b">
        <v>1</v>
      </c>
      <c r="T296" s="280" t="b">
        <v>0</v>
      </c>
      <c r="U296" s="280"/>
      <c r="V296" s="280"/>
      <c r="W296" s="25"/>
      <c r="X296" s="281"/>
      <c r="Y296" s="312" t="str">
        <f>IF(LEN('Ch6'!X42)=0,"None",'Ch6'!X42)</f>
        <v>None</v>
      </c>
      <c r="Z296" s="1169"/>
      <c r="AC296" s="280"/>
      <c r="AD296" s="280"/>
      <c r="AE296" s="280"/>
      <c r="AF296" s="280"/>
      <c r="AG296" s="280"/>
      <c r="AH296" s="280"/>
      <c r="AI296" s="280"/>
      <c r="AJ296" s="280"/>
      <c r="AK296" s="280"/>
      <c r="AL296" s="311" t="str">
        <f t="shared" si="91"/>
        <v>vpa601_3_4</v>
      </c>
      <c r="AM296" s="311">
        <f t="shared" si="92"/>
        <v>3</v>
      </c>
      <c r="AN296" s="311" t="str">
        <f t="shared" si="93"/>
        <v>vpc601_3_4</v>
      </c>
      <c r="AO296" s="311">
        <f t="shared" si="94"/>
        <v>0</v>
      </c>
      <c r="AP296" s="311" t="str">
        <f t="shared" si="95"/>
        <v>vch601_3_4</v>
      </c>
      <c r="AQ296" s="311">
        <f t="shared" si="96"/>
        <v>0</v>
      </c>
      <c r="AR296" s="311" t="str">
        <f t="shared" si="97"/>
        <v>vnt601_3_4</v>
      </c>
      <c r="AS296" s="311">
        <f t="shared" si="98"/>
        <v>0</v>
      </c>
      <c r="AX296" s="320" t="str">
        <f>'Overview (Verification)'!A51</f>
        <v>Mass Walls:</v>
      </c>
      <c r="AY296" s="321">
        <f>IF(LEN('Overview (Verification)'!P51)=0,0,'Overview (Verification)'!P51)</f>
        <v>0</v>
      </c>
      <c r="BJ296" s="1184" t="s">
        <v>4763</v>
      </c>
    </row>
    <row r="297" spans="1:62" ht="15" thickBot="1" x14ac:dyDescent="0.35">
      <c r="A297" s="1200">
        <v>6</v>
      </c>
      <c r="B297" s="1208">
        <v>601.29999999999995</v>
      </c>
      <c r="C297" s="1203"/>
      <c r="D297" s="1203"/>
      <c r="E297" s="1203" t="s">
        <v>291</v>
      </c>
      <c r="F297" s="1203"/>
      <c r="G297" s="1202" t="str">
        <f t="shared" si="89"/>
        <v/>
      </c>
      <c r="H297" s="1200" t="s">
        <v>4387</v>
      </c>
      <c r="I297" s="66"/>
      <c r="J297" s="27" t="s">
        <v>291</v>
      </c>
      <c r="K297" s="86"/>
      <c r="L297" s="86" t="s">
        <v>557</v>
      </c>
      <c r="M297" s="305">
        <v>1</v>
      </c>
      <c r="N297" s="282">
        <f>'Ch6'!O43</f>
        <v>0</v>
      </c>
      <c r="O297" s="282">
        <f t="shared" si="90"/>
        <v>0</v>
      </c>
      <c r="P297" s="280" t="b">
        <v>1</v>
      </c>
      <c r="Q297" s="280" t="b">
        <v>0</v>
      </c>
      <c r="R297" s="280" t="b">
        <v>0</v>
      </c>
      <c r="S297" s="280" t="b">
        <v>1</v>
      </c>
      <c r="T297" s="280" t="b">
        <v>0</v>
      </c>
      <c r="U297" s="280"/>
      <c r="V297" s="280"/>
      <c r="W297" s="105"/>
      <c r="X297" s="298"/>
      <c r="Y297" s="313" t="str">
        <f>IF(LEN('Ch6'!X43)=0,"None",'Ch6'!X43)</f>
        <v>None</v>
      </c>
      <c r="Z297" s="1173"/>
      <c r="AC297" s="280"/>
      <c r="AD297" s="280"/>
      <c r="AE297" s="280"/>
      <c r="AF297" s="280"/>
      <c r="AG297" s="280"/>
      <c r="AH297" s="280"/>
      <c r="AI297" s="280"/>
      <c r="AJ297" s="280"/>
      <c r="AK297" s="280"/>
      <c r="AL297" s="311" t="str">
        <f t="shared" si="91"/>
        <v>vpa601_3_5</v>
      </c>
      <c r="AM297" s="311">
        <f t="shared" si="92"/>
        <v>1</v>
      </c>
      <c r="AN297" s="311" t="str">
        <f t="shared" si="93"/>
        <v>vpc601_3_5</v>
      </c>
      <c r="AO297" s="311">
        <f t="shared" si="94"/>
        <v>0</v>
      </c>
      <c r="AP297" s="311" t="str">
        <f t="shared" si="95"/>
        <v>vch601_3_5</v>
      </c>
      <c r="AQ297" s="311">
        <f t="shared" si="96"/>
        <v>0</v>
      </c>
      <c r="AR297" s="311" t="str">
        <f t="shared" si="97"/>
        <v>vnt601_3_5</v>
      </c>
      <c r="AS297" s="311">
        <f t="shared" si="98"/>
        <v>0</v>
      </c>
      <c r="AX297" s="320" t="str">
        <f>'Overview (Verification)'!A52</f>
        <v>Ductless:</v>
      </c>
      <c r="AY297" s="321">
        <f>IF(LEN('Overview (Verification)'!P52)=0,0,'Overview (Verification)'!P52)</f>
        <v>0</v>
      </c>
      <c r="BJ297" s="1184" t="s">
        <v>4763</v>
      </c>
    </row>
    <row r="298" spans="1:62" ht="15" thickTop="1" x14ac:dyDescent="0.3">
      <c r="A298" s="1200">
        <v>6</v>
      </c>
      <c r="B298" s="1208">
        <v>601.4</v>
      </c>
      <c r="C298" s="1203"/>
      <c r="D298" s="1203"/>
      <c r="E298" s="1203"/>
      <c r="F298" s="1203"/>
      <c r="G298" s="1202" t="str">
        <f t="shared" si="89"/>
        <v>P</v>
      </c>
      <c r="H298" s="1200" t="s">
        <v>4387</v>
      </c>
      <c r="I298" s="200">
        <v>601.4</v>
      </c>
      <c r="J298" s="201"/>
      <c r="K298" s="202"/>
      <c r="L298" s="1331" t="s">
        <v>558</v>
      </c>
      <c r="M298" s="1343">
        <v>4</v>
      </c>
      <c r="N298" s="1528">
        <f>'Ch6'!O44</f>
        <v>4</v>
      </c>
      <c r="O298" s="1528">
        <f t="shared" si="90"/>
        <v>0</v>
      </c>
      <c r="P298" s="280" t="b">
        <v>1</v>
      </c>
      <c r="Q298" s="280" t="b">
        <v>0</v>
      </c>
      <c r="R298" s="110" t="b">
        <v>0</v>
      </c>
      <c r="S298" s="110" t="b">
        <v>1</v>
      </c>
      <c r="T298" s="110" t="b">
        <v>0</v>
      </c>
      <c r="U298" s="110"/>
      <c r="V298" s="110"/>
      <c r="W298" s="127"/>
      <c r="X298" s="1327"/>
      <c r="Y298" s="1525" t="str">
        <f>IF(LEN('Ch6'!X44)=0,"None",'Ch6'!X44)</f>
        <v>None</v>
      </c>
      <c r="Z298" s="1585"/>
      <c r="AC298" s="280"/>
      <c r="AD298" s="280"/>
      <c r="AE298" s="280"/>
      <c r="AF298" s="280"/>
      <c r="AG298" s="280"/>
      <c r="AH298" s="280"/>
      <c r="AI298" s="280"/>
      <c r="AJ298" s="280"/>
      <c r="AK298" s="280"/>
      <c r="AL298" s="311" t="str">
        <f t="shared" si="91"/>
        <v>vpa601_4</v>
      </c>
      <c r="AM298" s="311">
        <f t="shared" si="92"/>
        <v>4</v>
      </c>
      <c r="AN298" s="311" t="str">
        <f t="shared" si="93"/>
        <v>vpc601_4</v>
      </c>
      <c r="AO298" s="311">
        <f t="shared" si="94"/>
        <v>0</v>
      </c>
      <c r="AP298" s="311" t="str">
        <f t="shared" si="95"/>
        <v>vch601_4</v>
      </c>
      <c r="AQ298" s="311">
        <f t="shared" si="96"/>
        <v>0</v>
      </c>
      <c r="AR298" s="311" t="str">
        <f t="shared" si="97"/>
        <v>vnt601_4</v>
      </c>
      <c r="AS298" s="311">
        <f t="shared" si="98"/>
        <v>0</v>
      </c>
      <c r="AX298" s="320" t="str">
        <f>'Overview (Verification)'!A53</f>
        <v>Radiant/Hydronic:</v>
      </c>
      <c r="AY298" s="321">
        <f>IF(LEN('Overview (Verification)'!P53)=0,0,'Overview (Verification)'!P53)</f>
        <v>0</v>
      </c>
      <c r="BJ298" s="1184" t="s">
        <v>4763</v>
      </c>
    </row>
    <row r="299" spans="1:62" x14ac:dyDescent="0.3">
      <c r="A299" s="1200">
        <v>6</v>
      </c>
      <c r="B299" s="1208">
        <v>601.4</v>
      </c>
      <c r="C299" s="1203"/>
      <c r="D299" s="1203"/>
      <c r="E299" s="1203"/>
      <c r="F299" s="1203"/>
      <c r="G299" s="1202" t="str">
        <f t="shared" ref="G299:G300" si="99">G298</f>
        <v>P</v>
      </c>
      <c r="H299" s="1200" t="s">
        <v>4387</v>
      </c>
      <c r="I299" s="141"/>
      <c r="J299" s="140"/>
      <c r="K299" s="98"/>
      <c r="L299" s="1313"/>
      <c r="M299" s="1318"/>
      <c r="N299" s="1473"/>
      <c r="O299" s="1473"/>
      <c r="P299" s="97"/>
      <c r="Q299" s="97"/>
      <c r="R299" s="97"/>
      <c r="S299" s="97"/>
      <c r="T299" s="97"/>
      <c r="U299" s="97"/>
      <c r="V299" s="97"/>
      <c r="W299" s="97"/>
      <c r="X299" s="1295"/>
      <c r="Y299" s="1523"/>
      <c r="Z299" s="1583"/>
      <c r="AC299" s="280"/>
      <c r="AD299" s="280"/>
      <c r="AE299" s="280"/>
      <c r="AF299" s="280"/>
      <c r="AG299" s="280"/>
      <c r="AH299" s="280"/>
      <c r="AI299" s="280"/>
      <c r="AJ299" s="280"/>
      <c r="AK299" s="280"/>
      <c r="AL299" s="280"/>
      <c r="AM299" s="280"/>
      <c r="AN299" s="280"/>
      <c r="AO299" s="280"/>
      <c r="AP299" s="280"/>
      <c r="AQ299" s="280"/>
      <c r="AR299" s="280"/>
      <c r="AS299" s="280"/>
      <c r="AX299" s="320" t="str">
        <f>'Overview (Verification)'!A54</f>
        <v>Tankless Water Heater:</v>
      </c>
      <c r="AY299" s="321">
        <f>IF(LEN('Overview (Verification)'!P54)=0,0,'Overview (Verification)'!P54)</f>
        <v>0</v>
      </c>
      <c r="BJ299" s="1184" t="s">
        <v>4763</v>
      </c>
    </row>
    <row r="300" spans="1:62" ht="15" thickBot="1" x14ac:dyDescent="0.35">
      <c r="A300" s="1200">
        <v>6</v>
      </c>
      <c r="B300" s="1208">
        <v>601.4</v>
      </c>
      <c r="C300" s="1203"/>
      <c r="D300" s="1203"/>
      <c r="E300" s="1203"/>
      <c r="F300" s="1203"/>
      <c r="G300" s="1202" t="str">
        <f t="shared" si="99"/>
        <v>P</v>
      </c>
      <c r="H300" s="1200" t="s">
        <v>4387</v>
      </c>
      <c r="I300" s="141"/>
      <c r="J300" s="140"/>
      <c r="K300" s="98"/>
      <c r="L300" s="1313"/>
      <c r="M300" s="1318"/>
      <c r="N300" s="1529"/>
      <c r="O300" s="1473"/>
      <c r="P300" s="97"/>
      <c r="Q300" s="97"/>
      <c r="R300" s="97"/>
      <c r="S300" s="97"/>
      <c r="T300" s="97"/>
      <c r="U300" s="97"/>
      <c r="V300" s="97"/>
      <c r="W300" s="97"/>
      <c r="X300" s="1337"/>
      <c r="Y300" s="1524"/>
      <c r="Z300" s="1584"/>
      <c r="AC300" s="280"/>
      <c r="AD300" s="280"/>
      <c r="AE300" s="280"/>
      <c r="AF300" s="280"/>
      <c r="AG300" s="280"/>
      <c r="AH300" s="280"/>
      <c r="AI300" s="280"/>
      <c r="AJ300" s="280"/>
      <c r="AK300" s="280"/>
      <c r="AL300" s="280"/>
      <c r="AM300" s="280"/>
      <c r="AN300" s="280"/>
      <c r="AO300" s="280"/>
      <c r="AP300" s="280"/>
      <c r="AQ300" s="280"/>
      <c r="AR300" s="280"/>
      <c r="AS300" s="280"/>
      <c r="AX300" s="320" t="str">
        <f>'Overview (Verification)'!A55</f>
        <v>Composting Toilet:</v>
      </c>
      <c r="AY300" s="321">
        <f>IF(LEN('Overview (Verification)'!P55)=0,0,'Overview (Verification)'!P55)</f>
        <v>0</v>
      </c>
      <c r="BJ300" s="1184" t="s">
        <v>4763</v>
      </c>
    </row>
    <row r="301" spans="1:62" ht="15" thickTop="1" x14ac:dyDescent="0.3">
      <c r="A301" s="1200">
        <v>6</v>
      </c>
      <c r="B301" s="1208">
        <v>601.5</v>
      </c>
      <c r="C301" s="1203"/>
      <c r="D301" s="1203"/>
      <c r="E301" s="1203"/>
      <c r="F301" s="1203"/>
      <c r="G301" s="1196" t="str">
        <f>IF(COUNTIF(G304:G308,"P")&gt;0,"P","")</f>
        <v>P</v>
      </c>
      <c r="H301" s="1200" t="s">
        <v>4387</v>
      </c>
      <c r="I301" s="111">
        <v>601.5</v>
      </c>
      <c r="J301" s="201"/>
      <c r="K301" s="202"/>
      <c r="L301" s="1331" t="s">
        <v>559</v>
      </c>
      <c r="M301" s="1343" t="s">
        <v>560</v>
      </c>
      <c r="N301" s="296"/>
      <c r="O301" s="296"/>
      <c r="P301" s="110"/>
      <c r="Q301" s="110"/>
      <c r="R301" s="110"/>
      <c r="S301" s="110"/>
      <c r="T301" s="110"/>
      <c r="U301" s="110"/>
      <c r="V301" s="110"/>
      <c r="W301" s="110"/>
      <c r="X301" s="206"/>
      <c r="Y301"/>
      <c r="Z301" s="1055"/>
      <c r="AC301" s="280"/>
      <c r="AD301" s="280"/>
      <c r="AE301" s="280"/>
      <c r="AF301" s="280"/>
      <c r="AG301" s="280"/>
      <c r="AH301" s="280"/>
      <c r="AI301" s="280"/>
      <c r="AJ301" s="280"/>
      <c r="AK301" s="280"/>
      <c r="AL301" s="311" t="str">
        <f>SUBSTITUTE(SUBSTITUTE(SUBSTITUTE("vpa"&amp;$B301&amp;$C301&amp;$D301&amp;$E301&amp;$F301,".","_"),"(","_"),")","")</f>
        <v>vpa601_5</v>
      </c>
      <c r="AM301" s="311" t="str">
        <f>M301</f>
        <v>13 Max</v>
      </c>
      <c r="AN301" s="280"/>
      <c r="AO301" s="280"/>
      <c r="AP301" s="280"/>
      <c r="AQ301" s="280"/>
      <c r="AR301" s="280"/>
      <c r="AS301" s="280"/>
      <c r="AX301" s="320"/>
      <c r="AY301" s="321"/>
      <c r="BJ301" s="1184" t="s">
        <v>4763</v>
      </c>
    </row>
    <row r="302" spans="1:62" x14ac:dyDescent="0.3">
      <c r="A302" s="1200">
        <v>6</v>
      </c>
      <c r="B302" s="1208">
        <v>601.5</v>
      </c>
      <c r="C302" s="1203"/>
      <c r="D302" s="1203"/>
      <c r="E302" s="1203"/>
      <c r="F302" s="1203"/>
      <c r="G302" s="1202" t="str">
        <f t="shared" ref="G302:G303" si="100">G301</f>
        <v>P</v>
      </c>
      <c r="H302" s="1200" t="s">
        <v>4387</v>
      </c>
      <c r="I302" s="141"/>
      <c r="J302" s="140"/>
      <c r="K302" s="98"/>
      <c r="L302" s="1313"/>
      <c r="M302" s="1318"/>
      <c r="N302" s="283"/>
      <c r="O302" s="283"/>
      <c r="P302" s="97"/>
      <c r="Q302" s="97"/>
      <c r="R302" s="97"/>
      <c r="S302" s="97"/>
      <c r="T302" s="97"/>
      <c r="U302" s="97"/>
      <c r="V302" s="97"/>
      <c r="W302" s="97"/>
      <c r="X302" s="118"/>
      <c r="Y302"/>
      <c r="Z302" s="1055"/>
      <c r="AC302" s="280"/>
      <c r="AD302" s="280"/>
      <c r="AE302" s="280"/>
      <c r="AF302" s="280"/>
      <c r="AG302" s="280"/>
      <c r="AH302" s="280"/>
      <c r="AI302" s="280"/>
      <c r="AJ302" s="280"/>
      <c r="AK302" s="280"/>
      <c r="AL302" s="280"/>
      <c r="AM302" s="280"/>
      <c r="AN302" s="280"/>
      <c r="AO302" s="280"/>
      <c r="AP302" s="280"/>
      <c r="AQ302" s="280"/>
      <c r="AR302" s="280"/>
      <c r="AS302" s="280"/>
      <c r="AX302" s="320" t="str">
        <f>'Overview (Verification)'!A57</f>
        <v>Local Energy Code:</v>
      </c>
      <c r="AY302" s="321">
        <f>IF(LEN('Overview (Verification)'!P57)=0,0,'Overview (Verification)'!P57)</f>
        <v>0</v>
      </c>
      <c r="BJ302" s="1184" t="s">
        <v>4763</v>
      </c>
    </row>
    <row r="303" spans="1:62" x14ac:dyDescent="0.3">
      <c r="A303" s="1200">
        <v>6</v>
      </c>
      <c r="B303" s="1208">
        <v>601.5</v>
      </c>
      <c r="C303" s="1203"/>
      <c r="D303" s="1203"/>
      <c r="E303" s="1203"/>
      <c r="F303" s="1203"/>
      <c r="G303" s="1202" t="str">
        <f t="shared" si="100"/>
        <v>P</v>
      </c>
      <c r="H303" s="1200" t="s">
        <v>4387</v>
      </c>
      <c r="I303" s="141"/>
      <c r="J303" s="140"/>
      <c r="K303" s="98"/>
      <c r="L303" s="1313"/>
      <c r="M303" s="1318"/>
      <c r="N303" s="283"/>
      <c r="O303" s="283"/>
      <c r="P303" s="97"/>
      <c r="Q303" s="97"/>
      <c r="R303" s="97"/>
      <c r="S303" s="97"/>
      <c r="T303" s="97"/>
      <c r="U303" s="97"/>
      <c r="V303" s="97"/>
      <c r="W303" s="97"/>
      <c r="X303" s="118"/>
      <c r="Y303"/>
      <c r="Z303" s="1055"/>
      <c r="AC303" s="280"/>
      <c r="AD303" s="280"/>
      <c r="AE303" s="280"/>
      <c r="AF303" s="280"/>
      <c r="AG303" s="280"/>
      <c r="AH303" s="280"/>
      <c r="AI303" s="280"/>
      <c r="AJ303" s="280"/>
      <c r="AK303" s="280"/>
      <c r="AL303" s="280"/>
      <c r="AM303" s="280"/>
      <c r="AN303" s="280"/>
      <c r="AO303" s="280"/>
      <c r="AP303" s="311"/>
      <c r="AQ303" s="311"/>
      <c r="AR303" s="280"/>
      <c r="AS303" s="280"/>
      <c r="AX303" s="320" t="str">
        <f>'Overview (Verification)'!A58</f>
        <v>Local Building Code:</v>
      </c>
      <c r="AY303" s="321">
        <f>IF(LEN('Overview (Verification)'!P58)=0,0,'Overview (Verification)'!P58)</f>
        <v>0</v>
      </c>
      <c r="BJ303" s="1184" t="s">
        <v>4763</v>
      </c>
    </row>
    <row r="304" spans="1:62" x14ac:dyDescent="0.3">
      <c r="A304" s="1200">
        <v>6</v>
      </c>
      <c r="B304" s="1208">
        <v>601.5</v>
      </c>
      <c r="C304" s="1203"/>
      <c r="D304" s="1203"/>
      <c r="E304" s="1203" t="s">
        <v>271</v>
      </c>
      <c r="F304" s="1203"/>
      <c r="G304" s="1202" t="str">
        <f t="shared" ref="G304:G309" si="101">IF(N304&gt;0,"P","")</f>
        <v>P</v>
      </c>
      <c r="H304" s="1200" t="s">
        <v>4387</v>
      </c>
      <c r="I304" s="66"/>
      <c r="J304" s="231" t="s">
        <v>271</v>
      </c>
      <c r="K304" s="193"/>
      <c r="L304" s="193" t="s">
        <v>561</v>
      </c>
      <c r="M304" s="301">
        <v>4</v>
      </c>
      <c r="N304" s="284">
        <f>'Ch6'!O50</f>
        <v>4</v>
      </c>
      <c r="O304" s="284">
        <f>M304*S304*W304</f>
        <v>0</v>
      </c>
      <c r="P304" s="280" t="b">
        <v>1</v>
      </c>
      <c r="Q304" s="280" t="b">
        <v>0</v>
      </c>
      <c r="R304" s="280" t="b">
        <v>0</v>
      </c>
      <c r="S304" s="280" t="b">
        <f>AND(NOT(W307=TRUE),NOT(W308=TRUE))</f>
        <v>1</v>
      </c>
      <c r="T304" s="97" t="b">
        <f>IF(AND(NOT(S304),W304=TRUE),TRUE,FALSE)</f>
        <v>0</v>
      </c>
      <c r="U304" s="280"/>
      <c r="V304" s="280"/>
      <c r="W304" s="25"/>
      <c r="X304" s="281"/>
      <c r="Y304" s="312" t="str">
        <f>IF(LEN('Ch6'!X50)=0,"None",'Ch6'!X50)</f>
        <v>None</v>
      </c>
      <c r="Z304" s="1169"/>
      <c r="AC304" s="280" t="b">
        <f>OR(AD304:AE304)</f>
        <v>0</v>
      </c>
      <c r="AD304" s="280" t="b">
        <f>T304</f>
        <v>0</v>
      </c>
      <c r="AE304" s="280" t="b">
        <v>0</v>
      </c>
      <c r="AF304" s="1182" t="b">
        <f t="shared" ref="AF304:AF308" si="102">AND(AE304,NOT(Q304))</f>
        <v>0</v>
      </c>
      <c r="AG304" s="280"/>
      <c r="AH304" s="280"/>
      <c r="AI304" s="280"/>
      <c r="AJ304" s="280"/>
      <c r="AK304" s="280"/>
      <c r="AL304" s="311" t="str">
        <f t="shared" ref="AL304:AL309" si="103">SUBSTITUTE(SUBSTITUTE(SUBSTITUTE("vpa"&amp;$B304&amp;$C304&amp;$D304&amp;$E304&amp;$F304,".","_"),"(","_"),")","")</f>
        <v>vpa601_5_1</v>
      </c>
      <c r="AM304" s="311">
        <f t="shared" ref="AM304:AM309" si="104">M304</f>
        <v>4</v>
      </c>
      <c r="AN304" s="311" t="str">
        <f t="shared" ref="AN304:AN309" si="105">SUBSTITUTE(SUBSTITUTE(SUBSTITUTE("vpc"&amp;$B304&amp;$C304&amp;$D304&amp;$E304&amp;$F304,".","_"),"(","_"),")","")</f>
        <v>vpc601_5_1</v>
      </c>
      <c r="AO304" s="311">
        <f t="shared" ref="AO304:AO309" si="106">O304</f>
        <v>0</v>
      </c>
      <c r="AP304" s="311" t="str">
        <f t="shared" ref="AP304:AP308" si="107">SUBSTITUTE(SUBSTITUTE(SUBSTITUTE("vch"&amp;$B304&amp;$C304&amp;$D304&amp;$E304&amp;$F304,".","_"),"(","_"),")","")</f>
        <v>vch601_5_1</v>
      </c>
      <c r="AQ304" s="311">
        <f>W304</f>
        <v>0</v>
      </c>
      <c r="AR304" s="311" t="str">
        <f t="shared" ref="AR304:AR309" si="108">SUBSTITUTE(SUBSTITUTE(SUBSTITUTE("vnt"&amp;$B304&amp;$C304&amp;$D304&amp;$E304&amp;$F304,".","_"),"(","_"),")","")</f>
        <v>vnt601_5_1</v>
      </c>
      <c r="AS304" s="311">
        <f t="shared" ref="AS304:AS309" si="109">X304</f>
        <v>0</v>
      </c>
      <c r="AX304" s="279"/>
      <c r="AY304" s="280"/>
      <c r="BJ304" s="1184" t="s">
        <v>4763</v>
      </c>
    </row>
    <row r="305" spans="1:62" x14ac:dyDescent="0.3">
      <c r="A305" s="1200">
        <v>6</v>
      </c>
      <c r="B305" s="1208">
        <v>601.5</v>
      </c>
      <c r="C305" s="1203"/>
      <c r="D305" s="1203"/>
      <c r="E305" s="1203" t="s">
        <v>273</v>
      </c>
      <c r="F305" s="1203"/>
      <c r="G305" s="1202" t="str">
        <f t="shared" si="101"/>
        <v/>
      </c>
      <c r="H305" s="1200" t="s">
        <v>4387</v>
      </c>
      <c r="I305" s="66"/>
      <c r="J305" s="233" t="s">
        <v>273</v>
      </c>
      <c r="K305" s="234"/>
      <c r="L305" s="234" t="s">
        <v>562</v>
      </c>
      <c r="M305" s="236">
        <v>4</v>
      </c>
      <c r="N305" s="240">
        <f>'Ch6'!O51</f>
        <v>0</v>
      </c>
      <c r="O305" s="240">
        <f>M305*S305*W305</f>
        <v>0</v>
      </c>
      <c r="P305" s="280" t="b">
        <v>1</v>
      </c>
      <c r="Q305" s="280" t="b">
        <v>0</v>
      </c>
      <c r="R305" s="280" t="b">
        <v>0</v>
      </c>
      <c r="S305" s="280" t="b">
        <f>AND(NOT(W307=TRUE),NOT(W308=TRUE))</f>
        <v>1</v>
      </c>
      <c r="T305" s="97" t="b">
        <f>IF(AND(NOT(S305),W305=TRUE),TRUE,FALSE)</f>
        <v>0</v>
      </c>
      <c r="U305" s="280"/>
      <c r="V305" s="280"/>
      <c r="W305" s="25"/>
      <c r="X305" s="281"/>
      <c r="Y305" s="312" t="str">
        <f>IF(LEN('Ch6'!X51)=0,"None",'Ch6'!X51)</f>
        <v>None</v>
      </c>
      <c r="Z305" s="1169"/>
      <c r="AC305" s="280" t="b">
        <f>OR(AD305:AE305)</f>
        <v>0</v>
      </c>
      <c r="AD305" s="280" t="b">
        <f>T305</f>
        <v>0</v>
      </c>
      <c r="AE305" s="280" t="b">
        <v>0</v>
      </c>
      <c r="AF305" s="1182" t="b">
        <f t="shared" si="102"/>
        <v>0</v>
      </c>
      <c r="AG305" s="280"/>
      <c r="AH305" s="280"/>
      <c r="AI305" s="280"/>
      <c r="AJ305" s="280"/>
      <c r="AK305" s="280"/>
      <c r="AL305" s="311" t="str">
        <f t="shared" si="103"/>
        <v>vpa601_5_2</v>
      </c>
      <c r="AM305" s="311">
        <f t="shared" si="104"/>
        <v>4</v>
      </c>
      <c r="AN305" s="311" t="str">
        <f t="shared" si="105"/>
        <v>vpc601_5_2</v>
      </c>
      <c r="AO305" s="311">
        <f t="shared" si="106"/>
        <v>0</v>
      </c>
      <c r="AP305" s="311" t="str">
        <f t="shared" si="107"/>
        <v>vch601_5_2</v>
      </c>
      <c r="AQ305" s="311">
        <f>W305</f>
        <v>0</v>
      </c>
      <c r="AR305" s="311" t="str">
        <f t="shared" si="108"/>
        <v>vnt601_5_2</v>
      </c>
      <c r="AS305" s="311">
        <f t="shared" si="109"/>
        <v>0</v>
      </c>
      <c r="AX305" s="279"/>
      <c r="AY305" s="280"/>
      <c r="BJ305" s="1184" t="s">
        <v>4763</v>
      </c>
    </row>
    <row r="306" spans="1:62" x14ac:dyDescent="0.3">
      <c r="A306" s="1200">
        <v>6</v>
      </c>
      <c r="B306" s="1208">
        <v>601.5</v>
      </c>
      <c r="C306" s="1203"/>
      <c r="D306" s="1203"/>
      <c r="E306" s="1203" t="s">
        <v>275</v>
      </c>
      <c r="F306" s="1203"/>
      <c r="G306" s="1202" t="str">
        <f t="shared" si="101"/>
        <v/>
      </c>
      <c r="H306" s="1200" t="s">
        <v>4387</v>
      </c>
      <c r="I306" s="66"/>
      <c r="J306" s="233" t="s">
        <v>275</v>
      </c>
      <c r="K306" s="234"/>
      <c r="L306" s="234" t="s">
        <v>563</v>
      </c>
      <c r="M306" s="236">
        <v>4</v>
      </c>
      <c r="N306" s="240">
        <f>'Ch6'!O52</f>
        <v>0</v>
      </c>
      <c r="O306" s="240">
        <f>M306*S306*W306</f>
        <v>0</v>
      </c>
      <c r="P306" s="280" t="b">
        <v>1</v>
      </c>
      <c r="Q306" s="280" t="b">
        <v>0</v>
      </c>
      <c r="R306" s="280" t="b">
        <v>0</v>
      </c>
      <c r="S306" s="280" t="b">
        <f>AND(NOT(W307=TRUE),NOT(W308=TRUE))</f>
        <v>1</v>
      </c>
      <c r="T306" s="97" t="b">
        <f>IF(AND(NOT(S306),W306=TRUE),TRUE,FALSE)</f>
        <v>0</v>
      </c>
      <c r="U306" s="280"/>
      <c r="V306" s="280"/>
      <c r="W306" s="25"/>
      <c r="X306" s="281"/>
      <c r="Y306" s="312" t="str">
        <f>IF(LEN('Ch6'!X52)=0,"None",'Ch6'!X52)</f>
        <v>None</v>
      </c>
      <c r="Z306" s="1169"/>
      <c r="AC306" s="280" t="b">
        <f>OR(AD306:AE306)</f>
        <v>0</v>
      </c>
      <c r="AD306" s="280" t="b">
        <f>T306</f>
        <v>0</v>
      </c>
      <c r="AE306" s="280" t="b">
        <v>0</v>
      </c>
      <c r="AF306" s="1182" t="b">
        <f t="shared" si="102"/>
        <v>0</v>
      </c>
      <c r="AG306" s="280"/>
      <c r="AH306" s="280"/>
      <c r="AI306" s="280"/>
      <c r="AJ306" s="280"/>
      <c r="AK306" s="280"/>
      <c r="AL306" s="311" t="str">
        <f t="shared" si="103"/>
        <v>vpa601_5_3</v>
      </c>
      <c r="AM306" s="311">
        <f t="shared" si="104"/>
        <v>4</v>
      </c>
      <c r="AN306" s="311" t="str">
        <f t="shared" si="105"/>
        <v>vpc601_5_3</v>
      </c>
      <c r="AO306" s="311">
        <f t="shared" si="106"/>
        <v>0</v>
      </c>
      <c r="AP306" s="311" t="str">
        <f t="shared" si="107"/>
        <v>vch601_5_3</v>
      </c>
      <c r="AQ306" s="311">
        <f>W306</f>
        <v>0</v>
      </c>
      <c r="AR306" s="311" t="str">
        <f t="shared" si="108"/>
        <v>vnt601_5_3</v>
      </c>
      <c r="AS306" s="311">
        <f t="shared" si="109"/>
        <v>0</v>
      </c>
      <c r="AX306" s="279"/>
      <c r="AY306" s="280"/>
      <c r="BJ306" s="1184" t="s">
        <v>4763</v>
      </c>
    </row>
    <row r="307" spans="1:62" x14ac:dyDescent="0.3">
      <c r="A307" s="1200">
        <v>6</v>
      </c>
      <c r="B307" s="1208">
        <v>601.5</v>
      </c>
      <c r="C307" s="1203"/>
      <c r="D307" s="1203"/>
      <c r="E307" s="1203" t="s">
        <v>285</v>
      </c>
      <c r="F307" s="1203"/>
      <c r="G307" s="1202" t="str">
        <f t="shared" si="101"/>
        <v/>
      </c>
      <c r="H307" s="1200" t="s">
        <v>4387</v>
      </c>
      <c r="I307" s="66"/>
      <c r="J307" s="233" t="s">
        <v>285</v>
      </c>
      <c r="K307" s="234"/>
      <c r="L307" s="234" t="s">
        <v>564</v>
      </c>
      <c r="M307" s="236">
        <v>13</v>
      </c>
      <c r="N307" s="240">
        <f>'Ch6'!O53</f>
        <v>0</v>
      </c>
      <c r="O307" s="240">
        <f>M307*S307*W307</f>
        <v>0</v>
      </c>
      <c r="P307" s="280" t="b">
        <v>1</v>
      </c>
      <c r="Q307" s="280" t="b">
        <v>0</v>
      </c>
      <c r="R307" s="280" t="b">
        <v>0</v>
      </c>
      <c r="S307" s="280" t="b">
        <f>NOT(OR(W304=TRUE,W305=TRUE,W306=TRUE,W308=TRUE))</f>
        <v>1</v>
      </c>
      <c r="T307" s="97" t="b">
        <f>IF(AND(NOT(S307),W307=TRUE),TRUE,FALSE)</f>
        <v>0</v>
      </c>
      <c r="U307" s="280"/>
      <c r="V307" s="280"/>
      <c r="W307" s="25"/>
      <c r="X307" s="281"/>
      <c r="Y307" s="312" t="str">
        <f>IF(LEN('Ch6'!X53)=0,"None",'Ch6'!X53)</f>
        <v>None</v>
      </c>
      <c r="Z307" s="1169"/>
      <c r="AC307" s="280" t="b">
        <f>OR(AD307:AE307)</f>
        <v>0</v>
      </c>
      <c r="AD307" s="280" t="b">
        <f>T307</f>
        <v>0</v>
      </c>
      <c r="AE307" s="280" t="b">
        <v>0</v>
      </c>
      <c r="AF307" s="1182" t="b">
        <f t="shared" si="102"/>
        <v>0</v>
      </c>
      <c r="AG307" s="280"/>
      <c r="AH307" s="280"/>
      <c r="AI307" s="280"/>
      <c r="AJ307" s="280"/>
      <c r="AK307" s="280"/>
      <c r="AL307" s="311" t="str">
        <f t="shared" si="103"/>
        <v>vpa601_5_4</v>
      </c>
      <c r="AM307" s="311">
        <f t="shared" si="104"/>
        <v>13</v>
      </c>
      <c r="AN307" s="311" t="str">
        <f t="shared" si="105"/>
        <v>vpc601_5_4</v>
      </c>
      <c r="AO307" s="311">
        <f t="shared" si="106"/>
        <v>0</v>
      </c>
      <c r="AP307" s="311" t="str">
        <f t="shared" si="107"/>
        <v>vch601_5_4</v>
      </c>
      <c r="AQ307" s="311">
        <f>W307</f>
        <v>0</v>
      </c>
      <c r="AR307" s="311" t="str">
        <f t="shared" si="108"/>
        <v>vnt601_5_4</v>
      </c>
      <c r="AS307" s="311">
        <f t="shared" si="109"/>
        <v>0</v>
      </c>
      <c r="AX307" s="279"/>
      <c r="AY307" s="280"/>
      <c r="BJ307" s="1184" t="s">
        <v>4763</v>
      </c>
    </row>
    <row r="308" spans="1:62" ht="15" thickBot="1" x14ac:dyDescent="0.35">
      <c r="A308" s="1200">
        <v>6</v>
      </c>
      <c r="B308" s="1208">
        <v>601.5</v>
      </c>
      <c r="C308" s="1203"/>
      <c r="D308" s="1203"/>
      <c r="E308" s="1203" t="s">
        <v>291</v>
      </c>
      <c r="F308" s="1203"/>
      <c r="G308" s="1202" t="str">
        <f t="shared" si="101"/>
        <v/>
      </c>
      <c r="H308" s="1200" t="s">
        <v>4387</v>
      </c>
      <c r="I308" s="66"/>
      <c r="J308" s="27" t="s">
        <v>291</v>
      </c>
      <c r="K308" s="86"/>
      <c r="L308" s="86" t="s">
        <v>565</v>
      </c>
      <c r="M308" s="305">
        <v>13</v>
      </c>
      <c r="N308" s="282">
        <f>'Ch6'!O54</f>
        <v>0</v>
      </c>
      <c r="O308" s="282">
        <f>M308*S308*W308</f>
        <v>0</v>
      </c>
      <c r="P308" s="280" t="b">
        <v>1</v>
      </c>
      <c r="Q308" s="280" t="b">
        <v>0</v>
      </c>
      <c r="R308" s="280" t="b">
        <v>0</v>
      </c>
      <c r="S308" s="280" t="b">
        <f>NOT(OR(W304=TRUE,W305=TRUE,W306=TRUE,W307=TRUE))</f>
        <v>1</v>
      </c>
      <c r="T308" s="97" t="b">
        <f>IF(AND(NOT(S308),W308=TRUE),TRUE,FALSE)</f>
        <v>0</v>
      </c>
      <c r="U308" s="280"/>
      <c r="V308" s="280"/>
      <c r="W308" s="25"/>
      <c r="X308" s="298"/>
      <c r="Y308" s="313" t="str">
        <f>IF(LEN('Ch6'!X54)=0,"None",'Ch6'!X54)</f>
        <v>None</v>
      </c>
      <c r="Z308" s="1173"/>
      <c r="AC308" s="280" t="b">
        <f>OR(AD308:AE308)</f>
        <v>0</v>
      </c>
      <c r="AD308" s="280" t="b">
        <f>T308</f>
        <v>0</v>
      </c>
      <c r="AE308" s="280" t="b">
        <v>0</v>
      </c>
      <c r="AF308" s="1182" t="b">
        <f t="shared" si="102"/>
        <v>0</v>
      </c>
      <c r="AG308" s="280"/>
      <c r="AH308" s="280"/>
      <c r="AI308" s="280"/>
      <c r="AJ308" s="280"/>
      <c r="AK308" s="280"/>
      <c r="AL308" s="311" t="str">
        <f t="shared" si="103"/>
        <v>vpa601_5_5</v>
      </c>
      <c r="AM308" s="311">
        <f t="shared" si="104"/>
        <v>13</v>
      </c>
      <c r="AN308" s="311" t="str">
        <f t="shared" si="105"/>
        <v>vpc601_5_5</v>
      </c>
      <c r="AO308" s="311">
        <f t="shared" si="106"/>
        <v>0</v>
      </c>
      <c r="AP308" s="311" t="str">
        <f t="shared" si="107"/>
        <v>vch601_5_5</v>
      </c>
      <c r="AQ308" s="311">
        <f>W308</f>
        <v>0</v>
      </c>
      <c r="AR308" s="311" t="str">
        <f t="shared" si="108"/>
        <v>vnt601_5_5</v>
      </c>
      <c r="AS308" s="311">
        <f t="shared" si="109"/>
        <v>0</v>
      </c>
      <c r="BJ308" s="1184" t="s">
        <v>4763</v>
      </c>
    </row>
    <row r="309" spans="1:62" ht="15" thickTop="1" x14ac:dyDescent="0.3">
      <c r="A309" s="1200">
        <v>6</v>
      </c>
      <c r="B309" s="1208">
        <v>601.6</v>
      </c>
      <c r="C309" s="1203"/>
      <c r="D309" s="1203"/>
      <c r="E309" s="1203"/>
      <c r="F309" s="1203"/>
      <c r="G309" s="1202" t="str">
        <f t="shared" ca="1" si="101"/>
        <v/>
      </c>
      <c r="H309" s="1200" t="s">
        <v>4387</v>
      </c>
      <c r="I309" s="200">
        <v>601.6</v>
      </c>
      <c r="J309" s="201"/>
      <c r="K309" s="202"/>
      <c r="L309" s="1331" t="s">
        <v>566</v>
      </c>
      <c r="M309" s="1343" t="s">
        <v>567</v>
      </c>
      <c r="N309" s="1528">
        <f ca="1">'Ch6'!O55</f>
        <v>0</v>
      </c>
      <c r="O309" s="1528">
        <f ca="1">IFERROR(INDEX({4,6,8},MATCH(W310,INDIRECT(U310),0)),0)</f>
        <v>0</v>
      </c>
      <c r="P309" s="110"/>
      <c r="Q309" s="110"/>
      <c r="R309" s="110"/>
      <c r="S309" s="110"/>
      <c r="T309" s="110"/>
      <c r="U309" s="110"/>
      <c r="V309" s="110"/>
      <c r="W309" s="110"/>
      <c r="X309" s="1327"/>
      <c r="Y309" s="1525" t="str">
        <f>IF(LEN('Ch6'!X55)=0,"None",'Ch6'!X55)</f>
        <v>None</v>
      </c>
      <c r="Z309" s="1585"/>
      <c r="AA309" s="1110">
        <f>'Photo Review'!H309</f>
        <v>0</v>
      </c>
      <c r="AC309" s="280"/>
      <c r="AD309" s="280"/>
      <c r="AE309" s="280"/>
      <c r="AF309" s="280"/>
      <c r="AG309" s="280"/>
      <c r="AH309" s="280"/>
      <c r="AI309" s="280"/>
      <c r="AJ309" s="280"/>
      <c r="AK309" s="280"/>
      <c r="AL309" s="311" t="str">
        <f t="shared" si="103"/>
        <v>vpa601_6</v>
      </c>
      <c r="AM309" s="311" t="str">
        <f t="shared" si="104"/>
        <v>8 Max</v>
      </c>
      <c r="AN309" s="311" t="str">
        <f t="shared" si="105"/>
        <v>vpc601_6</v>
      </c>
      <c r="AO309" s="311">
        <f t="shared" ca="1" si="106"/>
        <v>0</v>
      </c>
      <c r="AP309" s="280"/>
      <c r="AQ309" s="280"/>
      <c r="AR309" s="311" t="str">
        <f t="shared" si="108"/>
        <v>vnt601_6</v>
      </c>
      <c r="AS309" s="311">
        <f t="shared" si="109"/>
        <v>0</v>
      </c>
      <c r="BJ309" s="1184" t="s">
        <v>4763</v>
      </c>
    </row>
    <row r="310" spans="1:62" x14ac:dyDescent="0.3">
      <c r="A310" s="1200">
        <v>6</v>
      </c>
      <c r="B310" s="1208">
        <v>601.6</v>
      </c>
      <c r="C310" s="1203"/>
      <c r="D310" s="1203"/>
      <c r="E310" s="1203"/>
      <c r="F310" s="1203"/>
      <c r="G310" s="1202" t="str">
        <f t="shared" ref="G310:G313" ca="1" si="110">G309</f>
        <v/>
      </c>
      <c r="H310" s="1200" t="s">
        <v>4387</v>
      </c>
      <c r="I310" s="141"/>
      <c r="J310" s="140"/>
      <c r="K310" s="98"/>
      <c r="L310" s="1313"/>
      <c r="M310" s="1318"/>
      <c r="N310" s="1473"/>
      <c r="O310" s="1473"/>
      <c r="P310" s="280" t="b">
        <v>1</v>
      </c>
      <c r="Q310" s="280" t="b">
        <v>0</v>
      </c>
      <c r="R310" s="97" t="b">
        <v>0</v>
      </c>
      <c r="S310" s="97" t="b">
        <v>1</v>
      </c>
      <c r="T310" s="97" t="b">
        <v>0</v>
      </c>
      <c r="U310" s="97" t="str">
        <f>SUBSTITUTE(SUBSTITUTE(SUBSTITUTE("dd"&amp;B310&amp;C310&amp;D310&amp;E310&amp;F310,".","_"),"(","_"),")","")</f>
        <v>dd601_6</v>
      </c>
      <c r="V310" s="97"/>
      <c r="W310" s="12"/>
      <c r="X310" s="1295"/>
      <c r="Y310" s="1523"/>
      <c r="Z310" s="1583"/>
      <c r="AC310" s="280"/>
      <c r="AD310" s="280"/>
      <c r="AE310" s="280"/>
      <c r="AF310" s="280"/>
      <c r="AG310" s="280"/>
      <c r="AH310" s="280"/>
      <c r="AI310" s="280"/>
      <c r="AJ310" s="280"/>
      <c r="AK310" s="280"/>
      <c r="AL310" s="280"/>
      <c r="AM310" s="280"/>
      <c r="AN310" s="280"/>
      <c r="AO310" s="280"/>
      <c r="AP310" s="311" t="str">
        <f>SUBSTITUTE(SUBSTITUTE(SUBSTITUTE("vch"&amp;$B310&amp;$C310&amp;$D310&amp;$E310&amp;$F310,".","_"),"(","_"),")","")</f>
        <v>vch601_6</v>
      </c>
      <c r="AQ310" s="311">
        <f>W310</f>
        <v>0</v>
      </c>
      <c r="AR310" s="280"/>
      <c r="AS310" s="280"/>
      <c r="BJ310" s="1184" t="s">
        <v>4763</v>
      </c>
    </row>
    <row r="311" spans="1:62" x14ac:dyDescent="0.3">
      <c r="A311" s="1200">
        <v>6</v>
      </c>
      <c r="B311" s="1208">
        <v>601.6</v>
      </c>
      <c r="C311" s="1203"/>
      <c r="D311" s="1203"/>
      <c r="E311" s="1203"/>
      <c r="F311" s="1203"/>
      <c r="G311" s="1202" t="str">
        <f t="shared" ca="1" si="110"/>
        <v/>
      </c>
      <c r="H311" s="1200" t="s">
        <v>4387</v>
      </c>
      <c r="I311" s="141"/>
      <c r="J311" s="140"/>
      <c r="K311" s="98"/>
      <c r="L311" s="1313"/>
      <c r="M311" s="1318"/>
      <c r="N311" s="1473"/>
      <c r="O311" s="1473"/>
      <c r="P311" s="97"/>
      <c r="Q311" s="97"/>
      <c r="R311" s="97"/>
      <c r="S311" s="97"/>
      <c r="T311" s="97"/>
      <c r="U311" s="97"/>
      <c r="V311" s="97"/>
      <c r="W311" s="97"/>
      <c r="X311" s="1295"/>
      <c r="Y311" s="1523"/>
      <c r="Z311" s="1583"/>
      <c r="AC311" s="280"/>
      <c r="AD311" s="280"/>
      <c r="AE311" s="280"/>
      <c r="AF311" s="280"/>
      <c r="AG311" s="280"/>
      <c r="AH311" s="280"/>
      <c r="AI311" s="280"/>
      <c r="AJ311" s="280"/>
      <c r="AK311" s="280"/>
      <c r="AL311" s="280"/>
      <c r="AM311" s="280"/>
      <c r="AN311" s="280"/>
      <c r="AO311" s="280"/>
      <c r="AP311" s="280"/>
      <c r="AQ311" s="280"/>
      <c r="AR311" s="280"/>
      <c r="AS311" s="280"/>
      <c r="BJ311" s="1184" t="s">
        <v>4763</v>
      </c>
    </row>
    <row r="312" spans="1:62" x14ac:dyDescent="0.3">
      <c r="A312" s="1200">
        <v>6</v>
      </c>
      <c r="B312" s="1208">
        <v>601.6</v>
      </c>
      <c r="C312" s="1203"/>
      <c r="D312" s="1203"/>
      <c r="E312" s="1203" t="s">
        <v>271</v>
      </c>
      <c r="F312" s="1203"/>
      <c r="G312" s="1202" t="str">
        <f t="shared" ca="1" si="110"/>
        <v/>
      </c>
      <c r="H312" s="1200" t="s">
        <v>4387</v>
      </c>
      <c r="I312" s="141"/>
      <c r="J312" s="231" t="s">
        <v>271</v>
      </c>
      <c r="K312" s="193"/>
      <c r="L312" s="193" t="s">
        <v>568</v>
      </c>
      <c r="M312" s="301">
        <v>4</v>
      </c>
      <c r="N312" s="283"/>
      <c r="O312" s="283"/>
      <c r="P312" s="97"/>
      <c r="Q312" s="97"/>
      <c r="R312" s="97"/>
      <c r="S312" s="97"/>
      <c r="T312" s="97"/>
      <c r="U312" s="97"/>
      <c r="V312" s="97"/>
      <c r="W312" s="97"/>
      <c r="X312" s="1295"/>
      <c r="Y312" s="1523"/>
      <c r="Z312" s="1583"/>
      <c r="AC312" s="280"/>
      <c r="AD312" s="280"/>
      <c r="AE312" s="280"/>
      <c r="AF312" s="280"/>
      <c r="AG312" s="280"/>
      <c r="AH312" s="280"/>
      <c r="AI312" s="280"/>
      <c r="AJ312" s="280"/>
      <c r="AK312" s="280"/>
      <c r="AL312" s="311" t="str">
        <f t="shared" ref="AL312:AL314" si="111">SUBSTITUTE(SUBSTITUTE(SUBSTITUTE("vpa"&amp;$B312&amp;$C312&amp;$D312&amp;$E312&amp;$F312,".","_"),"(","_"),")","")</f>
        <v>vpa601_6_1</v>
      </c>
      <c r="AM312" s="311">
        <f>M312</f>
        <v>4</v>
      </c>
      <c r="AN312" s="280"/>
      <c r="AO312" s="280"/>
      <c r="AP312" s="280"/>
      <c r="AQ312" s="280"/>
      <c r="AR312" s="280"/>
      <c r="AS312" s="280"/>
      <c r="BJ312" s="1184" t="s">
        <v>4763</v>
      </c>
    </row>
    <row r="313" spans="1:62" ht="15" thickBot="1" x14ac:dyDescent="0.35">
      <c r="A313" s="1200">
        <v>6</v>
      </c>
      <c r="B313" s="1208">
        <v>601.6</v>
      </c>
      <c r="C313" s="1203"/>
      <c r="D313" s="1203"/>
      <c r="E313" s="1203" t="s">
        <v>273</v>
      </c>
      <c r="F313" s="1203"/>
      <c r="G313" s="1202" t="str">
        <f t="shared" ca="1" si="110"/>
        <v/>
      </c>
      <c r="H313" s="1200" t="s">
        <v>4387</v>
      </c>
      <c r="I313" s="141"/>
      <c r="J313" s="203" t="s">
        <v>273</v>
      </c>
      <c r="K313" s="98"/>
      <c r="L313" s="98" t="s">
        <v>569</v>
      </c>
      <c r="M313" s="300">
        <v>2</v>
      </c>
      <c r="N313" s="283"/>
      <c r="O313" s="283"/>
      <c r="P313" s="97"/>
      <c r="Q313" s="97"/>
      <c r="R313" s="97"/>
      <c r="S313" s="97"/>
      <c r="T313" s="97"/>
      <c r="U313" s="97"/>
      <c r="V313" s="97"/>
      <c r="W313" s="97"/>
      <c r="X313" s="1337"/>
      <c r="Y313" s="1524"/>
      <c r="Z313" s="1584"/>
      <c r="AC313" s="280"/>
      <c r="AD313" s="280"/>
      <c r="AE313" s="280"/>
      <c r="AF313" s="280"/>
      <c r="AG313" s="280"/>
      <c r="AH313" s="280"/>
      <c r="AI313" s="280"/>
      <c r="AJ313" s="280"/>
      <c r="AK313" s="280"/>
      <c r="AL313" s="311" t="str">
        <f t="shared" si="111"/>
        <v>vpa601_6_2</v>
      </c>
      <c r="AM313" s="311">
        <f>M313</f>
        <v>2</v>
      </c>
      <c r="AN313" s="280"/>
      <c r="AO313" s="280"/>
      <c r="AP313" s="280"/>
      <c r="AQ313" s="280"/>
      <c r="AR313" s="280"/>
      <c r="AS313" s="280"/>
      <c r="BJ313" s="1184" t="s">
        <v>4763</v>
      </c>
    </row>
    <row r="314" spans="1:62" ht="15" thickTop="1" x14ac:dyDescent="0.3">
      <c r="A314" s="1200">
        <v>6</v>
      </c>
      <c r="B314" s="1208">
        <v>601.70000000000005</v>
      </c>
      <c r="C314" s="1203"/>
      <c r="D314" s="1203"/>
      <c r="E314" s="1203"/>
      <c r="F314" s="1203"/>
      <c r="G314" s="1202" t="str">
        <f ca="1">IF(N314&gt;0,"P","")</f>
        <v>P</v>
      </c>
      <c r="H314" s="1200" t="s">
        <v>4386</v>
      </c>
      <c r="I314" s="200">
        <v>601.70000000000005</v>
      </c>
      <c r="J314" s="201"/>
      <c r="K314" s="202"/>
      <c r="L314" s="1331" t="s">
        <v>570</v>
      </c>
      <c r="M314" s="1343" t="s">
        <v>571</v>
      </c>
      <c r="N314" s="1528">
        <f ca="1">'Ch6'!O60</f>
        <v>5</v>
      </c>
      <c r="O314" s="1528">
        <f ca="1">MIN(12,IFERROR(INDEX({1,2,5},MATCH(W317,INDIRECT(U317),0)),0)+IFERROR(INDEX({1,2,5},MATCH(W318,INDIRECT(U318),0)),0)+IFERROR(INDEX({1,2,5},MATCH(W319,INDIRECT(U319),0)),0)+IFERROR(INDEX({1,2,5},MATCH(W323,INDIRECT(U323),0)),0)+IFERROR(INDEX({1,2,5},MATCH(W325,INDIRECT(U325),0)),0))</f>
        <v>0</v>
      </c>
      <c r="P314" s="110"/>
      <c r="Q314" s="110"/>
      <c r="R314" s="110"/>
      <c r="S314" s="110"/>
      <c r="T314" s="110"/>
      <c r="U314" s="110"/>
      <c r="V314" s="110"/>
      <c r="W314" s="110"/>
      <c r="X314" s="1311"/>
      <c r="Y314" s="1530" t="str">
        <f>IF(LEN('Ch6'!X60)=0,"None",'Ch6'!X60)</f>
        <v>None</v>
      </c>
      <c r="Z314" s="1587"/>
      <c r="AC314" s="280"/>
      <c r="AD314" s="280"/>
      <c r="AE314" s="280"/>
      <c r="AF314" s="280"/>
      <c r="AG314" s="280"/>
      <c r="AH314" s="280"/>
      <c r="AI314" s="280"/>
      <c r="AJ314" s="280"/>
      <c r="AK314" s="280"/>
      <c r="AL314" s="311" t="str">
        <f t="shared" si="111"/>
        <v>vpa601_7</v>
      </c>
      <c r="AM314" s="311" t="str">
        <f>M314</f>
        <v>12 Max</v>
      </c>
      <c r="AN314" s="311" t="str">
        <f>SUBSTITUTE(SUBSTITUTE(SUBSTITUTE("vpc"&amp;$B314&amp;$C314&amp;$D314&amp;$E314&amp;$F314,".","_"),"(","_"),")","")</f>
        <v>vpc601_7</v>
      </c>
      <c r="AO314" s="311">
        <f ca="1">O314</f>
        <v>0</v>
      </c>
      <c r="AP314" s="280"/>
      <c r="AQ314" s="280"/>
      <c r="AR314" s="311" t="str">
        <f>SUBSTITUTE(SUBSTITUTE(SUBSTITUTE("vnt"&amp;$B314&amp;$C314&amp;$D314&amp;$E314&amp;$F314,".","_"),"(","_"),")","")</f>
        <v>vnt601_7</v>
      </c>
      <c r="AS314" s="311">
        <f>X314</f>
        <v>0</v>
      </c>
      <c r="BJ314" s="1184" t="s">
        <v>4763</v>
      </c>
    </row>
    <row r="315" spans="1:62" x14ac:dyDescent="0.3">
      <c r="A315" s="1200">
        <v>6</v>
      </c>
      <c r="B315" s="1208">
        <v>601.70000000000005</v>
      </c>
      <c r="C315" s="1203"/>
      <c r="D315" s="1203"/>
      <c r="E315" s="1203"/>
      <c r="F315" s="1203"/>
      <c r="G315" s="1202" t="str">
        <f t="shared" ref="G315:G331" ca="1" si="112">G314</f>
        <v>P</v>
      </c>
      <c r="H315" s="1200" t="s">
        <v>4386</v>
      </c>
      <c r="I315" s="141"/>
      <c r="J315" s="140"/>
      <c r="K315" s="98"/>
      <c r="L315" s="1313"/>
      <c r="M315" s="1318"/>
      <c r="N315" s="1473"/>
      <c r="O315" s="1473"/>
      <c r="P315" s="97"/>
      <c r="Q315" s="97"/>
      <c r="R315" s="97"/>
      <c r="S315" s="97"/>
      <c r="T315" s="97"/>
      <c r="U315" s="97"/>
      <c r="V315" s="97"/>
      <c r="W315" s="97"/>
      <c r="X315" s="1312"/>
      <c r="Y315" s="1531"/>
      <c r="Z315" s="1588"/>
      <c r="AC315" s="280"/>
      <c r="AD315" s="280"/>
      <c r="AE315" s="280"/>
      <c r="AF315" s="280"/>
      <c r="AG315" s="280"/>
      <c r="AH315" s="280"/>
      <c r="AI315" s="280"/>
      <c r="AJ315" s="280"/>
      <c r="AK315" s="280"/>
      <c r="AL315" s="280"/>
      <c r="AM315" s="280"/>
      <c r="AN315" s="280"/>
      <c r="AO315" s="280"/>
      <c r="AP315" s="280"/>
      <c r="AQ315" s="280"/>
      <c r="AR315" s="280"/>
      <c r="AS315" s="280"/>
      <c r="BJ315" s="1184" t="s">
        <v>4763</v>
      </c>
    </row>
    <row r="316" spans="1:62" x14ac:dyDescent="0.3">
      <c r="A316" s="1200">
        <v>6</v>
      </c>
      <c r="B316" s="1208">
        <v>601.70000000000005</v>
      </c>
      <c r="C316" s="1203"/>
      <c r="D316" s="1203"/>
      <c r="E316" s="1203"/>
      <c r="F316" s="1203"/>
      <c r="G316" s="1202" t="str">
        <f t="shared" ca="1" si="112"/>
        <v>P</v>
      </c>
      <c r="H316" s="1200" t="s">
        <v>4386</v>
      </c>
      <c r="I316" s="141"/>
      <c r="J316" s="140"/>
      <c r="K316" s="98"/>
      <c r="L316" s="208" t="s">
        <v>581</v>
      </c>
      <c r="M316" s="300"/>
      <c r="N316" s="283"/>
      <c r="O316" s="283"/>
      <c r="P316" s="97"/>
      <c r="Q316" s="97"/>
      <c r="R316" s="97"/>
      <c r="S316" s="97"/>
      <c r="T316" s="97"/>
      <c r="U316" s="97"/>
      <c r="V316" s="97"/>
      <c r="W316" s="97"/>
      <c r="X316" s="1312"/>
      <c r="Y316" s="1531"/>
      <c r="Z316" s="1588"/>
      <c r="AC316" s="280"/>
      <c r="AD316" s="280"/>
      <c r="AE316" s="280"/>
      <c r="AF316" s="280"/>
      <c r="AG316" s="280"/>
      <c r="AH316" s="280"/>
      <c r="AI316" s="280"/>
      <c r="AJ316" s="280"/>
      <c r="AK316" s="280"/>
      <c r="AL316" s="280"/>
      <c r="AM316" s="280"/>
      <c r="AN316" s="280"/>
      <c r="AO316" s="280"/>
      <c r="AP316" s="280"/>
      <c r="AQ316" s="280"/>
      <c r="AR316" s="280"/>
      <c r="AS316" s="280"/>
      <c r="BJ316" s="1184" t="s">
        <v>4763</v>
      </c>
    </row>
    <row r="317" spans="1:62" x14ac:dyDescent="0.3">
      <c r="A317" s="1200">
        <v>6</v>
      </c>
      <c r="B317" s="1208">
        <v>601.70000000000005</v>
      </c>
      <c r="C317" s="1203"/>
      <c r="D317" s="1203"/>
      <c r="E317" s="1203"/>
      <c r="F317" s="1203" t="s">
        <v>121</v>
      </c>
      <c r="G317" s="1202" t="str">
        <f t="shared" ca="1" si="112"/>
        <v>P</v>
      </c>
      <c r="H317" s="1204" t="s">
        <v>4386</v>
      </c>
      <c r="I317" s="141"/>
      <c r="J317" s="140"/>
      <c r="K317" s="192" t="s">
        <v>121</v>
      </c>
      <c r="L317" s="193" t="s">
        <v>572</v>
      </c>
      <c r="M317" s="300"/>
      <c r="N317" s="283"/>
      <c r="O317" s="283"/>
      <c r="P317" s="97" t="b">
        <v>1</v>
      </c>
      <c r="Q317" s="97" t="b">
        <v>1</v>
      </c>
      <c r="R317" s="97" t="b">
        <v>0</v>
      </c>
      <c r="S317" s="97" t="b">
        <v>1</v>
      </c>
      <c r="T317" s="97" t="b">
        <v>0</v>
      </c>
      <c r="U317" s="97" t="str">
        <f>SUBSTITUTE(SUBSTITUTE(SUBSTITUTE("dd"&amp;B317&amp;C317&amp;D317&amp;E317&amp;F317,".","_"),"(","_"),")","")</f>
        <v>dd601_7_a</v>
      </c>
      <c r="V317" s="97"/>
      <c r="W317" s="12"/>
      <c r="X317" s="1312"/>
      <c r="Y317" s="1531"/>
      <c r="Z317" s="1588"/>
      <c r="AC317" s="280"/>
      <c r="AD317" s="280"/>
      <c r="AE317" s="280"/>
      <c r="AF317" s="280"/>
      <c r="AG317" s="280"/>
      <c r="AH317" s="280"/>
      <c r="AI317" s="280"/>
      <c r="AJ317" s="280"/>
      <c r="AK317" s="280"/>
      <c r="AL317" s="280"/>
      <c r="AM317" s="280"/>
      <c r="AN317" s="280"/>
      <c r="AO317" s="280"/>
      <c r="AP317" s="311" t="str">
        <f t="shared" ref="AP317:AP319" si="113">SUBSTITUTE(SUBSTITUTE(SUBSTITUTE("vch"&amp;$B317&amp;$C317&amp;$D317&amp;$E317&amp;$F317,".","_"),"(","_"),")","")</f>
        <v>vch601_7_a</v>
      </c>
      <c r="AQ317" s="311">
        <f>W317</f>
        <v>0</v>
      </c>
      <c r="AR317" s="280"/>
      <c r="AS317" s="280"/>
      <c r="BJ317" s="1184" t="s">
        <v>4763</v>
      </c>
    </row>
    <row r="318" spans="1:62" x14ac:dyDescent="0.3">
      <c r="A318" s="1200">
        <v>6</v>
      </c>
      <c r="B318" s="1208">
        <v>601.70000000000005</v>
      </c>
      <c r="C318" s="1203"/>
      <c r="D318" s="1203"/>
      <c r="E318" s="1203"/>
      <c r="F318" s="1203" t="s">
        <v>122</v>
      </c>
      <c r="G318" s="1202" t="str">
        <f t="shared" ca="1" si="112"/>
        <v>P</v>
      </c>
      <c r="H318" s="1204" t="s">
        <v>4386</v>
      </c>
      <c r="I318" s="141"/>
      <c r="J318" s="140"/>
      <c r="K318" s="241" t="s">
        <v>122</v>
      </c>
      <c r="L318" s="234" t="s">
        <v>573</v>
      </c>
      <c r="M318" s="300"/>
      <c r="N318" s="283"/>
      <c r="O318" s="283"/>
      <c r="P318" s="97" t="b">
        <v>1</v>
      </c>
      <c r="Q318" s="97" t="b">
        <v>1</v>
      </c>
      <c r="R318" s="97" t="b">
        <v>0</v>
      </c>
      <c r="S318" s="97" t="b">
        <v>1</v>
      </c>
      <c r="T318" s="97" t="b">
        <v>0</v>
      </c>
      <c r="U318" s="97" t="str">
        <f>SUBSTITUTE(SUBSTITUTE(SUBSTITUTE("dd"&amp;B318&amp;C318&amp;D318&amp;E318&amp;F318,".","_"),"(","_"),")","")</f>
        <v>dd601_7_b</v>
      </c>
      <c r="V318" s="97"/>
      <c r="W318" s="12"/>
      <c r="X318" s="1312"/>
      <c r="Y318" s="1531"/>
      <c r="Z318" s="1588"/>
      <c r="AA318" s="1110">
        <f>'Photo Review'!H318</f>
        <v>0</v>
      </c>
      <c r="AC318" s="280"/>
      <c r="AD318" s="280"/>
      <c r="AE318" s="280"/>
      <c r="AF318" s="280"/>
      <c r="AG318" s="280"/>
      <c r="AH318" s="280"/>
      <c r="AI318" s="280"/>
      <c r="AJ318" s="280"/>
      <c r="AK318" s="280"/>
      <c r="AL318" s="280"/>
      <c r="AM318" s="280"/>
      <c r="AN318" s="280"/>
      <c r="AO318" s="280"/>
      <c r="AP318" s="311" t="str">
        <f t="shared" si="113"/>
        <v>vch601_7_b</v>
      </c>
      <c r="AQ318" s="311">
        <f>W318</f>
        <v>0</v>
      </c>
      <c r="AR318" s="280"/>
      <c r="AS318" s="280"/>
      <c r="BJ318" s="1184" t="s">
        <v>4763</v>
      </c>
    </row>
    <row r="319" spans="1:62" x14ac:dyDescent="0.3">
      <c r="A319" s="1200">
        <v>6</v>
      </c>
      <c r="B319" s="1208">
        <v>601.70000000000005</v>
      </c>
      <c r="C319" s="1203"/>
      <c r="D319" s="1203"/>
      <c r="E319" s="1203"/>
      <c r="F319" s="1205" t="s">
        <v>123</v>
      </c>
      <c r="G319" s="1202" t="str">
        <f t="shared" ca="1" si="112"/>
        <v>P</v>
      </c>
      <c r="H319" s="1206" t="s">
        <v>4386</v>
      </c>
      <c r="I319" s="141"/>
      <c r="J319" s="140"/>
      <c r="K319" s="242" t="s">
        <v>123</v>
      </c>
      <c r="L319" s="1373" t="s">
        <v>574</v>
      </c>
      <c r="M319" s="300"/>
      <c r="N319" s="283"/>
      <c r="O319" s="283"/>
      <c r="P319" s="97" t="b">
        <v>1</v>
      </c>
      <c r="Q319" s="97" t="b">
        <v>1</v>
      </c>
      <c r="R319" s="97" t="b">
        <v>0</v>
      </c>
      <c r="S319" s="97" t="b">
        <v>1</v>
      </c>
      <c r="T319" s="97" t="b">
        <v>0</v>
      </c>
      <c r="U319" s="97" t="str">
        <f>SUBSTITUTE(SUBSTITUTE(SUBSTITUTE("dd"&amp;B319&amp;C319&amp;D319&amp;E319&amp;F319,".","_"),"(","_"),")","")</f>
        <v>dd601_7_c</v>
      </c>
      <c r="V319" s="97"/>
      <c r="W319" s="12"/>
      <c r="X319" s="1312"/>
      <c r="Y319" s="1531"/>
      <c r="Z319" s="1588"/>
      <c r="AA319" s="1110">
        <f>'Photo Review'!H319</f>
        <v>0</v>
      </c>
      <c r="AC319" s="280"/>
      <c r="AD319" s="280"/>
      <c r="AE319" s="280"/>
      <c r="AF319" s="280"/>
      <c r="AG319" s="280"/>
      <c r="AH319" s="280"/>
      <c r="AI319" s="280"/>
      <c r="AJ319" s="280"/>
      <c r="AK319" s="280"/>
      <c r="AL319" s="280"/>
      <c r="AM319" s="280"/>
      <c r="AN319" s="280"/>
      <c r="AO319" s="280"/>
      <c r="AP319" s="311" t="str">
        <f t="shared" si="113"/>
        <v>vch601_7_c</v>
      </c>
      <c r="AQ319" s="311">
        <f>W319</f>
        <v>0</v>
      </c>
      <c r="AR319" s="280"/>
      <c r="AS319" s="280"/>
      <c r="BJ319" s="1184" t="s">
        <v>4763</v>
      </c>
    </row>
    <row r="320" spans="1:62" x14ac:dyDescent="0.3">
      <c r="A320" s="1200">
        <v>6</v>
      </c>
      <c r="B320" s="1208">
        <v>601.70000000000005</v>
      </c>
      <c r="C320" s="1203"/>
      <c r="D320" s="1203"/>
      <c r="E320" s="1203"/>
      <c r="F320" s="1205" t="s">
        <v>123</v>
      </c>
      <c r="G320" s="1202" t="str">
        <f t="shared" ca="1" si="112"/>
        <v>P</v>
      </c>
      <c r="H320" s="1206" t="s">
        <v>4386</v>
      </c>
      <c r="I320" s="141"/>
      <c r="J320" s="140"/>
      <c r="K320" s="98"/>
      <c r="L320" s="1374"/>
      <c r="M320" s="300"/>
      <c r="N320" s="283"/>
      <c r="O320" s="283"/>
      <c r="P320" s="97"/>
      <c r="Q320" s="97"/>
      <c r="R320" s="97"/>
      <c r="S320" s="97"/>
      <c r="T320" s="97"/>
      <c r="U320" s="97"/>
      <c r="V320" s="97"/>
      <c r="W320" s="97"/>
      <c r="X320" s="1312"/>
      <c r="Y320" s="1531"/>
      <c r="Z320" s="1588"/>
      <c r="AC320" s="280"/>
      <c r="AD320" s="280"/>
      <c r="AE320" s="280"/>
      <c r="AF320" s="280"/>
      <c r="AG320" s="280"/>
      <c r="AH320" s="280"/>
      <c r="AI320" s="280"/>
      <c r="AJ320" s="280"/>
      <c r="AK320" s="280"/>
      <c r="AL320" s="280"/>
      <c r="AM320" s="280"/>
      <c r="AN320" s="280"/>
      <c r="AO320" s="280"/>
      <c r="AP320" s="280"/>
      <c r="AQ320" s="280"/>
      <c r="AR320" s="280"/>
      <c r="AS320" s="280"/>
      <c r="BJ320" s="1184" t="s">
        <v>4763</v>
      </c>
    </row>
    <row r="321" spans="1:62" x14ac:dyDescent="0.3">
      <c r="A321" s="1200">
        <v>6</v>
      </c>
      <c r="B321" s="1208">
        <v>601.70000000000005</v>
      </c>
      <c r="C321" s="1203"/>
      <c r="D321" s="1203"/>
      <c r="E321" s="1203"/>
      <c r="F321" s="1205" t="s">
        <v>123</v>
      </c>
      <c r="G321" s="1202" t="str">
        <f t="shared" ca="1" si="112"/>
        <v>P</v>
      </c>
      <c r="H321" s="1206" t="s">
        <v>4386</v>
      </c>
      <c r="I321" s="141"/>
      <c r="J321" s="140"/>
      <c r="K321" s="98"/>
      <c r="L321" s="209" t="s">
        <v>575</v>
      </c>
      <c r="M321" s="300"/>
      <c r="N321" s="283"/>
      <c r="O321" s="283"/>
      <c r="P321" s="97"/>
      <c r="Q321" s="97"/>
      <c r="R321" s="97"/>
      <c r="S321" s="97"/>
      <c r="T321" s="97"/>
      <c r="U321" s="97"/>
      <c r="V321" s="97"/>
      <c r="W321" s="97"/>
      <c r="X321" s="1312"/>
      <c r="Y321" s="1531"/>
      <c r="Z321" s="1588"/>
      <c r="AC321" s="280"/>
      <c r="AD321" s="280"/>
      <c r="AE321" s="280"/>
      <c r="AF321" s="280"/>
      <c r="AG321" s="280"/>
      <c r="AH321" s="280"/>
      <c r="AI321" s="280"/>
      <c r="AJ321" s="280"/>
      <c r="AK321" s="280"/>
      <c r="AL321" s="280"/>
      <c r="AM321" s="280"/>
      <c r="AN321" s="280"/>
      <c r="AO321" s="280"/>
      <c r="AP321" s="280"/>
      <c r="AQ321" s="280"/>
      <c r="AR321" s="280"/>
      <c r="AS321" s="280"/>
      <c r="BJ321" s="1184" t="s">
        <v>4763</v>
      </c>
    </row>
    <row r="322" spans="1:62" x14ac:dyDescent="0.3">
      <c r="A322" s="1200">
        <v>6</v>
      </c>
      <c r="B322" s="1208">
        <v>601.70000000000005</v>
      </c>
      <c r="C322" s="1203"/>
      <c r="D322" s="1203"/>
      <c r="E322" s="1203"/>
      <c r="F322" s="1205" t="s">
        <v>123</v>
      </c>
      <c r="G322" s="1202" t="str">
        <f t="shared" ca="1" si="112"/>
        <v>P</v>
      </c>
      <c r="H322" s="1206" t="s">
        <v>4386</v>
      </c>
      <c r="I322" s="141"/>
      <c r="J322" s="140"/>
      <c r="K322" s="193"/>
      <c r="L322" s="290" t="s">
        <v>576</v>
      </c>
      <c r="M322" s="300"/>
      <c r="N322" s="283"/>
      <c r="O322" s="283"/>
      <c r="P322" s="97"/>
      <c r="Q322" s="97"/>
      <c r="R322" s="97"/>
      <c r="S322" s="97"/>
      <c r="T322" s="97"/>
      <c r="U322" s="97"/>
      <c r="V322" s="97"/>
      <c r="W322" s="97"/>
      <c r="X322" s="1312"/>
      <c r="Y322" s="1531"/>
      <c r="Z322" s="1588"/>
      <c r="AC322" s="280"/>
      <c r="AD322" s="280"/>
      <c r="AE322" s="280"/>
      <c r="AF322" s="280"/>
      <c r="AG322" s="280"/>
      <c r="AH322" s="280"/>
      <c r="AI322" s="280"/>
      <c r="AJ322" s="280"/>
      <c r="AK322" s="280"/>
      <c r="AL322" s="280"/>
      <c r="AM322" s="280"/>
      <c r="AN322" s="280"/>
      <c r="AO322" s="280"/>
      <c r="AP322" s="280"/>
      <c r="AQ322" s="280"/>
      <c r="AR322" s="280"/>
      <c r="AS322" s="280"/>
      <c r="BJ322" s="1184" t="s">
        <v>4763</v>
      </c>
    </row>
    <row r="323" spans="1:62" x14ac:dyDescent="0.3">
      <c r="A323" s="1200">
        <v>6</v>
      </c>
      <c r="B323" s="1208">
        <v>601.70000000000005</v>
      </c>
      <c r="C323" s="1203"/>
      <c r="D323" s="1203"/>
      <c r="E323" s="1203"/>
      <c r="F323" s="1203" t="s">
        <v>423</v>
      </c>
      <c r="G323" s="1202" t="str">
        <f t="shared" ca="1" si="112"/>
        <v>P</v>
      </c>
      <c r="H323" s="1200" t="s">
        <v>4386</v>
      </c>
      <c r="I323" s="141"/>
      <c r="J323" s="140"/>
      <c r="K323" s="243" t="s">
        <v>423</v>
      </c>
      <c r="L323" s="1356" t="s">
        <v>577</v>
      </c>
      <c r="M323" s="300"/>
      <c r="N323" s="283"/>
      <c r="O323" s="283"/>
      <c r="P323" s="97" t="b">
        <v>1</v>
      </c>
      <c r="Q323" s="97" t="b">
        <v>1</v>
      </c>
      <c r="R323" s="97" t="b">
        <v>0</v>
      </c>
      <c r="S323" s="97" t="b">
        <v>1</v>
      </c>
      <c r="T323" s="97" t="b">
        <v>0</v>
      </c>
      <c r="U323" s="97" t="str">
        <f>SUBSTITUTE(SUBSTITUTE(SUBSTITUTE("dd"&amp;B323&amp;C323&amp;D323&amp;E323&amp;F323,".","_"),"(","_"),")","")</f>
        <v>dd601_7_d</v>
      </c>
      <c r="V323" s="97"/>
      <c r="W323" s="12"/>
      <c r="X323" s="1312"/>
      <c r="Y323" s="1531"/>
      <c r="Z323" s="1588"/>
      <c r="AC323" s="280"/>
      <c r="AD323" s="280"/>
      <c r="AE323" s="280"/>
      <c r="AF323" s="280"/>
      <c r="AG323" s="280"/>
      <c r="AH323" s="280"/>
      <c r="AI323" s="280"/>
      <c r="AJ323" s="280"/>
      <c r="AK323" s="280"/>
      <c r="AL323" s="280"/>
      <c r="AM323" s="280"/>
      <c r="AN323" s="280"/>
      <c r="AO323" s="280"/>
      <c r="AP323" s="311" t="str">
        <f>SUBSTITUTE(SUBSTITUTE(SUBSTITUTE("vch"&amp;$B323&amp;$C323&amp;$D323&amp;$E323&amp;$F323,".","_"),"(","_"),")","")</f>
        <v>vch601_7_d</v>
      </c>
      <c r="AQ323" s="311">
        <f>W323</f>
        <v>0</v>
      </c>
      <c r="AR323" s="280"/>
      <c r="AS323" s="280"/>
      <c r="BJ323" s="1184" t="s">
        <v>4763</v>
      </c>
    </row>
    <row r="324" spans="1:62" x14ac:dyDescent="0.3">
      <c r="A324" s="1200">
        <v>6</v>
      </c>
      <c r="B324" s="1208">
        <v>601.70000000000005</v>
      </c>
      <c r="C324" s="1203"/>
      <c r="D324" s="1203"/>
      <c r="E324" s="1203"/>
      <c r="F324" s="1203" t="s">
        <v>423</v>
      </c>
      <c r="G324" s="1202" t="str">
        <f t="shared" ca="1" si="112"/>
        <v>P</v>
      </c>
      <c r="H324" s="1200" t="s">
        <v>4386</v>
      </c>
      <c r="I324" s="141"/>
      <c r="J324" s="140"/>
      <c r="K324" s="193"/>
      <c r="L324" s="1306"/>
      <c r="M324" s="300"/>
      <c r="N324" s="283"/>
      <c r="O324" s="283"/>
      <c r="P324" s="97"/>
      <c r="Q324" s="97"/>
      <c r="R324" s="97"/>
      <c r="S324" s="97"/>
      <c r="T324" s="97"/>
      <c r="U324" s="97"/>
      <c r="V324" s="97"/>
      <c r="W324" s="97"/>
      <c r="X324" s="1312"/>
      <c r="Y324" s="1531"/>
      <c r="Z324" s="1588"/>
      <c r="AC324" s="280"/>
      <c r="AD324" s="280"/>
      <c r="AE324" s="280"/>
      <c r="AF324" s="280"/>
      <c r="AG324" s="280"/>
      <c r="AH324" s="280"/>
      <c r="AI324" s="280"/>
      <c r="AJ324" s="280"/>
      <c r="AK324" s="280"/>
      <c r="AL324" s="280"/>
      <c r="AM324" s="280"/>
      <c r="AN324" s="280"/>
      <c r="AO324" s="280"/>
      <c r="AP324" s="280"/>
      <c r="AQ324" s="280"/>
      <c r="AR324" s="280"/>
      <c r="AS324" s="280"/>
      <c r="BJ324" s="1184" t="s">
        <v>4763</v>
      </c>
    </row>
    <row r="325" spans="1:62" x14ac:dyDescent="0.3">
      <c r="A325" s="1200">
        <v>6</v>
      </c>
      <c r="B325" s="1208">
        <v>601.70000000000005</v>
      </c>
      <c r="C325" s="1203"/>
      <c r="D325" s="1203"/>
      <c r="E325" s="1203"/>
      <c r="F325" s="1203" t="s">
        <v>578</v>
      </c>
      <c r="G325" s="1202" t="str">
        <f t="shared" ca="1" si="112"/>
        <v>P</v>
      </c>
      <c r="H325" s="1200" t="s">
        <v>4386</v>
      </c>
      <c r="I325" s="141"/>
      <c r="J325" s="140"/>
      <c r="K325" s="243" t="s">
        <v>578</v>
      </c>
      <c r="L325" s="1356" t="s">
        <v>579</v>
      </c>
      <c r="M325" s="300"/>
      <c r="N325" s="283"/>
      <c r="O325" s="283"/>
      <c r="P325" s="97" t="b">
        <v>1</v>
      </c>
      <c r="Q325" s="97" t="b">
        <v>1</v>
      </c>
      <c r="R325" s="97" t="b">
        <v>0</v>
      </c>
      <c r="S325" s="97" t="b">
        <v>1</v>
      </c>
      <c r="T325" s="97" t="b">
        <v>0</v>
      </c>
      <c r="U325" s="97" t="str">
        <f>SUBSTITUTE(SUBSTITUTE(SUBSTITUTE("dd"&amp;B325&amp;C325&amp;D325&amp;E325&amp;F325,".","_"),"(","_"),")","")</f>
        <v>dd601_7_e</v>
      </c>
      <c r="V325" s="97"/>
      <c r="W325" s="12"/>
      <c r="X325" s="1312"/>
      <c r="Y325" s="1531"/>
      <c r="Z325" s="1588"/>
      <c r="AA325" s="1110">
        <f>'Photo Review'!H325</f>
        <v>0</v>
      </c>
      <c r="AC325" s="280"/>
      <c r="AD325" s="280"/>
      <c r="AE325" s="280"/>
      <c r="AF325" s="280"/>
      <c r="AG325" s="280"/>
      <c r="AH325" s="280"/>
      <c r="AI325" s="280"/>
      <c r="AJ325" s="280"/>
      <c r="AK325" s="280"/>
      <c r="AL325" s="280"/>
      <c r="AM325" s="280"/>
      <c r="AN325" s="280"/>
      <c r="AO325" s="280"/>
      <c r="AP325" s="311" t="str">
        <f>SUBSTITUTE(SUBSTITUTE(SUBSTITUTE("vch"&amp;$B325&amp;$C325&amp;$D325&amp;$E325&amp;$F325,".","_"),"(","_"),")","")</f>
        <v>vch601_7_e</v>
      </c>
      <c r="AQ325" s="311">
        <f>W325</f>
        <v>0</v>
      </c>
      <c r="AR325" s="280"/>
      <c r="AS325" s="280"/>
      <c r="BJ325" s="1184" t="s">
        <v>4763</v>
      </c>
    </row>
    <row r="326" spans="1:62" x14ac:dyDescent="0.3">
      <c r="A326" s="1200">
        <v>6</v>
      </c>
      <c r="B326" s="1208">
        <v>601.70000000000005</v>
      </c>
      <c r="C326" s="1203"/>
      <c r="D326" s="1203"/>
      <c r="E326" s="1203"/>
      <c r="F326" s="1203" t="s">
        <v>578</v>
      </c>
      <c r="G326" s="1202" t="str">
        <f t="shared" ca="1" si="112"/>
        <v>P</v>
      </c>
      <c r="H326" s="1200" t="s">
        <v>4386</v>
      </c>
      <c r="I326" s="141"/>
      <c r="J326" s="140"/>
      <c r="K326" s="193"/>
      <c r="L326" s="1306"/>
      <c r="M326" s="300"/>
      <c r="N326" s="283"/>
      <c r="O326" s="283"/>
      <c r="P326" s="97"/>
      <c r="Q326" s="97"/>
      <c r="R326" s="97"/>
      <c r="S326" s="97"/>
      <c r="T326" s="97"/>
      <c r="U326" s="97"/>
      <c r="V326" s="97"/>
      <c r="W326" s="97"/>
      <c r="X326" s="1312"/>
      <c r="Y326" s="1531"/>
      <c r="Z326" s="1588"/>
      <c r="AC326" s="280"/>
      <c r="AD326" s="280"/>
      <c r="AE326" s="280"/>
      <c r="AF326" s="280"/>
      <c r="AG326" s="280"/>
      <c r="AH326" s="280"/>
      <c r="AI326" s="280"/>
      <c r="AJ326" s="280"/>
      <c r="AK326" s="280"/>
      <c r="AL326" s="280"/>
      <c r="AM326" s="280"/>
      <c r="AN326" s="280"/>
      <c r="AO326" s="280"/>
      <c r="AP326" s="280"/>
      <c r="AQ326" s="280"/>
      <c r="AR326" s="280"/>
      <c r="AS326" s="280"/>
      <c r="BJ326" s="1184" t="s">
        <v>4763</v>
      </c>
    </row>
    <row r="327" spans="1:62" x14ac:dyDescent="0.3">
      <c r="A327" s="1200">
        <v>6</v>
      </c>
      <c r="B327" s="1208">
        <v>601.70000000000005</v>
      </c>
      <c r="C327" s="1203"/>
      <c r="D327" s="1203"/>
      <c r="E327" s="1203" t="s">
        <v>271</v>
      </c>
      <c r="F327" s="1203"/>
      <c r="G327" s="1202" t="str">
        <f t="shared" ca="1" si="112"/>
        <v>P</v>
      </c>
      <c r="H327" s="1200" t="s">
        <v>4386</v>
      </c>
      <c r="I327" s="141"/>
      <c r="J327" s="231" t="s">
        <v>271</v>
      </c>
      <c r="K327" s="98"/>
      <c r="L327" s="193" t="s">
        <v>580</v>
      </c>
      <c r="M327" s="301">
        <v>5</v>
      </c>
      <c r="N327" s="283"/>
      <c r="O327" s="283"/>
      <c r="P327" s="97"/>
      <c r="Q327" s="97"/>
      <c r="R327" s="97"/>
      <c r="S327" s="97"/>
      <c r="T327" s="97"/>
      <c r="U327" s="97"/>
      <c r="V327" s="97"/>
      <c r="W327" s="97"/>
      <c r="X327" s="1312"/>
      <c r="Y327" s="1531"/>
      <c r="Z327" s="1588"/>
      <c r="AC327" s="280"/>
      <c r="AD327" s="280"/>
      <c r="AE327" s="280"/>
      <c r="AF327" s="280"/>
      <c r="AG327" s="280"/>
      <c r="AH327" s="280"/>
      <c r="AI327" s="280"/>
      <c r="AJ327" s="280"/>
      <c r="AK327" s="280"/>
      <c r="AL327" s="311" t="str">
        <f t="shared" ref="AL327:AL328" si="114">SUBSTITUTE(SUBSTITUTE(SUBSTITUTE("vpa"&amp;$B327&amp;$C327&amp;$D327&amp;$E327&amp;$F327,".","_"),"(","_"),")","")</f>
        <v>vpa601_7_1</v>
      </c>
      <c r="AM327" s="311">
        <f>M327</f>
        <v>5</v>
      </c>
      <c r="AN327" s="280"/>
      <c r="AO327" s="280"/>
      <c r="AP327" s="280"/>
      <c r="AQ327" s="280"/>
      <c r="AR327" s="280"/>
      <c r="AS327" s="280"/>
      <c r="BJ327" s="1184" t="s">
        <v>4763</v>
      </c>
    </row>
    <row r="328" spans="1:62" x14ac:dyDescent="0.3">
      <c r="A328" s="1200">
        <v>6</v>
      </c>
      <c r="B328" s="1208">
        <v>601.70000000000005</v>
      </c>
      <c r="C328" s="1203"/>
      <c r="D328" s="1203"/>
      <c r="E328" s="1203" t="s">
        <v>273</v>
      </c>
      <c r="F328" s="1203"/>
      <c r="G328" s="1202" t="str">
        <f t="shared" ca="1" si="112"/>
        <v>P</v>
      </c>
      <c r="H328" s="1200" t="s">
        <v>4386</v>
      </c>
      <c r="I328" s="141"/>
      <c r="J328" s="203" t="s">
        <v>273</v>
      </c>
      <c r="K328" s="218"/>
      <c r="L328" s="1355" t="s">
        <v>582</v>
      </c>
      <c r="M328" s="1323">
        <v>2</v>
      </c>
      <c r="N328" s="283"/>
      <c r="O328" s="283"/>
      <c r="P328" s="97"/>
      <c r="Q328" s="97"/>
      <c r="R328" s="97"/>
      <c r="S328" s="97"/>
      <c r="T328" s="97"/>
      <c r="U328" s="97"/>
      <c r="V328" s="97"/>
      <c r="W328" s="97"/>
      <c r="X328" s="1312"/>
      <c r="Y328" s="1531"/>
      <c r="Z328" s="1588"/>
      <c r="AC328" s="280"/>
      <c r="AD328" s="280"/>
      <c r="AE328" s="280"/>
      <c r="AF328" s="280"/>
      <c r="AG328" s="280"/>
      <c r="AH328" s="280"/>
      <c r="AI328" s="280"/>
      <c r="AJ328" s="280"/>
      <c r="AK328" s="280"/>
      <c r="AL328" s="311" t="str">
        <f t="shared" si="114"/>
        <v>vpa601_7_2</v>
      </c>
      <c r="AM328" s="311">
        <f>M328</f>
        <v>2</v>
      </c>
      <c r="AN328" s="280"/>
      <c r="AO328" s="280"/>
      <c r="AP328" s="280"/>
      <c r="AQ328" s="280"/>
      <c r="AR328" s="280"/>
      <c r="AS328" s="280"/>
      <c r="BJ328" s="1184" t="s">
        <v>4763</v>
      </c>
    </row>
    <row r="329" spans="1:62" s="339" customFormat="1" x14ac:dyDescent="0.3">
      <c r="A329" s="1200">
        <v>6</v>
      </c>
      <c r="B329" s="1208">
        <v>601.70000000000005</v>
      </c>
      <c r="C329" s="1203"/>
      <c r="D329" s="1203"/>
      <c r="E329" s="1203"/>
      <c r="F329" s="1203"/>
      <c r="G329" s="1202" t="str">
        <f t="shared" ca="1" si="112"/>
        <v>P</v>
      </c>
      <c r="H329" s="1200" t="s">
        <v>4386</v>
      </c>
      <c r="I329" s="141"/>
      <c r="J329" s="196"/>
      <c r="K329" s="193"/>
      <c r="L329" s="1294"/>
      <c r="M329" s="1319"/>
      <c r="N329" s="340"/>
      <c r="O329" s="340"/>
      <c r="P329" s="97"/>
      <c r="Q329" s="97"/>
      <c r="R329" s="97"/>
      <c r="S329" s="97"/>
      <c r="T329" s="97"/>
      <c r="U329" s="97"/>
      <c r="V329" s="97"/>
      <c r="W329" s="97"/>
      <c r="X329" s="1312"/>
      <c r="Y329" s="1531"/>
      <c r="Z329" s="1588"/>
      <c r="AA329" s="1110"/>
      <c r="AL329" s="311"/>
      <c r="AM329" s="311"/>
      <c r="BJ329" s="1184" t="s">
        <v>4763</v>
      </c>
    </row>
    <row r="330" spans="1:62" x14ac:dyDescent="0.3">
      <c r="A330" s="1200">
        <v>6</v>
      </c>
      <c r="B330" s="1208">
        <v>601.70000000000005</v>
      </c>
      <c r="C330" s="1203"/>
      <c r="D330" s="1203"/>
      <c r="E330" s="1203" t="s">
        <v>275</v>
      </c>
      <c r="F330" s="1203"/>
      <c r="G330" s="1202" t="str">
        <f t="shared" ca="1" si="112"/>
        <v>P</v>
      </c>
      <c r="H330" s="1200" t="s">
        <v>4386</v>
      </c>
      <c r="I330" s="141"/>
      <c r="J330" s="203" t="s">
        <v>275</v>
      </c>
      <c r="K330" s="98"/>
      <c r="L330" s="1293" t="s">
        <v>583</v>
      </c>
      <c r="M330" s="300">
        <v>1</v>
      </c>
      <c r="N330" s="283"/>
      <c r="O330" s="283"/>
      <c r="P330" s="97"/>
      <c r="Q330" s="97"/>
      <c r="R330" s="97"/>
      <c r="S330" s="97"/>
      <c r="T330" s="97"/>
      <c r="U330" s="97"/>
      <c r="V330" s="97"/>
      <c r="X330" s="1312"/>
      <c r="Y330" s="1531"/>
      <c r="Z330" s="1588"/>
      <c r="AC330" s="280"/>
      <c r="AD330" s="280"/>
      <c r="AE330" s="280"/>
      <c r="AF330" s="280"/>
      <c r="AG330" s="280"/>
      <c r="AH330" s="280"/>
      <c r="AI330" s="280"/>
      <c r="AJ330" s="280"/>
      <c r="AK330" s="280"/>
      <c r="AL330" s="311" t="str">
        <f>SUBSTITUTE(SUBSTITUTE(SUBSTITUTE("vpa"&amp;$B330&amp;$C330&amp;$D330&amp;$E330&amp;$F330,".","_"),"(","_"),")","")</f>
        <v>vpa601_7_3</v>
      </c>
      <c r="AM330" s="311">
        <f>M330</f>
        <v>1</v>
      </c>
      <c r="AN330" s="280"/>
      <c r="AO330" s="280"/>
      <c r="AP330" s="280"/>
      <c r="AQ330" s="280"/>
      <c r="AR330" s="280"/>
      <c r="AS330" s="280"/>
      <c r="BJ330" s="1184" t="s">
        <v>4763</v>
      </c>
    </row>
    <row r="331" spans="1:62" s="339" customFormat="1" ht="15" thickBot="1" x14ac:dyDescent="0.35">
      <c r="A331" s="1200">
        <v>6</v>
      </c>
      <c r="B331" s="1208">
        <v>601.70000000000005</v>
      </c>
      <c r="C331" s="1203"/>
      <c r="D331" s="1203"/>
      <c r="E331" s="1203"/>
      <c r="F331" s="1203"/>
      <c r="G331" s="1202" t="str">
        <f t="shared" ca="1" si="112"/>
        <v>P</v>
      </c>
      <c r="H331" s="1200" t="s">
        <v>4386</v>
      </c>
      <c r="I331" s="141"/>
      <c r="J331" s="203"/>
      <c r="K331" s="98"/>
      <c r="L331" s="1348"/>
      <c r="M331" s="346"/>
      <c r="N331" s="340"/>
      <c r="O331" s="340"/>
      <c r="P331" s="97"/>
      <c r="Q331" s="97"/>
      <c r="R331" s="97"/>
      <c r="S331" s="97"/>
      <c r="T331" s="97"/>
      <c r="U331" s="97"/>
      <c r="V331" s="97"/>
      <c r="W331" s="117"/>
      <c r="X331" s="1338"/>
      <c r="Y331" s="1532"/>
      <c r="Z331" s="1589"/>
      <c r="AA331" s="1110"/>
      <c r="AL331" s="311"/>
      <c r="AM331" s="311"/>
      <c r="BJ331" s="1184" t="s">
        <v>4763</v>
      </c>
    </row>
    <row r="332" spans="1:62" ht="15" thickTop="1" x14ac:dyDescent="0.3">
      <c r="A332" s="1200">
        <v>6</v>
      </c>
      <c r="B332" s="1208">
        <v>601.79999999999995</v>
      </c>
      <c r="C332" s="1203"/>
      <c r="D332" s="1203"/>
      <c r="E332" s="1203"/>
      <c r="F332" s="1203"/>
      <c r="G332" s="1202" t="str">
        <f>IF(N332&gt;0,"P","")</f>
        <v/>
      </c>
      <c r="H332" s="1200" t="s">
        <v>4387</v>
      </c>
      <c r="I332" s="200">
        <v>601.79999999999995</v>
      </c>
      <c r="J332" s="201"/>
      <c r="K332" s="202"/>
      <c r="L332" s="1331" t="s">
        <v>584</v>
      </c>
      <c r="M332" s="1343">
        <v>3</v>
      </c>
      <c r="N332" s="1528">
        <f>'Ch6'!O78</f>
        <v>0</v>
      </c>
      <c r="O332" s="1528">
        <f>M332*S332*W332</f>
        <v>0</v>
      </c>
      <c r="P332" s="280" t="b">
        <v>1</v>
      </c>
      <c r="Q332" s="280" t="b">
        <v>0</v>
      </c>
      <c r="R332" s="110" t="b">
        <v>0</v>
      </c>
      <c r="S332" s="110" t="b">
        <f>NOT(AZ283=1)</f>
        <v>1</v>
      </c>
      <c r="T332" s="110" t="b">
        <f>IF(AND(NOT(S332),W332=TRUE),TRUE,FALSE)</f>
        <v>0</v>
      </c>
      <c r="U332" s="110"/>
      <c r="V332" s="110"/>
      <c r="W332" s="25"/>
      <c r="X332" s="1327"/>
      <c r="Y332" s="1525" t="str">
        <f>IF(LEN('Ch6'!X78)=0,"None",'Ch6'!X78)</f>
        <v>None</v>
      </c>
      <c r="Z332" s="1585"/>
      <c r="AC332" s="280" t="b">
        <f>OR(AD332:AE332)</f>
        <v>0</v>
      </c>
      <c r="AD332" s="985" t="b">
        <f>T332</f>
        <v>0</v>
      </c>
      <c r="AE332" s="280" t="b">
        <f>AND(W332=TRUE,LEN(X332)=0)</f>
        <v>0</v>
      </c>
      <c r="AF332" s="1182" t="b">
        <f>AND(AE332,NOT(Q332))</f>
        <v>0</v>
      </c>
      <c r="AG332" s="280"/>
      <c r="AH332" s="280"/>
      <c r="AI332" s="280"/>
      <c r="AJ332" s="280"/>
      <c r="AK332" s="280"/>
      <c r="AL332" s="311" t="str">
        <f>SUBSTITUTE(SUBSTITUTE(SUBSTITUTE("vpa"&amp;$B332&amp;$C332&amp;$D332&amp;$E332&amp;$F332,".","_"),"(","_"),")","")</f>
        <v>vpa601_8</v>
      </c>
      <c r="AM332" s="311">
        <f>M332</f>
        <v>3</v>
      </c>
      <c r="AN332" s="311" t="str">
        <f>SUBSTITUTE(SUBSTITUTE(SUBSTITUTE("vpc"&amp;$B332&amp;$C332&amp;$D332&amp;$E332&amp;$F332,".","_"),"(","_"),")","")</f>
        <v>vpc601_8</v>
      </c>
      <c r="AO332" s="311">
        <f>O332</f>
        <v>0</v>
      </c>
      <c r="AP332" s="311" t="str">
        <f>SUBSTITUTE(SUBSTITUTE(SUBSTITUTE("vch"&amp;$B332&amp;$C332&amp;$D332&amp;$E332&amp;$F332,".","_"),"(","_"),")","")</f>
        <v>vch601_8</v>
      </c>
      <c r="AQ332" s="311">
        <f>W332</f>
        <v>0</v>
      </c>
      <c r="AR332" s="311" t="str">
        <f>SUBSTITUTE(SUBSTITUTE(SUBSTITUTE("vnt"&amp;$B332&amp;$C332&amp;$D332&amp;$E332&amp;$F332,".","_"),"(","_"),")","")</f>
        <v>vnt601_8</v>
      </c>
      <c r="AS332" s="311">
        <f>X332</f>
        <v>0</v>
      </c>
      <c r="BJ332" s="1184" t="s">
        <v>4763</v>
      </c>
    </row>
    <row r="333" spans="1:62" x14ac:dyDescent="0.3">
      <c r="A333" s="1200">
        <v>6</v>
      </c>
      <c r="B333" s="1208">
        <v>601.79999999999995</v>
      </c>
      <c r="C333" s="1203"/>
      <c r="D333" s="1203"/>
      <c r="E333" s="1203"/>
      <c r="F333" s="1203"/>
      <c r="G333" s="1202" t="str">
        <f t="shared" ref="G333:G345" si="115">G332</f>
        <v/>
      </c>
      <c r="H333" s="1200" t="s">
        <v>4387</v>
      </c>
      <c r="I333" s="141"/>
      <c r="J333" s="140"/>
      <c r="K333" s="98"/>
      <c r="L333" s="1313"/>
      <c r="M333" s="1318"/>
      <c r="N333" s="1473"/>
      <c r="O333" s="1473"/>
      <c r="P333" s="97"/>
      <c r="Q333" s="97"/>
      <c r="R333" s="97"/>
      <c r="S333" s="97"/>
      <c r="T333" s="97"/>
      <c r="U333" s="97"/>
      <c r="V333" s="97"/>
      <c r="W333" s="97"/>
      <c r="X333" s="1295"/>
      <c r="Y333" s="1523"/>
      <c r="Z333" s="1583"/>
      <c r="AC333" s="280"/>
      <c r="AD333" s="280"/>
      <c r="AE333" s="280"/>
      <c r="AF333" s="280"/>
      <c r="AG333" s="280"/>
      <c r="AH333" s="280"/>
      <c r="AI333" s="280"/>
      <c r="AJ333" s="280"/>
      <c r="AK333" s="280"/>
      <c r="AL333" s="280"/>
      <c r="AM333" s="280"/>
      <c r="AN333" s="280"/>
      <c r="AO333" s="280"/>
      <c r="AP333" s="280"/>
      <c r="AQ333" s="280"/>
      <c r="AR333" s="280"/>
      <c r="AS333" s="280"/>
      <c r="BJ333" s="1184" t="s">
        <v>4763</v>
      </c>
    </row>
    <row r="334" spans="1:62" x14ac:dyDescent="0.3">
      <c r="A334" s="1200">
        <v>6</v>
      </c>
      <c r="B334" s="1208">
        <v>601.79999999999995</v>
      </c>
      <c r="C334" s="1203"/>
      <c r="D334" s="1203"/>
      <c r="E334" s="1203"/>
      <c r="F334" s="1203"/>
      <c r="G334" s="1202" t="str">
        <f t="shared" si="115"/>
        <v/>
      </c>
      <c r="H334" s="1200" t="s">
        <v>4387</v>
      </c>
      <c r="I334" s="141"/>
      <c r="J334" s="140"/>
      <c r="K334" s="98"/>
      <c r="L334" s="1313"/>
      <c r="M334" s="1318"/>
      <c r="N334" s="1473"/>
      <c r="O334" s="1473"/>
      <c r="P334" s="97"/>
      <c r="Q334" s="97"/>
      <c r="R334" s="97"/>
      <c r="S334" s="97"/>
      <c r="T334" s="97"/>
      <c r="U334" s="97"/>
      <c r="V334" s="97"/>
      <c r="W334" s="97"/>
      <c r="X334" s="1295"/>
      <c r="Y334" s="1523"/>
      <c r="Z334" s="1583"/>
      <c r="AC334" s="280"/>
      <c r="AD334" s="280"/>
      <c r="AE334" s="280"/>
      <c r="AF334" s="280"/>
      <c r="AG334" s="280"/>
      <c r="AH334" s="280"/>
      <c r="AI334" s="280"/>
      <c r="AJ334" s="280"/>
      <c r="AK334" s="280"/>
      <c r="AL334" s="280"/>
      <c r="AM334" s="280"/>
      <c r="AN334" s="280"/>
      <c r="AO334" s="280"/>
      <c r="AP334" s="280"/>
      <c r="AQ334" s="280"/>
      <c r="AR334" s="280"/>
      <c r="AS334" s="280"/>
      <c r="BJ334" s="1184" t="s">
        <v>4763</v>
      </c>
    </row>
    <row r="335" spans="1:62" x14ac:dyDescent="0.3">
      <c r="A335" s="1200">
        <v>6</v>
      </c>
      <c r="B335" s="1208">
        <v>601.79999999999995</v>
      </c>
      <c r="C335" s="1203"/>
      <c r="D335" s="1203"/>
      <c r="E335" s="1203"/>
      <c r="F335" s="1203"/>
      <c r="G335" s="1202" t="str">
        <f t="shared" si="115"/>
        <v/>
      </c>
      <c r="H335" s="1200" t="s">
        <v>4387</v>
      </c>
      <c r="I335" s="141"/>
      <c r="J335" s="140"/>
      <c r="K335" s="98"/>
      <c r="L335" s="1313"/>
      <c r="M335" s="1318"/>
      <c r="N335" s="1473"/>
      <c r="O335" s="1473"/>
      <c r="P335" s="97"/>
      <c r="Q335" s="97"/>
      <c r="R335" s="97"/>
      <c r="S335" s="97"/>
      <c r="T335" s="97"/>
      <c r="U335" s="97"/>
      <c r="V335" s="97"/>
      <c r="W335" s="97"/>
      <c r="X335" s="1295"/>
      <c r="Y335" s="1523"/>
      <c r="Z335" s="1583"/>
      <c r="AC335" s="280"/>
      <c r="AD335" s="280"/>
      <c r="AE335" s="280"/>
      <c r="AF335" s="280"/>
      <c r="AG335" s="280"/>
      <c r="AH335" s="280"/>
      <c r="AI335" s="280"/>
      <c r="AJ335" s="280"/>
      <c r="AK335" s="280"/>
      <c r="AL335" s="280"/>
      <c r="AM335" s="280"/>
      <c r="AN335" s="280"/>
      <c r="AO335" s="280"/>
      <c r="AP335" s="280"/>
      <c r="AQ335" s="280"/>
      <c r="AR335" s="280"/>
      <c r="AS335" s="280"/>
      <c r="BJ335" s="1184" t="s">
        <v>4763</v>
      </c>
    </row>
    <row r="336" spans="1:62" x14ac:dyDescent="0.3">
      <c r="A336" s="1200">
        <v>6</v>
      </c>
      <c r="B336" s="1208">
        <v>601.79999999999995</v>
      </c>
      <c r="C336" s="1203"/>
      <c r="D336" s="1203"/>
      <c r="E336" s="1203"/>
      <c r="F336" s="1203"/>
      <c r="G336" s="1202" t="str">
        <f t="shared" si="115"/>
        <v/>
      </c>
      <c r="H336" s="1200" t="s">
        <v>4387</v>
      </c>
      <c r="I336" s="141"/>
      <c r="J336" s="140"/>
      <c r="K336" s="98"/>
      <c r="L336" s="1313"/>
      <c r="M336" s="1318"/>
      <c r="N336" s="1473"/>
      <c r="O336" s="1473"/>
      <c r="P336" s="97"/>
      <c r="Q336" s="97"/>
      <c r="R336" s="97"/>
      <c r="S336" s="97"/>
      <c r="T336" s="97"/>
      <c r="U336" s="97"/>
      <c r="V336" s="97"/>
      <c r="W336" s="97"/>
      <c r="X336" s="1295"/>
      <c r="Y336" s="1523"/>
      <c r="Z336" s="1583"/>
      <c r="AC336" s="280"/>
      <c r="AD336" s="280"/>
      <c r="AE336" s="280"/>
      <c r="AF336" s="280"/>
      <c r="AG336" s="280"/>
      <c r="AH336" s="280"/>
      <c r="AI336" s="280"/>
      <c r="AJ336" s="280"/>
      <c r="AK336" s="280"/>
      <c r="AL336" s="280"/>
      <c r="AM336" s="280"/>
      <c r="AN336" s="280"/>
      <c r="AO336" s="280"/>
      <c r="AP336" s="280"/>
      <c r="AQ336" s="280"/>
      <c r="AR336" s="280"/>
      <c r="AS336" s="280"/>
      <c r="BJ336" s="1184" t="s">
        <v>4763</v>
      </c>
    </row>
    <row r="337" spans="1:62" x14ac:dyDescent="0.3">
      <c r="A337" s="1200">
        <v>6</v>
      </c>
      <c r="B337" s="1208">
        <v>601.79999999999995</v>
      </c>
      <c r="C337" s="1203"/>
      <c r="D337" s="1203"/>
      <c r="E337" s="1203"/>
      <c r="F337" s="1203"/>
      <c r="G337" s="1202" t="str">
        <f t="shared" si="115"/>
        <v/>
      </c>
      <c r="H337" s="1200" t="s">
        <v>4387</v>
      </c>
      <c r="I337" s="141"/>
      <c r="J337" s="140"/>
      <c r="K337" s="98"/>
      <c r="L337" s="1369" t="s">
        <v>1302</v>
      </c>
      <c r="M337" s="1318"/>
      <c r="N337" s="1473"/>
      <c r="O337" s="1473"/>
      <c r="P337" s="97"/>
      <c r="Q337" s="97"/>
      <c r="R337" s="97"/>
      <c r="S337" s="97"/>
      <c r="T337" s="97"/>
      <c r="U337" s="97"/>
      <c r="V337" s="97"/>
      <c r="W337" s="97"/>
      <c r="X337" s="1295"/>
      <c r="Y337" s="1523"/>
      <c r="Z337" s="1583"/>
      <c r="AC337" s="280"/>
      <c r="AD337" s="280"/>
      <c r="AE337" s="280"/>
      <c r="AF337" s="280"/>
      <c r="AG337" s="280"/>
      <c r="AH337" s="280"/>
      <c r="AI337" s="280"/>
      <c r="AJ337" s="280"/>
      <c r="AK337" s="280"/>
      <c r="AL337" s="280"/>
      <c r="AM337" s="280"/>
      <c r="AN337" s="280"/>
      <c r="AO337" s="280"/>
      <c r="AP337" s="280"/>
      <c r="AQ337" s="280"/>
      <c r="AR337" s="280"/>
      <c r="AS337" s="280"/>
      <c r="BJ337" s="1184" t="s">
        <v>4763</v>
      </c>
    </row>
    <row r="338" spans="1:62" x14ac:dyDescent="0.3">
      <c r="A338" s="1200">
        <v>6</v>
      </c>
      <c r="B338" s="1208">
        <v>601.79999999999995</v>
      </c>
      <c r="C338" s="1203"/>
      <c r="D338" s="1203"/>
      <c r="E338" s="1203"/>
      <c r="F338" s="1203"/>
      <c r="G338" s="1202" t="str">
        <f t="shared" si="115"/>
        <v/>
      </c>
      <c r="H338" s="1200" t="s">
        <v>4387</v>
      </c>
      <c r="I338" s="141"/>
      <c r="J338" s="140"/>
      <c r="K338" s="98"/>
      <c r="L338" s="1369"/>
      <c r="M338" s="1318"/>
      <c r="N338" s="1473"/>
      <c r="O338" s="1473"/>
      <c r="P338" s="97"/>
      <c r="Q338" s="97"/>
      <c r="R338" s="97"/>
      <c r="S338" s="97"/>
      <c r="T338" s="97"/>
      <c r="U338" s="97"/>
      <c r="V338" s="97"/>
      <c r="W338" s="97"/>
      <c r="X338" s="1295"/>
      <c r="Y338" s="1523"/>
      <c r="Z338" s="1583"/>
      <c r="AC338" s="280"/>
      <c r="AD338" s="280"/>
      <c r="AE338" s="280"/>
      <c r="AF338" s="280"/>
      <c r="AG338" s="280"/>
      <c r="AH338" s="280"/>
      <c r="AI338" s="280"/>
      <c r="AJ338" s="280"/>
      <c r="AK338" s="280"/>
      <c r="AL338" s="280"/>
      <c r="AM338" s="280"/>
      <c r="AN338" s="280"/>
      <c r="AO338" s="280"/>
      <c r="AP338" s="280"/>
      <c r="AQ338" s="280"/>
      <c r="AR338" s="280"/>
      <c r="AS338" s="280"/>
      <c r="BJ338" s="1184" t="s">
        <v>4763</v>
      </c>
    </row>
    <row r="339" spans="1:62" ht="15" thickBot="1" x14ac:dyDescent="0.35">
      <c r="A339" s="1200">
        <v>6</v>
      </c>
      <c r="B339" s="1208">
        <v>601.79999999999995</v>
      </c>
      <c r="C339" s="1203"/>
      <c r="D339" s="1203"/>
      <c r="E339" s="1203"/>
      <c r="F339" s="1203"/>
      <c r="G339" s="1202" t="str">
        <f t="shared" si="115"/>
        <v/>
      </c>
      <c r="H339" s="1200" t="s">
        <v>4387</v>
      </c>
      <c r="I339" s="141"/>
      <c r="J339" s="140"/>
      <c r="K339" s="98"/>
      <c r="L339" s="1357"/>
      <c r="M339" s="1318"/>
      <c r="N339" s="1529"/>
      <c r="O339" s="1473"/>
      <c r="P339" s="97"/>
      <c r="Q339" s="97"/>
      <c r="R339" s="97"/>
      <c r="S339" s="97"/>
      <c r="T339" s="97"/>
      <c r="U339" s="97"/>
      <c r="V339" s="97"/>
      <c r="W339" s="117"/>
      <c r="X339" s="1337"/>
      <c r="Y339" s="1524"/>
      <c r="Z339" s="1584"/>
      <c r="AC339" s="280"/>
      <c r="AD339" s="280"/>
      <c r="AE339" s="280"/>
      <c r="AF339" s="280"/>
      <c r="AG339" s="280"/>
      <c r="AH339" s="280"/>
      <c r="AI339" s="280"/>
      <c r="AJ339" s="280"/>
      <c r="AK339" s="280"/>
      <c r="AL339" s="280"/>
      <c r="AM339" s="280"/>
      <c r="AN339" s="280"/>
      <c r="AO339" s="280"/>
      <c r="AP339" s="280"/>
      <c r="AQ339" s="280"/>
      <c r="AR339" s="280"/>
      <c r="AS339" s="280"/>
      <c r="BJ339" s="1184" t="s">
        <v>4763</v>
      </c>
    </row>
    <row r="340" spans="1:62" ht="15" thickTop="1" x14ac:dyDescent="0.3">
      <c r="A340" s="1200">
        <v>6</v>
      </c>
      <c r="B340" s="1208">
        <v>601.9</v>
      </c>
      <c r="C340" s="1203"/>
      <c r="D340" s="1203"/>
      <c r="E340" s="1203"/>
      <c r="F340" s="1203"/>
      <c r="G340" s="1202" t="str">
        <f>IF(N340&gt;0,"P","")</f>
        <v/>
      </c>
      <c r="H340" s="1200" t="s">
        <v>4387</v>
      </c>
      <c r="I340" s="200">
        <v>601.9</v>
      </c>
      <c r="J340" s="201"/>
      <c r="K340" s="202"/>
      <c r="L340" s="1331" t="s">
        <v>585</v>
      </c>
      <c r="M340" s="1343">
        <v>4</v>
      </c>
      <c r="N340" s="1528">
        <f>'Ch6'!O86</f>
        <v>0</v>
      </c>
      <c r="O340" s="1528">
        <f>M340*S340*W340</f>
        <v>0</v>
      </c>
      <c r="P340" s="280" t="b">
        <v>1</v>
      </c>
      <c r="Q340" s="280" t="b">
        <v>0</v>
      </c>
      <c r="R340" s="110" t="b">
        <v>0</v>
      </c>
      <c r="S340" s="110" t="b">
        <v>1</v>
      </c>
      <c r="T340" s="110" t="b">
        <v>0</v>
      </c>
      <c r="U340" s="110"/>
      <c r="V340" s="110"/>
      <c r="W340" s="25"/>
      <c r="X340" s="1327"/>
      <c r="Y340" s="1525" t="str">
        <f>IF(LEN('Ch6'!X86)=0,"None",'Ch6'!X86)</f>
        <v>None</v>
      </c>
      <c r="Z340" s="1585"/>
      <c r="AC340" s="280" t="b">
        <f>OR(AD340:AE340)</f>
        <v>0</v>
      </c>
      <c r="AD340" s="985" t="b">
        <f>T340</f>
        <v>0</v>
      </c>
      <c r="AE340" s="280" t="b">
        <f>AND(W340=TRUE,LEN(X340)=0)</f>
        <v>0</v>
      </c>
      <c r="AF340" s="1182" t="b">
        <f>AND(AE340,NOT(Q340))</f>
        <v>0</v>
      </c>
      <c r="AG340" s="280"/>
      <c r="AH340" s="280"/>
      <c r="AI340" s="280"/>
      <c r="AJ340" s="280"/>
      <c r="AK340" s="280"/>
      <c r="AL340" s="311" t="str">
        <f>SUBSTITUTE(SUBSTITUTE(SUBSTITUTE("vpa"&amp;$B340&amp;$C340&amp;$D340&amp;$E340&amp;$F340,".","_"),"(","_"),")","")</f>
        <v>vpa601_9</v>
      </c>
      <c r="AM340" s="311">
        <f>M340</f>
        <v>4</v>
      </c>
      <c r="AN340" s="311" t="str">
        <f>SUBSTITUTE(SUBSTITUTE(SUBSTITUTE("vpc"&amp;$B340&amp;$C340&amp;$D340&amp;$E340&amp;$F340,".","_"),"(","_"),")","")</f>
        <v>vpc601_9</v>
      </c>
      <c r="AO340" s="311">
        <f>O340</f>
        <v>0</v>
      </c>
      <c r="AP340" s="311" t="str">
        <f>SUBSTITUTE(SUBSTITUTE(SUBSTITUTE("vch"&amp;$B340&amp;$C340&amp;$D340&amp;$E340&amp;$F340,".","_"),"(","_"),")","")</f>
        <v>vch601_9</v>
      </c>
      <c r="AQ340" s="311">
        <f>W340</f>
        <v>0</v>
      </c>
      <c r="AR340" s="311" t="str">
        <f>SUBSTITUTE(SUBSTITUTE(SUBSTITUTE("vnt"&amp;$B340&amp;$C340&amp;$D340&amp;$E340&amp;$F340,".","_"),"(","_"),")","")</f>
        <v>vnt601_9</v>
      </c>
      <c r="AS340" s="311">
        <f>X340</f>
        <v>0</v>
      </c>
      <c r="BJ340" s="1184" t="s">
        <v>4763</v>
      </c>
    </row>
    <row r="341" spans="1:62" x14ac:dyDescent="0.3">
      <c r="A341" s="1200">
        <v>6</v>
      </c>
      <c r="B341" s="1208">
        <v>601.9</v>
      </c>
      <c r="C341" s="1203"/>
      <c r="D341" s="1203"/>
      <c r="E341" s="1203"/>
      <c r="F341" s="1203"/>
      <c r="G341" s="1202" t="str">
        <f t="shared" si="115"/>
        <v/>
      </c>
      <c r="H341" s="1200" t="s">
        <v>4387</v>
      </c>
      <c r="I341" s="141"/>
      <c r="J341" s="140"/>
      <c r="K341" s="98"/>
      <c r="L341" s="1313"/>
      <c r="M341" s="1318"/>
      <c r="N341" s="1473"/>
      <c r="O341" s="1473"/>
      <c r="P341" s="97"/>
      <c r="Q341" s="97"/>
      <c r="R341" s="97"/>
      <c r="S341" s="97"/>
      <c r="T341" s="97"/>
      <c r="U341" s="97"/>
      <c r="V341" s="97"/>
      <c r="W341" s="97"/>
      <c r="X341" s="1295"/>
      <c r="Y341" s="1522"/>
      <c r="Z341" s="1586"/>
      <c r="AC341" s="280"/>
      <c r="AD341" s="280"/>
      <c r="AE341" s="280"/>
      <c r="AF341" s="280"/>
      <c r="AG341" s="280"/>
      <c r="AH341" s="280"/>
      <c r="AI341" s="280"/>
      <c r="AJ341" s="280"/>
      <c r="AK341" s="280"/>
      <c r="AL341" s="280"/>
      <c r="AM341" s="280"/>
      <c r="AN341" s="280"/>
      <c r="AO341" s="280"/>
      <c r="AP341" s="280"/>
      <c r="AQ341" s="280"/>
      <c r="AR341" s="280"/>
      <c r="AS341" s="280"/>
      <c r="BJ341" s="1184" t="s">
        <v>4763</v>
      </c>
    </row>
    <row r="342" spans="1:62" x14ac:dyDescent="0.3">
      <c r="A342" s="1200">
        <v>6</v>
      </c>
      <c r="B342" s="1208">
        <v>601.9</v>
      </c>
      <c r="C342" s="1203"/>
      <c r="D342" s="1203"/>
      <c r="E342" s="1203"/>
      <c r="F342" s="1203"/>
      <c r="G342" s="1202" t="str">
        <f t="shared" si="115"/>
        <v/>
      </c>
      <c r="H342" s="1200" t="s">
        <v>4387</v>
      </c>
      <c r="I342" s="141"/>
      <c r="J342" s="140"/>
      <c r="K342" s="98"/>
      <c r="L342" s="1313"/>
      <c r="M342" s="1318"/>
      <c r="N342" s="1473"/>
      <c r="O342" s="1473"/>
      <c r="P342" s="97"/>
      <c r="Q342" s="97"/>
      <c r="R342" s="97"/>
      <c r="S342" s="97"/>
      <c r="T342" s="97"/>
      <c r="U342" s="97"/>
      <c r="V342" s="97"/>
      <c r="W342" s="97"/>
      <c r="X342" s="1295"/>
      <c r="Y342" s="1522"/>
      <c r="Z342" s="1586"/>
      <c r="AC342" s="280"/>
      <c r="AD342" s="280"/>
      <c r="AE342" s="280"/>
      <c r="AF342" s="280"/>
      <c r="AG342" s="280"/>
      <c r="AH342" s="280"/>
      <c r="AI342" s="280"/>
      <c r="AJ342" s="280"/>
      <c r="AK342" s="280"/>
      <c r="AL342" s="280"/>
      <c r="AM342" s="280"/>
      <c r="AN342" s="280"/>
      <c r="AO342" s="280"/>
      <c r="AP342" s="280"/>
      <c r="AQ342" s="280"/>
      <c r="AR342" s="280"/>
      <c r="AS342" s="280"/>
      <c r="BJ342" s="1184" t="s">
        <v>4763</v>
      </c>
    </row>
    <row r="343" spans="1:62" x14ac:dyDescent="0.3">
      <c r="A343" s="1200">
        <v>6</v>
      </c>
      <c r="B343" s="1208">
        <v>601.9</v>
      </c>
      <c r="C343" s="1203"/>
      <c r="D343" s="1203"/>
      <c r="E343" s="1203"/>
      <c r="F343" s="1203"/>
      <c r="G343" s="1202" t="str">
        <f t="shared" si="115"/>
        <v/>
      </c>
      <c r="H343" s="1200" t="s">
        <v>4387</v>
      </c>
      <c r="I343" s="141"/>
      <c r="J343" s="140"/>
      <c r="K343" s="98"/>
      <c r="L343" s="1369" t="s">
        <v>1302</v>
      </c>
      <c r="M343" s="1318"/>
      <c r="N343" s="1473"/>
      <c r="O343" s="1473"/>
      <c r="P343" s="97"/>
      <c r="Q343" s="97"/>
      <c r="R343" s="97"/>
      <c r="S343" s="97"/>
      <c r="T343" s="97"/>
      <c r="U343" s="97"/>
      <c r="V343" s="97"/>
      <c r="W343" s="97"/>
      <c r="X343" s="1295"/>
      <c r="Y343" s="1522"/>
      <c r="Z343" s="1586"/>
      <c r="AC343" s="280"/>
      <c r="AD343" s="280"/>
      <c r="AE343" s="280"/>
      <c r="AF343" s="280"/>
      <c r="AG343" s="280"/>
      <c r="AH343" s="280"/>
      <c r="AI343" s="280"/>
      <c r="AJ343" s="280"/>
      <c r="AK343" s="280"/>
      <c r="AL343" s="280"/>
      <c r="AM343" s="280"/>
      <c r="AN343" s="280"/>
      <c r="AO343" s="280"/>
      <c r="AP343" s="280"/>
      <c r="AQ343" s="280"/>
      <c r="AR343" s="280"/>
      <c r="AS343" s="280"/>
      <c r="BJ343" s="1184" t="s">
        <v>4763</v>
      </c>
    </row>
    <row r="344" spans="1:62" x14ac:dyDescent="0.3">
      <c r="A344" s="1200">
        <v>6</v>
      </c>
      <c r="B344" s="1208">
        <v>601.9</v>
      </c>
      <c r="C344" s="1203"/>
      <c r="D344" s="1203"/>
      <c r="E344" s="1203"/>
      <c r="F344" s="1203"/>
      <c r="G344" s="1202" t="str">
        <f t="shared" si="115"/>
        <v/>
      </c>
      <c r="H344" s="1200" t="s">
        <v>4387</v>
      </c>
      <c r="I344" s="141"/>
      <c r="J344" s="140"/>
      <c r="K344" s="98"/>
      <c r="L344" s="1369"/>
      <c r="M344" s="1318"/>
      <c r="N344" s="1473"/>
      <c r="O344" s="1473"/>
      <c r="P344" s="97"/>
      <c r="Q344" s="97"/>
      <c r="R344" s="97"/>
      <c r="S344" s="97"/>
      <c r="T344" s="97"/>
      <c r="U344" s="97"/>
      <c r="V344" s="97"/>
      <c r="W344" s="97"/>
      <c r="X344" s="1295"/>
      <c r="Y344" s="1522"/>
      <c r="Z344" s="1586"/>
      <c r="AC344" s="280"/>
      <c r="AD344" s="280"/>
      <c r="AE344" s="280"/>
      <c r="AF344" s="280"/>
      <c r="AG344" s="280"/>
      <c r="AH344" s="280"/>
      <c r="AI344" s="280"/>
      <c r="AJ344" s="280"/>
      <c r="AK344" s="280"/>
      <c r="AL344" s="280"/>
      <c r="AM344" s="280"/>
      <c r="AN344" s="280"/>
      <c r="AO344" s="280"/>
      <c r="AP344" s="280"/>
      <c r="AQ344" s="280"/>
      <c r="AR344" s="280"/>
      <c r="AS344" s="280"/>
      <c r="BJ344" s="1184" t="s">
        <v>4763</v>
      </c>
    </row>
    <row r="345" spans="1:62" x14ac:dyDescent="0.3">
      <c r="A345" s="1200">
        <v>6</v>
      </c>
      <c r="B345" s="1208">
        <v>601.9</v>
      </c>
      <c r="C345" s="1203"/>
      <c r="D345" s="1203"/>
      <c r="E345" s="1203"/>
      <c r="F345" s="1203"/>
      <c r="G345" s="1202" t="str">
        <f t="shared" si="115"/>
        <v/>
      </c>
      <c r="H345" s="1200" t="s">
        <v>4387</v>
      </c>
      <c r="I345" s="141"/>
      <c r="J345" s="140"/>
      <c r="K345" s="98"/>
      <c r="L345" s="1369"/>
      <c r="M345" s="1318"/>
      <c r="N345" s="1473"/>
      <c r="O345" s="1473"/>
      <c r="P345" s="97"/>
      <c r="Q345" s="97"/>
      <c r="R345" s="97"/>
      <c r="S345" s="97"/>
      <c r="T345" s="97"/>
      <c r="U345" s="97"/>
      <c r="V345" s="97"/>
      <c r="W345" s="97"/>
      <c r="X345" s="1295"/>
      <c r="Y345" s="1522"/>
      <c r="Z345" s="1586"/>
      <c r="AC345" s="280"/>
      <c r="AD345" s="280"/>
      <c r="AE345" s="280"/>
      <c r="AF345" s="280"/>
      <c r="AG345" s="280"/>
      <c r="AH345" s="280"/>
      <c r="AI345" s="280"/>
      <c r="AJ345" s="280"/>
      <c r="AK345" s="280"/>
      <c r="AL345" s="280"/>
      <c r="AM345" s="280"/>
      <c r="AN345" s="280"/>
      <c r="AO345" s="280"/>
      <c r="AP345" s="280"/>
      <c r="AQ345" s="280"/>
      <c r="AR345" s="280"/>
      <c r="AS345" s="280"/>
      <c r="BJ345" s="1184" t="s">
        <v>4763</v>
      </c>
    </row>
    <row r="346" spans="1:62" ht="18" x14ac:dyDescent="0.35">
      <c r="A346" s="1200">
        <v>6</v>
      </c>
      <c r="B346" s="1208">
        <v>602</v>
      </c>
      <c r="C346" s="1203"/>
      <c r="D346" s="1203"/>
      <c r="E346" s="1203"/>
      <c r="F346" s="1203"/>
      <c r="G346" s="1202" t="s">
        <v>4389</v>
      </c>
      <c r="H346" s="1200" t="s">
        <v>4386</v>
      </c>
      <c r="I346" s="72" t="s">
        <v>586</v>
      </c>
      <c r="J346" s="72"/>
      <c r="K346" s="72"/>
      <c r="L346" s="82"/>
      <c r="M346" s="71"/>
      <c r="N346" s="71"/>
      <c r="O346" s="71"/>
      <c r="P346" s="23"/>
      <c r="Q346" s="23"/>
      <c r="R346" s="23"/>
      <c r="S346" s="23"/>
      <c r="T346" s="23"/>
      <c r="U346" s="23"/>
      <c r="V346" s="23"/>
      <c r="W346" s="23"/>
      <c r="X346" s="23"/>
      <c r="Y346" s="23"/>
      <c r="Z346" s="1168"/>
      <c r="AC346" s="280"/>
      <c r="AD346" s="280"/>
      <c r="AE346" s="280"/>
      <c r="AF346" s="280"/>
      <c r="AG346" s="280"/>
      <c r="AH346" s="280"/>
      <c r="AI346" s="280"/>
      <c r="AJ346" s="280"/>
      <c r="AK346" s="280"/>
      <c r="AL346" s="280"/>
      <c r="AM346" s="280"/>
      <c r="AN346" s="280"/>
      <c r="AO346" s="280"/>
      <c r="AP346" s="280"/>
      <c r="AQ346" s="280"/>
      <c r="AR346" s="280"/>
      <c r="AS346" s="280"/>
      <c r="BJ346" s="1184" t="s">
        <v>4763</v>
      </c>
    </row>
    <row r="347" spans="1:62" x14ac:dyDescent="0.3">
      <c r="A347" s="1200">
        <v>6</v>
      </c>
      <c r="B347" s="1208" t="s">
        <v>3346</v>
      </c>
      <c r="C347" s="1203"/>
      <c r="D347" s="1203"/>
      <c r="E347" s="1203"/>
      <c r="F347" s="1203"/>
      <c r="G347" s="1204"/>
      <c r="H347" s="1200"/>
      <c r="I347" s="81" t="s">
        <v>3346</v>
      </c>
      <c r="J347" s="4"/>
      <c r="K347" s="86"/>
      <c r="L347" s="1292" t="s">
        <v>587</v>
      </c>
      <c r="M347" s="305"/>
      <c r="N347" s="282"/>
      <c r="O347" s="282"/>
      <c r="P347" s="280"/>
      <c r="Q347" s="280"/>
      <c r="R347" s="280"/>
      <c r="S347" s="280"/>
      <c r="T347" s="280"/>
      <c r="U347" s="280"/>
      <c r="V347" s="280"/>
      <c r="W347" s="280"/>
      <c r="X347" s="280"/>
      <c r="Y347"/>
      <c r="Z347" s="1055"/>
      <c r="AC347" s="280"/>
      <c r="AD347" s="280"/>
      <c r="AE347" s="280"/>
      <c r="AF347" s="280"/>
      <c r="AG347" s="280"/>
      <c r="AH347" s="280"/>
      <c r="AI347" s="280"/>
      <c r="AJ347" s="280"/>
      <c r="AK347" s="280"/>
      <c r="AL347" s="280"/>
      <c r="AM347" s="280"/>
      <c r="AN347" s="280"/>
      <c r="AO347" s="280"/>
      <c r="AP347" s="280"/>
      <c r="AQ347" s="280"/>
      <c r="AR347" s="280"/>
      <c r="AS347" s="280"/>
      <c r="BJ347" s="1184" t="s">
        <v>4763</v>
      </c>
    </row>
    <row r="348" spans="1:62" ht="15" thickBot="1" x14ac:dyDescent="0.35">
      <c r="A348" s="1200">
        <v>6</v>
      </c>
      <c r="B348" s="1208" t="s">
        <v>3346</v>
      </c>
      <c r="C348" s="1203"/>
      <c r="D348" s="1203"/>
      <c r="E348" s="1203"/>
      <c r="F348" s="1203"/>
      <c r="G348" s="1204"/>
      <c r="H348" s="1200"/>
      <c r="I348" s="66"/>
      <c r="J348" s="4"/>
      <c r="K348" s="86"/>
      <c r="L348" s="1292"/>
      <c r="M348" s="305"/>
      <c r="N348" s="282"/>
      <c r="O348" s="282"/>
      <c r="P348" s="280"/>
      <c r="Q348" s="280"/>
      <c r="R348" s="280"/>
      <c r="S348" s="280"/>
      <c r="T348" s="280"/>
      <c r="U348" s="280"/>
      <c r="V348" s="280"/>
      <c r="W348" s="280"/>
      <c r="X348" s="280"/>
      <c r="Y348" s="104"/>
      <c r="Z348" s="1172"/>
      <c r="AC348" s="280"/>
      <c r="AD348" s="280"/>
      <c r="AE348" s="280"/>
      <c r="AF348" s="280"/>
      <c r="AG348" s="280"/>
      <c r="AH348" s="280"/>
      <c r="AI348" s="280"/>
      <c r="AJ348" s="280"/>
      <c r="AK348" s="280"/>
      <c r="AL348" s="280"/>
      <c r="AM348" s="280"/>
      <c r="AN348" s="280"/>
      <c r="AO348" s="280"/>
      <c r="AP348" s="280"/>
      <c r="AQ348" s="280"/>
      <c r="AR348" s="280"/>
      <c r="AS348" s="280"/>
      <c r="BJ348" s="1184" t="s">
        <v>4763</v>
      </c>
    </row>
    <row r="349" spans="1:62" ht="15.6" thickTop="1" thickBot="1" x14ac:dyDescent="0.35">
      <c r="A349" s="1200">
        <v>6</v>
      </c>
      <c r="B349" s="1208">
        <v>602.1</v>
      </c>
      <c r="C349" s="1203"/>
      <c r="D349" s="1203"/>
      <c r="E349" s="1203"/>
      <c r="F349" s="1203"/>
      <c r="G349" s="1202" t="s">
        <v>4389</v>
      </c>
      <c r="H349" s="1200" t="s">
        <v>4386</v>
      </c>
      <c r="I349" s="200">
        <v>602.1</v>
      </c>
      <c r="J349" s="201"/>
      <c r="K349" s="202"/>
      <c r="L349" s="135" t="s">
        <v>588</v>
      </c>
      <c r="M349" s="306"/>
      <c r="N349" s="296"/>
      <c r="O349" s="296"/>
      <c r="P349" s="110"/>
      <c r="Q349" s="110"/>
      <c r="R349" s="110"/>
      <c r="S349" s="110"/>
      <c r="T349" s="110"/>
      <c r="U349" s="110"/>
      <c r="V349" s="110"/>
      <c r="W349" s="110"/>
      <c r="X349" s="110"/>
      <c r="Y349" s="104"/>
      <c r="Z349" s="1172"/>
      <c r="AC349" s="280"/>
      <c r="AD349" s="280"/>
      <c r="AE349" s="280"/>
      <c r="AF349" s="280"/>
      <c r="AG349" s="280"/>
      <c r="AH349" s="280"/>
      <c r="AI349" s="280"/>
      <c r="AJ349" s="280"/>
      <c r="AK349" s="280"/>
      <c r="AL349" s="280"/>
      <c r="AM349" s="280"/>
      <c r="AN349" s="280"/>
      <c r="AO349" s="280"/>
      <c r="AP349" s="280"/>
      <c r="AQ349" s="280"/>
      <c r="AR349" s="280"/>
      <c r="AS349" s="280"/>
      <c r="BJ349" s="1184" t="s">
        <v>4763</v>
      </c>
    </row>
    <row r="350" spans="1:62" ht="15" thickTop="1" x14ac:dyDescent="0.3">
      <c r="A350" s="1200">
        <v>6</v>
      </c>
      <c r="B350" s="1208" t="s">
        <v>589</v>
      </c>
      <c r="C350" s="1203"/>
      <c r="D350" s="1203"/>
      <c r="E350" s="1203"/>
      <c r="F350" s="1203"/>
      <c r="G350" s="1202" t="s">
        <v>4389</v>
      </c>
      <c r="H350" s="1200" t="s">
        <v>4387</v>
      </c>
      <c r="I350" s="200" t="s">
        <v>589</v>
      </c>
      <c r="J350" s="201"/>
      <c r="K350" s="202"/>
      <c r="L350" s="135" t="s">
        <v>590</v>
      </c>
      <c r="M350" s="306"/>
      <c r="N350" s="296"/>
      <c r="O350" s="296"/>
      <c r="P350" s="110"/>
      <c r="Q350" s="110"/>
      <c r="R350" s="110"/>
      <c r="S350" s="110"/>
      <c r="T350" s="110"/>
      <c r="U350" s="110"/>
      <c r="V350" s="110"/>
      <c r="W350" s="110"/>
      <c r="X350" s="110"/>
      <c r="Y350"/>
      <c r="Z350" s="1055"/>
      <c r="AC350" s="280"/>
      <c r="AD350" s="280"/>
      <c r="AE350" s="280"/>
      <c r="AF350" s="280"/>
      <c r="AG350" s="280"/>
      <c r="AH350" s="280"/>
      <c r="AI350" s="280"/>
      <c r="AJ350" s="280"/>
      <c r="AK350" s="280"/>
      <c r="AL350" s="280"/>
      <c r="AM350" s="280"/>
      <c r="AN350" s="280"/>
      <c r="AO350" s="280"/>
      <c r="AP350" s="280"/>
      <c r="AQ350" s="280"/>
      <c r="AR350" s="280"/>
      <c r="AS350" s="280"/>
      <c r="BJ350" s="1184" t="s">
        <v>4763</v>
      </c>
    </row>
    <row r="351" spans="1:62" x14ac:dyDescent="0.3">
      <c r="A351" s="1200">
        <v>6</v>
      </c>
      <c r="B351" s="1208" t="s">
        <v>591</v>
      </c>
      <c r="C351" s="1208"/>
      <c r="D351" s="1203"/>
      <c r="E351" s="1203"/>
      <c r="F351" s="1203"/>
      <c r="G351" s="1202" t="s">
        <v>4389</v>
      </c>
      <c r="H351" s="1200" t="s">
        <v>4387</v>
      </c>
      <c r="I351" s="141" t="s">
        <v>591</v>
      </c>
      <c r="J351" s="140"/>
      <c r="K351" s="98"/>
      <c r="L351" s="1313" t="s">
        <v>592</v>
      </c>
      <c r="M351" s="1351" t="str">
        <f>IF(R351,"Mandatory","N/A")</f>
        <v>Mandatory</v>
      </c>
      <c r="N351" s="282"/>
      <c r="O351" s="282"/>
      <c r="P351" s="280" t="b">
        <v>1</v>
      </c>
      <c r="Q351" s="280" t="b">
        <v>0</v>
      </c>
      <c r="R351" s="280" t="b">
        <f>S351</f>
        <v>1</v>
      </c>
      <c r="S351" s="280" t="b">
        <f>IF(OR(AZ283=2,AZ283=3),FALSE,TRUE)</f>
        <v>1</v>
      </c>
      <c r="T351" s="97" t="b">
        <f>IF(AND(NOT(S351),W351=TRUE),TRUE,FALSE)</f>
        <v>0</v>
      </c>
      <c r="U351" s="280"/>
      <c r="V351" s="280"/>
      <c r="W351" s="25"/>
      <c r="X351" s="1303"/>
      <c r="Y351" s="1522" t="str">
        <f>IF(LEN('Ch6'!X97)=0,"None",'Ch6'!X97)</f>
        <v>None</v>
      </c>
      <c r="Z351" s="1586"/>
      <c r="AC351" s="280" t="b">
        <f>OR(AD351:AE351)</f>
        <v>1</v>
      </c>
      <c r="AD351" s="280" t="b">
        <f>T351</f>
        <v>0</v>
      </c>
      <c r="AE351" s="280" t="b">
        <f>AND(R351,NOT(W351))</f>
        <v>1</v>
      </c>
      <c r="AF351" s="1182" t="b">
        <f>AND(AE351,NOT(Q351))</f>
        <v>1</v>
      </c>
      <c r="AG351" s="280"/>
      <c r="AH351" s="280"/>
      <c r="AI351" s="280"/>
      <c r="AJ351" s="280"/>
      <c r="AK351" s="280"/>
      <c r="AL351" s="311" t="str">
        <f>SUBSTITUTE(SUBSTITUTE(SUBSTITUTE("vpa"&amp;$B351&amp;$C351&amp;$D351&amp;$E351&amp;$F351,".","_"),"(","_"),")","")</f>
        <v>vpa602_1_1_1</v>
      </c>
      <c r="AM351" s="311" t="str">
        <f>M351</f>
        <v>Mandatory</v>
      </c>
      <c r="AN351" s="280"/>
      <c r="AO351" s="280"/>
      <c r="AP351" s="311" t="str">
        <f>SUBSTITUTE(SUBSTITUTE(SUBSTITUTE("vch"&amp;$B351&amp;$C351&amp;$D351&amp;$E351&amp;$F351,".","_"),"(","_"),")","")</f>
        <v>vch602_1_1_1</v>
      </c>
      <c r="AQ351" s="311">
        <f>W351</f>
        <v>0</v>
      </c>
      <c r="AR351" s="311" t="str">
        <f>SUBSTITUTE(SUBSTITUTE(SUBSTITUTE("vnt"&amp;$B351&amp;$C351&amp;$D351&amp;$E351&amp;$F351,".","_"),"(","_"),")","")</f>
        <v>vnt602_1_1_1</v>
      </c>
      <c r="AS351" s="311">
        <f>X351</f>
        <v>0</v>
      </c>
      <c r="BJ351" s="1184" t="s">
        <v>4763</v>
      </c>
    </row>
    <row r="352" spans="1:62" x14ac:dyDescent="0.3">
      <c r="A352" s="1200">
        <v>6</v>
      </c>
      <c r="B352" s="1208" t="s">
        <v>591</v>
      </c>
      <c r="C352" s="1208"/>
      <c r="D352" s="1203"/>
      <c r="E352" s="1203"/>
      <c r="F352" s="1203"/>
      <c r="G352" s="1202" t="s">
        <v>4389</v>
      </c>
      <c r="H352" s="1200" t="s">
        <v>4387</v>
      </c>
      <c r="I352" s="141"/>
      <c r="J352" s="140"/>
      <c r="K352" s="98"/>
      <c r="L352" s="1313"/>
      <c r="M352" s="1351"/>
      <c r="N352" s="282"/>
      <c r="O352" s="282"/>
      <c r="P352" s="280"/>
      <c r="Q352" s="280"/>
      <c r="R352" s="280"/>
      <c r="S352" s="280"/>
      <c r="T352" s="280"/>
      <c r="U352" s="280"/>
      <c r="V352" s="280"/>
      <c r="W352" s="280"/>
      <c r="X352" s="1303"/>
      <c r="Y352" s="1522"/>
      <c r="Z352" s="1586"/>
      <c r="AC352" s="280"/>
      <c r="AD352" s="280"/>
      <c r="AE352" s="280"/>
      <c r="AF352" s="280"/>
      <c r="AG352" s="280"/>
      <c r="AH352" s="280"/>
      <c r="AI352" s="280"/>
      <c r="AJ352" s="280"/>
      <c r="AK352" s="280"/>
      <c r="AL352" s="280"/>
      <c r="AM352" s="280"/>
      <c r="AN352" s="280"/>
      <c r="AO352" s="280"/>
      <c r="AP352" s="280"/>
      <c r="AQ352" s="280"/>
      <c r="AR352" s="280"/>
      <c r="AS352" s="280"/>
      <c r="BJ352" s="1184" t="s">
        <v>4763</v>
      </c>
    </row>
    <row r="353" spans="1:62" x14ac:dyDescent="0.3">
      <c r="A353" s="1200">
        <v>6</v>
      </c>
      <c r="B353" s="1208" t="s">
        <v>591</v>
      </c>
      <c r="C353" s="1208"/>
      <c r="D353" s="1203"/>
      <c r="E353" s="1203"/>
      <c r="F353" s="1203"/>
      <c r="G353" s="1202" t="s">
        <v>4389</v>
      </c>
      <c r="H353" s="1200" t="s">
        <v>4387</v>
      </c>
      <c r="I353" s="244"/>
      <c r="J353" s="238"/>
      <c r="K353" s="193"/>
      <c r="L353" s="1350"/>
      <c r="M353" s="1352"/>
      <c r="N353" s="282"/>
      <c r="O353" s="282"/>
      <c r="P353" s="280"/>
      <c r="Q353" s="280"/>
      <c r="R353" s="280"/>
      <c r="S353" s="280"/>
      <c r="T353" s="280"/>
      <c r="U353" s="280"/>
      <c r="V353" s="280"/>
      <c r="W353" s="280"/>
      <c r="X353" s="1303"/>
      <c r="Y353" s="1522"/>
      <c r="Z353" s="1586"/>
      <c r="AC353" s="280"/>
      <c r="AD353" s="280"/>
      <c r="AE353" s="280"/>
      <c r="AF353" s="280"/>
      <c r="AG353" s="280"/>
      <c r="AH353" s="280"/>
      <c r="AI353" s="280"/>
      <c r="AJ353" s="280"/>
      <c r="AK353" s="280"/>
      <c r="AL353" s="280"/>
      <c r="AM353" s="280"/>
      <c r="AN353" s="280"/>
      <c r="AO353" s="280"/>
      <c r="AP353" s="280"/>
      <c r="AQ353" s="280"/>
      <c r="AR353" s="280"/>
      <c r="AS353" s="280"/>
      <c r="BJ353" s="1184" t="s">
        <v>4763</v>
      </c>
    </row>
    <row r="354" spans="1:62" x14ac:dyDescent="0.3">
      <c r="A354" s="1200">
        <v>6</v>
      </c>
      <c r="B354" s="1208" t="s">
        <v>593</v>
      </c>
      <c r="C354" s="1208"/>
      <c r="D354" s="1203"/>
      <c r="E354" s="1203"/>
      <c r="F354" s="1203"/>
      <c r="G354" s="1202" t="str">
        <f>IF(N354&gt;0,"P","")</f>
        <v>P</v>
      </c>
      <c r="H354" s="1200" t="s">
        <v>4387</v>
      </c>
      <c r="I354" s="66" t="s">
        <v>593</v>
      </c>
      <c r="J354" s="4"/>
      <c r="K354" s="86"/>
      <c r="L354" s="1292" t="s">
        <v>594</v>
      </c>
      <c r="M354" s="1335">
        <v>3</v>
      </c>
      <c r="N354" s="1463">
        <f>'Ch6'!O100</f>
        <v>3</v>
      </c>
      <c r="O354" s="1463">
        <f>M354*S354*W354</f>
        <v>0</v>
      </c>
      <c r="P354" s="280" t="b">
        <v>1</v>
      </c>
      <c r="Q354" s="280" t="b">
        <v>0</v>
      </c>
      <c r="R354" s="280" t="b">
        <v>0</v>
      </c>
      <c r="S354" s="280" t="b">
        <v>1</v>
      </c>
      <c r="T354" s="280" t="b">
        <v>0</v>
      </c>
      <c r="U354" s="280"/>
      <c r="V354" s="280"/>
      <c r="W354" s="25"/>
      <c r="X354" s="1303"/>
      <c r="Y354" s="1523" t="str">
        <f>IF(LEN('Ch6'!X100)=0,"None",'Ch6'!X100)</f>
        <v>ZERH Requirement - ENERGY STAR Certified Homes National Water Management Requirements, Section 1.3 Capillary Break</v>
      </c>
      <c r="Z354" s="1583"/>
      <c r="AC354" s="280"/>
      <c r="AD354" s="280"/>
      <c r="AE354" s="280"/>
      <c r="AF354" s="280"/>
      <c r="AG354" s="280"/>
      <c r="AH354" s="280"/>
      <c r="AI354" s="280"/>
      <c r="AJ354" s="280"/>
      <c r="AK354" s="280"/>
      <c r="AL354" s="311" t="str">
        <f>SUBSTITUTE(SUBSTITUTE(SUBSTITUTE("vpa"&amp;$B354&amp;$C354&amp;$D354&amp;$E354&amp;$F354,".","_"),"(","_"),")","")</f>
        <v xml:space="preserve">vpa602_1_1_2 </v>
      </c>
      <c r="AM354" s="311">
        <f>M354</f>
        <v>3</v>
      </c>
      <c r="AN354" s="311" t="str">
        <f>SUBSTITUTE(SUBSTITUTE(SUBSTITUTE("vpc"&amp;$B354&amp;$C354&amp;$D354&amp;$E354&amp;$F354,".","_"),"(","_"),")","")</f>
        <v xml:space="preserve">vpc602_1_1_2 </v>
      </c>
      <c r="AO354" s="311">
        <f>O354</f>
        <v>0</v>
      </c>
      <c r="AP354" s="311" t="str">
        <f>SUBSTITUTE(SUBSTITUTE(SUBSTITUTE("vch"&amp;$B354&amp;$C354&amp;$D354&amp;$E354&amp;$F354,".","_"),"(","_"),")","")</f>
        <v xml:space="preserve">vch602_1_1_2 </v>
      </c>
      <c r="AQ354" s="311">
        <f>W354</f>
        <v>0</v>
      </c>
      <c r="AR354" s="311" t="str">
        <f>SUBSTITUTE(SUBSTITUTE(SUBSTITUTE("vnt"&amp;$B354&amp;$C354&amp;$D354&amp;$E354&amp;$F354,".","_"),"(","_"),")","")</f>
        <v xml:space="preserve">vnt602_1_1_2 </v>
      </c>
      <c r="AS354" s="311">
        <f>X354</f>
        <v>0</v>
      </c>
      <c r="BJ354" s="1184" t="s">
        <v>4763</v>
      </c>
    </row>
    <row r="355" spans="1:62" ht="15" thickBot="1" x14ac:dyDescent="0.35">
      <c r="A355" s="1200">
        <v>6</v>
      </c>
      <c r="B355" s="1208" t="s">
        <v>593</v>
      </c>
      <c r="C355" s="1208"/>
      <c r="D355" s="1203"/>
      <c r="E355" s="1203"/>
      <c r="F355" s="1203"/>
      <c r="G355" s="1202" t="str">
        <f t="shared" ref="G355" si="116">G354</f>
        <v>P</v>
      </c>
      <c r="H355" s="1200" t="s">
        <v>4387</v>
      </c>
      <c r="I355" s="66"/>
      <c r="J355" s="4"/>
      <c r="K355" s="86"/>
      <c r="L355" s="1292"/>
      <c r="M355" s="1335"/>
      <c r="N355" s="1529"/>
      <c r="O355" s="1463"/>
      <c r="P355" s="280"/>
      <c r="Q355" s="280"/>
      <c r="R355" s="280"/>
      <c r="S355" s="280"/>
      <c r="T355" s="280"/>
      <c r="U355" s="280"/>
      <c r="V355" s="280"/>
      <c r="W355" s="280"/>
      <c r="X355" s="1337"/>
      <c r="Y355" s="1524"/>
      <c r="Z355" s="1584"/>
      <c r="AC355" s="280"/>
      <c r="AD355" s="280"/>
      <c r="AE355" s="280"/>
      <c r="AF355" s="280"/>
      <c r="AG355" s="280"/>
      <c r="AH355" s="280"/>
      <c r="AI355" s="280"/>
      <c r="AJ355" s="280"/>
      <c r="AK355" s="280"/>
      <c r="AL355" s="280"/>
      <c r="AM355" s="280"/>
      <c r="AN355" s="280"/>
      <c r="AO355" s="280"/>
      <c r="AP355" s="280"/>
      <c r="AQ355" s="280"/>
      <c r="AR355" s="280"/>
      <c r="AS355" s="280"/>
      <c r="BJ355" s="1184" t="s">
        <v>4763</v>
      </c>
    </row>
    <row r="356" spans="1:62" ht="15" thickTop="1" x14ac:dyDescent="0.3">
      <c r="A356" s="1200">
        <v>6</v>
      </c>
      <c r="B356" s="1209" t="s">
        <v>595</v>
      </c>
      <c r="C356" s="1203"/>
      <c r="D356" s="1203"/>
      <c r="E356" s="1203"/>
      <c r="F356" s="1203"/>
      <c r="G356" s="1202" t="str">
        <f>IF(N356&gt;0,"P","")</f>
        <v/>
      </c>
      <c r="H356" s="1200" t="s">
        <v>4387</v>
      </c>
      <c r="I356" s="200" t="s">
        <v>3347</v>
      </c>
      <c r="J356" s="201"/>
      <c r="K356" s="202"/>
      <c r="L356" s="1331" t="s">
        <v>596</v>
      </c>
      <c r="M356" s="1343">
        <v>4</v>
      </c>
      <c r="N356" s="1528">
        <f>'Ch6'!O102</f>
        <v>0</v>
      </c>
      <c r="O356" s="1528">
        <f>M356*OR(S358*W358,S359*W359)</f>
        <v>0</v>
      </c>
      <c r="P356" s="110"/>
      <c r="Q356" s="110"/>
      <c r="R356" s="110"/>
      <c r="S356" s="110"/>
      <c r="T356" s="110"/>
      <c r="U356" s="110"/>
      <c r="V356" s="110"/>
      <c r="W356" s="110"/>
      <c r="X356" s="1327"/>
      <c r="Y356" s="1525" t="str">
        <f>IF(LEN('Ch6'!X102)=0,"None",'Ch6'!X102)</f>
        <v>None</v>
      </c>
      <c r="Z356" s="1585"/>
      <c r="AC356" s="280"/>
      <c r="AD356" s="280"/>
      <c r="AE356" s="280"/>
      <c r="AF356" s="280"/>
      <c r="AG356" s="280"/>
      <c r="AH356" s="280"/>
      <c r="AI356" s="280"/>
      <c r="AJ356" s="280"/>
      <c r="AK356" s="280"/>
      <c r="AL356" s="311" t="str">
        <f>SUBSTITUTE(SUBSTITUTE(SUBSTITUTE("vpa"&amp;$B356&amp;$C356&amp;$D356&amp;$E356&amp;$F356,".","_"),"(","_"),")","")</f>
        <v xml:space="preserve">vpa602_1_2 </v>
      </c>
      <c r="AM356" s="311">
        <f>M356</f>
        <v>4</v>
      </c>
      <c r="AN356" s="311" t="str">
        <f>SUBSTITUTE(SUBSTITUTE(SUBSTITUTE("vpc"&amp;$B356&amp;$C356&amp;$D356&amp;$E356&amp;$F356,".","_"),"(","_"),")","")</f>
        <v xml:space="preserve">vpc602_1_2 </v>
      </c>
      <c r="AO356" s="311">
        <f>O356</f>
        <v>0</v>
      </c>
      <c r="AP356" s="280"/>
      <c r="AQ356" s="280"/>
      <c r="AR356" s="311" t="str">
        <f>SUBSTITUTE(SUBSTITUTE(SUBSTITUTE("vnt"&amp;$B356&amp;$C356&amp;$D356&amp;$E356&amp;$F356,".","_"),"(","_"),")","")</f>
        <v xml:space="preserve">vnt602_1_2 </v>
      </c>
      <c r="AS356" s="311">
        <f>X356</f>
        <v>0</v>
      </c>
      <c r="BJ356" s="1184" t="s">
        <v>4763</v>
      </c>
    </row>
    <row r="357" spans="1:62" x14ac:dyDescent="0.3">
      <c r="A357" s="1200">
        <v>6</v>
      </c>
      <c r="B357" s="1209" t="s">
        <v>595</v>
      </c>
      <c r="C357" s="1203"/>
      <c r="D357" s="1203"/>
      <c r="E357" s="1203"/>
      <c r="F357" s="1203"/>
      <c r="G357" s="1202" t="str">
        <f t="shared" ref="G357:G359" si="117">G356</f>
        <v/>
      </c>
      <c r="H357" s="1200" t="s">
        <v>4387</v>
      </c>
      <c r="I357" s="141"/>
      <c r="J357" s="140"/>
      <c r="K357" s="98"/>
      <c r="L357" s="1313"/>
      <c r="M357" s="1318"/>
      <c r="N357" s="1473"/>
      <c r="O357" s="1473"/>
      <c r="P357" s="97"/>
      <c r="Q357" s="97"/>
      <c r="R357" s="97"/>
      <c r="S357" s="97"/>
      <c r="T357" s="97"/>
      <c r="U357" s="97"/>
      <c r="V357" s="97"/>
      <c r="W357" s="97"/>
      <c r="X357" s="1295"/>
      <c r="Y357" s="1523"/>
      <c r="Z357" s="1583"/>
      <c r="AC357" s="280"/>
      <c r="AD357" s="280"/>
      <c r="AE357" s="280"/>
      <c r="AF357" s="280"/>
      <c r="AG357" s="280"/>
      <c r="AH357" s="280"/>
      <c r="AI357" s="280"/>
      <c r="AJ357" s="280"/>
      <c r="AK357" s="280"/>
      <c r="AL357" s="280"/>
      <c r="AM357" s="280"/>
      <c r="AN357" s="280"/>
      <c r="AO357" s="280"/>
      <c r="AP357" s="280"/>
      <c r="AQ357" s="280"/>
      <c r="AR357" s="280"/>
      <c r="AS357" s="280"/>
      <c r="BJ357" s="1184" t="s">
        <v>4763</v>
      </c>
    </row>
    <row r="358" spans="1:62" x14ac:dyDescent="0.3">
      <c r="A358" s="1200">
        <v>6</v>
      </c>
      <c r="B358" s="1209" t="s">
        <v>595</v>
      </c>
      <c r="C358" s="1203"/>
      <c r="D358" s="1203"/>
      <c r="E358" s="1203" t="s">
        <v>271</v>
      </c>
      <c r="F358" s="1203"/>
      <c r="G358" s="1202" t="str">
        <f t="shared" si="117"/>
        <v/>
      </c>
      <c r="H358" s="1200" t="s">
        <v>4387</v>
      </c>
      <c r="I358" s="141"/>
      <c r="J358" s="231" t="s">
        <v>271</v>
      </c>
      <c r="K358" s="193"/>
      <c r="L358" s="193" t="s">
        <v>597</v>
      </c>
      <c r="M358" s="1318"/>
      <c r="N358" s="1473"/>
      <c r="O358" s="1473"/>
      <c r="P358" s="280" t="b">
        <v>1</v>
      </c>
      <c r="Q358" s="280" t="b">
        <v>0</v>
      </c>
      <c r="R358" s="97" t="b">
        <v>0</v>
      </c>
      <c r="S358" s="97" t="b">
        <f>NOT(AZ283=4)</f>
        <v>1</v>
      </c>
      <c r="T358" s="97" t="b">
        <f>IF(AND(NOT(S358),W358=TRUE),TRUE,FALSE)</f>
        <v>0</v>
      </c>
      <c r="U358" s="97"/>
      <c r="V358" s="97"/>
      <c r="W358" s="25"/>
      <c r="X358" s="1295"/>
      <c r="Y358" s="1523"/>
      <c r="Z358" s="1583"/>
      <c r="AC358" s="280" t="b">
        <f>OR(AD358:AE358)</f>
        <v>0</v>
      </c>
      <c r="AD358" s="280" t="b">
        <f>T358</f>
        <v>0</v>
      </c>
      <c r="AE358" s="280"/>
      <c r="AF358" s="280"/>
      <c r="AG358" s="280"/>
      <c r="AH358" s="280"/>
      <c r="AI358" s="280"/>
      <c r="AJ358" s="280"/>
      <c r="AK358" s="280"/>
      <c r="AL358" s="280"/>
      <c r="AM358" s="280"/>
      <c r="AN358" s="280"/>
      <c r="AO358" s="280"/>
      <c r="AP358" s="311" t="str">
        <f t="shared" ref="AP358:AP359" si="118">SUBSTITUTE(SUBSTITUTE(SUBSTITUTE("vch"&amp;$B358&amp;$C358&amp;$D358&amp;$E358&amp;$F358,".","_"),"(","_"),")","")</f>
        <v>vch602_1_2 _1</v>
      </c>
      <c r="AQ358" s="311">
        <f>W358</f>
        <v>0</v>
      </c>
      <c r="AR358" s="280"/>
      <c r="AS358" s="280"/>
      <c r="BJ358" s="1184" t="s">
        <v>4763</v>
      </c>
    </row>
    <row r="359" spans="1:62" ht="15" thickBot="1" x14ac:dyDescent="0.35">
      <c r="A359" s="1200">
        <v>6</v>
      </c>
      <c r="B359" s="1209" t="s">
        <v>595</v>
      </c>
      <c r="C359" s="1203"/>
      <c r="D359" s="1203"/>
      <c r="E359" s="1203" t="s">
        <v>273</v>
      </c>
      <c r="F359" s="1203"/>
      <c r="G359" s="1202" t="str">
        <f t="shared" si="117"/>
        <v/>
      </c>
      <c r="H359" s="1200" t="s">
        <v>4387</v>
      </c>
      <c r="I359" s="212"/>
      <c r="J359" s="213" t="s">
        <v>273</v>
      </c>
      <c r="K359" s="100"/>
      <c r="L359" s="100" t="s">
        <v>598</v>
      </c>
      <c r="M359" s="1334"/>
      <c r="N359" s="1529"/>
      <c r="O359" s="1529"/>
      <c r="P359" s="104"/>
      <c r="Q359" s="104"/>
      <c r="R359" s="104" t="b">
        <v>0</v>
      </c>
      <c r="S359" s="104" t="b">
        <f>NOT(AZ283=4)</f>
        <v>1</v>
      </c>
      <c r="T359" s="104" t="b">
        <f>IF(AND(NOT(S359),W359=TRUE),TRUE,FALSE)</f>
        <v>0</v>
      </c>
      <c r="U359" s="104"/>
      <c r="V359" s="104"/>
      <c r="W359" s="25"/>
      <c r="X359" s="1296"/>
      <c r="Y359" s="1524"/>
      <c r="Z359" s="1584"/>
      <c r="AC359" s="280" t="b">
        <f>OR(AD359:AE359)</f>
        <v>0</v>
      </c>
      <c r="AD359" s="280" t="b">
        <f>T359</f>
        <v>0</v>
      </c>
      <c r="AE359" s="280"/>
      <c r="AF359" s="280"/>
      <c r="AG359" s="280"/>
      <c r="AH359" s="280"/>
      <c r="AI359" s="280"/>
      <c r="AJ359" s="280"/>
      <c r="AK359" s="280"/>
      <c r="AL359" s="280"/>
      <c r="AM359" s="280"/>
      <c r="AN359" s="280"/>
      <c r="AO359" s="280"/>
      <c r="AP359" s="311" t="str">
        <f t="shared" si="118"/>
        <v>vch602_1_2 _2</v>
      </c>
      <c r="AQ359" s="311">
        <f>W359</f>
        <v>0</v>
      </c>
      <c r="AR359" s="280"/>
      <c r="AS359" s="280"/>
      <c r="BJ359" s="1184" t="s">
        <v>4763</v>
      </c>
    </row>
    <row r="360" spans="1:62" ht="15" thickTop="1" x14ac:dyDescent="0.3">
      <c r="A360" s="1200">
        <v>6</v>
      </c>
      <c r="B360" s="1208" t="s">
        <v>599</v>
      </c>
      <c r="C360" s="1203"/>
      <c r="D360" s="1203"/>
      <c r="E360" s="1203"/>
      <c r="F360" s="1203"/>
      <c r="G360" s="1202" t="s">
        <v>4389</v>
      </c>
      <c r="H360" s="1200" t="s">
        <v>4387</v>
      </c>
      <c r="I360" s="200" t="s">
        <v>599</v>
      </c>
      <c r="J360" s="201"/>
      <c r="K360" s="202"/>
      <c r="L360" s="135" t="s">
        <v>600</v>
      </c>
      <c r="M360" s="306"/>
      <c r="N360" s="296"/>
      <c r="O360" s="296"/>
      <c r="P360" s="110"/>
      <c r="Q360" s="110"/>
      <c r="R360" s="110"/>
      <c r="S360" s="110"/>
      <c r="T360" s="110"/>
      <c r="U360" s="110"/>
      <c r="V360" s="110"/>
      <c r="W360" s="110"/>
      <c r="X360" s="110"/>
      <c r="Y360"/>
      <c r="Z360" s="1055"/>
      <c r="AC360" s="280"/>
      <c r="AD360" s="280"/>
      <c r="AE360" s="280"/>
      <c r="AF360" s="280"/>
      <c r="AG360" s="280"/>
      <c r="AH360" s="280"/>
      <c r="AI360" s="280"/>
      <c r="AJ360" s="280"/>
      <c r="AK360" s="280"/>
      <c r="AL360" s="280"/>
      <c r="AM360" s="280"/>
      <c r="AN360" s="280"/>
      <c r="AO360" s="280"/>
      <c r="AP360" s="280"/>
      <c r="AQ360" s="280"/>
      <c r="AR360" s="280"/>
      <c r="AS360" s="280"/>
      <c r="BJ360" s="1184" t="s">
        <v>4763</v>
      </c>
    </row>
    <row r="361" spans="1:62" x14ac:dyDescent="0.3">
      <c r="A361" s="1200">
        <v>6</v>
      </c>
      <c r="B361" s="1208" t="s">
        <v>601</v>
      </c>
      <c r="C361" s="1208"/>
      <c r="D361" s="1203"/>
      <c r="E361" s="1203"/>
      <c r="F361" s="1203"/>
      <c r="G361" s="1202" t="s">
        <v>4389</v>
      </c>
      <c r="H361" s="1200" t="s">
        <v>4387</v>
      </c>
      <c r="I361" s="141" t="s">
        <v>601</v>
      </c>
      <c r="J361" s="140"/>
      <c r="K361" s="98"/>
      <c r="L361" s="1313" t="s">
        <v>602</v>
      </c>
      <c r="M361" s="1351" t="str">
        <f>IF(R361,"Mandatory","N/A")</f>
        <v>N/A</v>
      </c>
      <c r="N361" s="282"/>
      <c r="O361" s="282"/>
      <c r="P361" s="280" t="b">
        <v>1</v>
      </c>
      <c r="Q361" s="280" t="b">
        <v>0</v>
      </c>
      <c r="R361" s="280" t="b">
        <f>S361</f>
        <v>0</v>
      </c>
      <c r="S361" s="280" t="b">
        <f>OR(AZ283=1,AZ283=5,AZ283=6)</f>
        <v>0</v>
      </c>
      <c r="T361" s="97" t="b">
        <f>IF(AND(NOT(S361),W361=TRUE),TRUE,FALSE)</f>
        <v>0</v>
      </c>
      <c r="U361" s="280"/>
      <c r="V361" s="280"/>
      <c r="W361" s="25"/>
      <c r="X361" s="1303"/>
      <c r="Y361" s="1522" t="str">
        <f>IF(LEN('Ch6'!X107)=0,"None",'Ch6'!X107)</f>
        <v>ZERH Requirement - ENERGY STAR Certified Homes National Water Management Requirements, Section 1.8, Drain Tile</v>
      </c>
      <c r="Z361" s="1586"/>
      <c r="AC361" s="280" t="b">
        <f>OR(AD361:AE361)</f>
        <v>0</v>
      </c>
      <c r="AD361" s="280" t="b">
        <f>T361</f>
        <v>0</v>
      </c>
      <c r="AE361" s="280" t="b">
        <f>AND(R361,NOT(W361))</f>
        <v>0</v>
      </c>
      <c r="AF361" s="1182" t="b">
        <f>AND(AE361,NOT(Q361))</f>
        <v>0</v>
      </c>
      <c r="AG361" s="280"/>
      <c r="AH361" s="280"/>
      <c r="AI361" s="280"/>
      <c r="AJ361" s="280"/>
      <c r="AK361" s="280"/>
      <c r="AL361" s="311" t="str">
        <f>SUBSTITUTE(SUBSTITUTE(SUBSTITUTE("vpa"&amp;$B361&amp;$C361&amp;$D361&amp;$E361&amp;$F361,".","_"),"(","_"),")","")</f>
        <v>vpa602_1_3_1</v>
      </c>
      <c r="AM361" s="311" t="str">
        <f>M361</f>
        <v>N/A</v>
      </c>
      <c r="AN361" s="280"/>
      <c r="AO361" s="280"/>
      <c r="AP361" s="311" t="str">
        <f>SUBSTITUTE(SUBSTITUTE(SUBSTITUTE("vch"&amp;$B361&amp;$C361&amp;$D361&amp;$E361&amp;$F361,".","_"),"(","_"),")","")</f>
        <v>vch602_1_3_1</v>
      </c>
      <c r="AQ361" s="311">
        <f>W361</f>
        <v>0</v>
      </c>
      <c r="AR361" s="311" t="str">
        <f>SUBSTITUTE(SUBSTITUTE(SUBSTITUTE("vnt"&amp;$B361&amp;$C361&amp;$D361&amp;$E361&amp;$F361,".","_"),"(","_"),")","")</f>
        <v>vnt602_1_3_1</v>
      </c>
      <c r="AS361" s="311">
        <f>X361</f>
        <v>0</v>
      </c>
      <c r="BJ361" s="1184" t="s">
        <v>4763</v>
      </c>
    </row>
    <row r="362" spans="1:62" x14ac:dyDescent="0.3">
      <c r="A362" s="1200">
        <v>6</v>
      </c>
      <c r="B362" s="1208" t="s">
        <v>601</v>
      </c>
      <c r="C362" s="1208"/>
      <c r="D362" s="1203"/>
      <c r="E362" s="1203"/>
      <c r="F362" s="1203"/>
      <c r="G362" s="1202" t="s">
        <v>4389</v>
      </c>
      <c r="H362" s="1200" t="s">
        <v>4387</v>
      </c>
      <c r="I362" s="244"/>
      <c r="J362" s="238"/>
      <c r="K362" s="193"/>
      <c r="L362" s="1350"/>
      <c r="M362" s="1352"/>
      <c r="N362" s="282"/>
      <c r="O362" s="282"/>
      <c r="P362" s="280"/>
      <c r="Q362" s="280"/>
      <c r="R362" s="280"/>
      <c r="S362" s="280"/>
      <c r="T362" s="280"/>
      <c r="U362" s="280"/>
      <c r="V362" s="280"/>
      <c r="W362" s="280"/>
      <c r="X362" s="1303"/>
      <c r="Y362" s="1522"/>
      <c r="Z362" s="1586"/>
      <c r="AC362" s="280"/>
      <c r="AD362" s="280"/>
      <c r="AE362" s="280"/>
      <c r="AF362" s="280"/>
      <c r="AG362" s="280"/>
      <c r="AH362" s="280"/>
      <c r="AI362" s="280"/>
      <c r="AJ362" s="280"/>
      <c r="AK362" s="280"/>
      <c r="AL362" s="280"/>
      <c r="AM362" s="280"/>
      <c r="AN362" s="280"/>
      <c r="AO362" s="280"/>
      <c r="AP362" s="280"/>
      <c r="AQ362" s="280"/>
      <c r="AR362" s="280"/>
      <c r="AS362" s="280"/>
      <c r="BJ362" s="1184" t="s">
        <v>4763</v>
      </c>
    </row>
    <row r="363" spans="1:62" x14ac:dyDescent="0.3">
      <c r="A363" s="1200">
        <v>6</v>
      </c>
      <c r="B363" s="1210" t="s">
        <v>603</v>
      </c>
      <c r="C363" s="1210"/>
      <c r="D363" s="1203"/>
      <c r="E363" s="1203"/>
      <c r="F363" s="1203"/>
      <c r="G363" s="1202" t="str">
        <f>IF(N363&gt;0,"P","")</f>
        <v>P</v>
      </c>
      <c r="H363" s="1200" t="s">
        <v>4387</v>
      </c>
      <c r="I363" s="66" t="s">
        <v>603</v>
      </c>
      <c r="J363" s="4"/>
      <c r="K363" s="86"/>
      <c r="L363" s="1292" t="s">
        <v>604</v>
      </c>
      <c r="M363" s="1335">
        <v>4</v>
      </c>
      <c r="N363" s="1463">
        <f>'Ch6'!O109</f>
        <v>4</v>
      </c>
      <c r="O363" s="1463">
        <f>M363*S363*W363</f>
        <v>0</v>
      </c>
      <c r="P363" s="280" t="b">
        <v>1</v>
      </c>
      <c r="Q363" s="280" t="b">
        <v>0</v>
      </c>
      <c r="R363" s="280" t="b">
        <v>0</v>
      </c>
      <c r="S363" s="280" t="b">
        <v>1</v>
      </c>
      <c r="T363" s="280" t="b">
        <v>0</v>
      </c>
      <c r="U363" s="280"/>
      <c r="V363" s="280"/>
      <c r="W363" s="25"/>
      <c r="X363" s="1303"/>
      <c r="Y363" s="1523" t="str">
        <f>IF(LEN('Ch6'!X109)=0,"None",'Ch6'!X109)</f>
        <v>None</v>
      </c>
      <c r="Z363" s="1583"/>
      <c r="AC363" s="280"/>
      <c r="AD363" s="280"/>
      <c r="AE363" s="280"/>
      <c r="AF363" s="280"/>
      <c r="AG363" s="280"/>
      <c r="AH363" s="280"/>
      <c r="AI363" s="280"/>
      <c r="AJ363" s="280"/>
      <c r="AK363" s="280"/>
      <c r="AL363" s="311" t="str">
        <f>SUBSTITUTE(SUBSTITUTE(SUBSTITUTE("vpa"&amp;$B363&amp;$C363&amp;$D363&amp;$E363&amp;$F363,".","_"),"(","_"),")","")</f>
        <v>vpa602_1_3_2</v>
      </c>
      <c r="AM363" s="311">
        <f>M363</f>
        <v>4</v>
      </c>
      <c r="AN363" s="311" t="str">
        <f>SUBSTITUTE(SUBSTITUTE(SUBSTITUTE("vpc"&amp;$B363&amp;$C363&amp;$D363&amp;$E363&amp;$F363,".","_"),"(","_"),")","")</f>
        <v>vpc602_1_3_2</v>
      </c>
      <c r="AO363" s="311">
        <f>O363</f>
        <v>0</v>
      </c>
      <c r="AP363" s="311" t="str">
        <f>SUBSTITUTE(SUBSTITUTE(SUBSTITUTE("vch"&amp;$B363&amp;$C363&amp;$D363&amp;$E363&amp;$F363,".","_"),"(","_"),")","")</f>
        <v>vch602_1_3_2</v>
      </c>
      <c r="AQ363" s="311">
        <f>W363</f>
        <v>0</v>
      </c>
      <c r="AR363" s="311" t="str">
        <f>SUBSTITUTE(SUBSTITUTE(SUBSTITUTE("vnt"&amp;$B363&amp;$C363&amp;$D363&amp;$E363&amp;$F363,".","_"),"(","_"),")","")</f>
        <v>vnt602_1_3_2</v>
      </c>
      <c r="AS363" s="311">
        <f>X363</f>
        <v>0</v>
      </c>
      <c r="BJ363" s="1184" t="s">
        <v>4763</v>
      </c>
    </row>
    <row r="364" spans="1:62" ht="15" thickBot="1" x14ac:dyDescent="0.35">
      <c r="A364" s="1200">
        <v>6</v>
      </c>
      <c r="B364" s="1210" t="s">
        <v>603</v>
      </c>
      <c r="C364" s="1210"/>
      <c r="D364" s="1203"/>
      <c r="E364" s="1203"/>
      <c r="F364" s="1203"/>
      <c r="G364" s="1202" t="str">
        <f t="shared" ref="G364" si="119">G363</f>
        <v>P</v>
      </c>
      <c r="H364" s="1200" t="s">
        <v>4387</v>
      </c>
      <c r="I364" s="66"/>
      <c r="J364" s="4"/>
      <c r="K364" s="86"/>
      <c r="L364" s="1292"/>
      <c r="M364" s="1335"/>
      <c r="N364" s="1529"/>
      <c r="O364" s="1463"/>
      <c r="P364" s="280"/>
      <c r="Q364" s="280"/>
      <c r="R364" s="280"/>
      <c r="S364" s="280"/>
      <c r="T364" s="280"/>
      <c r="U364" s="280"/>
      <c r="V364" s="280"/>
      <c r="W364" s="280"/>
      <c r="X364" s="1337"/>
      <c r="Y364" s="1524"/>
      <c r="Z364" s="1584"/>
      <c r="AC364" s="280"/>
      <c r="AD364" s="280"/>
      <c r="AE364" s="280"/>
      <c r="AF364" s="280"/>
      <c r="AG364" s="280"/>
      <c r="AH364" s="280"/>
      <c r="AI364" s="280"/>
      <c r="AJ364" s="280"/>
      <c r="AK364" s="280"/>
      <c r="AL364" s="280"/>
      <c r="AM364" s="280"/>
      <c r="AN364" s="280"/>
      <c r="AO364" s="280"/>
      <c r="AP364" s="280"/>
      <c r="AQ364" s="280"/>
      <c r="AR364" s="280"/>
      <c r="AS364" s="280"/>
      <c r="BJ364" s="1184" t="s">
        <v>4763</v>
      </c>
    </row>
    <row r="365" spans="1:62" ht="15" thickTop="1" x14ac:dyDescent="0.3">
      <c r="A365" s="1200">
        <v>6</v>
      </c>
      <c r="B365" s="1208" t="s">
        <v>605</v>
      </c>
      <c r="C365" s="1203"/>
      <c r="D365" s="1203"/>
      <c r="E365" s="1203"/>
      <c r="F365" s="1203"/>
      <c r="G365" s="1202" t="s">
        <v>4389</v>
      </c>
      <c r="H365" s="1200" t="s">
        <v>4387</v>
      </c>
      <c r="I365" s="200" t="s">
        <v>605</v>
      </c>
      <c r="J365" s="201"/>
      <c r="K365" s="202"/>
      <c r="L365" s="135" t="s">
        <v>606</v>
      </c>
      <c r="M365" s="306"/>
      <c r="N365" s="296"/>
      <c r="O365" s="296"/>
      <c r="P365" s="110"/>
      <c r="Q365" s="110"/>
      <c r="R365" s="110"/>
      <c r="S365" s="110"/>
      <c r="T365" s="110"/>
      <c r="U365" s="110"/>
      <c r="V365" s="110"/>
      <c r="W365" s="110"/>
      <c r="X365" s="110"/>
      <c r="Y365"/>
      <c r="Z365" s="1055"/>
      <c r="AC365" s="280"/>
      <c r="AD365" s="280"/>
      <c r="AE365" s="280"/>
      <c r="AF365" s="280"/>
      <c r="AG365" s="280"/>
      <c r="AH365" s="280"/>
      <c r="AI365" s="280"/>
      <c r="AJ365" s="280"/>
      <c r="AK365" s="280"/>
      <c r="AL365" s="280"/>
      <c r="AM365" s="280"/>
      <c r="AN365" s="280"/>
      <c r="AO365" s="280"/>
      <c r="AP365" s="280"/>
      <c r="AQ365" s="280"/>
      <c r="AR365" s="280"/>
      <c r="AS365" s="280"/>
      <c r="BJ365" s="1184" t="s">
        <v>4763</v>
      </c>
    </row>
    <row r="366" spans="1:62" x14ac:dyDescent="0.3">
      <c r="A366" s="1200">
        <v>6</v>
      </c>
      <c r="B366" s="1210" t="s">
        <v>607</v>
      </c>
      <c r="C366" s="1210"/>
      <c r="D366" s="1203"/>
      <c r="E366" s="1203"/>
      <c r="F366" s="1203"/>
      <c r="G366" s="1202" t="s">
        <v>4389</v>
      </c>
      <c r="H366" s="1200" t="s">
        <v>4387</v>
      </c>
      <c r="I366" s="66" t="s">
        <v>607</v>
      </c>
      <c r="J366" s="4"/>
      <c r="K366" s="86"/>
      <c r="L366" s="1292" t="s">
        <v>608</v>
      </c>
      <c r="M366" s="305"/>
      <c r="N366" s="282"/>
      <c r="O366" s="282"/>
      <c r="P366" s="280"/>
      <c r="Q366" s="280"/>
      <c r="R366" s="280"/>
      <c r="S366" s="280"/>
      <c r="T366" s="280"/>
      <c r="U366" s="280"/>
      <c r="V366" s="280"/>
      <c r="W366" s="280"/>
      <c r="X366" s="280"/>
      <c r="Y366"/>
      <c r="Z366" s="1055"/>
      <c r="AC366" s="280"/>
      <c r="AD366" s="280"/>
      <c r="AE366" s="280"/>
      <c r="AF366" s="280"/>
      <c r="AG366" s="280"/>
      <c r="AH366" s="280"/>
      <c r="AI366" s="280"/>
      <c r="AJ366" s="280"/>
      <c r="AK366" s="280"/>
      <c r="AL366" s="280"/>
      <c r="AM366" s="280"/>
      <c r="AN366" s="280"/>
      <c r="AO366" s="280"/>
      <c r="AP366" s="280"/>
      <c r="AQ366" s="280"/>
      <c r="AR366" s="280"/>
      <c r="AS366" s="280"/>
      <c r="BJ366" s="1184" t="s">
        <v>4763</v>
      </c>
    </row>
    <row r="367" spans="1:62" x14ac:dyDescent="0.3">
      <c r="A367" s="1200">
        <v>6</v>
      </c>
      <c r="B367" s="1210" t="s">
        <v>607</v>
      </c>
      <c r="C367" s="1210"/>
      <c r="D367" s="1203"/>
      <c r="E367" s="1203"/>
      <c r="F367" s="1203"/>
      <c r="G367" s="1202" t="s">
        <v>4389</v>
      </c>
      <c r="H367" s="1200" t="s">
        <v>4387</v>
      </c>
      <c r="I367" s="66"/>
      <c r="J367" s="4"/>
      <c r="K367" s="86"/>
      <c r="L367" s="1292"/>
      <c r="M367" s="305"/>
      <c r="N367" s="282"/>
      <c r="O367" s="282"/>
      <c r="P367" s="280"/>
      <c r="Q367" s="280"/>
      <c r="R367" s="280"/>
      <c r="S367" s="280"/>
      <c r="T367" s="280"/>
      <c r="U367" s="280"/>
      <c r="V367" s="280"/>
      <c r="W367" s="280"/>
      <c r="X367" s="280"/>
      <c r="Y367"/>
      <c r="Z367" s="1055"/>
      <c r="AC367" s="280"/>
      <c r="AD367" s="280"/>
      <c r="AE367" s="280"/>
      <c r="AF367" s="280"/>
      <c r="AG367" s="280"/>
      <c r="AH367" s="280"/>
      <c r="AI367" s="280"/>
      <c r="AJ367" s="280"/>
      <c r="AK367" s="280"/>
      <c r="AL367" s="280"/>
      <c r="AM367" s="280"/>
      <c r="AN367" s="280"/>
      <c r="AO367" s="280"/>
      <c r="AP367" s="280"/>
      <c r="AQ367" s="280"/>
      <c r="AR367" s="280"/>
      <c r="AS367" s="280"/>
      <c r="BJ367" s="1184" t="s">
        <v>4763</v>
      </c>
    </row>
    <row r="368" spans="1:62" x14ac:dyDescent="0.3">
      <c r="A368" s="1200">
        <v>6</v>
      </c>
      <c r="B368" s="1210" t="s">
        <v>607</v>
      </c>
      <c r="C368" s="1210"/>
      <c r="D368" s="1203"/>
      <c r="E368" s="1203"/>
      <c r="F368" s="1203"/>
      <c r="G368" s="1202" t="s">
        <v>4389</v>
      </c>
      <c r="H368" s="1200" t="s">
        <v>4387</v>
      </c>
      <c r="I368" s="66"/>
      <c r="J368" s="4"/>
      <c r="K368" s="86"/>
      <c r="L368" s="1292"/>
      <c r="M368" s="305"/>
      <c r="N368" s="282"/>
      <c r="O368" s="282"/>
      <c r="P368" s="280"/>
      <c r="Q368" s="280"/>
      <c r="R368" s="280"/>
      <c r="S368" s="280"/>
      <c r="T368" s="280"/>
      <c r="U368" s="280"/>
      <c r="V368" s="280"/>
      <c r="W368" s="280"/>
      <c r="X368" s="280"/>
      <c r="Y368"/>
      <c r="Z368" s="1055"/>
      <c r="AC368" s="280"/>
      <c r="AD368" s="280"/>
      <c r="AE368" s="280"/>
      <c r="AF368" s="280"/>
      <c r="AG368" s="280"/>
      <c r="AH368" s="280"/>
      <c r="AI368" s="280"/>
      <c r="AJ368" s="280"/>
      <c r="AK368" s="280"/>
      <c r="AL368" s="280"/>
      <c r="AM368" s="280"/>
      <c r="AN368" s="280"/>
      <c r="AO368" s="280"/>
      <c r="AP368" s="280"/>
      <c r="AQ368" s="280"/>
      <c r="AR368" s="280"/>
      <c r="AS368" s="280"/>
      <c r="BJ368" s="1184" t="s">
        <v>4763</v>
      </c>
    </row>
    <row r="369" spans="1:62" x14ac:dyDescent="0.3">
      <c r="A369" s="1200">
        <v>6</v>
      </c>
      <c r="B369" s="1210" t="s">
        <v>607</v>
      </c>
      <c r="C369" s="1210"/>
      <c r="D369" s="1203"/>
      <c r="E369" s="1203" t="s">
        <v>271</v>
      </c>
      <c r="F369" s="1203"/>
      <c r="G369" s="1202" t="str">
        <f>IF(N369&gt;0,"P","")</f>
        <v/>
      </c>
      <c r="H369" s="1200" t="s">
        <v>4387</v>
      </c>
      <c r="I369" s="66"/>
      <c r="J369" s="203" t="s">
        <v>271</v>
      </c>
      <c r="K369" s="98"/>
      <c r="L369" s="1305" t="s">
        <v>609</v>
      </c>
      <c r="M369" s="1318">
        <v>6</v>
      </c>
      <c r="N369" s="1473">
        <f>'Ch6'!O115</f>
        <v>0</v>
      </c>
      <c r="O369" s="1473">
        <f>M369*S369*W369</f>
        <v>0</v>
      </c>
      <c r="P369" s="280" t="b">
        <v>1</v>
      </c>
      <c r="Q369" s="280" t="b">
        <v>0</v>
      </c>
      <c r="R369" s="280" t="b">
        <v>0</v>
      </c>
      <c r="S369" s="280" t="b">
        <f>OR(AZ283=2,AZ283=7)</f>
        <v>0</v>
      </c>
      <c r="T369" s="97" t="b">
        <f>IF(AND(NOT(S369),W369=TRUE),TRUE,FALSE)</f>
        <v>0</v>
      </c>
      <c r="U369" s="280"/>
      <c r="V369" s="280"/>
      <c r="W369" s="25"/>
      <c r="X369" s="1303"/>
      <c r="Y369" s="1522" t="str">
        <f>IF(LEN('Ch6'!X115)=0,"None",'Ch6'!X115)</f>
        <v>None</v>
      </c>
      <c r="Z369" s="1586"/>
      <c r="AC369" s="280" t="b">
        <f>OR(AD369:AE369)</f>
        <v>0</v>
      </c>
      <c r="AD369" s="280" t="b">
        <f>T369</f>
        <v>0</v>
      </c>
      <c r="AE369" s="280"/>
      <c r="AF369" s="280"/>
      <c r="AG369" s="280"/>
      <c r="AH369" s="280"/>
      <c r="AI369" s="280"/>
      <c r="AJ369" s="280"/>
      <c r="AK369" s="280"/>
      <c r="AL369" s="311" t="str">
        <f>SUBSTITUTE(SUBSTITUTE(SUBSTITUTE("vpa"&amp;$B369&amp;$C369&amp;$D369&amp;$E369&amp;$F369,".","_"),"(","_"),")","")</f>
        <v>vpa602_1_4_1_1</v>
      </c>
      <c r="AM369" s="311">
        <f>M369</f>
        <v>6</v>
      </c>
      <c r="AN369" s="311" t="str">
        <f>SUBSTITUTE(SUBSTITUTE(SUBSTITUTE("vpc"&amp;$B369&amp;$C369&amp;$D369&amp;$E369&amp;$F369,".","_"),"(","_"),")","")</f>
        <v>vpc602_1_4_1_1</v>
      </c>
      <c r="AO369" s="311">
        <f>O369</f>
        <v>0</v>
      </c>
      <c r="AP369" s="311" t="str">
        <f>SUBSTITUTE(SUBSTITUTE(SUBSTITUTE("vch"&amp;$B369&amp;$C369&amp;$D369&amp;$E369&amp;$F369,".","_"),"(","_"),")","")</f>
        <v>vch602_1_4_1_1</v>
      </c>
      <c r="AQ369" s="311">
        <f>W369</f>
        <v>0</v>
      </c>
      <c r="AR369" s="311" t="str">
        <f>SUBSTITUTE(SUBSTITUTE(SUBSTITUTE("vnt"&amp;$B369&amp;$C369&amp;$D369&amp;$E369&amp;$F369,".","_"),"(","_"),")","")</f>
        <v>vnt602_1_4_1_1</v>
      </c>
      <c r="AS369" s="311">
        <f>X369</f>
        <v>0</v>
      </c>
      <c r="BJ369" s="1184" t="s">
        <v>4763</v>
      </c>
    </row>
    <row r="370" spans="1:62" x14ac:dyDescent="0.3">
      <c r="A370" s="1200">
        <v>6</v>
      </c>
      <c r="B370" s="1210" t="s">
        <v>607</v>
      </c>
      <c r="C370" s="1210"/>
      <c r="D370" s="1203"/>
      <c r="E370" s="1203" t="s">
        <v>271</v>
      </c>
      <c r="F370" s="1203"/>
      <c r="G370" s="1202" t="str">
        <f t="shared" ref="G370" si="120">G369</f>
        <v/>
      </c>
      <c r="H370" s="1200" t="s">
        <v>4387</v>
      </c>
      <c r="I370" s="66"/>
      <c r="J370" s="238"/>
      <c r="K370" s="193"/>
      <c r="L370" s="1306"/>
      <c r="M370" s="1319"/>
      <c r="N370" s="1491"/>
      <c r="O370" s="1491"/>
      <c r="P370" s="280"/>
      <c r="Q370" s="280"/>
      <c r="R370" s="280"/>
      <c r="S370" s="280"/>
      <c r="T370" s="280"/>
      <c r="U370" s="280"/>
      <c r="V370" s="280"/>
      <c r="W370" s="280"/>
      <c r="X370" s="1303"/>
      <c r="Y370" s="1522"/>
      <c r="Z370" s="1586"/>
      <c r="AC370" s="280"/>
      <c r="AD370" s="280"/>
      <c r="AE370" s="280"/>
      <c r="AF370" s="280"/>
      <c r="AG370" s="280"/>
      <c r="AH370" s="280"/>
      <c r="AI370" s="280"/>
      <c r="AJ370" s="280"/>
      <c r="AK370" s="280"/>
      <c r="AL370" s="280"/>
      <c r="AM370" s="280"/>
      <c r="AN370" s="280"/>
      <c r="AO370" s="280"/>
      <c r="AP370" s="280"/>
      <c r="AQ370" s="280"/>
      <c r="AR370" s="280"/>
      <c r="AS370" s="280"/>
      <c r="BJ370" s="1184" t="s">
        <v>4763</v>
      </c>
    </row>
    <row r="371" spans="1:62" x14ac:dyDescent="0.3">
      <c r="A371" s="1200">
        <v>6</v>
      </c>
      <c r="B371" s="1210" t="s">
        <v>607</v>
      </c>
      <c r="C371" s="1210"/>
      <c r="D371" s="1203"/>
      <c r="E371" s="1203" t="s">
        <v>273</v>
      </c>
      <c r="F371" s="1203"/>
      <c r="G371" s="1202" t="s">
        <v>4389</v>
      </c>
      <c r="H371" s="1200" t="s">
        <v>4387</v>
      </c>
      <c r="I371" s="244"/>
      <c r="J371" s="231" t="s">
        <v>273</v>
      </c>
      <c r="K371" s="193"/>
      <c r="L371" s="193" t="s">
        <v>610</v>
      </c>
      <c r="M371" s="1090" t="str">
        <f>IF(R371,"Mandatory","N/A")</f>
        <v>N/A</v>
      </c>
      <c r="N371" s="282"/>
      <c r="O371" s="282"/>
      <c r="P371" s="280" t="b">
        <v>1</v>
      </c>
      <c r="Q371" s="280" t="b">
        <v>0</v>
      </c>
      <c r="R371" s="280" t="b">
        <f>S371</f>
        <v>0</v>
      </c>
      <c r="S371" s="280" t="b">
        <f>OR(AZ283=2,AZ283=7)</f>
        <v>0</v>
      </c>
      <c r="T371" s="97" t="b">
        <f>IF(AND(NOT(S371),LEN(W371)&gt;0),TRUE,FALSE)</f>
        <v>0</v>
      </c>
      <c r="U371" s="97" t="str">
        <f>SUBSTITUTE(SUBSTITUTE(SUBSTITUTE("dd"&amp;B371&amp;C371&amp;D371&amp;E371&amp;F371,".","_"),"(","_"),")","")</f>
        <v>dd602_1_4_1_2</v>
      </c>
      <c r="V371" s="280"/>
      <c r="W371" s="12"/>
      <c r="X371" s="281"/>
      <c r="Y371" s="312" t="str">
        <f>IF(LEN('Ch6'!X117)=0,"None",'Ch6'!X117)</f>
        <v>None</v>
      </c>
      <c r="Z371" s="1169"/>
      <c r="AC371" s="280" t="b">
        <f>OR(AD371:AE371)</f>
        <v>0</v>
      </c>
      <c r="AD371" s="280" t="b">
        <f>T371</f>
        <v>0</v>
      </c>
      <c r="AE371" s="280" t="b">
        <f>AND(R371,NOT(W371="Met"),NOT(W371="N/A"))</f>
        <v>0</v>
      </c>
      <c r="AF371" s="1182" t="b">
        <f>AND(AE371,NOT(Q371))</f>
        <v>0</v>
      </c>
      <c r="AG371" s="280"/>
      <c r="AH371" s="280"/>
      <c r="AI371" s="280"/>
      <c r="AJ371" s="280"/>
      <c r="AK371" s="280"/>
      <c r="AL371" s="311" t="str">
        <f>SUBSTITUTE(SUBSTITUTE(SUBSTITUTE("vpa"&amp;$B371&amp;$C371&amp;$D371&amp;$E371&amp;$F371,".","_"),"(","_"),")","")</f>
        <v>vpa602_1_4_1_2</v>
      </c>
      <c r="AM371" s="311" t="str">
        <f>M371</f>
        <v>N/A</v>
      </c>
      <c r="AN371" s="280"/>
      <c r="AO371" s="280"/>
      <c r="AP371" s="311" t="str">
        <f>SUBSTITUTE(SUBSTITUTE(SUBSTITUTE("vch"&amp;$B371&amp;$C371&amp;$D371&amp;$E371&amp;$F371,".","_"),"(","_"),")","")</f>
        <v>vch602_1_4_1_2</v>
      </c>
      <c r="AQ371" s="311">
        <f>W371</f>
        <v>0</v>
      </c>
      <c r="AR371" s="311" t="str">
        <f>SUBSTITUTE(SUBSTITUTE(SUBSTITUTE("vnt"&amp;$B371&amp;$C371&amp;$D371&amp;$E371&amp;$F371,".","_"),"(","_"),")","")</f>
        <v>vnt602_1_4_1_2</v>
      </c>
      <c r="AS371" s="311">
        <f>X371</f>
        <v>0</v>
      </c>
      <c r="BJ371" s="1184" t="s">
        <v>4763</v>
      </c>
    </row>
    <row r="372" spans="1:62" x14ac:dyDescent="0.3">
      <c r="A372" s="1200">
        <v>6</v>
      </c>
      <c r="B372" s="1208" t="s">
        <v>611</v>
      </c>
      <c r="C372" s="1203"/>
      <c r="D372" s="1203"/>
      <c r="E372" s="1203"/>
      <c r="F372" s="1203"/>
      <c r="G372" s="1202" t="s">
        <v>4389</v>
      </c>
      <c r="H372" s="1200" t="s">
        <v>4387</v>
      </c>
      <c r="I372" s="66" t="s">
        <v>611</v>
      </c>
      <c r="J372" s="4"/>
      <c r="K372" s="86"/>
      <c r="L372" s="1292" t="s">
        <v>612</v>
      </c>
      <c r="M372" s="305"/>
      <c r="N372" s="282"/>
      <c r="O372" s="282"/>
      <c r="P372" s="280"/>
      <c r="Q372" s="280"/>
      <c r="R372" s="280"/>
      <c r="S372" s="280"/>
      <c r="T372" s="280"/>
      <c r="U372" s="280"/>
      <c r="V372" s="280"/>
      <c r="W372" s="280"/>
      <c r="X372" s="280"/>
      <c r="Y372"/>
      <c r="Z372" s="1055"/>
      <c r="AC372" s="280"/>
      <c r="AD372" s="280"/>
      <c r="AE372" s="280"/>
      <c r="AF372" s="280"/>
      <c r="AG372" s="280"/>
      <c r="AH372" s="280"/>
      <c r="AI372" s="280"/>
      <c r="AJ372" s="280"/>
      <c r="AK372" s="280"/>
      <c r="AL372" s="280"/>
      <c r="AM372" s="280"/>
      <c r="AN372" s="280"/>
      <c r="AO372" s="280"/>
      <c r="AP372" s="280"/>
      <c r="AQ372" s="280"/>
      <c r="AR372" s="280"/>
      <c r="AS372" s="280"/>
      <c r="BJ372" s="1184" t="s">
        <v>4763</v>
      </c>
    </row>
    <row r="373" spans="1:62" x14ac:dyDescent="0.3">
      <c r="A373" s="1200">
        <v>6</v>
      </c>
      <c r="B373" s="1208" t="s">
        <v>611</v>
      </c>
      <c r="C373" s="1203"/>
      <c r="D373" s="1203"/>
      <c r="E373" s="1203"/>
      <c r="F373" s="1203"/>
      <c r="G373" s="1202" t="s">
        <v>4389</v>
      </c>
      <c r="H373" s="1200" t="s">
        <v>4387</v>
      </c>
      <c r="I373" s="66"/>
      <c r="J373" s="4"/>
      <c r="K373" s="86"/>
      <c r="L373" s="1292"/>
      <c r="M373" s="305"/>
      <c r="N373" s="282"/>
      <c r="O373" s="282"/>
      <c r="P373" s="280"/>
      <c r="Q373" s="280"/>
      <c r="R373" s="280"/>
      <c r="S373" s="280"/>
      <c r="T373" s="280"/>
      <c r="U373" s="280"/>
      <c r="V373" s="280"/>
      <c r="W373" s="280"/>
      <c r="X373" s="280"/>
      <c r="Y373"/>
      <c r="Z373" s="1055"/>
      <c r="AC373" s="280"/>
      <c r="AD373" s="280"/>
      <c r="AE373" s="280"/>
      <c r="AF373" s="280"/>
      <c r="AG373" s="280"/>
      <c r="AH373" s="280"/>
      <c r="AI373" s="280"/>
      <c r="AJ373" s="280"/>
      <c r="AK373" s="280"/>
      <c r="AL373" s="280"/>
      <c r="AM373" s="280"/>
      <c r="AN373" s="280"/>
      <c r="AO373" s="280"/>
      <c r="AP373" s="280"/>
      <c r="AQ373" s="280"/>
      <c r="AR373" s="280"/>
      <c r="AS373" s="280"/>
      <c r="BJ373" s="1184" t="s">
        <v>4763</v>
      </c>
    </row>
    <row r="374" spans="1:62" x14ac:dyDescent="0.3">
      <c r="A374" s="1200">
        <v>6</v>
      </c>
      <c r="B374" s="1208" t="s">
        <v>611</v>
      </c>
      <c r="C374" s="1203"/>
      <c r="D374" s="1203"/>
      <c r="E374" s="1203"/>
      <c r="F374" s="1203"/>
      <c r="G374" s="1202" t="s">
        <v>4389</v>
      </c>
      <c r="H374" s="1200" t="s">
        <v>4387</v>
      </c>
      <c r="I374" s="66"/>
      <c r="J374" s="4"/>
      <c r="K374" s="86"/>
      <c r="L374" s="1292"/>
      <c r="M374" s="305"/>
      <c r="N374" s="282"/>
      <c r="O374" s="282"/>
      <c r="P374" s="280"/>
      <c r="Q374" s="280"/>
      <c r="R374" s="280"/>
      <c r="S374" s="280"/>
      <c r="T374" s="280"/>
      <c r="U374" s="280"/>
      <c r="V374" s="280"/>
      <c r="W374" s="280"/>
      <c r="X374" s="280"/>
      <c r="Y374"/>
      <c r="Z374" s="1055"/>
      <c r="AC374" s="280"/>
      <c r="AD374" s="280"/>
      <c r="AE374" s="280"/>
      <c r="AF374" s="280"/>
      <c r="AG374" s="280"/>
      <c r="AH374" s="280"/>
      <c r="AI374" s="280"/>
      <c r="AJ374" s="280"/>
      <c r="AK374" s="280"/>
      <c r="AL374" s="280"/>
      <c r="AM374" s="280"/>
      <c r="AN374" s="280"/>
      <c r="AO374" s="280"/>
      <c r="AP374" s="280"/>
      <c r="AQ374" s="280"/>
      <c r="AR374" s="280"/>
      <c r="AS374" s="280"/>
      <c r="BJ374" s="1184" t="s">
        <v>4763</v>
      </c>
    </row>
    <row r="375" spans="1:62" x14ac:dyDescent="0.3">
      <c r="A375" s="1200">
        <v>6</v>
      </c>
      <c r="B375" s="1208" t="s">
        <v>611</v>
      </c>
      <c r="C375" s="1203"/>
      <c r="D375" s="1203"/>
      <c r="E375" s="1203" t="s">
        <v>271</v>
      </c>
      <c r="F375" s="1203"/>
      <c r="G375" s="1202" t="str">
        <f>IF(N375&gt;0,"P","")</f>
        <v/>
      </c>
      <c r="H375" s="1200" t="s">
        <v>4387</v>
      </c>
      <c r="I375" s="66"/>
      <c r="J375" s="203" t="s">
        <v>271</v>
      </c>
      <c r="K375" s="98"/>
      <c r="L375" s="1305" t="s">
        <v>3245</v>
      </c>
      <c r="M375" s="1318">
        <v>8</v>
      </c>
      <c r="N375" s="1473">
        <f>'Ch6'!O121</f>
        <v>0</v>
      </c>
      <c r="O375" s="1473">
        <f>M375*S375*W375</f>
        <v>0</v>
      </c>
      <c r="P375" s="280" t="b">
        <v>1</v>
      </c>
      <c r="Q375" s="280" t="b">
        <v>0</v>
      </c>
      <c r="R375" s="280" t="b">
        <v>0</v>
      </c>
      <c r="S375" s="280" t="b">
        <f>OR(AZ283=3,AZ283=7)</f>
        <v>0</v>
      </c>
      <c r="T375" s="97" t="b">
        <f>IF(AND(NOT(S375),W375=TRUE),TRUE,FALSE)</f>
        <v>0</v>
      </c>
      <c r="U375" s="280"/>
      <c r="V375" s="280"/>
      <c r="W375" s="25"/>
      <c r="X375" s="1303"/>
      <c r="Y375" s="1522" t="str">
        <f>IF(LEN('Ch6'!X121)=0,"None",'Ch6'!X121)</f>
        <v>None</v>
      </c>
      <c r="Z375" s="1586"/>
      <c r="AC375" s="280" t="b">
        <f>OR(AD375:AE375)</f>
        <v>0</v>
      </c>
      <c r="AD375" s="280" t="b">
        <f>T375</f>
        <v>0</v>
      </c>
      <c r="AE375" s="280"/>
      <c r="AF375" s="280"/>
      <c r="AG375" s="280"/>
      <c r="AH375" s="280"/>
      <c r="AI375" s="280"/>
      <c r="AJ375" s="280"/>
      <c r="AK375" s="280"/>
      <c r="AL375" s="311" t="str">
        <f>SUBSTITUTE(SUBSTITUTE(SUBSTITUTE("vpa"&amp;$B375&amp;$C375&amp;$D375&amp;$E375&amp;$F375,".","_"),"(","_"),")","")</f>
        <v>vpa602_1_4_2_1</v>
      </c>
      <c r="AM375" s="311">
        <f>M375</f>
        <v>8</v>
      </c>
      <c r="AN375" s="311" t="str">
        <f>SUBSTITUTE(SUBSTITUTE(SUBSTITUTE("vpc"&amp;$B375&amp;$C375&amp;$D375&amp;$E375&amp;$F375,".","_"),"(","_"),")","")</f>
        <v>vpc602_1_4_2_1</v>
      </c>
      <c r="AO375" s="311">
        <f>O375</f>
        <v>0</v>
      </c>
      <c r="AP375" s="311" t="str">
        <f>SUBSTITUTE(SUBSTITUTE(SUBSTITUTE("vch"&amp;$B375&amp;$C375&amp;$D375&amp;$E375&amp;$F375,".","_"),"(","_"),")","")</f>
        <v>vch602_1_4_2_1</v>
      </c>
      <c r="AQ375" s="311">
        <f>W375</f>
        <v>0</v>
      </c>
      <c r="AR375" s="311" t="str">
        <f>SUBSTITUTE(SUBSTITUTE(SUBSTITUTE("vnt"&amp;$B375&amp;$C375&amp;$D375&amp;$E375&amp;$F375,".","_"),"(","_"),")","")</f>
        <v>vnt602_1_4_2_1</v>
      </c>
      <c r="AS375" s="311">
        <f>X375</f>
        <v>0</v>
      </c>
      <c r="BJ375" s="1184" t="s">
        <v>4763</v>
      </c>
    </row>
    <row r="376" spans="1:62" x14ac:dyDescent="0.3">
      <c r="A376" s="1200">
        <v>6</v>
      </c>
      <c r="B376" s="1208" t="s">
        <v>611</v>
      </c>
      <c r="C376" s="1203"/>
      <c r="D376" s="1203"/>
      <c r="E376" s="1203" t="s">
        <v>271</v>
      </c>
      <c r="F376" s="1203"/>
      <c r="G376" s="1202" t="str">
        <f t="shared" ref="G376" si="121">G375</f>
        <v/>
      </c>
      <c r="H376" s="1200" t="s">
        <v>4387</v>
      </c>
      <c r="I376" s="66"/>
      <c r="J376" s="238"/>
      <c r="K376" s="193"/>
      <c r="L376" s="1306"/>
      <c r="M376" s="1319"/>
      <c r="N376" s="1491"/>
      <c r="O376" s="1491"/>
      <c r="P376" s="280"/>
      <c r="Q376" s="280"/>
      <c r="R376" s="280"/>
      <c r="S376" s="280"/>
      <c r="T376" s="280"/>
      <c r="U376" s="280"/>
      <c r="V376" s="280"/>
      <c r="W376" s="280"/>
      <c r="X376" s="1303"/>
      <c r="Y376" s="1522"/>
      <c r="Z376" s="1586"/>
      <c r="AC376" s="280"/>
      <c r="AD376" s="280"/>
      <c r="AE376" s="280"/>
      <c r="AF376" s="280"/>
      <c r="AG376" s="280"/>
      <c r="AH376" s="280"/>
      <c r="AI376" s="280"/>
      <c r="AJ376" s="280"/>
      <c r="AK376" s="280"/>
      <c r="AL376" s="280"/>
      <c r="AM376" s="280"/>
      <c r="AN376" s="280"/>
      <c r="AO376" s="280"/>
      <c r="AP376" s="280"/>
      <c r="AQ376" s="280"/>
      <c r="AR376" s="280"/>
      <c r="AS376" s="280"/>
      <c r="BJ376" s="1184" t="s">
        <v>4763</v>
      </c>
    </row>
    <row r="377" spans="1:62" x14ac:dyDescent="0.3">
      <c r="A377" s="1200">
        <v>6</v>
      </c>
      <c r="B377" s="1208" t="s">
        <v>611</v>
      </c>
      <c r="C377" s="1203"/>
      <c r="D377" s="1203"/>
      <c r="E377" s="1203" t="s">
        <v>273</v>
      </c>
      <c r="F377" s="1203"/>
      <c r="G377" s="1202" t="s">
        <v>4389</v>
      </c>
      <c r="H377" s="1200" t="s">
        <v>4387</v>
      </c>
      <c r="I377" s="66"/>
      <c r="J377" s="27" t="s">
        <v>273</v>
      </c>
      <c r="K377" s="86"/>
      <c r="L377" s="1329" t="s">
        <v>3246</v>
      </c>
      <c r="M377" s="1361" t="str">
        <f>IF(R377,"Mandatory","N/A")</f>
        <v>N/A</v>
      </c>
      <c r="N377" s="282"/>
      <c r="O377" s="282"/>
      <c r="P377" s="280" t="b">
        <v>1</v>
      </c>
      <c r="Q377" s="280" t="b">
        <v>0</v>
      </c>
      <c r="R377" s="280" t="b">
        <f>S377</f>
        <v>0</v>
      </c>
      <c r="S377" s="280" t="b">
        <f>OR(AZ283=3,AZ283=7)</f>
        <v>0</v>
      </c>
      <c r="T377" s="97" t="b">
        <f>IF(AND(NOT(S377),LEN(W377)&gt;0),TRUE,FALSE)</f>
        <v>0</v>
      </c>
      <c r="U377" s="97" t="str">
        <f>SUBSTITUTE(SUBSTITUTE(SUBSTITUTE("dd"&amp;B377&amp;C377&amp;D377&amp;E377&amp;F377,".","_"),"(","_"),")","")</f>
        <v>dd602_1_4_2_2</v>
      </c>
      <c r="V377" s="280"/>
      <c r="W377" s="12"/>
      <c r="X377" s="1303"/>
      <c r="Y377" s="1523" t="str">
        <f>IF(LEN('Ch6'!X123)=0,"None",'Ch6'!X123)</f>
        <v>None</v>
      </c>
      <c r="Z377" s="1583"/>
      <c r="AC377" s="280" t="b">
        <f>OR(AD377:AE377)</f>
        <v>0</v>
      </c>
      <c r="AD377" s="280" t="b">
        <f>T377</f>
        <v>0</v>
      </c>
      <c r="AE377" s="280" t="b">
        <f>AND(R377,NOT(W377="Met"),NOT(W377="N/A"))</f>
        <v>0</v>
      </c>
      <c r="AF377" s="1182" t="b">
        <f>AND(AE377,NOT(Q377))</f>
        <v>0</v>
      </c>
      <c r="AG377" s="280"/>
      <c r="AH377" s="280"/>
      <c r="AI377" s="280"/>
      <c r="AJ377" s="280"/>
      <c r="AK377" s="280"/>
      <c r="AL377" s="311" t="str">
        <f>SUBSTITUTE(SUBSTITUTE(SUBSTITUTE("vpa"&amp;$B377&amp;$C377&amp;$D377&amp;$E377&amp;$F377,".","_"),"(","_"),")","")</f>
        <v>vpa602_1_4_2_2</v>
      </c>
      <c r="AM377" s="311" t="str">
        <f>M377</f>
        <v>N/A</v>
      </c>
      <c r="AN377" s="280"/>
      <c r="AO377" s="280"/>
      <c r="AP377" s="311" t="str">
        <f>SUBSTITUTE(SUBSTITUTE(SUBSTITUTE("vch"&amp;$B377&amp;$C377&amp;$D377&amp;$E377&amp;$F377,".","_"),"(","_"),")","")</f>
        <v>vch602_1_4_2_2</v>
      </c>
      <c r="AQ377" s="311">
        <f>W377</f>
        <v>0</v>
      </c>
      <c r="AR377" s="311" t="str">
        <f>SUBSTITUTE(SUBSTITUTE(SUBSTITUTE("vnt"&amp;$B377&amp;$C377&amp;$D377&amp;$E377&amp;$F377,".","_"),"(","_"),")","")</f>
        <v>vnt602_1_4_2_2</v>
      </c>
      <c r="AS377" s="311">
        <f>X377</f>
        <v>0</v>
      </c>
      <c r="BJ377" s="1184" t="s">
        <v>4763</v>
      </c>
    </row>
    <row r="378" spans="1:62" ht="15" thickBot="1" x14ac:dyDescent="0.35">
      <c r="A378" s="1200">
        <v>6</v>
      </c>
      <c r="B378" s="1208" t="s">
        <v>611</v>
      </c>
      <c r="C378" s="1203"/>
      <c r="D378" s="1203"/>
      <c r="E378" s="1203" t="s">
        <v>273</v>
      </c>
      <c r="F378" s="1203"/>
      <c r="G378" s="1202" t="s">
        <v>4389</v>
      </c>
      <c r="H378" s="1200" t="s">
        <v>4387</v>
      </c>
      <c r="I378" s="66"/>
      <c r="J378" s="4"/>
      <c r="K378" s="86"/>
      <c r="L378" s="1329"/>
      <c r="M378" s="1361"/>
      <c r="N378" s="282"/>
      <c r="O378" s="282"/>
      <c r="P378" s="280"/>
      <c r="Q378" s="280"/>
      <c r="R378" s="280"/>
      <c r="S378" s="280"/>
      <c r="T378" s="280"/>
      <c r="U378" s="280"/>
      <c r="V378" s="280"/>
      <c r="W378" s="280"/>
      <c r="X378" s="1337"/>
      <c r="Y378" s="1524"/>
      <c r="Z378" s="1584"/>
      <c r="AC378" s="280"/>
      <c r="AD378" s="280"/>
      <c r="AE378" s="280"/>
      <c r="AF378" s="280"/>
      <c r="AG378" s="280"/>
      <c r="AH378" s="280"/>
      <c r="AI378" s="280"/>
      <c r="AJ378" s="280"/>
      <c r="AK378" s="280"/>
      <c r="AL378" s="280"/>
      <c r="AM378" s="280"/>
      <c r="AN378" s="280"/>
      <c r="AO378" s="280"/>
      <c r="AP378" s="280"/>
      <c r="AQ378" s="280"/>
      <c r="AR378" s="280"/>
      <c r="AS378" s="280"/>
      <c r="BJ378" s="1184" t="s">
        <v>4763</v>
      </c>
    </row>
    <row r="379" spans="1:62" ht="15" thickTop="1" x14ac:dyDescent="0.3">
      <c r="A379" s="1200">
        <v>6</v>
      </c>
      <c r="B379" s="1208" t="s">
        <v>613</v>
      </c>
      <c r="C379" s="1203"/>
      <c r="D379" s="1203"/>
      <c r="E379" s="1203"/>
      <c r="F379" s="1203"/>
      <c r="G379" s="1196" t="str">
        <f ca="1">IF(COUNTIF(G381:G383,"P")&gt;0,"P","")</f>
        <v>P</v>
      </c>
      <c r="H379" s="1200" t="s">
        <v>4387</v>
      </c>
      <c r="I379" s="200" t="s">
        <v>613</v>
      </c>
      <c r="J379" s="201"/>
      <c r="K379" s="202"/>
      <c r="L379" s="111" t="s">
        <v>614</v>
      </c>
      <c r="M379" s="306"/>
      <c r="N379" s="296"/>
      <c r="O379" s="296"/>
      <c r="P379" s="110"/>
      <c r="Q379" s="110"/>
      <c r="R379" s="110"/>
      <c r="S379" s="110"/>
      <c r="T379" s="110"/>
      <c r="U379" s="110"/>
      <c r="V379" s="110"/>
      <c r="W379" s="110" t="s">
        <v>1303</v>
      </c>
      <c r="X379" s="110"/>
      <c r="Y379"/>
      <c r="Z379" s="1055"/>
      <c r="AC379" s="280"/>
      <c r="AD379" s="280"/>
      <c r="AE379" s="280"/>
      <c r="AF379" s="280"/>
      <c r="AG379" s="280"/>
      <c r="AH379" s="280"/>
      <c r="AI379" s="280"/>
      <c r="AJ379" s="280"/>
      <c r="AK379" s="280"/>
      <c r="AL379" s="280"/>
      <c r="AM379" s="280"/>
      <c r="AN379" s="280"/>
      <c r="AO379" s="280"/>
      <c r="AP379" s="280"/>
      <c r="AQ379" s="280"/>
      <c r="AR379" s="280"/>
      <c r="AS379" s="280"/>
      <c r="BJ379" s="1184" t="s">
        <v>4763</v>
      </c>
    </row>
    <row r="380" spans="1:62" x14ac:dyDescent="0.3">
      <c r="A380" s="1200">
        <v>6</v>
      </c>
      <c r="B380" s="1208" t="s">
        <v>613</v>
      </c>
      <c r="C380" s="1203"/>
      <c r="D380" s="1203"/>
      <c r="E380" s="1203"/>
      <c r="F380" s="1203"/>
      <c r="G380" s="1202" t="str">
        <f t="shared" ref="G380" ca="1" si="122">G379</f>
        <v>P</v>
      </c>
      <c r="H380" s="1200" t="s">
        <v>4387</v>
      </c>
      <c r="I380" s="66"/>
      <c r="J380" s="4"/>
      <c r="K380" s="86"/>
      <c r="L380" s="327" t="s">
        <v>3237</v>
      </c>
      <c r="M380" s="305"/>
      <c r="N380" s="282"/>
      <c r="O380" s="282"/>
      <c r="P380" s="280" t="b">
        <v>1</v>
      </c>
      <c r="Q380" s="280" t="b">
        <v>0</v>
      </c>
      <c r="R380" s="280" t="b">
        <v>0</v>
      </c>
      <c r="S380" s="280" t="b">
        <v>1</v>
      </c>
      <c r="T380" s="280" t="b">
        <v>0</v>
      </c>
      <c r="U380" s="97" t="str">
        <f>SUBSTITUTE(SUBSTITUTE(SUBSTITUTE("dd"&amp;B380&amp;C380&amp;D380&amp;E380&amp;F380,".","_"),"(","_"),")","")</f>
        <v>dd602_1_5</v>
      </c>
      <c r="V380" s="280"/>
      <c r="W380" s="12"/>
      <c r="X380" s="1303"/>
      <c r="Y380" s="1523" t="str">
        <f>IF(LEN('Ch6'!X126)=0,"None",'Ch6'!X126)</f>
        <v>None</v>
      </c>
      <c r="Z380" s="1583"/>
      <c r="AC380" s="280"/>
      <c r="AD380" s="280"/>
      <c r="AE380" s="280"/>
      <c r="AF380" s="280"/>
      <c r="AG380" s="280"/>
      <c r="AH380" s="280"/>
      <c r="AI380" s="280"/>
      <c r="AJ380" s="280"/>
      <c r="AK380" s="280"/>
      <c r="AL380" s="280"/>
      <c r="AM380" s="280"/>
      <c r="AN380" s="280"/>
      <c r="AO380" s="280"/>
      <c r="AP380" s="311" t="str">
        <f t="shared" ref="AP380:AP381" si="123">SUBSTITUTE(SUBSTITUTE(SUBSTITUTE("vch"&amp;$B380&amp;$C380&amp;$D380&amp;$E380&amp;$F380,".","_"),"(","_"),")","")</f>
        <v>vch602_1_5</v>
      </c>
      <c r="AQ380" s="311">
        <f>W380</f>
        <v>0</v>
      </c>
      <c r="AR380" s="311" t="str">
        <f>SUBSTITUTE(SUBSTITUTE(SUBSTITUTE("vnt"&amp;$B380&amp;$C380&amp;$D380&amp;$E380&amp;$F380,".","_"),"(","_"),")","")</f>
        <v>vnt602_1_5</v>
      </c>
      <c r="AS380" s="311">
        <f>X380</f>
        <v>0</v>
      </c>
      <c r="BJ380" s="1184" t="s">
        <v>4763</v>
      </c>
    </row>
    <row r="381" spans="1:62" x14ac:dyDescent="0.3">
      <c r="A381" s="1200">
        <v>6</v>
      </c>
      <c r="B381" s="1208" t="s">
        <v>613</v>
      </c>
      <c r="C381" s="1203"/>
      <c r="D381" s="1203"/>
      <c r="E381" s="1203" t="s">
        <v>271</v>
      </c>
      <c r="F381" s="1203"/>
      <c r="G381" s="1202" t="str">
        <f ca="1">IF(N381&gt;0,"P","")</f>
        <v>P</v>
      </c>
      <c r="H381" s="1200" t="s">
        <v>4387</v>
      </c>
      <c r="I381" s="66"/>
      <c r="J381" s="203" t="s">
        <v>271</v>
      </c>
      <c r="K381" s="98"/>
      <c r="L381" s="1305" t="s">
        <v>615</v>
      </c>
      <c r="M381" s="1318">
        <v>4</v>
      </c>
      <c r="N381" s="1473">
        <f ca="1">'Ch6'!O127</f>
        <v>4</v>
      </c>
      <c r="O381" s="1473">
        <f ca="1">M381*S381*W381</f>
        <v>0</v>
      </c>
      <c r="P381" s="280" t="b">
        <v>1</v>
      </c>
      <c r="Q381" s="280" t="b">
        <v>0</v>
      </c>
      <c r="R381" s="280" t="b">
        <v>0</v>
      </c>
      <c r="S381" s="280" t="b">
        <f ca="1">IF(IFERROR(MATCH(W380,INDIRECT(U380),0),0)=3,TRUE,FALSE)</f>
        <v>0</v>
      </c>
      <c r="T381" s="97" t="b">
        <f ca="1">IF(AND(NOT(S381),W381=TRUE),TRUE,FALSE)</f>
        <v>0</v>
      </c>
      <c r="U381" s="280"/>
      <c r="V381" s="280"/>
      <c r="W381" s="25"/>
      <c r="X381" s="1303"/>
      <c r="Y381" s="1523"/>
      <c r="Z381" s="1583"/>
      <c r="AC381" s="280" t="b">
        <f ca="1">OR(AD381:AE381)</f>
        <v>0</v>
      </c>
      <c r="AD381" s="280" t="b">
        <f ca="1">T381</f>
        <v>0</v>
      </c>
      <c r="AE381" s="280" t="b">
        <v>0</v>
      </c>
      <c r="AF381" s="1182" t="b">
        <f>AND(AE381,NOT(Q381))</f>
        <v>0</v>
      </c>
      <c r="AG381" s="280"/>
      <c r="AH381" s="280"/>
      <c r="AI381" s="280"/>
      <c r="AJ381" s="280"/>
      <c r="AK381" s="280"/>
      <c r="AL381" s="311" t="str">
        <f>SUBSTITUTE(SUBSTITUTE(SUBSTITUTE("vpa"&amp;$B381&amp;$C381&amp;$D381&amp;$E381&amp;$F381,".","_"),"(","_"),")","")</f>
        <v>vpa602_1_5_1</v>
      </c>
      <c r="AM381" s="311">
        <f>M381</f>
        <v>4</v>
      </c>
      <c r="AN381" s="311" t="str">
        <f>SUBSTITUTE(SUBSTITUTE(SUBSTITUTE("vpc"&amp;$B381&amp;$C381&amp;$D381&amp;$E381&amp;$F381,".","_"),"(","_"),")","")</f>
        <v>vpc602_1_5_1</v>
      </c>
      <c r="AO381" s="311">
        <f ca="1">O381</f>
        <v>0</v>
      </c>
      <c r="AP381" s="311" t="str">
        <f t="shared" si="123"/>
        <v>vch602_1_5_1</v>
      </c>
      <c r="AQ381" s="311">
        <f>W381</f>
        <v>0</v>
      </c>
      <c r="AR381" s="280"/>
      <c r="AS381" s="280"/>
      <c r="BJ381" s="1184" t="s">
        <v>4763</v>
      </c>
    </row>
    <row r="382" spans="1:62" x14ac:dyDescent="0.3">
      <c r="A382" s="1200">
        <v>6</v>
      </c>
      <c r="B382" s="1208" t="s">
        <v>613</v>
      </c>
      <c r="C382" s="1203"/>
      <c r="D382" s="1203"/>
      <c r="E382" s="1203" t="s">
        <v>271</v>
      </c>
      <c r="F382" s="1203"/>
      <c r="G382" s="1202" t="str">
        <f t="shared" ref="G382" ca="1" si="124">G381</f>
        <v>P</v>
      </c>
      <c r="H382" s="1200" t="s">
        <v>4387</v>
      </c>
      <c r="I382" s="66"/>
      <c r="J382" s="238"/>
      <c r="K382" s="193"/>
      <c r="L382" s="1306"/>
      <c r="M382" s="1319"/>
      <c r="N382" s="1491"/>
      <c r="O382" s="1491"/>
      <c r="P382" s="280"/>
      <c r="Q382" s="280"/>
      <c r="R382" s="280"/>
      <c r="S382" s="280"/>
      <c r="T382" s="280"/>
      <c r="U382" s="280"/>
      <c r="V382" s="280"/>
      <c r="W382" s="280"/>
      <c r="X382" s="1303"/>
      <c r="Y382" s="1523"/>
      <c r="Z382" s="1583"/>
      <c r="AC382" s="280"/>
      <c r="AD382" s="280"/>
      <c r="AE382" s="280"/>
      <c r="AF382" s="280"/>
      <c r="AG382" s="280"/>
      <c r="AH382" s="280"/>
      <c r="AI382" s="280"/>
      <c r="AJ382" s="280"/>
      <c r="AK382" s="280"/>
      <c r="AL382" s="280"/>
      <c r="AM382" s="280"/>
      <c r="AN382" s="280"/>
      <c r="AO382" s="280"/>
      <c r="AP382" s="280"/>
      <c r="AQ382" s="280"/>
      <c r="AR382" s="280"/>
      <c r="AS382" s="280"/>
      <c r="BJ382" s="1184" t="s">
        <v>4763</v>
      </c>
    </row>
    <row r="383" spans="1:62" x14ac:dyDescent="0.3">
      <c r="A383" s="1200">
        <v>6</v>
      </c>
      <c r="B383" s="1208" t="s">
        <v>613</v>
      </c>
      <c r="C383" s="1203"/>
      <c r="D383" s="1203"/>
      <c r="E383" s="1203" t="s">
        <v>273</v>
      </c>
      <c r="F383" s="1203"/>
      <c r="G383" s="1202" t="str">
        <f ca="1">IF(N383&gt;0,"P","")</f>
        <v/>
      </c>
      <c r="H383" s="1200" t="s">
        <v>4387</v>
      </c>
      <c r="I383" s="66"/>
      <c r="J383" s="27" t="s">
        <v>273</v>
      </c>
      <c r="K383" s="86"/>
      <c r="L383" s="1329" t="s">
        <v>616</v>
      </c>
      <c r="M383" s="1335">
        <v>4</v>
      </c>
      <c r="N383" s="1472">
        <f ca="1">'Ch6'!O129</f>
        <v>0</v>
      </c>
      <c r="O383" s="1463">
        <f ca="1">M383*S383*W383</f>
        <v>0</v>
      </c>
      <c r="P383" s="280" t="b">
        <v>1</v>
      </c>
      <c r="Q383" s="280" t="b">
        <v>0</v>
      </c>
      <c r="R383" s="280" t="b">
        <v>0</v>
      </c>
      <c r="S383" s="280" t="b">
        <f ca="1">IF(IFERROR(MATCH(W380,INDIRECT(U380),0),0)=4,TRUE,FALSE)</f>
        <v>0</v>
      </c>
      <c r="T383" s="97" t="b">
        <f ca="1">IF(AND(NOT(S383),W383=TRUE),TRUE,FALSE)</f>
        <v>0</v>
      </c>
      <c r="U383" s="280"/>
      <c r="V383" s="280"/>
      <c r="W383" s="25"/>
      <c r="X383" s="1303"/>
      <c r="Y383" s="1523"/>
      <c r="Z383" s="1583"/>
      <c r="AC383" s="280" t="b">
        <f ca="1">OR(AD383:AE383)</f>
        <v>0</v>
      </c>
      <c r="AD383" s="280" t="b">
        <f ca="1">T383</f>
        <v>0</v>
      </c>
      <c r="AE383" s="280" t="b">
        <v>0</v>
      </c>
      <c r="AF383" s="1182" t="b">
        <f>AND(AE383,NOT(Q383))</f>
        <v>0</v>
      </c>
      <c r="AG383" s="280"/>
      <c r="AH383" s="280"/>
      <c r="AI383" s="280"/>
      <c r="AJ383" s="280"/>
      <c r="AK383" s="280"/>
      <c r="AL383" s="311" t="str">
        <f>SUBSTITUTE(SUBSTITUTE(SUBSTITUTE("vpa"&amp;$B383&amp;$C383&amp;$D383&amp;$E383&amp;$F383,".","_"),"(","_"),")","")</f>
        <v>vpa602_1_5_2</v>
      </c>
      <c r="AM383" s="311">
        <f>M383</f>
        <v>4</v>
      </c>
      <c r="AN383" s="311" t="str">
        <f>SUBSTITUTE(SUBSTITUTE(SUBSTITUTE("vpc"&amp;$B383&amp;$C383&amp;$D383&amp;$E383&amp;$F383,".","_"),"(","_"),")","")</f>
        <v>vpc602_1_5_2</v>
      </c>
      <c r="AO383" s="311">
        <f ca="1">O383</f>
        <v>0</v>
      </c>
      <c r="AP383" s="311" t="str">
        <f>SUBSTITUTE(SUBSTITUTE(SUBSTITUTE("vch"&amp;$B383&amp;$C383&amp;$D383&amp;$E383&amp;$F383,".","_"),"(","_"),")","")</f>
        <v>vch602_1_5_2</v>
      </c>
      <c r="AQ383" s="311">
        <f>W383</f>
        <v>0</v>
      </c>
      <c r="AR383" s="280"/>
      <c r="AS383" s="280"/>
      <c r="BJ383" s="1184" t="s">
        <v>4763</v>
      </c>
    </row>
    <row r="384" spans="1:62" x14ac:dyDescent="0.3">
      <c r="A384" s="1200">
        <v>6</v>
      </c>
      <c r="B384" s="1208" t="s">
        <v>613</v>
      </c>
      <c r="C384" s="1203"/>
      <c r="D384" s="1203"/>
      <c r="E384" s="1203" t="s">
        <v>273</v>
      </c>
      <c r="F384" s="1203"/>
      <c r="G384" s="1202" t="str">
        <f t="shared" ref="G384:G385" ca="1" si="125">G383</f>
        <v/>
      </c>
      <c r="H384" s="1200" t="s">
        <v>4387</v>
      </c>
      <c r="I384" s="66"/>
      <c r="J384" s="4"/>
      <c r="K384" s="86"/>
      <c r="L384" s="1329"/>
      <c r="M384" s="1335"/>
      <c r="N384" s="1463"/>
      <c r="O384" s="1463"/>
      <c r="P384" s="280"/>
      <c r="Q384" s="280"/>
      <c r="R384" s="280"/>
      <c r="S384" s="280"/>
      <c r="T384" s="280"/>
      <c r="U384" s="280"/>
      <c r="V384" s="280"/>
      <c r="W384" s="280"/>
      <c r="X384" s="1303"/>
      <c r="Y384" s="1523"/>
      <c r="Z384" s="1583"/>
      <c r="AC384" s="280"/>
      <c r="AD384" s="280"/>
      <c r="AE384" s="280"/>
      <c r="AF384" s="280"/>
      <c r="AG384" s="280"/>
      <c r="AH384" s="280"/>
      <c r="AI384" s="280"/>
      <c r="AJ384" s="280"/>
      <c r="AK384" s="280"/>
      <c r="AL384" s="280"/>
      <c r="AM384" s="280"/>
      <c r="AN384" s="280"/>
      <c r="AO384" s="280"/>
      <c r="AP384" s="280"/>
      <c r="AQ384" s="280"/>
      <c r="AR384" s="280"/>
      <c r="AS384" s="280"/>
      <c r="BJ384" s="1184" t="s">
        <v>4763</v>
      </c>
    </row>
    <row r="385" spans="1:62" ht="15" thickBot="1" x14ac:dyDescent="0.35">
      <c r="A385" s="1200">
        <v>6</v>
      </c>
      <c r="B385" s="1208" t="s">
        <v>613</v>
      </c>
      <c r="C385" s="1203"/>
      <c r="D385" s="1203"/>
      <c r="E385" s="1203" t="s">
        <v>273</v>
      </c>
      <c r="F385" s="1203"/>
      <c r="G385" s="1202" t="str">
        <f t="shared" ca="1" si="125"/>
        <v/>
      </c>
      <c r="H385" s="1200" t="s">
        <v>4387</v>
      </c>
      <c r="I385" s="66"/>
      <c r="J385" s="4"/>
      <c r="K385" s="86"/>
      <c r="L385" s="1329"/>
      <c r="M385" s="1335"/>
      <c r="N385" s="1529"/>
      <c r="O385" s="1463"/>
      <c r="P385" s="280"/>
      <c r="Q385" s="280"/>
      <c r="R385" s="280"/>
      <c r="S385" s="280"/>
      <c r="T385" s="280"/>
      <c r="U385" s="280"/>
      <c r="V385" s="280"/>
      <c r="W385" s="280"/>
      <c r="X385" s="1303"/>
      <c r="Y385" s="1524"/>
      <c r="Z385" s="1584"/>
      <c r="AC385" s="280"/>
      <c r="AD385" s="280"/>
      <c r="AE385" s="280"/>
      <c r="AF385" s="280"/>
      <c r="AG385" s="280"/>
      <c r="AH385" s="280"/>
      <c r="AI385" s="280"/>
      <c r="AJ385" s="280"/>
      <c r="AK385" s="280"/>
      <c r="AL385" s="280"/>
      <c r="AM385" s="280"/>
      <c r="AN385" s="280"/>
      <c r="AO385" s="280"/>
      <c r="AP385" s="280"/>
      <c r="AQ385" s="280"/>
      <c r="AR385" s="280"/>
      <c r="AS385" s="280"/>
      <c r="BJ385" s="1184" t="s">
        <v>4763</v>
      </c>
    </row>
    <row r="386" spans="1:62" ht="15" thickTop="1" x14ac:dyDescent="0.3">
      <c r="A386" s="1200">
        <v>6</v>
      </c>
      <c r="B386" s="1208" t="s">
        <v>617</v>
      </c>
      <c r="C386" s="1203"/>
      <c r="D386" s="1203"/>
      <c r="E386" s="1203"/>
      <c r="F386" s="1203"/>
      <c r="G386" s="1196" t="str">
        <f ca="1">IF(COUNTIF(G389:G397,"P")&gt;0,"P","")</f>
        <v/>
      </c>
      <c r="H386" s="1200" t="s">
        <v>4386</v>
      </c>
      <c r="I386" s="200" t="s">
        <v>617</v>
      </c>
      <c r="J386" s="201"/>
      <c r="K386" s="202"/>
      <c r="L386" s="1331" t="s">
        <v>618</v>
      </c>
      <c r="M386" s="306"/>
      <c r="N386" s="296"/>
      <c r="O386" s="296"/>
      <c r="P386" s="110"/>
      <c r="Q386" s="110"/>
      <c r="R386" s="110"/>
      <c r="S386" s="110"/>
      <c r="T386" s="110"/>
      <c r="U386" s="110"/>
      <c r="V386" s="110"/>
      <c r="W386" s="110"/>
      <c r="X386" s="110"/>
      <c r="Y386"/>
      <c r="Z386" s="1055"/>
      <c r="AC386" s="280"/>
      <c r="AD386" s="280"/>
      <c r="AE386" s="280"/>
      <c r="AF386" s="280"/>
      <c r="AG386" s="280"/>
      <c r="AH386" s="280"/>
      <c r="AI386" s="280"/>
      <c r="AJ386" s="280"/>
      <c r="AK386" s="280"/>
      <c r="AL386" s="280"/>
      <c r="AM386" s="280"/>
      <c r="AN386" s="280"/>
      <c r="AO386" s="280"/>
      <c r="AP386" s="280"/>
      <c r="AQ386" s="280"/>
      <c r="AR386" s="280"/>
      <c r="AS386" s="280"/>
      <c r="BJ386" s="1184" t="s">
        <v>4763</v>
      </c>
    </row>
    <row r="387" spans="1:62" x14ac:dyDescent="0.3">
      <c r="A387" s="1200">
        <v>6</v>
      </c>
      <c r="B387" s="1208" t="s">
        <v>617</v>
      </c>
      <c r="C387" s="1203"/>
      <c r="D387" s="1203"/>
      <c r="E387" s="1203"/>
      <c r="F387" s="1203"/>
      <c r="G387" s="1202" t="str">
        <f t="shared" ref="G387:G388" ca="1" si="126">G386</f>
        <v/>
      </c>
      <c r="H387" s="1200" t="s">
        <v>4386</v>
      </c>
      <c r="I387" s="141"/>
      <c r="J387" s="140"/>
      <c r="K387" s="98"/>
      <c r="L387" s="1313"/>
      <c r="M387" s="300"/>
      <c r="N387" s="283"/>
      <c r="O387" s="283"/>
      <c r="P387" s="97"/>
      <c r="Q387" s="97"/>
      <c r="R387" s="97"/>
      <c r="S387" s="97"/>
      <c r="T387" s="97"/>
      <c r="U387" s="97"/>
      <c r="V387" s="97"/>
      <c r="W387" s="97"/>
      <c r="X387" s="97"/>
      <c r="Y387"/>
      <c r="Z387" s="1055"/>
      <c r="AC387" s="280"/>
      <c r="AD387" s="280"/>
      <c r="AE387" s="280"/>
      <c r="AF387" s="280"/>
      <c r="AG387" s="280"/>
      <c r="AH387" s="280"/>
      <c r="AI387" s="280"/>
      <c r="AJ387" s="280"/>
      <c r="AK387" s="280"/>
      <c r="AL387" s="280"/>
      <c r="AM387" s="280"/>
      <c r="AN387" s="280"/>
      <c r="AO387" s="280"/>
      <c r="AP387" s="280"/>
      <c r="AQ387" s="280"/>
      <c r="AR387" s="280"/>
      <c r="AS387" s="280"/>
      <c r="BJ387" s="1184" t="s">
        <v>4763</v>
      </c>
    </row>
    <row r="388" spans="1:62" x14ac:dyDescent="0.3">
      <c r="A388" s="1200">
        <v>6</v>
      </c>
      <c r="B388" s="1208" t="s">
        <v>617</v>
      </c>
      <c r="C388" s="1203"/>
      <c r="D388" s="1203"/>
      <c r="E388" s="1203"/>
      <c r="F388" s="1203"/>
      <c r="G388" s="1202" t="str">
        <f t="shared" ca="1" si="126"/>
        <v/>
      </c>
      <c r="H388" s="1200" t="s">
        <v>4386</v>
      </c>
      <c r="I388" s="66"/>
      <c r="J388" s="4"/>
      <c r="K388" s="86"/>
      <c r="L388" s="327" t="s">
        <v>3237</v>
      </c>
      <c r="M388" s="305"/>
      <c r="N388" s="282"/>
      <c r="O388" s="282"/>
      <c r="P388" s="280"/>
      <c r="Q388" s="280"/>
      <c r="R388" s="280"/>
      <c r="S388" s="280"/>
      <c r="T388" s="280"/>
      <c r="U388" s="97"/>
      <c r="V388" s="280"/>
      <c r="W388" s="280"/>
      <c r="X388" s="280"/>
      <c r="Y388"/>
      <c r="Z388" s="1055"/>
      <c r="AC388" s="280"/>
      <c r="AD388" s="280"/>
      <c r="AE388" s="280"/>
      <c r="AF388" s="280"/>
      <c r="AG388" s="280"/>
      <c r="AH388" s="280"/>
      <c r="AI388" s="280"/>
      <c r="AJ388" s="280"/>
      <c r="AK388" s="280"/>
      <c r="AL388" s="280"/>
      <c r="AM388" s="280"/>
      <c r="AN388" s="280"/>
      <c r="AO388" s="280"/>
      <c r="AP388" s="280"/>
      <c r="AQ388" s="280"/>
      <c r="AR388" s="280"/>
      <c r="AS388" s="280"/>
      <c r="BJ388" s="1184" t="s">
        <v>4763</v>
      </c>
    </row>
    <row r="389" spans="1:62" x14ac:dyDescent="0.3">
      <c r="A389" s="1200">
        <v>6</v>
      </c>
      <c r="B389" s="1208" t="s">
        <v>617</v>
      </c>
      <c r="C389" s="1203"/>
      <c r="D389" s="1203"/>
      <c r="E389" s="1203" t="s">
        <v>271</v>
      </c>
      <c r="F389" s="1203"/>
      <c r="G389" s="1202" t="str">
        <f ca="1">IF(N389&gt;0,"P","")</f>
        <v/>
      </c>
      <c r="H389" s="1200" t="s">
        <v>4386</v>
      </c>
      <c r="I389" s="66"/>
      <c r="J389" s="203" t="s">
        <v>271</v>
      </c>
      <c r="K389" s="98"/>
      <c r="L389" s="1305" t="s">
        <v>619</v>
      </c>
      <c r="M389" s="1318">
        <v>2</v>
      </c>
      <c r="N389" s="1473">
        <f ca="1">'Ch6'!O135</f>
        <v>0</v>
      </c>
      <c r="O389" s="1473">
        <f ca="1">M389*S389*W389</f>
        <v>0</v>
      </c>
      <c r="P389" s="280" t="b">
        <v>1</v>
      </c>
      <c r="Q389" s="440" t="b">
        <v>1</v>
      </c>
      <c r="R389" s="280" t="b">
        <v>0</v>
      </c>
      <c r="S389" s="280" t="b">
        <f ca="1">IF(IFERROR(MATCH(W380,INDIRECT(U380),0),0)=2,TRUE,FALSE)</f>
        <v>0</v>
      </c>
      <c r="T389" s="97" t="b">
        <f ca="1">IF(AND(NOT(S389),W389=TRUE),TRUE,FALSE)</f>
        <v>0</v>
      </c>
      <c r="U389" s="280"/>
      <c r="V389" s="280"/>
      <c r="W389" s="25"/>
      <c r="X389" s="1303"/>
      <c r="Y389" s="1523" t="str">
        <f>IF(LEN('Ch6'!X135)=0,"None",'Ch6'!X135)</f>
        <v>None</v>
      </c>
      <c r="Z389" s="1583"/>
      <c r="AC389" s="280" t="b">
        <f ca="1">OR(AD389:AE389)</f>
        <v>0</v>
      </c>
      <c r="AD389" s="280" t="b">
        <f ca="1">T389</f>
        <v>0</v>
      </c>
      <c r="AE389" s="280" t="b">
        <v>0</v>
      </c>
      <c r="AF389" s="1182" t="b">
        <f>AND(AE389,NOT(Q389))</f>
        <v>0</v>
      </c>
      <c r="AG389" s="280"/>
      <c r="AH389" s="280"/>
      <c r="AI389" s="280"/>
      <c r="AJ389" s="280"/>
      <c r="AK389" s="280"/>
      <c r="AL389" s="311" t="str">
        <f>SUBSTITUTE(SUBSTITUTE(SUBSTITUTE("vpa"&amp;$B389&amp;$C389&amp;$D389&amp;$E389&amp;$F389,".","_"),"(","_"),")","")</f>
        <v>vpa602_1_6_1</v>
      </c>
      <c r="AM389" s="311">
        <f>M389</f>
        <v>2</v>
      </c>
      <c r="AN389" s="311" t="str">
        <f>SUBSTITUTE(SUBSTITUTE(SUBSTITUTE("vpc"&amp;$B389&amp;$C389&amp;$D389&amp;$E389&amp;$F389,".","_"),"(","_"),")","")</f>
        <v>vpc602_1_6_1</v>
      </c>
      <c r="AO389" s="311">
        <f ca="1">O389</f>
        <v>0</v>
      </c>
      <c r="AP389" s="311" t="str">
        <f>SUBSTITUTE(SUBSTITUTE(SUBSTITUTE("vch"&amp;$B389&amp;$C389&amp;$D389&amp;$E389&amp;$F389,".","_"),"(","_"),")","")</f>
        <v>vch602_1_6_1</v>
      </c>
      <c r="AQ389" s="311">
        <f>W389</f>
        <v>0</v>
      </c>
      <c r="AR389" s="311" t="str">
        <f>SUBSTITUTE(SUBSTITUTE(SUBSTITUTE("vnt"&amp;$B389&amp;$C389&amp;$D389&amp;$E389&amp;$F389,".","_"),"(","_"),")","")</f>
        <v>vnt602_1_6_1</v>
      </c>
      <c r="AS389" s="311">
        <f>X389</f>
        <v>0</v>
      </c>
      <c r="BJ389" s="1184" t="s">
        <v>4763</v>
      </c>
    </row>
    <row r="390" spans="1:62" x14ac:dyDescent="0.3">
      <c r="A390" s="1200">
        <v>6</v>
      </c>
      <c r="B390" s="1208" t="s">
        <v>617</v>
      </c>
      <c r="C390" s="1203"/>
      <c r="D390" s="1203"/>
      <c r="E390" s="1203" t="s">
        <v>271</v>
      </c>
      <c r="F390" s="1203"/>
      <c r="G390" s="1202" t="str">
        <f t="shared" ref="G390:G392" ca="1" si="127">G389</f>
        <v/>
      </c>
      <c r="H390" s="1200" t="s">
        <v>4386</v>
      </c>
      <c r="I390" s="66"/>
      <c r="J390" s="140"/>
      <c r="K390" s="98"/>
      <c r="L390" s="1305"/>
      <c r="M390" s="1318"/>
      <c r="N390" s="1473"/>
      <c r="O390" s="1473"/>
      <c r="P390" s="280"/>
      <c r="Q390" s="280"/>
      <c r="R390" s="280"/>
      <c r="S390" s="280"/>
      <c r="T390" s="280"/>
      <c r="U390" s="280"/>
      <c r="V390" s="280"/>
      <c r="W390" s="280"/>
      <c r="X390" s="1303"/>
      <c r="Y390" s="1523"/>
      <c r="Z390" s="1583"/>
      <c r="AC390" s="280"/>
      <c r="AD390" s="280"/>
      <c r="AE390" s="280"/>
      <c r="AF390" s="280"/>
      <c r="AG390" s="280"/>
      <c r="AH390" s="280"/>
      <c r="AI390" s="280"/>
      <c r="AJ390" s="280"/>
      <c r="AK390" s="280"/>
      <c r="AL390" s="280"/>
      <c r="AM390" s="280"/>
      <c r="AN390" s="280"/>
      <c r="AO390" s="280"/>
      <c r="AP390" s="280"/>
      <c r="AQ390" s="280"/>
      <c r="AR390" s="280"/>
      <c r="AS390" s="280"/>
      <c r="BJ390" s="1184" t="s">
        <v>4763</v>
      </c>
    </row>
    <row r="391" spans="1:62" x14ac:dyDescent="0.3">
      <c r="A391" s="1200">
        <v>6</v>
      </c>
      <c r="B391" s="1208" t="s">
        <v>617</v>
      </c>
      <c r="C391" s="1203"/>
      <c r="D391" s="1203"/>
      <c r="E391" s="1203" t="s">
        <v>271</v>
      </c>
      <c r="F391" s="1203"/>
      <c r="G391" s="1202" t="str">
        <f t="shared" ca="1" si="127"/>
        <v/>
      </c>
      <c r="H391" s="1200" t="s">
        <v>4386</v>
      </c>
      <c r="I391" s="66"/>
      <c r="J391" s="140"/>
      <c r="K391" s="98"/>
      <c r="L391" s="1305"/>
      <c r="M391" s="1318"/>
      <c r="N391" s="1473"/>
      <c r="O391" s="1473"/>
      <c r="P391" s="280"/>
      <c r="Q391" s="280"/>
      <c r="R391" s="280"/>
      <c r="S391" s="280"/>
      <c r="T391" s="280"/>
      <c r="U391" s="280"/>
      <c r="V391" s="280"/>
      <c r="W391" s="280"/>
      <c r="X391" s="1303"/>
      <c r="Y391" s="1523"/>
      <c r="Z391" s="1583"/>
      <c r="AC391" s="280"/>
      <c r="AD391" s="280"/>
      <c r="AE391" s="280"/>
      <c r="AF391" s="280"/>
      <c r="AG391" s="280"/>
      <c r="AH391" s="280"/>
      <c r="AI391" s="280"/>
      <c r="AJ391" s="280"/>
      <c r="AK391" s="280"/>
      <c r="AL391" s="280"/>
      <c r="AM391" s="280"/>
      <c r="AN391" s="280"/>
      <c r="AO391" s="280"/>
      <c r="AP391" s="280"/>
      <c r="AQ391" s="280"/>
      <c r="AR391" s="280"/>
      <c r="AS391" s="280"/>
      <c r="BJ391" s="1184" t="s">
        <v>4763</v>
      </c>
    </row>
    <row r="392" spans="1:62" x14ac:dyDescent="0.3">
      <c r="A392" s="1200">
        <v>6</v>
      </c>
      <c r="B392" s="1208" t="s">
        <v>617</v>
      </c>
      <c r="C392" s="1203"/>
      <c r="D392" s="1203"/>
      <c r="E392" s="1203" t="s">
        <v>271</v>
      </c>
      <c r="F392" s="1203"/>
      <c r="G392" s="1202" t="str">
        <f t="shared" ca="1" si="127"/>
        <v/>
      </c>
      <c r="H392" s="1200" t="s">
        <v>4386</v>
      </c>
      <c r="I392" s="66"/>
      <c r="J392" s="238"/>
      <c r="K392" s="193"/>
      <c r="L392" s="1306"/>
      <c r="M392" s="1319"/>
      <c r="N392" s="1491"/>
      <c r="O392" s="1491"/>
      <c r="P392" s="280"/>
      <c r="Q392" s="280"/>
      <c r="R392" s="280"/>
      <c r="S392" s="280"/>
      <c r="T392" s="280"/>
      <c r="U392" s="280"/>
      <c r="V392" s="280"/>
      <c r="W392" s="280"/>
      <c r="X392" s="1303"/>
      <c r="Y392" s="1523"/>
      <c r="Z392" s="1583"/>
      <c r="AC392" s="280"/>
      <c r="AD392" s="280"/>
      <c r="AE392" s="280"/>
      <c r="AF392" s="280"/>
      <c r="AG392" s="280"/>
      <c r="AH392" s="280"/>
      <c r="AI392" s="280"/>
      <c r="AJ392" s="280"/>
      <c r="AK392" s="280"/>
      <c r="AL392" s="280"/>
      <c r="AM392" s="280"/>
      <c r="AN392" s="280"/>
      <c r="AO392" s="280"/>
      <c r="AP392" s="280"/>
      <c r="AQ392" s="280"/>
      <c r="AR392" s="280"/>
      <c r="AS392" s="280"/>
      <c r="BJ392" s="1184" t="s">
        <v>4763</v>
      </c>
    </row>
    <row r="393" spans="1:62" x14ac:dyDescent="0.3">
      <c r="A393" s="1200">
        <v>6</v>
      </c>
      <c r="B393" s="1208" t="s">
        <v>617</v>
      </c>
      <c r="C393" s="1203"/>
      <c r="D393" s="1203"/>
      <c r="E393" s="1203" t="s">
        <v>273</v>
      </c>
      <c r="F393" s="1203"/>
      <c r="G393" s="1202" t="str">
        <f ca="1">IF(N393&gt;0,"P","")</f>
        <v/>
      </c>
      <c r="H393" s="1200" t="s">
        <v>4386</v>
      </c>
      <c r="I393" s="66"/>
      <c r="J393" s="237" t="s">
        <v>273</v>
      </c>
      <c r="K393" s="217"/>
      <c r="L393" s="1356" t="s">
        <v>620</v>
      </c>
      <c r="M393" s="1323">
        <v>4</v>
      </c>
      <c r="N393" s="1472">
        <f ca="1">'Ch6'!O139</f>
        <v>0</v>
      </c>
      <c r="O393" s="1472">
        <f ca="1">M393*S393*W393</f>
        <v>0</v>
      </c>
      <c r="P393" s="280" t="b">
        <v>1</v>
      </c>
      <c r="Q393" s="440" t="b">
        <v>1</v>
      </c>
      <c r="R393" s="280" t="b">
        <v>0</v>
      </c>
      <c r="S393" s="280" t="b">
        <f ca="1">IF(IFERROR(MATCH(W380,INDIRECT(U380),0),0)=3,TRUE,FALSE)</f>
        <v>0</v>
      </c>
      <c r="T393" s="97" t="b">
        <f ca="1">IF(AND(NOT(S393),W393=TRUE),TRUE,FALSE)</f>
        <v>0</v>
      </c>
      <c r="U393" s="280"/>
      <c r="V393" s="280"/>
      <c r="W393" s="25"/>
      <c r="X393" s="1303"/>
      <c r="Y393" s="1523"/>
      <c r="Z393" s="1583"/>
      <c r="AC393" s="280" t="b">
        <f ca="1">OR(AD393:AE393)</f>
        <v>0</v>
      </c>
      <c r="AD393" s="280" t="b">
        <f ca="1">T393</f>
        <v>0</v>
      </c>
      <c r="AE393" s="280" t="b">
        <v>0</v>
      </c>
      <c r="AF393" s="1182" t="b">
        <f>AND(AE393,NOT(Q393))</f>
        <v>0</v>
      </c>
      <c r="AG393" s="280"/>
      <c r="AH393" s="280"/>
      <c r="AI393" s="280"/>
      <c r="AJ393" s="280"/>
      <c r="AK393" s="280"/>
      <c r="AL393" s="311" t="str">
        <f>SUBSTITUTE(SUBSTITUTE(SUBSTITUTE("vpa"&amp;$B393&amp;$C393&amp;$D393&amp;$E393&amp;$F393,".","_"),"(","_"),")","")</f>
        <v>vpa602_1_6_2</v>
      </c>
      <c r="AM393" s="311">
        <f>M393</f>
        <v>4</v>
      </c>
      <c r="AN393" s="311" t="str">
        <f>SUBSTITUTE(SUBSTITUTE(SUBSTITUTE("vpc"&amp;$B393&amp;$C393&amp;$D393&amp;$E393&amp;$F393,".","_"),"(","_"),")","")</f>
        <v>vpc602_1_6_2</v>
      </c>
      <c r="AO393" s="311">
        <f ca="1">O393</f>
        <v>0</v>
      </c>
      <c r="AP393" s="311" t="str">
        <f>SUBSTITUTE(SUBSTITUTE(SUBSTITUTE("vch"&amp;$B393&amp;$C393&amp;$D393&amp;$E393&amp;$F393,".","_"),"(","_"),")","")</f>
        <v>vch602_1_6_2</v>
      </c>
      <c r="AQ393" s="311">
        <f>W393</f>
        <v>0</v>
      </c>
      <c r="AR393" s="280"/>
      <c r="AS393" s="280"/>
      <c r="BJ393" s="1184" t="s">
        <v>4763</v>
      </c>
    </row>
    <row r="394" spans="1:62" x14ac:dyDescent="0.3">
      <c r="A394" s="1200">
        <v>6</v>
      </c>
      <c r="B394" s="1208" t="s">
        <v>617</v>
      </c>
      <c r="C394" s="1203"/>
      <c r="D394" s="1203"/>
      <c r="E394" s="1203" t="s">
        <v>273</v>
      </c>
      <c r="F394" s="1203"/>
      <c r="G394" s="1202" t="str">
        <f t="shared" ref="G394:G396" ca="1" si="128">G393</f>
        <v/>
      </c>
      <c r="H394" s="1200" t="s">
        <v>4386</v>
      </c>
      <c r="I394" s="66"/>
      <c r="J394" s="140"/>
      <c r="K394" s="98"/>
      <c r="L394" s="1305"/>
      <c r="M394" s="1318"/>
      <c r="N394" s="1473"/>
      <c r="O394" s="1473"/>
      <c r="P394" s="280"/>
      <c r="Q394" s="280"/>
      <c r="R394" s="280"/>
      <c r="S394" s="280"/>
      <c r="T394" s="280"/>
      <c r="U394" s="280"/>
      <c r="V394" s="280"/>
      <c r="W394" s="280"/>
      <c r="X394" s="1303"/>
      <c r="Y394" s="1523"/>
      <c r="Z394" s="1583"/>
      <c r="AC394" s="280"/>
      <c r="AD394" s="280"/>
      <c r="AE394" s="280"/>
      <c r="AF394" s="280"/>
      <c r="AG394" s="280"/>
      <c r="AH394" s="280"/>
      <c r="AI394" s="280"/>
      <c r="AJ394" s="280"/>
      <c r="AK394" s="280"/>
      <c r="AL394" s="280"/>
      <c r="AM394" s="280"/>
      <c r="AN394" s="280"/>
      <c r="AO394" s="280"/>
      <c r="AP394" s="280"/>
      <c r="AQ394" s="280"/>
      <c r="AR394" s="280"/>
      <c r="AS394" s="280"/>
      <c r="BJ394" s="1184" t="s">
        <v>4763</v>
      </c>
    </row>
    <row r="395" spans="1:62" x14ac:dyDescent="0.3">
      <c r="A395" s="1200">
        <v>6</v>
      </c>
      <c r="B395" s="1208" t="s">
        <v>617</v>
      </c>
      <c r="C395" s="1203"/>
      <c r="D395" s="1203"/>
      <c r="E395" s="1203" t="s">
        <v>273</v>
      </c>
      <c r="F395" s="1203"/>
      <c r="G395" s="1202" t="str">
        <f t="shared" ca="1" si="128"/>
        <v/>
      </c>
      <c r="H395" s="1200" t="s">
        <v>4386</v>
      </c>
      <c r="I395" s="66"/>
      <c r="J395" s="140"/>
      <c r="K395" s="98"/>
      <c r="L395" s="1305"/>
      <c r="M395" s="1318"/>
      <c r="N395" s="1473"/>
      <c r="O395" s="1473"/>
      <c r="P395" s="280"/>
      <c r="Q395" s="280"/>
      <c r="R395" s="280"/>
      <c r="S395" s="280"/>
      <c r="T395" s="280"/>
      <c r="U395" s="280"/>
      <c r="V395" s="280"/>
      <c r="W395" s="280"/>
      <c r="X395" s="1303"/>
      <c r="Y395" s="1523"/>
      <c r="Z395" s="1583"/>
      <c r="AC395" s="280"/>
      <c r="AD395" s="280"/>
      <c r="AE395" s="280"/>
      <c r="AF395" s="280"/>
      <c r="AG395" s="280"/>
      <c r="AH395" s="280"/>
      <c r="AI395" s="280"/>
      <c r="AJ395" s="280"/>
      <c r="AK395" s="280"/>
      <c r="AL395" s="280"/>
      <c r="AM395" s="280"/>
      <c r="AN395" s="280"/>
      <c r="AO395" s="280"/>
      <c r="AP395" s="280"/>
      <c r="AQ395" s="280"/>
      <c r="AR395" s="280"/>
      <c r="AS395" s="280"/>
      <c r="BJ395" s="1184" t="s">
        <v>4763</v>
      </c>
    </row>
    <row r="396" spans="1:62" x14ac:dyDescent="0.3">
      <c r="A396" s="1200">
        <v>6</v>
      </c>
      <c r="B396" s="1208" t="s">
        <v>617</v>
      </c>
      <c r="C396" s="1203"/>
      <c r="D396" s="1203"/>
      <c r="E396" s="1203" t="s">
        <v>273</v>
      </c>
      <c r="F396" s="1203"/>
      <c r="G396" s="1202" t="str">
        <f t="shared" ca="1" si="128"/>
        <v/>
      </c>
      <c r="H396" s="1200" t="s">
        <v>4386</v>
      </c>
      <c r="I396" s="66"/>
      <c r="J396" s="238"/>
      <c r="K396" s="193"/>
      <c r="L396" s="1306"/>
      <c r="M396" s="1319"/>
      <c r="N396" s="1491"/>
      <c r="O396" s="1491"/>
      <c r="P396" s="280"/>
      <c r="Q396" s="280"/>
      <c r="R396" s="280"/>
      <c r="S396" s="280"/>
      <c r="T396" s="280"/>
      <c r="U396" s="280"/>
      <c r="V396" s="280"/>
      <c r="W396" s="280"/>
      <c r="X396" s="1303"/>
      <c r="Y396" s="1523"/>
      <c r="Z396" s="1583"/>
      <c r="AC396" s="280"/>
      <c r="AD396" s="280"/>
      <c r="AE396" s="280"/>
      <c r="AF396" s="280"/>
      <c r="AG396" s="280"/>
      <c r="AH396" s="280"/>
      <c r="AI396" s="280"/>
      <c r="AJ396" s="280"/>
      <c r="AK396" s="280"/>
      <c r="AL396" s="280"/>
      <c r="AM396" s="280"/>
      <c r="AN396" s="280"/>
      <c r="AO396" s="280"/>
      <c r="AP396" s="280"/>
      <c r="AQ396" s="280"/>
      <c r="AR396" s="280"/>
      <c r="AS396" s="280"/>
      <c r="BJ396" s="1184" t="s">
        <v>4763</v>
      </c>
    </row>
    <row r="397" spans="1:62" x14ac:dyDescent="0.3">
      <c r="A397" s="1200">
        <v>6</v>
      </c>
      <c r="B397" s="1208" t="s">
        <v>617</v>
      </c>
      <c r="C397" s="1203"/>
      <c r="D397" s="1203"/>
      <c r="E397" s="1203" t="s">
        <v>275</v>
      </c>
      <c r="F397" s="1203"/>
      <c r="G397" s="1202" t="str">
        <f ca="1">IF(N397&gt;0,"P","")</f>
        <v/>
      </c>
      <c r="H397" s="1200" t="s">
        <v>4386</v>
      </c>
      <c r="I397" s="66"/>
      <c r="J397" s="27" t="s">
        <v>275</v>
      </c>
      <c r="K397" s="86"/>
      <c r="L397" s="1329" t="s">
        <v>621</v>
      </c>
      <c r="M397" s="1335">
        <v>6</v>
      </c>
      <c r="N397" s="1472">
        <f ca="1">'Ch6'!O143</f>
        <v>0</v>
      </c>
      <c r="O397" s="1463">
        <f ca="1">M397*S397*W397</f>
        <v>0</v>
      </c>
      <c r="P397" s="280" t="b">
        <v>1</v>
      </c>
      <c r="Q397" s="440" t="b">
        <v>1</v>
      </c>
      <c r="R397" s="280" t="b">
        <v>0</v>
      </c>
      <c r="S397" s="280" t="b">
        <f ca="1">IF(IFERROR(MATCH(W380,INDIRECT(U380),0),0)=4,TRUE,FALSE)</f>
        <v>0</v>
      </c>
      <c r="T397" s="97" t="b">
        <f ca="1">IF(AND(NOT(S397),W397=TRUE),TRUE,FALSE)</f>
        <v>0</v>
      </c>
      <c r="U397" s="280"/>
      <c r="V397" s="280"/>
      <c r="W397" s="25"/>
      <c r="X397" s="1303"/>
      <c r="Y397" s="1523"/>
      <c r="Z397" s="1583"/>
      <c r="AC397" s="280" t="b">
        <f ca="1">OR(AD397:AE397)</f>
        <v>0</v>
      </c>
      <c r="AD397" s="280" t="b">
        <f ca="1">T397</f>
        <v>0</v>
      </c>
      <c r="AE397" s="280" t="b">
        <v>0</v>
      </c>
      <c r="AF397" s="1182" t="b">
        <f>AND(AE397,NOT(Q397))</f>
        <v>0</v>
      </c>
      <c r="AG397" s="280"/>
      <c r="AH397" s="280"/>
      <c r="AI397" s="280"/>
      <c r="AJ397" s="280"/>
      <c r="AK397" s="280"/>
      <c r="AL397" s="311" t="str">
        <f>SUBSTITUTE(SUBSTITUTE(SUBSTITUTE("vpa"&amp;$B397&amp;$C397&amp;$D397&amp;$E397&amp;$F397,".","_"),"(","_"),")","")</f>
        <v>vpa602_1_6_3</v>
      </c>
      <c r="AM397" s="311">
        <f>M397</f>
        <v>6</v>
      </c>
      <c r="AN397" s="311" t="str">
        <f>SUBSTITUTE(SUBSTITUTE(SUBSTITUTE("vpc"&amp;$B397&amp;$C397&amp;$D397&amp;$E397&amp;$F397,".","_"),"(","_"),")","")</f>
        <v>vpc602_1_6_3</v>
      </c>
      <c r="AO397" s="311">
        <f ca="1">O397</f>
        <v>0</v>
      </c>
      <c r="AP397" s="311" t="str">
        <f>SUBSTITUTE(SUBSTITUTE(SUBSTITUTE("vch"&amp;$B397&amp;$C397&amp;$D397&amp;$E397&amp;$F397,".","_"),"(","_"),")","")</f>
        <v>vch602_1_6_3</v>
      </c>
      <c r="AQ397" s="311">
        <f>W397</f>
        <v>0</v>
      </c>
      <c r="AR397" s="280"/>
      <c r="AS397" s="280"/>
      <c r="BJ397" s="1184" t="s">
        <v>4763</v>
      </c>
    </row>
    <row r="398" spans="1:62" x14ac:dyDescent="0.3">
      <c r="A398" s="1200">
        <v>6</v>
      </c>
      <c r="B398" s="1208" t="s">
        <v>617</v>
      </c>
      <c r="C398" s="1203"/>
      <c r="D398" s="1203"/>
      <c r="E398" s="1203" t="s">
        <v>275</v>
      </c>
      <c r="F398" s="1203"/>
      <c r="G398" s="1202" t="str">
        <f t="shared" ref="G398:G399" ca="1" si="129">G397</f>
        <v/>
      </c>
      <c r="H398" s="1200" t="s">
        <v>4386</v>
      </c>
      <c r="I398" s="66"/>
      <c r="J398" s="4"/>
      <c r="K398" s="86"/>
      <c r="L398" s="1329"/>
      <c r="M398" s="1335"/>
      <c r="N398" s="1463"/>
      <c r="O398" s="1463"/>
      <c r="P398" s="280"/>
      <c r="Q398" s="280"/>
      <c r="R398" s="280"/>
      <c r="S398" s="280"/>
      <c r="T398" s="280"/>
      <c r="U398" s="280"/>
      <c r="V398" s="280"/>
      <c r="W398" s="280"/>
      <c r="X398" s="1303"/>
      <c r="Y398" s="1523"/>
      <c r="Z398" s="1583"/>
      <c r="AC398" s="280"/>
      <c r="AD398" s="280"/>
      <c r="AE398" s="280"/>
      <c r="AF398" s="280"/>
      <c r="AG398" s="280"/>
      <c r="AH398" s="280"/>
      <c r="AI398" s="280"/>
      <c r="AJ398" s="280"/>
      <c r="AK398" s="280"/>
      <c r="AL398" s="280"/>
      <c r="AM398" s="280"/>
      <c r="AN398" s="280"/>
      <c r="AO398" s="280"/>
      <c r="AP398" s="280"/>
      <c r="AQ398" s="280"/>
      <c r="AR398" s="280"/>
      <c r="AS398" s="280"/>
      <c r="BJ398" s="1184" t="s">
        <v>4763</v>
      </c>
    </row>
    <row r="399" spans="1:62" ht="15" thickBot="1" x14ac:dyDescent="0.35">
      <c r="A399" s="1200">
        <v>6</v>
      </c>
      <c r="B399" s="1208" t="s">
        <v>617</v>
      </c>
      <c r="C399" s="1203"/>
      <c r="D399" s="1203"/>
      <c r="E399" s="1203" t="s">
        <v>275</v>
      </c>
      <c r="F399" s="1203"/>
      <c r="G399" s="1202" t="str">
        <f t="shared" ca="1" si="129"/>
        <v/>
      </c>
      <c r="H399" s="1200" t="s">
        <v>4386</v>
      </c>
      <c r="I399" s="66"/>
      <c r="J399" s="4"/>
      <c r="K399" s="86"/>
      <c r="L399" s="1329"/>
      <c r="M399" s="1335"/>
      <c r="N399" s="1529"/>
      <c r="O399" s="1463"/>
      <c r="P399" s="280"/>
      <c r="Q399" s="280"/>
      <c r="R399" s="280"/>
      <c r="S399" s="280"/>
      <c r="T399" s="280"/>
      <c r="U399" s="280"/>
      <c r="V399" s="280"/>
      <c r="W399" s="280"/>
      <c r="X399" s="1337"/>
      <c r="Y399" s="1524"/>
      <c r="Z399" s="1584"/>
      <c r="AC399" s="280"/>
      <c r="AD399" s="280"/>
      <c r="AE399" s="280"/>
      <c r="AF399" s="280"/>
      <c r="AG399" s="280"/>
      <c r="AH399" s="280"/>
      <c r="AI399" s="280"/>
      <c r="AJ399" s="280"/>
      <c r="AK399" s="280"/>
      <c r="AL399" s="280"/>
      <c r="AM399" s="280"/>
      <c r="AN399" s="280"/>
      <c r="AO399" s="280"/>
      <c r="AP399" s="280"/>
      <c r="AQ399" s="280"/>
      <c r="AR399" s="280"/>
      <c r="AS399" s="280"/>
      <c r="BJ399" s="1184" t="s">
        <v>4763</v>
      </c>
    </row>
    <row r="400" spans="1:62" ht="15" thickTop="1" x14ac:dyDescent="0.3">
      <c r="A400" s="1200">
        <v>6</v>
      </c>
      <c r="B400" s="1208" t="s">
        <v>622</v>
      </c>
      <c r="C400" s="1203"/>
      <c r="D400" s="1203"/>
      <c r="E400" s="1203"/>
      <c r="F400" s="1203"/>
      <c r="G400" s="1202" t="s">
        <v>4389</v>
      </c>
      <c r="H400" s="1200" t="s">
        <v>4386</v>
      </c>
      <c r="I400" s="200" t="s">
        <v>622</v>
      </c>
      <c r="J400" s="201"/>
      <c r="K400" s="202"/>
      <c r="L400" s="135" t="s">
        <v>623</v>
      </c>
      <c r="M400" s="306"/>
      <c r="N400" s="296"/>
      <c r="O400" s="296"/>
      <c r="P400" s="110"/>
      <c r="Q400" s="110"/>
      <c r="R400" s="110"/>
      <c r="S400" s="110"/>
      <c r="T400" s="110"/>
      <c r="U400" s="110"/>
      <c r="V400" s="110"/>
      <c r="W400" s="110"/>
      <c r="X400" s="110"/>
      <c r="Y400"/>
      <c r="Z400" s="1055"/>
      <c r="AC400" s="280"/>
      <c r="AD400" s="280"/>
      <c r="AE400" s="280"/>
      <c r="AF400" s="280"/>
      <c r="AG400" s="280"/>
      <c r="AH400" s="280"/>
      <c r="AI400" s="280"/>
      <c r="AJ400" s="280"/>
      <c r="AK400" s="280"/>
      <c r="AL400" s="280"/>
      <c r="AM400" s="280"/>
      <c r="AN400" s="280"/>
      <c r="AO400" s="280"/>
      <c r="AP400" s="280"/>
      <c r="AQ400" s="280"/>
      <c r="AR400" s="280"/>
      <c r="AS400" s="280"/>
      <c r="BJ400" s="1184" t="s">
        <v>4763</v>
      </c>
    </row>
    <row r="401" spans="1:62" x14ac:dyDescent="0.3">
      <c r="A401" s="1200">
        <v>6</v>
      </c>
      <c r="B401" s="1210" t="s">
        <v>624</v>
      </c>
      <c r="C401" s="1210"/>
      <c r="D401" s="1203"/>
      <c r="E401" s="1203"/>
      <c r="F401" s="1203"/>
      <c r="G401" s="1202" t="s">
        <v>4389</v>
      </c>
      <c r="H401" s="1200" t="s">
        <v>4387</v>
      </c>
      <c r="I401" s="66" t="s">
        <v>624</v>
      </c>
      <c r="J401" s="4"/>
      <c r="K401" s="86"/>
      <c r="L401" s="88" t="s">
        <v>625</v>
      </c>
      <c r="M401" s="305"/>
      <c r="N401" s="282"/>
      <c r="O401" s="282"/>
      <c r="P401" s="280"/>
      <c r="Q401" s="280"/>
      <c r="R401" s="280"/>
      <c r="S401" s="280"/>
      <c r="T401" s="280"/>
      <c r="U401" s="280"/>
      <c r="V401" s="280"/>
      <c r="W401" s="280"/>
      <c r="X401" s="280"/>
      <c r="Y401"/>
      <c r="Z401" s="1055"/>
      <c r="AC401" s="280"/>
      <c r="AD401" s="280"/>
      <c r="AE401" s="280"/>
      <c r="AF401" s="280"/>
      <c r="AG401" s="280"/>
      <c r="AH401" s="280"/>
      <c r="AI401" s="280"/>
      <c r="AJ401" s="280"/>
      <c r="AK401" s="280"/>
      <c r="AL401" s="280"/>
      <c r="AM401" s="280"/>
      <c r="AN401" s="280"/>
      <c r="AO401" s="280"/>
      <c r="AP401" s="280"/>
      <c r="AQ401" s="280"/>
      <c r="AR401" s="280"/>
      <c r="AS401" s="280"/>
      <c r="BJ401" s="1184" t="s">
        <v>4763</v>
      </c>
    </row>
    <row r="402" spans="1:62" x14ac:dyDescent="0.3">
      <c r="A402" s="1200">
        <v>6</v>
      </c>
      <c r="B402" s="1210" t="s">
        <v>624</v>
      </c>
      <c r="C402" s="1210"/>
      <c r="D402" s="1203"/>
      <c r="E402" s="1203" t="s">
        <v>271</v>
      </c>
      <c r="F402" s="1203"/>
      <c r="G402" s="1202" t="str">
        <f>IF(N402&gt;0,"P","")</f>
        <v>P</v>
      </c>
      <c r="H402" s="1200" t="s">
        <v>4387</v>
      </c>
      <c r="I402" s="66"/>
      <c r="J402" s="203" t="s">
        <v>271</v>
      </c>
      <c r="K402" s="98"/>
      <c r="L402" s="1305" t="s">
        <v>626</v>
      </c>
      <c r="M402" s="1318">
        <v>2</v>
      </c>
      <c r="N402" s="1473">
        <f>'Ch6'!O148</f>
        <v>2</v>
      </c>
      <c r="O402" s="1473">
        <f>M402*S402*W402</f>
        <v>0</v>
      </c>
      <c r="P402" s="280" t="b">
        <v>1</v>
      </c>
      <c r="Q402" s="280" t="b">
        <v>0</v>
      </c>
      <c r="R402" s="280" t="b">
        <v>0</v>
      </c>
      <c r="S402" s="280" t="b">
        <v>1</v>
      </c>
      <c r="T402" s="280" t="b">
        <v>0</v>
      </c>
      <c r="U402" s="280"/>
      <c r="V402" s="280"/>
      <c r="W402" s="25"/>
      <c r="X402" s="1303"/>
      <c r="Y402" s="1522" t="str">
        <f>IF(LEN('Ch6'!X148)=0,"None",'Ch6'!X148)</f>
        <v>ZERH Requirement - ENERGY STAR Certified Homes National Water Mangement Requirements, Section 4.4 Water Damaged Materials</v>
      </c>
      <c r="Z402" s="1586"/>
      <c r="AC402" s="280"/>
      <c r="AD402" s="280"/>
      <c r="AE402" s="280"/>
      <c r="AF402" s="280"/>
      <c r="AG402" s="280"/>
      <c r="AH402" s="280"/>
      <c r="AI402" s="280"/>
      <c r="AJ402" s="280"/>
      <c r="AK402" s="280"/>
      <c r="AL402" s="311" t="str">
        <f>SUBSTITUTE(SUBSTITUTE(SUBSTITUTE("vpa"&amp;$B402&amp;$C402&amp;$D402&amp;$E402&amp;$F402,".","_"),"(","_"),")","")</f>
        <v>vpa602_1_7_1_1</v>
      </c>
      <c r="AM402" s="311">
        <f>M402</f>
        <v>2</v>
      </c>
      <c r="AN402" s="311" t="str">
        <f>SUBSTITUTE(SUBSTITUTE(SUBSTITUTE("vpc"&amp;$B402&amp;$C402&amp;$D402&amp;$E402&amp;$F402,".","_"),"(","_"),")","")</f>
        <v>vpc602_1_7_1_1</v>
      </c>
      <c r="AO402" s="311">
        <f>O402</f>
        <v>0</v>
      </c>
      <c r="AP402" s="311" t="str">
        <f>SUBSTITUTE(SUBSTITUTE(SUBSTITUTE("vch"&amp;$B402&amp;$C402&amp;$D402&amp;$E402&amp;$F402,".","_"),"(","_"),")","")</f>
        <v>vch602_1_7_1_1</v>
      </c>
      <c r="AQ402" s="311">
        <f>W402</f>
        <v>0</v>
      </c>
      <c r="AR402" s="311" t="str">
        <f>SUBSTITUTE(SUBSTITUTE(SUBSTITUTE("vnt"&amp;$B402&amp;$C402&amp;$D402&amp;$E402&amp;$F402,".","_"),"(","_"),")","")</f>
        <v>vnt602_1_7_1_1</v>
      </c>
      <c r="AS402" s="311">
        <f>X402</f>
        <v>0</v>
      </c>
      <c r="BJ402" s="1184" t="s">
        <v>4763</v>
      </c>
    </row>
    <row r="403" spans="1:62" x14ac:dyDescent="0.3">
      <c r="A403" s="1200">
        <v>6</v>
      </c>
      <c r="B403" s="1210" t="s">
        <v>624</v>
      </c>
      <c r="C403" s="1210"/>
      <c r="D403" s="1203"/>
      <c r="E403" s="1203" t="s">
        <v>271</v>
      </c>
      <c r="F403" s="1203"/>
      <c r="G403" s="1202" t="str">
        <f t="shared" ref="G403" si="130">G402</f>
        <v>P</v>
      </c>
      <c r="H403" s="1200" t="s">
        <v>4387</v>
      </c>
      <c r="I403" s="66"/>
      <c r="J403" s="238"/>
      <c r="K403" s="193"/>
      <c r="L403" s="1306"/>
      <c r="M403" s="1319"/>
      <c r="N403" s="1491"/>
      <c r="O403" s="1491"/>
      <c r="P403" s="280"/>
      <c r="Q403" s="280"/>
      <c r="R403" s="280"/>
      <c r="S403" s="280"/>
      <c r="T403" s="280"/>
      <c r="U403" s="280"/>
      <c r="V403" s="280"/>
      <c r="W403" s="280"/>
      <c r="X403" s="1303"/>
      <c r="Y403" s="1522"/>
      <c r="Z403" s="1586"/>
      <c r="AC403" s="280"/>
      <c r="AD403" s="280"/>
      <c r="AE403" s="280"/>
      <c r="AF403" s="280"/>
      <c r="AG403" s="280"/>
      <c r="AH403" s="280"/>
      <c r="AI403" s="280"/>
      <c r="AJ403" s="280"/>
      <c r="AK403" s="280"/>
      <c r="AL403" s="280"/>
      <c r="AM403" s="280"/>
      <c r="AN403" s="280"/>
      <c r="AO403" s="280"/>
      <c r="AP403" s="280"/>
      <c r="AQ403" s="280"/>
      <c r="AR403" s="280"/>
      <c r="AS403" s="280"/>
      <c r="BJ403" s="1184" t="s">
        <v>4763</v>
      </c>
    </row>
    <row r="404" spans="1:62" x14ac:dyDescent="0.3">
      <c r="A404" s="1200">
        <v>6</v>
      </c>
      <c r="B404" s="1210" t="s">
        <v>624</v>
      </c>
      <c r="C404" s="1210"/>
      <c r="D404" s="1203"/>
      <c r="E404" s="1203" t="s">
        <v>273</v>
      </c>
      <c r="F404" s="1203"/>
      <c r="G404" s="1202" t="s">
        <v>4389</v>
      </c>
      <c r="H404" s="1200" t="s">
        <v>4387</v>
      </c>
      <c r="I404" s="66"/>
      <c r="J404" s="203" t="s">
        <v>273</v>
      </c>
      <c r="K404" s="98"/>
      <c r="L404" s="1305" t="s">
        <v>627</v>
      </c>
      <c r="M404" s="1353" t="str">
        <f>IF(R404,"Mandatory
2","N/A")</f>
        <v>Mandatory
2</v>
      </c>
      <c r="N404" s="1472">
        <f>'Ch6'!O150</f>
        <v>2</v>
      </c>
      <c r="O404" s="1473">
        <f>IF(AND(S404,W404="Met"),2,0)</f>
        <v>0</v>
      </c>
      <c r="P404" s="280" t="b">
        <v>1</v>
      </c>
      <c r="Q404" s="280" t="b">
        <v>0</v>
      </c>
      <c r="R404" s="280" t="b">
        <f>S404</f>
        <v>1</v>
      </c>
      <c r="S404" s="280" t="b">
        <v>1</v>
      </c>
      <c r="T404" s="280" t="b">
        <v>0</v>
      </c>
      <c r="U404" s="97" t="str">
        <f>SUBSTITUTE(SUBSTITUTE(SUBSTITUTE("dd"&amp;B404&amp;C404&amp;D404&amp;E404&amp;F404,".","_"),"(","_"),")","")</f>
        <v>dd602_1_7_1_2</v>
      </c>
      <c r="V404" s="280"/>
      <c r="W404" s="12"/>
      <c r="X404" s="1303"/>
      <c r="Y404" s="1522" t="str">
        <f>IF(LEN('Ch6'!X150)=0,"None",'Ch6'!X150)</f>
        <v>ZERH Requirement - ENERGY STAR Certified Homes National Water Mangement Requirements, Section 4.5 Framing Members Moisture Content</v>
      </c>
      <c r="Z404" s="1586"/>
      <c r="AC404" s="280" t="b">
        <f>OR(AD404:AE404)</f>
        <v>1</v>
      </c>
      <c r="AD404" s="280" t="b">
        <f>T404</f>
        <v>0</v>
      </c>
      <c r="AE404" s="280" t="b">
        <f>OR(AND(R404,NOT(W404="Met"),NOT(W404="N/A")),AND(W404="N/A",ISBLANK(X404)))</f>
        <v>1</v>
      </c>
      <c r="AF404" s="1182" t="b">
        <f>AND(AE404,NOT(Q404))</f>
        <v>1</v>
      </c>
      <c r="AG404" s="280"/>
      <c r="AH404" s="280"/>
      <c r="AI404" s="280"/>
      <c r="AJ404" s="280"/>
      <c r="AK404" s="280"/>
      <c r="AL404" s="311" t="str">
        <f>SUBSTITUTE(SUBSTITUTE(SUBSTITUTE("vpa"&amp;$B404&amp;$C404&amp;$D404&amp;$E404&amp;$F404,".","_"),"(","_"),")","")</f>
        <v>vpa602_1_7_1_2</v>
      </c>
      <c r="AM404" s="311" t="str">
        <f>M404</f>
        <v>Mandatory
2</v>
      </c>
      <c r="AN404" s="311" t="str">
        <f>SUBSTITUTE(SUBSTITUTE(SUBSTITUTE("vpc"&amp;$B404&amp;$C404&amp;$D404&amp;$E404&amp;$F404,".","_"),"(","_"),")","")</f>
        <v>vpc602_1_7_1_2</v>
      </c>
      <c r="AO404" s="311">
        <f>O404</f>
        <v>0</v>
      </c>
      <c r="AP404" s="311" t="str">
        <f>SUBSTITUTE(SUBSTITUTE(SUBSTITUTE("vch"&amp;$B404&amp;$C404&amp;$D404&amp;$E404&amp;$F404,".","_"),"(","_"),")","")</f>
        <v>vch602_1_7_1_2</v>
      </c>
      <c r="AQ404" s="311">
        <f>W404</f>
        <v>0</v>
      </c>
      <c r="AR404" s="311" t="str">
        <f>SUBSTITUTE(SUBSTITUTE(SUBSTITUTE("vnt"&amp;$B404&amp;$C404&amp;$D404&amp;$E404&amp;$F404,".","_"),"(","_"),")","")</f>
        <v>vnt602_1_7_1_2</v>
      </c>
      <c r="AS404" s="311">
        <f>X404</f>
        <v>0</v>
      </c>
      <c r="BJ404" s="1184" t="s">
        <v>4763</v>
      </c>
    </row>
    <row r="405" spans="1:62" x14ac:dyDescent="0.3">
      <c r="A405" s="1200">
        <v>6</v>
      </c>
      <c r="B405" s="1210" t="s">
        <v>624</v>
      </c>
      <c r="C405" s="1210"/>
      <c r="D405" s="1203"/>
      <c r="E405" s="1203" t="s">
        <v>273</v>
      </c>
      <c r="F405" s="1203"/>
      <c r="G405" s="1202" t="s">
        <v>4389</v>
      </c>
      <c r="H405" s="1200" t="s">
        <v>4387</v>
      </c>
      <c r="I405" s="66"/>
      <c r="J405" s="140"/>
      <c r="K405" s="98"/>
      <c r="L405" s="1305"/>
      <c r="M405" s="1353"/>
      <c r="N405" s="1473"/>
      <c r="O405" s="1473"/>
      <c r="P405" s="280"/>
      <c r="Q405" s="280"/>
      <c r="R405" s="280"/>
      <c r="S405" s="280"/>
      <c r="T405" s="280"/>
      <c r="U405" s="280"/>
      <c r="V405" s="280"/>
      <c r="W405" s="280"/>
      <c r="X405" s="1303"/>
      <c r="Y405" s="1522"/>
      <c r="Z405" s="1586"/>
      <c r="AC405" s="280"/>
      <c r="AD405" s="280"/>
      <c r="AE405" s="280"/>
      <c r="AF405" s="280"/>
      <c r="AG405" s="280"/>
      <c r="AH405" s="280"/>
      <c r="AI405" s="280"/>
      <c r="AJ405" s="280"/>
      <c r="AK405" s="280"/>
      <c r="AL405" s="280"/>
      <c r="AM405" s="280"/>
      <c r="AN405" s="280"/>
      <c r="AO405" s="280"/>
      <c r="AP405" s="280"/>
      <c r="AQ405" s="280"/>
      <c r="AR405" s="280"/>
      <c r="AS405" s="280"/>
      <c r="BJ405" s="1184" t="s">
        <v>4763</v>
      </c>
    </row>
    <row r="406" spans="1:62" x14ac:dyDescent="0.3">
      <c r="A406" s="1200">
        <v>6</v>
      </c>
      <c r="B406" s="1210" t="s">
        <v>624</v>
      </c>
      <c r="C406" s="1210"/>
      <c r="D406" s="1203"/>
      <c r="E406" s="1203" t="s">
        <v>273</v>
      </c>
      <c r="F406" s="1203"/>
      <c r="G406" s="1202" t="s">
        <v>4389</v>
      </c>
      <c r="H406" s="1200" t="s">
        <v>4387</v>
      </c>
      <c r="I406" s="66"/>
      <c r="J406" s="238"/>
      <c r="K406" s="193"/>
      <c r="L406" s="245" t="s">
        <v>1304</v>
      </c>
      <c r="M406" s="1354"/>
      <c r="N406" s="1491"/>
      <c r="O406" s="1491"/>
      <c r="P406" s="280"/>
      <c r="Q406" s="280"/>
      <c r="R406" s="280"/>
      <c r="S406" s="280"/>
      <c r="T406" s="280"/>
      <c r="U406" s="280"/>
      <c r="V406" s="280"/>
      <c r="W406" s="280"/>
      <c r="X406" s="1303"/>
      <c r="Y406" s="1522"/>
      <c r="Z406" s="1586"/>
      <c r="AC406" s="280"/>
      <c r="AD406" s="280"/>
      <c r="AE406" s="280"/>
      <c r="AF406" s="280"/>
      <c r="AG406" s="280"/>
      <c r="AH406" s="280"/>
      <c r="AI406" s="280"/>
      <c r="AJ406" s="280"/>
      <c r="AK406" s="280"/>
      <c r="AL406" s="280"/>
      <c r="AM406" s="280"/>
      <c r="AN406" s="280"/>
      <c r="AO406" s="280"/>
      <c r="AP406" s="280"/>
      <c r="AQ406" s="280"/>
      <c r="AR406" s="280"/>
      <c r="AS406" s="280"/>
      <c r="BJ406" s="1184" t="s">
        <v>4763</v>
      </c>
    </row>
    <row r="407" spans="1:62" x14ac:dyDescent="0.3">
      <c r="A407" s="1200">
        <v>6</v>
      </c>
      <c r="B407" s="1210" t="s">
        <v>624</v>
      </c>
      <c r="C407" s="1210"/>
      <c r="D407" s="1203"/>
      <c r="E407" s="1203" t="s">
        <v>275</v>
      </c>
      <c r="F407" s="1203"/>
      <c r="G407" s="1202" t="str">
        <f>IF(N407&gt;0,"P","")</f>
        <v>P</v>
      </c>
      <c r="H407" s="1200" t="s">
        <v>4387</v>
      </c>
      <c r="I407" s="141"/>
      <c r="J407" s="203" t="s">
        <v>275</v>
      </c>
      <c r="K407" s="98"/>
      <c r="L407" s="1305" t="s">
        <v>628</v>
      </c>
      <c r="M407" s="1360">
        <v>4</v>
      </c>
      <c r="N407" s="1472">
        <f>'Ch6'!O153</f>
        <v>4</v>
      </c>
      <c r="O407" s="1473">
        <f>M407*S407*W407</f>
        <v>0</v>
      </c>
      <c r="P407" s="280" t="b">
        <v>1</v>
      </c>
      <c r="Q407" s="280" t="b">
        <v>0</v>
      </c>
      <c r="R407" s="280" t="b">
        <v>0</v>
      </c>
      <c r="S407" s="280" t="b">
        <v>1</v>
      </c>
      <c r="T407" s="280" t="b">
        <v>0</v>
      </c>
      <c r="U407" s="280"/>
      <c r="V407" s="280"/>
      <c r="W407" s="25"/>
      <c r="X407" s="1303"/>
      <c r="Y407" s="1522" t="str">
        <f>IF(LEN('Ch6'!X153)=0,"None",'Ch6'!X153)</f>
        <v>ZERH Requirement - ENERGY STAR Certified Homes National Water Management Requirements, Footnote 18, Lumber Moisture Content</v>
      </c>
      <c r="Z407" s="1586"/>
      <c r="AC407" s="280"/>
      <c r="AD407" s="280"/>
      <c r="AE407" s="280"/>
      <c r="AF407" s="280"/>
      <c r="AG407" s="280"/>
      <c r="AH407" s="280"/>
      <c r="AI407" s="280"/>
      <c r="AJ407" s="280"/>
      <c r="AK407" s="280"/>
      <c r="AL407" s="311" t="str">
        <f>SUBSTITUTE(SUBSTITUTE(SUBSTITUTE("vpa"&amp;$B407&amp;$C407&amp;$D407&amp;$E407&amp;$F407,".","_"),"(","_"),")","")</f>
        <v>vpa602_1_7_1_3</v>
      </c>
      <c r="AM407" s="311">
        <f>M407</f>
        <v>4</v>
      </c>
      <c r="AN407" s="311" t="str">
        <f>SUBSTITUTE(SUBSTITUTE(SUBSTITUTE("vpc"&amp;$B407&amp;$C407&amp;$D407&amp;$E407&amp;$F407,".","_"),"(","_"),")","")</f>
        <v>vpc602_1_7_1_3</v>
      </c>
      <c r="AO407" s="311">
        <f>O407</f>
        <v>0</v>
      </c>
      <c r="AP407" s="311" t="str">
        <f>SUBSTITUTE(SUBSTITUTE(SUBSTITUTE("vch"&amp;$B407&amp;$C407&amp;$D407&amp;$E407&amp;$F407,".","_"),"(","_"),")","")</f>
        <v>vch602_1_7_1_3</v>
      </c>
      <c r="AQ407" s="311">
        <f>W407</f>
        <v>0</v>
      </c>
      <c r="AR407" s="311" t="str">
        <f>SUBSTITUTE(SUBSTITUTE(SUBSTITUTE("vnt"&amp;$B407&amp;$C407&amp;$D407&amp;$E407&amp;$F407,".","_"),"(","_"),")","")</f>
        <v>vnt602_1_7_1_3</v>
      </c>
      <c r="AS407" s="311">
        <f>X407</f>
        <v>0</v>
      </c>
      <c r="BJ407" s="1184" t="s">
        <v>4763</v>
      </c>
    </row>
    <row r="408" spans="1:62" x14ac:dyDescent="0.3">
      <c r="A408" s="1200">
        <v>6</v>
      </c>
      <c r="B408" s="1210" t="s">
        <v>624</v>
      </c>
      <c r="C408" s="1210"/>
      <c r="D408" s="1203"/>
      <c r="E408" s="1203" t="s">
        <v>275</v>
      </c>
      <c r="F408" s="1203"/>
      <c r="G408" s="1202" t="str">
        <f t="shared" ref="G408" si="131">G407</f>
        <v>P</v>
      </c>
      <c r="H408" s="1200" t="s">
        <v>4387</v>
      </c>
      <c r="I408" s="244"/>
      <c r="J408" s="238"/>
      <c r="K408" s="193"/>
      <c r="L408" s="1306"/>
      <c r="M408" s="1363"/>
      <c r="N408" s="1491"/>
      <c r="O408" s="1491"/>
      <c r="P408" s="280"/>
      <c r="Q408" s="280"/>
      <c r="R408" s="280"/>
      <c r="S408" s="280"/>
      <c r="T408" s="280"/>
      <c r="U408" s="280"/>
      <c r="V408" s="280"/>
      <c r="W408" s="280"/>
      <c r="X408" s="1303"/>
      <c r="Y408" s="1522"/>
      <c r="Z408" s="1586"/>
      <c r="AC408" s="280"/>
      <c r="AD408" s="280"/>
      <c r="AE408" s="280"/>
      <c r="AF408" s="280"/>
      <c r="AG408" s="280"/>
      <c r="AH408" s="280"/>
      <c r="AI408" s="280"/>
      <c r="AJ408" s="280"/>
      <c r="AK408" s="280"/>
      <c r="AL408" s="280"/>
      <c r="AM408" s="280"/>
      <c r="AN408" s="280"/>
      <c r="AO408" s="280"/>
      <c r="AP408" s="280"/>
      <c r="AQ408" s="280"/>
      <c r="AR408" s="280"/>
      <c r="AS408" s="280"/>
      <c r="BJ408" s="1184" t="s">
        <v>4763</v>
      </c>
    </row>
    <row r="409" spans="1:62" ht="15" customHeight="1" x14ac:dyDescent="0.3">
      <c r="A409" s="1200">
        <v>6</v>
      </c>
      <c r="B409" s="1210" t="s">
        <v>629</v>
      </c>
      <c r="C409" s="1210"/>
      <c r="D409" s="1203"/>
      <c r="E409" s="1203"/>
      <c r="F409" s="1203"/>
      <c r="G409" s="1202" t="str">
        <f>IF(N409&gt;0,"P","")</f>
        <v/>
      </c>
      <c r="H409" s="1200" t="s">
        <v>4386</v>
      </c>
      <c r="I409" s="215" t="s">
        <v>630</v>
      </c>
      <c r="J409" s="216"/>
      <c r="K409" s="217"/>
      <c r="L409" s="1364" t="s">
        <v>631</v>
      </c>
      <c r="M409" s="1323">
        <v>2</v>
      </c>
      <c r="N409" s="1472">
        <f>'Ch6'!O155</f>
        <v>0</v>
      </c>
      <c r="O409" s="1472">
        <f>M409*S409*W409</f>
        <v>0</v>
      </c>
      <c r="P409" s="280" t="b">
        <v>1</v>
      </c>
      <c r="Q409" s="280" t="b">
        <v>1</v>
      </c>
      <c r="R409" s="280" t="b">
        <v>0</v>
      </c>
      <c r="S409" s="280" t="b">
        <v>1</v>
      </c>
      <c r="T409" s="280" t="b">
        <v>0</v>
      </c>
      <c r="U409" s="280"/>
      <c r="V409" s="280"/>
      <c r="W409" s="25"/>
      <c r="X409" s="1303"/>
      <c r="Y409" s="1522" t="str">
        <f>IF(LEN('Ch6'!X155)=0,"None",'Ch6'!X155)</f>
        <v>None</v>
      </c>
      <c r="Z409" s="1586"/>
      <c r="AC409" s="280"/>
      <c r="AD409" s="280"/>
      <c r="AE409" s="280"/>
      <c r="AF409" s="280"/>
      <c r="AG409" s="280"/>
      <c r="AH409" s="280"/>
      <c r="AI409" s="280"/>
      <c r="AJ409" s="280"/>
      <c r="AK409" s="280"/>
      <c r="AL409" s="311" t="str">
        <f>SUBSTITUTE(SUBSTITUTE(SUBSTITUTE("vpa"&amp;$B409&amp;$C409&amp;$D409&amp;$E409&amp;$F409,".","_"),"(","_"),")","")</f>
        <v>vpa602_1_7_2</v>
      </c>
      <c r="AM409" s="311">
        <f>M409</f>
        <v>2</v>
      </c>
      <c r="AN409" s="311" t="str">
        <f>SUBSTITUTE(SUBSTITUTE(SUBSTITUTE("vpc"&amp;$B409&amp;$C409&amp;$D409&amp;$E409&amp;$F409,".","_"),"(","_"),")","")</f>
        <v>vpc602_1_7_2</v>
      </c>
      <c r="AO409" s="311">
        <f>O409</f>
        <v>0</v>
      </c>
      <c r="AP409" s="311" t="str">
        <f>SUBSTITUTE(SUBSTITUTE(SUBSTITUTE("vch"&amp;$B409&amp;$C409&amp;$D409&amp;$E409&amp;$F409,".","_"),"(","_"),")","")</f>
        <v>vch602_1_7_2</v>
      </c>
      <c r="AQ409" s="311">
        <f>W409</f>
        <v>0</v>
      </c>
      <c r="AR409" s="311" t="str">
        <f>SUBSTITUTE(SUBSTITUTE(SUBSTITUTE("vnt"&amp;$B409&amp;$C409&amp;$D409&amp;$E409&amp;$F409,".","_"),"(","_"),")","")</f>
        <v>vnt602_1_7_2</v>
      </c>
      <c r="AS409" s="311">
        <f>X409</f>
        <v>0</v>
      </c>
      <c r="BJ409" s="1184" t="s">
        <v>4763</v>
      </c>
    </row>
    <row r="410" spans="1:62" x14ac:dyDescent="0.3">
      <c r="A410" s="1200">
        <v>6</v>
      </c>
      <c r="B410" s="1208" t="s">
        <v>629</v>
      </c>
      <c r="C410" s="1208"/>
      <c r="D410" s="1203"/>
      <c r="E410" s="1203"/>
      <c r="F410" s="1203"/>
      <c r="G410" s="1202" t="str">
        <f t="shared" ref="G410" si="132">G409</f>
        <v/>
      </c>
      <c r="H410" s="1200" t="s">
        <v>4386</v>
      </c>
      <c r="I410" s="244"/>
      <c r="J410" s="238"/>
      <c r="K410" s="193"/>
      <c r="L410" s="1350"/>
      <c r="M410" s="1319"/>
      <c r="N410" s="1491"/>
      <c r="O410" s="1491"/>
      <c r="P410" s="280"/>
      <c r="Q410" s="280"/>
      <c r="R410" s="280"/>
      <c r="S410" s="280"/>
      <c r="T410" s="280"/>
      <c r="U410" s="280"/>
      <c r="V410" s="280"/>
      <c r="W410" s="280"/>
      <c r="X410" s="1303"/>
      <c r="Y410" s="1522"/>
      <c r="Z410" s="1586"/>
      <c r="AC410" s="280"/>
      <c r="AD410" s="280"/>
      <c r="AE410" s="280"/>
      <c r="AF410" s="280"/>
      <c r="AG410" s="280"/>
      <c r="AH410" s="280"/>
      <c r="AI410" s="280"/>
      <c r="AJ410" s="280"/>
      <c r="AK410" s="280"/>
      <c r="AL410" s="280"/>
      <c r="AM410" s="280"/>
      <c r="AN410" s="280"/>
      <c r="AO410" s="280"/>
      <c r="AP410" s="280"/>
      <c r="AQ410" s="280"/>
      <c r="AR410" s="280"/>
      <c r="AS410" s="280"/>
      <c r="BJ410" s="1184" t="s">
        <v>4763</v>
      </c>
    </row>
    <row r="411" spans="1:62" x14ac:dyDescent="0.3">
      <c r="A411" s="1200">
        <v>6</v>
      </c>
      <c r="B411" s="1208" t="s">
        <v>632</v>
      </c>
      <c r="C411" s="1208"/>
      <c r="D411" s="1203"/>
      <c r="E411" s="1203"/>
      <c r="F411" s="1203"/>
      <c r="G411" s="1202" t="str">
        <f>IF(N411&gt;0,"P","")</f>
        <v/>
      </c>
      <c r="H411" s="1200" t="s">
        <v>4387</v>
      </c>
      <c r="I411" s="66" t="s">
        <v>633</v>
      </c>
      <c r="J411" s="4"/>
      <c r="K411" s="86"/>
      <c r="L411" s="1292" t="s">
        <v>634</v>
      </c>
      <c r="M411" s="1335">
        <v>4</v>
      </c>
      <c r="N411" s="1472">
        <f>'Ch6'!O157</f>
        <v>0</v>
      </c>
      <c r="O411" s="1463">
        <f>M411*S411*W411</f>
        <v>0</v>
      </c>
      <c r="P411" s="280" t="b">
        <v>1</v>
      </c>
      <c r="Q411" s="280" t="b">
        <v>0</v>
      </c>
      <c r="R411" s="280" t="b">
        <v>0</v>
      </c>
      <c r="S411" s="280" t="b">
        <v>1</v>
      </c>
      <c r="T411" s="280" t="b">
        <v>0</v>
      </c>
      <c r="U411" s="280"/>
      <c r="V411" s="280"/>
      <c r="W411" s="25"/>
      <c r="X411" s="1303"/>
      <c r="Y411" s="1523" t="str">
        <f>IF(LEN('Ch6'!X157)=0,"None",'Ch6'!X157)</f>
        <v>None</v>
      </c>
      <c r="Z411" s="1583"/>
      <c r="AC411" s="280"/>
      <c r="AD411" s="280"/>
      <c r="AE411" s="280"/>
      <c r="AF411" s="280"/>
      <c r="AG411" s="280"/>
      <c r="AH411" s="280"/>
      <c r="AI411" s="280"/>
      <c r="AJ411" s="280"/>
      <c r="AK411" s="280"/>
      <c r="AL411" s="311" t="str">
        <f>SUBSTITUTE(SUBSTITUTE(SUBSTITUTE("vpa"&amp;$B411&amp;$C411&amp;$D411&amp;$E411&amp;$F411,".","_"),"(","_"),")","")</f>
        <v>vpa602_1_7_3</v>
      </c>
      <c r="AM411" s="311">
        <f>M411</f>
        <v>4</v>
      </c>
      <c r="AN411" s="311" t="str">
        <f>SUBSTITUTE(SUBSTITUTE(SUBSTITUTE("vpc"&amp;$B411&amp;$C411&amp;$D411&amp;$E411&amp;$F411,".","_"),"(","_"),")","")</f>
        <v>vpc602_1_7_3</v>
      </c>
      <c r="AO411" s="311">
        <f>O411</f>
        <v>0</v>
      </c>
      <c r="AP411" s="311" t="str">
        <f>SUBSTITUTE(SUBSTITUTE(SUBSTITUTE("vch"&amp;$B411&amp;$C411&amp;$D411&amp;$E411&amp;$F411,".","_"),"(","_"),")","")</f>
        <v>vch602_1_7_3</v>
      </c>
      <c r="AQ411" s="311">
        <f>W411</f>
        <v>0</v>
      </c>
      <c r="AR411" s="311" t="str">
        <f>SUBSTITUTE(SUBSTITUTE(SUBSTITUTE("vnt"&amp;$B411&amp;$C411&amp;$D411&amp;$E411&amp;$F411,".","_"),"(","_"),")","")</f>
        <v>vnt602_1_7_3</v>
      </c>
      <c r="AS411" s="311">
        <f>X411</f>
        <v>0</v>
      </c>
      <c r="BJ411" s="1184" t="s">
        <v>4763</v>
      </c>
    </row>
    <row r="412" spans="1:62" x14ac:dyDescent="0.3">
      <c r="A412" s="1200">
        <v>6</v>
      </c>
      <c r="B412" s="1208" t="s">
        <v>632</v>
      </c>
      <c r="C412" s="1208"/>
      <c r="D412" s="1203"/>
      <c r="E412" s="1203"/>
      <c r="F412" s="1203"/>
      <c r="G412" s="1202" t="str">
        <f t="shared" ref="G412:G414" si="133">G411</f>
        <v/>
      </c>
      <c r="H412" s="1200" t="s">
        <v>4387</v>
      </c>
      <c r="I412" s="66"/>
      <c r="J412" s="4"/>
      <c r="K412" s="86"/>
      <c r="L412" s="1292"/>
      <c r="M412" s="1335"/>
      <c r="N412" s="1463"/>
      <c r="O412" s="1463"/>
      <c r="P412" s="280"/>
      <c r="Q412" s="280"/>
      <c r="R412" s="280"/>
      <c r="S412" s="280"/>
      <c r="T412" s="280"/>
      <c r="U412" s="280"/>
      <c r="V412" s="280"/>
      <c r="W412" s="280"/>
      <c r="X412" s="1303"/>
      <c r="Y412" s="1523"/>
      <c r="Z412" s="1583"/>
      <c r="AC412" s="280"/>
      <c r="AD412" s="280"/>
      <c r="AE412" s="280"/>
      <c r="AF412" s="280"/>
      <c r="AG412" s="280"/>
      <c r="AH412" s="280"/>
      <c r="AI412" s="280"/>
      <c r="AJ412" s="280"/>
      <c r="AK412" s="280"/>
      <c r="AL412" s="280"/>
      <c r="AM412" s="280"/>
      <c r="AN412" s="280"/>
      <c r="AO412" s="280"/>
      <c r="AP412" s="280"/>
      <c r="AQ412" s="280"/>
      <c r="AR412" s="280"/>
      <c r="AS412" s="280"/>
      <c r="BJ412" s="1184" t="s">
        <v>4763</v>
      </c>
    </row>
    <row r="413" spans="1:62" x14ac:dyDescent="0.3">
      <c r="A413" s="1200">
        <v>6</v>
      </c>
      <c r="B413" s="1208" t="s">
        <v>632</v>
      </c>
      <c r="C413" s="1208"/>
      <c r="D413" s="1203"/>
      <c r="E413" s="1203"/>
      <c r="F413" s="1203"/>
      <c r="G413" s="1202" t="str">
        <f t="shared" si="133"/>
        <v/>
      </c>
      <c r="H413" s="1200" t="s">
        <v>4387</v>
      </c>
      <c r="I413" s="66"/>
      <c r="J413" s="4"/>
      <c r="K413" s="86"/>
      <c r="L413" s="1292"/>
      <c r="M413" s="1335"/>
      <c r="N413" s="1463"/>
      <c r="O413" s="1463"/>
      <c r="P413" s="280"/>
      <c r="Q413" s="280"/>
      <c r="R413" s="280"/>
      <c r="S413" s="280"/>
      <c r="T413" s="280"/>
      <c r="U413" s="280"/>
      <c r="V413" s="280"/>
      <c r="W413" s="280"/>
      <c r="X413" s="1303"/>
      <c r="Y413" s="1523"/>
      <c r="Z413" s="1583"/>
      <c r="AC413" s="280"/>
      <c r="AD413" s="280"/>
      <c r="AE413" s="280"/>
      <c r="AF413" s="280"/>
      <c r="AG413" s="280"/>
      <c r="AH413" s="280"/>
      <c r="AI413" s="280"/>
      <c r="AJ413" s="280"/>
      <c r="AK413" s="280"/>
      <c r="AL413" s="280"/>
      <c r="AM413" s="280"/>
      <c r="AN413" s="280"/>
      <c r="AO413" s="280"/>
      <c r="AP413" s="280"/>
      <c r="AQ413" s="280"/>
      <c r="AR413" s="280"/>
      <c r="AS413" s="280"/>
      <c r="BJ413" s="1184" t="s">
        <v>4763</v>
      </c>
    </row>
    <row r="414" spans="1:62" ht="15" thickBot="1" x14ac:dyDescent="0.35">
      <c r="A414" s="1200">
        <v>6</v>
      </c>
      <c r="B414" s="1208" t="s">
        <v>632</v>
      </c>
      <c r="C414" s="1208"/>
      <c r="D414" s="1203"/>
      <c r="E414" s="1203"/>
      <c r="F414" s="1203"/>
      <c r="G414" s="1202" t="str">
        <f t="shared" si="133"/>
        <v/>
      </c>
      <c r="H414" s="1200" t="s">
        <v>4387</v>
      </c>
      <c r="I414" s="66"/>
      <c r="J414" s="4"/>
      <c r="K414" s="86"/>
      <c r="L414" s="1292"/>
      <c r="M414" s="1335"/>
      <c r="N414" s="1529"/>
      <c r="O414" s="1463"/>
      <c r="P414" s="280"/>
      <c r="Q414" s="280"/>
      <c r="R414" s="280"/>
      <c r="S414" s="280"/>
      <c r="T414" s="280"/>
      <c r="U414" s="280"/>
      <c r="V414" s="280"/>
      <c r="W414" s="117"/>
      <c r="X414" s="1337"/>
      <c r="Y414" s="1524"/>
      <c r="Z414" s="1584"/>
      <c r="AC414" s="280"/>
      <c r="AD414" s="280"/>
      <c r="AE414" s="280"/>
      <c r="AF414" s="280"/>
      <c r="AG414" s="280"/>
      <c r="AH414" s="280"/>
      <c r="AI414" s="280"/>
      <c r="AJ414" s="280"/>
      <c r="AK414" s="280"/>
      <c r="AL414" s="280"/>
      <c r="AM414" s="280"/>
      <c r="AN414" s="280"/>
      <c r="AO414" s="280"/>
      <c r="AP414" s="280"/>
      <c r="AQ414" s="280"/>
      <c r="AR414" s="280"/>
      <c r="AS414" s="280"/>
      <c r="BJ414" s="1184" t="s">
        <v>4763</v>
      </c>
    </row>
    <row r="415" spans="1:62" ht="15" thickTop="1" x14ac:dyDescent="0.3">
      <c r="A415" s="1200">
        <v>6</v>
      </c>
      <c r="B415" s="1208" t="s">
        <v>635</v>
      </c>
      <c r="C415" s="1203"/>
      <c r="D415" s="1203"/>
      <c r="E415" s="1203"/>
      <c r="F415" s="1203"/>
      <c r="G415" s="1202" t="s">
        <v>4389</v>
      </c>
      <c r="H415" s="1200" t="s">
        <v>4387</v>
      </c>
      <c r="I415" s="200" t="s">
        <v>635</v>
      </c>
      <c r="J415" s="201"/>
      <c r="K415" s="202"/>
      <c r="L415" s="1331" t="s">
        <v>636</v>
      </c>
      <c r="M415" s="1362" t="str">
        <f>IF(R415,"Mandatory","N/A")</f>
        <v>Mandatory</v>
      </c>
      <c r="N415" s="296"/>
      <c r="O415" s="296"/>
      <c r="P415" s="280" t="b">
        <v>1</v>
      </c>
      <c r="Q415" s="280" t="b">
        <v>0</v>
      </c>
      <c r="R415" s="110" t="b">
        <f>S415</f>
        <v>1</v>
      </c>
      <c r="S415" s="110" t="b">
        <v>1</v>
      </c>
      <c r="T415" s="110" t="b">
        <v>0</v>
      </c>
      <c r="U415" s="110" t="str">
        <f>SUBSTITUTE(SUBSTITUTE(SUBSTITUTE("dd"&amp;B415&amp;C415&amp;D415&amp;E415&amp;F415,".","_"),"(","_"),")","")</f>
        <v>dd602_1_8</v>
      </c>
      <c r="V415" s="110"/>
      <c r="W415" s="12"/>
      <c r="X415" s="1327"/>
      <c r="Y415" s="1525" t="str">
        <f>IF(LEN('Ch6'!X161)=0,"None",'Ch6'!X161)</f>
        <v>ZERH Requirement - ENERGY STAR Certified Homes National Water Management Requirements, Section 2.2 Drainage Plane Behind Cladding</v>
      </c>
      <c r="Z415" s="1585"/>
      <c r="AA415" s="1110">
        <f>'Photo Review'!H415</f>
        <v>0</v>
      </c>
      <c r="AC415" s="280" t="b">
        <f>OR(AD415:AE415)</f>
        <v>1</v>
      </c>
      <c r="AD415" s="280" t="b">
        <f>T415</f>
        <v>0</v>
      </c>
      <c r="AE415" s="280" t="b">
        <f>OR(AND(R415,NOT(W415="Met"),NOT(W415="N/A")),AND(W415="N/A",ISBLANK(X415)))</f>
        <v>1</v>
      </c>
      <c r="AF415" s="1182" t="b">
        <f>AND(AE415,NOT(Q415))</f>
        <v>1</v>
      </c>
      <c r="AG415" s="280"/>
      <c r="AH415" s="280"/>
      <c r="AI415" s="280"/>
      <c r="AJ415" s="280"/>
      <c r="AK415" s="280"/>
      <c r="AL415" s="311" t="str">
        <f>SUBSTITUTE(SUBSTITUTE(SUBSTITUTE("vpa"&amp;$B415&amp;$C415&amp;$D415&amp;$E415&amp;$F415,".","_"),"(","_"),")","")</f>
        <v>vpa602_1_8</v>
      </c>
      <c r="AM415" s="311" t="str">
        <f>M415</f>
        <v>Mandatory</v>
      </c>
      <c r="AN415" s="280"/>
      <c r="AO415" s="280"/>
      <c r="AP415" s="311" t="str">
        <f>SUBSTITUTE(SUBSTITUTE(SUBSTITUTE("vch"&amp;$B415&amp;$C415&amp;$D415&amp;$E415&amp;$F415,".","_"),"(","_"),")","")</f>
        <v>vch602_1_8</v>
      </c>
      <c r="AQ415" s="311">
        <f>W415</f>
        <v>0</v>
      </c>
      <c r="AR415" s="311" t="str">
        <f>SUBSTITUTE(SUBSTITUTE(SUBSTITUTE("vnt"&amp;$B415&amp;$C415&amp;$D415&amp;$E415&amp;$F415,".","_"),"(","_"),")","")</f>
        <v>vnt602_1_8</v>
      </c>
      <c r="AS415" s="311">
        <f>X415</f>
        <v>0</v>
      </c>
      <c r="BJ415" s="1184" t="s">
        <v>4763</v>
      </c>
    </row>
    <row r="416" spans="1:62" x14ac:dyDescent="0.3">
      <c r="A416" s="1200">
        <v>6</v>
      </c>
      <c r="B416" s="1208" t="s">
        <v>635</v>
      </c>
      <c r="C416" s="1203"/>
      <c r="D416" s="1203"/>
      <c r="E416" s="1203"/>
      <c r="F416" s="1203"/>
      <c r="G416" s="1202" t="s">
        <v>4389</v>
      </c>
      <c r="H416" s="1200" t="s">
        <v>4387</v>
      </c>
      <c r="I416" s="141"/>
      <c r="J416" s="140"/>
      <c r="K416" s="98"/>
      <c r="L416" s="1313"/>
      <c r="M416" s="1351"/>
      <c r="N416" s="283"/>
      <c r="O416" s="283"/>
      <c r="P416" s="97"/>
      <c r="Q416" s="97"/>
      <c r="R416" s="97"/>
      <c r="S416" s="97"/>
      <c r="T416" s="97"/>
      <c r="U416" s="97"/>
      <c r="V416" s="97"/>
      <c r="W416" s="97"/>
      <c r="X416" s="1295"/>
      <c r="Y416" s="1523"/>
      <c r="Z416" s="1583"/>
      <c r="AC416" s="280"/>
      <c r="AD416" s="280"/>
      <c r="AE416" s="280"/>
      <c r="AF416" s="280"/>
      <c r="AG416" s="280"/>
      <c r="AH416" s="280"/>
      <c r="AI416" s="280"/>
      <c r="AJ416" s="280"/>
      <c r="AK416" s="280"/>
      <c r="AL416" s="280"/>
      <c r="AM416" s="280"/>
      <c r="AN416" s="280"/>
      <c r="AO416" s="280"/>
      <c r="AP416" s="280"/>
      <c r="AQ416" s="280"/>
      <c r="AR416" s="280"/>
      <c r="AS416" s="280"/>
      <c r="BJ416" s="1184" t="s">
        <v>4763</v>
      </c>
    </row>
    <row r="417" spans="1:62" ht="15" thickBot="1" x14ac:dyDescent="0.35">
      <c r="A417" s="1200">
        <v>6</v>
      </c>
      <c r="B417" s="1208" t="s">
        <v>635</v>
      </c>
      <c r="C417" s="1203"/>
      <c r="D417" s="1203"/>
      <c r="E417" s="1203"/>
      <c r="F417" s="1203"/>
      <c r="G417" s="1202" t="s">
        <v>4389</v>
      </c>
      <c r="H417" s="1200" t="s">
        <v>4387</v>
      </c>
      <c r="I417" s="141"/>
      <c r="J417" s="140"/>
      <c r="K417" s="98"/>
      <c r="L417" s="308" t="s">
        <v>1304</v>
      </c>
      <c r="M417" s="1351"/>
      <c r="N417" s="283"/>
      <c r="O417" s="283"/>
      <c r="P417" s="97"/>
      <c r="Q417" s="97"/>
      <c r="R417" s="97"/>
      <c r="S417" s="97"/>
      <c r="T417" s="97"/>
      <c r="U417" s="97"/>
      <c r="V417" s="97"/>
      <c r="W417" s="97"/>
      <c r="X417" s="1337"/>
      <c r="Y417" s="1524"/>
      <c r="Z417" s="1584"/>
      <c r="AC417" s="280"/>
      <c r="AD417" s="280"/>
      <c r="AE417" s="280"/>
      <c r="AF417" s="280"/>
      <c r="AG417" s="280"/>
      <c r="AH417" s="280"/>
      <c r="AI417" s="280"/>
      <c r="AJ417" s="280"/>
      <c r="AK417" s="280"/>
      <c r="AL417" s="280"/>
      <c r="AM417" s="280"/>
      <c r="AN417" s="280"/>
      <c r="AO417" s="280"/>
      <c r="AP417" s="280"/>
      <c r="AQ417" s="280"/>
      <c r="AR417" s="280"/>
      <c r="AS417" s="280"/>
      <c r="BJ417" s="1184" t="s">
        <v>4763</v>
      </c>
    </row>
    <row r="418" spans="1:62" ht="15" thickTop="1" x14ac:dyDescent="0.3">
      <c r="A418" s="1200">
        <v>6</v>
      </c>
      <c r="B418" s="1208" t="s">
        <v>637</v>
      </c>
      <c r="C418" s="1203"/>
      <c r="D418" s="1203"/>
      <c r="E418" s="1203"/>
      <c r="F418" s="1203"/>
      <c r="G418" s="1202" t="s">
        <v>4389</v>
      </c>
      <c r="H418" s="1200" t="s">
        <v>4387</v>
      </c>
      <c r="I418" s="200" t="s">
        <v>637</v>
      </c>
      <c r="J418" s="201"/>
      <c r="K418" s="202"/>
      <c r="L418" s="1331" t="s">
        <v>638</v>
      </c>
      <c r="M418" s="306"/>
      <c r="N418" s="296"/>
      <c r="O418" s="296"/>
      <c r="P418" s="110"/>
      <c r="Q418" s="110"/>
      <c r="R418" s="110"/>
      <c r="S418" s="110"/>
      <c r="T418" s="110"/>
      <c r="U418" s="110"/>
      <c r="V418" s="110"/>
      <c r="W418" s="110"/>
      <c r="X418" s="110"/>
      <c r="Y418"/>
      <c r="Z418" s="1055"/>
      <c r="AC418" s="280"/>
      <c r="AD418" s="280"/>
      <c r="AE418" s="280"/>
      <c r="AF418" s="280"/>
      <c r="AG418" s="280"/>
      <c r="AH418" s="280"/>
      <c r="AI418" s="280"/>
      <c r="AJ418" s="280"/>
      <c r="AK418" s="280"/>
      <c r="AL418" s="280"/>
      <c r="AM418" s="280"/>
      <c r="AN418" s="280"/>
      <c r="AO418" s="280"/>
      <c r="AP418" s="280"/>
      <c r="AQ418" s="280"/>
      <c r="AR418" s="280"/>
      <c r="AS418" s="280"/>
      <c r="BJ418" s="1184" t="s">
        <v>4763</v>
      </c>
    </row>
    <row r="419" spans="1:62" x14ac:dyDescent="0.3">
      <c r="A419" s="1200">
        <v>6</v>
      </c>
      <c r="B419" s="1208" t="s">
        <v>637</v>
      </c>
      <c r="C419" s="1203"/>
      <c r="D419" s="1203"/>
      <c r="E419" s="1203"/>
      <c r="F419" s="1203"/>
      <c r="G419" s="1202" t="s">
        <v>4389</v>
      </c>
      <c r="H419" s="1200" t="s">
        <v>4387</v>
      </c>
      <c r="I419" s="141"/>
      <c r="J419" s="140"/>
      <c r="K419" s="98"/>
      <c r="L419" s="1313"/>
      <c r="M419" s="300"/>
      <c r="N419" s="283"/>
      <c r="O419" s="283"/>
      <c r="P419" s="97"/>
      <c r="Q419" s="97"/>
      <c r="R419" s="97"/>
      <c r="S419" s="97"/>
      <c r="T419" s="97"/>
      <c r="U419" s="97"/>
      <c r="V419" s="97"/>
      <c r="W419" s="97"/>
      <c r="X419" s="97"/>
      <c r="Y419"/>
      <c r="Z419" s="1055"/>
      <c r="AC419" s="280"/>
      <c r="AD419" s="280"/>
      <c r="AE419" s="280"/>
      <c r="AF419" s="280"/>
      <c r="AG419" s="280"/>
      <c r="AH419" s="280"/>
      <c r="AI419" s="280"/>
      <c r="AJ419" s="280"/>
      <c r="AK419" s="280"/>
      <c r="AL419" s="280"/>
      <c r="AM419" s="280"/>
      <c r="AN419" s="280"/>
      <c r="AO419" s="280"/>
      <c r="AP419" s="280"/>
      <c r="AQ419" s="280"/>
      <c r="AR419" s="280"/>
      <c r="AS419" s="280"/>
      <c r="BJ419" s="1184" t="s">
        <v>4763</v>
      </c>
    </row>
    <row r="420" spans="1:62" x14ac:dyDescent="0.3">
      <c r="A420" s="1200">
        <v>6</v>
      </c>
      <c r="B420" s="1208" t="s">
        <v>637</v>
      </c>
      <c r="C420" s="1203"/>
      <c r="D420" s="1203"/>
      <c r="E420" s="1203"/>
      <c r="F420" s="1203"/>
      <c r="G420" s="1202" t="s">
        <v>4389</v>
      </c>
      <c r="H420" s="1200" t="s">
        <v>4387</v>
      </c>
      <c r="I420" s="141"/>
      <c r="J420" s="140"/>
      <c r="K420" s="98"/>
      <c r="L420" s="1313"/>
      <c r="M420" s="300"/>
      <c r="N420" s="283"/>
      <c r="O420" s="283"/>
      <c r="P420" s="97"/>
      <c r="Q420" s="97"/>
      <c r="R420" s="97"/>
      <c r="S420" s="97"/>
      <c r="T420" s="97"/>
      <c r="U420" s="97"/>
      <c r="V420" s="97"/>
      <c r="W420" s="97"/>
      <c r="X420" s="97"/>
      <c r="Y420"/>
      <c r="Z420" s="1055"/>
      <c r="AC420" s="280"/>
      <c r="AD420" s="280"/>
      <c r="AE420" s="280"/>
      <c r="AF420" s="280"/>
      <c r="AG420" s="280"/>
      <c r="AH420" s="280"/>
      <c r="AI420" s="280"/>
      <c r="AJ420" s="280"/>
      <c r="AK420" s="280"/>
      <c r="AL420" s="280"/>
      <c r="AM420" s="280"/>
      <c r="AN420" s="280"/>
      <c r="AO420" s="280"/>
      <c r="AP420" s="280"/>
      <c r="AQ420" s="280"/>
      <c r="AR420" s="280"/>
      <c r="AS420" s="280"/>
      <c r="BJ420" s="1184" t="s">
        <v>4763</v>
      </c>
    </row>
    <row r="421" spans="1:62" x14ac:dyDescent="0.3">
      <c r="A421" s="1200">
        <v>6</v>
      </c>
      <c r="B421" s="1208" t="s">
        <v>637</v>
      </c>
      <c r="C421" s="1203"/>
      <c r="D421" s="1203"/>
      <c r="E421" s="1203"/>
      <c r="F421" s="1203"/>
      <c r="G421" s="1202" t="s">
        <v>4389</v>
      </c>
      <c r="H421" s="1200" t="s">
        <v>4387</v>
      </c>
      <c r="I421" s="141"/>
      <c r="J421" s="140"/>
      <c r="K421" s="98"/>
      <c r="L421" s="1313"/>
      <c r="M421" s="300"/>
      <c r="N421" s="283"/>
      <c r="O421" s="283"/>
      <c r="P421" s="97"/>
      <c r="Q421" s="97"/>
      <c r="R421" s="97"/>
      <c r="S421" s="97"/>
      <c r="T421" s="97"/>
      <c r="U421" s="97"/>
      <c r="V421" s="97"/>
      <c r="W421" s="97"/>
      <c r="X421" s="97"/>
      <c r="Y421"/>
      <c r="Z421" s="1055"/>
      <c r="AC421" s="280"/>
      <c r="AD421" s="280"/>
      <c r="AE421" s="280"/>
      <c r="AF421" s="280"/>
      <c r="AG421" s="280"/>
      <c r="AH421" s="280"/>
      <c r="AI421" s="280"/>
      <c r="AJ421" s="280"/>
      <c r="AK421" s="280"/>
      <c r="AL421" s="280"/>
      <c r="AM421" s="280"/>
      <c r="AN421" s="280"/>
      <c r="AO421" s="280"/>
      <c r="AP421" s="280"/>
      <c r="AQ421" s="280"/>
      <c r="AR421" s="280"/>
      <c r="AS421" s="280"/>
      <c r="BJ421" s="1184" t="s">
        <v>4763</v>
      </c>
    </row>
    <row r="422" spans="1:62" x14ac:dyDescent="0.3">
      <c r="A422" s="1200">
        <v>6</v>
      </c>
      <c r="B422" s="1208" t="s">
        <v>637</v>
      </c>
      <c r="C422" s="1203"/>
      <c r="D422" s="1203"/>
      <c r="E422" s="1203"/>
      <c r="F422" s="1203"/>
      <c r="G422" s="1202" t="s">
        <v>4389</v>
      </c>
      <c r="H422" s="1200" t="s">
        <v>4387</v>
      </c>
      <c r="I422" s="141"/>
      <c r="J422" s="140"/>
      <c r="K422" s="98"/>
      <c r="L422" s="1313"/>
      <c r="M422" s="300"/>
      <c r="N422" s="283"/>
      <c r="O422" s="283"/>
      <c r="P422" s="97"/>
      <c r="Q422" s="97"/>
      <c r="R422" s="97"/>
      <c r="S422" s="97"/>
      <c r="T422" s="97"/>
      <c r="U422" s="97"/>
      <c r="V422" s="97"/>
      <c r="W422" s="97"/>
      <c r="X422" s="97"/>
      <c r="Y422"/>
      <c r="Z422" s="1055"/>
      <c r="AC422" s="280"/>
      <c r="AD422" s="280"/>
      <c r="AE422" s="280"/>
      <c r="AF422" s="280"/>
      <c r="AG422" s="280"/>
      <c r="AH422" s="280"/>
      <c r="AI422" s="280"/>
      <c r="AJ422" s="280"/>
      <c r="AK422" s="280"/>
      <c r="AL422" s="280"/>
      <c r="AM422" s="280"/>
      <c r="AN422" s="280"/>
      <c r="AO422" s="280"/>
      <c r="AP422" s="280"/>
      <c r="AQ422" s="280"/>
      <c r="AR422" s="280"/>
      <c r="AS422" s="280"/>
      <c r="BJ422" s="1184" t="s">
        <v>4763</v>
      </c>
    </row>
    <row r="423" spans="1:62" x14ac:dyDescent="0.3">
      <c r="A423" s="1200">
        <v>6</v>
      </c>
      <c r="B423" s="1208" t="s">
        <v>637</v>
      </c>
      <c r="C423" s="1203"/>
      <c r="D423" s="1203"/>
      <c r="E423" s="1203" t="s">
        <v>271</v>
      </c>
      <c r="F423" s="1203"/>
      <c r="G423" s="1202" t="s">
        <v>4389</v>
      </c>
      <c r="H423" s="1200" t="s">
        <v>4387</v>
      </c>
      <c r="I423" s="66"/>
      <c r="J423" s="203" t="s">
        <v>271</v>
      </c>
      <c r="K423" s="98"/>
      <c r="L423" s="98" t="s">
        <v>639</v>
      </c>
      <c r="M423" s="1351" t="str">
        <f>IF(R423,"Mandatory","N/A")</f>
        <v>Mandatory</v>
      </c>
      <c r="N423" s="282"/>
      <c r="O423" s="282"/>
      <c r="P423" s="280" t="b">
        <v>1</v>
      </c>
      <c r="Q423" s="280" t="b">
        <v>0</v>
      </c>
      <c r="R423" s="280" t="b">
        <f>S423</f>
        <v>1</v>
      </c>
      <c r="S423" s="280" t="b">
        <v>1</v>
      </c>
      <c r="T423" s="280" t="b">
        <v>0</v>
      </c>
      <c r="U423" s="97"/>
      <c r="V423" s="280"/>
      <c r="W423" s="25"/>
      <c r="X423" s="1303"/>
      <c r="Y423" s="1522" t="str">
        <f>IF(LEN('Ch6'!X169)=0,"None",'Ch6'!X169)</f>
        <v>ZERH Requirement - ENERGY STAR Certified Homes National Water Management Requirements, Section 3.1 Step and Kick-Out Flashing</v>
      </c>
      <c r="Z423" s="1586"/>
      <c r="AC423" s="280" t="b">
        <f>OR(AD423:AE423)</f>
        <v>1</v>
      </c>
      <c r="AD423" s="280" t="b">
        <f>T423</f>
        <v>0</v>
      </c>
      <c r="AE423" s="280" t="b">
        <f>NOT(W423)</f>
        <v>1</v>
      </c>
      <c r="AF423" s="1182" t="b">
        <f>AND(AE423,NOT(Q423))</f>
        <v>1</v>
      </c>
      <c r="AG423" s="280"/>
      <c r="AH423" s="280"/>
      <c r="AI423" s="280"/>
      <c r="AJ423" s="280"/>
      <c r="AK423" s="280"/>
      <c r="AL423" s="311" t="str">
        <f>SUBSTITUTE(SUBSTITUTE(SUBSTITUTE("vpa"&amp;$B423&amp;$C423&amp;$D423&amp;$E423&amp;$F423,".","_"),"(","_"),")","")</f>
        <v>vpa602_1_9_1</v>
      </c>
      <c r="AM423" s="311" t="str">
        <f>M423</f>
        <v>Mandatory</v>
      </c>
      <c r="AN423" s="280"/>
      <c r="AO423" s="280"/>
      <c r="AP423" s="311" t="str">
        <f>SUBSTITUTE(SUBSTITUTE(SUBSTITUTE("vch"&amp;$B423&amp;$C423&amp;$D423&amp;$E423&amp;$F423,".","_"),"(","_"),")","")</f>
        <v>vch602_1_9_1</v>
      </c>
      <c r="AQ423" s="311">
        <f>W423</f>
        <v>0</v>
      </c>
      <c r="AR423" s="311" t="str">
        <f>SUBSTITUTE(SUBSTITUTE(SUBSTITUTE("vnt"&amp;$B423&amp;$C423&amp;$D423&amp;$E423&amp;$F423,".","_"),"(","_"),")","")</f>
        <v>vnt602_1_9_1</v>
      </c>
      <c r="AS423" s="311">
        <f>X423</f>
        <v>0</v>
      </c>
      <c r="BJ423" s="1184" t="s">
        <v>4763</v>
      </c>
    </row>
    <row r="424" spans="1:62" x14ac:dyDescent="0.3">
      <c r="A424" s="1200">
        <v>6</v>
      </c>
      <c r="B424" s="1208" t="s">
        <v>637</v>
      </c>
      <c r="C424" s="1203"/>
      <c r="D424" s="1203"/>
      <c r="E424" s="1203" t="s">
        <v>271</v>
      </c>
      <c r="F424" s="1203" t="s">
        <v>121</v>
      </c>
      <c r="G424" s="1202" t="s">
        <v>4389</v>
      </c>
      <c r="H424" s="1204" t="s">
        <v>4387</v>
      </c>
      <c r="I424" s="66"/>
      <c r="J424" s="140"/>
      <c r="K424" s="94" t="s">
        <v>121</v>
      </c>
      <c r="L424" s="98" t="s">
        <v>640</v>
      </c>
      <c r="M424" s="1351"/>
      <c r="N424" s="282"/>
      <c r="O424" s="282"/>
      <c r="P424" s="280"/>
      <c r="Q424" s="280"/>
      <c r="R424" s="280"/>
      <c r="S424" s="280"/>
      <c r="T424" s="280"/>
      <c r="U424" s="280"/>
      <c r="V424" s="280"/>
      <c r="W424" s="280"/>
      <c r="X424" s="1303"/>
      <c r="Y424" s="1522"/>
      <c r="Z424" s="1586"/>
      <c r="AC424" s="280"/>
      <c r="AD424" s="280"/>
      <c r="AE424" s="280"/>
      <c r="AF424" s="280"/>
      <c r="AG424" s="280"/>
      <c r="AH424" s="280"/>
      <c r="AI424" s="280"/>
      <c r="AJ424" s="280"/>
      <c r="AK424" s="280"/>
      <c r="AL424" s="280"/>
      <c r="AM424" s="280"/>
      <c r="AN424" s="280"/>
      <c r="AO424" s="280"/>
      <c r="AP424" s="280"/>
      <c r="AQ424" s="280"/>
      <c r="AR424" s="280"/>
      <c r="AS424" s="280"/>
      <c r="BJ424" s="1184" t="s">
        <v>4763</v>
      </c>
    </row>
    <row r="425" spans="1:62" x14ac:dyDescent="0.3">
      <c r="A425" s="1200">
        <v>6</v>
      </c>
      <c r="B425" s="1208" t="s">
        <v>637</v>
      </c>
      <c r="C425" s="1203"/>
      <c r="D425" s="1203"/>
      <c r="E425" s="1203" t="s">
        <v>271</v>
      </c>
      <c r="F425" s="1203" t="s">
        <v>122</v>
      </c>
      <c r="G425" s="1202" t="s">
        <v>4389</v>
      </c>
      <c r="H425" s="1204" t="s">
        <v>4387</v>
      </c>
      <c r="I425" s="66"/>
      <c r="J425" s="140"/>
      <c r="K425" s="94" t="s">
        <v>122</v>
      </c>
      <c r="L425" s="98" t="s">
        <v>641</v>
      </c>
      <c r="M425" s="1351"/>
      <c r="N425" s="282"/>
      <c r="O425" s="282"/>
      <c r="P425" s="280"/>
      <c r="Q425" s="280"/>
      <c r="R425" s="280"/>
      <c r="S425" s="280"/>
      <c r="T425" s="280"/>
      <c r="U425" s="280"/>
      <c r="V425" s="280"/>
      <c r="W425" s="280"/>
      <c r="X425" s="1303"/>
      <c r="Y425" s="1522"/>
      <c r="Z425" s="1586"/>
      <c r="AC425" s="280"/>
      <c r="AD425" s="280"/>
      <c r="AE425" s="280"/>
      <c r="AF425" s="280"/>
      <c r="AG425" s="280"/>
      <c r="AH425" s="280"/>
      <c r="AI425" s="280"/>
      <c r="AJ425" s="280"/>
      <c r="AK425" s="280"/>
      <c r="AL425" s="280"/>
      <c r="AM425" s="280"/>
      <c r="AN425" s="280"/>
      <c r="AO425" s="280"/>
      <c r="AP425" s="280"/>
      <c r="AQ425" s="280"/>
      <c r="AR425" s="280"/>
      <c r="AS425" s="280"/>
      <c r="BJ425" s="1184" t="s">
        <v>4763</v>
      </c>
    </row>
    <row r="426" spans="1:62" x14ac:dyDescent="0.3">
      <c r="A426" s="1200">
        <v>6</v>
      </c>
      <c r="B426" s="1208" t="s">
        <v>637</v>
      </c>
      <c r="C426" s="1203"/>
      <c r="D426" s="1203"/>
      <c r="E426" s="1203" t="s">
        <v>271</v>
      </c>
      <c r="F426" s="1205" t="s">
        <v>123</v>
      </c>
      <c r="G426" s="1202" t="s">
        <v>4389</v>
      </c>
      <c r="H426" s="1206" t="s">
        <v>4387</v>
      </c>
      <c r="I426" s="66"/>
      <c r="J426" s="140"/>
      <c r="K426" s="115" t="s">
        <v>123</v>
      </c>
      <c r="L426" s="98" t="s">
        <v>642</v>
      </c>
      <c r="M426" s="1351"/>
      <c r="N426" s="282"/>
      <c r="O426" s="282"/>
      <c r="P426" s="280"/>
      <c r="Q426" s="280"/>
      <c r="R426" s="280"/>
      <c r="S426" s="280"/>
      <c r="T426" s="280"/>
      <c r="U426" s="280"/>
      <c r="V426" s="280"/>
      <c r="W426" s="280"/>
      <c r="X426" s="1303"/>
      <c r="Y426" s="1522"/>
      <c r="Z426" s="1586"/>
      <c r="AC426" s="280"/>
      <c r="AD426" s="280"/>
      <c r="AE426" s="280"/>
      <c r="AF426" s="280"/>
      <c r="AG426" s="280"/>
      <c r="AH426" s="280"/>
      <c r="AI426" s="280"/>
      <c r="AJ426" s="280"/>
      <c r="AK426" s="280"/>
      <c r="AL426" s="280"/>
      <c r="AM426" s="280"/>
      <c r="AN426" s="280"/>
      <c r="AO426" s="280"/>
      <c r="AP426" s="280"/>
      <c r="AQ426" s="280"/>
      <c r="AR426" s="280"/>
      <c r="AS426" s="280"/>
      <c r="BJ426" s="1184" t="s">
        <v>4763</v>
      </c>
    </row>
    <row r="427" spans="1:62" x14ac:dyDescent="0.3">
      <c r="A427" s="1200">
        <v>6</v>
      </c>
      <c r="B427" s="1208" t="s">
        <v>637</v>
      </c>
      <c r="C427" s="1203"/>
      <c r="D427" s="1203"/>
      <c r="E427" s="1203" t="s">
        <v>271</v>
      </c>
      <c r="F427" s="1203" t="s">
        <v>423</v>
      </c>
      <c r="G427" s="1202" t="s">
        <v>4389</v>
      </c>
      <c r="H427" s="1200" t="s">
        <v>4387</v>
      </c>
      <c r="I427" s="66"/>
      <c r="J427" s="140"/>
      <c r="K427" s="210" t="s">
        <v>423</v>
      </c>
      <c r="L427" s="1305" t="s">
        <v>643</v>
      </c>
      <c r="M427" s="1351"/>
      <c r="N427" s="282"/>
      <c r="O427" s="282"/>
      <c r="P427" s="280"/>
      <c r="Q427" s="280"/>
      <c r="R427" s="280"/>
      <c r="S427" s="280"/>
      <c r="T427" s="280"/>
      <c r="U427" s="280"/>
      <c r="V427" s="280"/>
      <c r="W427" s="280"/>
      <c r="X427" s="1303"/>
      <c r="Y427" s="1522"/>
      <c r="Z427" s="1586"/>
      <c r="AC427" s="280"/>
      <c r="AD427" s="280"/>
      <c r="AE427" s="280"/>
      <c r="AF427" s="280"/>
      <c r="AG427" s="280"/>
      <c r="AH427" s="280"/>
      <c r="AI427" s="280"/>
      <c r="AJ427" s="280"/>
      <c r="AK427" s="280"/>
      <c r="AL427" s="280"/>
      <c r="AM427" s="280"/>
      <c r="AN427" s="280"/>
      <c r="AO427" s="280"/>
      <c r="AP427" s="280"/>
      <c r="AQ427" s="280"/>
      <c r="AR427" s="280"/>
      <c r="AS427" s="280"/>
      <c r="BJ427" s="1184" t="s">
        <v>4763</v>
      </c>
    </row>
    <row r="428" spans="1:62" x14ac:dyDescent="0.3">
      <c r="A428" s="1200">
        <v>6</v>
      </c>
      <c r="B428" s="1208" t="s">
        <v>637</v>
      </c>
      <c r="C428" s="1203"/>
      <c r="D428" s="1203"/>
      <c r="E428" s="1203" t="s">
        <v>271</v>
      </c>
      <c r="F428" s="1203" t="s">
        <v>423</v>
      </c>
      <c r="G428" s="1202" t="s">
        <v>4389</v>
      </c>
      <c r="H428" s="1200" t="s">
        <v>4387</v>
      </c>
      <c r="I428" s="66"/>
      <c r="J428" s="140"/>
      <c r="K428" s="98"/>
      <c r="L428" s="1305"/>
      <c r="M428" s="1351"/>
      <c r="N428" s="282"/>
      <c r="O428" s="282"/>
      <c r="P428" s="280"/>
      <c r="Q428" s="280"/>
      <c r="R428" s="280"/>
      <c r="S428" s="280"/>
      <c r="T428" s="280"/>
      <c r="U428" s="280"/>
      <c r="V428" s="280"/>
      <c r="W428" s="280"/>
      <c r="X428" s="1303"/>
      <c r="Y428" s="1522"/>
      <c r="Z428" s="1586"/>
      <c r="AC428" s="280"/>
      <c r="AD428" s="280"/>
      <c r="AE428" s="280"/>
      <c r="AF428" s="280"/>
      <c r="AG428" s="280"/>
      <c r="AH428" s="280"/>
      <c r="AI428" s="280"/>
      <c r="AJ428" s="280"/>
      <c r="AK428" s="280"/>
      <c r="AL428" s="280"/>
      <c r="AM428" s="280"/>
      <c r="AN428" s="280"/>
      <c r="AO428" s="280"/>
      <c r="AP428" s="280"/>
      <c r="AQ428" s="280"/>
      <c r="AR428" s="280"/>
      <c r="AS428" s="280"/>
      <c r="BJ428" s="1184" t="s">
        <v>4763</v>
      </c>
    </row>
    <row r="429" spans="1:62" x14ac:dyDescent="0.3">
      <c r="A429" s="1200">
        <v>6</v>
      </c>
      <c r="B429" s="1208" t="s">
        <v>637</v>
      </c>
      <c r="C429" s="1203"/>
      <c r="D429" s="1203"/>
      <c r="E429" s="1203" t="s">
        <v>271</v>
      </c>
      <c r="F429" s="1203" t="s">
        <v>578</v>
      </c>
      <c r="G429" s="1202" t="s">
        <v>4389</v>
      </c>
      <c r="H429" s="1200" t="s">
        <v>4387</v>
      </c>
      <c r="I429" s="66"/>
      <c r="J429" s="140"/>
      <c r="K429" s="210" t="s">
        <v>578</v>
      </c>
      <c r="L429" s="98" t="s">
        <v>644</v>
      </c>
      <c r="M429" s="1351"/>
      <c r="N429" s="282"/>
      <c r="O429" s="282"/>
      <c r="P429" s="280"/>
      <c r="Q429" s="280"/>
      <c r="R429" s="280"/>
      <c r="S429" s="280"/>
      <c r="T429" s="280"/>
      <c r="U429" s="280"/>
      <c r="V429" s="280"/>
      <c r="W429" s="280"/>
      <c r="X429" s="1303"/>
      <c r="Y429" s="1522"/>
      <c r="Z429" s="1586"/>
      <c r="AC429" s="280"/>
      <c r="AD429" s="280"/>
      <c r="AE429" s="280"/>
      <c r="AF429" s="280"/>
      <c r="AG429" s="280"/>
      <c r="AH429" s="280"/>
      <c r="AI429" s="280"/>
      <c r="AJ429" s="280"/>
      <c r="AK429" s="280"/>
      <c r="AL429" s="280"/>
      <c r="AM429" s="280"/>
      <c r="AN429" s="280"/>
      <c r="AO429" s="280"/>
      <c r="AP429" s="280"/>
      <c r="AQ429" s="280"/>
      <c r="AR429" s="280"/>
      <c r="AS429" s="280"/>
      <c r="BJ429" s="1184" t="s">
        <v>4763</v>
      </c>
    </row>
    <row r="430" spans="1:62" x14ac:dyDescent="0.3">
      <c r="A430" s="1200">
        <v>6</v>
      </c>
      <c r="B430" s="1208" t="s">
        <v>637</v>
      </c>
      <c r="C430" s="1203"/>
      <c r="D430" s="1203"/>
      <c r="E430" s="1203" t="s">
        <v>271</v>
      </c>
      <c r="F430" s="1205" t="s">
        <v>645</v>
      </c>
      <c r="G430" s="1202" t="s">
        <v>4389</v>
      </c>
      <c r="H430" s="1206" t="s">
        <v>4387</v>
      </c>
      <c r="I430" s="66"/>
      <c r="J430" s="140"/>
      <c r="K430" s="115" t="s">
        <v>645</v>
      </c>
      <c r="L430" s="98" t="s">
        <v>646</v>
      </c>
      <c r="M430" s="1351"/>
      <c r="N430" s="282"/>
      <c r="O430" s="282"/>
      <c r="P430" s="280"/>
      <c r="Q430" s="280"/>
      <c r="R430" s="280"/>
      <c r="S430" s="280"/>
      <c r="T430" s="280"/>
      <c r="U430" s="280"/>
      <c r="V430" s="280"/>
      <c r="W430" s="280"/>
      <c r="X430" s="1303"/>
      <c r="Y430" s="1522"/>
      <c r="Z430" s="1586"/>
      <c r="AC430" s="280"/>
      <c r="AD430" s="280"/>
      <c r="AE430" s="280"/>
      <c r="AF430" s="280"/>
      <c r="AG430" s="280"/>
      <c r="AH430" s="280"/>
      <c r="AI430" s="280"/>
      <c r="AJ430" s="280"/>
      <c r="AK430" s="280"/>
      <c r="AL430" s="280"/>
      <c r="AM430" s="280"/>
      <c r="AN430" s="280"/>
      <c r="AO430" s="280"/>
      <c r="AP430" s="280"/>
      <c r="AQ430" s="280"/>
      <c r="AR430" s="280"/>
      <c r="AS430" s="280"/>
      <c r="BJ430" s="1184" t="s">
        <v>4763</v>
      </c>
    </row>
    <row r="431" spans="1:62" x14ac:dyDescent="0.3">
      <c r="A431" s="1200">
        <v>6</v>
      </c>
      <c r="B431" s="1208" t="s">
        <v>637</v>
      </c>
      <c r="C431" s="1203"/>
      <c r="D431" s="1203"/>
      <c r="E431" s="1203" t="s">
        <v>271</v>
      </c>
      <c r="F431" s="1203" t="s">
        <v>647</v>
      </c>
      <c r="G431" s="1202" t="s">
        <v>4389</v>
      </c>
      <c r="H431" s="1200" t="s">
        <v>4387</v>
      </c>
      <c r="I431" s="66"/>
      <c r="J431" s="140"/>
      <c r="K431" s="210" t="s">
        <v>647</v>
      </c>
      <c r="L431" s="98" t="s">
        <v>648</v>
      </c>
      <c r="M431" s="1351"/>
      <c r="N431" s="282"/>
      <c r="O431" s="282"/>
      <c r="P431" s="280"/>
      <c r="Q431" s="280"/>
      <c r="R431" s="280"/>
      <c r="S431" s="280"/>
      <c r="T431" s="280"/>
      <c r="U431" s="280"/>
      <c r="V431" s="280"/>
      <c r="W431" s="280"/>
      <c r="X431" s="1303"/>
      <c r="Y431" s="1522"/>
      <c r="Z431" s="1586"/>
      <c r="AC431" s="280"/>
      <c r="AD431" s="280"/>
      <c r="AE431" s="280"/>
      <c r="AF431" s="280"/>
      <c r="AG431" s="280"/>
      <c r="AH431" s="280"/>
      <c r="AI431" s="280"/>
      <c r="AJ431" s="280"/>
      <c r="AK431" s="280"/>
      <c r="AL431" s="280"/>
      <c r="AM431" s="280"/>
      <c r="AN431" s="280"/>
      <c r="AO431" s="280"/>
      <c r="AP431" s="280"/>
      <c r="AQ431" s="280"/>
      <c r="AR431" s="280"/>
      <c r="AS431" s="280"/>
      <c r="BJ431" s="1184" t="s">
        <v>4763</v>
      </c>
    </row>
    <row r="432" spans="1:62" x14ac:dyDescent="0.3">
      <c r="A432" s="1200">
        <v>6</v>
      </c>
      <c r="B432" s="1208" t="s">
        <v>637</v>
      </c>
      <c r="C432" s="1203"/>
      <c r="D432" s="1203"/>
      <c r="E432" s="1203" t="s">
        <v>271</v>
      </c>
      <c r="F432" s="1203" t="s">
        <v>649</v>
      </c>
      <c r="G432" s="1202" t="s">
        <v>4389</v>
      </c>
      <c r="H432" s="1200" t="s">
        <v>4387</v>
      </c>
      <c r="I432" s="66"/>
      <c r="J432" s="238"/>
      <c r="K432" s="246" t="s">
        <v>649</v>
      </c>
      <c r="L432" s="193" t="s">
        <v>650</v>
      </c>
      <c r="M432" s="1352"/>
      <c r="N432" s="282"/>
      <c r="O432" s="282"/>
      <c r="P432" s="280"/>
      <c r="Q432" s="280"/>
      <c r="R432" s="280"/>
      <c r="S432" s="280"/>
      <c r="T432" s="280"/>
      <c r="U432" s="280"/>
      <c r="V432" s="280"/>
      <c r="W432" s="280"/>
      <c r="X432" s="1303"/>
      <c r="Y432" s="1522"/>
      <c r="Z432" s="1586"/>
      <c r="AC432" s="280"/>
      <c r="AD432" s="280"/>
      <c r="AE432" s="280"/>
      <c r="AF432" s="280"/>
      <c r="AG432" s="280"/>
      <c r="AH432" s="280"/>
      <c r="AI432" s="280"/>
      <c r="AJ432" s="280"/>
      <c r="AK432" s="280"/>
      <c r="AL432" s="280"/>
      <c r="AM432" s="280"/>
      <c r="AN432" s="280"/>
      <c r="AO432" s="280"/>
      <c r="AP432" s="280"/>
      <c r="AQ432" s="280"/>
      <c r="AR432" s="280"/>
      <c r="AS432" s="280"/>
      <c r="BJ432" s="1184" t="s">
        <v>4763</v>
      </c>
    </row>
    <row r="433" spans="1:62" x14ac:dyDescent="0.3">
      <c r="A433" s="1200">
        <v>6</v>
      </c>
      <c r="B433" s="1208" t="s">
        <v>637</v>
      </c>
      <c r="C433" s="1203"/>
      <c r="D433" s="1203"/>
      <c r="E433" s="1203" t="s">
        <v>273</v>
      </c>
      <c r="F433" s="1208"/>
      <c r="G433" s="1202" t="str">
        <f>IF(N433&gt;0,"P","")</f>
        <v/>
      </c>
      <c r="H433" s="1211" t="s">
        <v>4387</v>
      </c>
      <c r="I433" s="66"/>
      <c r="J433" s="203" t="s">
        <v>273</v>
      </c>
      <c r="K433" s="98"/>
      <c r="L433" s="1305" t="s">
        <v>651</v>
      </c>
      <c r="M433" s="1318">
        <v>2</v>
      </c>
      <c r="N433" s="1473">
        <f>'Ch6'!O179</f>
        <v>0</v>
      </c>
      <c r="O433" s="1473">
        <f>M433*S433*W433</f>
        <v>0</v>
      </c>
      <c r="P433" s="280" t="b">
        <v>1</v>
      </c>
      <c r="Q433" s="280" t="b">
        <v>0</v>
      </c>
      <c r="R433" s="280" t="b">
        <v>0</v>
      </c>
      <c r="S433" s="280" t="b">
        <v>1</v>
      </c>
      <c r="T433" s="280" t="b">
        <v>0</v>
      </c>
      <c r="U433" s="280"/>
      <c r="V433" s="280"/>
      <c r="W433" s="25"/>
      <c r="X433" s="1303"/>
      <c r="Y433" s="1522" t="str">
        <f>IF(LEN('Ch6'!X179)=0,"None",'Ch6'!X179)</f>
        <v>None</v>
      </c>
      <c r="Z433" s="1586"/>
      <c r="AC433" s="280"/>
      <c r="AD433" s="280"/>
      <c r="AE433" s="280"/>
      <c r="AF433" s="280"/>
      <c r="AG433" s="280"/>
      <c r="AH433" s="280"/>
      <c r="AI433" s="280"/>
      <c r="AJ433" s="280"/>
      <c r="AK433" s="280"/>
      <c r="AL433" s="311" t="str">
        <f>SUBSTITUTE(SUBSTITUTE(SUBSTITUTE("vpa"&amp;$B433&amp;$C433&amp;$D433&amp;$E433&amp;$F433,".","_"),"(","_"),")","")</f>
        <v>vpa602_1_9_2</v>
      </c>
      <c r="AM433" s="311">
        <f>M433</f>
        <v>2</v>
      </c>
      <c r="AN433" s="311" t="str">
        <f>SUBSTITUTE(SUBSTITUTE(SUBSTITUTE("vpc"&amp;$B433&amp;$C433&amp;$D433&amp;$E433&amp;$F433,".","_"),"(","_"),")","")</f>
        <v>vpc602_1_9_2</v>
      </c>
      <c r="AO433" s="311">
        <f>O433</f>
        <v>0</v>
      </c>
      <c r="AP433" s="311" t="str">
        <f>SUBSTITUTE(SUBSTITUTE(SUBSTITUTE("vch"&amp;$B433&amp;$C433&amp;$D433&amp;$E433&amp;$F433,".","_"),"(","_"),")","")</f>
        <v>vch602_1_9_2</v>
      </c>
      <c r="AQ433" s="311">
        <f>W433</f>
        <v>0</v>
      </c>
      <c r="AR433" s="311" t="str">
        <f>SUBSTITUTE(SUBSTITUTE(SUBSTITUTE("vnt"&amp;$B433&amp;$C433&amp;$D433&amp;$E433&amp;$F433,".","_"),"(","_"),")","")</f>
        <v>vnt602_1_9_2</v>
      </c>
      <c r="AS433" s="311">
        <f>X433</f>
        <v>0</v>
      </c>
      <c r="BJ433" s="1184" t="s">
        <v>4763</v>
      </c>
    </row>
    <row r="434" spans="1:62" x14ac:dyDescent="0.3">
      <c r="A434" s="1200">
        <v>6</v>
      </c>
      <c r="B434" s="1208" t="s">
        <v>637</v>
      </c>
      <c r="C434" s="1203"/>
      <c r="D434" s="1203"/>
      <c r="E434" s="1203" t="s">
        <v>273</v>
      </c>
      <c r="F434" s="1208"/>
      <c r="G434" s="1202" t="str">
        <f t="shared" ref="G434:G435" si="134">G433</f>
        <v/>
      </c>
      <c r="H434" s="1211" t="s">
        <v>4387</v>
      </c>
      <c r="I434" s="66"/>
      <c r="J434" s="140"/>
      <c r="K434" s="98"/>
      <c r="L434" s="1305"/>
      <c r="M434" s="1318"/>
      <c r="N434" s="1473"/>
      <c r="O434" s="1473"/>
      <c r="P434" s="280"/>
      <c r="Q434" s="280"/>
      <c r="R434" s="280"/>
      <c r="S434" s="280"/>
      <c r="T434" s="280"/>
      <c r="U434" s="280"/>
      <c r="V434" s="280"/>
      <c r="W434" s="280"/>
      <c r="X434" s="1303"/>
      <c r="Y434" s="1522"/>
      <c r="Z434" s="1586"/>
      <c r="AC434" s="280"/>
      <c r="AD434" s="280"/>
      <c r="AE434" s="280"/>
      <c r="AF434" s="280"/>
      <c r="AG434" s="280"/>
      <c r="AH434" s="280"/>
      <c r="AI434" s="280"/>
      <c r="AJ434" s="280"/>
      <c r="AK434" s="280"/>
      <c r="AL434" s="280"/>
      <c r="AM434" s="280"/>
      <c r="AN434" s="280"/>
      <c r="AO434" s="280"/>
      <c r="AP434" s="280"/>
      <c r="AQ434" s="280"/>
      <c r="AR434" s="280"/>
      <c r="AS434" s="280"/>
      <c r="BJ434" s="1184" t="s">
        <v>4763</v>
      </c>
    </row>
    <row r="435" spans="1:62" x14ac:dyDescent="0.3">
      <c r="A435" s="1200">
        <v>6</v>
      </c>
      <c r="B435" s="1208" t="s">
        <v>637</v>
      </c>
      <c r="C435" s="1203"/>
      <c r="D435" s="1203"/>
      <c r="E435" s="1203" t="s">
        <v>273</v>
      </c>
      <c r="F435" s="1208"/>
      <c r="G435" s="1202" t="str">
        <f t="shared" si="134"/>
        <v/>
      </c>
      <c r="H435" s="1211" t="s">
        <v>4387</v>
      </c>
      <c r="I435" s="66"/>
      <c r="J435" s="238"/>
      <c r="K435" s="193"/>
      <c r="L435" s="1306"/>
      <c r="M435" s="1319"/>
      <c r="N435" s="1491"/>
      <c r="O435" s="1491"/>
      <c r="P435" s="280"/>
      <c r="Q435" s="280"/>
      <c r="R435" s="280"/>
      <c r="S435" s="280"/>
      <c r="T435" s="280"/>
      <c r="U435" s="280"/>
      <c r="V435" s="280"/>
      <c r="W435" s="280"/>
      <c r="X435" s="1303"/>
      <c r="Y435" s="1522"/>
      <c r="Z435" s="1586"/>
      <c r="AC435" s="280"/>
      <c r="AD435" s="280"/>
      <c r="AE435" s="280"/>
      <c r="AF435" s="280"/>
      <c r="AG435" s="280"/>
      <c r="AH435" s="280"/>
      <c r="AI435" s="280"/>
      <c r="AJ435" s="280"/>
      <c r="AK435" s="280"/>
      <c r="AL435" s="280"/>
      <c r="AM435" s="280"/>
      <c r="AN435" s="280"/>
      <c r="AO435" s="280"/>
      <c r="AP435" s="280"/>
      <c r="AQ435" s="280"/>
      <c r="AR435" s="280"/>
      <c r="AS435" s="280"/>
      <c r="BJ435" s="1184" t="s">
        <v>4763</v>
      </c>
    </row>
    <row r="436" spans="1:62" x14ac:dyDescent="0.3">
      <c r="A436" s="1200">
        <v>6</v>
      </c>
      <c r="B436" s="1208" t="s">
        <v>637</v>
      </c>
      <c r="C436" s="1203"/>
      <c r="D436" s="1203"/>
      <c r="E436" s="1203" t="s">
        <v>275</v>
      </c>
      <c r="F436" s="1208"/>
      <c r="G436" s="1202" t="str">
        <f>IF(N436&gt;0,"P","")</f>
        <v/>
      </c>
      <c r="H436" s="1211" t="s">
        <v>4387</v>
      </c>
      <c r="I436" s="66"/>
      <c r="J436" s="233" t="s">
        <v>275</v>
      </c>
      <c r="K436" s="234"/>
      <c r="L436" s="234" t="s">
        <v>652</v>
      </c>
      <c r="M436" s="236">
        <v>3</v>
      </c>
      <c r="N436" s="240">
        <f>'Ch6'!O182</f>
        <v>0</v>
      </c>
      <c r="O436" s="240">
        <f>M436*S436*W436</f>
        <v>0</v>
      </c>
      <c r="P436" s="280" t="b">
        <v>1</v>
      </c>
      <c r="Q436" s="280" t="b">
        <v>0</v>
      </c>
      <c r="R436" s="280" t="b">
        <v>0</v>
      </c>
      <c r="S436" s="280" t="b">
        <v>1</v>
      </c>
      <c r="T436" s="280" t="b">
        <v>0</v>
      </c>
      <c r="U436" s="280"/>
      <c r="V436" s="280"/>
      <c r="W436" s="25"/>
      <c r="X436" s="281"/>
      <c r="Y436" s="312" t="str">
        <f>IF(LEN('Ch6'!X182)=0,"None",'Ch6'!X182)</f>
        <v>None</v>
      </c>
      <c r="Z436" s="1169"/>
      <c r="AC436" s="280"/>
      <c r="AD436" s="280"/>
      <c r="AE436" s="280"/>
      <c r="AF436" s="280"/>
      <c r="AG436" s="280"/>
      <c r="AH436" s="280"/>
      <c r="AI436" s="280"/>
      <c r="AJ436" s="280"/>
      <c r="AK436" s="280"/>
      <c r="AL436" s="311" t="str">
        <f t="shared" ref="AL436:AL437" si="135">SUBSTITUTE(SUBSTITUTE(SUBSTITUTE("vpa"&amp;$B436&amp;$C436&amp;$D436&amp;$E436&amp;$F436,".","_"),"(","_"),")","")</f>
        <v>vpa602_1_9_3</v>
      </c>
      <c r="AM436" s="311">
        <f>M436</f>
        <v>3</v>
      </c>
      <c r="AN436" s="311" t="str">
        <f t="shared" ref="AN436:AN437" si="136">SUBSTITUTE(SUBSTITUTE(SUBSTITUTE("vpc"&amp;$B436&amp;$C436&amp;$D436&amp;$E436&amp;$F436,".","_"),"(","_"),")","")</f>
        <v>vpc602_1_9_3</v>
      </c>
      <c r="AO436" s="311">
        <f>O436</f>
        <v>0</v>
      </c>
      <c r="AP436" s="311" t="str">
        <f t="shared" ref="AP436:AP437" si="137">SUBSTITUTE(SUBSTITUTE(SUBSTITUTE("vch"&amp;$B436&amp;$C436&amp;$D436&amp;$E436&amp;$F436,".","_"),"(","_"),")","")</f>
        <v>vch602_1_9_3</v>
      </c>
      <c r="AQ436" s="311">
        <f>W436</f>
        <v>0</v>
      </c>
      <c r="AR436" s="311" t="str">
        <f t="shared" ref="AR436:AR437" si="138">SUBSTITUTE(SUBSTITUTE(SUBSTITUTE("vnt"&amp;$B436&amp;$C436&amp;$D436&amp;$E436&amp;$F436,".","_"),"(","_"),")","")</f>
        <v>vnt602_1_9_3</v>
      </c>
      <c r="AS436" s="311">
        <f>X436</f>
        <v>0</v>
      </c>
      <c r="BJ436" s="1184" t="s">
        <v>4763</v>
      </c>
    </row>
    <row r="437" spans="1:62" x14ac:dyDescent="0.3">
      <c r="A437" s="1200">
        <v>6</v>
      </c>
      <c r="B437" s="1208" t="s">
        <v>637</v>
      </c>
      <c r="C437" s="1203"/>
      <c r="D437" s="1203"/>
      <c r="E437" s="1203" t="s">
        <v>285</v>
      </c>
      <c r="F437" s="1208"/>
      <c r="G437" s="1202" t="str">
        <f>IF(N437&gt;0,"P","")</f>
        <v/>
      </c>
      <c r="H437" s="1211" t="s">
        <v>4387</v>
      </c>
      <c r="I437" s="66"/>
      <c r="J437" s="237" t="s">
        <v>285</v>
      </c>
      <c r="K437" s="217"/>
      <c r="L437" s="1356" t="s">
        <v>653</v>
      </c>
      <c r="M437" s="1323">
        <v>3</v>
      </c>
      <c r="N437" s="1472">
        <f>'Ch6'!O183</f>
        <v>0</v>
      </c>
      <c r="O437" s="1472">
        <f>M437*S437*W437</f>
        <v>0</v>
      </c>
      <c r="P437" s="280" t="b">
        <v>1</v>
      </c>
      <c r="Q437" s="280" t="b">
        <v>0</v>
      </c>
      <c r="R437" s="280" t="b">
        <v>0</v>
      </c>
      <c r="S437" s="280" t="b">
        <v>1</v>
      </c>
      <c r="T437" s="280" t="b">
        <v>0</v>
      </c>
      <c r="U437" s="280"/>
      <c r="V437" s="280"/>
      <c r="W437" s="25"/>
      <c r="X437" s="1303"/>
      <c r="Y437" s="1522" t="str">
        <f>IF(LEN('Ch6'!X183)=0,"None",'Ch6'!X183)</f>
        <v>None</v>
      </c>
      <c r="Z437" s="1586"/>
      <c r="AC437" s="280"/>
      <c r="AD437" s="280"/>
      <c r="AE437" s="280"/>
      <c r="AF437" s="280"/>
      <c r="AG437" s="280"/>
      <c r="AH437" s="280"/>
      <c r="AI437" s="280"/>
      <c r="AJ437" s="280"/>
      <c r="AK437" s="280"/>
      <c r="AL437" s="311" t="str">
        <f t="shared" si="135"/>
        <v>vpa602_1_9_4</v>
      </c>
      <c r="AM437" s="311">
        <f>M437</f>
        <v>3</v>
      </c>
      <c r="AN437" s="311" t="str">
        <f t="shared" si="136"/>
        <v>vpc602_1_9_4</v>
      </c>
      <c r="AO437" s="311">
        <f>O437</f>
        <v>0</v>
      </c>
      <c r="AP437" s="311" t="str">
        <f t="shared" si="137"/>
        <v>vch602_1_9_4</v>
      </c>
      <c r="AQ437" s="311">
        <f>W437</f>
        <v>0</v>
      </c>
      <c r="AR437" s="311" t="str">
        <f t="shared" si="138"/>
        <v>vnt602_1_9_4</v>
      </c>
      <c r="AS437" s="311">
        <f>X437</f>
        <v>0</v>
      </c>
      <c r="BJ437" s="1184" t="s">
        <v>4763</v>
      </c>
    </row>
    <row r="438" spans="1:62" x14ac:dyDescent="0.3">
      <c r="A438" s="1200">
        <v>6</v>
      </c>
      <c r="B438" s="1208" t="s">
        <v>637</v>
      </c>
      <c r="C438" s="1203"/>
      <c r="D438" s="1203"/>
      <c r="E438" s="1203" t="s">
        <v>285</v>
      </c>
      <c r="F438" s="1208"/>
      <c r="G438" s="1202" t="str">
        <f t="shared" ref="G438:G440" si="139">G437</f>
        <v/>
      </c>
      <c r="H438" s="1211" t="s">
        <v>4387</v>
      </c>
      <c r="I438" s="66"/>
      <c r="J438" s="140"/>
      <c r="K438" s="98"/>
      <c r="L438" s="1305"/>
      <c r="M438" s="1318"/>
      <c r="N438" s="1473"/>
      <c r="O438" s="1473"/>
      <c r="P438" s="280"/>
      <c r="Q438" s="280"/>
      <c r="R438" s="280"/>
      <c r="S438" s="280"/>
      <c r="T438" s="280"/>
      <c r="U438" s="280"/>
      <c r="V438" s="280"/>
      <c r="W438" s="280"/>
      <c r="X438" s="1303"/>
      <c r="Y438" s="1522"/>
      <c r="Z438" s="1586"/>
      <c r="AC438" s="280"/>
      <c r="AD438" s="280"/>
      <c r="AE438" s="280"/>
      <c r="AF438" s="280"/>
      <c r="AG438" s="280"/>
      <c r="AH438" s="280"/>
      <c r="AI438" s="280"/>
      <c r="AJ438" s="280"/>
      <c r="AK438" s="280"/>
      <c r="AL438" s="280"/>
      <c r="AM438" s="280"/>
      <c r="AN438" s="280"/>
      <c r="AO438" s="280"/>
      <c r="AP438" s="280"/>
      <c r="AQ438" s="280"/>
      <c r="AR438" s="280"/>
      <c r="AS438" s="280"/>
      <c r="BJ438" s="1184" t="s">
        <v>4763</v>
      </c>
    </row>
    <row r="439" spans="1:62" x14ac:dyDescent="0.3">
      <c r="A439" s="1200">
        <v>6</v>
      </c>
      <c r="B439" s="1208" t="s">
        <v>637</v>
      </c>
      <c r="C439" s="1203"/>
      <c r="D439" s="1203"/>
      <c r="E439" s="1203" t="s">
        <v>285</v>
      </c>
      <c r="F439" s="1208"/>
      <c r="G439" s="1202" t="str">
        <f t="shared" si="139"/>
        <v/>
      </c>
      <c r="H439" s="1211" t="s">
        <v>4387</v>
      </c>
      <c r="I439" s="66"/>
      <c r="J439" s="140"/>
      <c r="K439" s="98"/>
      <c r="L439" s="1305"/>
      <c r="M439" s="1318"/>
      <c r="N439" s="1473"/>
      <c r="O439" s="1473"/>
      <c r="P439" s="280"/>
      <c r="Q439" s="280"/>
      <c r="R439" s="280"/>
      <c r="S439" s="280"/>
      <c r="T439" s="280"/>
      <c r="U439" s="280"/>
      <c r="V439" s="280"/>
      <c r="W439" s="280"/>
      <c r="X439" s="1303"/>
      <c r="Y439" s="1522"/>
      <c r="Z439" s="1586"/>
      <c r="AC439" s="280"/>
      <c r="AD439" s="280"/>
      <c r="AE439" s="280"/>
      <c r="AF439" s="280"/>
      <c r="AG439" s="280"/>
      <c r="AH439" s="280"/>
      <c r="AI439" s="280"/>
      <c r="AJ439" s="280"/>
      <c r="AK439" s="280"/>
      <c r="AL439" s="280"/>
      <c r="AM439" s="280"/>
      <c r="AN439" s="280"/>
      <c r="AO439" s="280"/>
      <c r="AP439" s="280"/>
      <c r="AQ439" s="280"/>
      <c r="AR439" s="280"/>
      <c r="AS439" s="280"/>
      <c r="BJ439" s="1184" t="s">
        <v>4763</v>
      </c>
    </row>
    <row r="440" spans="1:62" x14ac:dyDescent="0.3">
      <c r="A440" s="1200">
        <v>6</v>
      </c>
      <c r="B440" s="1208" t="s">
        <v>637</v>
      </c>
      <c r="C440" s="1203"/>
      <c r="D440" s="1203"/>
      <c r="E440" s="1203" t="s">
        <v>285</v>
      </c>
      <c r="F440" s="1208"/>
      <c r="G440" s="1202" t="str">
        <f t="shared" si="139"/>
        <v/>
      </c>
      <c r="H440" s="1211" t="s">
        <v>4387</v>
      </c>
      <c r="I440" s="66"/>
      <c r="J440" s="238"/>
      <c r="K440" s="193"/>
      <c r="L440" s="1306"/>
      <c r="M440" s="1319"/>
      <c r="N440" s="1491"/>
      <c r="O440" s="1491"/>
      <c r="P440" s="280"/>
      <c r="Q440" s="280"/>
      <c r="R440" s="280"/>
      <c r="S440" s="280"/>
      <c r="T440" s="280"/>
      <c r="U440" s="280"/>
      <c r="V440" s="280"/>
      <c r="W440" s="280"/>
      <c r="X440" s="1303"/>
      <c r="Y440" s="1522"/>
      <c r="Z440" s="1586"/>
      <c r="AC440" s="280"/>
      <c r="AD440" s="280"/>
      <c r="AE440" s="280"/>
      <c r="AF440" s="280"/>
      <c r="AG440" s="280"/>
      <c r="AH440" s="280"/>
      <c r="AI440" s="280"/>
      <c r="AJ440" s="280"/>
      <c r="AK440" s="280"/>
      <c r="AL440" s="280"/>
      <c r="AM440" s="280"/>
      <c r="AN440" s="280"/>
      <c r="AO440" s="280"/>
      <c r="AP440" s="280"/>
      <c r="AQ440" s="280"/>
      <c r="AR440" s="280"/>
      <c r="AS440" s="280"/>
      <c r="BJ440" s="1184" t="s">
        <v>4763</v>
      </c>
    </row>
    <row r="441" spans="1:62" x14ac:dyDescent="0.3">
      <c r="A441" s="1200">
        <v>6</v>
      </c>
      <c r="B441" s="1208" t="s">
        <v>637</v>
      </c>
      <c r="C441" s="1203"/>
      <c r="D441" s="1203"/>
      <c r="E441" s="1203" t="s">
        <v>291</v>
      </c>
      <c r="F441" s="1208"/>
      <c r="G441" s="1202" t="str">
        <f ca="1">IF(N441&gt;0,"P","")</f>
        <v/>
      </c>
      <c r="H441" s="1211" t="s">
        <v>4387</v>
      </c>
      <c r="I441" s="66"/>
      <c r="J441" s="27" t="s">
        <v>291</v>
      </c>
      <c r="K441" s="86"/>
      <c r="L441" s="86" t="s">
        <v>654</v>
      </c>
      <c r="M441" s="305"/>
      <c r="N441" s="282">
        <f ca="1">'Ch6'!O187</f>
        <v>0</v>
      </c>
      <c r="O441" s="282">
        <f ca="1">IFERROR(INDEX({4,2},MATCH(W441,INDIRECT(U441),0)),0)</f>
        <v>0</v>
      </c>
      <c r="P441" s="280" t="b">
        <v>1</v>
      </c>
      <c r="Q441" s="280" t="b">
        <v>0</v>
      </c>
      <c r="R441" s="280" t="b">
        <v>0</v>
      </c>
      <c r="S441" s="280" t="b">
        <v>1</v>
      </c>
      <c r="T441" s="280" t="b">
        <v>0</v>
      </c>
      <c r="U441" s="97" t="str">
        <f>SUBSTITUTE(SUBSTITUTE(SUBSTITUTE("dd"&amp;B441&amp;C441&amp;D441&amp;E441&amp;F441,".","_"),"(","_"),")","")</f>
        <v>dd602_1_9_5</v>
      </c>
      <c r="V441" s="280"/>
      <c r="W441" s="12"/>
      <c r="X441" s="1303"/>
      <c r="Y441" s="1522" t="str">
        <f>IF(LEN('Ch6'!X187)=0,"None",'Ch6'!X187)</f>
        <v>None</v>
      </c>
      <c r="Z441" s="1586"/>
      <c r="AC441" s="280"/>
      <c r="AD441" s="280"/>
      <c r="AE441" s="280"/>
      <c r="AF441" s="280"/>
      <c r="AG441" s="280"/>
      <c r="AH441" s="280"/>
      <c r="AI441" s="280"/>
      <c r="AJ441" s="280"/>
      <c r="AK441" s="280"/>
      <c r="AL441" s="280"/>
      <c r="AM441" s="280"/>
      <c r="AN441" s="311" t="str">
        <f>SUBSTITUTE(SUBSTITUTE(SUBSTITUTE("vpc"&amp;$B441&amp;$C441&amp;$D441&amp;$E441&amp;$F441,".","_"),"(","_"),")","")</f>
        <v>vpc602_1_9_5</v>
      </c>
      <c r="AO441" s="311">
        <f ca="1">O441</f>
        <v>0</v>
      </c>
      <c r="AP441" s="311" t="str">
        <f>SUBSTITUTE(SUBSTITUTE(SUBSTITUTE("vch"&amp;$B441&amp;$C441&amp;$D441&amp;$E441&amp;$F441,".","_"),"(","_"),")","")</f>
        <v>vch602_1_9_5</v>
      </c>
      <c r="AQ441" s="311">
        <f>W441</f>
        <v>0</v>
      </c>
      <c r="AR441" s="311" t="str">
        <f>SUBSTITUTE(SUBSTITUTE(SUBSTITUTE("vnt"&amp;$B441&amp;$C441&amp;$D441&amp;$E441&amp;$F441,".","_"),"(","_"),")","")</f>
        <v>vnt602_1_9_5</v>
      </c>
      <c r="AS441" s="311">
        <f>X441</f>
        <v>0</v>
      </c>
      <c r="BJ441" s="1184" t="s">
        <v>4763</v>
      </c>
    </row>
    <row r="442" spans="1:62" x14ac:dyDescent="0.3">
      <c r="A442" s="1200">
        <v>6</v>
      </c>
      <c r="B442" s="1208" t="s">
        <v>637</v>
      </c>
      <c r="C442" s="1203"/>
      <c r="D442" s="1203"/>
      <c r="E442" s="1203" t="s">
        <v>291</v>
      </c>
      <c r="F442" s="1203" t="s">
        <v>121</v>
      </c>
      <c r="G442" s="1202" t="str">
        <f t="shared" ref="G442:G446" ca="1" si="140">G441</f>
        <v/>
      </c>
      <c r="H442" s="1204" t="s">
        <v>4387</v>
      </c>
      <c r="I442" s="66"/>
      <c r="J442" s="4"/>
      <c r="K442" s="94" t="s">
        <v>121</v>
      </c>
      <c r="L442" s="1305" t="s">
        <v>655</v>
      </c>
      <c r="M442" s="1318">
        <v>4</v>
      </c>
      <c r="N442" s="282"/>
      <c r="O442" s="282"/>
      <c r="P442" s="280"/>
      <c r="Q442" s="280"/>
      <c r="R442" s="280"/>
      <c r="S442" s="280"/>
      <c r="T442" s="280"/>
      <c r="U442" s="280"/>
      <c r="V442" s="280"/>
      <c r="W442" s="280"/>
      <c r="X442" s="1303"/>
      <c r="Y442" s="1522"/>
      <c r="Z442" s="1586"/>
      <c r="AC442" s="280"/>
      <c r="AD442" s="280"/>
      <c r="AE442" s="280"/>
      <c r="AF442" s="280"/>
      <c r="AG442" s="280"/>
      <c r="AH442" s="280"/>
      <c r="AI442" s="280"/>
      <c r="AJ442" s="280"/>
      <c r="AK442" s="280"/>
      <c r="AL442" s="311" t="str">
        <f>SUBSTITUTE(SUBSTITUTE(SUBSTITUTE("vpa"&amp;$B442&amp;$C442&amp;$D442&amp;$E442&amp;$F442,".","_"),"(","_"),")","")</f>
        <v>vpa602_1_9_5_a</v>
      </c>
      <c r="AM442" s="311">
        <f>M442</f>
        <v>4</v>
      </c>
      <c r="AN442" s="280"/>
      <c r="AO442" s="280"/>
      <c r="AP442" s="280"/>
      <c r="AQ442" s="280"/>
      <c r="AR442" s="280"/>
      <c r="AS442" s="280"/>
      <c r="BJ442" s="1184" t="s">
        <v>4763</v>
      </c>
    </row>
    <row r="443" spans="1:62" x14ac:dyDescent="0.3">
      <c r="A443" s="1200">
        <v>6</v>
      </c>
      <c r="B443" s="1208" t="s">
        <v>637</v>
      </c>
      <c r="C443" s="1203"/>
      <c r="D443" s="1203"/>
      <c r="E443" s="1203" t="s">
        <v>291</v>
      </c>
      <c r="F443" s="1203" t="s">
        <v>121</v>
      </c>
      <c r="G443" s="1202" t="str">
        <f t="shared" ca="1" si="140"/>
        <v/>
      </c>
      <c r="H443" s="1204" t="s">
        <v>4387</v>
      </c>
      <c r="I443" s="66"/>
      <c r="J443" s="4"/>
      <c r="K443" s="94"/>
      <c r="L443" s="1305"/>
      <c r="M443" s="1318"/>
      <c r="N443" s="282"/>
      <c r="O443" s="282"/>
      <c r="P443" s="280"/>
      <c r="Q443" s="280"/>
      <c r="R443" s="280"/>
      <c r="S443" s="280"/>
      <c r="T443" s="280"/>
      <c r="U443" s="280"/>
      <c r="V443" s="280"/>
      <c r="W443" s="280"/>
      <c r="X443" s="1303"/>
      <c r="Y443" s="1522"/>
      <c r="Z443" s="1586"/>
      <c r="AC443" s="280"/>
      <c r="AD443" s="280"/>
      <c r="AE443" s="280"/>
      <c r="AF443" s="280"/>
      <c r="AG443" s="280"/>
      <c r="AH443" s="280"/>
      <c r="AI443" s="280"/>
      <c r="AJ443" s="280"/>
      <c r="AK443" s="280"/>
      <c r="AL443" s="280"/>
      <c r="AM443" s="280"/>
      <c r="AN443" s="280"/>
      <c r="AO443" s="280"/>
      <c r="AP443" s="280"/>
      <c r="AQ443" s="280"/>
      <c r="AR443" s="280"/>
      <c r="AS443" s="280"/>
      <c r="BJ443" s="1184" t="s">
        <v>4763</v>
      </c>
    </row>
    <row r="444" spans="1:62" x14ac:dyDescent="0.3">
      <c r="A444" s="1200">
        <v>6</v>
      </c>
      <c r="B444" s="1208" t="s">
        <v>637</v>
      </c>
      <c r="C444" s="1203"/>
      <c r="D444" s="1203"/>
      <c r="E444" s="1203" t="s">
        <v>291</v>
      </c>
      <c r="F444" s="1203" t="s">
        <v>121</v>
      </c>
      <c r="G444" s="1202" t="str">
        <f t="shared" ca="1" si="140"/>
        <v/>
      </c>
      <c r="H444" s="1204" t="s">
        <v>4387</v>
      </c>
      <c r="I444" s="66"/>
      <c r="J444" s="4"/>
      <c r="K444" s="192"/>
      <c r="L444" s="1306"/>
      <c r="M444" s="1319"/>
      <c r="N444" s="282"/>
      <c r="O444" s="282"/>
      <c r="P444" s="280"/>
      <c r="Q444" s="280"/>
      <c r="R444" s="280"/>
      <c r="S444" s="280"/>
      <c r="T444" s="280"/>
      <c r="U444" s="280"/>
      <c r="V444" s="280"/>
      <c r="W444" s="280"/>
      <c r="X444" s="1303"/>
      <c r="Y444" s="1522"/>
      <c r="Z444" s="1586"/>
      <c r="AC444" s="280"/>
      <c r="AD444" s="280"/>
      <c r="AE444" s="280"/>
      <c r="AF444" s="280"/>
      <c r="AG444" s="280"/>
      <c r="AH444" s="280"/>
      <c r="AI444" s="280"/>
      <c r="AJ444" s="280"/>
      <c r="AK444" s="280"/>
      <c r="AL444" s="280"/>
      <c r="AM444" s="280"/>
      <c r="AN444" s="280"/>
      <c r="AO444" s="280"/>
      <c r="AP444" s="280"/>
      <c r="AQ444" s="280"/>
      <c r="AR444" s="280"/>
      <c r="AS444" s="280"/>
      <c r="BJ444" s="1184" t="s">
        <v>4763</v>
      </c>
    </row>
    <row r="445" spans="1:62" x14ac:dyDescent="0.3">
      <c r="A445" s="1200">
        <v>6</v>
      </c>
      <c r="B445" s="1208" t="s">
        <v>637</v>
      </c>
      <c r="C445" s="1203"/>
      <c r="D445" s="1203"/>
      <c r="E445" s="1203" t="s">
        <v>291</v>
      </c>
      <c r="F445" s="1203" t="s">
        <v>122</v>
      </c>
      <c r="G445" s="1202" t="str">
        <f t="shared" ca="1" si="140"/>
        <v/>
      </c>
      <c r="H445" s="1204" t="s">
        <v>4387</v>
      </c>
      <c r="I445" s="66"/>
      <c r="J445" s="140"/>
      <c r="K445" s="94" t="s">
        <v>122</v>
      </c>
      <c r="L445" s="1305" t="s">
        <v>656</v>
      </c>
      <c r="M445" s="1318">
        <v>2</v>
      </c>
      <c r="N445" s="283"/>
      <c r="O445" s="283"/>
      <c r="P445" s="280"/>
      <c r="Q445" s="280"/>
      <c r="R445" s="280"/>
      <c r="S445" s="280"/>
      <c r="T445" s="280"/>
      <c r="U445" s="280"/>
      <c r="V445" s="280"/>
      <c r="W445" s="280"/>
      <c r="X445" s="1303"/>
      <c r="Y445" s="1522"/>
      <c r="Z445" s="1586"/>
      <c r="AC445" s="280"/>
      <c r="AD445" s="280"/>
      <c r="AE445" s="280"/>
      <c r="AF445" s="280"/>
      <c r="AG445" s="280"/>
      <c r="AH445" s="280"/>
      <c r="AI445" s="280"/>
      <c r="AJ445" s="280"/>
      <c r="AK445" s="280"/>
      <c r="AL445" s="311" t="str">
        <f>SUBSTITUTE(SUBSTITUTE(SUBSTITUTE("vpa"&amp;$B445&amp;$C445&amp;$D445&amp;$E445&amp;$F445,".","_"),"(","_"),")","")</f>
        <v>vpa602_1_9_5_b</v>
      </c>
      <c r="AM445" s="311">
        <f>M445</f>
        <v>2</v>
      </c>
      <c r="AN445" s="280"/>
      <c r="AO445" s="280"/>
      <c r="AP445" s="280"/>
      <c r="AQ445" s="280"/>
      <c r="AR445" s="280"/>
      <c r="AS445" s="280"/>
      <c r="BJ445" s="1184" t="s">
        <v>4763</v>
      </c>
    </row>
    <row r="446" spans="1:62" x14ac:dyDescent="0.3">
      <c r="A446" s="1200">
        <v>6</v>
      </c>
      <c r="B446" s="1208" t="s">
        <v>637</v>
      </c>
      <c r="C446" s="1203"/>
      <c r="D446" s="1203"/>
      <c r="E446" s="1203" t="s">
        <v>291</v>
      </c>
      <c r="F446" s="1203" t="s">
        <v>122</v>
      </c>
      <c r="G446" s="1202" t="str">
        <f t="shared" ca="1" si="140"/>
        <v/>
      </c>
      <c r="H446" s="1204" t="s">
        <v>4387</v>
      </c>
      <c r="I446" s="66"/>
      <c r="J446" s="238"/>
      <c r="K446" s="193"/>
      <c r="L446" s="1306"/>
      <c r="M446" s="1319"/>
      <c r="N446" s="284"/>
      <c r="O446" s="284"/>
      <c r="P446" s="280"/>
      <c r="Q446" s="280"/>
      <c r="R446" s="280"/>
      <c r="S446" s="280"/>
      <c r="T446" s="280"/>
      <c r="U446" s="280"/>
      <c r="V446" s="280"/>
      <c r="W446" s="280"/>
      <c r="X446" s="1303"/>
      <c r="Y446" s="1522"/>
      <c r="Z446" s="1586"/>
      <c r="AC446" s="280"/>
      <c r="AD446" s="280"/>
      <c r="AE446" s="280"/>
      <c r="AF446" s="280"/>
      <c r="AG446" s="280"/>
      <c r="AH446" s="280"/>
      <c r="AI446" s="280"/>
      <c r="AJ446" s="280"/>
      <c r="AK446" s="280"/>
      <c r="AL446" s="280"/>
      <c r="AM446" s="280"/>
      <c r="AN446" s="280"/>
      <c r="AO446" s="280"/>
      <c r="AP446" s="280"/>
      <c r="AQ446" s="280"/>
      <c r="AR446" s="280"/>
      <c r="AS446" s="280"/>
      <c r="BJ446" s="1184" t="s">
        <v>4763</v>
      </c>
    </row>
    <row r="447" spans="1:62" x14ac:dyDescent="0.3">
      <c r="A447" s="1200">
        <v>6</v>
      </c>
      <c r="B447" s="1208" t="s">
        <v>637</v>
      </c>
      <c r="C447" s="1203"/>
      <c r="D447" s="1203"/>
      <c r="E447" s="1203" t="s">
        <v>293</v>
      </c>
      <c r="F447" s="1208"/>
      <c r="G447" s="1202" t="str">
        <f>IF(N447&gt;0,"P","")</f>
        <v/>
      </c>
      <c r="H447" s="1211" t="s">
        <v>4387</v>
      </c>
      <c r="I447" s="66"/>
      <c r="J447" s="237" t="s">
        <v>293</v>
      </c>
      <c r="K447" s="217"/>
      <c r="L447" s="1356" t="s">
        <v>657</v>
      </c>
      <c r="M447" s="1323">
        <v>2</v>
      </c>
      <c r="N447" s="1472">
        <f>'Ch6'!O193</f>
        <v>0</v>
      </c>
      <c r="O447" s="1472">
        <f>M447*S447*W447</f>
        <v>0</v>
      </c>
      <c r="P447" s="280" t="b">
        <v>1</v>
      </c>
      <c r="Q447" s="280" t="b">
        <v>0</v>
      </c>
      <c r="R447" s="280" t="b">
        <v>0</v>
      </c>
      <c r="S447" s="280" t="b">
        <v>1</v>
      </c>
      <c r="T447" s="280" t="b">
        <v>0</v>
      </c>
      <c r="U447" s="280"/>
      <c r="V447" s="280"/>
      <c r="W447" s="25"/>
      <c r="X447" s="1303"/>
      <c r="Y447" s="1522" t="str">
        <f>IF(LEN('Ch6'!X193)=0,"None",'Ch6'!X193)</f>
        <v>None</v>
      </c>
      <c r="Z447" s="1586"/>
      <c r="AC447" s="280"/>
      <c r="AD447" s="280"/>
      <c r="AE447" s="280"/>
      <c r="AF447" s="280"/>
      <c r="AG447" s="280"/>
      <c r="AH447" s="280"/>
      <c r="AI447" s="280"/>
      <c r="AJ447" s="280"/>
      <c r="AK447" s="280"/>
      <c r="AL447" s="311" t="str">
        <f>SUBSTITUTE(SUBSTITUTE(SUBSTITUTE("vpa"&amp;$B447&amp;$C447&amp;$D447&amp;$E447&amp;$F447,".","_"),"(","_"),")","")</f>
        <v>vpa602_1_9_6</v>
      </c>
      <c r="AM447" s="311">
        <f>M447</f>
        <v>2</v>
      </c>
      <c r="AN447" s="311" t="str">
        <f>SUBSTITUTE(SUBSTITUTE(SUBSTITUTE("vpc"&amp;$B447&amp;$C447&amp;$D447&amp;$E447&amp;$F447,".","_"),"(","_"),")","")</f>
        <v>vpc602_1_9_6</v>
      </c>
      <c r="AO447" s="311">
        <f>O447</f>
        <v>0</v>
      </c>
      <c r="AP447" s="311" t="str">
        <f>SUBSTITUTE(SUBSTITUTE(SUBSTITUTE("vch"&amp;$B447&amp;$C447&amp;$D447&amp;$E447&amp;$F447,".","_"),"(","_"),")","")</f>
        <v>vch602_1_9_6</v>
      </c>
      <c r="AQ447" s="311">
        <f>W447</f>
        <v>0</v>
      </c>
      <c r="AR447" s="311" t="str">
        <f>SUBSTITUTE(SUBSTITUTE(SUBSTITUTE("vnt"&amp;$B447&amp;$C447&amp;$D447&amp;$E447&amp;$F447,".","_"),"(","_"),")","")</f>
        <v>vnt602_1_9_6</v>
      </c>
      <c r="AS447" s="311">
        <f>X447</f>
        <v>0</v>
      </c>
      <c r="BJ447" s="1184" t="s">
        <v>4763</v>
      </c>
    </row>
    <row r="448" spans="1:62" x14ac:dyDescent="0.3">
      <c r="A448" s="1200">
        <v>6</v>
      </c>
      <c r="B448" s="1208" t="s">
        <v>637</v>
      </c>
      <c r="C448" s="1203"/>
      <c r="D448" s="1203"/>
      <c r="E448" s="1203" t="s">
        <v>293</v>
      </c>
      <c r="F448" s="1208"/>
      <c r="G448" s="1202" t="str">
        <f t="shared" ref="G448" si="141">G447</f>
        <v/>
      </c>
      <c r="H448" s="1211" t="s">
        <v>4387</v>
      </c>
      <c r="I448" s="66"/>
      <c r="J448" s="238"/>
      <c r="K448" s="193"/>
      <c r="L448" s="1306"/>
      <c r="M448" s="1319"/>
      <c r="N448" s="1491"/>
      <c r="O448" s="1491"/>
      <c r="P448" s="280"/>
      <c r="Q448" s="280"/>
      <c r="R448" s="280"/>
      <c r="S448" s="280"/>
      <c r="T448" s="280"/>
      <c r="U448" s="280"/>
      <c r="V448" s="280"/>
      <c r="W448" s="280"/>
      <c r="X448" s="1303"/>
      <c r="Y448" s="1522"/>
      <c r="Z448" s="1586"/>
      <c r="AC448" s="280"/>
      <c r="AD448" s="280"/>
      <c r="AE448" s="280"/>
      <c r="AF448" s="280"/>
      <c r="AG448" s="280"/>
      <c r="AH448" s="280"/>
      <c r="AI448" s="280"/>
      <c r="AJ448" s="280"/>
      <c r="AK448" s="280"/>
      <c r="AL448" s="280"/>
      <c r="AM448" s="280"/>
      <c r="AN448" s="280"/>
      <c r="AO448" s="280"/>
      <c r="AP448" s="280"/>
      <c r="AQ448" s="280"/>
      <c r="AR448" s="280"/>
      <c r="AS448" s="280"/>
      <c r="BJ448" s="1184" t="s">
        <v>4763</v>
      </c>
    </row>
    <row r="449" spans="1:62" ht="15" thickBot="1" x14ac:dyDescent="0.35">
      <c r="A449" s="1200">
        <v>6</v>
      </c>
      <c r="B449" s="1208" t="s">
        <v>637</v>
      </c>
      <c r="C449" s="1203"/>
      <c r="D449" s="1203"/>
      <c r="E449" s="1203" t="s">
        <v>405</v>
      </c>
      <c r="F449" s="1212"/>
      <c r="G449" s="1202" t="str">
        <f>IF(N449&gt;0,"P","")</f>
        <v/>
      </c>
      <c r="H449" s="1211" t="s">
        <v>4387</v>
      </c>
      <c r="I449" s="66"/>
      <c r="J449" s="27" t="s">
        <v>405</v>
      </c>
      <c r="K449" s="86"/>
      <c r="L449" s="86" t="s">
        <v>658</v>
      </c>
      <c r="M449" s="305">
        <v>2</v>
      </c>
      <c r="N449" s="282">
        <f>'Ch6'!O195</f>
        <v>0</v>
      </c>
      <c r="O449" s="282">
        <f>M449*S449*W449</f>
        <v>0</v>
      </c>
      <c r="P449" s="280" t="b">
        <v>1</v>
      </c>
      <c r="Q449" s="280" t="b">
        <v>0</v>
      </c>
      <c r="R449" s="280" t="b">
        <v>0</v>
      </c>
      <c r="S449" s="280" t="b">
        <v>1</v>
      </c>
      <c r="T449" s="280" t="b">
        <v>0</v>
      </c>
      <c r="U449" s="280"/>
      <c r="V449" s="280"/>
      <c r="W449" s="25"/>
      <c r="X449" s="298"/>
      <c r="Y449" s="313" t="str">
        <f>IF(LEN('Ch6'!X195)=0,"None",'Ch6'!X195)</f>
        <v>None</v>
      </c>
      <c r="Z449" s="1173"/>
      <c r="AC449" s="280"/>
      <c r="AD449" s="280"/>
      <c r="AE449" s="280"/>
      <c r="AF449" s="280"/>
      <c r="AG449" s="280"/>
      <c r="AH449" s="280"/>
      <c r="AI449" s="280"/>
      <c r="AJ449" s="280"/>
      <c r="AK449" s="280"/>
      <c r="AL449" s="311" t="str">
        <f t="shared" ref="AL449:AL450" si="142">SUBSTITUTE(SUBSTITUTE(SUBSTITUTE("vpa"&amp;$B449&amp;$C449&amp;$D449&amp;$E449&amp;$F449,".","_"),"(","_"),")","")</f>
        <v>vpa602_1_9_7</v>
      </c>
      <c r="AM449" s="311">
        <f>M449</f>
        <v>2</v>
      </c>
      <c r="AN449" s="311" t="str">
        <f t="shared" ref="AN449:AN450" si="143">SUBSTITUTE(SUBSTITUTE(SUBSTITUTE("vpc"&amp;$B449&amp;$C449&amp;$D449&amp;$E449&amp;$F449,".","_"),"(","_"),")","")</f>
        <v>vpc602_1_9_7</v>
      </c>
      <c r="AO449" s="311">
        <f>O449</f>
        <v>0</v>
      </c>
      <c r="AP449" s="311" t="str">
        <f>SUBSTITUTE(SUBSTITUTE(SUBSTITUTE("vch"&amp;$B449&amp;$C449&amp;$D449&amp;$E449&amp;$F449,".","_"),"(","_"),")","")</f>
        <v>vch602_1_9_7</v>
      </c>
      <c r="AQ449" s="311">
        <f>W449</f>
        <v>0</v>
      </c>
      <c r="AR449" s="311" t="str">
        <f>SUBSTITUTE(SUBSTITUTE(SUBSTITUTE("vnt"&amp;$B449&amp;$C449&amp;$D449&amp;$E449&amp;$F449,".","_"),"(","_"),")","")</f>
        <v>vnt602_1_9_7</v>
      </c>
      <c r="AS449" s="311">
        <f>X449</f>
        <v>0</v>
      </c>
      <c r="BJ449" s="1184" t="s">
        <v>4763</v>
      </c>
    </row>
    <row r="450" spans="1:62" ht="15" thickTop="1" x14ac:dyDescent="0.3">
      <c r="A450" s="1200">
        <v>6</v>
      </c>
      <c r="B450" s="1210" t="s">
        <v>659</v>
      </c>
      <c r="C450" s="1213"/>
      <c r="D450" s="1203"/>
      <c r="E450" s="1203"/>
      <c r="F450" s="1203"/>
      <c r="G450" s="1202" t="str">
        <f ca="1">IF(N450&gt;0,"P","")</f>
        <v>P</v>
      </c>
      <c r="H450" s="1200" t="s">
        <v>4386</v>
      </c>
      <c r="I450" s="200" t="s">
        <v>660</v>
      </c>
      <c r="J450" s="201"/>
      <c r="K450" s="202"/>
      <c r="L450" s="1331" t="s">
        <v>661</v>
      </c>
      <c r="M450" s="1371" t="s">
        <v>809</v>
      </c>
      <c r="N450" s="1528">
        <f ca="1">'Ch6'!O196</f>
        <v>4</v>
      </c>
      <c r="O450" s="1528">
        <f ca="1">IFERROR(INDEX({2,4,6},MATCH(W451,INDIRECT(U451),0)),0)</f>
        <v>0</v>
      </c>
      <c r="P450" s="110"/>
      <c r="Q450" s="110"/>
      <c r="R450" s="110"/>
      <c r="S450" s="110"/>
      <c r="T450" s="110"/>
      <c r="U450" s="110"/>
      <c r="V450" s="110"/>
      <c r="W450" s="110"/>
      <c r="X450" s="110"/>
      <c r="Y450"/>
      <c r="Z450" s="1055"/>
      <c r="AA450" s="1110">
        <f>'Photo Review'!H450</f>
        <v>0</v>
      </c>
      <c r="AC450" s="280"/>
      <c r="AD450" s="280"/>
      <c r="AE450" s="280"/>
      <c r="AF450" s="280"/>
      <c r="AG450" s="280"/>
      <c r="AH450" s="280"/>
      <c r="AI450" s="280"/>
      <c r="AJ450" s="280"/>
      <c r="AK450" s="280"/>
      <c r="AL450" s="311" t="str">
        <f t="shared" si="142"/>
        <v>vpa602_1_10</v>
      </c>
      <c r="AM450" s="311" t="str">
        <f>M450</f>
        <v>2 per exterior door
6 Max</v>
      </c>
      <c r="AN450" s="311" t="str">
        <f t="shared" si="143"/>
        <v>vpc602_1_10</v>
      </c>
      <c r="AO450" s="311">
        <f ca="1">O450</f>
        <v>0</v>
      </c>
      <c r="AP450" s="280"/>
      <c r="AQ450" s="280"/>
      <c r="AR450" s="280"/>
      <c r="AS450" s="280"/>
      <c r="BJ450" s="1184" t="s">
        <v>4763</v>
      </c>
    </row>
    <row r="451" spans="1:62" x14ac:dyDescent="0.3">
      <c r="A451" s="1200">
        <v>6</v>
      </c>
      <c r="B451" s="1210" t="s">
        <v>659</v>
      </c>
      <c r="C451" s="1213"/>
      <c r="D451" s="1203"/>
      <c r="E451" s="1203"/>
      <c r="F451" s="1203"/>
      <c r="G451" s="1202" t="str">
        <f t="shared" ref="G451:G462" ca="1" si="144">G450</f>
        <v>P</v>
      </c>
      <c r="H451" s="1200" t="s">
        <v>4386</v>
      </c>
      <c r="I451" s="141"/>
      <c r="J451" s="140"/>
      <c r="K451" s="98"/>
      <c r="L451" s="1313"/>
      <c r="M451" s="1372"/>
      <c r="N451" s="1473"/>
      <c r="O451" s="1473"/>
      <c r="P451" s="97" t="b">
        <v>1</v>
      </c>
      <c r="Q451" s="97" t="b">
        <v>1</v>
      </c>
      <c r="R451" s="97" t="b">
        <v>0</v>
      </c>
      <c r="S451" s="97" t="b">
        <v>1</v>
      </c>
      <c r="T451" s="97" t="b">
        <v>0</v>
      </c>
      <c r="U451" s="97" t="str">
        <f>SUBSTITUTE(SUBSTITUTE(SUBSTITUTE("dd"&amp;B451&amp;C451&amp;D451&amp;E451&amp;F451,".","_"),"(","_"),")","")</f>
        <v>dd602_1_10</v>
      </c>
      <c r="V451" s="97"/>
      <c r="W451" s="12"/>
      <c r="X451" s="1295"/>
      <c r="Y451" s="1523" t="str">
        <f>IF(LEN('Ch6'!X197)=0,"None",'Ch6'!X197)</f>
        <v>None</v>
      </c>
      <c r="Z451" s="1583"/>
      <c r="AC451" s="280"/>
      <c r="AD451" s="280"/>
      <c r="AE451" s="280"/>
      <c r="AF451" s="280"/>
      <c r="AG451" s="280"/>
      <c r="AH451" s="280"/>
      <c r="AI451" s="280"/>
      <c r="AJ451" s="280"/>
      <c r="AK451" s="280"/>
      <c r="AL451" s="311"/>
      <c r="AM451" s="311"/>
      <c r="AN451" s="280"/>
      <c r="AO451" s="280"/>
      <c r="AP451" s="311" t="str">
        <f>SUBSTITUTE(SUBSTITUTE(SUBSTITUTE("vch"&amp;$B451&amp;$C451&amp;$D451&amp;$E451&amp;$F451,".","_"),"(","_"),")","")</f>
        <v>vch602_1_10</v>
      </c>
      <c r="AQ451" s="311">
        <f>W451</f>
        <v>0</v>
      </c>
      <c r="AR451" s="311" t="str">
        <f>SUBSTITUTE(SUBSTITUTE(SUBSTITUTE("vnt"&amp;$B451&amp;$C451&amp;$D451&amp;$E451&amp;$F451,".","_"),"(","_"),")","")</f>
        <v>vnt602_1_10</v>
      </c>
      <c r="AS451" s="311">
        <f>X451</f>
        <v>0</v>
      </c>
      <c r="BJ451" s="1184" t="s">
        <v>4763</v>
      </c>
    </row>
    <row r="452" spans="1:62" x14ac:dyDescent="0.3">
      <c r="A452" s="1200">
        <v>6</v>
      </c>
      <c r="B452" s="1210" t="s">
        <v>659</v>
      </c>
      <c r="C452" s="1213"/>
      <c r="D452" s="1203"/>
      <c r="E452" s="1203"/>
      <c r="F452" s="1203"/>
      <c r="G452" s="1202" t="str">
        <f t="shared" ca="1" si="144"/>
        <v>P</v>
      </c>
      <c r="H452" s="1200" t="s">
        <v>4386</v>
      </c>
      <c r="I452" s="141"/>
      <c r="J452" s="140"/>
      <c r="K452" s="98"/>
      <c r="L452" s="1313"/>
      <c r="M452" s="1372"/>
      <c r="N452" s="1473"/>
      <c r="O452" s="1473"/>
      <c r="P452" s="97"/>
      <c r="Q452" s="97"/>
      <c r="R452" s="97"/>
      <c r="S452" s="97"/>
      <c r="T452" s="97"/>
      <c r="U452" s="97"/>
      <c r="V452" s="97"/>
      <c r="W452" s="97"/>
      <c r="X452" s="1295"/>
      <c r="Y452" s="1523"/>
      <c r="Z452" s="1583"/>
      <c r="AC452" s="280"/>
      <c r="AD452" s="280"/>
      <c r="AE452" s="280"/>
      <c r="AF452" s="280"/>
      <c r="AG452" s="280"/>
      <c r="AH452" s="280"/>
      <c r="AI452" s="280"/>
      <c r="AJ452" s="280"/>
      <c r="AK452" s="280"/>
      <c r="AL452" s="280"/>
      <c r="AM452" s="280"/>
      <c r="AN452" s="280"/>
      <c r="AO452" s="280"/>
      <c r="AP452" s="280"/>
      <c r="AQ452" s="280"/>
      <c r="AR452" s="280"/>
      <c r="AS452" s="280"/>
      <c r="BJ452" s="1184" t="s">
        <v>4763</v>
      </c>
    </row>
    <row r="453" spans="1:62" x14ac:dyDescent="0.3">
      <c r="A453" s="1200">
        <v>6</v>
      </c>
      <c r="B453" s="1210" t="s">
        <v>659</v>
      </c>
      <c r="C453" s="1213"/>
      <c r="D453" s="1203"/>
      <c r="E453" s="1203"/>
      <c r="F453" s="1203"/>
      <c r="G453" s="1202" t="str">
        <f t="shared" ca="1" si="144"/>
        <v>P</v>
      </c>
      <c r="H453" s="1200" t="s">
        <v>4386</v>
      </c>
      <c r="I453" s="141"/>
      <c r="J453" s="140"/>
      <c r="K453" s="98"/>
      <c r="L453" s="1313"/>
      <c r="M453" s="1372"/>
      <c r="N453" s="1473"/>
      <c r="O453" s="1473"/>
      <c r="P453" s="97"/>
      <c r="Q453" s="97"/>
      <c r="R453" s="97"/>
      <c r="S453" s="97"/>
      <c r="T453" s="97"/>
      <c r="U453" s="97"/>
      <c r="V453" s="97"/>
      <c r="W453" s="97"/>
      <c r="X453" s="1295"/>
      <c r="Y453" s="1523"/>
      <c r="Z453" s="1583"/>
      <c r="AC453" s="280"/>
      <c r="AD453" s="280"/>
      <c r="AE453" s="280"/>
      <c r="AF453" s="280"/>
      <c r="AG453" s="280"/>
      <c r="AH453" s="280"/>
      <c r="AI453" s="280"/>
      <c r="AJ453" s="280"/>
      <c r="AK453" s="280"/>
      <c r="AL453" s="280"/>
      <c r="AM453" s="280"/>
      <c r="AN453" s="280"/>
      <c r="AO453" s="280"/>
      <c r="AP453" s="280"/>
      <c r="AQ453" s="280"/>
      <c r="AR453" s="280"/>
      <c r="AS453" s="280"/>
      <c r="BJ453" s="1184" t="s">
        <v>4763</v>
      </c>
    </row>
    <row r="454" spans="1:62" x14ac:dyDescent="0.3">
      <c r="A454" s="1200">
        <v>6</v>
      </c>
      <c r="B454" s="1210" t="s">
        <v>659</v>
      </c>
      <c r="C454" s="1213"/>
      <c r="D454" s="1203"/>
      <c r="E454" s="1203"/>
      <c r="F454" s="1203"/>
      <c r="G454" s="1202" t="str">
        <f t="shared" ca="1" si="144"/>
        <v>P</v>
      </c>
      <c r="H454" s="1200" t="s">
        <v>4386</v>
      </c>
      <c r="I454" s="141"/>
      <c r="J454" s="140"/>
      <c r="K454" s="98"/>
      <c r="L454" s="1313"/>
      <c r="M454" s="1372"/>
      <c r="N454" s="1473"/>
      <c r="O454" s="1473"/>
      <c r="P454" s="97"/>
      <c r="Q454" s="97"/>
      <c r="R454" s="97"/>
      <c r="S454" s="97"/>
      <c r="T454" s="97"/>
      <c r="U454" s="97"/>
      <c r="V454" s="97"/>
      <c r="W454" s="97"/>
      <c r="X454" s="1295"/>
      <c r="Y454" s="1523"/>
      <c r="Z454" s="1583"/>
      <c r="AC454" s="280"/>
      <c r="AD454" s="280"/>
      <c r="AE454" s="280"/>
      <c r="AF454" s="280"/>
      <c r="AG454" s="280"/>
      <c r="AH454" s="280"/>
      <c r="AI454" s="280"/>
      <c r="AJ454" s="280"/>
      <c r="AK454" s="280"/>
      <c r="AL454" s="280"/>
      <c r="AM454" s="280"/>
      <c r="AN454" s="280"/>
      <c r="AO454" s="280"/>
      <c r="AP454" s="280"/>
      <c r="AQ454" s="280"/>
      <c r="AR454" s="280"/>
      <c r="AS454" s="280"/>
      <c r="BJ454" s="1184" t="s">
        <v>4763</v>
      </c>
    </row>
    <row r="455" spans="1:62" x14ac:dyDescent="0.3">
      <c r="A455" s="1200">
        <v>6</v>
      </c>
      <c r="B455" s="1210" t="s">
        <v>659</v>
      </c>
      <c r="C455" s="1213"/>
      <c r="D455" s="1203"/>
      <c r="E455" s="1203"/>
      <c r="F455" s="1203"/>
      <c r="G455" s="1202" t="str">
        <f t="shared" ca="1" si="144"/>
        <v>P</v>
      </c>
      <c r="H455" s="1200" t="s">
        <v>4386</v>
      </c>
      <c r="I455" s="141"/>
      <c r="J455" s="140"/>
      <c r="K455" s="98"/>
      <c r="L455" s="1313"/>
      <c r="M455" s="1372"/>
      <c r="N455" s="1473"/>
      <c r="O455" s="1473"/>
      <c r="P455" s="97"/>
      <c r="Q455" s="97"/>
      <c r="R455" s="97"/>
      <c r="S455" s="97"/>
      <c r="T455" s="97"/>
      <c r="U455" s="97"/>
      <c r="V455" s="97"/>
      <c r="W455" s="97"/>
      <c r="X455" s="1295"/>
      <c r="Y455" s="1523"/>
      <c r="Z455" s="1583"/>
      <c r="AC455" s="280"/>
      <c r="AD455" s="280"/>
      <c r="AE455" s="280"/>
      <c r="AF455" s="280"/>
      <c r="AG455" s="280"/>
      <c r="AH455" s="280"/>
      <c r="AI455" s="280"/>
      <c r="AJ455" s="280"/>
      <c r="AK455" s="280"/>
      <c r="AL455" s="280"/>
      <c r="AM455" s="280"/>
      <c r="AN455" s="280"/>
      <c r="AO455" s="280"/>
      <c r="AP455" s="280"/>
      <c r="AQ455" s="280"/>
      <c r="AR455" s="280"/>
      <c r="AS455" s="280"/>
      <c r="BJ455" s="1184" t="s">
        <v>4763</v>
      </c>
    </row>
    <row r="456" spans="1:62" x14ac:dyDescent="0.3">
      <c r="A456" s="1200">
        <v>6</v>
      </c>
      <c r="B456" s="1210" t="s">
        <v>659</v>
      </c>
      <c r="C456" s="1213"/>
      <c r="D456" s="1203"/>
      <c r="E456" s="1203"/>
      <c r="F456" s="1203"/>
      <c r="G456" s="1202" t="str">
        <f t="shared" ca="1" si="144"/>
        <v>P</v>
      </c>
      <c r="H456" s="1200" t="s">
        <v>4386</v>
      </c>
      <c r="I456" s="141"/>
      <c r="J456" s="140"/>
      <c r="K456" s="98"/>
      <c r="L456" s="307" t="str">
        <f>"This Project's Climate Zone: "&amp;BF270</f>
        <v>This Project's Climate Zone: !!</v>
      </c>
      <c r="M456" s="1372"/>
      <c r="N456" s="1473"/>
      <c r="O456" s="1473"/>
      <c r="P456" s="97"/>
      <c r="Q456" s="97"/>
      <c r="R456" s="97"/>
      <c r="S456" s="97"/>
      <c r="T456" s="97"/>
      <c r="U456" s="97"/>
      <c r="V456" s="97"/>
      <c r="W456" s="97"/>
      <c r="X456" s="1295"/>
      <c r="Y456" s="1523"/>
      <c r="Z456" s="1583"/>
      <c r="AC456" s="280"/>
      <c r="AD456" s="280"/>
      <c r="AE456" s="280"/>
      <c r="AF456" s="280"/>
      <c r="AG456" s="280"/>
      <c r="AH456" s="280"/>
      <c r="AI456" s="280"/>
      <c r="AJ456" s="280"/>
      <c r="AK456" s="280"/>
      <c r="AL456" s="280"/>
      <c r="AM456" s="280"/>
      <c r="AN456" s="280"/>
      <c r="AO456" s="280"/>
      <c r="AP456" s="280"/>
      <c r="AQ456" s="280"/>
      <c r="AR456" s="280"/>
      <c r="AS456" s="280"/>
      <c r="BJ456" s="1184" t="s">
        <v>4763</v>
      </c>
    </row>
    <row r="457" spans="1:62" x14ac:dyDescent="0.3">
      <c r="A457" s="1200">
        <v>6</v>
      </c>
      <c r="B457" s="1210" t="s">
        <v>659</v>
      </c>
      <c r="C457" s="1213"/>
      <c r="D457" s="1203"/>
      <c r="E457" s="1203"/>
      <c r="F457" s="1203" t="s">
        <v>121</v>
      </c>
      <c r="G457" s="1202" t="str">
        <f t="shared" ca="1" si="144"/>
        <v>P</v>
      </c>
      <c r="H457" s="1204" t="s">
        <v>4386</v>
      </c>
      <c r="I457" s="141"/>
      <c r="J457" s="140"/>
      <c r="K457" s="94" t="s">
        <v>121</v>
      </c>
      <c r="L457" s="98" t="s">
        <v>662</v>
      </c>
      <c r="M457" s="1372"/>
      <c r="N457" s="1473"/>
      <c r="O457" s="1473"/>
      <c r="P457" s="97"/>
      <c r="Q457" s="97"/>
      <c r="R457" s="97"/>
      <c r="S457" s="97"/>
      <c r="T457" s="97"/>
      <c r="U457" s="97"/>
      <c r="V457" s="97"/>
      <c r="W457" s="97"/>
      <c r="X457" s="1295"/>
      <c r="Y457" s="1523"/>
      <c r="Z457" s="1583"/>
      <c r="AC457" s="280"/>
      <c r="AD457" s="280"/>
      <c r="AE457" s="280"/>
      <c r="AF457" s="280"/>
      <c r="AG457" s="280"/>
      <c r="AH457" s="280"/>
      <c r="AI457" s="280"/>
      <c r="AJ457" s="280"/>
      <c r="AK457" s="280"/>
      <c r="AL457" s="280"/>
      <c r="AM457" s="280"/>
      <c r="AN457" s="280"/>
      <c r="AO457" s="280"/>
      <c r="AP457" s="280"/>
      <c r="AQ457" s="280"/>
      <c r="AR457" s="280"/>
      <c r="AS457" s="280"/>
      <c r="BJ457" s="1184" t="s">
        <v>4763</v>
      </c>
    </row>
    <row r="458" spans="1:62" x14ac:dyDescent="0.3">
      <c r="A458" s="1200">
        <v>6</v>
      </c>
      <c r="B458" s="1210" t="s">
        <v>659</v>
      </c>
      <c r="C458" s="1213"/>
      <c r="D458" s="1203"/>
      <c r="E458" s="1203"/>
      <c r="F458" s="1203" t="s">
        <v>122</v>
      </c>
      <c r="G458" s="1202" t="str">
        <f t="shared" ca="1" si="144"/>
        <v>P</v>
      </c>
      <c r="H458" s="1204" t="s">
        <v>4386</v>
      </c>
      <c r="I458" s="141"/>
      <c r="J458" s="140"/>
      <c r="K458" s="94" t="s">
        <v>122</v>
      </c>
      <c r="L458" s="98" t="s">
        <v>663</v>
      </c>
      <c r="M458" s="1372"/>
      <c r="N458" s="1473"/>
      <c r="O458" s="1473"/>
      <c r="P458" s="97"/>
      <c r="Q458" s="97"/>
      <c r="R458" s="97"/>
      <c r="S458" s="97"/>
      <c r="T458" s="97"/>
      <c r="U458" s="97"/>
      <c r="V458" s="97"/>
      <c r="W458" s="97"/>
      <c r="X458" s="1295"/>
      <c r="Y458" s="1523"/>
      <c r="Z458" s="1583"/>
      <c r="AC458" s="280"/>
      <c r="AD458" s="280"/>
      <c r="AE458" s="280"/>
      <c r="AF458" s="280"/>
      <c r="AG458" s="280"/>
      <c r="AH458" s="280"/>
      <c r="AI458" s="280"/>
      <c r="AJ458" s="280"/>
      <c r="AK458" s="280"/>
      <c r="AL458" s="280"/>
      <c r="AM458" s="280"/>
      <c r="AN458" s="280"/>
      <c r="AO458" s="280"/>
      <c r="AP458" s="280"/>
      <c r="AQ458" s="280"/>
      <c r="AR458" s="280"/>
      <c r="AS458" s="280"/>
      <c r="BJ458" s="1184" t="s">
        <v>4763</v>
      </c>
    </row>
    <row r="459" spans="1:62" x14ac:dyDescent="0.3">
      <c r="A459" s="1200">
        <v>6</v>
      </c>
      <c r="B459" s="1210" t="s">
        <v>659</v>
      </c>
      <c r="C459" s="1213"/>
      <c r="D459" s="1203"/>
      <c r="E459" s="1203"/>
      <c r="F459" s="1203" t="s">
        <v>123</v>
      </c>
      <c r="G459" s="1202" t="str">
        <f t="shared" ca="1" si="144"/>
        <v>P</v>
      </c>
      <c r="H459" s="1204" t="s">
        <v>4386</v>
      </c>
      <c r="I459" s="141"/>
      <c r="J459" s="140"/>
      <c r="K459" s="115" t="s">
        <v>123</v>
      </c>
      <c r="L459" s="98" t="s">
        <v>664</v>
      </c>
      <c r="M459" s="1372"/>
      <c r="N459" s="1473"/>
      <c r="O459" s="1473"/>
      <c r="P459" s="97"/>
      <c r="Q459" s="97"/>
      <c r="R459" s="97"/>
      <c r="S459" s="97"/>
      <c r="T459" s="97"/>
      <c r="U459" s="97"/>
      <c r="V459" s="97"/>
      <c r="W459" s="97"/>
      <c r="X459" s="1295"/>
      <c r="Y459" s="1523"/>
      <c r="Z459" s="1583"/>
      <c r="AC459" s="280"/>
      <c r="AD459" s="280"/>
      <c r="AE459" s="280"/>
      <c r="AF459" s="280"/>
      <c r="AG459" s="280"/>
      <c r="AH459" s="280"/>
      <c r="AI459" s="280"/>
      <c r="AJ459" s="280"/>
      <c r="AK459" s="280"/>
      <c r="AL459" s="280"/>
      <c r="AM459" s="280"/>
      <c r="AN459" s="280"/>
      <c r="AO459" s="280"/>
      <c r="AP459" s="280"/>
      <c r="AQ459" s="280"/>
      <c r="AR459" s="280"/>
      <c r="AS459" s="280"/>
      <c r="BJ459" s="1184" t="s">
        <v>4763</v>
      </c>
    </row>
    <row r="460" spans="1:62" x14ac:dyDescent="0.3">
      <c r="A460" s="1200">
        <v>6</v>
      </c>
      <c r="B460" s="1210" t="s">
        <v>659</v>
      </c>
      <c r="C460" s="1213"/>
      <c r="D460" s="1203"/>
      <c r="E460" s="1203"/>
      <c r="F460" s="1203" t="s">
        <v>423</v>
      </c>
      <c r="G460" s="1202" t="str">
        <f t="shared" ca="1" si="144"/>
        <v>P</v>
      </c>
      <c r="H460" s="1204" t="s">
        <v>4386</v>
      </c>
      <c r="I460" s="141"/>
      <c r="J460" s="140"/>
      <c r="K460" s="210" t="s">
        <v>423</v>
      </c>
      <c r="L460" s="98" t="s">
        <v>665</v>
      </c>
      <c r="M460" s="1372"/>
      <c r="N460" s="1473"/>
      <c r="O460" s="1473"/>
      <c r="P460" s="97"/>
      <c r="Q460" s="97"/>
      <c r="R460" s="97"/>
      <c r="S460" s="97"/>
      <c r="T460" s="97"/>
      <c r="U460" s="97"/>
      <c r="V460" s="97"/>
      <c r="W460" s="97"/>
      <c r="X460" s="1295"/>
      <c r="Y460" s="1523"/>
      <c r="Z460" s="1583"/>
      <c r="AC460" s="280"/>
      <c r="AD460" s="280"/>
      <c r="AE460" s="280"/>
      <c r="AF460" s="280"/>
      <c r="AG460" s="280"/>
      <c r="AH460" s="280"/>
      <c r="AI460" s="280"/>
      <c r="AJ460" s="280"/>
      <c r="AK460" s="280"/>
      <c r="AL460" s="280"/>
      <c r="AM460" s="280"/>
      <c r="AN460" s="280"/>
      <c r="AO460" s="280"/>
      <c r="AP460" s="280"/>
      <c r="AQ460" s="280"/>
      <c r="AR460" s="280"/>
      <c r="AS460" s="280"/>
      <c r="BJ460" s="1184" t="s">
        <v>4763</v>
      </c>
    </row>
    <row r="461" spans="1:62" x14ac:dyDescent="0.3">
      <c r="A461" s="1200">
        <v>6</v>
      </c>
      <c r="B461" s="1210" t="s">
        <v>659</v>
      </c>
      <c r="C461" s="1213"/>
      <c r="D461" s="1203"/>
      <c r="E461" s="1203"/>
      <c r="F461" s="1203"/>
      <c r="G461" s="1202" t="str">
        <f t="shared" ca="1" si="144"/>
        <v>P</v>
      </c>
      <c r="H461" s="1204" t="s">
        <v>4386</v>
      </c>
      <c r="I461" s="141"/>
      <c r="J461" s="140"/>
      <c r="K461" s="210"/>
      <c r="L461" s="1369" t="s">
        <v>3254</v>
      </c>
      <c r="M461" s="1372"/>
      <c r="N461" s="1473"/>
      <c r="O461" s="1473"/>
      <c r="P461" s="97"/>
      <c r="Q461" s="97"/>
      <c r="R461" s="97"/>
      <c r="S461" s="97"/>
      <c r="T461" s="97"/>
      <c r="U461" s="97"/>
      <c r="V461" s="97"/>
      <c r="W461" s="97"/>
      <c r="X461" s="1295"/>
      <c r="Y461" s="1523"/>
      <c r="Z461" s="1583"/>
      <c r="AC461" s="280"/>
      <c r="AD461" s="280"/>
      <c r="AE461" s="280"/>
      <c r="AF461" s="280"/>
      <c r="AG461" s="280"/>
      <c r="AH461" s="280"/>
      <c r="AI461" s="280"/>
      <c r="AJ461" s="280"/>
      <c r="AK461" s="280"/>
      <c r="AL461" s="280"/>
      <c r="AM461" s="280"/>
      <c r="AN461" s="280"/>
      <c r="AO461" s="280"/>
      <c r="AP461" s="280"/>
      <c r="AQ461" s="280"/>
      <c r="AR461" s="280"/>
      <c r="AS461" s="280"/>
      <c r="BJ461" s="1184" t="s">
        <v>4763</v>
      </c>
    </row>
    <row r="462" spans="1:62" ht="15" thickBot="1" x14ac:dyDescent="0.35">
      <c r="A462" s="1200">
        <v>6</v>
      </c>
      <c r="B462" s="1210" t="s">
        <v>659</v>
      </c>
      <c r="C462" s="1213"/>
      <c r="D462" s="1203"/>
      <c r="E462" s="1203"/>
      <c r="F462" s="1203"/>
      <c r="G462" s="1202" t="str">
        <f t="shared" ca="1" si="144"/>
        <v>P</v>
      </c>
      <c r="H462" s="1204" t="s">
        <v>4386</v>
      </c>
      <c r="I462" s="141"/>
      <c r="J462" s="140"/>
      <c r="K462" s="210"/>
      <c r="L462" s="1357"/>
      <c r="M462" s="1372"/>
      <c r="N462" s="1529"/>
      <c r="O462" s="1473"/>
      <c r="P462" s="97"/>
      <c r="Q462" s="97"/>
      <c r="R462" s="97"/>
      <c r="S462" s="97"/>
      <c r="T462" s="97"/>
      <c r="U462" s="97"/>
      <c r="V462" s="97"/>
      <c r="W462" s="117"/>
      <c r="X462" s="1337"/>
      <c r="Y462" s="1524"/>
      <c r="Z462" s="1584"/>
      <c r="AC462" s="280"/>
      <c r="AD462" s="280"/>
      <c r="AE462" s="280"/>
      <c r="AF462" s="280"/>
      <c r="AG462" s="280"/>
      <c r="AH462" s="280"/>
      <c r="AI462" s="280"/>
      <c r="AJ462" s="280"/>
      <c r="AK462" s="280"/>
      <c r="AL462" s="280"/>
      <c r="AM462" s="280"/>
      <c r="AN462" s="280"/>
      <c r="AO462" s="280"/>
      <c r="AP462" s="280"/>
      <c r="AQ462" s="280"/>
      <c r="AR462" s="280"/>
      <c r="AS462" s="280"/>
      <c r="BJ462" s="1184" t="s">
        <v>4763</v>
      </c>
    </row>
    <row r="463" spans="1:62" ht="15" thickTop="1" x14ac:dyDescent="0.3">
      <c r="A463" s="1200">
        <v>6</v>
      </c>
      <c r="B463" s="1210" t="s">
        <v>666</v>
      </c>
      <c r="C463" s="1213"/>
      <c r="D463" s="1203"/>
      <c r="E463" s="1203"/>
      <c r="F463" s="1203"/>
      <c r="G463" s="1202" t="s">
        <v>4389</v>
      </c>
      <c r="H463" s="1200" t="s">
        <v>4386</v>
      </c>
      <c r="I463" s="200" t="s">
        <v>667</v>
      </c>
      <c r="J463" s="201"/>
      <c r="K463" s="202"/>
      <c r="L463" s="1331" t="s">
        <v>668</v>
      </c>
      <c r="M463" s="1362" t="str">
        <f>IF(R463,"Mandatory","N/A")</f>
        <v>Mandatory</v>
      </c>
      <c r="N463" s="296"/>
      <c r="O463" s="296"/>
      <c r="P463" s="110" t="b">
        <v>1</v>
      </c>
      <c r="Q463" s="110" t="b">
        <v>1</v>
      </c>
      <c r="R463" s="110" t="b">
        <f>S463</f>
        <v>1</v>
      </c>
      <c r="S463" s="110" t="b">
        <v>1</v>
      </c>
      <c r="T463" s="110" t="b">
        <v>0</v>
      </c>
      <c r="U463" s="110" t="str">
        <f>SUBSTITUTE(SUBSTITUTE(SUBSTITUTE("dd"&amp;B463&amp;C463&amp;D463&amp;E463&amp;F463,".","_"),"(","_"),")","")</f>
        <v>dd602_1_11</v>
      </c>
      <c r="V463" s="110"/>
      <c r="W463" s="12"/>
      <c r="X463" s="1327"/>
      <c r="Y463" s="1525" t="str">
        <f>IF(LEN('Ch6'!X209)=0,"None",'Ch6'!X209)</f>
        <v xml:space="preserve">ZERH Requirement - ENERGY STAR Certified Homes National Water Management Requirements, Section 4.2 Backing Material on Tub and Shower Enclosure </v>
      </c>
      <c r="Z463" s="1585"/>
      <c r="AC463" s="280" t="b">
        <f>OR(AD463:AE463)</f>
        <v>1</v>
      </c>
      <c r="AD463" s="280" t="b">
        <f>T463</f>
        <v>0</v>
      </c>
      <c r="AE463" s="280" t="b">
        <f>AND(R463,NOT(W463="Met"),NOT(W463="N/A"))</f>
        <v>1</v>
      </c>
      <c r="AF463" s="1182" t="b">
        <f>AND(AE463,NOT(Q463))</f>
        <v>0</v>
      </c>
      <c r="AG463" s="280"/>
      <c r="AH463" s="280"/>
      <c r="AI463" s="280"/>
      <c r="AJ463" s="280"/>
      <c r="AK463" s="280"/>
      <c r="AL463" s="311" t="str">
        <f>SUBSTITUTE(SUBSTITUTE(SUBSTITUTE("vpa"&amp;$B463&amp;$C463&amp;$D463&amp;$E463&amp;$F463,".","_"),"(","_"),")","")</f>
        <v>vpa602_1_11</v>
      </c>
      <c r="AM463" s="311" t="str">
        <f>M463</f>
        <v>Mandatory</v>
      </c>
      <c r="AN463" s="280"/>
      <c r="AO463" s="280"/>
      <c r="AP463" s="311" t="str">
        <f>SUBSTITUTE(SUBSTITUTE(SUBSTITUTE("vch"&amp;$B463&amp;$C463&amp;$D463&amp;$E463&amp;$F463,".","_"),"(","_"),")","")</f>
        <v>vch602_1_11</v>
      </c>
      <c r="AQ463" s="311">
        <f>W463</f>
        <v>0</v>
      </c>
      <c r="AR463" s="311" t="str">
        <f>SUBSTITUTE(SUBSTITUTE(SUBSTITUTE("vnt"&amp;$B463&amp;$C463&amp;$D463&amp;$E463&amp;$F463,".","_"),"(","_"),")","")</f>
        <v>vnt602_1_11</v>
      </c>
      <c r="AS463" s="311">
        <f>X463</f>
        <v>0</v>
      </c>
      <c r="BJ463" s="1184" t="s">
        <v>4763</v>
      </c>
    </row>
    <row r="464" spans="1:62" ht="15" thickBot="1" x14ac:dyDescent="0.35">
      <c r="A464" s="1200">
        <v>6</v>
      </c>
      <c r="B464" s="1210" t="s">
        <v>666</v>
      </c>
      <c r="C464" s="1213"/>
      <c r="D464" s="1203"/>
      <c r="E464" s="1203"/>
      <c r="F464" s="1203"/>
      <c r="G464" s="1202" t="s">
        <v>4389</v>
      </c>
      <c r="H464" s="1200" t="s">
        <v>4386</v>
      </c>
      <c r="I464" s="141"/>
      <c r="J464" s="140"/>
      <c r="K464" s="98"/>
      <c r="L464" s="1313"/>
      <c r="M464" s="1351"/>
      <c r="N464" s="283"/>
      <c r="O464" s="283"/>
      <c r="P464" s="97"/>
      <c r="Q464" s="97"/>
      <c r="R464" s="97"/>
      <c r="S464" s="97"/>
      <c r="T464" s="97"/>
      <c r="U464" s="97"/>
      <c r="V464" s="97"/>
      <c r="W464" s="317"/>
      <c r="X464" s="1337"/>
      <c r="Y464" s="1524"/>
      <c r="Z464" s="1584"/>
      <c r="AC464" s="280"/>
      <c r="AD464" s="280"/>
      <c r="AE464" s="280"/>
      <c r="AF464" s="280"/>
      <c r="AG464" s="280"/>
      <c r="AH464" s="280"/>
      <c r="AI464" s="280"/>
      <c r="AJ464" s="280"/>
      <c r="AK464" s="280"/>
      <c r="AL464" s="280"/>
      <c r="AM464" s="280"/>
      <c r="AN464" s="280"/>
      <c r="AO464" s="280"/>
      <c r="AP464" s="280"/>
      <c r="AQ464" s="280"/>
      <c r="AR464" s="280"/>
      <c r="AS464" s="280"/>
      <c r="BJ464" s="1184" t="s">
        <v>4763</v>
      </c>
    </row>
    <row r="465" spans="1:62" ht="15" thickTop="1" x14ac:dyDescent="0.3">
      <c r="A465" s="1200">
        <v>6</v>
      </c>
      <c r="B465" s="1210" t="s">
        <v>669</v>
      </c>
      <c r="C465" s="1213"/>
      <c r="D465" s="1203"/>
      <c r="E465" s="1203"/>
      <c r="F465" s="1203"/>
      <c r="G465" s="1202" t="str">
        <f ca="1">IF(N465&gt;0,"P","")</f>
        <v/>
      </c>
      <c r="H465" s="1200" t="s">
        <v>4387</v>
      </c>
      <c r="I465" s="200" t="s">
        <v>669</v>
      </c>
      <c r="J465" s="201"/>
      <c r="K465" s="202"/>
      <c r="L465" s="1331" t="s">
        <v>670</v>
      </c>
      <c r="M465" s="1343">
        <v>4</v>
      </c>
      <c r="N465" s="1528">
        <f ca="1">'Ch6'!O211</f>
        <v>0</v>
      </c>
      <c r="O465" s="1528">
        <f ca="1">M465*S465*W465</f>
        <v>0</v>
      </c>
      <c r="P465" s="280" t="b">
        <v>1</v>
      </c>
      <c r="Q465" s="280" t="b">
        <v>0</v>
      </c>
      <c r="R465" s="110" t="b">
        <v>0</v>
      </c>
      <c r="S465" s="110" t="b">
        <f ca="1">OR(ISBLANK(W310),W310=INDEX(INDIRECT(U310),1))</f>
        <v>1</v>
      </c>
      <c r="T465" s="110" t="b">
        <f ca="1">IF(AND(NOT(S465),W465=TRUE),TRUE,FALSE)</f>
        <v>0</v>
      </c>
      <c r="U465" s="110"/>
      <c r="V465" s="110"/>
      <c r="W465" s="25"/>
      <c r="X465" s="1327"/>
      <c r="Y465" s="1525" t="str">
        <f>IF(LEN('Ch6'!X211)=0,"None",'Ch6'!X211)</f>
        <v>None</v>
      </c>
      <c r="Z465" s="1585"/>
      <c r="AA465" s="1110">
        <f>'Photo Review'!H465</f>
        <v>0</v>
      </c>
      <c r="AC465" s="280" t="b">
        <f ca="1">OR(AD465:AE465)</f>
        <v>0</v>
      </c>
      <c r="AD465" s="280" t="b">
        <f ca="1">T465</f>
        <v>0</v>
      </c>
      <c r="AE465" s="280" t="b">
        <v>0</v>
      </c>
      <c r="AF465" s="1182" t="b">
        <f>AND(AE465,NOT(Q465))</f>
        <v>0</v>
      </c>
      <c r="AG465" s="280"/>
      <c r="AH465" s="280"/>
      <c r="AI465" s="280"/>
      <c r="AJ465" s="280"/>
      <c r="AK465" s="280"/>
      <c r="AL465" s="311" t="str">
        <f>SUBSTITUTE(SUBSTITUTE(SUBSTITUTE("vpa"&amp;$B465&amp;$C465&amp;$D465&amp;$E465&amp;$F465,".","_"),"(","_"),")","")</f>
        <v>vpa602_1_12</v>
      </c>
      <c r="AM465" s="311">
        <f>M465</f>
        <v>4</v>
      </c>
      <c r="AN465" s="311" t="str">
        <f>SUBSTITUTE(SUBSTITUTE(SUBSTITUTE("vpc"&amp;$B465&amp;$C465&amp;$D465&amp;$E465&amp;$F465,".","_"),"(","_"),")","")</f>
        <v>vpc602_1_12</v>
      </c>
      <c r="AO465" s="311">
        <f ca="1">O465</f>
        <v>0</v>
      </c>
      <c r="AP465" s="311" t="str">
        <f>SUBSTITUTE(SUBSTITUTE(SUBSTITUTE("vch"&amp;$B465&amp;$C465&amp;$D465&amp;$E465&amp;$F465,".","_"),"(","_"),")","")</f>
        <v>vch602_1_12</v>
      </c>
      <c r="AQ465" s="311">
        <f>W465</f>
        <v>0</v>
      </c>
      <c r="AR465" s="311" t="str">
        <f>SUBSTITUTE(SUBSTITUTE(SUBSTITUTE("vnt"&amp;$B465&amp;$C465&amp;$D465&amp;$E465&amp;$F465,".","_"),"(","_"),")","")</f>
        <v>vnt602_1_12</v>
      </c>
      <c r="AS465" s="311">
        <f>X465</f>
        <v>0</v>
      </c>
      <c r="BJ465" s="1184" t="s">
        <v>4763</v>
      </c>
    </row>
    <row r="466" spans="1:62" x14ac:dyDescent="0.3">
      <c r="A466" s="1200">
        <v>6</v>
      </c>
      <c r="B466" s="1210" t="s">
        <v>669</v>
      </c>
      <c r="C466" s="1213"/>
      <c r="D466" s="1203"/>
      <c r="E466" s="1203"/>
      <c r="F466" s="1203"/>
      <c r="G466" s="1202" t="str">
        <f t="shared" ref="G466:G467" ca="1" si="145">G465</f>
        <v/>
      </c>
      <c r="H466" s="1200" t="s">
        <v>4387</v>
      </c>
      <c r="I466" s="141"/>
      <c r="J466" s="140"/>
      <c r="K466" s="98"/>
      <c r="L466" s="1313"/>
      <c r="M466" s="1318"/>
      <c r="N466" s="1473"/>
      <c r="O466" s="1473"/>
      <c r="P466" s="97"/>
      <c r="Q466" s="97"/>
      <c r="R466" s="97"/>
      <c r="S466" s="97"/>
      <c r="T466" s="97"/>
      <c r="U466" s="97"/>
      <c r="V466" s="97"/>
      <c r="W466" s="97"/>
      <c r="X466" s="1295"/>
      <c r="Y466" s="1523"/>
      <c r="Z466" s="1583"/>
      <c r="AC466" s="280"/>
      <c r="AD466" s="280"/>
      <c r="AE466" s="280"/>
      <c r="AF466" s="280"/>
      <c r="AG466" s="280"/>
      <c r="AH466" s="280"/>
      <c r="AI466" s="280"/>
      <c r="AJ466" s="280"/>
      <c r="AK466" s="280"/>
      <c r="AL466" s="280"/>
      <c r="AM466" s="280"/>
      <c r="AN466" s="280"/>
      <c r="AO466" s="280"/>
      <c r="AP466" s="280"/>
      <c r="AQ466" s="280"/>
      <c r="AR466" s="280"/>
      <c r="AS466" s="280"/>
      <c r="BJ466" s="1184" t="s">
        <v>4763</v>
      </c>
    </row>
    <row r="467" spans="1:62" ht="15" thickBot="1" x14ac:dyDescent="0.35">
      <c r="A467" s="1200">
        <v>6</v>
      </c>
      <c r="B467" s="1210" t="s">
        <v>669</v>
      </c>
      <c r="C467" s="1213"/>
      <c r="D467" s="1203"/>
      <c r="E467" s="1203"/>
      <c r="F467" s="1203"/>
      <c r="G467" s="1202" t="str">
        <f t="shared" ca="1" si="145"/>
        <v/>
      </c>
      <c r="H467" s="1200" t="s">
        <v>4387</v>
      </c>
      <c r="I467" s="141"/>
      <c r="J467" s="140"/>
      <c r="K467" s="98"/>
      <c r="L467" s="328" t="s">
        <v>3239</v>
      </c>
      <c r="M467" s="1318"/>
      <c r="N467" s="1529"/>
      <c r="O467" s="1473"/>
      <c r="P467" s="97"/>
      <c r="Q467" s="97"/>
      <c r="R467" s="97"/>
      <c r="S467" s="97"/>
      <c r="T467" s="97"/>
      <c r="U467" s="97"/>
      <c r="V467" s="97"/>
      <c r="W467" s="117"/>
      <c r="X467" s="1337"/>
      <c r="Y467" s="1524"/>
      <c r="Z467" s="1584"/>
      <c r="AC467" s="280"/>
      <c r="AD467" s="280"/>
      <c r="AE467" s="280"/>
      <c r="AF467" s="280"/>
      <c r="AG467" s="280"/>
      <c r="AH467" s="280"/>
      <c r="AI467" s="280"/>
      <c r="AJ467" s="280"/>
      <c r="AK467" s="280"/>
      <c r="AL467" s="280"/>
      <c r="AM467" s="280"/>
      <c r="AN467" s="280"/>
      <c r="AO467" s="280"/>
      <c r="AP467" s="280"/>
      <c r="AQ467" s="280"/>
      <c r="AR467" s="280"/>
      <c r="AS467" s="280"/>
      <c r="BJ467" s="1184" t="s">
        <v>4763</v>
      </c>
    </row>
    <row r="468" spans="1:62" ht="15" thickTop="1" x14ac:dyDescent="0.3">
      <c r="A468" s="1200">
        <v>6</v>
      </c>
      <c r="B468" s="1208" t="s">
        <v>671</v>
      </c>
      <c r="C468" s="1208"/>
      <c r="D468" s="1203"/>
      <c r="E468" s="1203"/>
      <c r="F468" s="1203"/>
      <c r="G468" s="1202" t="s">
        <v>4389</v>
      </c>
      <c r="H468" s="1200" t="s">
        <v>4387</v>
      </c>
      <c r="I468" s="200" t="s">
        <v>672</v>
      </c>
      <c r="J468" s="201"/>
      <c r="K468" s="202"/>
      <c r="L468" s="1331" t="s">
        <v>673</v>
      </c>
      <c r="M468" s="1362" t="str">
        <f>IF(R468,"Mandatory","N/A")</f>
        <v>Mandatory</v>
      </c>
      <c r="N468" s="296"/>
      <c r="O468" s="296"/>
      <c r="P468" s="110" t="b">
        <v>1</v>
      </c>
      <c r="Q468" s="110" t="b">
        <v>0</v>
      </c>
      <c r="R468" s="110" t="b">
        <f>S468</f>
        <v>1</v>
      </c>
      <c r="S468" s="110" t="b">
        <v>1</v>
      </c>
      <c r="T468" s="110" t="b">
        <v>0</v>
      </c>
      <c r="U468" s="110" t="str">
        <f>SUBSTITUTE(SUBSTITUTE(SUBSTITUTE("dd"&amp;B468&amp;C468&amp;D468&amp;E468&amp;F468,".","_"),"(","_"),")","")</f>
        <v>dd602_1_13</v>
      </c>
      <c r="V468" s="110"/>
      <c r="W468" s="12"/>
      <c r="X468" s="1327"/>
      <c r="Y468" s="1525" t="str">
        <f>IF(LEN('Ch6'!X214)=0,"None",'Ch6'!X214)</f>
        <v>None</v>
      </c>
      <c r="Z468" s="1585"/>
      <c r="AC468" s="280" t="b">
        <f>OR(AD468:AE468)</f>
        <v>1</v>
      </c>
      <c r="AD468" s="280" t="b">
        <f>T468</f>
        <v>0</v>
      </c>
      <c r="AE468" s="280" t="b">
        <f>AND(R468,NOT(W468="Met"),NOT(W468="N/A"))</f>
        <v>1</v>
      </c>
      <c r="AF468" s="1182" t="b">
        <f>AND(AE468,NOT(Q468))</f>
        <v>1</v>
      </c>
      <c r="AG468" s="280"/>
      <c r="AH468" s="280"/>
      <c r="AI468" s="280"/>
      <c r="AJ468" s="280"/>
      <c r="AK468" s="280"/>
      <c r="AL468" s="311" t="str">
        <f>SUBSTITUTE(SUBSTITUTE(SUBSTITUTE("vpa"&amp;$B468&amp;$C468&amp;$D468&amp;$E468&amp;$F468,".","_"),"(","_"),")","")</f>
        <v>vpa602_1_13</v>
      </c>
      <c r="AM468" s="311" t="str">
        <f>M468</f>
        <v>Mandatory</v>
      </c>
      <c r="AN468" s="280"/>
      <c r="AO468" s="280"/>
      <c r="AP468" s="311" t="str">
        <f>SUBSTITUTE(SUBSTITUTE(SUBSTITUTE("vch"&amp;$B468&amp;$C468&amp;$D468&amp;$E468&amp;$F468,".","_"),"(","_"),")","")</f>
        <v>vch602_1_13</v>
      </c>
      <c r="AQ468" s="311">
        <f>W468</f>
        <v>0</v>
      </c>
      <c r="AR468" s="311" t="str">
        <f>SUBSTITUTE(SUBSTITUTE(SUBSTITUTE("vnt"&amp;$B468&amp;$C468&amp;$D468&amp;$E468&amp;$F468,".","_"),"(","_"),")","")</f>
        <v>vnt602_1_13</v>
      </c>
      <c r="AS468" s="311">
        <f>X468</f>
        <v>0</v>
      </c>
      <c r="BJ468" s="1184" t="s">
        <v>4763</v>
      </c>
    </row>
    <row r="469" spans="1:62" x14ac:dyDescent="0.3">
      <c r="A469" s="1200">
        <v>6</v>
      </c>
      <c r="B469" s="1208" t="s">
        <v>671</v>
      </c>
      <c r="C469" s="1208"/>
      <c r="D469" s="1203"/>
      <c r="E469" s="1203"/>
      <c r="F469" s="1203"/>
      <c r="G469" s="1202" t="s">
        <v>4389</v>
      </c>
      <c r="H469" s="1200" t="s">
        <v>4387</v>
      </c>
      <c r="I469" s="141"/>
      <c r="J469" s="140"/>
      <c r="K469" s="98"/>
      <c r="L469" s="1313"/>
      <c r="M469" s="1351"/>
      <c r="N469" s="283"/>
      <c r="O469" s="283"/>
      <c r="P469" s="97"/>
      <c r="Q469" s="97"/>
      <c r="R469" s="97"/>
      <c r="S469" s="97"/>
      <c r="T469" s="97"/>
      <c r="U469" s="97"/>
      <c r="V469" s="97"/>
      <c r="W469" s="97"/>
      <c r="X469" s="1295"/>
      <c r="Y469" s="1523"/>
      <c r="Z469" s="1583"/>
      <c r="AC469" s="280"/>
      <c r="AD469" s="280"/>
      <c r="AE469" s="280"/>
      <c r="AF469" s="280"/>
      <c r="AG469" s="280"/>
      <c r="AH469" s="280"/>
      <c r="AI469" s="280"/>
      <c r="AJ469" s="280"/>
      <c r="AK469" s="280"/>
      <c r="AL469" s="280"/>
      <c r="AM469" s="280"/>
      <c r="AN469" s="280"/>
      <c r="AO469" s="280"/>
      <c r="AP469" s="280"/>
      <c r="AQ469" s="280"/>
      <c r="AR469" s="280"/>
      <c r="AS469" s="280"/>
      <c r="BJ469" s="1184" t="s">
        <v>4763</v>
      </c>
    </row>
    <row r="470" spans="1:62" x14ac:dyDescent="0.3">
      <c r="A470" s="1200">
        <v>6</v>
      </c>
      <c r="B470" s="1208" t="s">
        <v>671</v>
      </c>
      <c r="C470" s="1208"/>
      <c r="D470" s="1203"/>
      <c r="E470" s="1203"/>
      <c r="F470" s="1203"/>
      <c r="G470" s="1202" t="s">
        <v>4389</v>
      </c>
      <c r="H470" s="1200" t="s">
        <v>4387</v>
      </c>
      <c r="I470" s="141"/>
      <c r="J470" s="140"/>
      <c r="K470" s="98"/>
      <c r="L470" s="1313"/>
      <c r="M470" s="1351"/>
      <c r="N470" s="283"/>
      <c r="O470" s="283"/>
      <c r="P470" s="97"/>
      <c r="Q470" s="97"/>
      <c r="R470" s="97"/>
      <c r="S470" s="97"/>
      <c r="T470" s="97"/>
      <c r="U470" s="97"/>
      <c r="V470" s="97"/>
      <c r="W470" s="97"/>
      <c r="X470" s="1295"/>
      <c r="Y470" s="1523"/>
      <c r="Z470" s="1583"/>
      <c r="AC470" s="280"/>
      <c r="AD470" s="280"/>
      <c r="AE470" s="280"/>
      <c r="AF470" s="280"/>
      <c r="AG470" s="280"/>
      <c r="AH470" s="280"/>
      <c r="AI470" s="280"/>
      <c r="AJ470" s="280"/>
      <c r="AK470" s="280"/>
      <c r="AL470" s="280"/>
      <c r="AM470" s="280"/>
      <c r="AN470" s="280"/>
      <c r="AO470" s="280"/>
      <c r="AP470" s="280"/>
      <c r="AQ470" s="280"/>
      <c r="AR470" s="280"/>
      <c r="AS470" s="280"/>
      <c r="BJ470" s="1184" t="s">
        <v>4763</v>
      </c>
    </row>
    <row r="471" spans="1:62" ht="15" thickBot="1" x14ac:dyDescent="0.35">
      <c r="A471" s="1200">
        <v>6</v>
      </c>
      <c r="B471" s="1208" t="s">
        <v>671</v>
      </c>
      <c r="C471" s="1208"/>
      <c r="D471" s="1203"/>
      <c r="E471" s="1203"/>
      <c r="F471" s="1203"/>
      <c r="G471" s="1202" t="s">
        <v>4389</v>
      </c>
      <c r="H471" s="1200" t="s">
        <v>4387</v>
      </c>
      <c r="I471" s="141"/>
      <c r="J471" s="140"/>
      <c r="K471" s="98"/>
      <c r="L471" s="1313"/>
      <c r="M471" s="1351"/>
      <c r="N471" s="283"/>
      <c r="O471" s="283"/>
      <c r="P471" s="97"/>
      <c r="Q471" s="97"/>
      <c r="R471" s="97"/>
      <c r="S471" s="97"/>
      <c r="T471" s="97"/>
      <c r="U471" s="97"/>
      <c r="V471" s="97"/>
      <c r="W471" s="97"/>
      <c r="X471" s="1337"/>
      <c r="Y471" s="1524"/>
      <c r="Z471" s="1584"/>
      <c r="AC471" s="280"/>
      <c r="AD471" s="280"/>
      <c r="AE471" s="280"/>
      <c r="AF471" s="280"/>
      <c r="AG471" s="280"/>
      <c r="AH471" s="280"/>
      <c r="AI471" s="280"/>
      <c r="AJ471" s="280"/>
      <c r="AK471" s="280"/>
      <c r="AL471" s="280"/>
      <c r="AM471" s="280"/>
      <c r="AN471" s="280"/>
      <c r="AO471" s="280"/>
      <c r="AP471" s="280"/>
      <c r="AQ471" s="280"/>
      <c r="AR471" s="280"/>
      <c r="AS471" s="280"/>
      <c r="BJ471" s="1184" t="s">
        <v>4763</v>
      </c>
    </row>
    <row r="472" spans="1:62" ht="15" thickTop="1" x14ac:dyDescent="0.3">
      <c r="A472" s="1200">
        <v>6</v>
      </c>
      <c r="B472" s="1208" t="s">
        <v>674</v>
      </c>
      <c r="C472" s="1208"/>
      <c r="D472" s="1203"/>
      <c r="E472" s="1203"/>
      <c r="F472" s="1203"/>
      <c r="G472" s="1202" t="s">
        <v>4389</v>
      </c>
      <c r="H472" s="1200" t="s">
        <v>4386</v>
      </c>
      <c r="I472" s="200" t="s">
        <v>674</v>
      </c>
      <c r="J472" s="201"/>
      <c r="K472" s="202"/>
      <c r="L472" s="1331" t="s">
        <v>675</v>
      </c>
      <c r="M472" s="306"/>
      <c r="N472" s="296"/>
      <c r="O472" s="296"/>
      <c r="P472" s="110"/>
      <c r="Q472" s="110"/>
      <c r="R472" s="110"/>
      <c r="S472" s="110"/>
      <c r="T472" s="110"/>
      <c r="U472" s="110"/>
      <c r="V472" s="110"/>
      <c r="W472" s="110"/>
      <c r="X472" s="110"/>
      <c r="Y472"/>
      <c r="Z472" s="1055"/>
      <c r="AC472" s="280"/>
      <c r="AD472" s="280"/>
      <c r="AE472" s="280"/>
      <c r="AF472" s="280"/>
      <c r="AG472" s="280"/>
      <c r="AH472" s="280"/>
      <c r="AI472" s="280"/>
      <c r="AJ472" s="280"/>
      <c r="AK472" s="280"/>
      <c r="AL472" s="280"/>
      <c r="AM472" s="280"/>
      <c r="AN472" s="280"/>
      <c r="AO472" s="280"/>
      <c r="AP472" s="280"/>
      <c r="AQ472" s="280"/>
      <c r="AR472" s="280"/>
      <c r="AS472" s="280"/>
      <c r="BJ472" s="1184" t="s">
        <v>4763</v>
      </c>
    </row>
    <row r="473" spans="1:62" x14ac:dyDescent="0.3">
      <c r="A473" s="1200">
        <v>6</v>
      </c>
      <c r="B473" s="1208" t="s">
        <v>674</v>
      </c>
      <c r="C473" s="1208"/>
      <c r="D473" s="1203"/>
      <c r="E473" s="1203"/>
      <c r="F473" s="1203"/>
      <c r="G473" s="1202" t="s">
        <v>4389</v>
      </c>
      <c r="H473" s="1200" t="s">
        <v>4386</v>
      </c>
      <c r="I473" s="141"/>
      <c r="J473" s="140"/>
      <c r="K473" s="98"/>
      <c r="L473" s="1313"/>
      <c r="M473" s="300"/>
      <c r="N473" s="283"/>
      <c r="O473" s="283"/>
      <c r="P473" s="97"/>
      <c r="Q473" s="97"/>
      <c r="R473" s="97"/>
      <c r="S473" s="97"/>
      <c r="T473" s="97"/>
      <c r="U473" s="97"/>
      <c r="V473" s="97"/>
      <c r="W473" s="97"/>
      <c r="X473" s="97"/>
      <c r="Y473"/>
      <c r="Z473" s="1055"/>
      <c r="AC473" s="280"/>
      <c r="AD473" s="280"/>
      <c r="AE473" s="280"/>
      <c r="AF473" s="280"/>
      <c r="AG473" s="280"/>
      <c r="AH473" s="280"/>
      <c r="AI473" s="280"/>
      <c r="AJ473" s="280"/>
      <c r="AK473" s="280"/>
      <c r="AL473" s="280"/>
      <c r="AM473" s="280"/>
      <c r="AN473" s="280"/>
      <c r="AO473" s="280"/>
      <c r="AP473" s="280"/>
      <c r="AQ473" s="280"/>
      <c r="AR473" s="280"/>
      <c r="AS473" s="280"/>
      <c r="BJ473" s="1184" t="s">
        <v>4763</v>
      </c>
    </row>
    <row r="474" spans="1:62" x14ac:dyDescent="0.3">
      <c r="A474" s="1200">
        <v>6</v>
      </c>
      <c r="B474" s="1208" t="s">
        <v>674</v>
      </c>
      <c r="C474" s="1208"/>
      <c r="D474" s="1203"/>
      <c r="E474" s="1203" t="s">
        <v>271</v>
      </c>
      <c r="F474" s="1203"/>
      <c r="G474" s="1202" t="s">
        <v>4389</v>
      </c>
      <c r="H474" s="1200" t="s">
        <v>4386</v>
      </c>
      <c r="I474" s="66"/>
      <c r="J474" s="203" t="s">
        <v>271</v>
      </c>
      <c r="K474" s="98"/>
      <c r="L474" s="1305" t="s">
        <v>676</v>
      </c>
      <c r="M474" s="1353" t="str">
        <f>IF(R474,"Mandatory
1","N/A")</f>
        <v>Mandatory
1</v>
      </c>
      <c r="N474" s="1473">
        <f>'Ch6'!O220</f>
        <v>1</v>
      </c>
      <c r="O474" s="1473">
        <f>IF(AND(S474,W474="Met"),1,0)</f>
        <v>0</v>
      </c>
      <c r="P474" s="280" t="b">
        <v>1</v>
      </c>
      <c r="Q474" s="280" t="b">
        <v>1</v>
      </c>
      <c r="R474" s="280" t="b">
        <f>S474</f>
        <v>1</v>
      </c>
      <c r="S474" s="280" t="b">
        <v>1</v>
      </c>
      <c r="T474" s="280" t="b">
        <v>0</v>
      </c>
      <c r="U474" s="97" t="str">
        <f>SUBSTITUTE(SUBSTITUTE(SUBSTITUTE("dd"&amp;B474&amp;C474&amp;D474&amp;E474&amp;F474,".","_"),"(","_"),")","")</f>
        <v>dd602_1_14_1</v>
      </c>
      <c r="V474" s="280"/>
      <c r="W474" s="12"/>
      <c r="X474" s="1303"/>
      <c r="Y474" s="1522" t="str">
        <f>IF(LEN('Ch6'!X220)=0,"None",'Ch6'!X220)</f>
        <v>None</v>
      </c>
      <c r="Z474" s="1586"/>
      <c r="AA474" s="1110">
        <f>'Photo Review'!H474</f>
        <v>0</v>
      </c>
      <c r="AC474" s="280" t="b">
        <f>OR(AD474:AE474)</f>
        <v>1</v>
      </c>
      <c r="AD474" s="280" t="b">
        <f>T474</f>
        <v>0</v>
      </c>
      <c r="AE474" s="280" t="b">
        <f>AND(R474,NOT(W474="Met"),NOT(W474="N/A"))</f>
        <v>1</v>
      </c>
      <c r="AF474" s="1182" t="b">
        <f>AND(AE474,NOT(Q474))</f>
        <v>0</v>
      </c>
      <c r="AG474" s="280"/>
      <c r="AH474" s="280"/>
      <c r="AI474" s="280"/>
      <c r="AJ474" s="280"/>
      <c r="AK474" s="280"/>
      <c r="AL474" s="311" t="str">
        <f>SUBSTITUTE(SUBSTITUTE(SUBSTITUTE("vpa"&amp;$B474&amp;$C474&amp;$D474&amp;$E474&amp;$F474,".","_"),"(","_"),")","")</f>
        <v>vpa602_1_14_1</v>
      </c>
      <c r="AM474" s="311" t="str">
        <f>M474</f>
        <v>Mandatory
1</v>
      </c>
      <c r="AN474" s="311" t="str">
        <f>SUBSTITUTE(SUBSTITUTE(SUBSTITUTE("vpc"&amp;$B474&amp;$C474&amp;$D474&amp;$E474&amp;$F474,".","_"),"(","_"),")","")</f>
        <v>vpc602_1_14_1</v>
      </c>
      <c r="AO474" s="311">
        <f>O474</f>
        <v>0</v>
      </c>
      <c r="AP474" s="311" t="str">
        <f>SUBSTITUTE(SUBSTITUTE(SUBSTITUTE("vch"&amp;$B474&amp;$C474&amp;$D474&amp;$E474&amp;$F474,".","_"),"(","_"),")","")</f>
        <v>vch602_1_14_1</v>
      </c>
      <c r="AQ474" s="311">
        <f>W474</f>
        <v>0</v>
      </c>
      <c r="AR474" s="311" t="str">
        <f>SUBSTITUTE(SUBSTITUTE(SUBSTITUTE("vnt"&amp;$B474&amp;$C474&amp;$D474&amp;$E474&amp;$F474,".","_"),"(","_"),")","")</f>
        <v>vnt602_1_14_1</v>
      </c>
      <c r="AS474" s="311">
        <f>X474</f>
        <v>0</v>
      </c>
      <c r="BJ474" s="1184" t="s">
        <v>4763</v>
      </c>
    </row>
    <row r="475" spans="1:62" x14ac:dyDescent="0.3">
      <c r="A475" s="1200">
        <v>6</v>
      </c>
      <c r="B475" s="1208" t="s">
        <v>674</v>
      </c>
      <c r="C475" s="1208"/>
      <c r="D475" s="1203"/>
      <c r="E475" s="1203" t="s">
        <v>271</v>
      </c>
      <c r="F475" s="1203"/>
      <c r="G475" s="1202" t="s">
        <v>4389</v>
      </c>
      <c r="H475" s="1200" t="s">
        <v>4386</v>
      </c>
      <c r="I475" s="66"/>
      <c r="J475" s="238"/>
      <c r="K475" s="193"/>
      <c r="L475" s="1306"/>
      <c r="M475" s="1354"/>
      <c r="N475" s="1491"/>
      <c r="O475" s="1491"/>
      <c r="P475" s="280"/>
      <c r="Q475" s="280"/>
      <c r="R475" s="280"/>
      <c r="S475" s="280"/>
      <c r="T475" s="280"/>
      <c r="U475" s="280"/>
      <c r="V475" s="280"/>
      <c r="W475" s="280"/>
      <c r="X475" s="1303"/>
      <c r="Y475" s="1522"/>
      <c r="Z475" s="1586"/>
      <c r="AC475" s="280"/>
      <c r="AD475" s="280"/>
      <c r="AE475" s="280"/>
      <c r="AF475" s="280"/>
      <c r="AG475" s="280"/>
      <c r="AH475" s="280"/>
      <c r="AI475" s="280"/>
      <c r="AJ475" s="280"/>
      <c r="AK475" s="280"/>
      <c r="AL475" s="280"/>
      <c r="AM475" s="280"/>
      <c r="AN475" s="280"/>
      <c r="AO475" s="280"/>
      <c r="AP475" s="280"/>
      <c r="AQ475" s="280"/>
      <c r="AR475" s="280"/>
      <c r="AS475" s="280"/>
      <c r="BJ475" s="1184" t="s">
        <v>4763</v>
      </c>
    </row>
    <row r="476" spans="1:62" x14ac:dyDescent="0.3">
      <c r="A476" s="1200">
        <v>6</v>
      </c>
      <c r="B476" s="1208" t="s">
        <v>674</v>
      </c>
      <c r="C476" s="1208"/>
      <c r="D476" s="1203"/>
      <c r="E476" s="1203" t="s">
        <v>273</v>
      </c>
      <c r="F476" s="1203"/>
      <c r="G476" s="1202" t="str">
        <f>IF(N476&gt;0,"P","")</f>
        <v>P</v>
      </c>
      <c r="H476" s="1200" t="s">
        <v>4386</v>
      </c>
      <c r="I476" s="66"/>
      <c r="J476" s="233" t="s">
        <v>273</v>
      </c>
      <c r="K476" s="234"/>
      <c r="L476" s="234" t="s">
        <v>677</v>
      </c>
      <c r="M476" s="236">
        <v>2</v>
      </c>
      <c r="N476" s="240">
        <f>'Ch6'!O222</f>
        <v>2</v>
      </c>
      <c r="O476" s="240">
        <f>M476*S476*W476</f>
        <v>0</v>
      </c>
      <c r="P476" s="280" t="b">
        <v>1</v>
      </c>
      <c r="Q476" s="280" t="b">
        <v>1</v>
      </c>
      <c r="R476" s="280" t="b">
        <v>0</v>
      </c>
      <c r="S476" s="280" t="b">
        <v>1</v>
      </c>
      <c r="T476" s="280" t="b">
        <v>0</v>
      </c>
      <c r="U476" s="280"/>
      <c r="V476" s="280"/>
      <c r="W476" s="25"/>
      <c r="X476" s="281"/>
      <c r="Y476" s="312" t="str">
        <f>IF(LEN('Ch6'!X222)=0,"None",'Ch6'!X222)</f>
        <v>None</v>
      </c>
      <c r="Z476" s="1169"/>
      <c r="AA476" s="1110">
        <f>'Photo Review'!H476</f>
        <v>0</v>
      </c>
      <c r="AC476" s="280"/>
      <c r="AD476" s="280"/>
      <c r="AE476" s="280"/>
      <c r="AF476" s="280"/>
      <c r="AG476" s="280"/>
      <c r="AH476" s="280"/>
      <c r="AI476" s="280"/>
      <c r="AJ476" s="280"/>
      <c r="AK476" s="280"/>
      <c r="AL476" s="311" t="str">
        <f t="shared" ref="AL476:AL478" si="146">SUBSTITUTE(SUBSTITUTE(SUBSTITUTE("vpa"&amp;$B476&amp;$C476&amp;$D476&amp;$E476&amp;$F476,".","_"),"(","_"),")","")</f>
        <v>vpa602_1_14_2</v>
      </c>
      <c r="AM476" s="311">
        <f>M476</f>
        <v>2</v>
      </c>
      <c r="AN476" s="311" t="str">
        <f t="shared" ref="AN476:AN478" si="147">SUBSTITUTE(SUBSTITUTE(SUBSTITUTE("vpc"&amp;$B476&amp;$C476&amp;$D476&amp;$E476&amp;$F476,".","_"),"(","_"),")","")</f>
        <v>vpc602_1_14_2</v>
      </c>
      <c r="AO476" s="311">
        <f>O476</f>
        <v>0</v>
      </c>
      <c r="AP476" s="311" t="str">
        <f t="shared" ref="AP476:AP477" si="148">SUBSTITUTE(SUBSTITUTE(SUBSTITUTE("vch"&amp;$B476&amp;$C476&amp;$D476&amp;$E476&amp;$F476,".","_"),"(","_"),")","")</f>
        <v>vch602_1_14_2</v>
      </c>
      <c r="AQ476" s="311">
        <f>W476</f>
        <v>0</v>
      </c>
      <c r="AR476" s="311" t="str">
        <f t="shared" ref="AR476:AR477" si="149">SUBSTITUTE(SUBSTITUTE(SUBSTITUTE("vnt"&amp;$B476&amp;$C476&amp;$D476&amp;$E476&amp;$F476,".","_"),"(","_"),")","")</f>
        <v>vnt602_1_14_2</v>
      </c>
      <c r="AS476" s="311">
        <f>X476</f>
        <v>0</v>
      </c>
      <c r="BJ476" s="1184" t="s">
        <v>4763</v>
      </c>
    </row>
    <row r="477" spans="1:62" ht="15" thickBot="1" x14ac:dyDescent="0.35">
      <c r="A477" s="1200">
        <v>6</v>
      </c>
      <c r="B477" s="1208" t="s">
        <v>674</v>
      </c>
      <c r="C477" s="1208"/>
      <c r="D477" s="1203"/>
      <c r="E477" s="1203" t="s">
        <v>275</v>
      </c>
      <c r="F477" s="1203"/>
      <c r="G477" s="1202" t="str">
        <f>IF(N477&gt;0,"P","")</f>
        <v>P</v>
      </c>
      <c r="H477" s="1200" t="s">
        <v>4386</v>
      </c>
      <c r="I477" s="66"/>
      <c r="J477" s="27" t="s">
        <v>275</v>
      </c>
      <c r="K477" s="86"/>
      <c r="L477" s="86" t="s">
        <v>678</v>
      </c>
      <c r="M477" s="305">
        <v>2</v>
      </c>
      <c r="N477" s="282">
        <f>'Ch6'!O223</f>
        <v>2</v>
      </c>
      <c r="O477" s="282">
        <f>M477*S477*W477</f>
        <v>0</v>
      </c>
      <c r="P477" s="280" t="b">
        <v>1</v>
      </c>
      <c r="Q477" s="280" t="b">
        <v>1</v>
      </c>
      <c r="R477" s="280" t="b">
        <v>0</v>
      </c>
      <c r="S477" s="280" t="b">
        <v>1</v>
      </c>
      <c r="T477" s="280" t="b">
        <v>0</v>
      </c>
      <c r="U477" s="280"/>
      <c r="V477" s="280"/>
      <c r="W477" s="25"/>
      <c r="X477" s="298"/>
      <c r="Y477" s="313" t="str">
        <f>IF(LEN('Ch6'!X223)=0,"None",'Ch6'!X223)</f>
        <v>None</v>
      </c>
      <c r="Z477" s="1173"/>
      <c r="AA477" s="1110">
        <f>'Photo Review'!H477</f>
        <v>0</v>
      </c>
      <c r="AC477" s="280"/>
      <c r="AD477" s="280"/>
      <c r="AE477" s="280"/>
      <c r="AF477" s="280"/>
      <c r="AG477" s="280"/>
      <c r="AH477" s="280"/>
      <c r="AI477" s="280"/>
      <c r="AJ477" s="280"/>
      <c r="AK477" s="280"/>
      <c r="AL477" s="311" t="str">
        <f t="shared" si="146"/>
        <v>vpa602_1_14_3</v>
      </c>
      <c r="AM477" s="311">
        <f>M477</f>
        <v>2</v>
      </c>
      <c r="AN477" s="311" t="str">
        <f t="shared" si="147"/>
        <v>vpc602_1_14_3</v>
      </c>
      <c r="AO477" s="311">
        <f>O477</f>
        <v>0</v>
      </c>
      <c r="AP477" s="311" t="str">
        <f t="shared" si="148"/>
        <v>vch602_1_14_3</v>
      </c>
      <c r="AQ477" s="311">
        <f>W477</f>
        <v>0</v>
      </c>
      <c r="AR477" s="311" t="str">
        <f t="shared" si="149"/>
        <v>vnt602_1_14_3</v>
      </c>
      <c r="AS477" s="311">
        <f>X477</f>
        <v>0</v>
      </c>
      <c r="BJ477" s="1184" t="s">
        <v>4763</v>
      </c>
    </row>
    <row r="478" spans="1:62" ht="15" thickTop="1" x14ac:dyDescent="0.3">
      <c r="A478" s="1200">
        <v>6</v>
      </c>
      <c r="B478" s="1208">
        <v>602.20000000000005</v>
      </c>
      <c r="C478" s="1203"/>
      <c r="D478" s="1203"/>
      <c r="E478" s="1203"/>
      <c r="F478" s="1203"/>
      <c r="G478" s="1202" t="str">
        <f>IF(N478&gt;0,"P","")</f>
        <v/>
      </c>
      <c r="H478" s="1200" t="s">
        <v>4386</v>
      </c>
      <c r="I478" s="200">
        <v>602.20000000000005</v>
      </c>
      <c r="J478" s="201"/>
      <c r="K478" s="202"/>
      <c r="L478" s="1331" t="s">
        <v>679</v>
      </c>
      <c r="M478" s="1343">
        <v>3</v>
      </c>
      <c r="N478" s="1528">
        <f>'Ch6'!O224</f>
        <v>0</v>
      </c>
      <c r="O478" s="1528">
        <f>IFERROR(OR(W482,W484,W485),0)*M478</f>
        <v>0</v>
      </c>
      <c r="P478" s="110"/>
      <c r="Q478" s="110"/>
      <c r="R478" s="110"/>
      <c r="S478" s="110"/>
      <c r="T478" s="110"/>
      <c r="U478" s="110"/>
      <c r="V478" s="110"/>
      <c r="W478" s="110"/>
      <c r="X478" s="110"/>
      <c r="Y478"/>
      <c r="Z478" s="1055"/>
      <c r="AC478" s="280"/>
      <c r="AD478" s="280"/>
      <c r="AE478" s="280"/>
      <c r="AF478" s="280"/>
      <c r="AG478" s="280"/>
      <c r="AH478" s="280"/>
      <c r="AI478" s="280"/>
      <c r="AJ478" s="280"/>
      <c r="AK478" s="280"/>
      <c r="AL478" s="311" t="str">
        <f t="shared" si="146"/>
        <v>vpa602_2</v>
      </c>
      <c r="AM478" s="311">
        <f>M478</f>
        <v>3</v>
      </c>
      <c r="AN478" s="311" t="str">
        <f t="shared" si="147"/>
        <v>vpc602_2</v>
      </c>
      <c r="AO478" s="311">
        <f>O478</f>
        <v>0</v>
      </c>
      <c r="AP478" s="280"/>
      <c r="AQ478" s="280"/>
      <c r="AR478" s="280"/>
      <c r="AS478" s="280"/>
      <c r="BJ478" s="1184" t="s">
        <v>4763</v>
      </c>
    </row>
    <row r="479" spans="1:62" x14ac:dyDescent="0.3">
      <c r="A479" s="1200">
        <v>6</v>
      </c>
      <c r="B479" s="1208">
        <v>602.20000000000005</v>
      </c>
      <c r="C479" s="1203"/>
      <c r="D479" s="1203"/>
      <c r="E479" s="1203"/>
      <c r="F479" s="1203"/>
      <c r="G479" s="1202" t="str">
        <f t="shared" ref="G479:G487" si="150">G478</f>
        <v/>
      </c>
      <c r="H479" s="1200" t="s">
        <v>4386</v>
      </c>
      <c r="I479" s="141"/>
      <c r="J479" s="140"/>
      <c r="K479" s="98"/>
      <c r="L479" s="1313"/>
      <c r="M479" s="1318"/>
      <c r="N479" s="1473"/>
      <c r="O479" s="1473"/>
      <c r="P479" s="97"/>
      <c r="Q479" s="97"/>
      <c r="R479" s="97"/>
      <c r="S479" s="97"/>
      <c r="T479" s="97"/>
      <c r="U479" s="97"/>
      <c r="V479" s="97"/>
      <c r="W479" s="97"/>
      <c r="X479" s="97"/>
      <c r="Y479"/>
      <c r="Z479" s="1055"/>
      <c r="AC479" s="280"/>
      <c r="AD479" s="280"/>
      <c r="AE479" s="280"/>
      <c r="AF479" s="280"/>
      <c r="AG479" s="280"/>
      <c r="AH479" s="280"/>
      <c r="AI479" s="280"/>
      <c r="AJ479" s="280"/>
      <c r="AK479" s="280"/>
      <c r="AL479" s="280"/>
      <c r="AM479" s="280"/>
      <c r="AN479" s="280"/>
      <c r="AO479" s="280"/>
      <c r="AP479" s="280"/>
      <c r="AQ479" s="280"/>
      <c r="AR479" s="280"/>
      <c r="AS479" s="280"/>
      <c r="BJ479" s="1184" t="s">
        <v>4763</v>
      </c>
    </row>
    <row r="480" spans="1:62" x14ac:dyDescent="0.3">
      <c r="A480" s="1200">
        <v>6</v>
      </c>
      <c r="B480" s="1208">
        <v>602.20000000000005</v>
      </c>
      <c r="C480" s="1203"/>
      <c r="D480" s="1203"/>
      <c r="E480" s="1203"/>
      <c r="F480" s="1203"/>
      <c r="G480" s="1202" t="str">
        <f t="shared" si="150"/>
        <v/>
      </c>
      <c r="H480" s="1200" t="s">
        <v>4386</v>
      </c>
      <c r="I480" s="141"/>
      <c r="J480" s="140"/>
      <c r="K480" s="98"/>
      <c r="L480" s="1313"/>
      <c r="M480" s="1318"/>
      <c r="N480" s="1473"/>
      <c r="O480" s="1473"/>
      <c r="P480" s="97"/>
      <c r="Q480" s="97"/>
      <c r="R480" s="97"/>
      <c r="S480" s="97"/>
      <c r="T480" s="97"/>
      <c r="U480" s="97"/>
      <c r="V480" s="97"/>
      <c r="W480" s="97"/>
      <c r="X480" s="97"/>
      <c r="Y480"/>
      <c r="Z480" s="1055"/>
      <c r="AC480" s="280"/>
      <c r="AD480" s="280"/>
      <c r="AE480" s="280"/>
      <c r="AF480" s="280"/>
      <c r="AG480" s="280"/>
      <c r="AH480" s="280"/>
      <c r="AI480" s="280"/>
      <c r="AJ480" s="280"/>
      <c r="AK480" s="280"/>
      <c r="AL480" s="280"/>
      <c r="AM480" s="280"/>
      <c r="AN480" s="280"/>
      <c r="AO480" s="280"/>
      <c r="AP480" s="280"/>
      <c r="AQ480" s="280"/>
      <c r="AR480" s="280"/>
      <c r="AS480" s="280"/>
      <c r="BJ480" s="1184" t="s">
        <v>4763</v>
      </c>
    </row>
    <row r="481" spans="1:62" x14ac:dyDescent="0.3">
      <c r="A481" s="1200">
        <v>6</v>
      </c>
      <c r="B481" s="1208">
        <v>602.20000000000005</v>
      </c>
      <c r="C481" s="1203"/>
      <c r="D481" s="1203"/>
      <c r="E481" s="1203"/>
      <c r="F481" s="1203"/>
      <c r="G481" s="1202" t="str">
        <f t="shared" si="150"/>
        <v/>
      </c>
      <c r="H481" s="1200" t="s">
        <v>4386</v>
      </c>
      <c r="I481" s="141"/>
      <c r="J481" s="140"/>
      <c r="K481" s="98"/>
      <c r="L481" s="1313"/>
      <c r="M481" s="1318"/>
      <c r="N481" s="1473"/>
      <c r="O481" s="1473"/>
      <c r="P481" s="97"/>
      <c r="Q481" s="97"/>
      <c r="R481" s="97"/>
      <c r="S481" s="97"/>
      <c r="T481" s="97"/>
      <c r="U481" s="97"/>
      <c r="V481" s="97"/>
      <c r="W481" s="97"/>
      <c r="X481" s="97"/>
      <c r="Y481"/>
      <c r="Z481" s="1055"/>
      <c r="AC481" s="280"/>
      <c r="AD481" s="280"/>
      <c r="AE481" s="280"/>
      <c r="AF481" s="280"/>
      <c r="AG481" s="280"/>
      <c r="AH481" s="280"/>
      <c r="AI481" s="280"/>
      <c r="AJ481" s="280"/>
      <c r="AK481" s="280"/>
      <c r="AL481" s="280"/>
      <c r="AM481" s="280"/>
      <c r="AN481" s="280"/>
      <c r="AO481" s="280"/>
      <c r="AP481" s="280"/>
      <c r="AQ481" s="280"/>
      <c r="AR481" s="280"/>
      <c r="AS481" s="280"/>
      <c r="BJ481" s="1184" t="s">
        <v>4763</v>
      </c>
    </row>
    <row r="482" spans="1:62" x14ac:dyDescent="0.3">
      <c r="A482" s="1200">
        <v>6</v>
      </c>
      <c r="B482" s="1208">
        <v>602.20000000000005</v>
      </c>
      <c r="C482" s="1203"/>
      <c r="D482" s="1203"/>
      <c r="E482" s="1203" t="s">
        <v>271</v>
      </c>
      <c r="F482" s="1203"/>
      <c r="G482" s="1202" t="str">
        <f t="shared" si="150"/>
        <v/>
      </c>
      <c r="H482" s="1200" t="s">
        <v>4386</v>
      </c>
      <c r="I482" s="66"/>
      <c r="J482" s="203" t="s">
        <v>271</v>
      </c>
      <c r="K482" s="98"/>
      <c r="L482" s="1293" t="s">
        <v>680</v>
      </c>
      <c r="M482" s="305"/>
      <c r="N482" s="282"/>
      <c r="O482" s="282"/>
      <c r="P482" s="280" t="b">
        <v>1</v>
      </c>
      <c r="Q482" s="280" t="b">
        <v>1</v>
      </c>
      <c r="R482" s="280" t="b">
        <v>0</v>
      </c>
      <c r="S482" s="280" t="b">
        <v>1</v>
      </c>
      <c r="T482" s="280" t="b">
        <v>0</v>
      </c>
      <c r="U482" s="280"/>
      <c r="V482" s="280"/>
      <c r="W482" s="25"/>
      <c r="X482" s="1303"/>
      <c r="Y482" s="1522" t="str">
        <f>IF(LEN('Ch6'!X228)=0,"None",'Ch6'!X228)</f>
        <v>None</v>
      </c>
      <c r="Z482" s="1586"/>
      <c r="AC482" s="280"/>
      <c r="AD482" s="280"/>
      <c r="AE482" s="280"/>
      <c r="AF482" s="280"/>
      <c r="AG482" s="280"/>
      <c r="AH482" s="280"/>
      <c r="AI482" s="280"/>
      <c r="AJ482" s="280"/>
      <c r="AK482" s="280"/>
      <c r="AL482" s="280"/>
      <c r="AM482" s="280"/>
      <c r="AN482" s="280"/>
      <c r="AO482" s="280"/>
      <c r="AP482" s="311" t="str">
        <f>SUBSTITUTE(SUBSTITUTE(SUBSTITUTE("vch"&amp;$B482&amp;$C482&amp;$D482&amp;$E482&amp;$F482,".","_"),"(","_"),")","")</f>
        <v>vch602_2_1</v>
      </c>
      <c r="AQ482" s="311">
        <f>W482</f>
        <v>0</v>
      </c>
      <c r="AR482" s="311" t="str">
        <f>SUBSTITUTE(SUBSTITUTE(SUBSTITUTE("vnt"&amp;$B482&amp;$C482&amp;$D482&amp;$E482&amp;$F482,".","_"),"(","_"),")","")</f>
        <v>vnt602_2_1</v>
      </c>
      <c r="AS482" s="311">
        <f>X482</f>
        <v>0</v>
      </c>
      <c r="BJ482" s="1184" t="s">
        <v>4763</v>
      </c>
    </row>
    <row r="483" spans="1:62" x14ac:dyDescent="0.3">
      <c r="A483" s="1200">
        <v>6</v>
      </c>
      <c r="B483" s="1208">
        <v>602.20000000000005</v>
      </c>
      <c r="C483" s="1203"/>
      <c r="D483" s="1203"/>
      <c r="E483" s="1203" t="s">
        <v>271</v>
      </c>
      <c r="F483" s="1203"/>
      <c r="G483" s="1202" t="str">
        <f t="shared" si="150"/>
        <v/>
      </c>
      <c r="H483" s="1200" t="s">
        <v>4386</v>
      </c>
      <c r="I483" s="66"/>
      <c r="J483" s="231"/>
      <c r="K483" s="193"/>
      <c r="L483" s="1294"/>
      <c r="M483" s="305"/>
      <c r="N483" s="282"/>
      <c r="O483" s="282"/>
      <c r="P483" s="280"/>
      <c r="Q483" s="280"/>
      <c r="R483" s="280"/>
      <c r="S483" s="280"/>
      <c r="T483" s="280"/>
      <c r="U483" s="280"/>
      <c r="V483" s="280"/>
      <c r="W483" s="280"/>
      <c r="X483" s="1303"/>
      <c r="Y483" s="1522"/>
      <c r="Z483" s="1586"/>
      <c r="AC483" s="280"/>
      <c r="AD483" s="280"/>
      <c r="AE483" s="280"/>
      <c r="AF483" s="280"/>
      <c r="AG483" s="280"/>
      <c r="AH483" s="280"/>
      <c r="AI483" s="280"/>
      <c r="AJ483" s="280"/>
      <c r="AK483" s="280"/>
      <c r="AL483" s="280"/>
      <c r="AM483" s="280"/>
      <c r="AN483" s="280"/>
      <c r="AO483" s="280"/>
      <c r="AP483" s="280"/>
      <c r="AQ483" s="280"/>
      <c r="AR483" s="280"/>
      <c r="AS483" s="280"/>
      <c r="BJ483" s="1184" t="s">
        <v>4763</v>
      </c>
    </row>
    <row r="484" spans="1:62" x14ac:dyDescent="0.3">
      <c r="A484" s="1200">
        <v>6</v>
      </c>
      <c r="B484" s="1208">
        <v>602.20000000000005</v>
      </c>
      <c r="C484" s="1203"/>
      <c r="D484" s="1203"/>
      <c r="E484" s="1203" t="s">
        <v>273</v>
      </c>
      <c r="F484" s="1203"/>
      <c r="G484" s="1202" t="str">
        <f t="shared" si="150"/>
        <v/>
      </c>
      <c r="H484" s="1200" t="s">
        <v>4386</v>
      </c>
      <c r="I484" s="66"/>
      <c r="J484" s="233" t="s">
        <v>273</v>
      </c>
      <c r="K484" s="234"/>
      <c r="L484" s="234" t="s">
        <v>681</v>
      </c>
      <c r="M484" s="305"/>
      <c r="N484" s="282"/>
      <c r="O484" s="282"/>
      <c r="P484" s="440" t="b">
        <v>1</v>
      </c>
      <c r="Q484" s="280" t="b">
        <v>1</v>
      </c>
      <c r="R484" s="280" t="b">
        <v>0</v>
      </c>
      <c r="S484" s="280" t="b">
        <v>1</v>
      </c>
      <c r="T484" s="280" t="b">
        <v>0</v>
      </c>
      <c r="U484" s="280"/>
      <c r="V484" s="280"/>
      <c r="W484" s="25"/>
      <c r="X484" s="281"/>
      <c r="Y484" s="312" t="str">
        <f>IF(LEN('Ch6'!X230)=0,"None",'Ch6'!X230)</f>
        <v>None</v>
      </c>
      <c r="Z484" s="1169"/>
      <c r="AC484" s="280"/>
      <c r="AD484" s="280"/>
      <c r="AE484" s="280"/>
      <c r="AF484" s="280"/>
      <c r="AG484" s="280"/>
      <c r="AH484" s="280"/>
      <c r="AI484" s="280"/>
      <c r="AJ484" s="280"/>
      <c r="AK484" s="280"/>
      <c r="AL484" s="280"/>
      <c r="AM484" s="280"/>
      <c r="AN484" s="280"/>
      <c r="AO484" s="280"/>
      <c r="AP484" s="311" t="str">
        <f t="shared" ref="AP484:AP485" si="151">SUBSTITUTE(SUBSTITUTE(SUBSTITUTE("vch"&amp;$B484&amp;$C484&amp;$D484&amp;$E484&amp;$F484,".","_"),"(","_"),")","")</f>
        <v>vch602_2_2</v>
      </c>
      <c r="AQ484" s="311">
        <f>W484</f>
        <v>0</v>
      </c>
      <c r="AR484" s="311" t="str">
        <f t="shared" ref="AR484:AR485" si="152">SUBSTITUTE(SUBSTITUTE(SUBSTITUTE("vnt"&amp;$B484&amp;$C484&amp;$D484&amp;$E484&amp;$F484,".","_"),"(","_"),")","")</f>
        <v>vnt602_2_2</v>
      </c>
      <c r="AS484" s="311">
        <f>X484</f>
        <v>0</v>
      </c>
      <c r="BJ484" s="1184" t="s">
        <v>4763</v>
      </c>
    </row>
    <row r="485" spans="1:62" x14ac:dyDescent="0.3">
      <c r="A485" s="1200">
        <v>6</v>
      </c>
      <c r="B485" s="1208">
        <v>602.20000000000005</v>
      </c>
      <c r="C485" s="1203"/>
      <c r="D485" s="1203"/>
      <c r="E485" s="1203" t="s">
        <v>275</v>
      </c>
      <c r="F485" s="1203"/>
      <c r="G485" s="1202" t="str">
        <f t="shared" si="150"/>
        <v/>
      </c>
      <c r="H485" s="1200" t="s">
        <v>4386</v>
      </c>
      <c r="I485" s="66"/>
      <c r="J485" s="27" t="s">
        <v>275</v>
      </c>
      <c r="K485" s="86"/>
      <c r="L485" s="1329" t="s">
        <v>682</v>
      </c>
      <c r="M485" s="305"/>
      <c r="N485" s="282"/>
      <c r="O485" s="282"/>
      <c r="P485" s="440" t="b">
        <v>1</v>
      </c>
      <c r="Q485" s="280" t="b">
        <v>1</v>
      </c>
      <c r="R485" s="280" t="b">
        <v>0</v>
      </c>
      <c r="S485" s="280" t="b">
        <v>1</v>
      </c>
      <c r="T485" s="280" t="b">
        <v>0</v>
      </c>
      <c r="U485" s="280"/>
      <c r="V485" s="280"/>
      <c r="W485" s="25"/>
      <c r="X485" s="1303"/>
      <c r="Y485" s="1523" t="str">
        <f>IF(LEN('Ch6'!X231)=0,"None",'Ch6'!X231)</f>
        <v>None</v>
      </c>
      <c r="Z485" s="1583"/>
      <c r="AC485" s="280"/>
      <c r="AD485" s="280"/>
      <c r="AE485" s="280"/>
      <c r="AF485" s="280"/>
      <c r="AG485" s="280"/>
      <c r="AH485" s="280"/>
      <c r="AI485" s="280"/>
      <c r="AJ485" s="280"/>
      <c r="AK485" s="280"/>
      <c r="AL485" s="280"/>
      <c r="AM485" s="280"/>
      <c r="AN485" s="280"/>
      <c r="AO485" s="280"/>
      <c r="AP485" s="311" t="str">
        <f t="shared" si="151"/>
        <v>vch602_2_3</v>
      </c>
      <c r="AQ485" s="311">
        <f>W485</f>
        <v>0</v>
      </c>
      <c r="AR485" s="311" t="str">
        <f t="shared" si="152"/>
        <v>vnt602_2_3</v>
      </c>
      <c r="AS485" s="311">
        <f>X485</f>
        <v>0</v>
      </c>
      <c r="BJ485" s="1184" t="s">
        <v>4763</v>
      </c>
    </row>
    <row r="486" spans="1:62" x14ac:dyDescent="0.3">
      <c r="A486" s="1200">
        <v>6</v>
      </c>
      <c r="B486" s="1208">
        <v>602.20000000000005</v>
      </c>
      <c r="C486" s="1203"/>
      <c r="D486" s="1203"/>
      <c r="E486" s="1203"/>
      <c r="F486" s="1203"/>
      <c r="G486" s="1202" t="str">
        <f t="shared" si="150"/>
        <v/>
      </c>
      <c r="H486" s="1200" t="s">
        <v>4386</v>
      </c>
      <c r="I486" s="66"/>
      <c r="J486" s="4"/>
      <c r="K486" s="86"/>
      <c r="L486" s="1329"/>
      <c r="M486" s="305"/>
      <c r="N486" s="282"/>
      <c r="O486" s="282"/>
      <c r="P486" s="280"/>
      <c r="Q486" s="280"/>
      <c r="R486" s="280"/>
      <c r="S486" s="280"/>
      <c r="T486" s="280"/>
      <c r="U486" s="280"/>
      <c r="V486" s="280"/>
      <c r="W486" s="280"/>
      <c r="X486" s="1303"/>
      <c r="Y486" s="1523"/>
      <c r="Z486" s="1583"/>
      <c r="AC486" s="280"/>
      <c r="AD486" s="280"/>
      <c r="AE486" s="280"/>
      <c r="AF486" s="280"/>
      <c r="AG486" s="280"/>
      <c r="AH486" s="280"/>
      <c r="AI486" s="280"/>
      <c r="AJ486" s="280"/>
      <c r="AK486" s="280"/>
      <c r="AL486" s="280"/>
      <c r="AM486" s="280"/>
      <c r="AN486" s="280"/>
      <c r="AO486" s="280"/>
      <c r="AP486" s="280"/>
      <c r="AQ486" s="280"/>
      <c r="AR486" s="280"/>
      <c r="AS486" s="280"/>
      <c r="BJ486" s="1184" t="s">
        <v>4763</v>
      </c>
    </row>
    <row r="487" spans="1:62" ht="15" thickBot="1" x14ac:dyDescent="0.35">
      <c r="A487" s="1200">
        <v>6</v>
      </c>
      <c r="B487" s="1208">
        <v>602.20000000000005</v>
      </c>
      <c r="C487" s="1203"/>
      <c r="D487" s="1203"/>
      <c r="E487" s="1203"/>
      <c r="F487" s="1203"/>
      <c r="G487" s="1202" t="str">
        <f t="shared" si="150"/>
        <v/>
      </c>
      <c r="H487" s="1200" t="s">
        <v>4386</v>
      </c>
      <c r="I487" s="66"/>
      <c r="J487" s="4"/>
      <c r="K487" s="86"/>
      <c r="L487" s="1329"/>
      <c r="M487" s="305"/>
      <c r="N487" s="282"/>
      <c r="O487" s="282"/>
      <c r="P487" s="280"/>
      <c r="Q487" s="280"/>
      <c r="R487" s="280"/>
      <c r="S487" s="280"/>
      <c r="T487" s="280"/>
      <c r="U487" s="280"/>
      <c r="V487" s="280"/>
      <c r="W487" s="117"/>
      <c r="X487" s="1337"/>
      <c r="Y487" s="1524"/>
      <c r="Z487" s="1584"/>
      <c r="AC487" s="280"/>
      <c r="AD487" s="280"/>
      <c r="AE487" s="280"/>
      <c r="AF487" s="280"/>
      <c r="AG487" s="280"/>
      <c r="AH487" s="280"/>
      <c r="AI487" s="280"/>
      <c r="AJ487" s="280"/>
      <c r="AK487" s="280"/>
      <c r="AL487" s="280"/>
      <c r="AM487" s="280"/>
      <c r="AN487" s="280"/>
      <c r="AO487" s="280"/>
      <c r="AP487" s="280"/>
      <c r="AQ487" s="280"/>
      <c r="AR487" s="280"/>
      <c r="AS487" s="280"/>
      <c r="BJ487" s="1184" t="s">
        <v>4763</v>
      </c>
    </row>
    <row r="488" spans="1:62" ht="15" thickTop="1" x14ac:dyDescent="0.3">
      <c r="A488" s="1200">
        <v>6</v>
      </c>
      <c r="B488" s="1208">
        <v>602.29999999999995</v>
      </c>
      <c r="C488" s="1203"/>
      <c r="D488" s="1203"/>
      <c r="E488" s="1203"/>
      <c r="F488" s="1203"/>
      <c r="G488" s="1202" t="str">
        <f>IF(N488&gt;0,"P","")</f>
        <v>P</v>
      </c>
      <c r="H488" s="1200" t="s">
        <v>4388</v>
      </c>
      <c r="I488" s="200">
        <v>602.29999999999995</v>
      </c>
      <c r="J488" s="201"/>
      <c r="K488" s="202"/>
      <c r="L488" s="1331" t="s">
        <v>683</v>
      </c>
      <c r="M488" s="1343">
        <v>4</v>
      </c>
      <c r="N488" s="1528">
        <f>'Ch6'!O234</f>
        <v>4</v>
      </c>
      <c r="O488" s="1528">
        <f>M488*S488*W488</f>
        <v>0</v>
      </c>
      <c r="P488" s="440" t="b">
        <v>0</v>
      </c>
      <c r="Q488" s="280" t="b">
        <v>1</v>
      </c>
      <c r="R488" s="110" t="b">
        <v>0</v>
      </c>
      <c r="S488" s="110" t="b">
        <v>1</v>
      </c>
      <c r="T488" s="110" t="b">
        <v>0</v>
      </c>
      <c r="U488" s="110"/>
      <c r="V488" s="110"/>
      <c r="W488" s="25"/>
      <c r="X488" s="1327"/>
      <c r="Y488" s="1525" t="str">
        <f>IF(LEN('Ch6'!X234)=0,"None",'Ch6'!X234)</f>
        <v>ZERH Requirement - ENERGY STAR Certified Homes National Water Management Requirements, Section 3.2 Gutters and Downspouts</v>
      </c>
      <c r="Z488" s="1585"/>
      <c r="AA488" s="1110">
        <f>'Photo Review'!H488</f>
        <v>0</v>
      </c>
      <c r="AC488" s="280"/>
      <c r="AD488" s="280"/>
      <c r="AE488" s="280"/>
      <c r="AF488" s="280"/>
      <c r="AG488" s="280"/>
      <c r="AH488" s="280"/>
      <c r="AI488" s="280"/>
      <c r="AJ488" s="280"/>
      <c r="AK488" s="280"/>
      <c r="AL488" s="311" t="str">
        <f>SUBSTITUTE(SUBSTITUTE(SUBSTITUTE("vpa"&amp;$B488&amp;$C488&amp;$D488&amp;$E488&amp;$F488,".","_"),"(","_"),")","")</f>
        <v>vpa602_3</v>
      </c>
      <c r="AM488" s="311">
        <f>M488</f>
        <v>4</v>
      </c>
      <c r="AN488" s="311" t="str">
        <f>SUBSTITUTE(SUBSTITUTE(SUBSTITUTE("vpc"&amp;$B488&amp;$C488&amp;$D488&amp;$E488&amp;$F488,".","_"),"(","_"),")","")</f>
        <v>vpc602_3</v>
      </c>
      <c r="AO488" s="311">
        <f>O488</f>
        <v>0</v>
      </c>
      <c r="AP488" s="311" t="str">
        <f>SUBSTITUTE(SUBSTITUTE(SUBSTITUTE("vch"&amp;$B488&amp;$C488&amp;$D488&amp;$E488&amp;$F488,".","_"),"(","_"),")","")</f>
        <v>vch602_3</v>
      </c>
      <c r="AQ488" s="311">
        <f>W488</f>
        <v>0</v>
      </c>
      <c r="AR488" s="311" t="str">
        <f>SUBSTITUTE(SUBSTITUTE(SUBSTITUTE("vnt"&amp;$B488&amp;$C488&amp;$D488&amp;$E488&amp;$F488,".","_"),"(","_"),")","")</f>
        <v>vnt602_3</v>
      </c>
      <c r="AS488" s="311">
        <f>X488</f>
        <v>0</v>
      </c>
      <c r="BJ488" s="1184" t="s">
        <v>4763</v>
      </c>
    </row>
    <row r="489" spans="1:62" x14ac:dyDescent="0.3">
      <c r="A489" s="1200">
        <v>6</v>
      </c>
      <c r="B489" s="1208">
        <v>602.29999999999995</v>
      </c>
      <c r="C489" s="1203"/>
      <c r="D489" s="1203"/>
      <c r="E489" s="1203"/>
      <c r="F489" s="1203"/>
      <c r="G489" s="1202" t="str">
        <f t="shared" ref="G489:G490" si="153">G488</f>
        <v>P</v>
      </c>
      <c r="H489" s="1200" t="s">
        <v>4388</v>
      </c>
      <c r="I489" s="141"/>
      <c r="J489" s="140"/>
      <c r="K489" s="98"/>
      <c r="L489" s="1313"/>
      <c r="M489" s="1318"/>
      <c r="N489" s="1473"/>
      <c r="O489" s="1473"/>
      <c r="P489" s="97"/>
      <c r="Q489" s="97"/>
      <c r="R489" s="97"/>
      <c r="S489" s="97"/>
      <c r="T489" s="97"/>
      <c r="U489" s="97"/>
      <c r="V489" s="97"/>
      <c r="W489" s="97"/>
      <c r="X489" s="1295"/>
      <c r="Y489" s="1523"/>
      <c r="Z489" s="1583"/>
      <c r="AC489" s="280"/>
      <c r="AD489" s="280"/>
      <c r="AE489" s="280"/>
      <c r="AF489" s="280"/>
      <c r="AG489" s="280"/>
      <c r="AH489" s="280"/>
      <c r="AI489" s="280"/>
      <c r="AJ489" s="280"/>
      <c r="AK489" s="280"/>
      <c r="AL489" s="280"/>
      <c r="AM489" s="280"/>
      <c r="AN489" s="280"/>
      <c r="AO489" s="280"/>
      <c r="AP489" s="280"/>
      <c r="AQ489" s="280"/>
      <c r="AR489" s="280"/>
      <c r="AS489" s="280"/>
      <c r="BJ489" s="1184" t="s">
        <v>4763</v>
      </c>
    </row>
    <row r="490" spans="1:62" ht="15" thickBot="1" x14ac:dyDescent="0.35">
      <c r="A490" s="1200">
        <v>6</v>
      </c>
      <c r="B490" s="1208">
        <v>602.29999999999995</v>
      </c>
      <c r="C490" s="1203"/>
      <c r="D490" s="1203"/>
      <c r="E490" s="1203"/>
      <c r="F490" s="1203"/>
      <c r="G490" s="1202" t="str">
        <f t="shared" si="153"/>
        <v>P</v>
      </c>
      <c r="H490" s="1200" t="s">
        <v>4388</v>
      </c>
      <c r="I490" s="141"/>
      <c r="J490" s="140"/>
      <c r="K490" s="98"/>
      <c r="L490" s="1313"/>
      <c r="M490" s="1318"/>
      <c r="N490" s="1529"/>
      <c r="O490" s="1473"/>
      <c r="P490" s="97"/>
      <c r="Q490" s="97"/>
      <c r="R490" s="97"/>
      <c r="S490" s="97"/>
      <c r="T490" s="97"/>
      <c r="U490" s="97"/>
      <c r="V490" s="97"/>
      <c r="W490" s="97"/>
      <c r="X490" s="1337"/>
      <c r="Y490" s="1524"/>
      <c r="Z490" s="1584"/>
      <c r="AC490" s="280"/>
      <c r="AD490" s="280"/>
      <c r="AE490" s="280"/>
      <c r="AF490" s="280"/>
      <c r="AG490" s="280"/>
      <c r="AH490" s="280"/>
      <c r="AI490" s="280"/>
      <c r="AJ490" s="280"/>
      <c r="AK490" s="280"/>
      <c r="AL490" s="280"/>
      <c r="AM490" s="280"/>
      <c r="AN490" s="280"/>
      <c r="AO490" s="280"/>
      <c r="AP490" s="280"/>
      <c r="AQ490" s="280"/>
      <c r="AR490" s="280"/>
      <c r="AS490" s="280"/>
      <c r="BJ490" s="1184" t="s">
        <v>4763</v>
      </c>
    </row>
    <row r="491" spans="1:62" ht="15" thickTop="1" x14ac:dyDescent="0.3">
      <c r="A491" s="1200">
        <v>6</v>
      </c>
      <c r="B491" s="1208">
        <v>602.4</v>
      </c>
      <c r="C491" s="1203"/>
      <c r="D491" s="1203"/>
      <c r="E491" s="1203"/>
      <c r="F491" s="1203"/>
      <c r="G491" s="1202" t="s">
        <v>4389</v>
      </c>
      <c r="H491" s="1200" t="s">
        <v>4386</v>
      </c>
      <c r="I491" s="200">
        <v>602.4</v>
      </c>
      <c r="J491" s="201"/>
      <c r="K491" s="202"/>
      <c r="L491" s="135" t="s">
        <v>684</v>
      </c>
      <c r="M491" s="306"/>
      <c r="N491" s="296"/>
      <c r="O491" s="296"/>
      <c r="P491" s="110"/>
      <c r="Q491" s="110"/>
      <c r="R491" s="110"/>
      <c r="S491" s="110"/>
      <c r="T491" s="110"/>
      <c r="U491" s="110"/>
      <c r="V491" s="110"/>
      <c r="W491" s="110"/>
      <c r="X491" s="110"/>
      <c r="Y491"/>
      <c r="Z491" s="1055"/>
      <c r="AC491" s="280"/>
      <c r="AD491" s="280"/>
      <c r="AE491" s="280"/>
      <c r="AF491" s="280"/>
      <c r="AG491" s="280"/>
      <c r="AH491" s="280"/>
      <c r="AI491" s="280"/>
      <c r="AJ491" s="280"/>
      <c r="AK491" s="280"/>
      <c r="AL491" s="280"/>
      <c r="AM491" s="280"/>
      <c r="AN491" s="280"/>
      <c r="AO491" s="280"/>
      <c r="AP491" s="280"/>
      <c r="AQ491" s="280"/>
      <c r="AR491" s="280"/>
      <c r="AS491" s="280"/>
      <c r="BJ491" s="1184" t="s">
        <v>4763</v>
      </c>
    </row>
    <row r="492" spans="1:62" x14ac:dyDescent="0.3">
      <c r="A492" s="1200">
        <v>6</v>
      </c>
      <c r="B492" s="1208" t="s">
        <v>685</v>
      </c>
      <c r="C492" s="1203"/>
      <c r="D492" s="1203"/>
      <c r="E492" s="1203"/>
      <c r="F492" s="1203"/>
      <c r="G492" s="1202" t="s">
        <v>4389</v>
      </c>
      <c r="H492" s="1200" t="s">
        <v>4386</v>
      </c>
      <c r="I492" s="141" t="s">
        <v>685</v>
      </c>
      <c r="J492" s="140"/>
      <c r="K492" s="98"/>
      <c r="L492" s="1313" t="s">
        <v>686</v>
      </c>
      <c r="M492" s="1351" t="str">
        <f>IF(R492,"Mandatory","N/A")</f>
        <v>Mandatory</v>
      </c>
      <c r="N492" s="282"/>
      <c r="O492" s="282"/>
      <c r="P492" s="280" t="b">
        <v>1</v>
      </c>
      <c r="Q492" s="280" t="b">
        <v>1</v>
      </c>
      <c r="R492" s="280" t="b">
        <f>S492</f>
        <v>1</v>
      </c>
      <c r="S492" s="280" t="b">
        <v>1</v>
      </c>
      <c r="T492" s="280" t="b">
        <v>0</v>
      </c>
      <c r="U492" s="280"/>
      <c r="V492" s="280"/>
      <c r="W492" s="25"/>
      <c r="X492" s="1303"/>
      <c r="Y492" s="1522" t="str">
        <f>IF(LEN('Ch6'!X238)=0,"None",'Ch6'!X238)</f>
        <v>None</v>
      </c>
      <c r="Z492" s="1586"/>
      <c r="AA492" s="1110">
        <f>'Photo Review'!H492</f>
        <v>0</v>
      </c>
      <c r="AC492" s="280" t="b">
        <f>OR(AD492:AE492)</f>
        <v>1</v>
      </c>
      <c r="AD492" s="280" t="b">
        <f>T492</f>
        <v>0</v>
      </c>
      <c r="AE492" s="280" t="b">
        <f>NOT(W492)</f>
        <v>1</v>
      </c>
      <c r="AF492" s="1182" t="b">
        <f>AND(AE492,NOT(Q492))</f>
        <v>0</v>
      </c>
      <c r="AG492" s="280"/>
      <c r="AH492" s="280"/>
      <c r="AI492" s="280"/>
      <c r="AJ492" s="280"/>
      <c r="AK492" s="280"/>
      <c r="AL492" s="311" t="str">
        <f>SUBSTITUTE(SUBSTITUTE(SUBSTITUTE("vpa"&amp;$B492&amp;$C492&amp;$D492&amp;$E492&amp;$F492,".","_"),"(","_"),")","")</f>
        <v>vpa602_4_1</v>
      </c>
      <c r="AM492" s="311" t="str">
        <f>M492</f>
        <v>Mandatory</v>
      </c>
      <c r="AN492" s="280"/>
      <c r="AO492" s="280"/>
      <c r="AP492" s="311" t="str">
        <f>SUBSTITUTE(SUBSTITUTE(SUBSTITUTE("vch"&amp;$B492&amp;$C492&amp;$D492&amp;$E492&amp;$F492,".","_"),"(","_"),")","")</f>
        <v>vch602_4_1</v>
      </c>
      <c r="AQ492" s="311">
        <f>W492</f>
        <v>0</v>
      </c>
      <c r="AR492" s="311" t="str">
        <f>SUBSTITUTE(SUBSTITUTE(SUBSTITUTE("vnt"&amp;$B492&amp;$C492&amp;$D492&amp;$E492&amp;$F492,".","_"),"(","_"),")","")</f>
        <v>vnt602_4_1</v>
      </c>
      <c r="AS492" s="311">
        <f>X492</f>
        <v>0</v>
      </c>
      <c r="BJ492" s="1184" t="s">
        <v>4763</v>
      </c>
    </row>
    <row r="493" spans="1:62" x14ac:dyDescent="0.3">
      <c r="A493" s="1200">
        <v>6</v>
      </c>
      <c r="B493" s="1208" t="s">
        <v>685</v>
      </c>
      <c r="C493" s="1203"/>
      <c r="D493" s="1203"/>
      <c r="E493" s="1203"/>
      <c r="F493" s="1203"/>
      <c r="G493" s="1202" t="s">
        <v>4389</v>
      </c>
      <c r="H493" s="1200" t="s">
        <v>4386</v>
      </c>
      <c r="I493" s="141"/>
      <c r="J493" s="140"/>
      <c r="K493" s="98"/>
      <c r="L493" s="1313"/>
      <c r="M493" s="1351"/>
      <c r="N493" s="282"/>
      <c r="O493" s="282"/>
      <c r="P493" s="280"/>
      <c r="Q493" s="280"/>
      <c r="R493" s="280"/>
      <c r="S493" s="280"/>
      <c r="T493" s="280"/>
      <c r="U493" s="280"/>
      <c r="V493" s="280"/>
      <c r="W493" s="280"/>
      <c r="X493" s="1303"/>
      <c r="Y493" s="1522"/>
      <c r="Z493" s="1586"/>
      <c r="AC493" s="280"/>
      <c r="AD493" s="280"/>
      <c r="AE493" s="280"/>
      <c r="AF493" s="280"/>
      <c r="AG493" s="280"/>
      <c r="AH493" s="280"/>
      <c r="AI493" s="280"/>
      <c r="AJ493" s="280"/>
      <c r="AK493" s="280"/>
      <c r="AL493" s="280"/>
      <c r="AM493" s="280"/>
      <c r="AN493" s="280"/>
      <c r="AO493" s="280"/>
      <c r="AP493" s="280"/>
      <c r="AQ493" s="280"/>
      <c r="AR493" s="280"/>
      <c r="AS493" s="280"/>
      <c r="BJ493" s="1184" t="s">
        <v>4763</v>
      </c>
    </row>
    <row r="494" spans="1:62" x14ac:dyDescent="0.3">
      <c r="A494" s="1200">
        <v>6</v>
      </c>
      <c r="B494" s="1208" t="s">
        <v>685</v>
      </c>
      <c r="C494" s="1203"/>
      <c r="D494" s="1203"/>
      <c r="E494" s="1203"/>
      <c r="F494" s="1203"/>
      <c r="G494" s="1202" t="s">
        <v>4389</v>
      </c>
      <c r="H494" s="1200" t="s">
        <v>4386</v>
      </c>
      <c r="I494" s="141"/>
      <c r="J494" s="140"/>
      <c r="K494" s="98"/>
      <c r="L494" s="1313"/>
      <c r="M494" s="1351"/>
      <c r="N494" s="282"/>
      <c r="O494" s="282"/>
      <c r="P494" s="280"/>
      <c r="Q494" s="280"/>
      <c r="R494" s="280"/>
      <c r="S494" s="280"/>
      <c r="T494" s="280"/>
      <c r="U494" s="280"/>
      <c r="V494" s="280"/>
      <c r="W494" s="280"/>
      <c r="X494" s="1303"/>
      <c r="Y494" s="1522"/>
      <c r="Z494" s="1586"/>
      <c r="AC494" s="280"/>
      <c r="AD494" s="280"/>
      <c r="AE494" s="280"/>
      <c r="AF494" s="280"/>
      <c r="AG494" s="280"/>
      <c r="AH494" s="280"/>
      <c r="AI494" s="280"/>
      <c r="AJ494" s="280"/>
      <c r="AK494" s="280"/>
      <c r="AL494" s="280"/>
      <c r="AM494" s="280"/>
      <c r="AN494" s="280"/>
      <c r="AO494" s="280"/>
      <c r="AP494" s="280"/>
      <c r="AQ494" s="280"/>
      <c r="AR494" s="280"/>
      <c r="AS494" s="280"/>
      <c r="BJ494" s="1184" t="s">
        <v>4763</v>
      </c>
    </row>
    <row r="495" spans="1:62" x14ac:dyDescent="0.3">
      <c r="A495" s="1200">
        <v>6</v>
      </c>
      <c r="B495" s="1208" t="s">
        <v>685</v>
      </c>
      <c r="C495" s="1203"/>
      <c r="D495" s="1203"/>
      <c r="E495" s="1203"/>
      <c r="F495" s="1203"/>
      <c r="G495" s="1202" t="s">
        <v>4389</v>
      </c>
      <c r="H495" s="1200" t="s">
        <v>4386</v>
      </c>
      <c r="I495" s="141"/>
      <c r="J495" s="140"/>
      <c r="K495" s="98"/>
      <c r="L495" s="1313"/>
      <c r="M495" s="1351"/>
      <c r="N495" s="282"/>
      <c r="O495" s="282"/>
      <c r="P495" s="280"/>
      <c r="Q495" s="280"/>
      <c r="R495" s="280"/>
      <c r="S495" s="280"/>
      <c r="T495" s="280"/>
      <c r="U495" s="280"/>
      <c r="V495" s="280"/>
      <c r="W495" s="280"/>
      <c r="X495" s="1303"/>
      <c r="Y495" s="1522"/>
      <c r="Z495" s="1586"/>
      <c r="AC495" s="280"/>
      <c r="AD495" s="280"/>
      <c r="AE495" s="280"/>
      <c r="AF495" s="280"/>
      <c r="AG495" s="280"/>
      <c r="AH495" s="280"/>
      <c r="AI495" s="280"/>
      <c r="AJ495" s="280"/>
      <c r="AK495" s="280"/>
      <c r="AL495" s="280"/>
      <c r="AM495" s="280"/>
      <c r="AN495" s="280"/>
      <c r="AO495" s="280"/>
      <c r="AP495" s="280"/>
      <c r="AQ495" s="280"/>
      <c r="AR495" s="280"/>
      <c r="AS495" s="280"/>
      <c r="BJ495" s="1184" t="s">
        <v>4763</v>
      </c>
    </row>
    <row r="496" spans="1:62" x14ac:dyDescent="0.3">
      <c r="A496" s="1200">
        <v>6</v>
      </c>
      <c r="B496" s="1208" t="s">
        <v>685</v>
      </c>
      <c r="C496" s="1203"/>
      <c r="D496" s="1203"/>
      <c r="E496" s="1203"/>
      <c r="F496" s="1203"/>
      <c r="G496" s="1202" t="s">
        <v>4389</v>
      </c>
      <c r="H496" s="1200" t="s">
        <v>4386</v>
      </c>
      <c r="I496" s="244"/>
      <c r="J496" s="238"/>
      <c r="K496" s="193"/>
      <c r="L496" s="1350"/>
      <c r="M496" s="1352"/>
      <c r="N496" s="282"/>
      <c r="O496" s="282"/>
      <c r="P496" s="280"/>
      <c r="Q496" s="280"/>
      <c r="R496" s="280"/>
      <c r="S496" s="280"/>
      <c r="T496" s="280"/>
      <c r="U496" s="280"/>
      <c r="V496" s="280"/>
      <c r="W496" s="280"/>
      <c r="X496" s="1303"/>
      <c r="Y496" s="1522"/>
      <c r="Z496" s="1586"/>
      <c r="AC496" s="280"/>
      <c r="AD496" s="280"/>
      <c r="AE496" s="280"/>
      <c r="AF496" s="280"/>
      <c r="AG496" s="280"/>
      <c r="AH496" s="280"/>
      <c r="AI496" s="280"/>
      <c r="AJ496" s="280"/>
      <c r="AK496" s="280"/>
      <c r="AL496" s="280"/>
      <c r="AM496" s="280"/>
      <c r="AN496" s="280"/>
      <c r="AO496" s="280"/>
      <c r="AP496" s="280"/>
      <c r="AQ496" s="280"/>
      <c r="AR496" s="280"/>
      <c r="AS496" s="280"/>
      <c r="BJ496" s="1184" t="s">
        <v>4763</v>
      </c>
    </row>
    <row r="497" spans="1:62" x14ac:dyDescent="0.3">
      <c r="A497" s="1200">
        <v>6</v>
      </c>
      <c r="B497" s="1208" t="s">
        <v>687</v>
      </c>
      <c r="C497" s="1203"/>
      <c r="D497" s="1203"/>
      <c r="E497" s="1203"/>
      <c r="F497" s="1203"/>
      <c r="G497" s="1202" t="str">
        <f>IF(N497&gt;0,"P","")</f>
        <v>P</v>
      </c>
      <c r="H497" s="1200" t="s">
        <v>4386</v>
      </c>
      <c r="I497" s="141" t="s">
        <v>687</v>
      </c>
      <c r="J497" s="140"/>
      <c r="K497" s="98"/>
      <c r="L497" s="1313" t="s">
        <v>688</v>
      </c>
      <c r="M497" s="1318">
        <v>1</v>
      </c>
      <c r="N497" s="1473">
        <f>'Ch6'!O243</f>
        <v>1</v>
      </c>
      <c r="O497" s="1473">
        <f>M497*S497*W497</f>
        <v>0</v>
      </c>
      <c r="P497" s="280" t="b">
        <v>1</v>
      </c>
      <c r="Q497" s="280" t="b">
        <v>1</v>
      </c>
      <c r="R497" s="280" t="b">
        <v>0</v>
      </c>
      <c r="S497" s="280" t="b">
        <v>1</v>
      </c>
      <c r="T497" s="280" t="b">
        <v>0</v>
      </c>
      <c r="U497" s="280"/>
      <c r="V497" s="280"/>
      <c r="W497" s="25"/>
      <c r="X497" s="1303"/>
      <c r="Y497" s="1522" t="str">
        <f>IF(LEN('Ch6'!X243)=0,"None",'Ch6'!X243)</f>
        <v>None</v>
      </c>
      <c r="Z497" s="1586"/>
      <c r="AA497" s="1110">
        <f>'Photo Review'!H497</f>
        <v>0</v>
      </c>
      <c r="AC497" s="280"/>
      <c r="AD497" s="280"/>
      <c r="AE497" s="280"/>
      <c r="AF497" s="280"/>
      <c r="AG497" s="280"/>
      <c r="AH497" s="280"/>
      <c r="AI497" s="280"/>
      <c r="AJ497" s="280"/>
      <c r="AK497" s="280"/>
      <c r="AL497" s="311" t="str">
        <f>SUBSTITUTE(SUBSTITUTE(SUBSTITUTE("vpa"&amp;$B497&amp;$C497&amp;$D497&amp;$E497&amp;$F497,".","_"),"(","_"),")","")</f>
        <v>vpa602_4_2</v>
      </c>
      <c r="AM497" s="311">
        <f>M497</f>
        <v>1</v>
      </c>
      <c r="AN497" s="311" t="str">
        <f>SUBSTITUTE(SUBSTITUTE(SUBSTITUTE("vpc"&amp;$B497&amp;$C497&amp;$D497&amp;$E497&amp;$F497,".","_"),"(","_"),")","")</f>
        <v>vpc602_4_2</v>
      </c>
      <c r="AO497" s="311">
        <f>O497</f>
        <v>0</v>
      </c>
      <c r="AP497" s="311" t="str">
        <f>SUBSTITUTE(SUBSTITUTE(SUBSTITUTE("vch"&amp;$B497&amp;$C497&amp;$D497&amp;$E497&amp;$F497,".","_"),"(","_"),")","")</f>
        <v>vch602_4_2</v>
      </c>
      <c r="AQ497" s="311">
        <f>W497</f>
        <v>0</v>
      </c>
      <c r="AR497" s="311" t="str">
        <f>SUBSTITUTE(SUBSTITUTE(SUBSTITUTE("vnt"&amp;$B497&amp;$C497&amp;$D497&amp;$E497&amp;$F497,".","_"),"(","_"),")","")</f>
        <v>vnt602_4_2</v>
      </c>
      <c r="AS497" s="311">
        <f>X497</f>
        <v>0</v>
      </c>
      <c r="BJ497" s="1184" t="s">
        <v>4763</v>
      </c>
    </row>
    <row r="498" spans="1:62" x14ac:dyDescent="0.3">
      <c r="A498" s="1200">
        <v>6</v>
      </c>
      <c r="B498" s="1208" t="s">
        <v>687</v>
      </c>
      <c r="C498" s="1203"/>
      <c r="D498" s="1203"/>
      <c r="E498" s="1203"/>
      <c r="F498" s="1203"/>
      <c r="G498" s="1202" t="str">
        <f t="shared" ref="G498" si="154">G497</f>
        <v>P</v>
      </c>
      <c r="H498" s="1200" t="s">
        <v>4386</v>
      </c>
      <c r="I498" s="244"/>
      <c r="J498" s="238"/>
      <c r="K498" s="193"/>
      <c r="L498" s="1350"/>
      <c r="M498" s="1319"/>
      <c r="N498" s="1491"/>
      <c r="O498" s="1491"/>
      <c r="P498" s="280"/>
      <c r="Q498" s="280"/>
      <c r="R498" s="280"/>
      <c r="S498" s="280"/>
      <c r="T498" s="280"/>
      <c r="U498" s="280"/>
      <c r="V498" s="280"/>
      <c r="W498" s="280"/>
      <c r="X498" s="1303"/>
      <c r="Y498" s="1522"/>
      <c r="Z498" s="1586"/>
      <c r="AC498" s="280"/>
      <c r="AD498" s="280"/>
      <c r="AE498" s="280"/>
      <c r="AF498" s="280"/>
      <c r="AG498" s="280"/>
      <c r="AH498" s="280"/>
      <c r="AI498" s="280"/>
      <c r="AJ498" s="280"/>
      <c r="AK498" s="280"/>
      <c r="AL498" s="280"/>
      <c r="AM498" s="280"/>
      <c r="AN498" s="280"/>
      <c r="AO498" s="280"/>
      <c r="AP498" s="280"/>
      <c r="AQ498" s="280"/>
      <c r="AR498" s="280"/>
      <c r="AS498" s="280"/>
      <c r="BJ498" s="1184" t="s">
        <v>4763</v>
      </c>
    </row>
    <row r="499" spans="1:62" x14ac:dyDescent="0.3">
      <c r="A499" s="1200">
        <v>6</v>
      </c>
      <c r="B499" s="1208" t="s">
        <v>689</v>
      </c>
      <c r="C499" s="1203"/>
      <c r="D499" s="1203"/>
      <c r="E499" s="1203"/>
      <c r="F499" s="1203"/>
      <c r="G499" s="1202" t="str">
        <f>IF(N499&gt;0,"P","")</f>
        <v>P</v>
      </c>
      <c r="H499" s="1200" t="s">
        <v>4386</v>
      </c>
      <c r="I499" s="66" t="s">
        <v>689</v>
      </c>
      <c r="J499" s="4"/>
      <c r="K499" s="86"/>
      <c r="L499" s="88" t="s">
        <v>690</v>
      </c>
      <c r="M499" s="305">
        <v>1</v>
      </c>
      <c r="N499" s="282">
        <f>'Ch6'!O245</f>
        <v>1</v>
      </c>
      <c r="O499" s="282">
        <f>M499*S499*W499</f>
        <v>0</v>
      </c>
      <c r="P499" s="280" t="b">
        <v>1</v>
      </c>
      <c r="Q499" s="280" t="b">
        <v>1</v>
      </c>
      <c r="R499" s="280" t="b">
        <v>0</v>
      </c>
      <c r="S499" s="280" t="b">
        <v>1</v>
      </c>
      <c r="T499" s="280" t="b">
        <v>0</v>
      </c>
      <c r="U499" s="280"/>
      <c r="V499" s="280"/>
      <c r="W499" s="25"/>
      <c r="X499" s="281"/>
      <c r="Y499" s="312" t="str">
        <f>IF(LEN('Ch6'!X245)=0,"None",'Ch6'!X245)</f>
        <v>None</v>
      </c>
      <c r="Z499" s="1169"/>
      <c r="AA499" s="1110">
        <f>'Photo Review'!H499</f>
        <v>0</v>
      </c>
      <c r="AC499" s="280"/>
      <c r="AD499" s="280"/>
      <c r="AE499" s="280"/>
      <c r="AF499" s="280"/>
      <c r="AG499" s="280"/>
      <c r="AH499" s="280"/>
      <c r="AI499" s="280"/>
      <c r="AJ499" s="280"/>
      <c r="AK499" s="280"/>
      <c r="AL499" s="311" t="str">
        <f>SUBSTITUTE(SUBSTITUTE(SUBSTITUTE("vpa"&amp;$B499&amp;$C499&amp;$D499&amp;$E499&amp;$F499,".","_"),"(","_"),")","")</f>
        <v>vpa602_4_3</v>
      </c>
      <c r="AM499" s="311">
        <f>M499</f>
        <v>1</v>
      </c>
      <c r="AN499" s="311" t="str">
        <f>SUBSTITUTE(SUBSTITUTE(SUBSTITUTE("vpc"&amp;$B499&amp;$C499&amp;$D499&amp;$E499&amp;$F499,".","_"),"(","_"),")","")</f>
        <v>vpc602_4_3</v>
      </c>
      <c r="AO499" s="311">
        <f>O499</f>
        <v>0</v>
      </c>
      <c r="AP499" s="311" t="str">
        <f>SUBSTITUTE(SUBSTITUTE(SUBSTITUTE("vch"&amp;$B499&amp;$C499&amp;$D499&amp;$E499&amp;$F499,".","_"),"(","_"),")","")</f>
        <v>vch602_4_3</v>
      </c>
      <c r="AQ499" s="311">
        <f>W499</f>
        <v>0</v>
      </c>
      <c r="AR499" s="311" t="str">
        <f>SUBSTITUTE(SUBSTITUTE(SUBSTITUTE("vnt"&amp;$B499&amp;$C499&amp;$D499&amp;$E499&amp;$F499,".","_"),"(","_"),")","")</f>
        <v>vnt602_4_3</v>
      </c>
      <c r="AS499" s="311">
        <f>X499</f>
        <v>0</v>
      </c>
      <c r="BJ499" s="1184" t="s">
        <v>4763</v>
      </c>
    </row>
    <row r="500" spans="1:62" ht="18" x14ac:dyDescent="0.35">
      <c r="A500" s="1200">
        <v>6</v>
      </c>
      <c r="B500" s="1208">
        <v>603</v>
      </c>
      <c r="C500" s="1203"/>
      <c r="D500" s="1203"/>
      <c r="E500" s="1203"/>
      <c r="F500" s="1203"/>
      <c r="G500" s="1202" t="s">
        <v>4389</v>
      </c>
      <c r="H500" s="1200" t="s">
        <v>4386</v>
      </c>
      <c r="I500" s="72" t="s">
        <v>691</v>
      </c>
      <c r="J500" s="23"/>
      <c r="K500" s="85"/>
      <c r="L500" s="82"/>
      <c r="M500" s="71"/>
      <c r="N500" s="71"/>
      <c r="O500" s="71"/>
      <c r="P500" s="23"/>
      <c r="Q500" s="23"/>
      <c r="R500" s="23"/>
      <c r="S500" s="23"/>
      <c r="T500" s="23"/>
      <c r="U500" s="23"/>
      <c r="V500" s="23"/>
      <c r="W500" s="23"/>
      <c r="X500" s="23"/>
      <c r="Y500" s="23"/>
      <c r="Z500" s="1168"/>
      <c r="AC500" s="280"/>
      <c r="AD500" s="280"/>
      <c r="AE500" s="280"/>
      <c r="AF500" s="280"/>
      <c r="AG500" s="280"/>
      <c r="AH500" s="280"/>
      <c r="AI500" s="280"/>
      <c r="AJ500" s="280"/>
      <c r="AK500" s="280"/>
      <c r="AL500" s="280"/>
      <c r="AM500" s="280"/>
      <c r="AN500" s="280"/>
      <c r="AO500" s="280"/>
      <c r="AP500" s="280"/>
      <c r="AQ500" s="280"/>
      <c r="AR500" s="280"/>
      <c r="AS500" s="280"/>
      <c r="BJ500" s="1184" t="s">
        <v>4763</v>
      </c>
    </row>
    <row r="501" spans="1:62" x14ac:dyDescent="0.3">
      <c r="A501" s="1200">
        <v>6</v>
      </c>
      <c r="B501" s="1208" t="s">
        <v>4436</v>
      </c>
      <c r="C501" s="1203"/>
      <c r="D501" s="1203"/>
      <c r="E501" s="1203"/>
      <c r="F501" s="1203"/>
      <c r="G501" s="1200"/>
      <c r="H501" s="1200"/>
      <c r="I501" s="925" t="s">
        <v>4436</v>
      </c>
      <c r="J501" s="4"/>
      <c r="K501" s="86"/>
      <c r="L501" s="1292" t="s">
        <v>692</v>
      </c>
      <c r="M501" s="305"/>
      <c r="N501" s="282"/>
      <c r="O501" s="282"/>
      <c r="P501" s="280"/>
      <c r="Q501" s="280"/>
      <c r="R501" s="280"/>
      <c r="S501" s="280"/>
      <c r="T501" s="280"/>
      <c r="U501" s="280"/>
      <c r="V501" s="280"/>
      <c r="W501" s="280"/>
      <c r="X501" s="280"/>
      <c r="Y501"/>
      <c r="Z501" s="1055"/>
      <c r="AC501" s="280"/>
      <c r="AD501" s="280"/>
      <c r="AE501" s="280"/>
      <c r="AF501" s="280"/>
      <c r="AG501" s="280"/>
      <c r="AH501" s="280"/>
      <c r="AI501" s="280"/>
      <c r="AJ501" s="280"/>
      <c r="AK501" s="280"/>
      <c r="AL501" s="280"/>
      <c r="AM501" s="280"/>
      <c r="AN501" s="280"/>
      <c r="AO501" s="280"/>
      <c r="AP501" s="280"/>
      <c r="AQ501" s="280"/>
      <c r="AR501" s="280"/>
      <c r="AS501" s="280"/>
      <c r="BJ501" s="1184" t="s">
        <v>4763</v>
      </c>
    </row>
    <row r="502" spans="1:62" ht="15" thickBot="1" x14ac:dyDescent="0.35">
      <c r="A502" s="1200">
        <v>6</v>
      </c>
      <c r="B502" s="1208" t="s">
        <v>4436</v>
      </c>
      <c r="C502" s="1203"/>
      <c r="D502" s="1203"/>
      <c r="E502" s="1203"/>
      <c r="F502" s="1203"/>
      <c r="G502" s="1200"/>
      <c r="H502" s="1200"/>
      <c r="I502" s="66"/>
      <c r="J502" s="4"/>
      <c r="K502" s="86"/>
      <c r="L502" s="1292"/>
      <c r="M502" s="305"/>
      <c r="N502" s="282"/>
      <c r="O502" s="282"/>
      <c r="P502" s="280"/>
      <c r="Q502" s="280"/>
      <c r="R502" s="280"/>
      <c r="S502" s="280"/>
      <c r="T502" s="280"/>
      <c r="U502" s="280"/>
      <c r="V502" s="280"/>
      <c r="W502" s="104"/>
      <c r="X502" s="280"/>
      <c r="Y502" s="104"/>
      <c r="Z502" s="1172"/>
      <c r="AC502" s="280"/>
      <c r="AD502" s="280"/>
      <c r="AE502" s="280"/>
      <c r="AF502" s="280"/>
      <c r="AG502" s="280"/>
      <c r="AH502" s="280"/>
      <c r="AI502" s="280"/>
      <c r="AJ502" s="280"/>
      <c r="AK502" s="280"/>
      <c r="AL502" s="280"/>
      <c r="AM502" s="280"/>
      <c r="AN502" s="280"/>
      <c r="AO502" s="280"/>
      <c r="AP502" s="280"/>
      <c r="AQ502" s="280"/>
      <c r="AR502" s="280"/>
      <c r="AS502" s="280"/>
      <c r="BJ502" s="1184" t="s">
        <v>4763</v>
      </c>
    </row>
    <row r="503" spans="1:62" ht="15" thickTop="1" x14ac:dyDescent="0.3">
      <c r="A503" s="1200">
        <v>6</v>
      </c>
      <c r="B503" s="1208">
        <v>603.1</v>
      </c>
      <c r="C503" s="1203"/>
      <c r="D503" s="1203"/>
      <c r="E503" s="1203"/>
      <c r="F503" s="1203"/>
      <c r="G503" s="1202" t="str">
        <f>IF(N503&gt;0,"P","")</f>
        <v/>
      </c>
      <c r="H503" s="1200" t="s">
        <v>4387</v>
      </c>
      <c r="I503" s="200">
        <v>603.1</v>
      </c>
      <c r="J503" s="201"/>
      <c r="K503" s="202"/>
      <c r="L503" s="1331" t="s">
        <v>693</v>
      </c>
      <c r="M503" s="1359" t="s">
        <v>3257</v>
      </c>
      <c r="N503" s="1528">
        <f>'Ch6'!O249</f>
        <v>0</v>
      </c>
      <c r="O503" s="1528">
        <f>MIN(ROUNDDOWN(W503/200,0),12)</f>
        <v>0</v>
      </c>
      <c r="P503" s="110" t="b">
        <v>1</v>
      </c>
      <c r="Q503" s="110" t="b">
        <v>0</v>
      </c>
      <c r="R503" s="110" t="b">
        <v>0</v>
      </c>
      <c r="S503" s="110" t="b">
        <v>1</v>
      </c>
      <c r="T503" s="110" t="b">
        <v>0</v>
      </c>
      <c r="U503" s="110"/>
      <c r="V503" s="110"/>
      <c r="W503" s="214"/>
      <c r="X503" s="1311"/>
      <c r="Y503" s="1525" t="str">
        <f>IF(LEN('Ch6'!X249)=0,"None",'Ch6'!X249)</f>
        <v>None</v>
      </c>
      <c r="Z503" s="1585"/>
      <c r="AC503" s="280" t="b">
        <f>OR(AD503:AE503)</f>
        <v>0</v>
      </c>
      <c r="AD503" s="280" t="b">
        <v>0</v>
      </c>
      <c r="AE503" s="280" t="b">
        <f>AND(W503&gt;0,LEN(X503)=0)</f>
        <v>0</v>
      </c>
      <c r="AF503" s="1182" t="b">
        <f>AND(AE503,NOT(Q503))</f>
        <v>0</v>
      </c>
      <c r="AG503" s="280"/>
      <c r="AH503" s="280"/>
      <c r="AI503" s="280"/>
      <c r="AJ503" s="280"/>
      <c r="AK503" s="280"/>
      <c r="AL503" s="311" t="str">
        <f>SUBSTITUTE(SUBSTITUTE(SUBSTITUTE("vpa"&amp;$B503&amp;$C503&amp;$D503&amp;$E503&amp;$F503,".","_"),"(","_"),")","")</f>
        <v>vpa603_1</v>
      </c>
      <c r="AM503" s="311" t="str">
        <f>M503</f>
        <v>1
12 Max</v>
      </c>
      <c r="AN503" s="311" t="str">
        <f>SUBSTITUTE(SUBSTITUTE(SUBSTITUTE("vpc"&amp;$B503&amp;$C503&amp;$D503&amp;$E503&amp;$F503,".","_"),"(","_"),")","")</f>
        <v>vpc603_1</v>
      </c>
      <c r="AO503" s="311">
        <f>O503</f>
        <v>0</v>
      </c>
      <c r="AP503" s="311" t="str">
        <f>SUBSTITUTE(SUBSTITUTE(SUBSTITUTE("vch"&amp;$B503&amp;$C503&amp;$D503&amp;$E503&amp;$F503,".","_"),"(","_"),")","")</f>
        <v>vch603_1</v>
      </c>
      <c r="AQ503" s="311">
        <f>W503</f>
        <v>0</v>
      </c>
      <c r="AR503" s="311" t="str">
        <f>SUBSTITUTE(SUBSTITUTE(SUBSTITUTE("vnt"&amp;$B503&amp;$C503&amp;$D503&amp;$E503&amp;$F503,".","_"),"(","_"),")","")</f>
        <v>vnt603_1</v>
      </c>
      <c r="AS503" s="311">
        <f>X503</f>
        <v>0</v>
      </c>
      <c r="BJ503" s="1184" t="s">
        <v>4763</v>
      </c>
    </row>
    <row r="504" spans="1:62" x14ac:dyDescent="0.3">
      <c r="A504" s="1200">
        <v>6</v>
      </c>
      <c r="B504" s="1208">
        <v>603.1</v>
      </c>
      <c r="C504" s="1203"/>
      <c r="D504" s="1203"/>
      <c r="E504" s="1203"/>
      <c r="F504" s="1203"/>
      <c r="G504" s="1202" t="str">
        <f t="shared" ref="G504:G508" si="155">G503</f>
        <v/>
      </c>
      <c r="H504" s="1200" t="s">
        <v>4387</v>
      </c>
      <c r="I504" s="141"/>
      <c r="J504" s="140"/>
      <c r="K504" s="98"/>
      <c r="L504" s="1313"/>
      <c r="M504" s="1360"/>
      <c r="N504" s="1473"/>
      <c r="O504" s="1473"/>
      <c r="P504" s="97"/>
      <c r="Q504" s="97"/>
      <c r="R504" s="97"/>
      <c r="S504" s="97"/>
      <c r="T504" s="97"/>
      <c r="U504" s="97"/>
      <c r="V504" s="97"/>
      <c r="W504" s="97"/>
      <c r="X504" s="1312"/>
      <c r="Y504" s="1523"/>
      <c r="Z504" s="1583"/>
      <c r="AC504" s="280"/>
      <c r="AD504" s="280"/>
      <c r="AE504" s="280"/>
      <c r="AF504" s="280"/>
      <c r="AG504" s="280"/>
      <c r="AH504" s="280"/>
      <c r="AI504" s="280"/>
      <c r="AJ504" s="280"/>
      <c r="AK504" s="280"/>
      <c r="AL504" s="280"/>
      <c r="AM504" s="280"/>
      <c r="AN504" s="280"/>
      <c r="AO504" s="280"/>
      <c r="AP504" s="280"/>
      <c r="AQ504" s="280"/>
      <c r="AR504" s="280"/>
      <c r="AS504" s="280"/>
      <c r="BJ504" s="1184" t="s">
        <v>4763</v>
      </c>
    </row>
    <row r="505" spans="1:62" ht="15" x14ac:dyDescent="0.3">
      <c r="A505" s="1200">
        <v>6</v>
      </c>
      <c r="B505" s="1208">
        <v>603.1</v>
      </c>
      <c r="C505" s="1203"/>
      <c r="D505" s="1203"/>
      <c r="E505" s="1203"/>
      <c r="F505" s="1203"/>
      <c r="G505" s="1202" t="str">
        <f t="shared" si="155"/>
        <v/>
      </c>
      <c r="H505" s="1200" t="s">
        <v>4387</v>
      </c>
      <c r="I505" s="141"/>
      <c r="J505" s="140"/>
      <c r="K505" s="98"/>
      <c r="L505" s="208" t="s">
        <v>694</v>
      </c>
      <c r="M505" s="1360"/>
      <c r="N505" s="1473"/>
      <c r="O505" s="1473"/>
      <c r="P505" s="97"/>
      <c r="Q505" s="97"/>
      <c r="R505" s="97"/>
      <c r="S505" s="97"/>
      <c r="T505" s="97"/>
      <c r="U505" s="97"/>
      <c r="V505" s="97"/>
      <c r="W505" s="97"/>
      <c r="X505" s="1312"/>
      <c r="Y505" s="1523"/>
      <c r="Z505" s="1583"/>
      <c r="AC505" s="280"/>
      <c r="AD505" s="280"/>
      <c r="AE505" s="280"/>
      <c r="AF505" s="280"/>
      <c r="AG505" s="280"/>
      <c r="AH505" s="280"/>
      <c r="AI505" s="280"/>
      <c r="AJ505" s="280"/>
      <c r="AK505" s="280"/>
      <c r="AL505" s="280"/>
      <c r="AM505" s="280"/>
      <c r="AN505" s="280"/>
      <c r="AO505" s="280"/>
      <c r="AP505" s="280"/>
      <c r="AQ505" s="280"/>
      <c r="AR505" s="280"/>
      <c r="AS505" s="280"/>
      <c r="BJ505" s="1184" t="s">
        <v>4763</v>
      </c>
    </row>
    <row r="506" spans="1:62" x14ac:dyDescent="0.3">
      <c r="A506" s="1200">
        <v>6</v>
      </c>
      <c r="B506" s="1208">
        <v>603.1</v>
      </c>
      <c r="C506" s="1203"/>
      <c r="D506" s="1203"/>
      <c r="E506" s="1203"/>
      <c r="F506" s="1203"/>
      <c r="G506" s="1202" t="str">
        <f t="shared" si="155"/>
        <v/>
      </c>
      <c r="H506" s="1200" t="s">
        <v>4387</v>
      </c>
      <c r="I506" s="141"/>
      <c r="J506" s="140"/>
      <c r="K506" s="98"/>
      <c r="L506" s="1432" t="s">
        <v>3258</v>
      </c>
      <c r="M506" s="1360"/>
      <c r="N506" s="1473"/>
      <c r="O506" s="1473"/>
      <c r="P506" s="97"/>
      <c r="Q506" s="97"/>
      <c r="R506" s="97"/>
      <c r="S506" s="97"/>
      <c r="T506" s="97"/>
      <c r="U506" s="97"/>
      <c r="V506" s="97"/>
      <c r="W506" s="97"/>
      <c r="X506" s="1312"/>
      <c r="Y506" s="1523"/>
      <c r="Z506" s="1583"/>
      <c r="AC506" s="280"/>
      <c r="AD506" s="280"/>
      <c r="AE506" s="280"/>
      <c r="AF506" s="280"/>
      <c r="AG506" s="280"/>
      <c r="AH506" s="280"/>
      <c r="AI506" s="280"/>
      <c r="AJ506" s="280"/>
      <c r="AK506" s="280"/>
      <c r="AL506" s="280"/>
      <c r="AM506" s="280"/>
      <c r="AN506" s="280"/>
      <c r="AO506" s="280"/>
      <c r="AP506" s="280"/>
      <c r="AQ506" s="280"/>
      <c r="AR506" s="280"/>
      <c r="AS506" s="280"/>
      <c r="BJ506" s="1184" t="s">
        <v>4763</v>
      </c>
    </row>
    <row r="507" spans="1:62" x14ac:dyDescent="0.3">
      <c r="A507" s="1200">
        <v>6</v>
      </c>
      <c r="B507" s="1208">
        <v>603.1</v>
      </c>
      <c r="C507" s="1203"/>
      <c r="D507" s="1203"/>
      <c r="E507" s="1203"/>
      <c r="F507" s="1203"/>
      <c r="G507" s="1202" t="str">
        <f t="shared" si="155"/>
        <v/>
      </c>
      <c r="H507" s="1200" t="s">
        <v>4387</v>
      </c>
      <c r="I507" s="141"/>
      <c r="J507" s="140"/>
      <c r="K507" s="98"/>
      <c r="L507" s="1538"/>
      <c r="M507" s="1360"/>
      <c r="N507" s="1473"/>
      <c r="O507" s="1473"/>
      <c r="P507" s="97"/>
      <c r="Q507" s="97"/>
      <c r="R507" s="97"/>
      <c r="S507" s="97"/>
      <c r="T507" s="97"/>
      <c r="U507" s="97"/>
      <c r="V507" s="97"/>
      <c r="W507" s="97"/>
      <c r="X507" s="1312"/>
      <c r="Y507" s="1523"/>
      <c r="Z507" s="1583"/>
      <c r="AC507" s="280"/>
      <c r="AD507" s="280"/>
      <c r="AE507" s="280"/>
      <c r="AF507" s="280"/>
      <c r="AG507" s="280"/>
      <c r="AH507" s="280"/>
      <c r="AI507" s="280"/>
      <c r="AJ507" s="280"/>
      <c r="AK507" s="280"/>
      <c r="AL507" s="280"/>
      <c r="AM507" s="280"/>
      <c r="AN507" s="280"/>
      <c r="AO507" s="280"/>
      <c r="AP507" s="280"/>
      <c r="AQ507" s="280"/>
      <c r="AR507" s="280"/>
      <c r="AS507" s="280"/>
      <c r="BJ507" s="1184" t="s">
        <v>4763</v>
      </c>
    </row>
    <row r="508" spans="1:62" ht="15" thickBot="1" x14ac:dyDescent="0.35">
      <c r="A508" s="1200">
        <v>6</v>
      </c>
      <c r="B508" s="1208">
        <v>603.1</v>
      </c>
      <c r="C508" s="1203"/>
      <c r="D508" s="1203"/>
      <c r="E508" s="1203"/>
      <c r="F508" s="1203"/>
      <c r="G508" s="1202" t="str">
        <f t="shared" si="155"/>
        <v/>
      </c>
      <c r="H508" s="1200" t="s">
        <v>4387</v>
      </c>
      <c r="I508" s="141"/>
      <c r="J508" s="140"/>
      <c r="K508" s="98"/>
      <c r="L508" s="1538"/>
      <c r="M508" s="1360"/>
      <c r="N508" s="1529"/>
      <c r="O508" s="1473"/>
      <c r="P508" s="97"/>
      <c r="Q508" s="97"/>
      <c r="R508" s="97"/>
      <c r="S508" s="97"/>
      <c r="T508" s="97"/>
      <c r="U508" s="97"/>
      <c r="V508" s="97"/>
      <c r="W508" s="117"/>
      <c r="X508" s="1312"/>
      <c r="Y508" s="1524"/>
      <c r="Z508" s="1584"/>
      <c r="AC508" s="280"/>
      <c r="AD508" s="280"/>
      <c r="AE508" s="280"/>
      <c r="AF508" s="280"/>
      <c r="AG508" s="280"/>
      <c r="AH508" s="280"/>
      <c r="AI508" s="280"/>
      <c r="AJ508" s="280"/>
      <c r="AK508" s="280"/>
      <c r="AL508" s="280"/>
      <c r="AM508" s="280"/>
      <c r="AN508" s="280"/>
      <c r="AO508" s="280"/>
      <c r="AP508" s="280"/>
      <c r="AQ508" s="280"/>
      <c r="AR508" s="280"/>
      <c r="AS508" s="280"/>
      <c r="BJ508" s="1184" t="s">
        <v>4763</v>
      </c>
    </row>
    <row r="509" spans="1:62" ht="15" thickTop="1" x14ac:dyDescent="0.3">
      <c r="A509" s="1200">
        <v>6</v>
      </c>
      <c r="B509" s="1208">
        <v>603.20000000000005</v>
      </c>
      <c r="C509" s="1203"/>
      <c r="D509" s="1203"/>
      <c r="E509" s="1203"/>
      <c r="F509" s="1203"/>
      <c r="G509" s="1202" t="str">
        <f>IF(N509&gt;0,"P","")</f>
        <v/>
      </c>
      <c r="H509" s="1200" t="s">
        <v>4386</v>
      </c>
      <c r="I509" s="200">
        <v>603.20000000000005</v>
      </c>
      <c r="J509" s="201"/>
      <c r="K509" s="202"/>
      <c r="L509" s="1331" t="s">
        <v>695</v>
      </c>
      <c r="M509" s="1359" t="s">
        <v>3259</v>
      </c>
      <c r="N509" s="1528">
        <f>'Ch6'!O255</f>
        <v>0</v>
      </c>
      <c r="O509" s="1528">
        <f>MIN(9,ROUNDDOWN(W509/0.01,0))</f>
        <v>0</v>
      </c>
      <c r="P509" s="110" t="b">
        <v>1</v>
      </c>
      <c r="Q509" s="110" t="b">
        <v>1</v>
      </c>
      <c r="R509" s="110" t="b">
        <v>0</v>
      </c>
      <c r="S509" s="110" t="b">
        <v>1</v>
      </c>
      <c r="T509" s="110" t="b">
        <v>0</v>
      </c>
      <c r="U509" s="110"/>
      <c r="V509" s="110"/>
      <c r="W509" s="220"/>
      <c r="X509" s="1327"/>
      <c r="Y509" s="1525" t="str">
        <f>IF(LEN('Ch6'!X255)=0,"None",'Ch6'!X255)</f>
        <v>None</v>
      </c>
      <c r="Z509" s="1585"/>
      <c r="AC509" s="280" t="b">
        <f>OR(AD509:AE509)</f>
        <v>0</v>
      </c>
      <c r="AD509" s="985" t="b">
        <f>T509</f>
        <v>0</v>
      </c>
      <c r="AE509" s="280" t="b">
        <f>AND(W509&gt;0,LEN(X509)=0)</f>
        <v>0</v>
      </c>
      <c r="AF509" s="1182" t="b">
        <f>AND(AE509,NOT(Q509))</f>
        <v>0</v>
      </c>
      <c r="AG509" s="280"/>
      <c r="AH509" s="280"/>
      <c r="AI509" s="280"/>
      <c r="AJ509" s="280"/>
      <c r="AK509" s="280"/>
      <c r="AL509" s="311" t="str">
        <f>SUBSTITUTE(SUBSTITUTE(SUBSTITUTE("vpa"&amp;$B509&amp;$C509&amp;$D509&amp;$E509&amp;$F509,".","_"),"(","_"),")","")</f>
        <v>vpa603_2</v>
      </c>
      <c r="AM509" s="311" t="str">
        <f>M509</f>
        <v>1
9 Max</v>
      </c>
      <c r="AN509" s="311" t="str">
        <f>SUBSTITUTE(SUBSTITUTE(SUBSTITUTE("vpc"&amp;$B509&amp;$C509&amp;$D509&amp;$E509&amp;$F509,".","_"),"(","_"),")","")</f>
        <v>vpc603_2</v>
      </c>
      <c r="AO509" s="311">
        <f>O509</f>
        <v>0</v>
      </c>
      <c r="AP509" s="311" t="str">
        <f>SUBSTITUTE(SUBSTITUTE(SUBSTITUTE("vch"&amp;$B509&amp;$C509&amp;$D509&amp;$E509&amp;$F509,".","_"),"(","_"),")","")</f>
        <v>vch603_2</v>
      </c>
      <c r="AQ509" s="311">
        <f>W509</f>
        <v>0</v>
      </c>
      <c r="AR509" s="311" t="str">
        <f>SUBSTITUTE(SUBSTITUTE(SUBSTITUTE("vnt"&amp;$B509&amp;$C509&amp;$D509&amp;$E509&amp;$F509,".","_"),"(","_"),")","")</f>
        <v>vnt603_2</v>
      </c>
      <c r="AS509" s="311">
        <f>X509</f>
        <v>0</v>
      </c>
      <c r="BJ509" s="1184" t="s">
        <v>4763</v>
      </c>
    </row>
    <row r="510" spans="1:62" x14ac:dyDescent="0.3">
      <c r="A510" s="1200">
        <v>6</v>
      </c>
      <c r="B510" s="1208">
        <v>603.20000000000005</v>
      </c>
      <c r="C510" s="1203"/>
      <c r="D510" s="1203"/>
      <c r="E510" s="1203"/>
      <c r="F510" s="1203"/>
      <c r="G510" s="1202" t="str">
        <f t="shared" ref="G510:G515" si="156">G509</f>
        <v/>
      </c>
      <c r="H510" s="1200" t="s">
        <v>4386</v>
      </c>
      <c r="I510" s="141"/>
      <c r="J510" s="140"/>
      <c r="K510" s="98"/>
      <c r="L510" s="1313"/>
      <c r="M510" s="1360"/>
      <c r="N510" s="1473"/>
      <c r="O510" s="1473"/>
      <c r="P510" s="97"/>
      <c r="Q510" s="97"/>
      <c r="R510" s="97"/>
      <c r="S510" s="97"/>
      <c r="T510" s="97"/>
      <c r="U510" s="97"/>
      <c r="V510" s="97"/>
      <c r="W510" s="97"/>
      <c r="X510" s="1295"/>
      <c r="Y510" s="1523"/>
      <c r="Z510" s="1583"/>
      <c r="AC510" s="280"/>
      <c r="AD510" s="280"/>
      <c r="AE510" s="280"/>
      <c r="AF510" s="280"/>
      <c r="AG510" s="280"/>
      <c r="AH510" s="280"/>
      <c r="AI510" s="280"/>
      <c r="AJ510" s="280"/>
      <c r="AK510" s="280"/>
      <c r="AL510" s="280"/>
      <c r="AM510" s="280"/>
      <c r="AN510" s="280"/>
      <c r="AO510" s="280"/>
      <c r="AP510" s="280"/>
      <c r="AQ510" s="280"/>
      <c r="AR510" s="280"/>
      <c r="AS510" s="280"/>
      <c r="BJ510" s="1184" t="s">
        <v>4763</v>
      </c>
    </row>
    <row r="511" spans="1:62" x14ac:dyDescent="0.3">
      <c r="A511" s="1200">
        <v>6</v>
      </c>
      <c r="B511" s="1208">
        <v>603.20000000000005</v>
      </c>
      <c r="C511" s="1203"/>
      <c r="D511" s="1203"/>
      <c r="E511" s="1203"/>
      <c r="F511" s="1203"/>
      <c r="G511" s="1202" t="str">
        <f t="shared" si="156"/>
        <v/>
      </c>
      <c r="H511" s="1200" t="s">
        <v>4386</v>
      </c>
      <c r="I511" s="141"/>
      <c r="J511" s="140"/>
      <c r="K511" s="98"/>
      <c r="L511" s="1313"/>
      <c r="M511" s="1360"/>
      <c r="N511" s="1473"/>
      <c r="O511" s="1473"/>
      <c r="P511" s="97"/>
      <c r="Q511" s="97"/>
      <c r="R511" s="97"/>
      <c r="S511" s="97"/>
      <c r="T511" s="97"/>
      <c r="U511" s="97"/>
      <c r="V511" s="97"/>
      <c r="W511" s="97"/>
      <c r="X511" s="1295"/>
      <c r="Y511" s="1523"/>
      <c r="Z511" s="1583"/>
      <c r="AC511" s="280"/>
      <c r="AD511" s="280"/>
      <c r="AE511" s="280"/>
      <c r="AF511" s="280"/>
      <c r="AG511" s="280"/>
      <c r="AH511" s="280"/>
      <c r="AI511" s="280"/>
      <c r="AJ511" s="280"/>
      <c r="AK511" s="280"/>
      <c r="AL511" s="280"/>
      <c r="AM511" s="280"/>
      <c r="AN511" s="280"/>
      <c r="AO511" s="280"/>
      <c r="AP511" s="280"/>
      <c r="AQ511" s="280"/>
      <c r="AR511" s="280"/>
      <c r="AS511" s="280"/>
      <c r="BJ511" s="1184" t="s">
        <v>4763</v>
      </c>
    </row>
    <row r="512" spans="1:62" ht="15" customHeight="1" x14ac:dyDescent="0.3">
      <c r="A512" s="1200">
        <v>6</v>
      </c>
      <c r="B512" s="1208">
        <v>603.20000000000005</v>
      </c>
      <c r="C512" s="1203"/>
      <c r="D512" s="1203"/>
      <c r="E512" s="1203"/>
      <c r="F512" s="1203"/>
      <c r="G512" s="1202" t="str">
        <f t="shared" si="156"/>
        <v/>
      </c>
      <c r="H512" s="1200" t="s">
        <v>4386</v>
      </c>
      <c r="I512" s="141"/>
      <c r="J512" s="140"/>
      <c r="K512" s="98"/>
      <c r="L512" s="219" t="s">
        <v>3260</v>
      </c>
      <c r="M512" s="1360"/>
      <c r="N512" s="1473"/>
      <c r="O512" s="1473"/>
      <c r="P512" s="97"/>
      <c r="Q512" s="97"/>
      <c r="R512" s="97"/>
      <c r="S512" s="97"/>
      <c r="T512" s="97"/>
      <c r="U512" s="97"/>
      <c r="V512" s="97"/>
      <c r="W512" s="97"/>
      <c r="X512" s="1295"/>
      <c r="Y512" s="1523"/>
      <c r="Z512" s="1583"/>
      <c r="AC512" s="280"/>
      <c r="AD512" s="280"/>
      <c r="AE512" s="280"/>
      <c r="AF512" s="280"/>
      <c r="AG512" s="280"/>
      <c r="AH512" s="280"/>
      <c r="AI512" s="280"/>
      <c r="AJ512" s="280"/>
      <c r="AK512" s="280"/>
      <c r="AL512" s="280"/>
      <c r="AM512" s="280"/>
      <c r="AN512" s="280"/>
      <c r="AO512" s="280"/>
      <c r="AP512" s="280"/>
      <c r="AQ512" s="280"/>
      <c r="AR512" s="280"/>
      <c r="AS512" s="280"/>
      <c r="BJ512" s="1184" t="s">
        <v>4763</v>
      </c>
    </row>
    <row r="513" spans="1:62" x14ac:dyDescent="0.3">
      <c r="A513" s="1200">
        <v>6</v>
      </c>
      <c r="B513" s="1208">
        <v>603.20000000000005</v>
      </c>
      <c r="C513" s="1203"/>
      <c r="D513" s="1203"/>
      <c r="E513" s="1203"/>
      <c r="F513" s="1203"/>
      <c r="G513" s="1202" t="str">
        <f t="shared" si="156"/>
        <v/>
      </c>
      <c r="H513" s="1200" t="s">
        <v>4386</v>
      </c>
      <c r="I513" s="141"/>
      <c r="J513" s="140"/>
      <c r="K513" s="98"/>
      <c r="L513" s="1432" t="s">
        <v>3258</v>
      </c>
      <c r="M513" s="1360"/>
      <c r="N513" s="1473"/>
      <c r="O513" s="1473"/>
      <c r="P513" s="97"/>
      <c r="Q513" s="97"/>
      <c r="R513" s="97"/>
      <c r="S513" s="97"/>
      <c r="T513" s="97"/>
      <c r="U513" s="97"/>
      <c r="V513" s="97"/>
      <c r="W513" s="97"/>
      <c r="X513" s="1295"/>
      <c r="Y513" s="1523"/>
      <c r="Z513" s="1583"/>
      <c r="AC513" s="280"/>
      <c r="AD513" s="280"/>
      <c r="AE513" s="280"/>
      <c r="AF513" s="280"/>
      <c r="AG513" s="280"/>
      <c r="AH513" s="280"/>
      <c r="AI513" s="280"/>
      <c r="AJ513" s="280"/>
      <c r="AK513" s="280"/>
      <c r="AL513" s="280"/>
      <c r="AM513" s="280"/>
      <c r="AN513" s="280"/>
      <c r="AO513" s="280"/>
      <c r="AP513" s="280"/>
      <c r="AQ513" s="280"/>
      <c r="AR513" s="280"/>
      <c r="AS513" s="280"/>
      <c r="BJ513" s="1184" t="s">
        <v>4763</v>
      </c>
    </row>
    <row r="514" spans="1:62" x14ac:dyDescent="0.3">
      <c r="A514" s="1200">
        <v>6</v>
      </c>
      <c r="B514" s="1208">
        <v>603.20000000000005</v>
      </c>
      <c r="C514" s="1203"/>
      <c r="D514" s="1203"/>
      <c r="E514" s="1203"/>
      <c r="F514" s="1203"/>
      <c r="G514" s="1202" t="str">
        <f t="shared" si="156"/>
        <v/>
      </c>
      <c r="H514" s="1200" t="s">
        <v>4386</v>
      </c>
      <c r="I514" s="141"/>
      <c r="J514" s="140"/>
      <c r="K514" s="98"/>
      <c r="L514" s="1538"/>
      <c r="M514" s="1360"/>
      <c r="N514" s="1473"/>
      <c r="O514" s="1473"/>
      <c r="P514" s="97"/>
      <c r="Q514" s="97"/>
      <c r="R514" s="97"/>
      <c r="S514" s="97"/>
      <c r="T514" s="97"/>
      <c r="U514" s="97"/>
      <c r="V514" s="97"/>
      <c r="W514" s="97"/>
      <c r="X514" s="1295"/>
      <c r="Y514" s="1523"/>
      <c r="Z514" s="1583"/>
      <c r="AC514" s="280"/>
      <c r="AD514" s="280"/>
      <c r="AE514" s="280"/>
      <c r="AF514" s="280"/>
      <c r="AG514" s="280"/>
      <c r="AH514" s="280"/>
      <c r="AI514" s="280"/>
      <c r="AJ514" s="280"/>
      <c r="AK514" s="280"/>
      <c r="AL514" s="280"/>
      <c r="AM514" s="280"/>
      <c r="AN514" s="280"/>
      <c r="AO514" s="280"/>
      <c r="AP514" s="280"/>
      <c r="AQ514" s="280"/>
      <c r="AR514" s="280"/>
      <c r="AS514" s="280"/>
      <c r="BJ514" s="1184" t="s">
        <v>4763</v>
      </c>
    </row>
    <row r="515" spans="1:62" ht="15" thickBot="1" x14ac:dyDescent="0.35">
      <c r="A515" s="1200">
        <v>6</v>
      </c>
      <c r="B515" s="1208">
        <v>603.20000000000005</v>
      </c>
      <c r="C515" s="1203"/>
      <c r="D515" s="1203"/>
      <c r="E515" s="1203"/>
      <c r="F515" s="1203"/>
      <c r="G515" s="1202" t="str">
        <f t="shared" si="156"/>
        <v/>
      </c>
      <c r="H515" s="1200" t="s">
        <v>4386</v>
      </c>
      <c r="I515" s="141"/>
      <c r="J515" s="140"/>
      <c r="K515" s="98"/>
      <c r="L515" s="1538"/>
      <c r="M515" s="1360"/>
      <c r="N515" s="1529"/>
      <c r="O515" s="1473"/>
      <c r="P515" s="97"/>
      <c r="Q515" s="97"/>
      <c r="R515" s="97"/>
      <c r="S515" s="97"/>
      <c r="T515" s="97"/>
      <c r="U515" s="97"/>
      <c r="V515" s="97"/>
      <c r="W515" s="117"/>
      <c r="X515" s="1337"/>
      <c r="Y515" s="1524"/>
      <c r="Z515" s="1584"/>
      <c r="AC515" s="280"/>
      <c r="AD515" s="280"/>
      <c r="AE515" s="280"/>
      <c r="AF515" s="280"/>
      <c r="AG515" s="280"/>
      <c r="AH515" s="280"/>
      <c r="AI515" s="280"/>
      <c r="AJ515" s="280"/>
      <c r="AK515" s="280"/>
      <c r="AL515" s="280"/>
      <c r="AM515" s="280"/>
      <c r="AN515" s="280"/>
      <c r="AO515" s="280"/>
      <c r="AP515" s="280"/>
      <c r="AQ515" s="280"/>
      <c r="AR515" s="280"/>
      <c r="AS515" s="280"/>
      <c r="BJ515" s="1184" t="s">
        <v>4763</v>
      </c>
    </row>
    <row r="516" spans="1:62" ht="15" thickTop="1" x14ac:dyDescent="0.3">
      <c r="A516" s="1200">
        <v>6</v>
      </c>
      <c r="B516" s="1208">
        <v>603.29999999999995</v>
      </c>
      <c r="C516" s="1203"/>
      <c r="D516" s="1203"/>
      <c r="E516" s="1203"/>
      <c r="F516" s="1203"/>
      <c r="G516" s="1202" t="str">
        <f>IF(N516&gt;0,"P","")</f>
        <v/>
      </c>
      <c r="H516" s="1200" t="s">
        <v>4386</v>
      </c>
      <c r="I516" s="200">
        <v>603.29999999999995</v>
      </c>
      <c r="J516" s="201"/>
      <c r="K516" s="202"/>
      <c r="L516" s="1331" t="s">
        <v>696</v>
      </c>
      <c r="M516" s="1343">
        <v>4</v>
      </c>
      <c r="N516" s="1528">
        <f>'Ch6'!O262</f>
        <v>0</v>
      </c>
      <c r="O516" s="1528">
        <f>M516*S516*W516</f>
        <v>0</v>
      </c>
      <c r="P516" s="110" t="b">
        <v>1</v>
      </c>
      <c r="Q516" s="110" t="b">
        <v>1</v>
      </c>
      <c r="R516" s="110" t="b">
        <v>0</v>
      </c>
      <c r="S516" s="110" t="b">
        <v>1</v>
      </c>
      <c r="T516" s="110" t="b">
        <v>0</v>
      </c>
      <c r="U516" s="110"/>
      <c r="V516" s="110"/>
      <c r="W516" s="25"/>
      <c r="X516" s="1327"/>
      <c r="Y516" s="1525" t="str">
        <f>IF(LEN('Ch6'!X262)=0,"None",'Ch6'!X262)</f>
        <v>None</v>
      </c>
      <c r="Z516" s="1585"/>
      <c r="AC516" s="280" t="b">
        <f>OR(AD516:AE516)</f>
        <v>0</v>
      </c>
      <c r="AD516" s="985" t="b">
        <f>T516</f>
        <v>0</v>
      </c>
      <c r="AE516" s="280" t="b">
        <f>AND(W516=TRUE,LEN(X516)=0)</f>
        <v>0</v>
      </c>
      <c r="AF516" s="1182" t="b">
        <f>AND(AE516,NOT(Q516))</f>
        <v>0</v>
      </c>
      <c r="AG516" s="280"/>
      <c r="AH516" s="280"/>
      <c r="AI516" s="280"/>
      <c r="AJ516" s="280"/>
      <c r="AK516" s="280"/>
      <c r="AL516" s="311" t="str">
        <f>SUBSTITUTE(SUBSTITUTE(SUBSTITUTE("vpa"&amp;$B516&amp;$C516&amp;$D516&amp;$E516&amp;$F516,".","_"),"(","_"),")","")</f>
        <v>vpa603_3</v>
      </c>
      <c r="AM516" s="311">
        <f>M516</f>
        <v>4</v>
      </c>
      <c r="AN516" s="311" t="str">
        <f>SUBSTITUTE(SUBSTITUTE(SUBSTITUTE("vpc"&amp;$B516&amp;$C516&amp;$D516&amp;$E516&amp;$F516,".","_"),"(","_"),")","")</f>
        <v>vpc603_3</v>
      </c>
      <c r="AO516" s="311">
        <f>O516</f>
        <v>0</v>
      </c>
      <c r="AP516" s="311" t="str">
        <f>SUBSTITUTE(SUBSTITUTE(SUBSTITUTE("vch"&amp;$B516&amp;$C516&amp;$D516&amp;$E516&amp;$F516,".","_"),"(","_"),")","")</f>
        <v>vch603_3</v>
      </c>
      <c r="AQ516" s="311">
        <f>W516</f>
        <v>0</v>
      </c>
      <c r="AR516" s="311" t="str">
        <f>SUBSTITUTE(SUBSTITUTE(SUBSTITUTE("vnt"&amp;$B516&amp;$C516&amp;$D516&amp;$E516&amp;$F516,".","_"),"(","_"),")","")</f>
        <v>vnt603_3</v>
      </c>
      <c r="AS516" s="311">
        <f>X516</f>
        <v>0</v>
      </c>
      <c r="BJ516" s="1184" t="s">
        <v>4763</v>
      </c>
    </row>
    <row r="517" spans="1:62" x14ac:dyDescent="0.3">
      <c r="A517" s="1200">
        <v>6</v>
      </c>
      <c r="B517" s="1208">
        <v>603.29999999999995</v>
      </c>
      <c r="C517" s="1203"/>
      <c r="D517" s="1203"/>
      <c r="E517" s="1203"/>
      <c r="F517" s="1203"/>
      <c r="G517" s="1202" t="str">
        <f t="shared" ref="G517:G518" si="157">G516</f>
        <v/>
      </c>
      <c r="H517" s="1200" t="s">
        <v>4386</v>
      </c>
      <c r="I517" s="141"/>
      <c r="J517" s="140"/>
      <c r="K517" s="98"/>
      <c r="L517" s="1313"/>
      <c r="M517" s="1318"/>
      <c r="N517" s="1473"/>
      <c r="O517" s="1473"/>
      <c r="P517" s="97"/>
      <c r="Q517" s="97"/>
      <c r="R517" s="97"/>
      <c r="S517" s="97"/>
      <c r="T517" s="97"/>
      <c r="U517" s="97"/>
      <c r="V517" s="97"/>
      <c r="W517" s="97"/>
      <c r="X517" s="1295"/>
      <c r="Y517" s="1522"/>
      <c r="Z517" s="1586"/>
      <c r="AC517" s="280"/>
      <c r="AD517" s="280"/>
      <c r="AE517" s="280"/>
      <c r="AF517" s="280"/>
      <c r="AG517" s="280"/>
      <c r="AH517" s="280"/>
      <c r="AI517" s="280"/>
      <c r="AJ517" s="280"/>
      <c r="AK517" s="280"/>
      <c r="AL517" s="280"/>
      <c r="AM517" s="280"/>
      <c r="AN517" s="280"/>
      <c r="AO517" s="280"/>
      <c r="AP517" s="280"/>
      <c r="AQ517" s="280"/>
      <c r="AR517" s="280"/>
      <c r="AS517" s="280"/>
      <c r="BJ517" s="1184" t="s">
        <v>4763</v>
      </c>
    </row>
    <row r="518" spans="1:62" ht="15" customHeight="1" x14ac:dyDescent="0.3">
      <c r="A518" s="1200">
        <v>6</v>
      </c>
      <c r="B518" s="1208">
        <v>603.29999999999995</v>
      </c>
      <c r="C518" s="1203"/>
      <c r="D518" s="1203"/>
      <c r="E518" s="1203"/>
      <c r="F518" s="1203"/>
      <c r="G518" s="1202" t="str">
        <f t="shared" si="157"/>
        <v/>
      </c>
      <c r="H518" s="1200" t="s">
        <v>4386</v>
      </c>
      <c r="I518" s="141"/>
      <c r="J518" s="140"/>
      <c r="K518" s="98"/>
      <c r="L518" s="307" t="s">
        <v>3256</v>
      </c>
      <c r="M518" s="1318"/>
      <c r="N518" s="1473"/>
      <c r="O518" s="1473"/>
      <c r="P518" s="97"/>
      <c r="Q518" s="97"/>
      <c r="R518" s="97"/>
      <c r="S518" s="97"/>
      <c r="T518" s="97"/>
      <c r="U518" s="97"/>
      <c r="V518" s="97"/>
      <c r="W518" s="97"/>
      <c r="X518" s="1295"/>
      <c r="Y518" s="1522"/>
      <c r="Z518" s="1586"/>
      <c r="AC518" s="280"/>
      <c r="AD518" s="280"/>
      <c r="AE518" s="280"/>
      <c r="AF518" s="280"/>
      <c r="AG518" s="280"/>
      <c r="AH518" s="280"/>
      <c r="AI518" s="280"/>
      <c r="AJ518" s="280"/>
      <c r="AK518" s="280"/>
      <c r="AL518" s="280"/>
      <c r="AM518" s="280"/>
      <c r="AN518" s="280"/>
      <c r="AO518" s="280"/>
      <c r="AP518" s="280"/>
      <c r="AQ518" s="280"/>
      <c r="AR518" s="280"/>
      <c r="AS518" s="280"/>
      <c r="BJ518" s="1184" t="s">
        <v>4763</v>
      </c>
    </row>
    <row r="519" spans="1:62" ht="18" x14ac:dyDescent="0.35">
      <c r="A519" s="1200">
        <v>6</v>
      </c>
      <c r="B519" s="1208">
        <v>604</v>
      </c>
      <c r="C519" s="1203"/>
      <c r="D519" s="1203"/>
      <c r="E519" s="1203"/>
      <c r="F519" s="1203"/>
      <c r="G519" s="1202" t="s">
        <v>4389</v>
      </c>
      <c r="H519" s="1200" t="s">
        <v>4386</v>
      </c>
      <c r="I519" s="14" t="s">
        <v>697</v>
      </c>
      <c r="J519" s="23"/>
      <c r="K519" s="85"/>
      <c r="L519" s="82"/>
      <c r="M519" s="71"/>
      <c r="N519" s="71"/>
      <c r="O519" s="71"/>
      <c r="P519" s="23"/>
      <c r="Q519" s="23"/>
      <c r="R519" s="23"/>
      <c r="S519" s="23"/>
      <c r="T519" s="23"/>
      <c r="U519" s="23"/>
      <c r="V519" s="23"/>
      <c r="W519" s="23"/>
      <c r="X519" s="23"/>
      <c r="Y519" s="23"/>
      <c r="Z519" s="1168"/>
      <c r="AC519" s="280"/>
      <c r="AD519" s="280"/>
      <c r="AE519" s="280"/>
      <c r="AF519" s="280"/>
      <c r="AG519" s="280"/>
      <c r="AH519" s="280"/>
      <c r="AI519" s="280"/>
      <c r="AJ519" s="280"/>
      <c r="AK519" s="280"/>
      <c r="AL519" s="280"/>
      <c r="AM519" s="280"/>
      <c r="AN519" s="280"/>
      <c r="AO519" s="280"/>
      <c r="AP519" s="280"/>
      <c r="AQ519" s="280"/>
      <c r="AR519" s="280"/>
      <c r="AS519" s="280"/>
      <c r="BJ519" s="1184" t="s">
        <v>4763</v>
      </c>
    </row>
    <row r="520" spans="1:62" x14ac:dyDescent="0.3">
      <c r="A520" s="1200">
        <v>6</v>
      </c>
      <c r="B520" s="1208">
        <v>604.1</v>
      </c>
      <c r="C520" s="1203" t="s">
        <v>3173</v>
      </c>
      <c r="D520" s="1203"/>
      <c r="E520" s="1203"/>
      <c r="F520" s="1203"/>
      <c r="G520" s="1202" t="str">
        <f>IF(N520&gt;0,"P","")</f>
        <v/>
      </c>
      <c r="H520" s="1200" t="s">
        <v>4386</v>
      </c>
      <c r="I520" s="66">
        <v>604.1</v>
      </c>
      <c r="J520" s="4"/>
      <c r="K520" s="86"/>
      <c r="L520" s="1292" t="s">
        <v>698</v>
      </c>
      <c r="M520" s="1375" t="s">
        <v>3262</v>
      </c>
      <c r="N520" s="1463">
        <f>'Ch6'!O266</f>
        <v>0</v>
      </c>
      <c r="O520" s="1463">
        <f>IFERROR(INDEX({0,1,2,3},MATCH(MIN(W523+0,W521+0),{0,0.25,0.5,0.75},1)),0)+IFERROR(INDEX({0,2,4,6},MATCH(MIN(W525+0,W527+0),{0,0.25,0.5,0.75},1)),0)</f>
        <v>0</v>
      </c>
      <c r="P520" s="280"/>
      <c r="Q520" s="280"/>
      <c r="R520" s="280"/>
      <c r="S520" s="280"/>
      <c r="T520" s="280"/>
      <c r="U520" s="280"/>
      <c r="V520" s="280"/>
      <c r="W520" s="280" t="s">
        <v>3263</v>
      </c>
      <c r="X520" s="1337"/>
      <c r="Y520" s="1522" t="str">
        <f>IF(LEN('Ch6'!X266)=0,"None",'Ch6'!X266)</f>
        <v>None</v>
      </c>
      <c r="Z520" s="1586"/>
      <c r="AC520" s="280"/>
      <c r="AD520" s="280"/>
      <c r="AE520" s="280"/>
      <c r="AF520" s="280"/>
      <c r="AG520" s="280"/>
      <c r="AH520" s="280"/>
      <c r="AI520" s="280"/>
      <c r="AJ520" s="280"/>
      <c r="AK520" s="280"/>
      <c r="AL520" s="311" t="str">
        <f>SUBSTITUTE(SUBSTITUTE(SUBSTITUTE("vpa"&amp;$B520&amp;$C520&amp;$D520&amp;$E520&amp;$F520,".","_"),"(","_"),")","")</f>
        <v>vpa604_1a</v>
      </c>
      <c r="AM520" s="311" t="str">
        <f>M520</f>
        <v>per Table
604.1</v>
      </c>
      <c r="AN520" s="311" t="str">
        <f>SUBSTITUTE(SUBSTITUTE(SUBSTITUTE("vpc"&amp;$B520&amp;$C520&amp;$D520&amp;$E520&amp;$F520,".","_"),"(","_"),")","")</f>
        <v>vpc604_1a</v>
      </c>
      <c r="AO520" s="311">
        <f>O520</f>
        <v>0</v>
      </c>
      <c r="AP520" s="280"/>
      <c r="AQ520" s="280"/>
      <c r="AR520" s="311" t="str">
        <f>SUBSTITUTE(SUBSTITUTE(SUBSTITUTE("vnt"&amp;$B520&amp;$C520&amp;$D520&amp;$E520&amp;$F520,".","_"),"(","_"),")","")</f>
        <v>vnt604_1a</v>
      </c>
      <c r="AS520" s="311">
        <f>X520</f>
        <v>0</v>
      </c>
      <c r="BJ520" s="1184" t="s">
        <v>4763</v>
      </c>
    </row>
    <row r="521" spans="1:62" x14ac:dyDescent="0.3">
      <c r="A521" s="1200">
        <v>6</v>
      </c>
      <c r="B521" s="1208">
        <v>604.1</v>
      </c>
      <c r="C521" s="1203" t="s">
        <v>3173</v>
      </c>
      <c r="D521" s="1203"/>
      <c r="E521" s="1203"/>
      <c r="F521" s="1203"/>
      <c r="G521" s="1202" t="str">
        <f t="shared" ref="G521:G527" si="158">G520</f>
        <v/>
      </c>
      <c r="H521" s="1200" t="s">
        <v>4386</v>
      </c>
      <c r="I521" s="66"/>
      <c r="J521" s="4"/>
      <c r="K521" s="86"/>
      <c r="L521" s="1292"/>
      <c r="M521" s="1375"/>
      <c r="N521" s="1463"/>
      <c r="O521" s="1463"/>
      <c r="P521" s="280" t="b">
        <v>1</v>
      </c>
      <c r="Q521" s="280" t="b">
        <v>1</v>
      </c>
      <c r="R521" s="280" t="b">
        <v>0</v>
      </c>
      <c r="S521" s="280" t="b">
        <v>1</v>
      </c>
      <c r="T521" s="280" t="b">
        <v>0</v>
      </c>
      <c r="U521" s="97"/>
      <c r="V521" s="280"/>
      <c r="W521" s="186"/>
      <c r="X521" s="1304"/>
      <c r="Y521" s="1522"/>
      <c r="Z521" s="1586"/>
      <c r="AC521" s="280" t="b">
        <f>OR(AD521:AE521)</f>
        <v>0</v>
      </c>
      <c r="AD521" s="985" t="b">
        <f>T521</f>
        <v>0</v>
      </c>
      <c r="AE521" s="280" t="b">
        <f>AND(W521&gt;0,LEN(X520)=0)</f>
        <v>0</v>
      </c>
      <c r="AF521" s="1182" t="b">
        <f>AND(AE521,NOT(Q521))</f>
        <v>0</v>
      </c>
      <c r="AG521" s="280"/>
      <c r="AH521" s="280"/>
      <c r="AI521" s="280"/>
      <c r="AJ521" s="280"/>
      <c r="AK521" s="280"/>
      <c r="AL521" s="280"/>
      <c r="AM521" s="280"/>
      <c r="AN521" s="280"/>
      <c r="AO521" s="280"/>
      <c r="AP521" s="311" t="str">
        <f>SUBSTITUTE(SUBSTITUTE(SUBSTITUTE("vch"&amp;$B521&amp;$C521&amp;$D521&amp;$E521&amp;$F521,".","_"),"(","_"),")","")</f>
        <v>vch604_1a</v>
      </c>
      <c r="AQ521" s="311">
        <f>W521</f>
        <v>0</v>
      </c>
      <c r="AR521" s="280"/>
      <c r="AS521" s="280"/>
      <c r="BJ521" s="1184" t="s">
        <v>4763</v>
      </c>
    </row>
    <row r="522" spans="1:62" x14ac:dyDescent="0.3">
      <c r="A522" s="1200">
        <v>6</v>
      </c>
      <c r="B522" s="1208">
        <v>604.1</v>
      </c>
      <c r="C522" s="1203" t="s">
        <v>3174</v>
      </c>
      <c r="D522" s="1203"/>
      <c r="E522" s="1203"/>
      <c r="F522" s="1203"/>
      <c r="G522" s="1202" t="str">
        <f t="shared" si="158"/>
        <v/>
      </c>
      <c r="H522" s="1200" t="s">
        <v>4386</v>
      </c>
      <c r="I522" s="66"/>
      <c r="J522" s="4"/>
      <c r="K522" s="86"/>
      <c r="L522" s="291" t="s">
        <v>3270</v>
      </c>
      <c r="M522" s="1375"/>
      <c r="N522" s="1463"/>
      <c r="O522" s="1463"/>
      <c r="P522" s="280"/>
      <c r="Q522" s="280"/>
      <c r="R522" s="280"/>
      <c r="S522" s="280"/>
      <c r="T522" s="280"/>
      <c r="U522" s="280"/>
      <c r="V522" s="280"/>
      <c r="W522" s="280" t="s">
        <v>3264</v>
      </c>
      <c r="X522" s="1303"/>
      <c r="Y522" s="1522" t="str">
        <f>IF(LEN('Ch6'!X268)=0,"None",'Ch6'!X268)</f>
        <v>None</v>
      </c>
      <c r="Z522" s="1586"/>
      <c r="AC522" s="280"/>
      <c r="AD522" s="280"/>
      <c r="AE522" s="280"/>
      <c r="AF522" s="280"/>
      <c r="AG522" s="280"/>
      <c r="AH522" s="280"/>
      <c r="AI522" s="280"/>
      <c r="AJ522" s="280"/>
      <c r="AK522" s="280"/>
      <c r="AL522" s="280"/>
      <c r="AM522" s="280"/>
      <c r="AN522" s="280"/>
      <c r="AO522" s="280"/>
      <c r="AP522" s="280"/>
      <c r="AQ522" s="280"/>
      <c r="AR522" s="311" t="str">
        <f>SUBSTITUTE(SUBSTITUTE(SUBSTITUTE("vnt"&amp;$B522&amp;$C522&amp;$D522&amp;$E522&amp;$F522,".","_"),"(","_"),")","")</f>
        <v>vnt604_1b</v>
      </c>
      <c r="AS522" s="311">
        <f>X522</f>
        <v>0</v>
      </c>
      <c r="BJ522" s="1184" t="s">
        <v>4763</v>
      </c>
    </row>
    <row r="523" spans="1:62" x14ac:dyDescent="0.3">
      <c r="A523" s="1200">
        <v>6</v>
      </c>
      <c r="B523" s="1208">
        <v>604.1</v>
      </c>
      <c r="C523" s="1203" t="s">
        <v>3174</v>
      </c>
      <c r="D523" s="1203"/>
      <c r="E523" s="1203"/>
      <c r="F523" s="1203"/>
      <c r="G523" s="1202" t="str">
        <f t="shared" si="158"/>
        <v/>
      </c>
      <c r="H523" s="1200" t="s">
        <v>4386</v>
      </c>
      <c r="I523" s="66"/>
      <c r="J523" s="4"/>
      <c r="K523" s="86"/>
      <c r="L523" s="329" t="s">
        <v>3267</v>
      </c>
      <c r="M523" s="1375"/>
      <c r="N523" s="1463"/>
      <c r="O523" s="1463"/>
      <c r="P523" s="280" t="b">
        <v>1</v>
      </c>
      <c r="Q523" s="280" t="b">
        <v>1</v>
      </c>
      <c r="R523" s="280" t="b">
        <v>0</v>
      </c>
      <c r="S523" s="280" t="b">
        <v>1</v>
      </c>
      <c r="T523" s="280" t="b">
        <v>0</v>
      </c>
      <c r="U523" s="97"/>
      <c r="V523" s="280"/>
      <c r="W523" s="186"/>
      <c r="X523" s="1303"/>
      <c r="Y523" s="1522"/>
      <c r="Z523" s="1586"/>
      <c r="AC523" s="280" t="b">
        <f>OR(AD523:AE523)</f>
        <v>0</v>
      </c>
      <c r="AD523" s="985" t="b">
        <f>T523</f>
        <v>0</v>
      </c>
      <c r="AE523" s="280" t="b">
        <f>AND(W523&gt;0,LEN(X522)=0)</f>
        <v>0</v>
      </c>
      <c r="AF523" s="1182" t="b">
        <f>AND(AE523,NOT(Q523))</f>
        <v>0</v>
      </c>
      <c r="AG523" s="280"/>
      <c r="AH523" s="280"/>
      <c r="AI523" s="280"/>
      <c r="AJ523" s="280"/>
      <c r="AK523" s="280"/>
      <c r="AL523" s="280"/>
      <c r="AM523" s="280"/>
      <c r="AN523" s="280"/>
      <c r="AO523" s="280"/>
      <c r="AP523" s="311" t="str">
        <f>SUBSTITUTE(SUBSTITUTE(SUBSTITUTE("vch"&amp;$B523&amp;$C523&amp;$D523&amp;$E523&amp;$F523,".","_"),"(","_"),")","")</f>
        <v>vch604_1b</v>
      </c>
      <c r="AQ523" s="311">
        <f>W523</f>
        <v>0</v>
      </c>
      <c r="AR523" s="280"/>
      <c r="AS523" s="280"/>
      <c r="BJ523" s="1184" t="s">
        <v>4763</v>
      </c>
    </row>
    <row r="524" spans="1:62" x14ac:dyDescent="0.3">
      <c r="A524" s="1200">
        <v>6</v>
      </c>
      <c r="B524" s="1208">
        <v>604.1</v>
      </c>
      <c r="C524" s="1203" t="s">
        <v>3175</v>
      </c>
      <c r="D524" s="1203"/>
      <c r="E524" s="1203"/>
      <c r="F524" s="1203"/>
      <c r="G524" s="1202" t="str">
        <f t="shared" si="158"/>
        <v/>
      </c>
      <c r="H524" s="1200" t="s">
        <v>4386</v>
      </c>
      <c r="I524" s="66"/>
      <c r="J524" s="4"/>
      <c r="K524" s="86"/>
      <c r="L524" s="1328" t="s">
        <v>3269</v>
      </c>
      <c r="M524" s="1375"/>
      <c r="N524" s="1463"/>
      <c r="O524" s="1463"/>
      <c r="P524" s="280"/>
      <c r="Q524" s="280"/>
      <c r="R524" s="280"/>
      <c r="S524" s="280"/>
      <c r="T524" s="280"/>
      <c r="U524" s="280"/>
      <c r="V524" s="280"/>
      <c r="W524" s="280" t="s">
        <v>3266</v>
      </c>
      <c r="X524" s="1303"/>
      <c r="Y524" s="1522" t="str">
        <f>IF(LEN('Ch6'!X270)=0,"None",'Ch6'!X270)</f>
        <v>None</v>
      </c>
      <c r="Z524" s="1586"/>
      <c r="AC524" s="280"/>
      <c r="AD524" s="280"/>
      <c r="AE524" s="280"/>
      <c r="AF524" s="280"/>
      <c r="AG524" s="280"/>
      <c r="AH524" s="280"/>
      <c r="AI524" s="280"/>
      <c r="AJ524" s="280"/>
      <c r="AK524" s="280"/>
      <c r="AL524" s="280"/>
      <c r="AM524" s="280"/>
      <c r="AN524" s="280"/>
      <c r="AO524" s="280"/>
      <c r="AP524" s="280"/>
      <c r="AQ524" s="280"/>
      <c r="AR524" s="311" t="str">
        <f>SUBSTITUTE(SUBSTITUTE(SUBSTITUTE("vnt"&amp;$B524&amp;$C524&amp;$D524&amp;$E524&amp;$F524,".","_"),"(","_"),")","")</f>
        <v>vnt604_1c</v>
      </c>
      <c r="AS524" s="311">
        <f>X524</f>
        <v>0</v>
      </c>
      <c r="BJ524" s="1184" t="s">
        <v>4763</v>
      </c>
    </row>
    <row r="525" spans="1:62" x14ac:dyDescent="0.3">
      <c r="A525" s="1200">
        <v>6</v>
      </c>
      <c r="B525" s="1208">
        <v>604.1</v>
      </c>
      <c r="C525" s="1203" t="s">
        <v>3175</v>
      </c>
      <c r="D525" s="1203"/>
      <c r="E525" s="1203"/>
      <c r="F525" s="1203"/>
      <c r="G525" s="1202" t="str">
        <f t="shared" si="158"/>
        <v/>
      </c>
      <c r="H525" s="1200" t="s">
        <v>4386</v>
      </c>
      <c r="I525" s="66"/>
      <c r="J525" s="4"/>
      <c r="K525" s="86"/>
      <c r="L525" s="1328"/>
      <c r="M525" s="1375"/>
      <c r="N525" s="1463"/>
      <c r="O525" s="1463"/>
      <c r="P525" s="280" t="b">
        <v>1</v>
      </c>
      <c r="Q525" s="280" t="b">
        <v>1</v>
      </c>
      <c r="R525" s="280" t="b">
        <v>0</v>
      </c>
      <c r="S525" s="280" t="b">
        <v>1</v>
      </c>
      <c r="T525" s="280" t="b">
        <v>0</v>
      </c>
      <c r="U525" s="97"/>
      <c r="V525" s="280"/>
      <c r="W525" s="186"/>
      <c r="X525" s="1303"/>
      <c r="Y525" s="1522"/>
      <c r="Z525" s="1586"/>
      <c r="AC525" s="280" t="b">
        <f>OR(AD525:AE525)</f>
        <v>0</v>
      </c>
      <c r="AD525" s="985" t="b">
        <f>T525</f>
        <v>0</v>
      </c>
      <c r="AE525" s="280" t="b">
        <f>AND(W525&gt;0,LEN(X524)=0)</f>
        <v>0</v>
      </c>
      <c r="AF525" s="1182" t="b">
        <f>AND(AE525,NOT(Q525))</f>
        <v>0</v>
      </c>
      <c r="AG525" s="280"/>
      <c r="AH525" s="280"/>
      <c r="AI525" s="280"/>
      <c r="AJ525" s="280"/>
      <c r="AK525" s="280"/>
      <c r="AL525" s="280"/>
      <c r="AM525" s="280"/>
      <c r="AN525" s="280"/>
      <c r="AO525" s="280"/>
      <c r="AP525" s="311" t="str">
        <f>SUBSTITUTE(SUBSTITUTE(SUBSTITUTE("vch"&amp;$B525&amp;$C525&amp;$D525&amp;$E525&amp;$F525,".","_"),"(","_"),")","")</f>
        <v>vch604_1c</v>
      </c>
      <c r="AQ525" s="311">
        <f>W525</f>
        <v>0</v>
      </c>
      <c r="AR525" s="280"/>
      <c r="AS525" s="280"/>
      <c r="BJ525" s="1184" t="s">
        <v>4763</v>
      </c>
    </row>
    <row r="526" spans="1:62" x14ac:dyDescent="0.3">
      <c r="A526" s="1200">
        <v>6</v>
      </c>
      <c r="B526" s="1208">
        <v>604.1</v>
      </c>
      <c r="C526" s="1203" t="s">
        <v>3176</v>
      </c>
      <c r="D526" s="1203"/>
      <c r="E526" s="1203"/>
      <c r="F526" s="1203"/>
      <c r="G526" s="1202" t="str">
        <f t="shared" si="158"/>
        <v/>
      </c>
      <c r="H526" s="1200" t="s">
        <v>4386</v>
      </c>
      <c r="I526" s="66"/>
      <c r="J526" s="4"/>
      <c r="K526" s="86"/>
      <c r="L526" s="280"/>
      <c r="M526" s="1375"/>
      <c r="N526" s="1463"/>
      <c r="O526" s="1463"/>
      <c r="P526" s="280"/>
      <c r="Q526" s="280"/>
      <c r="R526" s="280"/>
      <c r="S526" s="280"/>
      <c r="T526" s="280"/>
      <c r="U526" s="280"/>
      <c r="V526" s="280"/>
      <c r="W526" s="280" t="s">
        <v>3265</v>
      </c>
      <c r="X526" s="1303"/>
      <c r="Y526" s="1522" t="str">
        <f>IF(LEN('Ch6'!X272)=0,"None",'Ch6'!X272)</f>
        <v>None</v>
      </c>
      <c r="Z526" s="1586"/>
      <c r="AC526" s="280"/>
      <c r="AD526" s="280"/>
      <c r="AE526" s="280"/>
      <c r="AF526" s="280"/>
      <c r="AG526" s="280"/>
      <c r="AH526" s="280"/>
      <c r="AI526" s="280"/>
      <c r="AJ526" s="280"/>
      <c r="AK526" s="280"/>
      <c r="AL526" s="280"/>
      <c r="AM526" s="280"/>
      <c r="AN526" s="280"/>
      <c r="AO526" s="280"/>
      <c r="AP526" s="280"/>
      <c r="AQ526" s="280"/>
      <c r="AR526" s="311" t="str">
        <f>SUBSTITUTE(SUBSTITUTE(SUBSTITUTE("vnt"&amp;$B526&amp;$C526&amp;$D526&amp;$E526&amp;$F526,".","_"),"(","_"),")","")</f>
        <v>vnt604_1d</v>
      </c>
      <c r="AS526" s="311">
        <f>X526</f>
        <v>0</v>
      </c>
      <c r="BJ526" s="1184" t="s">
        <v>4763</v>
      </c>
    </row>
    <row r="527" spans="1:62" x14ac:dyDescent="0.3">
      <c r="A527" s="1200">
        <v>6</v>
      </c>
      <c r="B527" s="1208">
        <v>604.1</v>
      </c>
      <c r="C527" s="1203" t="s">
        <v>3176</v>
      </c>
      <c r="D527" s="1203"/>
      <c r="E527" s="1203"/>
      <c r="F527" s="1203"/>
      <c r="G527" s="1202" t="str">
        <f t="shared" si="158"/>
        <v/>
      </c>
      <c r="H527" s="1200" t="s">
        <v>4386</v>
      </c>
      <c r="I527" s="66"/>
      <c r="J527" s="4"/>
      <c r="K527" s="86"/>
      <c r="L527" s="280"/>
      <c r="M527" s="1375"/>
      <c r="N527" s="1463"/>
      <c r="O527" s="1463"/>
      <c r="P527" s="280" t="b">
        <v>1</v>
      </c>
      <c r="Q527" s="280" t="b">
        <v>1</v>
      </c>
      <c r="R527" s="280" t="b">
        <v>0</v>
      </c>
      <c r="S527" s="280" t="b">
        <v>1</v>
      </c>
      <c r="T527" s="280" t="b">
        <v>0</v>
      </c>
      <c r="U527" s="97"/>
      <c r="V527" s="280"/>
      <c r="W527" s="186"/>
      <c r="X527" s="1303"/>
      <c r="Y527" s="1522"/>
      <c r="Z527" s="1586"/>
      <c r="AC527" s="280" t="b">
        <f>OR(AD527:AE527)</f>
        <v>0</v>
      </c>
      <c r="AD527" s="985" t="b">
        <f>T527</f>
        <v>0</v>
      </c>
      <c r="AE527" s="280" t="b">
        <f>AND(W527&gt;0,LEN(X526)=0)</f>
        <v>0</v>
      </c>
      <c r="AF527" s="1182" t="b">
        <f>AND(AE527,NOT(Q527))</f>
        <v>0</v>
      </c>
      <c r="AG527" s="280"/>
      <c r="AH527" s="280"/>
      <c r="AI527" s="280"/>
      <c r="AJ527" s="280"/>
      <c r="AK527" s="280"/>
      <c r="AL527" s="280"/>
      <c r="AM527" s="280"/>
      <c r="AN527" s="280"/>
      <c r="AO527" s="280"/>
      <c r="AP527" s="311" t="str">
        <f>SUBSTITUTE(SUBSTITUTE(SUBSTITUTE("vch"&amp;$B527&amp;$C527&amp;$D527&amp;$E527&amp;$F527,".","_"),"(","_"),")","")</f>
        <v>vch604_1d</v>
      </c>
      <c r="AQ527" s="311">
        <f>W527</f>
        <v>0</v>
      </c>
      <c r="AR527" s="280"/>
      <c r="AS527" s="280"/>
      <c r="BJ527" s="1184" t="s">
        <v>4763</v>
      </c>
    </row>
    <row r="528" spans="1:62" ht="18" x14ac:dyDescent="0.35">
      <c r="A528" s="1200">
        <v>6</v>
      </c>
      <c r="B528" s="1208">
        <v>605</v>
      </c>
      <c r="C528" s="1203"/>
      <c r="D528" s="1203"/>
      <c r="E528" s="1203"/>
      <c r="F528" s="1203"/>
      <c r="G528" s="1202" t="s">
        <v>4389</v>
      </c>
      <c r="H528" s="1200" t="s">
        <v>4386</v>
      </c>
      <c r="I528" s="14" t="s">
        <v>699</v>
      </c>
      <c r="J528" s="23"/>
      <c r="K528" s="85"/>
      <c r="L528" s="72"/>
      <c r="M528" s="71"/>
      <c r="N528" s="71"/>
      <c r="O528" s="71"/>
      <c r="P528" s="23"/>
      <c r="Q528" s="23"/>
      <c r="R528" s="23"/>
      <c r="S528" s="23"/>
      <c r="T528" s="23"/>
      <c r="U528" s="23"/>
      <c r="V528" s="23"/>
      <c r="W528" s="23"/>
      <c r="X528" s="23"/>
      <c r="Y528" s="23"/>
      <c r="Z528" s="1168"/>
      <c r="AC528" s="280"/>
      <c r="AD528" s="280"/>
      <c r="AE528" s="280"/>
      <c r="AF528" s="280"/>
      <c r="AG528" s="280"/>
      <c r="AH528" s="280"/>
      <c r="AI528" s="280"/>
      <c r="AJ528" s="280"/>
      <c r="AK528" s="280"/>
      <c r="AL528" s="280"/>
      <c r="AM528" s="280"/>
      <c r="AN528" s="280"/>
      <c r="AO528" s="280"/>
      <c r="AP528" s="280"/>
      <c r="AQ528" s="280"/>
      <c r="AR528" s="280"/>
      <c r="AS528" s="280"/>
      <c r="BJ528" s="1184" t="s">
        <v>4763</v>
      </c>
    </row>
    <row r="529" spans="1:62" x14ac:dyDescent="0.3">
      <c r="A529" s="1200">
        <v>6</v>
      </c>
      <c r="B529" s="1208" t="s">
        <v>4435</v>
      </c>
      <c r="C529" s="1203"/>
      <c r="D529" s="1203"/>
      <c r="E529" s="1203"/>
      <c r="F529" s="1203"/>
      <c r="G529" s="1200"/>
      <c r="H529" s="1200"/>
      <c r="I529" s="81" t="s">
        <v>4435</v>
      </c>
      <c r="J529" s="4"/>
      <c r="K529" s="86"/>
      <c r="L529" s="1292" t="s">
        <v>700</v>
      </c>
      <c r="M529" s="305"/>
      <c r="N529" s="282"/>
      <c r="O529" s="282"/>
      <c r="P529" s="280"/>
      <c r="Q529" s="280"/>
      <c r="R529" s="280"/>
      <c r="S529" s="280"/>
      <c r="T529" s="280"/>
      <c r="U529" s="280"/>
      <c r="V529" s="280"/>
      <c r="W529" s="280"/>
      <c r="X529" s="280"/>
      <c r="Y529"/>
      <c r="Z529" s="1055"/>
      <c r="AC529" s="280"/>
      <c r="AD529" s="280"/>
      <c r="AE529" s="280"/>
      <c r="AF529" s="280"/>
      <c r="AG529" s="280"/>
      <c r="AH529" s="280"/>
      <c r="AI529" s="280"/>
      <c r="AJ529" s="280"/>
      <c r="AK529" s="280"/>
      <c r="AL529" s="280"/>
      <c r="AM529" s="280"/>
      <c r="AN529" s="280"/>
      <c r="AO529" s="280"/>
      <c r="AP529" s="280"/>
      <c r="AQ529" s="280"/>
      <c r="AR529" s="280"/>
      <c r="AS529" s="280"/>
      <c r="BJ529" s="1184" t="s">
        <v>4763</v>
      </c>
    </row>
    <row r="530" spans="1:62" x14ac:dyDescent="0.3">
      <c r="A530" s="1200">
        <v>6</v>
      </c>
      <c r="B530" s="1208" t="s">
        <v>4435</v>
      </c>
      <c r="C530" s="1203"/>
      <c r="D530" s="1203"/>
      <c r="E530" s="1203"/>
      <c r="F530" s="1203"/>
      <c r="G530" s="1200"/>
      <c r="H530" s="1200"/>
      <c r="I530" s="66"/>
      <c r="J530" s="4"/>
      <c r="K530" s="86"/>
      <c r="L530" s="1292"/>
      <c r="M530" s="305"/>
      <c r="N530" s="282"/>
      <c r="O530" s="282"/>
      <c r="P530" s="280"/>
      <c r="Q530" s="280"/>
      <c r="R530" s="280"/>
      <c r="S530" s="280"/>
      <c r="T530" s="280"/>
      <c r="U530" s="280"/>
      <c r="V530" s="280"/>
      <c r="W530" s="280"/>
      <c r="X530" s="280"/>
      <c r="Y530"/>
      <c r="Z530" s="1055"/>
      <c r="AC530" s="280"/>
      <c r="AD530" s="280"/>
      <c r="AE530" s="280"/>
      <c r="AF530" s="280"/>
      <c r="AG530" s="280"/>
      <c r="AH530" s="280"/>
      <c r="AI530" s="280"/>
      <c r="AJ530" s="280"/>
      <c r="AK530" s="280"/>
      <c r="AL530" s="280"/>
      <c r="AM530" s="280"/>
      <c r="AN530" s="280"/>
      <c r="AO530" s="280"/>
      <c r="AP530" s="280"/>
      <c r="AQ530" s="280"/>
      <c r="AR530" s="280"/>
      <c r="AS530" s="280"/>
      <c r="BJ530" s="1184" t="s">
        <v>4763</v>
      </c>
    </row>
    <row r="531" spans="1:62" ht="15" thickBot="1" x14ac:dyDescent="0.35">
      <c r="A531" s="1200">
        <v>6</v>
      </c>
      <c r="B531" s="1208" t="s">
        <v>4435</v>
      </c>
      <c r="C531" s="1203"/>
      <c r="D531" s="1203"/>
      <c r="E531" s="1203"/>
      <c r="F531" s="1203"/>
      <c r="G531" s="1200"/>
      <c r="H531" s="1200"/>
      <c r="I531" s="66"/>
      <c r="J531" s="4"/>
      <c r="K531" s="86"/>
      <c r="L531" s="172" t="s">
        <v>701</v>
      </c>
      <c r="M531" s="305"/>
      <c r="N531" s="282"/>
      <c r="O531" s="282"/>
      <c r="P531" s="280"/>
      <c r="Q531" s="280"/>
      <c r="R531" s="280"/>
      <c r="S531" s="280"/>
      <c r="T531" s="280"/>
      <c r="U531" s="280"/>
      <c r="V531" s="280"/>
      <c r="W531" s="104"/>
      <c r="X531" s="280"/>
      <c r="Y531" s="104"/>
      <c r="Z531" s="1172"/>
      <c r="AC531" s="280"/>
      <c r="AD531" s="280"/>
      <c r="AE531" s="280"/>
      <c r="AF531" s="280"/>
      <c r="AG531" s="280"/>
      <c r="AH531" s="280"/>
      <c r="AI531" s="280"/>
      <c r="AJ531" s="280"/>
      <c r="AK531" s="280"/>
      <c r="AL531" s="280"/>
      <c r="AM531" s="280"/>
      <c r="AN531" s="280"/>
      <c r="AO531" s="280"/>
      <c r="AP531" s="280"/>
      <c r="AQ531" s="280"/>
      <c r="AR531" s="280"/>
      <c r="AS531" s="280"/>
      <c r="BJ531" s="1184" t="s">
        <v>4763</v>
      </c>
    </row>
    <row r="532" spans="1:62" ht="15" thickTop="1" x14ac:dyDescent="0.3">
      <c r="A532" s="1200">
        <v>6</v>
      </c>
      <c r="B532" s="1208">
        <v>605.1</v>
      </c>
      <c r="C532" s="1203"/>
      <c r="D532" s="1203"/>
      <c r="E532" s="1203"/>
      <c r="F532" s="1203"/>
      <c r="G532" s="1202" t="str">
        <f>IF(N532&gt;0,"P","")</f>
        <v/>
      </c>
      <c r="H532" s="1200" t="s">
        <v>4386</v>
      </c>
      <c r="I532" s="200">
        <v>605.1</v>
      </c>
      <c r="J532" s="201"/>
      <c r="K532" s="202"/>
      <c r="L532" s="1331" t="s">
        <v>702</v>
      </c>
      <c r="M532" s="1343">
        <v>6</v>
      </c>
      <c r="N532" s="1528">
        <f>'Ch6'!O278</f>
        <v>0</v>
      </c>
      <c r="O532" s="1528">
        <f>M532*S532*IFERROR(OR(W532,W545),0)</f>
        <v>0</v>
      </c>
      <c r="P532" s="97" t="b">
        <v>1</v>
      </c>
      <c r="Q532" s="97" t="b">
        <v>1</v>
      </c>
      <c r="R532" s="110" t="b">
        <v>0</v>
      </c>
      <c r="S532" s="110" t="b">
        <v>1</v>
      </c>
      <c r="T532" s="110" t="b">
        <v>0</v>
      </c>
      <c r="U532" s="110"/>
      <c r="V532" s="110"/>
      <c r="W532" s="25"/>
      <c r="X532" s="1327"/>
      <c r="Y532" s="1525" t="str">
        <f>IF(LEN('Ch6'!X278)=0,"None",'Ch6'!X278)</f>
        <v>None</v>
      </c>
      <c r="Z532" s="1585"/>
      <c r="AC532" s="280"/>
      <c r="AD532" s="280"/>
      <c r="AE532" s="280"/>
      <c r="AF532" s="280"/>
      <c r="AG532" s="280"/>
      <c r="AH532" s="280"/>
      <c r="AI532" s="280"/>
      <c r="AJ532" s="280"/>
      <c r="AK532" s="280"/>
      <c r="AL532" s="311" t="str">
        <f>SUBSTITUTE(SUBSTITUTE(SUBSTITUTE("vpa"&amp;$B532&amp;$C532&amp;$D532&amp;$E532&amp;$F532,".","_"),"(","_"),")","")</f>
        <v>vpa605_1</v>
      </c>
      <c r="AM532" s="311">
        <f>M532</f>
        <v>6</v>
      </c>
      <c r="AN532" s="311" t="str">
        <f>SUBSTITUTE(SUBSTITUTE(SUBSTITUTE("vpc"&amp;$B532&amp;$C532&amp;$D532&amp;$E532&amp;$F532,".","_"),"(","_"),")","")</f>
        <v>vpc605_1</v>
      </c>
      <c r="AO532" s="311">
        <f>O532</f>
        <v>0</v>
      </c>
      <c r="AP532" s="311" t="str">
        <f>SUBSTITUTE(SUBSTITUTE(SUBSTITUTE("vch"&amp;$B532&amp;$C532&amp;$D532&amp;$E532&amp;$F532,".","_"),"(","_"),")","")</f>
        <v>vch605_1</v>
      </c>
      <c r="AQ532" s="311">
        <f>W532</f>
        <v>0</v>
      </c>
      <c r="AR532" s="311" t="str">
        <f>SUBSTITUTE(SUBSTITUTE(SUBSTITUTE("vnt"&amp;$B532&amp;$C532&amp;$D532&amp;$E532&amp;$F532,".","_"),"(","_"),")","")</f>
        <v>vnt605_1</v>
      </c>
      <c r="AS532" s="311">
        <f>X532</f>
        <v>0</v>
      </c>
      <c r="BJ532" s="1184" t="s">
        <v>4763</v>
      </c>
    </row>
    <row r="533" spans="1:62" x14ac:dyDescent="0.3">
      <c r="A533" s="1200">
        <v>6</v>
      </c>
      <c r="B533" s="1208">
        <v>605.1</v>
      </c>
      <c r="C533" s="1203"/>
      <c r="D533" s="1203"/>
      <c r="E533" s="1203"/>
      <c r="F533" s="1203"/>
      <c r="G533" s="1202" t="str">
        <f t="shared" ref="G533:G546" si="159">G532</f>
        <v/>
      </c>
      <c r="H533" s="1200" t="s">
        <v>4386</v>
      </c>
      <c r="I533" s="141"/>
      <c r="J533" s="140"/>
      <c r="K533" s="98"/>
      <c r="L533" s="1313"/>
      <c r="M533" s="1318"/>
      <c r="N533" s="1473"/>
      <c r="O533" s="1473"/>
      <c r="P533" s="97"/>
      <c r="Q533" s="97"/>
      <c r="R533" s="97"/>
      <c r="S533" s="97"/>
      <c r="T533" s="97"/>
      <c r="U533" s="97"/>
      <c r="V533" s="97"/>
      <c r="W533" s="97"/>
      <c r="X533" s="1295"/>
      <c r="Y533" s="1523"/>
      <c r="Z533" s="1583"/>
      <c r="AC533" s="280"/>
      <c r="AD533" s="280"/>
      <c r="AE533" s="280"/>
      <c r="AF533" s="280"/>
      <c r="AG533" s="280"/>
      <c r="AH533" s="280"/>
      <c r="AI533" s="280"/>
      <c r="AJ533" s="280"/>
      <c r="AK533" s="280"/>
      <c r="AL533" s="280"/>
      <c r="AM533" s="280"/>
      <c r="AN533" s="280"/>
      <c r="AO533" s="280"/>
      <c r="AP533" s="280"/>
      <c r="AQ533" s="280"/>
      <c r="AR533" s="280"/>
      <c r="AS533" s="280"/>
      <c r="BJ533" s="1184" t="s">
        <v>4763</v>
      </c>
    </row>
    <row r="534" spans="1:62" x14ac:dyDescent="0.3">
      <c r="A534" s="1200">
        <v>6</v>
      </c>
      <c r="B534" s="1208">
        <v>605.1</v>
      </c>
      <c r="C534" s="1203"/>
      <c r="D534" s="1203"/>
      <c r="E534" s="1203"/>
      <c r="F534" s="1203"/>
      <c r="G534" s="1202" t="str">
        <f t="shared" si="159"/>
        <v/>
      </c>
      <c r="H534" s="1200" t="s">
        <v>4386</v>
      </c>
      <c r="I534" s="141"/>
      <c r="J534" s="140"/>
      <c r="K534" s="98"/>
      <c r="L534" s="1313"/>
      <c r="M534" s="1318"/>
      <c r="N534" s="1473"/>
      <c r="O534" s="1473"/>
      <c r="P534" s="97"/>
      <c r="Q534" s="97"/>
      <c r="R534" s="97"/>
      <c r="S534" s="97"/>
      <c r="T534" s="97"/>
      <c r="U534" s="97"/>
      <c r="V534" s="97"/>
      <c r="W534" s="97"/>
      <c r="X534" s="1295"/>
      <c r="Y534" s="1523"/>
      <c r="Z534" s="1583"/>
      <c r="AC534" s="280"/>
      <c r="AD534" s="280"/>
      <c r="AE534" s="280"/>
      <c r="AF534" s="280"/>
      <c r="AG534" s="280"/>
      <c r="AH534" s="280"/>
      <c r="AI534" s="280"/>
      <c r="AJ534" s="280"/>
      <c r="AK534" s="280"/>
      <c r="AL534" s="280"/>
      <c r="AM534" s="280"/>
      <c r="AN534" s="280"/>
      <c r="AO534" s="280"/>
      <c r="AP534" s="280"/>
      <c r="AQ534" s="280"/>
      <c r="AR534" s="280"/>
      <c r="AS534" s="280"/>
      <c r="BJ534" s="1184" t="s">
        <v>4763</v>
      </c>
    </row>
    <row r="535" spans="1:62" x14ac:dyDescent="0.3">
      <c r="A535" s="1200">
        <v>6</v>
      </c>
      <c r="B535" s="1208">
        <v>605.1</v>
      </c>
      <c r="C535" s="1203"/>
      <c r="D535" s="1203"/>
      <c r="E535" s="1203"/>
      <c r="F535" s="1203"/>
      <c r="G535" s="1202" t="str">
        <f t="shared" si="159"/>
        <v/>
      </c>
      <c r="H535" s="1200" t="s">
        <v>4386</v>
      </c>
      <c r="I535" s="141"/>
      <c r="J535" s="140"/>
      <c r="K535" s="98"/>
      <c r="L535" s="1313"/>
      <c r="M535" s="1318"/>
      <c r="N535" s="1473"/>
      <c r="O535" s="1473"/>
      <c r="P535" s="97"/>
      <c r="Q535" s="97"/>
      <c r="R535" s="97"/>
      <c r="S535" s="97"/>
      <c r="T535" s="97"/>
      <c r="U535" s="97"/>
      <c r="V535" s="97"/>
      <c r="W535" s="97"/>
      <c r="X535" s="1295"/>
      <c r="Y535" s="1523"/>
      <c r="Z535" s="1583"/>
      <c r="AC535" s="280"/>
      <c r="AD535" s="280"/>
      <c r="AE535" s="280"/>
      <c r="AF535" s="280"/>
      <c r="AG535" s="280"/>
      <c r="AH535" s="280"/>
      <c r="AI535" s="280"/>
      <c r="AJ535" s="280"/>
      <c r="AK535" s="280"/>
      <c r="AL535" s="280"/>
      <c r="AM535" s="280"/>
      <c r="AN535" s="280"/>
      <c r="AO535" s="280"/>
      <c r="AP535" s="280"/>
      <c r="AQ535" s="280"/>
      <c r="AR535" s="280"/>
      <c r="AS535" s="280"/>
      <c r="BJ535" s="1184" t="s">
        <v>4763</v>
      </c>
    </row>
    <row r="536" spans="1:62" x14ac:dyDescent="0.3">
      <c r="A536" s="1200">
        <v>6</v>
      </c>
      <c r="B536" s="1208">
        <v>605.1</v>
      </c>
      <c r="C536" s="1203"/>
      <c r="D536" s="1203"/>
      <c r="E536" s="1203"/>
      <c r="F536" s="1203"/>
      <c r="G536" s="1202" t="str">
        <f t="shared" si="159"/>
        <v/>
      </c>
      <c r="H536" s="1200" t="s">
        <v>4386</v>
      </c>
      <c r="I536" s="141"/>
      <c r="J536" s="140"/>
      <c r="K536" s="98"/>
      <c r="L536" s="1313"/>
      <c r="M536" s="1318"/>
      <c r="N536" s="1473"/>
      <c r="O536" s="1473"/>
      <c r="P536" s="97"/>
      <c r="Q536" s="97"/>
      <c r="R536" s="97"/>
      <c r="S536" s="97"/>
      <c r="T536" s="97"/>
      <c r="U536" s="97"/>
      <c r="V536" s="97"/>
      <c r="W536" s="97"/>
      <c r="X536" s="1295"/>
      <c r="Y536" s="1523"/>
      <c r="Z536" s="1583"/>
      <c r="AC536" s="280"/>
      <c r="AD536" s="280"/>
      <c r="AE536" s="280"/>
      <c r="AF536" s="280"/>
      <c r="AG536" s="280"/>
      <c r="AH536" s="280"/>
      <c r="AI536" s="280"/>
      <c r="AJ536" s="280"/>
      <c r="AK536" s="280"/>
      <c r="AL536" s="280"/>
      <c r="AM536" s="280"/>
      <c r="AN536" s="280"/>
      <c r="AO536" s="280"/>
      <c r="AP536" s="280"/>
      <c r="AQ536" s="280"/>
      <c r="AR536" s="280"/>
      <c r="AS536" s="280"/>
      <c r="BJ536" s="1184" t="s">
        <v>4763</v>
      </c>
    </row>
    <row r="537" spans="1:62" x14ac:dyDescent="0.3">
      <c r="A537" s="1200">
        <v>6</v>
      </c>
      <c r="B537" s="1208">
        <v>605.1</v>
      </c>
      <c r="C537" s="1203"/>
      <c r="D537" s="1203"/>
      <c r="E537" s="1203"/>
      <c r="F537" s="1203"/>
      <c r="G537" s="1202" t="str">
        <f t="shared" si="159"/>
        <v/>
      </c>
      <c r="H537" s="1200" t="s">
        <v>4386</v>
      </c>
      <c r="I537" s="141"/>
      <c r="J537" s="140"/>
      <c r="K537" s="98"/>
      <c r="L537" s="1313"/>
      <c r="M537" s="1318"/>
      <c r="N537" s="1473"/>
      <c r="O537" s="1473"/>
      <c r="P537" s="97"/>
      <c r="Q537" s="97"/>
      <c r="R537" s="97"/>
      <c r="S537" s="97"/>
      <c r="T537" s="97"/>
      <c r="U537" s="97"/>
      <c r="V537" s="97"/>
      <c r="W537" s="97"/>
      <c r="X537" s="1295"/>
      <c r="Y537" s="1523"/>
      <c r="Z537" s="1583"/>
      <c r="AC537" s="280"/>
      <c r="AD537" s="280"/>
      <c r="AE537" s="280"/>
      <c r="AF537" s="280"/>
      <c r="AG537" s="280"/>
      <c r="AH537" s="280"/>
      <c r="AI537" s="280"/>
      <c r="AJ537" s="280"/>
      <c r="AK537" s="280"/>
      <c r="AL537" s="280"/>
      <c r="AM537" s="280"/>
      <c r="AN537" s="280"/>
      <c r="AO537" s="280"/>
      <c r="AP537" s="280"/>
      <c r="AQ537" s="280"/>
      <c r="AR537" s="280"/>
      <c r="AS537" s="280"/>
      <c r="BJ537" s="1184" t="s">
        <v>4763</v>
      </c>
    </row>
    <row r="538" spans="1:62" x14ac:dyDescent="0.3">
      <c r="A538" s="1200">
        <v>6</v>
      </c>
      <c r="B538" s="1208">
        <v>605.1</v>
      </c>
      <c r="C538" s="1203"/>
      <c r="D538" s="1203"/>
      <c r="E538" s="1203"/>
      <c r="F538" s="1203"/>
      <c r="G538" s="1202" t="str">
        <f t="shared" si="159"/>
        <v/>
      </c>
      <c r="H538" s="1200" t="s">
        <v>4386</v>
      </c>
      <c r="I538" s="141"/>
      <c r="J538" s="140"/>
      <c r="K538" s="98"/>
      <c r="L538" s="1305" t="s">
        <v>703</v>
      </c>
      <c r="M538" s="1318"/>
      <c r="N538" s="1473"/>
      <c r="O538" s="1473"/>
      <c r="P538" s="97"/>
      <c r="Q538" s="97"/>
      <c r="R538" s="97"/>
      <c r="S538" s="97"/>
      <c r="T538" s="97"/>
      <c r="U538" s="97"/>
      <c r="V538" s="97"/>
      <c r="W538" s="97"/>
      <c r="X538" s="1295"/>
      <c r="Y538" s="1523"/>
      <c r="Z538" s="1583"/>
      <c r="AC538" s="280"/>
      <c r="AD538" s="280"/>
      <c r="AE538" s="280"/>
      <c r="AF538" s="280"/>
      <c r="AG538" s="280"/>
      <c r="AH538" s="280"/>
      <c r="AI538" s="280"/>
      <c r="AJ538" s="280"/>
      <c r="AK538" s="280"/>
      <c r="AL538" s="280"/>
      <c r="AM538" s="280"/>
      <c r="AN538" s="280"/>
      <c r="AO538" s="280"/>
      <c r="AP538" s="280"/>
      <c r="AQ538" s="280"/>
      <c r="AR538" s="280"/>
      <c r="AS538" s="280"/>
      <c r="BJ538" s="1184" t="s">
        <v>4763</v>
      </c>
    </row>
    <row r="539" spans="1:62" x14ac:dyDescent="0.3">
      <c r="A539" s="1200">
        <v>6</v>
      </c>
      <c r="B539" s="1208">
        <v>605.1</v>
      </c>
      <c r="C539" s="1203"/>
      <c r="D539" s="1203"/>
      <c r="E539" s="1203"/>
      <c r="F539" s="1203"/>
      <c r="G539" s="1202" t="str">
        <f t="shared" si="159"/>
        <v/>
      </c>
      <c r="H539" s="1200" t="s">
        <v>4386</v>
      </c>
      <c r="I539" s="141"/>
      <c r="J539" s="140"/>
      <c r="K539" s="98"/>
      <c r="L539" s="1305"/>
      <c r="M539" s="1318"/>
      <c r="N539" s="1473"/>
      <c r="O539" s="1473"/>
      <c r="P539" s="97"/>
      <c r="Q539" s="97"/>
      <c r="R539" s="97"/>
      <c r="S539" s="97"/>
      <c r="T539" s="97"/>
      <c r="U539" s="97"/>
      <c r="V539" s="97"/>
      <c r="W539" s="97"/>
      <c r="X539" s="1295"/>
      <c r="Y539" s="1523"/>
      <c r="Z539" s="1583"/>
      <c r="AC539" s="280"/>
      <c r="AD539" s="280"/>
      <c r="AE539" s="280"/>
      <c r="AF539" s="280"/>
      <c r="AG539" s="280"/>
      <c r="AH539" s="280"/>
      <c r="AI539" s="280"/>
      <c r="AJ539" s="280"/>
      <c r="AK539" s="280"/>
      <c r="AL539" s="280"/>
      <c r="AM539" s="280"/>
      <c r="AN539" s="280"/>
      <c r="AO539" s="280"/>
      <c r="AP539" s="280"/>
      <c r="AQ539" s="280"/>
      <c r="AR539" s="280"/>
      <c r="AS539" s="280"/>
      <c r="BJ539" s="1184" t="s">
        <v>4763</v>
      </c>
    </row>
    <row r="540" spans="1:62" x14ac:dyDescent="0.3">
      <c r="A540" s="1200">
        <v>6</v>
      </c>
      <c r="B540" s="1208">
        <v>605.1</v>
      </c>
      <c r="C540" s="1203"/>
      <c r="D540" s="1203"/>
      <c r="E540" s="1203"/>
      <c r="F540" s="1203"/>
      <c r="G540" s="1202" t="str">
        <f t="shared" si="159"/>
        <v/>
      </c>
      <c r="H540" s="1200" t="s">
        <v>4386</v>
      </c>
      <c r="I540" s="141"/>
      <c r="J540" s="140"/>
      <c r="K540" s="98"/>
      <c r="L540" s="1305"/>
      <c r="M540" s="1318"/>
      <c r="N540" s="1473"/>
      <c r="O540" s="1473"/>
      <c r="P540" s="97"/>
      <c r="Q540" s="97"/>
      <c r="R540" s="97"/>
      <c r="S540" s="97"/>
      <c r="T540" s="97"/>
      <c r="U540" s="97"/>
      <c r="V540" s="97"/>
      <c r="W540" s="97"/>
      <c r="X540" s="1295"/>
      <c r="Y540" s="1523"/>
      <c r="Z540" s="1583"/>
      <c r="AC540" s="280"/>
      <c r="AD540" s="280"/>
      <c r="AE540" s="280"/>
      <c r="AF540" s="280"/>
      <c r="AG540" s="280"/>
      <c r="AH540" s="280"/>
      <c r="AI540" s="280"/>
      <c r="AJ540" s="280"/>
      <c r="AK540" s="280"/>
      <c r="AL540" s="280"/>
      <c r="AM540" s="280"/>
      <c r="AN540" s="280"/>
      <c r="AO540" s="280"/>
      <c r="AP540" s="280"/>
      <c r="AQ540" s="280"/>
      <c r="AR540" s="280"/>
      <c r="AS540" s="280"/>
      <c r="BJ540" s="1184" t="s">
        <v>4763</v>
      </c>
    </row>
    <row r="541" spans="1:62" x14ac:dyDescent="0.3">
      <c r="A541" s="1200">
        <v>6</v>
      </c>
      <c r="B541" s="1208">
        <v>605.1</v>
      </c>
      <c r="C541" s="1203"/>
      <c r="D541" s="1203"/>
      <c r="E541" s="1203"/>
      <c r="F541" s="1203"/>
      <c r="G541" s="1202" t="str">
        <f t="shared" si="159"/>
        <v/>
      </c>
      <c r="H541" s="1200" t="s">
        <v>4386</v>
      </c>
      <c r="I541" s="141"/>
      <c r="J541" s="140"/>
      <c r="K541" s="98"/>
      <c r="L541" s="1305"/>
      <c r="M541" s="1318"/>
      <c r="N541" s="1473"/>
      <c r="O541" s="1473"/>
      <c r="P541" s="97"/>
      <c r="Q541" s="97"/>
      <c r="R541" s="97"/>
      <c r="S541" s="97"/>
      <c r="T541" s="97"/>
      <c r="U541" s="97"/>
      <c r="V541" s="97"/>
      <c r="W541" s="97"/>
      <c r="X541" s="1295"/>
      <c r="Y541" s="1523"/>
      <c r="Z541" s="1583"/>
      <c r="AC541" s="280"/>
      <c r="AD541" s="280"/>
      <c r="AE541" s="280"/>
      <c r="AF541" s="280"/>
      <c r="AG541" s="280"/>
      <c r="AH541" s="280"/>
      <c r="AI541" s="280"/>
      <c r="AJ541" s="280"/>
      <c r="AK541" s="280"/>
      <c r="AL541" s="280"/>
      <c r="AM541" s="280"/>
      <c r="AN541" s="280"/>
      <c r="AO541" s="280"/>
      <c r="AP541" s="280"/>
      <c r="AQ541" s="280"/>
      <c r="AR541" s="280"/>
      <c r="AS541" s="280"/>
      <c r="BJ541" s="1184" t="s">
        <v>4763</v>
      </c>
    </row>
    <row r="542" spans="1:62" x14ac:dyDescent="0.3">
      <c r="A542" s="1200">
        <v>6</v>
      </c>
      <c r="B542" s="1208">
        <v>605.1</v>
      </c>
      <c r="C542" s="1203"/>
      <c r="D542" s="1203"/>
      <c r="E542" s="1203"/>
      <c r="F542" s="1203"/>
      <c r="G542" s="1202" t="str">
        <f t="shared" si="159"/>
        <v/>
      </c>
      <c r="H542" s="1200" t="s">
        <v>4386</v>
      </c>
      <c r="I542" s="141"/>
      <c r="J542" s="140"/>
      <c r="K542" s="98"/>
      <c r="L542" s="210" t="s">
        <v>704</v>
      </c>
      <c r="M542" s="1318"/>
      <c r="N542" s="1473"/>
      <c r="O542" s="1473"/>
      <c r="P542" s="97"/>
      <c r="Q542" s="97"/>
      <c r="R542" s="97"/>
      <c r="S542" s="97"/>
      <c r="T542" s="97"/>
      <c r="U542" s="97"/>
      <c r="V542" s="97"/>
      <c r="W542" s="97"/>
      <c r="X542" s="1295"/>
      <c r="Y542" s="1523"/>
      <c r="Z542" s="1583"/>
      <c r="AC542" s="280"/>
      <c r="AD542" s="280"/>
      <c r="AE542" s="280"/>
      <c r="AF542" s="280"/>
      <c r="AG542" s="280"/>
      <c r="AH542" s="280"/>
      <c r="AI542" s="280"/>
      <c r="AJ542" s="280"/>
      <c r="AK542" s="280"/>
      <c r="AL542" s="280"/>
      <c r="AM542" s="280"/>
      <c r="AN542" s="280"/>
      <c r="AO542" s="280"/>
      <c r="AP542" s="280"/>
      <c r="AQ542" s="280"/>
      <c r="AR542" s="280"/>
      <c r="AS542" s="280"/>
      <c r="BJ542" s="1184" t="s">
        <v>4763</v>
      </c>
    </row>
    <row r="543" spans="1:62" x14ac:dyDescent="0.3">
      <c r="A543" s="1200">
        <v>6</v>
      </c>
      <c r="B543" s="1208">
        <v>605.1</v>
      </c>
      <c r="C543" s="1203"/>
      <c r="D543" s="1203"/>
      <c r="E543" s="1203" t="s">
        <v>271</v>
      </c>
      <c r="F543" s="1203"/>
      <c r="G543" s="1202" t="str">
        <f t="shared" si="159"/>
        <v/>
      </c>
      <c r="H543" s="1200" t="s">
        <v>4386</v>
      </c>
      <c r="I543" s="141"/>
      <c r="J543" s="203" t="s">
        <v>271</v>
      </c>
      <c r="K543" s="98"/>
      <c r="L543" s="1305" t="s">
        <v>705</v>
      </c>
      <c r="M543" s="1318"/>
      <c r="N543" s="1473"/>
      <c r="O543" s="1473"/>
      <c r="P543" s="97"/>
      <c r="Q543" s="97"/>
      <c r="R543" s="97"/>
      <c r="S543" s="97"/>
      <c r="T543" s="97"/>
      <c r="U543" s="97"/>
      <c r="V543" s="97"/>
      <c r="W543" s="97"/>
      <c r="X543" s="1295"/>
      <c r="Y543" s="1523"/>
      <c r="Z543" s="1583"/>
      <c r="AC543" s="280"/>
      <c r="AD543" s="280"/>
      <c r="AE543" s="280"/>
      <c r="AF543" s="280"/>
      <c r="AG543" s="280"/>
      <c r="AH543" s="280"/>
      <c r="AI543" s="280"/>
      <c r="AJ543" s="280"/>
      <c r="AK543" s="280"/>
      <c r="AL543" s="280"/>
      <c r="AM543" s="280"/>
      <c r="AN543" s="280"/>
      <c r="AO543" s="280"/>
      <c r="AP543" s="280"/>
      <c r="AQ543" s="280"/>
      <c r="AR543" s="280"/>
      <c r="AS543" s="280"/>
      <c r="BJ543" s="1184" t="s">
        <v>4763</v>
      </c>
    </row>
    <row r="544" spans="1:62" x14ac:dyDescent="0.3">
      <c r="A544" s="1200">
        <v>6</v>
      </c>
      <c r="B544" s="1208">
        <v>605.1</v>
      </c>
      <c r="C544" s="1203"/>
      <c r="D544" s="1203"/>
      <c r="E544" s="1203" t="s">
        <v>271</v>
      </c>
      <c r="F544" s="1203"/>
      <c r="G544" s="1202" t="str">
        <f t="shared" si="159"/>
        <v/>
      </c>
      <c r="H544" s="1200" t="s">
        <v>4386</v>
      </c>
      <c r="I544" s="141"/>
      <c r="J544" s="140"/>
      <c r="K544" s="98"/>
      <c r="L544" s="1305"/>
      <c r="M544" s="1318"/>
      <c r="N544" s="1473"/>
      <c r="O544" s="1473"/>
      <c r="P544" s="97"/>
      <c r="Q544" s="97"/>
      <c r="R544" s="97"/>
      <c r="S544" s="97"/>
      <c r="T544" s="97"/>
      <c r="U544" s="97"/>
      <c r="V544" s="97"/>
      <c r="W544" s="97"/>
      <c r="X544" s="1295"/>
      <c r="Y544" s="1523"/>
      <c r="Z544" s="1583"/>
      <c r="AC544" s="280"/>
      <c r="AD544" s="280"/>
      <c r="AE544" s="280"/>
      <c r="AF544" s="280"/>
      <c r="AG544" s="280"/>
      <c r="AH544" s="280"/>
      <c r="AI544" s="280"/>
      <c r="AJ544" s="280"/>
      <c r="AK544" s="280"/>
      <c r="AL544" s="280"/>
      <c r="AM544" s="280"/>
      <c r="AN544" s="280"/>
      <c r="AO544" s="280"/>
      <c r="AP544" s="280"/>
      <c r="AQ544" s="280"/>
      <c r="AR544" s="280"/>
      <c r="AS544" s="280"/>
      <c r="BJ544" s="1184" t="s">
        <v>4763</v>
      </c>
    </row>
    <row r="545" spans="1:62" x14ac:dyDescent="0.3">
      <c r="A545" s="1200">
        <v>6</v>
      </c>
      <c r="B545" s="1208">
        <v>605.1</v>
      </c>
      <c r="C545" s="1203"/>
      <c r="D545" s="1203"/>
      <c r="E545" s="1203" t="s">
        <v>273</v>
      </c>
      <c r="F545" s="1203"/>
      <c r="G545" s="1202" t="str">
        <f t="shared" si="159"/>
        <v/>
      </c>
      <c r="H545" s="1200" t="s">
        <v>4386</v>
      </c>
      <c r="I545" s="141"/>
      <c r="J545" s="203" t="s">
        <v>273</v>
      </c>
      <c r="K545" s="98"/>
      <c r="L545" s="1305" t="s">
        <v>706</v>
      </c>
      <c r="M545" s="1318"/>
      <c r="N545" s="1473"/>
      <c r="O545" s="1473"/>
      <c r="P545" s="97" t="b">
        <v>1</v>
      </c>
      <c r="Q545" s="97" t="b">
        <v>1</v>
      </c>
      <c r="R545" s="97" t="b">
        <v>0</v>
      </c>
      <c r="S545" s="97" t="b">
        <v>1</v>
      </c>
      <c r="T545" s="97" t="b">
        <v>0</v>
      </c>
      <c r="U545" s="97"/>
      <c r="V545" s="97"/>
      <c r="W545" s="25"/>
      <c r="X545" s="1295"/>
      <c r="Y545" s="1523"/>
      <c r="Z545" s="1583"/>
      <c r="AC545" s="280"/>
      <c r="AD545" s="280"/>
      <c r="AE545" s="280"/>
      <c r="AF545" s="280"/>
      <c r="AG545" s="280"/>
      <c r="AH545" s="280"/>
      <c r="AI545" s="280"/>
      <c r="AJ545" s="280"/>
      <c r="AK545" s="280"/>
      <c r="AL545" s="280"/>
      <c r="AM545" s="280"/>
      <c r="AN545" s="280"/>
      <c r="AO545" s="280"/>
      <c r="AP545" s="311" t="str">
        <f>SUBSTITUTE(SUBSTITUTE(SUBSTITUTE("vch"&amp;$B545&amp;$C545&amp;$D545&amp;$E545&amp;$F545,".","_"),"(","_"),")","")</f>
        <v>vch605_1_2</v>
      </c>
      <c r="AQ545" s="311">
        <f>W545</f>
        <v>0</v>
      </c>
      <c r="AR545" s="280"/>
      <c r="AS545" s="280"/>
      <c r="BJ545" s="1184" t="s">
        <v>4763</v>
      </c>
    </row>
    <row r="546" spans="1:62" ht="15" thickBot="1" x14ac:dyDescent="0.35">
      <c r="A546" s="1200">
        <v>6</v>
      </c>
      <c r="B546" s="1208">
        <v>605.1</v>
      </c>
      <c r="C546" s="1203"/>
      <c r="D546" s="1203"/>
      <c r="E546" s="1203" t="s">
        <v>273</v>
      </c>
      <c r="F546" s="1203"/>
      <c r="G546" s="1202" t="str">
        <f t="shared" si="159"/>
        <v/>
      </c>
      <c r="H546" s="1200" t="s">
        <v>4386</v>
      </c>
      <c r="I546" s="141"/>
      <c r="J546" s="140"/>
      <c r="K546" s="98"/>
      <c r="L546" s="1305"/>
      <c r="M546" s="1318"/>
      <c r="N546" s="1529"/>
      <c r="O546" s="1473"/>
      <c r="P546" s="97"/>
      <c r="Q546" s="97"/>
      <c r="R546" s="97"/>
      <c r="S546" s="97"/>
      <c r="T546" s="97"/>
      <c r="U546" s="97"/>
      <c r="V546" s="97"/>
      <c r="W546" s="317"/>
      <c r="X546" s="1337"/>
      <c r="Y546" s="1524"/>
      <c r="Z546" s="1584"/>
      <c r="AC546" s="280"/>
      <c r="AD546" s="280"/>
      <c r="AE546" s="280"/>
      <c r="AF546" s="280"/>
      <c r="AG546" s="280"/>
      <c r="AH546" s="280"/>
      <c r="AI546" s="280"/>
      <c r="AJ546" s="280"/>
      <c r="AK546" s="280"/>
      <c r="AL546" s="280"/>
      <c r="AM546" s="280"/>
      <c r="AN546" s="280"/>
      <c r="AO546" s="280"/>
      <c r="AP546" s="280"/>
      <c r="AQ546" s="280"/>
      <c r="AR546" s="280"/>
      <c r="AS546" s="280"/>
      <c r="BJ546" s="1184" t="s">
        <v>4763</v>
      </c>
    </row>
    <row r="547" spans="1:62" ht="15" thickTop="1" x14ac:dyDescent="0.3">
      <c r="A547" s="1200">
        <v>6</v>
      </c>
      <c r="B547" s="1208">
        <v>605.20000000000005</v>
      </c>
      <c r="C547" s="1203"/>
      <c r="D547" s="1203"/>
      <c r="E547" s="1203"/>
      <c r="F547" s="1203"/>
      <c r="G547" s="1202" t="str">
        <f>IF(N547&gt;0,"P","")</f>
        <v/>
      </c>
      <c r="H547" s="1200" t="s">
        <v>4386</v>
      </c>
      <c r="I547" s="200">
        <v>605.20000000000005</v>
      </c>
      <c r="J547" s="201"/>
      <c r="K547" s="202"/>
      <c r="L547" s="1331" t="s">
        <v>707</v>
      </c>
      <c r="M547" s="1343">
        <v>7</v>
      </c>
      <c r="N547" s="1528">
        <f>'Ch6'!O293</f>
        <v>0</v>
      </c>
      <c r="O547" s="1528">
        <f>M547*S547*W547</f>
        <v>0</v>
      </c>
      <c r="P547" s="97" t="b">
        <v>1</v>
      </c>
      <c r="Q547" s="97" t="b">
        <v>1</v>
      </c>
      <c r="R547" s="110" t="b">
        <v>0</v>
      </c>
      <c r="S547" s="110" t="b">
        <v>1</v>
      </c>
      <c r="T547" s="110" t="b">
        <v>0</v>
      </c>
      <c r="U547" s="110"/>
      <c r="V547" s="110"/>
      <c r="W547" s="25"/>
      <c r="X547" s="1327"/>
      <c r="Y547" s="1525" t="str">
        <f>IF(LEN('Ch6'!X293)=0,"None",'Ch6'!X293)</f>
        <v>None</v>
      </c>
      <c r="Z547" s="1585"/>
      <c r="AC547" s="280"/>
      <c r="AD547" s="280"/>
      <c r="AE547" s="280"/>
      <c r="AF547" s="280"/>
      <c r="AG547" s="280"/>
      <c r="AH547" s="280"/>
      <c r="AI547" s="280"/>
      <c r="AJ547" s="280"/>
      <c r="AK547" s="280"/>
      <c r="AL547" s="311" t="str">
        <f>SUBSTITUTE(SUBSTITUTE(SUBSTITUTE("vpa"&amp;$B547&amp;$C547&amp;$D547&amp;$E547&amp;$F547,".","_"),"(","_"),")","")</f>
        <v>vpa605_2</v>
      </c>
      <c r="AM547" s="311">
        <f>M547</f>
        <v>7</v>
      </c>
      <c r="AN547" s="311" t="str">
        <f>SUBSTITUTE(SUBSTITUTE(SUBSTITUTE("vpc"&amp;$B547&amp;$C547&amp;$D547&amp;$E547&amp;$F547,".","_"),"(","_"),")","")</f>
        <v>vpc605_2</v>
      </c>
      <c r="AO547" s="311">
        <f>O547</f>
        <v>0</v>
      </c>
      <c r="AP547" s="311" t="str">
        <f>SUBSTITUTE(SUBSTITUTE(SUBSTITUTE("vch"&amp;$B547&amp;$C547&amp;$D547&amp;$E547&amp;$F547,".","_"),"(","_"),")","")</f>
        <v>vch605_2</v>
      </c>
      <c r="AQ547" s="311">
        <f>W547</f>
        <v>0</v>
      </c>
      <c r="AR547" s="311" t="str">
        <f>SUBSTITUTE(SUBSTITUTE(SUBSTITUTE("vnt"&amp;$B547&amp;$C547&amp;$D547&amp;$E547&amp;$F547,".","_"),"(","_"),")","")</f>
        <v>vnt605_2</v>
      </c>
      <c r="AS547" s="311">
        <f>X547</f>
        <v>0</v>
      </c>
      <c r="BJ547" s="1184" t="s">
        <v>4763</v>
      </c>
    </row>
    <row r="548" spans="1:62" x14ac:dyDescent="0.3">
      <c r="A548" s="1200">
        <v>6</v>
      </c>
      <c r="B548" s="1208">
        <v>605.20000000000005</v>
      </c>
      <c r="C548" s="1203"/>
      <c r="D548" s="1203"/>
      <c r="E548" s="1203"/>
      <c r="F548" s="1203"/>
      <c r="G548" s="1202" t="str">
        <f t="shared" ref="G548:G555" si="160">G547</f>
        <v/>
      </c>
      <c r="H548" s="1200" t="s">
        <v>4386</v>
      </c>
      <c r="I548" s="141"/>
      <c r="J548" s="140"/>
      <c r="K548" s="98"/>
      <c r="L548" s="1313"/>
      <c r="M548" s="1318"/>
      <c r="N548" s="1473"/>
      <c r="O548" s="1473"/>
      <c r="P548" s="97"/>
      <c r="Q548" s="97"/>
      <c r="R548" s="97"/>
      <c r="S548" s="97"/>
      <c r="T548" s="97"/>
      <c r="U548" s="97"/>
      <c r="V548" s="97"/>
      <c r="W548" s="97"/>
      <c r="X548" s="1295"/>
      <c r="Y548" s="1523"/>
      <c r="Z548" s="1583"/>
      <c r="AC548" s="280"/>
      <c r="AD548" s="280"/>
      <c r="AE548" s="280"/>
      <c r="AF548" s="280"/>
      <c r="AG548" s="280"/>
      <c r="AH548" s="280"/>
      <c r="AI548" s="280"/>
      <c r="AJ548" s="280"/>
      <c r="AK548" s="280"/>
      <c r="AL548" s="280"/>
      <c r="AM548" s="280"/>
      <c r="AN548" s="280"/>
      <c r="AO548" s="280"/>
      <c r="AP548" s="280"/>
      <c r="AQ548" s="280"/>
      <c r="AR548" s="280"/>
      <c r="AS548" s="280"/>
      <c r="BJ548" s="1184" t="s">
        <v>4763</v>
      </c>
    </row>
    <row r="549" spans="1:62" x14ac:dyDescent="0.3">
      <c r="A549" s="1200">
        <v>6</v>
      </c>
      <c r="B549" s="1208">
        <v>605.20000000000005</v>
      </c>
      <c r="C549" s="1203"/>
      <c r="D549" s="1203"/>
      <c r="E549" s="1203"/>
      <c r="F549" s="1203" t="s">
        <v>121</v>
      </c>
      <c r="G549" s="1202" t="str">
        <f t="shared" si="160"/>
        <v/>
      </c>
      <c r="H549" s="1204" t="s">
        <v>4386</v>
      </c>
      <c r="I549" s="141"/>
      <c r="J549" s="140"/>
      <c r="K549" s="94" t="s">
        <v>121</v>
      </c>
      <c r="L549" s="1305" t="s">
        <v>708</v>
      </c>
      <c r="M549" s="300"/>
      <c r="N549" s="283"/>
      <c r="O549" s="283"/>
      <c r="P549" s="97"/>
      <c r="Q549" s="97"/>
      <c r="R549" s="97"/>
      <c r="S549" s="97"/>
      <c r="T549" s="97"/>
      <c r="U549" s="97"/>
      <c r="V549" s="97"/>
      <c r="W549" s="97"/>
      <c r="X549" s="1295"/>
      <c r="Y549" s="1523"/>
      <c r="Z549" s="1583"/>
      <c r="AC549" s="280"/>
      <c r="AD549" s="280"/>
      <c r="AE549" s="280"/>
      <c r="AF549" s="280"/>
      <c r="AG549" s="280"/>
      <c r="AH549" s="280"/>
      <c r="AI549" s="280"/>
      <c r="AJ549" s="280"/>
      <c r="AK549" s="280"/>
      <c r="AL549" s="280"/>
      <c r="AM549" s="280"/>
      <c r="AN549" s="280"/>
      <c r="AO549" s="280"/>
      <c r="AP549" s="280"/>
      <c r="AQ549" s="280"/>
      <c r="AR549" s="280"/>
      <c r="AS549" s="280"/>
      <c r="BJ549" s="1184" t="s">
        <v>4763</v>
      </c>
    </row>
    <row r="550" spans="1:62" x14ac:dyDescent="0.3">
      <c r="A550" s="1200">
        <v>6</v>
      </c>
      <c r="B550" s="1208">
        <v>605.20000000000005</v>
      </c>
      <c r="C550" s="1203"/>
      <c r="D550" s="1203"/>
      <c r="E550" s="1203"/>
      <c r="F550" s="1203" t="s">
        <v>121</v>
      </c>
      <c r="G550" s="1202" t="str">
        <f t="shared" si="160"/>
        <v/>
      </c>
      <c r="H550" s="1204" t="s">
        <v>4386</v>
      </c>
      <c r="I550" s="141"/>
      <c r="J550" s="140"/>
      <c r="K550" s="98"/>
      <c r="L550" s="1305"/>
      <c r="M550" s="300"/>
      <c r="N550" s="283"/>
      <c r="O550" s="283"/>
      <c r="P550" s="97"/>
      <c r="Q550" s="97"/>
      <c r="R550" s="97"/>
      <c r="S550" s="97"/>
      <c r="T550" s="97"/>
      <c r="U550" s="97"/>
      <c r="V550" s="97"/>
      <c r="W550" s="97"/>
      <c r="X550" s="1295"/>
      <c r="Y550" s="1523"/>
      <c r="Z550" s="1583"/>
      <c r="AC550" s="280"/>
      <c r="AD550" s="280"/>
      <c r="AE550" s="280"/>
      <c r="AF550" s="280"/>
      <c r="AG550" s="280"/>
      <c r="AH550" s="280"/>
      <c r="AI550" s="280"/>
      <c r="AJ550" s="280"/>
      <c r="AK550" s="280"/>
      <c r="AL550" s="280"/>
      <c r="AM550" s="280"/>
      <c r="AN550" s="280"/>
      <c r="AO550" s="280"/>
      <c r="AP550" s="280"/>
      <c r="AQ550" s="280"/>
      <c r="AR550" s="280"/>
      <c r="AS550" s="280"/>
      <c r="BJ550" s="1184" t="s">
        <v>4763</v>
      </c>
    </row>
    <row r="551" spans="1:62" x14ac:dyDescent="0.3">
      <c r="A551" s="1200">
        <v>6</v>
      </c>
      <c r="B551" s="1208">
        <v>605.20000000000005</v>
      </c>
      <c r="C551" s="1203"/>
      <c r="D551" s="1203"/>
      <c r="E551" s="1203"/>
      <c r="F551" s="1203" t="s">
        <v>121</v>
      </c>
      <c r="G551" s="1202" t="str">
        <f t="shared" si="160"/>
        <v/>
      </c>
      <c r="H551" s="1204" t="s">
        <v>4386</v>
      </c>
      <c r="I551" s="141"/>
      <c r="J551" s="140"/>
      <c r="K551" s="193"/>
      <c r="L551" s="1306"/>
      <c r="M551" s="300"/>
      <c r="N551" s="283"/>
      <c r="O551" s="283"/>
      <c r="P551" s="97"/>
      <c r="Q551" s="97"/>
      <c r="R551" s="97"/>
      <c r="S551" s="97"/>
      <c r="T551" s="97"/>
      <c r="U551" s="97"/>
      <c r="V551" s="97"/>
      <c r="W551" s="97"/>
      <c r="X551" s="1295"/>
      <c r="Y551" s="1523"/>
      <c r="Z551" s="1583"/>
      <c r="AC551" s="280"/>
      <c r="AD551" s="280"/>
      <c r="AE551" s="280"/>
      <c r="AF551" s="280"/>
      <c r="AG551" s="280"/>
      <c r="AH551" s="280"/>
      <c r="AI551" s="280"/>
      <c r="AJ551" s="280"/>
      <c r="AK551" s="280"/>
      <c r="AL551" s="280"/>
      <c r="AM551" s="280"/>
      <c r="AN551" s="280"/>
      <c r="AO551" s="280"/>
      <c r="AP551" s="280"/>
      <c r="AQ551" s="280"/>
      <c r="AR551" s="280"/>
      <c r="AS551" s="280"/>
      <c r="BJ551" s="1184" t="s">
        <v>4763</v>
      </c>
    </row>
    <row r="552" spans="1:62" x14ac:dyDescent="0.3">
      <c r="A552" s="1200">
        <v>6</v>
      </c>
      <c r="B552" s="1208">
        <v>605.20000000000005</v>
      </c>
      <c r="C552" s="1203"/>
      <c r="D552" s="1203"/>
      <c r="E552" s="1203"/>
      <c r="F552" s="1203" t="s">
        <v>122</v>
      </c>
      <c r="G552" s="1202" t="str">
        <f t="shared" si="160"/>
        <v/>
      </c>
      <c r="H552" s="1204" t="s">
        <v>4386</v>
      </c>
      <c r="I552" s="141"/>
      <c r="J552" s="140"/>
      <c r="K552" s="241" t="s">
        <v>122</v>
      </c>
      <c r="L552" s="234" t="s">
        <v>709</v>
      </c>
      <c r="M552" s="300"/>
      <c r="N552" s="283"/>
      <c r="O552" s="283"/>
      <c r="P552" s="97"/>
      <c r="Q552" s="97"/>
      <c r="R552" s="97"/>
      <c r="S552" s="97"/>
      <c r="T552" s="97"/>
      <c r="U552" s="97"/>
      <c r="V552" s="97"/>
      <c r="W552" s="97"/>
      <c r="X552" s="1295"/>
      <c r="Y552" s="1523"/>
      <c r="Z552" s="1583"/>
      <c r="AC552" s="280"/>
      <c r="AD552" s="280"/>
      <c r="AE552" s="280"/>
      <c r="AF552" s="280"/>
      <c r="AG552" s="280"/>
      <c r="AH552" s="280"/>
      <c r="AI552" s="280"/>
      <c r="AJ552" s="280"/>
      <c r="AK552" s="280"/>
      <c r="AL552" s="280"/>
      <c r="AM552" s="280"/>
      <c r="AN552" s="280"/>
      <c r="AO552" s="280"/>
      <c r="AP552" s="280"/>
      <c r="AQ552" s="280"/>
      <c r="AR552" s="280"/>
      <c r="AS552" s="280"/>
      <c r="BJ552" s="1184" t="s">
        <v>4763</v>
      </c>
    </row>
    <row r="553" spans="1:62" x14ac:dyDescent="0.3">
      <c r="A553" s="1200">
        <v>6</v>
      </c>
      <c r="B553" s="1208">
        <v>605.20000000000005</v>
      </c>
      <c r="C553" s="1203"/>
      <c r="D553" s="1203"/>
      <c r="E553" s="1203"/>
      <c r="F553" s="1203" t="s">
        <v>123</v>
      </c>
      <c r="G553" s="1202" t="str">
        <f t="shared" si="160"/>
        <v/>
      </c>
      <c r="H553" s="1204" t="s">
        <v>4386</v>
      </c>
      <c r="I553" s="141"/>
      <c r="J553" s="140"/>
      <c r="K553" s="115" t="s">
        <v>123</v>
      </c>
      <c r="L553" s="1305" t="s">
        <v>710</v>
      </c>
      <c r="M553" s="300"/>
      <c r="N553" s="283"/>
      <c r="O553" s="283"/>
      <c r="P553" s="97"/>
      <c r="Q553" s="97"/>
      <c r="R553" s="97"/>
      <c r="S553" s="97"/>
      <c r="T553" s="97"/>
      <c r="U553" s="97"/>
      <c r="V553" s="97"/>
      <c r="W553" s="97"/>
      <c r="X553" s="1295"/>
      <c r="Y553" s="1523"/>
      <c r="Z553" s="1583"/>
      <c r="AC553" s="280"/>
      <c r="AD553" s="280"/>
      <c r="AE553" s="280"/>
      <c r="AF553" s="280"/>
      <c r="AG553" s="280"/>
      <c r="AH553" s="280"/>
      <c r="AI553" s="280"/>
      <c r="AJ553" s="280"/>
      <c r="AK553" s="280"/>
      <c r="AL553" s="280"/>
      <c r="AM553" s="280"/>
      <c r="AN553" s="280"/>
      <c r="AO553" s="280"/>
      <c r="AP553" s="280"/>
      <c r="AQ553" s="280"/>
      <c r="AR553" s="280"/>
      <c r="AS553" s="280"/>
      <c r="BJ553" s="1184" t="s">
        <v>4763</v>
      </c>
    </row>
    <row r="554" spans="1:62" x14ac:dyDescent="0.3">
      <c r="A554" s="1200">
        <v>6</v>
      </c>
      <c r="B554" s="1208">
        <v>605.20000000000005</v>
      </c>
      <c r="C554" s="1203"/>
      <c r="D554" s="1203"/>
      <c r="E554" s="1203"/>
      <c r="F554" s="1203" t="s">
        <v>123</v>
      </c>
      <c r="G554" s="1202" t="str">
        <f t="shared" si="160"/>
        <v/>
      </c>
      <c r="H554" s="1204" t="s">
        <v>4386</v>
      </c>
      <c r="I554" s="141"/>
      <c r="J554" s="140"/>
      <c r="K554" s="210"/>
      <c r="L554" s="1305"/>
      <c r="M554" s="300"/>
      <c r="N554" s="283"/>
      <c r="O554" s="283"/>
      <c r="P554" s="97"/>
      <c r="Q554" s="97"/>
      <c r="R554" s="97"/>
      <c r="S554" s="97"/>
      <c r="T554" s="97"/>
      <c r="U554" s="97"/>
      <c r="V554" s="97"/>
      <c r="W554" s="97"/>
      <c r="X554" s="1295"/>
      <c r="Y554" s="1523"/>
      <c r="Z554" s="1583"/>
      <c r="AC554" s="280"/>
      <c r="AD554" s="280"/>
      <c r="AE554" s="280"/>
      <c r="AF554" s="280"/>
      <c r="AG554" s="280"/>
      <c r="AH554" s="280"/>
      <c r="AI554" s="280"/>
      <c r="AJ554" s="280"/>
      <c r="AK554" s="280"/>
      <c r="AL554" s="280"/>
      <c r="AM554" s="280"/>
      <c r="AN554" s="280"/>
      <c r="AO554" s="280"/>
      <c r="AP554" s="280"/>
      <c r="AQ554" s="280"/>
      <c r="AR554" s="280"/>
      <c r="AS554" s="280"/>
      <c r="BJ554" s="1184" t="s">
        <v>4763</v>
      </c>
    </row>
    <row r="555" spans="1:62" ht="15" thickBot="1" x14ac:dyDescent="0.35">
      <c r="A555" s="1200">
        <v>6</v>
      </c>
      <c r="B555" s="1208">
        <v>605.20000000000005</v>
      </c>
      <c r="C555" s="1203"/>
      <c r="D555" s="1203"/>
      <c r="E555" s="1203"/>
      <c r="F555" s="1203" t="s">
        <v>123</v>
      </c>
      <c r="G555" s="1202" t="str">
        <f t="shared" si="160"/>
        <v/>
      </c>
      <c r="H555" s="1204" t="s">
        <v>4386</v>
      </c>
      <c r="I555" s="141"/>
      <c r="J555" s="140"/>
      <c r="K555" s="98"/>
      <c r="L555" s="1305"/>
      <c r="M555" s="300"/>
      <c r="N555" s="283"/>
      <c r="O555" s="283"/>
      <c r="P555" s="97"/>
      <c r="Q555" s="97"/>
      <c r="R555" s="97"/>
      <c r="S555" s="97"/>
      <c r="T555" s="97"/>
      <c r="U555" s="97"/>
      <c r="V555" s="97"/>
      <c r="W555" s="97"/>
      <c r="X555" s="1337"/>
      <c r="Y555" s="1524"/>
      <c r="Z555" s="1584"/>
      <c r="AC555" s="280"/>
      <c r="AD555" s="280"/>
      <c r="AE555" s="280"/>
      <c r="AF555" s="280"/>
      <c r="AG555" s="280"/>
      <c r="AH555" s="280"/>
      <c r="AI555" s="280"/>
      <c r="AJ555" s="280"/>
      <c r="AK555" s="280"/>
      <c r="AL555" s="280"/>
      <c r="AM555" s="280"/>
      <c r="AN555" s="280"/>
      <c r="AO555" s="280"/>
      <c r="AP555" s="280"/>
      <c r="AQ555" s="280"/>
      <c r="AR555" s="280"/>
      <c r="AS555" s="280"/>
      <c r="BJ555" s="1184" t="s">
        <v>4763</v>
      </c>
    </row>
    <row r="556" spans="1:62" ht="15" thickTop="1" x14ac:dyDescent="0.3">
      <c r="A556" s="1200">
        <v>6</v>
      </c>
      <c r="B556" s="1208">
        <v>605.29999999999995</v>
      </c>
      <c r="C556" s="1203"/>
      <c r="D556" s="1203"/>
      <c r="E556" s="1203"/>
      <c r="F556" s="1203"/>
      <c r="G556" s="1202" t="str">
        <f>IF(N556&gt;0,"P","")</f>
        <v>P</v>
      </c>
      <c r="H556" s="1200" t="s">
        <v>4386</v>
      </c>
      <c r="I556" s="200">
        <v>605.29999999999995</v>
      </c>
      <c r="J556" s="201"/>
      <c r="K556" s="202"/>
      <c r="L556" s="1331" t="s">
        <v>711</v>
      </c>
      <c r="M556" s="1343" t="s">
        <v>712</v>
      </c>
      <c r="N556" s="1528">
        <f>'Ch6'!O302</f>
        <v>4</v>
      </c>
      <c r="O556" s="1528">
        <f>IF(COUNTIF(W560:W568,TRUE)&lt;2,0,MIN(6,(COUNTIF(W560:W568,TRUE)+1)))</f>
        <v>0</v>
      </c>
      <c r="P556" s="97" t="b">
        <v>1</v>
      </c>
      <c r="Q556" s="97" t="b">
        <v>1</v>
      </c>
      <c r="R556" s="110" t="b">
        <v>0</v>
      </c>
      <c r="S556" s="110" t="b">
        <v>1</v>
      </c>
      <c r="T556" s="110" t="b">
        <v>0</v>
      </c>
      <c r="U556" s="110"/>
      <c r="V556" s="110"/>
      <c r="W556" s="110"/>
      <c r="X556" s="110"/>
      <c r="Y556"/>
      <c r="Z556" s="1055"/>
      <c r="AC556" s="280"/>
      <c r="AD556" s="280"/>
      <c r="AE556" s="280"/>
      <c r="AF556" s="280"/>
      <c r="AG556" s="280"/>
      <c r="AH556" s="280"/>
      <c r="AI556" s="280"/>
      <c r="AJ556" s="280"/>
      <c r="AK556" s="280"/>
      <c r="AL556" s="311" t="str">
        <f>SUBSTITUTE(SUBSTITUTE(SUBSTITUTE("vpa"&amp;$B556&amp;$C556&amp;$D556&amp;$E556&amp;$F556,".","_"),"(","_"),")","")</f>
        <v>vpa605_3</v>
      </c>
      <c r="AM556" s="311" t="str">
        <f>M556</f>
        <v>6 Max</v>
      </c>
      <c r="AN556" s="311" t="str">
        <f>SUBSTITUTE(SUBSTITUTE(SUBSTITUTE("vpc"&amp;$B556&amp;$C556&amp;$D556&amp;$E556&amp;$F556,".","_"),"(","_"),")","")</f>
        <v>vpc605_3</v>
      </c>
      <c r="AO556" s="311">
        <f>O556</f>
        <v>0</v>
      </c>
      <c r="AP556" s="311"/>
      <c r="AQ556" s="311"/>
      <c r="AR556" s="280"/>
      <c r="AS556" s="280"/>
      <c r="BJ556" s="1184" t="s">
        <v>4763</v>
      </c>
    </row>
    <row r="557" spans="1:62" x14ac:dyDescent="0.3">
      <c r="A557" s="1200">
        <v>6</v>
      </c>
      <c r="B557" s="1208">
        <v>605.29999999999995</v>
      </c>
      <c r="C557" s="1203"/>
      <c r="D557" s="1203"/>
      <c r="E557" s="1203"/>
      <c r="F557" s="1203"/>
      <c r="G557" s="1202" t="str">
        <f t="shared" ref="G557:G569" si="161">G556</f>
        <v>P</v>
      </c>
      <c r="H557" s="1200" t="s">
        <v>4386</v>
      </c>
      <c r="I557" s="141"/>
      <c r="J557" s="140"/>
      <c r="K557" s="98"/>
      <c r="L557" s="1313"/>
      <c r="M557" s="1318"/>
      <c r="N557" s="1473"/>
      <c r="O557" s="1473"/>
      <c r="P557" s="97"/>
      <c r="Q557" s="97"/>
      <c r="R557" s="97"/>
      <c r="S557" s="97"/>
      <c r="T557" s="97"/>
      <c r="U557" s="97"/>
      <c r="V557" s="97"/>
      <c r="W557" s="97"/>
      <c r="X557" s="97"/>
      <c r="Y557"/>
      <c r="Z557" s="1055"/>
      <c r="AC557" s="280"/>
      <c r="AD557" s="280"/>
      <c r="AE557" s="280"/>
      <c r="AF557" s="280"/>
      <c r="AG557" s="280"/>
      <c r="AH557" s="280"/>
      <c r="AI557" s="280"/>
      <c r="AJ557" s="280"/>
      <c r="AK557" s="280"/>
      <c r="AL557" s="280"/>
      <c r="AM557" s="280"/>
      <c r="AN557" s="280"/>
      <c r="AO557" s="280"/>
      <c r="AP557" s="280"/>
      <c r="AQ557" s="280"/>
      <c r="AR557" s="280"/>
      <c r="AS557" s="280"/>
      <c r="BJ557" s="1184" t="s">
        <v>4763</v>
      </c>
    </row>
    <row r="558" spans="1:62" x14ac:dyDescent="0.3">
      <c r="A558" s="1200">
        <v>6</v>
      </c>
      <c r="B558" s="1208">
        <v>605.29999999999995</v>
      </c>
      <c r="C558" s="1203"/>
      <c r="D558" s="1203"/>
      <c r="E558" s="1203" t="s">
        <v>271</v>
      </c>
      <c r="F558" s="1203"/>
      <c r="G558" s="1202" t="str">
        <f t="shared" si="161"/>
        <v>P</v>
      </c>
      <c r="H558" s="1200" t="s">
        <v>4386</v>
      </c>
      <c r="I558" s="66"/>
      <c r="J558" s="231" t="s">
        <v>271</v>
      </c>
      <c r="K558" s="193"/>
      <c r="L558" s="193" t="s">
        <v>713</v>
      </c>
      <c r="M558" s="301">
        <v>3</v>
      </c>
      <c r="N558" s="282"/>
      <c r="O558" s="282"/>
      <c r="P558" s="280"/>
      <c r="Q558" s="280"/>
      <c r="R558" s="280"/>
      <c r="S558" s="280"/>
      <c r="T558" s="280"/>
      <c r="U558" s="280"/>
      <c r="V558" s="280"/>
      <c r="W558" s="280"/>
      <c r="X558" s="280"/>
      <c r="Y558"/>
      <c r="Z558" s="1055"/>
      <c r="AC558" s="280"/>
      <c r="AD558" s="280"/>
      <c r="AE558" s="280"/>
      <c r="AF558" s="280"/>
      <c r="AG558" s="280"/>
      <c r="AH558" s="280"/>
      <c r="AI558" s="280"/>
      <c r="AJ558" s="280"/>
      <c r="AK558" s="280"/>
      <c r="AL558" s="311" t="str">
        <f t="shared" ref="AL558:AL559" si="162">SUBSTITUTE(SUBSTITUTE(SUBSTITUTE("vpa"&amp;$B558&amp;$C558&amp;$D558&amp;$E558&amp;$F558,".","_"),"(","_"),")","")</f>
        <v>vpa605_3_1</v>
      </c>
      <c r="AM558" s="311">
        <f>M558</f>
        <v>3</v>
      </c>
      <c r="AN558" s="280"/>
      <c r="AO558" s="280"/>
      <c r="AP558" s="280"/>
      <c r="AQ558" s="280"/>
      <c r="AR558" s="280"/>
      <c r="AS558" s="280"/>
      <c r="BJ558" s="1184" t="s">
        <v>4763</v>
      </c>
    </row>
    <row r="559" spans="1:62" x14ac:dyDescent="0.3">
      <c r="A559" s="1200">
        <v>6</v>
      </c>
      <c r="B559" s="1208">
        <v>605.29999999999995</v>
      </c>
      <c r="C559" s="1203"/>
      <c r="D559" s="1203"/>
      <c r="E559" s="1203" t="s">
        <v>273</v>
      </c>
      <c r="F559" s="1203"/>
      <c r="G559" s="1202" t="str">
        <f t="shared" si="161"/>
        <v>P</v>
      </c>
      <c r="H559" s="1200" t="s">
        <v>4386</v>
      </c>
      <c r="I559" s="66"/>
      <c r="J559" s="27" t="s">
        <v>273</v>
      </c>
      <c r="K559" s="86"/>
      <c r="L559" s="86" t="s">
        <v>714</v>
      </c>
      <c r="M559" s="305">
        <v>1</v>
      </c>
      <c r="N559" s="282"/>
      <c r="O559" s="282"/>
      <c r="P559" s="280"/>
      <c r="Q559" s="280"/>
      <c r="R559" s="280"/>
      <c r="S559" s="280"/>
      <c r="T559" s="280"/>
      <c r="U559" s="280"/>
      <c r="V559" s="280"/>
      <c r="W559" s="280"/>
      <c r="X559" s="280"/>
      <c r="Y559"/>
      <c r="Z559" s="1055"/>
      <c r="AC559" s="280"/>
      <c r="AD559" s="280"/>
      <c r="AE559" s="280"/>
      <c r="AF559" s="280"/>
      <c r="AG559" s="280"/>
      <c r="AH559" s="280"/>
      <c r="AI559" s="280"/>
      <c r="AJ559" s="280"/>
      <c r="AK559" s="280"/>
      <c r="AL559" s="311" t="str">
        <f t="shared" si="162"/>
        <v>vpa605_3_2</v>
      </c>
      <c r="AM559" s="311">
        <f>M559</f>
        <v>1</v>
      </c>
      <c r="AN559" s="280"/>
      <c r="AO559" s="280"/>
      <c r="AP559" s="280"/>
      <c r="AQ559" s="280"/>
      <c r="AR559" s="280"/>
      <c r="AS559" s="280"/>
      <c r="BJ559" s="1184" t="s">
        <v>4763</v>
      </c>
    </row>
    <row r="560" spans="1:62" x14ac:dyDescent="0.3">
      <c r="A560" s="1200">
        <v>6</v>
      </c>
      <c r="B560" s="1208">
        <v>605.29999999999995</v>
      </c>
      <c r="C560" s="1203"/>
      <c r="D560" s="1203"/>
      <c r="E560" s="1203" t="s">
        <v>273</v>
      </c>
      <c r="F560" s="1203" t="s">
        <v>121</v>
      </c>
      <c r="G560" s="1202" t="str">
        <f t="shared" si="161"/>
        <v>P</v>
      </c>
      <c r="H560" s="1200" t="s">
        <v>4386</v>
      </c>
      <c r="I560" s="66"/>
      <c r="J560" s="4"/>
      <c r="K560" s="192" t="s">
        <v>121</v>
      </c>
      <c r="L560" s="193" t="s">
        <v>3271</v>
      </c>
      <c r="M560" s="305"/>
      <c r="N560" s="282"/>
      <c r="O560" s="282"/>
      <c r="P560" s="97" t="b">
        <v>1</v>
      </c>
      <c r="Q560" s="97" t="b">
        <v>1</v>
      </c>
      <c r="R560" s="280" t="b">
        <v>0</v>
      </c>
      <c r="S560" s="280" t="b">
        <v>1</v>
      </c>
      <c r="T560" s="280" t="b">
        <v>0</v>
      </c>
      <c r="U560" s="280"/>
      <c r="V560" s="280"/>
      <c r="W560" s="25"/>
      <c r="X560" s="1303"/>
      <c r="Y560" s="1522" t="str">
        <f>IF(LEN('Ch6'!X306)=0,"None",'Ch6'!X306)</f>
        <v>None</v>
      </c>
      <c r="Z560" s="1586"/>
      <c r="AC560" s="280"/>
      <c r="AD560" s="280"/>
      <c r="AE560" s="280"/>
      <c r="AF560" s="280"/>
      <c r="AG560" s="280"/>
      <c r="AH560" s="280"/>
      <c r="AI560" s="280"/>
      <c r="AJ560" s="280"/>
      <c r="AK560" s="280"/>
      <c r="AL560" s="280"/>
      <c r="AM560" s="280"/>
      <c r="AN560" s="280"/>
      <c r="AO560" s="280"/>
      <c r="AP560" s="311" t="str">
        <f t="shared" ref="AP560:AP568" si="163">SUBSTITUTE(SUBSTITUTE(SUBSTITUTE("vch"&amp;$B560&amp;$C560&amp;$D560&amp;$E560&amp;$F560,".","_"),"(","_"),")","")</f>
        <v>vch605_3_2_a</v>
      </c>
      <c r="AQ560" s="311">
        <f t="shared" ref="AQ560:AQ568" si="164">W560</f>
        <v>0</v>
      </c>
      <c r="AR560" s="311" t="str">
        <f>SUBSTITUTE(SUBSTITUTE(SUBSTITUTE("vnt"&amp;$B560&amp;$C560&amp;$D560&amp;$E560&amp;$F560,".","_"),"(","_"),")","")</f>
        <v>vnt605_3_2_a</v>
      </c>
      <c r="AS560" s="311">
        <f>X560</f>
        <v>0</v>
      </c>
      <c r="BJ560" s="1184" t="s">
        <v>4763</v>
      </c>
    </row>
    <row r="561" spans="1:62" x14ac:dyDescent="0.3">
      <c r="A561" s="1200">
        <v>6</v>
      </c>
      <c r="B561" s="1208">
        <v>605.29999999999995</v>
      </c>
      <c r="C561" s="1203"/>
      <c r="D561" s="1203"/>
      <c r="E561" s="1203" t="s">
        <v>273</v>
      </c>
      <c r="F561" s="1203" t="s">
        <v>122</v>
      </c>
      <c r="G561" s="1202" t="str">
        <f t="shared" si="161"/>
        <v>P</v>
      </c>
      <c r="H561" s="1200" t="s">
        <v>4386</v>
      </c>
      <c r="I561" s="66"/>
      <c r="J561" s="4"/>
      <c r="K561" s="241" t="s">
        <v>122</v>
      </c>
      <c r="L561" s="234" t="s">
        <v>3272</v>
      </c>
      <c r="M561" s="305"/>
      <c r="N561" s="282"/>
      <c r="O561" s="282"/>
      <c r="P561" s="97" t="b">
        <v>1</v>
      </c>
      <c r="Q561" s="97" t="b">
        <v>1</v>
      </c>
      <c r="R561" s="280" t="b">
        <v>0</v>
      </c>
      <c r="S561" s="280" t="b">
        <v>1</v>
      </c>
      <c r="T561" s="280" t="b">
        <v>0</v>
      </c>
      <c r="U561" s="280"/>
      <c r="V561" s="280"/>
      <c r="W561" s="25"/>
      <c r="X561" s="1303"/>
      <c r="Y561" s="1522"/>
      <c r="Z561" s="1586"/>
      <c r="AC561" s="280"/>
      <c r="AD561" s="280"/>
      <c r="AE561" s="280"/>
      <c r="AF561" s="280"/>
      <c r="AG561" s="280"/>
      <c r="AH561" s="280"/>
      <c r="AI561" s="280"/>
      <c r="AJ561" s="280"/>
      <c r="AK561" s="280"/>
      <c r="AL561" s="280"/>
      <c r="AM561" s="280"/>
      <c r="AN561" s="280"/>
      <c r="AO561" s="280"/>
      <c r="AP561" s="311" t="str">
        <f t="shared" si="163"/>
        <v>vch605_3_2_b</v>
      </c>
      <c r="AQ561" s="311">
        <f t="shared" si="164"/>
        <v>0</v>
      </c>
      <c r="AR561" s="280"/>
      <c r="AS561" s="280"/>
      <c r="BJ561" s="1184" t="s">
        <v>4763</v>
      </c>
    </row>
    <row r="562" spans="1:62" x14ac:dyDescent="0.3">
      <c r="A562" s="1200">
        <v>6</v>
      </c>
      <c r="B562" s="1208">
        <v>605.29999999999995</v>
      </c>
      <c r="C562" s="1203"/>
      <c r="D562" s="1203"/>
      <c r="E562" s="1203" t="s">
        <v>273</v>
      </c>
      <c r="F562" s="1203" t="s">
        <v>123</v>
      </c>
      <c r="G562" s="1202" t="str">
        <f t="shared" si="161"/>
        <v>P</v>
      </c>
      <c r="H562" s="1200" t="s">
        <v>4386</v>
      </c>
      <c r="I562" s="66"/>
      <c r="J562" s="4"/>
      <c r="K562" s="247" t="s">
        <v>123</v>
      </c>
      <c r="L562" s="234" t="s">
        <v>3273</v>
      </c>
      <c r="M562" s="305"/>
      <c r="N562" s="282"/>
      <c r="O562" s="282"/>
      <c r="P562" s="97" t="b">
        <v>1</v>
      </c>
      <c r="Q562" s="97" t="b">
        <v>1</v>
      </c>
      <c r="R562" s="280" t="b">
        <v>0</v>
      </c>
      <c r="S562" s="280" t="b">
        <v>1</v>
      </c>
      <c r="T562" s="280" t="b">
        <v>0</v>
      </c>
      <c r="U562" s="280"/>
      <c r="V562" s="280"/>
      <c r="W562" s="25"/>
      <c r="X562" s="1303"/>
      <c r="Y562" s="1522"/>
      <c r="Z562" s="1586"/>
      <c r="AC562" s="280"/>
      <c r="AD562" s="280"/>
      <c r="AE562" s="280"/>
      <c r="AF562" s="280"/>
      <c r="AG562" s="280"/>
      <c r="AH562" s="280"/>
      <c r="AI562" s="280"/>
      <c r="AJ562" s="280"/>
      <c r="AK562" s="280"/>
      <c r="AL562" s="280"/>
      <c r="AM562" s="280"/>
      <c r="AN562" s="280"/>
      <c r="AO562" s="280"/>
      <c r="AP562" s="311" t="str">
        <f t="shared" si="163"/>
        <v>vch605_3_2_c</v>
      </c>
      <c r="AQ562" s="311">
        <f t="shared" si="164"/>
        <v>0</v>
      </c>
      <c r="AR562" s="280"/>
      <c r="AS562" s="280"/>
      <c r="BJ562" s="1184" t="s">
        <v>4763</v>
      </c>
    </row>
    <row r="563" spans="1:62" x14ac:dyDescent="0.3">
      <c r="A563" s="1200">
        <v>6</v>
      </c>
      <c r="B563" s="1208">
        <v>605.29999999999995</v>
      </c>
      <c r="C563" s="1203"/>
      <c r="D563" s="1203"/>
      <c r="E563" s="1203" t="s">
        <v>273</v>
      </c>
      <c r="F563" s="1203" t="s">
        <v>423</v>
      </c>
      <c r="G563" s="1202" t="str">
        <f t="shared" si="161"/>
        <v>P</v>
      </c>
      <c r="H563" s="1200" t="s">
        <v>4386</v>
      </c>
      <c r="I563" s="66"/>
      <c r="J563" s="4"/>
      <c r="K563" s="248" t="s">
        <v>423</v>
      </c>
      <c r="L563" s="234" t="s">
        <v>3274</v>
      </c>
      <c r="M563" s="305"/>
      <c r="N563" s="282"/>
      <c r="O563" s="282"/>
      <c r="P563" s="97" t="b">
        <v>1</v>
      </c>
      <c r="Q563" s="97" t="b">
        <v>1</v>
      </c>
      <c r="R563" s="280" t="b">
        <v>0</v>
      </c>
      <c r="S563" s="280" t="b">
        <v>1</v>
      </c>
      <c r="T563" s="280" t="b">
        <v>0</v>
      </c>
      <c r="U563" s="280"/>
      <c r="V563" s="280"/>
      <c r="W563" s="25"/>
      <c r="X563" s="1303"/>
      <c r="Y563" s="1522"/>
      <c r="Z563" s="1586"/>
      <c r="AC563" s="280"/>
      <c r="AD563" s="280"/>
      <c r="AE563" s="280"/>
      <c r="AF563" s="280"/>
      <c r="AG563" s="280"/>
      <c r="AH563" s="280"/>
      <c r="AI563" s="280"/>
      <c r="AJ563" s="280"/>
      <c r="AK563" s="280"/>
      <c r="AL563" s="280"/>
      <c r="AM563" s="280"/>
      <c r="AN563" s="280"/>
      <c r="AO563" s="280"/>
      <c r="AP563" s="311" t="str">
        <f t="shared" si="163"/>
        <v>vch605_3_2_d</v>
      </c>
      <c r="AQ563" s="311">
        <f t="shared" si="164"/>
        <v>0</v>
      </c>
      <c r="AR563" s="280"/>
      <c r="AS563" s="280"/>
      <c r="BJ563" s="1184" t="s">
        <v>4763</v>
      </c>
    </row>
    <row r="564" spans="1:62" x14ac:dyDescent="0.3">
      <c r="A564" s="1200">
        <v>6</v>
      </c>
      <c r="B564" s="1208">
        <v>605.29999999999995</v>
      </c>
      <c r="C564" s="1203"/>
      <c r="D564" s="1203"/>
      <c r="E564" s="1203" t="s">
        <v>273</v>
      </c>
      <c r="F564" s="1203" t="s">
        <v>578</v>
      </c>
      <c r="G564" s="1202" t="str">
        <f t="shared" si="161"/>
        <v>P</v>
      </c>
      <c r="H564" s="1200" t="s">
        <v>4386</v>
      </c>
      <c r="I564" s="66"/>
      <c r="J564" s="4"/>
      <c r="K564" s="241" t="s">
        <v>578</v>
      </c>
      <c r="L564" s="234" t="s">
        <v>3275</v>
      </c>
      <c r="M564" s="305"/>
      <c r="N564" s="282"/>
      <c r="O564" s="282"/>
      <c r="P564" s="97" t="b">
        <v>1</v>
      </c>
      <c r="Q564" s="97" t="b">
        <v>1</v>
      </c>
      <c r="R564" s="280" t="b">
        <v>0</v>
      </c>
      <c r="S564" s="280" t="b">
        <v>1</v>
      </c>
      <c r="T564" s="280" t="b">
        <v>0</v>
      </c>
      <c r="U564" s="280"/>
      <c r="V564" s="280"/>
      <c r="W564" s="25"/>
      <c r="X564" s="1303"/>
      <c r="Y564" s="1522"/>
      <c r="Z564" s="1586"/>
      <c r="AC564" s="280"/>
      <c r="AD564" s="280"/>
      <c r="AE564" s="280"/>
      <c r="AF564" s="280"/>
      <c r="AG564" s="280"/>
      <c r="AH564" s="280"/>
      <c r="AI564" s="280"/>
      <c r="AJ564" s="280"/>
      <c r="AK564" s="280"/>
      <c r="AL564" s="280"/>
      <c r="AM564" s="280"/>
      <c r="AN564" s="280"/>
      <c r="AO564" s="280"/>
      <c r="AP564" s="311" t="str">
        <f t="shared" si="163"/>
        <v>vch605_3_2_e</v>
      </c>
      <c r="AQ564" s="311">
        <f t="shared" si="164"/>
        <v>0</v>
      </c>
      <c r="AR564" s="280"/>
      <c r="AS564" s="280"/>
      <c r="BJ564" s="1184" t="s">
        <v>4763</v>
      </c>
    </row>
    <row r="565" spans="1:62" x14ac:dyDescent="0.3">
      <c r="A565" s="1200">
        <v>6</v>
      </c>
      <c r="B565" s="1208">
        <v>605.29999999999995</v>
      </c>
      <c r="C565" s="1203"/>
      <c r="D565" s="1203"/>
      <c r="E565" s="1203" t="s">
        <v>273</v>
      </c>
      <c r="F565" s="1203" t="s">
        <v>645</v>
      </c>
      <c r="G565" s="1202" t="str">
        <f t="shared" si="161"/>
        <v>P</v>
      </c>
      <c r="H565" s="1200" t="s">
        <v>4386</v>
      </c>
      <c r="I565" s="66"/>
      <c r="J565" s="4"/>
      <c r="K565" s="241" t="s">
        <v>645</v>
      </c>
      <c r="L565" s="234" t="s">
        <v>3276</v>
      </c>
      <c r="M565" s="305"/>
      <c r="N565" s="282"/>
      <c r="O565" s="282"/>
      <c r="P565" s="97" t="b">
        <v>1</v>
      </c>
      <c r="Q565" s="97" t="b">
        <v>1</v>
      </c>
      <c r="R565" s="280" t="b">
        <v>0</v>
      </c>
      <c r="S565" s="280" t="b">
        <v>1</v>
      </c>
      <c r="T565" s="280" t="b">
        <v>0</v>
      </c>
      <c r="U565" s="280"/>
      <c r="V565" s="280"/>
      <c r="W565" s="25"/>
      <c r="X565" s="1303"/>
      <c r="Y565" s="1522"/>
      <c r="Z565" s="1586"/>
      <c r="AC565" s="280"/>
      <c r="AD565" s="280"/>
      <c r="AE565" s="280"/>
      <c r="AF565" s="280"/>
      <c r="AG565" s="280"/>
      <c r="AH565" s="280"/>
      <c r="AI565" s="280"/>
      <c r="AJ565" s="280"/>
      <c r="AK565" s="280"/>
      <c r="AL565" s="280"/>
      <c r="AM565" s="280"/>
      <c r="AN565" s="280"/>
      <c r="AO565" s="280"/>
      <c r="AP565" s="311" t="str">
        <f t="shared" si="163"/>
        <v>vch605_3_2_f</v>
      </c>
      <c r="AQ565" s="311">
        <f t="shared" si="164"/>
        <v>0</v>
      </c>
      <c r="AR565" s="280"/>
      <c r="AS565" s="280"/>
      <c r="BJ565" s="1184" t="s">
        <v>4763</v>
      </c>
    </row>
    <row r="566" spans="1:62" x14ac:dyDescent="0.3">
      <c r="A566" s="1200">
        <v>6</v>
      </c>
      <c r="B566" s="1208">
        <v>605.29999999999995</v>
      </c>
      <c r="C566" s="1203"/>
      <c r="D566" s="1203"/>
      <c r="E566" s="1203" t="s">
        <v>273</v>
      </c>
      <c r="F566" s="1203" t="s">
        <v>647</v>
      </c>
      <c r="G566" s="1202" t="str">
        <f t="shared" si="161"/>
        <v>P</v>
      </c>
      <c r="H566" s="1200" t="s">
        <v>4386</v>
      </c>
      <c r="I566" s="66"/>
      <c r="J566" s="4"/>
      <c r="K566" s="247" t="s">
        <v>647</v>
      </c>
      <c r="L566" s="234" t="s">
        <v>3277</v>
      </c>
      <c r="M566" s="305"/>
      <c r="N566" s="282"/>
      <c r="O566" s="282"/>
      <c r="P566" s="97" t="b">
        <v>1</v>
      </c>
      <c r="Q566" s="97" t="b">
        <v>1</v>
      </c>
      <c r="R566" s="280" t="b">
        <v>0</v>
      </c>
      <c r="S566" s="280" t="b">
        <v>1</v>
      </c>
      <c r="T566" s="280" t="b">
        <v>0</v>
      </c>
      <c r="U566" s="280"/>
      <c r="V566" s="280"/>
      <c r="W566" s="25"/>
      <c r="X566" s="1303"/>
      <c r="Y566" s="1522"/>
      <c r="Z566" s="1586"/>
      <c r="AC566" s="280"/>
      <c r="AD566" s="280"/>
      <c r="AE566" s="280"/>
      <c r="AF566" s="280"/>
      <c r="AG566" s="280"/>
      <c r="AH566" s="280"/>
      <c r="AI566" s="280"/>
      <c r="AJ566" s="280"/>
      <c r="AK566" s="280"/>
      <c r="AL566" s="280"/>
      <c r="AM566" s="280"/>
      <c r="AN566" s="280"/>
      <c r="AO566" s="280"/>
      <c r="AP566" s="311" t="str">
        <f t="shared" si="163"/>
        <v>vch605_3_2_g</v>
      </c>
      <c r="AQ566" s="311">
        <f t="shared" si="164"/>
        <v>0</v>
      </c>
      <c r="AR566" s="280"/>
      <c r="AS566" s="280"/>
      <c r="BJ566" s="1184" t="s">
        <v>4763</v>
      </c>
    </row>
    <row r="567" spans="1:62" x14ac:dyDescent="0.3">
      <c r="A567" s="1200">
        <v>6</v>
      </c>
      <c r="B567" s="1208">
        <v>605.29999999999995</v>
      </c>
      <c r="C567" s="1203"/>
      <c r="D567" s="1203"/>
      <c r="E567" s="1203" t="s">
        <v>273</v>
      </c>
      <c r="F567" s="1203" t="s">
        <v>649</v>
      </c>
      <c r="G567" s="1202" t="str">
        <f t="shared" si="161"/>
        <v>P</v>
      </c>
      <c r="H567" s="1200" t="s">
        <v>4386</v>
      </c>
      <c r="I567" s="66"/>
      <c r="J567" s="280"/>
      <c r="K567" s="248" t="s">
        <v>649</v>
      </c>
      <c r="L567" s="234" t="s">
        <v>3278</v>
      </c>
      <c r="M567" s="280"/>
      <c r="N567" s="282"/>
      <c r="O567" s="282"/>
      <c r="P567" s="97" t="b">
        <v>1</v>
      </c>
      <c r="Q567" s="97" t="b">
        <v>1</v>
      </c>
      <c r="R567" s="280" t="b">
        <v>0</v>
      </c>
      <c r="S567" s="280" t="b">
        <v>1</v>
      </c>
      <c r="T567" s="280" t="b">
        <v>0</v>
      </c>
      <c r="U567" s="280"/>
      <c r="V567" s="280"/>
      <c r="W567" s="25"/>
      <c r="X567" s="281"/>
      <c r="Y567" s="312" t="str">
        <f>IF(LEN('Ch6'!X313)=0,"None",'Ch6'!X313)</f>
        <v>None</v>
      </c>
      <c r="Z567" s="1169"/>
      <c r="AC567" s="280" t="b">
        <f>OR(AD567:AE567)</f>
        <v>0</v>
      </c>
      <c r="AD567" s="985" t="b">
        <f>T567</f>
        <v>0</v>
      </c>
      <c r="AE567" s="280" t="b">
        <f>AND(W567=TRUE,LEN(X567)=0)</f>
        <v>0</v>
      </c>
      <c r="AF567" s="1182" t="b">
        <f>AND(AE567,NOT(Q567))</f>
        <v>0</v>
      </c>
      <c r="AG567" s="280"/>
      <c r="AH567" s="280"/>
      <c r="AI567" s="280"/>
      <c r="AJ567" s="280"/>
      <c r="AK567" s="280"/>
      <c r="AL567" s="280"/>
      <c r="AM567" s="280"/>
      <c r="AN567" s="280"/>
      <c r="AO567" s="280"/>
      <c r="AP567" s="311" t="str">
        <f t="shared" si="163"/>
        <v>vch605_3_2_h</v>
      </c>
      <c r="AQ567" s="311">
        <f t="shared" si="164"/>
        <v>0</v>
      </c>
      <c r="AR567" s="311" t="str">
        <f t="shared" ref="AR567:AR568" si="165">SUBSTITUTE(SUBSTITUTE(SUBSTITUTE("vnt"&amp;$B567&amp;$C567&amp;$D567&amp;$E567&amp;$F567,".","_"),"(","_"),")","")</f>
        <v>vnt605_3_2_h</v>
      </c>
      <c r="AS567" s="311">
        <f>X567</f>
        <v>0</v>
      </c>
      <c r="BJ567" s="1184" t="s">
        <v>4763</v>
      </c>
    </row>
    <row r="568" spans="1:62" x14ac:dyDescent="0.3">
      <c r="A568" s="1200">
        <v>6</v>
      </c>
      <c r="B568" s="1208">
        <v>605.29999999999995</v>
      </c>
      <c r="C568" s="1203"/>
      <c r="D568" s="1203"/>
      <c r="E568" s="1203" t="s">
        <v>273</v>
      </c>
      <c r="F568" s="1203" t="s">
        <v>985</v>
      </c>
      <c r="G568" s="1202" t="str">
        <f t="shared" si="161"/>
        <v>P</v>
      </c>
      <c r="H568" s="1200" t="s">
        <v>4386</v>
      </c>
      <c r="I568" s="66"/>
      <c r="J568" s="280"/>
      <c r="K568" s="88" t="s">
        <v>985</v>
      </c>
      <c r="L568" s="86" t="s">
        <v>3278</v>
      </c>
      <c r="M568" s="280"/>
      <c r="N568" s="282"/>
      <c r="O568" s="282"/>
      <c r="P568" s="97" t="b">
        <v>1</v>
      </c>
      <c r="Q568" s="97" t="b">
        <v>1</v>
      </c>
      <c r="R568" s="280" t="b">
        <v>0</v>
      </c>
      <c r="S568" s="280" t="b">
        <v>1</v>
      </c>
      <c r="T568" s="280" t="b">
        <v>0</v>
      </c>
      <c r="U568" s="280"/>
      <c r="V568" s="280"/>
      <c r="W568" s="25"/>
      <c r="X568" s="281"/>
      <c r="Y568" s="312" t="str">
        <f>IF(LEN('Ch6'!X314)=0,"None",'Ch6'!X314)</f>
        <v>None</v>
      </c>
      <c r="Z568" s="1169"/>
      <c r="AC568" s="280" t="b">
        <f>OR(AD568:AE568)</f>
        <v>0</v>
      </c>
      <c r="AD568" s="985" t="b">
        <f>T568</f>
        <v>0</v>
      </c>
      <c r="AE568" s="280" t="b">
        <f>AND(W568=TRUE,LEN(X568)=0)</f>
        <v>0</v>
      </c>
      <c r="AF568" s="1182" t="b">
        <f>AND(AE568,NOT(Q568))</f>
        <v>0</v>
      </c>
      <c r="AG568" s="280"/>
      <c r="AH568" s="280"/>
      <c r="AI568" s="280"/>
      <c r="AJ568" s="280"/>
      <c r="AK568" s="280"/>
      <c r="AL568" s="280"/>
      <c r="AM568" s="280"/>
      <c r="AN568" s="280"/>
      <c r="AO568" s="280"/>
      <c r="AP568" s="311" t="str">
        <f t="shared" si="163"/>
        <v>vch605_3_2_i</v>
      </c>
      <c r="AQ568" s="311">
        <f t="shared" si="164"/>
        <v>0</v>
      </c>
      <c r="AR568" s="311" t="str">
        <f t="shared" si="165"/>
        <v>vnt605_3_2_i</v>
      </c>
      <c r="AS568" s="311">
        <f>X568</f>
        <v>0</v>
      </c>
      <c r="BJ568" s="1184" t="s">
        <v>4763</v>
      </c>
    </row>
    <row r="569" spans="1:62" x14ac:dyDescent="0.3">
      <c r="A569" s="1200">
        <v>6</v>
      </c>
      <c r="B569" s="1208">
        <v>605.29999999999995</v>
      </c>
      <c r="C569" s="1203"/>
      <c r="D569" s="1203"/>
      <c r="E569" s="1203"/>
      <c r="F569" s="1203"/>
      <c r="G569" s="1202" t="str">
        <f t="shared" si="161"/>
        <v>P</v>
      </c>
      <c r="H569" s="1200" t="s">
        <v>4386</v>
      </c>
      <c r="I569" s="66"/>
      <c r="J569" s="280"/>
      <c r="K569" s="88"/>
      <c r="L569" s="291" t="s">
        <v>3279</v>
      </c>
      <c r="M569" s="280"/>
      <c r="N569" s="282"/>
      <c r="O569" s="282"/>
      <c r="P569" s="280"/>
      <c r="Q569" s="280"/>
      <c r="R569" s="280"/>
      <c r="S569" s="280"/>
      <c r="T569" s="280"/>
      <c r="U569" s="280"/>
      <c r="V569" s="280"/>
      <c r="W569" s="280"/>
      <c r="X569" s="280"/>
      <c r="Z569" s="1055"/>
      <c r="AC569" s="280"/>
      <c r="AD569" s="280"/>
      <c r="AE569" s="280"/>
      <c r="AF569" s="280"/>
      <c r="AG569" s="280"/>
      <c r="AH569" s="280"/>
      <c r="AI569" s="280"/>
      <c r="AJ569" s="280"/>
      <c r="AK569" s="280"/>
      <c r="AL569" s="280"/>
      <c r="AM569" s="280"/>
      <c r="AN569" s="280"/>
      <c r="AO569" s="280"/>
      <c r="AP569" s="280"/>
      <c r="AQ569" s="280"/>
      <c r="AR569" s="280"/>
      <c r="AS569" s="280"/>
      <c r="BJ569" s="1184" t="s">
        <v>4763</v>
      </c>
    </row>
    <row r="570" spans="1:62" ht="18" x14ac:dyDescent="0.35">
      <c r="A570" s="1200">
        <v>6</v>
      </c>
      <c r="B570" s="1208">
        <v>606</v>
      </c>
      <c r="C570" s="1203"/>
      <c r="D570" s="1203"/>
      <c r="E570" s="1203"/>
      <c r="F570" s="1203"/>
      <c r="G570" s="1202" t="s">
        <v>4389</v>
      </c>
      <c r="H570" s="1200" t="s">
        <v>4386</v>
      </c>
      <c r="I570" s="14" t="s">
        <v>715</v>
      </c>
      <c r="J570" s="23"/>
      <c r="K570" s="85"/>
      <c r="L570" s="82"/>
      <c r="M570" s="71"/>
      <c r="N570" s="71"/>
      <c r="O570" s="71"/>
      <c r="P570" s="23"/>
      <c r="Q570" s="23"/>
      <c r="R570" s="23"/>
      <c r="S570" s="23"/>
      <c r="T570" s="23"/>
      <c r="U570" s="23"/>
      <c r="V570" s="23"/>
      <c r="W570" s="23"/>
      <c r="X570" s="23"/>
      <c r="Y570" s="23"/>
      <c r="Z570" s="1168"/>
      <c r="AC570" s="280"/>
      <c r="AD570" s="280"/>
      <c r="AE570" s="280"/>
      <c r="AF570" s="280"/>
      <c r="AG570" s="280"/>
      <c r="AH570" s="280"/>
      <c r="AI570" s="280"/>
      <c r="AJ570" s="280"/>
      <c r="AK570" s="280"/>
      <c r="AL570" s="280"/>
      <c r="AM570" s="280"/>
      <c r="AN570" s="280"/>
      <c r="AO570" s="280"/>
      <c r="AP570" s="280"/>
      <c r="AQ570" s="280"/>
      <c r="AR570" s="280"/>
      <c r="AS570" s="280"/>
      <c r="BJ570" s="1184" t="s">
        <v>4763</v>
      </c>
    </row>
    <row r="571" spans="1:62" ht="15" thickBot="1" x14ac:dyDescent="0.35">
      <c r="A571" s="1200">
        <v>6</v>
      </c>
      <c r="B571" s="1208" t="s">
        <v>4434</v>
      </c>
      <c r="C571" s="1203"/>
      <c r="D571" s="1203"/>
      <c r="E571" s="1203"/>
      <c r="F571" s="1203"/>
      <c r="G571" s="1200"/>
      <c r="H571" s="1200"/>
      <c r="I571" s="81" t="s">
        <v>4434</v>
      </c>
      <c r="J571" s="4"/>
      <c r="K571" s="86"/>
      <c r="L571" s="88" t="s">
        <v>716</v>
      </c>
      <c r="M571" s="305"/>
      <c r="N571" s="282"/>
      <c r="O571" s="282"/>
      <c r="P571" s="280"/>
      <c r="Q571" s="280"/>
      <c r="R571" s="280"/>
      <c r="S571" s="280"/>
      <c r="T571" s="280"/>
      <c r="U571" s="280"/>
      <c r="V571" s="280"/>
      <c r="W571" s="280"/>
      <c r="X571" s="280"/>
      <c r="Y571" s="104"/>
      <c r="Z571" s="1172"/>
      <c r="AC571" s="280"/>
      <c r="AD571" s="280"/>
      <c r="AE571" s="280"/>
      <c r="AF571" s="280"/>
      <c r="AG571" s="280"/>
      <c r="AH571" s="280"/>
      <c r="AI571" s="280"/>
      <c r="AJ571" s="280"/>
      <c r="AK571" s="280"/>
      <c r="AL571" s="280"/>
      <c r="AM571" s="280"/>
      <c r="AN571" s="280"/>
      <c r="AO571" s="280"/>
      <c r="AP571" s="280"/>
      <c r="AQ571" s="280"/>
      <c r="AR571" s="280"/>
      <c r="AS571" s="280"/>
      <c r="BJ571" s="1184" t="s">
        <v>4763</v>
      </c>
    </row>
    <row r="572" spans="1:62" ht="15" thickTop="1" x14ac:dyDescent="0.3">
      <c r="A572" s="1200">
        <v>6</v>
      </c>
      <c r="B572" s="1208">
        <v>606.1</v>
      </c>
      <c r="C572" s="1203"/>
      <c r="D572" s="1203"/>
      <c r="E572" s="1203"/>
      <c r="F572" s="1203"/>
      <c r="G572" s="1202" t="str">
        <f ca="1">IF(N572&gt;0,"P","")</f>
        <v>P</v>
      </c>
      <c r="H572" s="1200" t="s">
        <v>4386</v>
      </c>
      <c r="I572" s="200">
        <v>606.1</v>
      </c>
      <c r="J572" s="201"/>
      <c r="K572" s="202"/>
      <c r="L572" s="135" t="s">
        <v>717</v>
      </c>
      <c r="M572" s="306"/>
      <c r="N572" s="1528">
        <f ca="1">'Ch6'!O318</f>
        <v>6</v>
      </c>
      <c r="O572" s="1528">
        <f ca="1">MIN(8,IF(R585&gt;1,6+R585+R583-2,IF(R585+R583&gt;1,3+MIN(2,R583+R585-2),0)))</f>
        <v>0</v>
      </c>
      <c r="P572" s="110"/>
      <c r="Q572" s="110"/>
      <c r="R572" s="110"/>
      <c r="S572" s="110"/>
      <c r="T572" s="110"/>
      <c r="U572" s="110"/>
      <c r="V572" s="110"/>
      <c r="W572" s="110"/>
      <c r="X572" s="110"/>
      <c r="Z572" s="1055"/>
      <c r="AC572" s="280"/>
      <c r="AD572" s="280"/>
      <c r="AE572" s="280"/>
      <c r="AF572" s="280"/>
      <c r="AG572" s="280"/>
      <c r="AH572" s="280"/>
      <c r="AI572" s="280"/>
      <c r="AJ572" s="280"/>
      <c r="AK572" s="280"/>
      <c r="AL572" s="280"/>
      <c r="AM572" s="280"/>
      <c r="AN572" s="311" t="str">
        <f>SUBSTITUTE(SUBSTITUTE(SUBSTITUTE("vpc"&amp;$B572&amp;$C572&amp;$D572&amp;$E572&amp;$F572,".","_"),"(","_"),")","")</f>
        <v>vpc606_1</v>
      </c>
      <c r="AO572" s="311">
        <f ca="1">O572</f>
        <v>0</v>
      </c>
      <c r="AP572" s="280"/>
      <c r="AQ572" s="280"/>
      <c r="AR572" s="280"/>
      <c r="AS572" s="280"/>
      <c r="BJ572" s="1184" t="s">
        <v>4763</v>
      </c>
    </row>
    <row r="573" spans="1:62" x14ac:dyDescent="0.3">
      <c r="A573" s="1200">
        <v>6</v>
      </c>
      <c r="B573" s="1208">
        <v>606.1</v>
      </c>
      <c r="C573" s="1203"/>
      <c r="D573" s="1203"/>
      <c r="E573" s="1203"/>
      <c r="F573" s="1203" t="s">
        <v>121</v>
      </c>
      <c r="G573" s="1202" t="str">
        <f t="shared" ref="G573:G588" ca="1" si="166">G572</f>
        <v>P</v>
      </c>
      <c r="H573" s="1204" t="s">
        <v>4386</v>
      </c>
      <c r="I573" s="141"/>
      <c r="J573" s="140"/>
      <c r="K573" s="94" t="s">
        <v>121</v>
      </c>
      <c r="L573" s="98" t="s">
        <v>718</v>
      </c>
      <c r="M573" s="300"/>
      <c r="N573" s="1473"/>
      <c r="O573" s="1473"/>
      <c r="P573" s="97" t="b">
        <v>1</v>
      </c>
      <c r="Q573" s="97" t="b">
        <v>1</v>
      </c>
      <c r="R573" s="97" t="b">
        <v>0</v>
      </c>
      <c r="S573" s="97" t="b">
        <f>OR(NOT(ISBLANK(W600)),NOT(ISBLANK(W601)),NOT(ISBLANK(W603)),NOT(ISBLANK(W604)))</f>
        <v>0</v>
      </c>
      <c r="T573" s="97" t="b">
        <f>IF(AND(NOT(S573),LEN(W573)&gt;0),TRUE,FALSE)</f>
        <v>0</v>
      </c>
      <c r="U573" s="97" t="str">
        <f t="shared" ref="U573:U580" si="167">SUBSTITUTE(SUBSTITUTE(SUBSTITUTE("dd"&amp;B573&amp;C573&amp;D573&amp;E573&amp;F573,".","_"),"(","_"),")","")</f>
        <v>dd606_1_a</v>
      </c>
      <c r="V573" s="97"/>
      <c r="W573" s="12"/>
      <c r="X573" s="1295"/>
      <c r="Y573" s="1523" t="str">
        <f>IF(LEN('Ch6'!X319)=0,"None",'Ch6'!X319)</f>
        <v>None</v>
      </c>
      <c r="Z573" s="1583"/>
      <c r="AC573" s="280" t="b">
        <f>OR(AD573:AE573)</f>
        <v>0</v>
      </c>
      <c r="AD573" s="280" t="b">
        <f>T573</f>
        <v>0</v>
      </c>
      <c r="AE573" s="280"/>
      <c r="AF573" s="280"/>
      <c r="AG573" s="280"/>
      <c r="AH573" s="280"/>
      <c r="AI573" s="280"/>
      <c r="AJ573" s="280"/>
      <c r="AK573" s="280"/>
      <c r="AL573" s="280"/>
      <c r="AM573" s="280"/>
      <c r="AN573" s="280"/>
      <c r="AO573" s="280"/>
      <c r="AP573" s="311" t="str">
        <f t="shared" ref="AP573:AP580" si="168">SUBSTITUTE(SUBSTITUTE(SUBSTITUTE("vch"&amp;$B573&amp;$C573&amp;$D573&amp;$E573&amp;$F573,".","_"),"(","_"),")","")</f>
        <v>vch606_1_a</v>
      </c>
      <c r="AQ573" s="311">
        <f t="shared" ref="AQ573:AQ580" si="169">W573</f>
        <v>0</v>
      </c>
      <c r="AR573" s="311" t="str">
        <f>SUBSTITUTE(SUBSTITUTE(SUBSTITUTE("vnt"&amp;$B573&amp;$C573&amp;$D573&amp;$E573&amp;$F573,".","_"),"(","_"),")","")</f>
        <v>vnt606_1_a</v>
      </c>
      <c r="AS573" s="311">
        <f>X573</f>
        <v>0</v>
      </c>
      <c r="BJ573" s="1184" t="s">
        <v>4763</v>
      </c>
    </row>
    <row r="574" spans="1:62" x14ac:dyDescent="0.3">
      <c r="A574" s="1200">
        <v>6</v>
      </c>
      <c r="B574" s="1208">
        <v>606.1</v>
      </c>
      <c r="C574" s="1203"/>
      <c r="D574" s="1203"/>
      <c r="E574" s="1203"/>
      <c r="F574" s="1203" t="s">
        <v>122</v>
      </c>
      <c r="G574" s="1202" t="str">
        <f t="shared" ca="1" si="166"/>
        <v>P</v>
      </c>
      <c r="H574" s="1204" t="s">
        <v>4386</v>
      </c>
      <c r="I574" s="141"/>
      <c r="J574" s="140"/>
      <c r="K574" s="94" t="s">
        <v>122</v>
      </c>
      <c r="L574" s="98" t="s">
        <v>719</v>
      </c>
      <c r="M574" s="300"/>
      <c r="N574" s="1473"/>
      <c r="O574" s="1473"/>
      <c r="P574" s="97" t="b">
        <v>1</v>
      </c>
      <c r="Q574" s="97" t="b">
        <v>1</v>
      </c>
      <c r="R574" s="97" t="b">
        <v>0</v>
      </c>
      <c r="S574" s="97" t="b">
        <v>1</v>
      </c>
      <c r="T574" s="97" t="b">
        <v>0</v>
      </c>
      <c r="U574" s="97" t="str">
        <f t="shared" si="167"/>
        <v>dd606_1_b</v>
      </c>
      <c r="V574" s="97"/>
      <c r="W574" s="12"/>
      <c r="X574" s="1295"/>
      <c r="Y574" s="1523"/>
      <c r="Z574" s="1583"/>
      <c r="AC574" s="280"/>
      <c r="AD574" s="280"/>
      <c r="AE574" s="280"/>
      <c r="AF574" s="280"/>
      <c r="AG574" s="280"/>
      <c r="AH574" s="280"/>
      <c r="AI574" s="280"/>
      <c r="AJ574" s="280"/>
      <c r="AK574" s="280"/>
      <c r="AL574" s="280"/>
      <c r="AM574" s="280"/>
      <c r="AN574" s="280"/>
      <c r="AO574" s="280"/>
      <c r="AP574" s="311" t="str">
        <f t="shared" si="168"/>
        <v>vch606_1_b</v>
      </c>
      <c r="AQ574" s="311">
        <f t="shared" si="169"/>
        <v>0</v>
      </c>
      <c r="AR574" s="280"/>
      <c r="AS574" s="280"/>
      <c r="BJ574" s="1184" t="s">
        <v>4763</v>
      </c>
    </row>
    <row r="575" spans="1:62" x14ac:dyDescent="0.3">
      <c r="A575" s="1200">
        <v>6</v>
      </c>
      <c r="B575" s="1208">
        <v>606.1</v>
      </c>
      <c r="C575" s="1203"/>
      <c r="D575" s="1203"/>
      <c r="E575" s="1203"/>
      <c r="F575" s="1205" t="s">
        <v>123</v>
      </c>
      <c r="G575" s="1202" t="str">
        <f t="shared" ca="1" si="166"/>
        <v>P</v>
      </c>
      <c r="H575" s="1206" t="s">
        <v>4386</v>
      </c>
      <c r="I575" s="141"/>
      <c r="J575" s="140"/>
      <c r="K575" s="115" t="s">
        <v>123</v>
      </c>
      <c r="L575" s="98" t="s">
        <v>720</v>
      </c>
      <c r="M575" s="300"/>
      <c r="N575" s="1473"/>
      <c r="O575" s="1473"/>
      <c r="P575" s="97" t="b">
        <v>1</v>
      </c>
      <c r="Q575" s="97" t="b">
        <v>1</v>
      </c>
      <c r="R575" s="97" t="b">
        <v>0</v>
      </c>
      <c r="S575" s="97" t="b">
        <v>1</v>
      </c>
      <c r="T575" s="97" t="b">
        <v>0</v>
      </c>
      <c r="U575" s="97" t="str">
        <f t="shared" si="167"/>
        <v>dd606_1_c</v>
      </c>
      <c r="V575" s="97"/>
      <c r="W575" s="12"/>
      <c r="X575" s="1295"/>
      <c r="Y575" s="1523"/>
      <c r="Z575" s="1583"/>
      <c r="AC575" s="280"/>
      <c r="AD575" s="280"/>
      <c r="AE575" s="280"/>
      <c r="AF575" s="280"/>
      <c r="AG575" s="280"/>
      <c r="AH575" s="280"/>
      <c r="AI575" s="280"/>
      <c r="AJ575" s="280"/>
      <c r="AK575" s="280"/>
      <c r="AL575" s="280"/>
      <c r="AM575" s="280"/>
      <c r="AN575" s="280"/>
      <c r="AO575" s="280"/>
      <c r="AP575" s="311" t="str">
        <f t="shared" si="168"/>
        <v>vch606_1_c</v>
      </c>
      <c r="AQ575" s="311">
        <f t="shared" si="169"/>
        <v>0</v>
      </c>
      <c r="AR575" s="280"/>
      <c r="AS575" s="280"/>
      <c r="BJ575" s="1184" t="s">
        <v>4763</v>
      </c>
    </row>
    <row r="576" spans="1:62" x14ac:dyDescent="0.3">
      <c r="A576" s="1200">
        <v>6</v>
      </c>
      <c r="B576" s="1208">
        <v>606.1</v>
      </c>
      <c r="C576" s="1203"/>
      <c r="D576" s="1203"/>
      <c r="E576" s="1203"/>
      <c r="F576" s="1203" t="s">
        <v>423</v>
      </c>
      <c r="G576" s="1202" t="str">
        <f t="shared" ca="1" si="166"/>
        <v>P</v>
      </c>
      <c r="H576" s="1200" t="s">
        <v>4386</v>
      </c>
      <c r="I576" s="141"/>
      <c r="J576" s="140"/>
      <c r="K576" s="210" t="s">
        <v>423</v>
      </c>
      <c r="L576" s="98" t="s">
        <v>721</v>
      </c>
      <c r="M576" s="300"/>
      <c r="N576" s="1473"/>
      <c r="O576" s="1473"/>
      <c r="P576" s="97" t="b">
        <v>1</v>
      </c>
      <c r="Q576" s="97" t="b">
        <v>1</v>
      </c>
      <c r="R576" s="97" t="b">
        <v>0</v>
      </c>
      <c r="S576" s="97" t="b">
        <v>1</v>
      </c>
      <c r="T576" s="97" t="b">
        <v>0</v>
      </c>
      <c r="U576" s="97" t="str">
        <f t="shared" si="167"/>
        <v>dd606_1_d</v>
      </c>
      <c r="V576" s="97"/>
      <c r="W576" s="12"/>
      <c r="X576" s="1295"/>
      <c r="Y576" s="1523"/>
      <c r="Z576" s="1583"/>
      <c r="AC576" s="280"/>
      <c r="AD576" s="280"/>
      <c r="AE576" s="280"/>
      <c r="AF576" s="280"/>
      <c r="AG576" s="280"/>
      <c r="AH576" s="280"/>
      <c r="AI576" s="280"/>
      <c r="AJ576" s="280"/>
      <c r="AK576" s="280"/>
      <c r="AL576" s="280"/>
      <c r="AM576" s="280"/>
      <c r="AN576" s="280"/>
      <c r="AO576" s="280"/>
      <c r="AP576" s="311" t="str">
        <f t="shared" si="168"/>
        <v>vch606_1_d</v>
      </c>
      <c r="AQ576" s="311">
        <f t="shared" si="169"/>
        <v>0</v>
      </c>
      <c r="AR576" s="280"/>
      <c r="AS576" s="280"/>
      <c r="BJ576" s="1184" t="s">
        <v>4763</v>
      </c>
    </row>
    <row r="577" spans="1:62" x14ac:dyDescent="0.3">
      <c r="A577" s="1200">
        <v>6</v>
      </c>
      <c r="B577" s="1208">
        <v>606.1</v>
      </c>
      <c r="C577" s="1203"/>
      <c r="D577" s="1203"/>
      <c r="E577" s="1203"/>
      <c r="F577" s="1203" t="s">
        <v>578</v>
      </c>
      <c r="G577" s="1202" t="str">
        <f t="shared" ca="1" si="166"/>
        <v>P</v>
      </c>
      <c r="H577" s="1204" t="s">
        <v>4386</v>
      </c>
      <c r="I577" s="141"/>
      <c r="J577" s="140"/>
      <c r="K577" s="94" t="s">
        <v>578</v>
      </c>
      <c r="L577" s="98" t="s">
        <v>722</v>
      </c>
      <c r="M577" s="300"/>
      <c r="N577" s="1473"/>
      <c r="O577" s="1473"/>
      <c r="P577" s="97" t="b">
        <v>1</v>
      </c>
      <c r="Q577" s="97" t="b">
        <v>1</v>
      </c>
      <c r="R577" s="97" t="b">
        <v>0</v>
      </c>
      <c r="S577" s="97" t="b">
        <v>1</v>
      </c>
      <c r="T577" s="97" t="b">
        <v>0</v>
      </c>
      <c r="U577" s="97" t="str">
        <f t="shared" si="167"/>
        <v>dd606_1_e</v>
      </c>
      <c r="V577" s="97"/>
      <c r="W577" s="12"/>
      <c r="X577" s="1295"/>
      <c r="Y577" s="1523"/>
      <c r="Z577" s="1583"/>
      <c r="AC577" s="280"/>
      <c r="AD577" s="280"/>
      <c r="AE577" s="280"/>
      <c r="AF577" s="280"/>
      <c r="AG577" s="280"/>
      <c r="AH577" s="280"/>
      <c r="AI577" s="280"/>
      <c r="AJ577" s="280"/>
      <c r="AK577" s="280"/>
      <c r="AL577" s="280"/>
      <c r="AM577" s="280"/>
      <c r="AN577" s="280"/>
      <c r="AO577" s="280"/>
      <c r="AP577" s="311" t="str">
        <f t="shared" si="168"/>
        <v>vch606_1_e</v>
      </c>
      <c r="AQ577" s="311">
        <f t="shared" si="169"/>
        <v>0</v>
      </c>
      <c r="AR577" s="280"/>
      <c r="AS577" s="280"/>
      <c r="BJ577" s="1184" t="s">
        <v>4763</v>
      </c>
    </row>
    <row r="578" spans="1:62" x14ac:dyDescent="0.3">
      <c r="A578" s="1200">
        <v>6</v>
      </c>
      <c r="B578" s="1208">
        <v>606.1</v>
      </c>
      <c r="C578" s="1203"/>
      <c r="D578" s="1203"/>
      <c r="E578" s="1203"/>
      <c r="F578" s="1203" t="s">
        <v>645</v>
      </c>
      <c r="G578" s="1202" t="str">
        <f t="shared" ca="1" si="166"/>
        <v>P</v>
      </c>
      <c r="H578" s="1204" t="s">
        <v>4386</v>
      </c>
      <c r="I578" s="141"/>
      <c r="J578" s="140"/>
      <c r="K578" s="94" t="s">
        <v>645</v>
      </c>
      <c r="L578" s="98" t="s">
        <v>723</v>
      </c>
      <c r="M578" s="300"/>
      <c r="N578" s="1473"/>
      <c r="O578" s="1473"/>
      <c r="P578" s="97" t="b">
        <v>1</v>
      </c>
      <c r="Q578" s="97" t="b">
        <v>1</v>
      </c>
      <c r="R578" s="97" t="b">
        <v>0</v>
      </c>
      <c r="S578" s="97" t="b">
        <v>1</v>
      </c>
      <c r="T578" s="97" t="b">
        <v>0</v>
      </c>
      <c r="U578" s="97" t="str">
        <f t="shared" si="167"/>
        <v>dd606_1_f</v>
      </c>
      <c r="V578" s="97"/>
      <c r="W578" s="12"/>
      <c r="X578" s="1295"/>
      <c r="Y578" s="1523"/>
      <c r="Z578" s="1583"/>
      <c r="AC578" s="280"/>
      <c r="AD578" s="280"/>
      <c r="AE578" s="280"/>
      <c r="AF578" s="280"/>
      <c r="AG578" s="280"/>
      <c r="AH578" s="280"/>
      <c r="AI578" s="280"/>
      <c r="AJ578" s="280"/>
      <c r="AK578" s="280"/>
      <c r="AL578" s="280"/>
      <c r="AM578" s="280"/>
      <c r="AN578" s="280"/>
      <c r="AO578" s="280"/>
      <c r="AP578" s="311" t="str">
        <f t="shared" si="168"/>
        <v>vch606_1_f</v>
      </c>
      <c r="AQ578" s="311">
        <f t="shared" si="169"/>
        <v>0</v>
      </c>
      <c r="AR578" s="280"/>
      <c r="AS578" s="280"/>
      <c r="BJ578" s="1184" t="s">
        <v>4763</v>
      </c>
    </row>
    <row r="579" spans="1:62" x14ac:dyDescent="0.3">
      <c r="A579" s="1200">
        <v>6</v>
      </c>
      <c r="B579" s="1208">
        <v>606.1</v>
      </c>
      <c r="C579" s="1203"/>
      <c r="D579" s="1203"/>
      <c r="E579" s="1203"/>
      <c r="F579" s="1205" t="s">
        <v>647</v>
      </c>
      <c r="G579" s="1202" t="str">
        <f t="shared" ca="1" si="166"/>
        <v>P</v>
      </c>
      <c r="H579" s="1206" t="s">
        <v>4386</v>
      </c>
      <c r="I579" s="141"/>
      <c r="J579" s="140"/>
      <c r="K579" s="115" t="s">
        <v>647</v>
      </c>
      <c r="L579" s="98" t="s">
        <v>724</v>
      </c>
      <c r="M579" s="300"/>
      <c r="N579" s="1473"/>
      <c r="O579" s="1473"/>
      <c r="P579" s="97" t="b">
        <v>1</v>
      </c>
      <c r="Q579" s="97" t="b">
        <v>1</v>
      </c>
      <c r="R579" s="97" t="b">
        <v>0</v>
      </c>
      <c r="S579" s="97" t="b">
        <v>1</v>
      </c>
      <c r="T579" s="97" t="b">
        <v>0</v>
      </c>
      <c r="U579" s="97" t="str">
        <f t="shared" si="167"/>
        <v>dd606_1_g</v>
      </c>
      <c r="V579" s="97"/>
      <c r="W579" s="12"/>
      <c r="X579" s="1295"/>
      <c r="Y579" s="1523"/>
      <c r="Z579" s="1583"/>
      <c r="AC579" s="280"/>
      <c r="AD579" s="280"/>
      <c r="AE579" s="280"/>
      <c r="AF579" s="280"/>
      <c r="AG579" s="280"/>
      <c r="AH579" s="280"/>
      <c r="AI579" s="280"/>
      <c r="AJ579" s="280"/>
      <c r="AK579" s="280"/>
      <c r="AL579" s="280"/>
      <c r="AM579" s="280"/>
      <c r="AN579" s="280"/>
      <c r="AO579" s="280"/>
      <c r="AP579" s="311" t="str">
        <f t="shared" si="168"/>
        <v>vch606_1_g</v>
      </c>
      <c r="AQ579" s="311">
        <f t="shared" si="169"/>
        <v>0</v>
      </c>
      <c r="AR579" s="280"/>
      <c r="AS579" s="280"/>
      <c r="BJ579" s="1184" t="s">
        <v>4763</v>
      </c>
    </row>
    <row r="580" spans="1:62" x14ac:dyDescent="0.3">
      <c r="A580" s="1200">
        <v>6</v>
      </c>
      <c r="B580" s="1208">
        <v>606.1</v>
      </c>
      <c r="C580" s="1203"/>
      <c r="D580" s="1203"/>
      <c r="E580" s="1203"/>
      <c r="F580" s="1203" t="s">
        <v>649</v>
      </c>
      <c r="G580" s="1202" t="str">
        <f t="shared" ca="1" si="166"/>
        <v>P</v>
      </c>
      <c r="H580" s="1200" t="s">
        <v>4386</v>
      </c>
      <c r="I580" s="141"/>
      <c r="J580" s="140"/>
      <c r="K580" s="210" t="s">
        <v>649</v>
      </c>
      <c r="L580" s="1305" t="s">
        <v>725</v>
      </c>
      <c r="M580" s="300"/>
      <c r="N580" s="1473"/>
      <c r="O580" s="1473"/>
      <c r="P580" s="97" t="b">
        <v>1</v>
      </c>
      <c r="Q580" s="97" t="b">
        <v>1</v>
      </c>
      <c r="R580" s="97" t="b">
        <v>0</v>
      </c>
      <c r="S580" s="97" t="b">
        <v>1</v>
      </c>
      <c r="T580" s="97" t="b">
        <v>0</v>
      </c>
      <c r="U580" s="97" t="str">
        <f t="shared" si="167"/>
        <v>dd606_1_h</v>
      </c>
      <c r="V580" s="97"/>
      <c r="W580" s="12"/>
      <c r="X580" s="1295"/>
      <c r="Y580" s="1523"/>
      <c r="Z580" s="1583"/>
      <c r="AC580" s="280" t="b">
        <f>OR(AD580:AE580)</f>
        <v>0</v>
      </c>
      <c r="AD580" s="985" t="b">
        <f>T580</f>
        <v>0</v>
      </c>
      <c r="AE580" s="280" t="b">
        <f>AND(NOT(ISBLANK(W580)),LEN(X573)=0)</f>
        <v>0</v>
      </c>
      <c r="AF580" s="1182" t="b">
        <f>AND(AE580,NOT(Q580))</f>
        <v>0</v>
      </c>
      <c r="AG580" s="280"/>
      <c r="AH580" s="280"/>
      <c r="AI580" s="280"/>
      <c r="AJ580" s="280"/>
      <c r="AK580" s="280"/>
      <c r="AL580" s="280"/>
      <c r="AM580" s="280"/>
      <c r="AN580" s="280"/>
      <c r="AO580" s="280"/>
      <c r="AP580" s="311" t="str">
        <f t="shared" si="168"/>
        <v>vch606_1_h</v>
      </c>
      <c r="AQ580" s="311">
        <f t="shared" si="169"/>
        <v>0</v>
      </c>
      <c r="AR580" s="280"/>
      <c r="AS580" s="280"/>
      <c r="BJ580" s="1184" t="s">
        <v>4763</v>
      </c>
    </row>
    <row r="581" spans="1:62" x14ac:dyDescent="0.3">
      <c r="A581" s="1200">
        <v>6</v>
      </c>
      <c r="B581" s="1208">
        <v>606.1</v>
      </c>
      <c r="C581" s="1203"/>
      <c r="D581" s="1203"/>
      <c r="E581" s="1203"/>
      <c r="F581" s="1203" t="s">
        <v>649</v>
      </c>
      <c r="G581" s="1202" t="str">
        <f t="shared" ca="1" si="166"/>
        <v>P</v>
      </c>
      <c r="H581" s="1204" t="s">
        <v>4386</v>
      </c>
      <c r="I581" s="141"/>
      <c r="J581" s="140"/>
      <c r="K581" s="210"/>
      <c r="L581" s="1305"/>
      <c r="M581" s="300"/>
      <c r="N581" s="1473"/>
      <c r="O581" s="1473"/>
      <c r="P581" s="97"/>
      <c r="Q581" s="97"/>
      <c r="R581" s="97"/>
      <c r="S581" s="97"/>
      <c r="T581" s="97"/>
      <c r="U581" s="97"/>
      <c r="V581" s="97"/>
      <c r="W581" s="97"/>
      <c r="X581" s="1295"/>
      <c r="Y581" s="1523"/>
      <c r="Z581" s="1583"/>
      <c r="AC581" s="280"/>
      <c r="AD581" s="280"/>
      <c r="AE581" s="280"/>
      <c r="AF581" s="280"/>
      <c r="AG581" s="280"/>
      <c r="AH581" s="280"/>
      <c r="AI581" s="280"/>
      <c r="AJ581" s="280"/>
      <c r="AK581" s="280"/>
      <c r="AL581" s="280"/>
      <c r="AM581" s="280"/>
      <c r="AN581" s="280"/>
      <c r="AO581" s="280"/>
      <c r="AP581" s="280"/>
      <c r="AQ581" s="280"/>
      <c r="AR581" s="280"/>
      <c r="AS581" s="280"/>
      <c r="BJ581" s="1184" t="s">
        <v>4763</v>
      </c>
    </row>
    <row r="582" spans="1:62" x14ac:dyDescent="0.3">
      <c r="A582" s="1200">
        <v>6</v>
      </c>
      <c r="B582" s="1208">
        <v>606.1</v>
      </c>
      <c r="C582" s="1203"/>
      <c r="D582" s="1203"/>
      <c r="E582" s="1203"/>
      <c r="F582" s="1203"/>
      <c r="G582" s="1202" t="str">
        <f t="shared" ca="1" si="166"/>
        <v>P</v>
      </c>
      <c r="H582" s="1204" t="s">
        <v>4386</v>
      </c>
      <c r="I582" s="141"/>
      <c r="J582" s="140"/>
      <c r="K582" s="210"/>
      <c r="L582" s="303" t="s">
        <v>1305</v>
      </c>
      <c r="M582" s="300"/>
      <c r="N582" s="283"/>
      <c r="O582" s="283"/>
      <c r="P582" s="97"/>
      <c r="Q582" s="97"/>
      <c r="R582" s="97"/>
      <c r="S582" s="97"/>
      <c r="T582" s="97"/>
      <c r="U582" s="97"/>
      <c r="V582" s="97"/>
      <c r="W582" s="97"/>
      <c r="X582" s="1295"/>
      <c r="Y582" s="1523"/>
      <c r="Z582" s="1583"/>
      <c r="AC582" s="280"/>
      <c r="AD582" s="280"/>
      <c r="AE582" s="280"/>
      <c r="AF582" s="280"/>
      <c r="AG582" s="280"/>
      <c r="AH582" s="280"/>
      <c r="AI582" s="280"/>
      <c r="AJ582" s="280"/>
      <c r="AK582" s="280"/>
      <c r="AL582" s="280"/>
      <c r="AM582" s="280"/>
      <c r="AN582" s="280"/>
      <c r="AO582" s="280"/>
      <c r="AP582" s="280"/>
      <c r="AQ582" s="280"/>
      <c r="AR582" s="280"/>
      <c r="AS582" s="280"/>
      <c r="BJ582" s="1184" t="s">
        <v>4763</v>
      </c>
    </row>
    <row r="583" spans="1:62" x14ac:dyDescent="0.3">
      <c r="A583" s="1200">
        <v>6</v>
      </c>
      <c r="B583" s="1208">
        <v>606.1</v>
      </c>
      <c r="C583" s="1203"/>
      <c r="D583" s="1203"/>
      <c r="E583" s="1203" t="s">
        <v>271</v>
      </c>
      <c r="F583" s="1203"/>
      <c r="G583" s="1202" t="str">
        <f t="shared" ca="1" si="166"/>
        <v>P</v>
      </c>
      <c r="H583" s="1200" t="s">
        <v>4386</v>
      </c>
      <c r="I583" s="141"/>
      <c r="J583" s="203" t="s">
        <v>271</v>
      </c>
      <c r="K583" s="98"/>
      <c r="L583" s="1305" t="s">
        <v>726</v>
      </c>
      <c r="M583" s="1318">
        <v>3</v>
      </c>
      <c r="N583" s="283"/>
      <c r="O583" s="283"/>
      <c r="P583" s="97"/>
      <c r="Q583" s="97"/>
      <c r="R583" s="221">
        <f ca="1">COUNTIF(W574:W580,INDEX(INDIRECT(U573),1))+IF(AND(S573,W573=INDEX(INDIRECT(U573),1)),1,0)</f>
        <v>0</v>
      </c>
      <c r="S583" s="97"/>
      <c r="T583" s="97"/>
      <c r="U583" s="97"/>
      <c r="V583" s="97"/>
      <c r="W583" s="97"/>
      <c r="X583" s="1295"/>
      <c r="Y583" s="1523"/>
      <c r="Z583" s="1583"/>
      <c r="AC583" s="280"/>
      <c r="AD583" s="280"/>
      <c r="AE583" s="280"/>
      <c r="AF583" s="280"/>
      <c r="AG583" s="280"/>
      <c r="AH583" s="280"/>
      <c r="AI583" s="280"/>
      <c r="AJ583" s="280"/>
      <c r="AK583" s="280"/>
      <c r="AL583" s="311" t="str">
        <f t="shared" ref="AL583" si="170">SUBSTITUTE(SUBSTITUTE(SUBSTITUTE("vpa"&amp;$B583&amp;$C583&amp;$D583&amp;$E583&amp;$F583,".","_"),"(","_"),")","")</f>
        <v>vpa606_1_1</v>
      </c>
      <c r="AM583" s="311">
        <f>M583</f>
        <v>3</v>
      </c>
      <c r="AN583" s="280"/>
      <c r="AO583" s="280"/>
      <c r="AP583" s="280"/>
      <c r="AQ583" s="280"/>
      <c r="AR583" s="280"/>
      <c r="AS583" s="280"/>
      <c r="BJ583" s="1184" t="s">
        <v>4763</v>
      </c>
    </row>
    <row r="584" spans="1:62" x14ac:dyDescent="0.3">
      <c r="A584" s="1200">
        <v>6</v>
      </c>
      <c r="B584" s="1208">
        <v>606.1</v>
      </c>
      <c r="C584" s="1203"/>
      <c r="D584" s="1203"/>
      <c r="E584" s="1203" t="s">
        <v>271</v>
      </c>
      <c r="F584" s="1203"/>
      <c r="G584" s="1202" t="str">
        <f t="shared" ca="1" si="166"/>
        <v>P</v>
      </c>
      <c r="H584" s="1200" t="s">
        <v>4386</v>
      </c>
      <c r="I584" s="141"/>
      <c r="J584" s="238"/>
      <c r="K584" s="193"/>
      <c r="L584" s="1306"/>
      <c r="M584" s="1319"/>
      <c r="N584" s="283"/>
      <c r="O584" s="283"/>
      <c r="P584" s="97"/>
      <c r="Q584" s="97"/>
      <c r="R584" s="97"/>
      <c r="S584" s="97"/>
      <c r="T584" s="97"/>
      <c r="U584" s="97"/>
      <c r="V584" s="97"/>
      <c r="W584" s="97"/>
      <c r="X584" s="1295"/>
      <c r="Y584" s="1523"/>
      <c r="Z584" s="1583"/>
      <c r="AC584" s="280"/>
      <c r="AD584" s="280"/>
      <c r="AE584" s="280"/>
      <c r="AF584" s="280"/>
      <c r="AG584" s="280"/>
      <c r="AH584" s="280"/>
      <c r="AI584" s="280"/>
      <c r="AJ584" s="280"/>
      <c r="AK584" s="280"/>
      <c r="AL584" s="280"/>
      <c r="AM584" s="280"/>
      <c r="AN584" s="280"/>
      <c r="AO584" s="280"/>
      <c r="AP584" s="280"/>
      <c r="AQ584" s="280"/>
      <c r="AR584" s="280"/>
      <c r="AS584" s="280"/>
      <c r="BJ584" s="1184" t="s">
        <v>4763</v>
      </c>
    </row>
    <row r="585" spans="1:62" x14ac:dyDescent="0.3">
      <c r="A585" s="1200">
        <v>6</v>
      </c>
      <c r="B585" s="1208">
        <v>606.1</v>
      </c>
      <c r="C585" s="1203"/>
      <c r="D585" s="1203"/>
      <c r="E585" s="1203" t="s">
        <v>273</v>
      </c>
      <c r="F585" s="1203"/>
      <c r="G585" s="1202" t="str">
        <f t="shared" ca="1" si="166"/>
        <v>P</v>
      </c>
      <c r="H585" s="1200" t="s">
        <v>4386</v>
      </c>
      <c r="I585" s="141"/>
      <c r="J585" s="237" t="s">
        <v>273</v>
      </c>
      <c r="K585" s="217"/>
      <c r="L585" s="1356" t="s">
        <v>727</v>
      </c>
      <c r="M585" s="1323">
        <v>6</v>
      </c>
      <c r="N585" s="283"/>
      <c r="O585" s="283"/>
      <c r="P585" s="97"/>
      <c r="Q585" s="97"/>
      <c r="R585" s="221">
        <f ca="1">COUNTIF(W574:W580,INDEX(INDIRECT(U573),2))+IF(AND(S573,W573=INDEX(INDIRECT(U573),2)),1,0)</f>
        <v>0</v>
      </c>
      <c r="S585" s="97"/>
      <c r="T585" s="97"/>
      <c r="U585" s="97"/>
      <c r="V585" s="97"/>
      <c r="W585" s="97"/>
      <c r="X585" s="1295"/>
      <c r="Y585" s="1523"/>
      <c r="Z585" s="1583"/>
      <c r="AC585" s="280"/>
      <c r="AD585" s="280"/>
      <c r="AE585" s="280"/>
      <c r="AF585" s="280"/>
      <c r="AG585" s="280"/>
      <c r="AH585" s="280"/>
      <c r="AI585" s="280"/>
      <c r="AJ585" s="280"/>
      <c r="AK585" s="280"/>
      <c r="AL585" s="311" t="str">
        <f t="shared" ref="AL585" si="171">SUBSTITUTE(SUBSTITUTE(SUBSTITUTE("vpa"&amp;$B585&amp;$C585&amp;$D585&amp;$E585&amp;$F585,".","_"),"(","_"),")","")</f>
        <v>vpa606_1_2</v>
      </c>
      <c r="AM585" s="311">
        <f>M585</f>
        <v>6</v>
      </c>
      <c r="AN585" s="280"/>
      <c r="AO585" s="280"/>
      <c r="AP585" s="280"/>
      <c r="AQ585" s="280"/>
      <c r="AR585" s="280"/>
      <c r="AS585" s="280"/>
      <c r="BJ585" s="1184" t="s">
        <v>4763</v>
      </c>
    </row>
    <row r="586" spans="1:62" x14ac:dyDescent="0.3">
      <c r="A586" s="1200">
        <v>6</v>
      </c>
      <c r="B586" s="1208">
        <v>606.1</v>
      </c>
      <c r="C586" s="1203"/>
      <c r="D586" s="1203"/>
      <c r="E586" s="1203" t="s">
        <v>273</v>
      </c>
      <c r="F586" s="1203"/>
      <c r="G586" s="1202" t="str">
        <f t="shared" ca="1" si="166"/>
        <v>P</v>
      </c>
      <c r="H586" s="1200" t="s">
        <v>4386</v>
      </c>
      <c r="I586" s="141"/>
      <c r="J586" s="238"/>
      <c r="K586" s="193"/>
      <c r="L586" s="1306"/>
      <c r="M586" s="1319"/>
      <c r="N586" s="283"/>
      <c r="O586" s="283"/>
      <c r="P586" s="97"/>
      <c r="Q586" s="97"/>
      <c r="R586" s="97"/>
      <c r="S586" s="97"/>
      <c r="T586" s="97"/>
      <c r="U586" s="97"/>
      <c r="V586" s="97"/>
      <c r="W586" s="97"/>
      <c r="X586" s="1295"/>
      <c r="Y586" s="1523"/>
      <c r="Z586" s="1583"/>
      <c r="AC586" s="280"/>
      <c r="AD586" s="280"/>
      <c r="AE586" s="280"/>
      <c r="AF586" s="280"/>
      <c r="AG586" s="280"/>
      <c r="AH586" s="280"/>
      <c r="AI586" s="280"/>
      <c r="AJ586" s="280"/>
      <c r="AK586" s="280"/>
      <c r="AL586" s="280"/>
      <c r="AM586" s="280"/>
      <c r="AN586" s="280"/>
      <c r="AO586" s="280"/>
      <c r="AP586" s="280"/>
      <c r="AQ586" s="280"/>
      <c r="AR586" s="280"/>
      <c r="AS586" s="280"/>
      <c r="BJ586" s="1184" t="s">
        <v>4763</v>
      </c>
    </row>
    <row r="587" spans="1:62" x14ac:dyDescent="0.3">
      <c r="A587" s="1200">
        <v>6</v>
      </c>
      <c r="B587" s="1208">
        <v>606.1</v>
      </c>
      <c r="C587" s="1203"/>
      <c r="D587" s="1203"/>
      <c r="E587" s="1203" t="s">
        <v>275</v>
      </c>
      <c r="F587" s="1203"/>
      <c r="G587" s="1202" t="str">
        <f t="shared" ca="1" si="166"/>
        <v>P</v>
      </c>
      <c r="H587" s="1200" t="s">
        <v>4386</v>
      </c>
      <c r="I587" s="141"/>
      <c r="J587" s="203" t="s">
        <v>275</v>
      </c>
      <c r="K587" s="98"/>
      <c r="L587" s="1305" t="s">
        <v>728</v>
      </c>
      <c r="M587" s="1360" t="s">
        <v>3282</v>
      </c>
      <c r="N587" s="283"/>
      <c r="O587" s="283"/>
      <c r="P587" s="97"/>
      <c r="Q587" s="97"/>
      <c r="R587" s="97"/>
      <c r="S587" s="97"/>
      <c r="T587" s="97"/>
      <c r="U587" s="97"/>
      <c r="V587" s="97"/>
      <c r="W587" s="97"/>
      <c r="X587" s="1295"/>
      <c r="Y587" s="1523"/>
      <c r="Z587" s="1583"/>
      <c r="AC587" s="280"/>
      <c r="AD587" s="280"/>
      <c r="AE587" s="280"/>
      <c r="AF587" s="280"/>
      <c r="AG587" s="280"/>
      <c r="AH587" s="280"/>
      <c r="AI587" s="280"/>
      <c r="AJ587" s="280"/>
      <c r="AK587" s="280"/>
      <c r="AL587" s="311" t="str">
        <f t="shared" ref="AL587" si="172">SUBSTITUTE(SUBSTITUTE(SUBSTITUTE("vpa"&amp;$B587&amp;$C587&amp;$D587&amp;$E587&amp;$F587,".","_"),"(","_"),")","")</f>
        <v>vpa606_1_3</v>
      </c>
      <c r="AM587" s="311" t="str">
        <f>M587</f>
        <v>1
2 Max</v>
      </c>
      <c r="AN587" s="280"/>
      <c r="AO587" s="280"/>
      <c r="AP587" s="280"/>
      <c r="AQ587" s="280"/>
      <c r="AR587" s="280"/>
      <c r="AS587" s="280"/>
      <c r="BJ587" s="1184" t="s">
        <v>4763</v>
      </c>
    </row>
    <row r="588" spans="1:62" ht="15" thickBot="1" x14ac:dyDescent="0.35">
      <c r="A588" s="1200">
        <v>6</v>
      </c>
      <c r="B588" s="1208">
        <v>606.1</v>
      </c>
      <c r="C588" s="1203"/>
      <c r="D588" s="1203"/>
      <c r="E588" s="1203" t="s">
        <v>275</v>
      </c>
      <c r="F588" s="1203"/>
      <c r="G588" s="1202" t="str">
        <f t="shared" ca="1" si="166"/>
        <v>P</v>
      </c>
      <c r="H588" s="1200" t="s">
        <v>4386</v>
      </c>
      <c r="I588" s="141"/>
      <c r="J588" s="140"/>
      <c r="K588" s="98"/>
      <c r="L588" s="1305"/>
      <c r="M588" s="1360"/>
      <c r="N588" s="283"/>
      <c r="O588" s="283"/>
      <c r="P588" s="97"/>
      <c r="Q588" s="97"/>
      <c r="R588" s="97"/>
      <c r="S588" s="97"/>
      <c r="T588" s="97"/>
      <c r="U588" s="97"/>
      <c r="V588" s="97"/>
      <c r="W588" s="97"/>
      <c r="X588" s="1337"/>
      <c r="Y588" s="1524"/>
      <c r="Z588" s="1584"/>
      <c r="AC588" s="280"/>
      <c r="AD588" s="280"/>
      <c r="AE588" s="280"/>
      <c r="AF588" s="280"/>
      <c r="AG588" s="280"/>
      <c r="AH588" s="280"/>
      <c r="AI588" s="280"/>
      <c r="AJ588" s="280"/>
      <c r="AK588" s="280"/>
      <c r="AL588" s="280"/>
      <c r="AM588" s="280"/>
      <c r="AN588" s="280"/>
      <c r="AO588" s="280"/>
      <c r="AP588" s="280"/>
      <c r="AQ588" s="280"/>
      <c r="AR588" s="280"/>
      <c r="AS588" s="280"/>
      <c r="BJ588" s="1184" t="s">
        <v>4763</v>
      </c>
    </row>
    <row r="589" spans="1:62" ht="15" thickTop="1" x14ac:dyDescent="0.3">
      <c r="A589" s="1200">
        <v>6</v>
      </c>
      <c r="B589" s="1208">
        <v>606.20000000000005</v>
      </c>
      <c r="C589" s="1203"/>
      <c r="D589" s="1203"/>
      <c r="E589" s="1203"/>
      <c r="F589" s="1203"/>
      <c r="G589" s="1196" t="str">
        <f>IF(COUNTIF(G600:G603,"P")&gt;0,"P","")</f>
        <v>P</v>
      </c>
      <c r="H589" s="1200" t="s">
        <v>4386</v>
      </c>
      <c r="I589" s="200">
        <v>606.20000000000005</v>
      </c>
      <c r="J589" s="201"/>
      <c r="K589" s="202"/>
      <c r="L589" s="1331" t="s">
        <v>729</v>
      </c>
      <c r="M589" s="306"/>
      <c r="N589" s="296"/>
      <c r="O589" s="296"/>
      <c r="P589" s="110"/>
      <c r="Q589" s="110"/>
      <c r="R589" s="110"/>
      <c r="S589" s="110"/>
      <c r="T589" s="110"/>
      <c r="U589" s="110"/>
      <c r="V589" s="110"/>
      <c r="W589" s="110"/>
      <c r="X589" s="110"/>
      <c r="Z589" s="1055"/>
      <c r="AC589" s="280"/>
      <c r="AD589" s="280"/>
      <c r="AE589" s="280"/>
      <c r="AF589" s="280"/>
      <c r="AG589" s="280"/>
      <c r="AH589" s="280"/>
      <c r="AI589" s="280"/>
      <c r="AJ589" s="280"/>
      <c r="AK589" s="280"/>
      <c r="AL589" s="280"/>
      <c r="AM589" s="280"/>
      <c r="AN589" s="280"/>
      <c r="AO589" s="280"/>
      <c r="AP589" s="280"/>
      <c r="AQ589" s="280"/>
      <c r="AR589" s="280"/>
      <c r="AS589" s="280"/>
      <c r="BJ589" s="1184" t="s">
        <v>4763</v>
      </c>
    </row>
    <row r="590" spans="1:62" x14ac:dyDescent="0.3">
      <c r="A590" s="1200">
        <v>6</v>
      </c>
      <c r="B590" s="1208">
        <v>606.20000000000005</v>
      </c>
      <c r="C590" s="1203"/>
      <c r="D590" s="1203"/>
      <c r="E590" s="1203"/>
      <c r="F590" s="1203"/>
      <c r="G590" s="1202" t="str">
        <f t="shared" ref="G590:G599" si="173">G589</f>
        <v>P</v>
      </c>
      <c r="H590" s="1200" t="s">
        <v>4386</v>
      </c>
      <c r="I590" s="141"/>
      <c r="J590" s="140"/>
      <c r="K590" s="98"/>
      <c r="L590" s="1313"/>
      <c r="M590" s="300"/>
      <c r="N590" s="283"/>
      <c r="O590" s="283"/>
      <c r="P590" s="97"/>
      <c r="Q590" s="97"/>
      <c r="R590" s="97"/>
      <c r="S590" s="97"/>
      <c r="T590" s="97"/>
      <c r="U590" s="97"/>
      <c r="V590" s="97"/>
      <c r="W590" s="97"/>
      <c r="X590" s="97"/>
      <c r="Z590" s="1055"/>
      <c r="AC590" s="280"/>
      <c r="AD590" s="280"/>
      <c r="AE590" s="280"/>
      <c r="AF590" s="280"/>
      <c r="AG590" s="280"/>
      <c r="AH590" s="280"/>
      <c r="AI590" s="280"/>
      <c r="AJ590" s="280"/>
      <c r="AK590" s="280"/>
      <c r="AL590" s="280"/>
      <c r="AM590" s="280"/>
      <c r="AN590" s="280"/>
      <c r="AO590" s="280"/>
      <c r="AP590" s="280"/>
      <c r="AQ590" s="280"/>
      <c r="AR590" s="280"/>
      <c r="AS590" s="280"/>
      <c r="BJ590" s="1184" t="s">
        <v>4763</v>
      </c>
    </row>
    <row r="591" spans="1:62" x14ac:dyDescent="0.3">
      <c r="A591" s="1200">
        <v>6</v>
      </c>
      <c r="B591" s="1208">
        <v>606.20000000000005</v>
      </c>
      <c r="C591" s="1203"/>
      <c r="D591" s="1203"/>
      <c r="E591" s="1203"/>
      <c r="F591" s="1203" t="s">
        <v>121</v>
      </c>
      <c r="G591" s="1202" t="str">
        <f t="shared" si="173"/>
        <v>P</v>
      </c>
      <c r="H591" s="1204" t="s">
        <v>4386</v>
      </c>
      <c r="I591" s="66"/>
      <c r="J591" s="4"/>
      <c r="K591" s="90" t="s">
        <v>121</v>
      </c>
      <c r="L591" s="86" t="s">
        <v>730</v>
      </c>
      <c r="M591" s="305"/>
      <c r="N591" s="282"/>
      <c r="O591" s="282"/>
      <c r="P591" s="280"/>
      <c r="Q591" s="280"/>
      <c r="R591" s="280"/>
      <c r="S591" s="280"/>
      <c r="T591" s="280"/>
      <c r="U591" s="280"/>
      <c r="V591" s="280"/>
      <c r="W591" s="280"/>
      <c r="X591" s="280"/>
      <c r="Z591" s="1055"/>
      <c r="AC591" s="280"/>
      <c r="AD591" s="280"/>
      <c r="AE591" s="280"/>
      <c r="AF591" s="280"/>
      <c r="AG591" s="280"/>
      <c r="AH591" s="280"/>
      <c r="AI591" s="280"/>
      <c r="AJ591" s="280"/>
      <c r="AK591" s="280"/>
      <c r="AL591" s="280"/>
      <c r="AM591" s="280"/>
      <c r="AN591" s="280"/>
      <c r="AO591" s="280"/>
      <c r="AP591" s="280"/>
      <c r="AQ591" s="280"/>
      <c r="AR591" s="280"/>
      <c r="AS591" s="280"/>
      <c r="BJ591" s="1184" t="s">
        <v>4763</v>
      </c>
    </row>
    <row r="592" spans="1:62" x14ac:dyDescent="0.3">
      <c r="A592" s="1200">
        <v>6</v>
      </c>
      <c r="B592" s="1208">
        <v>606.20000000000005</v>
      </c>
      <c r="C592" s="1203"/>
      <c r="D592" s="1203"/>
      <c r="E592" s="1203"/>
      <c r="F592" s="1203" t="s">
        <v>122</v>
      </c>
      <c r="G592" s="1202" t="str">
        <f t="shared" si="173"/>
        <v>P</v>
      </c>
      <c r="H592" s="1204" t="s">
        <v>4386</v>
      </c>
      <c r="I592" s="66"/>
      <c r="J592" s="4"/>
      <c r="K592" s="90" t="s">
        <v>122</v>
      </c>
      <c r="L592" s="1329" t="s">
        <v>731</v>
      </c>
      <c r="M592" s="305"/>
      <c r="N592" s="282"/>
      <c r="O592" s="282"/>
      <c r="P592" s="280"/>
      <c r="Q592" s="280"/>
      <c r="R592" s="280"/>
      <c r="S592" s="280"/>
      <c r="T592" s="280"/>
      <c r="U592" s="280"/>
      <c r="V592" s="280"/>
      <c r="W592" s="280"/>
      <c r="X592" s="280"/>
      <c r="Z592" s="1055"/>
      <c r="AC592" s="280"/>
      <c r="AD592" s="280"/>
      <c r="AE592" s="280"/>
      <c r="AF592" s="280"/>
      <c r="AG592" s="280"/>
      <c r="AH592" s="280"/>
      <c r="AI592" s="280"/>
      <c r="AJ592" s="280"/>
      <c r="AK592" s="280"/>
      <c r="AL592" s="280"/>
      <c r="AM592" s="280"/>
      <c r="AN592" s="280"/>
      <c r="AO592" s="280"/>
      <c r="AP592" s="280"/>
      <c r="AQ592" s="280"/>
      <c r="AR592" s="280"/>
      <c r="AS592" s="280"/>
      <c r="BJ592" s="1184" t="s">
        <v>4763</v>
      </c>
    </row>
    <row r="593" spans="1:62" x14ac:dyDescent="0.3">
      <c r="A593" s="1200">
        <v>6</v>
      </c>
      <c r="B593" s="1208">
        <v>606.20000000000005</v>
      </c>
      <c r="C593" s="1203"/>
      <c r="D593" s="1203"/>
      <c r="E593" s="1203"/>
      <c r="F593" s="1203" t="s">
        <v>122</v>
      </c>
      <c r="G593" s="1202" t="str">
        <f t="shared" si="173"/>
        <v>P</v>
      </c>
      <c r="H593" s="1204" t="s">
        <v>4386</v>
      </c>
      <c r="I593" s="66"/>
      <c r="J593" s="4"/>
      <c r="K593" s="90"/>
      <c r="L593" s="1329"/>
      <c r="M593" s="305"/>
      <c r="N593" s="282"/>
      <c r="O593" s="282"/>
      <c r="P593" s="280"/>
      <c r="Q593" s="280"/>
      <c r="R593" s="280"/>
      <c r="S593" s="280"/>
      <c r="T593" s="280"/>
      <c r="U593" s="280"/>
      <c r="V593" s="280"/>
      <c r="W593" s="280"/>
      <c r="X593" s="280"/>
      <c r="Z593" s="1055"/>
      <c r="AC593" s="280"/>
      <c r="AD593" s="280"/>
      <c r="AE593" s="280"/>
      <c r="AF593" s="280"/>
      <c r="AG593" s="280"/>
      <c r="AH593" s="280"/>
      <c r="AI593" s="280"/>
      <c r="AJ593" s="280"/>
      <c r="AK593" s="280"/>
      <c r="AL593" s="280"/>
      <c r="AM593" s="280"/>
      <c r="AN593" s="280"/>
      <c r="AO593" s="280"/>
      <c r="AP593" s="280"/>
      <c r="AQ593" s="280"/>
      <c r="AR593" s="280"/>
      <c r="AS593" s="280"/>
      <c r="BJ593" s="1184" t="s">
        <v>4763</v>
      </c>
    </row>
    <row r="594" spans="1:62" x14ac:dyDescent="0.3">
      <c r="A594" s="1200">
        <v>6</v>
      </c>
      <c r="B594" s="1208">
        <v>606.20000000000005</v>
      </c>
      <c r="C594" s="1203"/>
      <c r="D594" s="1203"/>
      <c r="E594" s="1203"/>
      <c r="F594" s="1203" t="s">
        <v>123</v>
      </c>
      <c r="G594" s="1202" t="str">
        <f t="shared" si="173"/>
        <v>P</v>
      </c>
      <c r="H594" s="1204" t="s">
        <v>4386</v>
      </c>
      <c r="I594" s="66"/>
      <c r="J594" s="4"/>
      <c r="K594" s="90" t="s">
        <v>123</v>
      </c>
      <c r="L594" s="173" t="s">
        <v>732</v>
      </c>
      <c r="M594" s="305"/>
      <c r="N594" s="282"/>
      <c r="O594" s="282"/>
      <c r="P594" s="280"/>
      <c r="Q594" s="280"/>
      <c r="R594" s="280"/>
      <c r="S594" s="280"/>
      <c r="T594" s="280"/>
      <c r="U594" s="280"/>
      <c r="V594" s="280"/>
      <c r="W594" s="280"/>
      <c r="X594" s="280"/>
      <c r="Z594" s="1055"/>
      <c r="AC594" s="280"/>
      <c r="AD594" s="280"/>
      <c r="AE594" s="280"/>
      <c r="AF594" s="280"/>
      <c r="AG594" s="280"/>
      <c r="AH594" s="280"/>
      <c r="AI594" s="280"/>
      <c r="AJ594" s="280"/>
      <c r="AK594" s="280"/>
      <c r="AL594" s="280"/>
      <c r="AM594" s="280"/>
      <c r="AN594" s="280"/>
      <c r="AO594" s="280"/>
      <c r="AP594" s="280"/>
      <c r="AQ594" s="280"/>
      <c r="AR594" s="280"/>
      <c r="AS594" s="280"/>
      <c r="BJ594" s="1184" t="s">
        <v>4763</v>
      </c>
    </row>
    <row r="595" spans="1:62" x14ac:dyDescent="0.3">
      <c r="A595" s="1200">
        <v>6</v>
      </c>
      <c r="B595" s="1208">
        <v>606.20000000000005</v>
      </c>
      <c r="C595" s="1203"/>
      <c r="D595" s="1203"/>
      <c r="E595" s="1203"/>
      <c r="F595" s="1205" t="s">
        <v>423</v>
      </c>
      <c r="G595" s="1202" t="str">
        <f t="shared" si="173"/>
        <v>P</v>
      </c>
      <c r="H595" s="1206" t="s">
        <v>4386</v>
      </c>
      <c r="I595" s="66"/>
      <c r="J595" s="4"/>
      <c r="K595" s="92" t="s">
        <v>423</v>
      </c>
      <c r="L595" s="173" t="s">
        <v>733</v>
      </c>
      <c r="M595" s="305"/>
      <c r="N595" s="282"/>
      <c r="O595" s="282"/>
      <c r="P595" s="280"/>
      <c r="Q595" s="280"/>
      <c r="R595" s="280"/>
      <c r="S595" s="280"/>
      <c r="T595" s="280"/>
      <c r="U595" s="280"/>
      <c r="V595" s="280"/>
      <c r="W595" s="280"/>
      <c r="X595" s="280"/>
      <c r="Z595" s="1055"/>
      <c r="AC595" s="280"/>
      <c r="AD595" s="280"/>
      <c r="AE595" s="280"/>
      <c r="AF595" s="280"/>
      <c r="AG595" s="280"/>
      <c r="AH595" s="280"/>
      <c r="AI595" s="280"/>
      <c r="AJ595" s="280"/>
      <c r="AK595" s="280"/>
      <c r="AL595" s="280"/>
      <c r="AM595" s="280"/>
      <c r="AN595" s="280"/>
      <c r="AO595" s="280"/>
      <c r="AP595" s="280"/>
      <c r="AQ595" s="280"/>
      <c r="AR595" s="280"/>
      <c r="AS595" s="280"/>
      <c r="BJ595" s="1184" t="s">
        <v>4763</v>
      </c>
    </row>
    <row r="596" spans="1:62" x14ac:dyDescent="0.3">
      <c r="A596" s="1200">
        <v>6</v>
      </c>
      <c r="B596" s="1208">
        <v>606.20000000000005</v>
      </c>
      <c r="C596" s="1203"/>
      <c r="D596" s="1203"/>
      <c r="E596" s="1203"/>
      <c r="F596" s="1203" t="s">
        <v>578</v>
      </c>
      <c r="G596" s="1202" t="str">
        <f t="shared" si="173"/>
        <v>P</v>
      </c>
      <c r="H596" s="1200" t="s">
        <v>4386</v>
      </c>
      <c r="I596" s="66"/>
      <c r="J596" s="4"/>
      <c r="K596" s="88" t="s">
        <v>578</v>
      </c>
      <c r="L596" s="173" t="s">
        <v>734</v>
      </c>
      <c r="M596" s="305"/>
      <c r="N596" s="282"/>
      <c r="O596" s="282"/>
      <c r="P596" s="280"/>
      <c r="Q596" s="280"/>
      <c r="R596" s="280"/>
      <c r="S596" s="280"/>
      <c r="T596" s="280"/>
      <c r="U596" s="280"/>
      <c r="V596" s="280"/>
      <c r="W596" s="280"/>
      <c r="X596" s="280"/>
      <c r="Z596" s="1055"/>
      <c r="AC596" s="280"/>
      <c r="AD596" s="280"/>
      <c r="AE596" s="280"/>
      <c r="AF596" s="280"/>
      <c r="AG596" s="280"/>
      <c r="AH596" s="280"/>
      <c r="AI596" s="280"/>
      <c r="AJ596" s="280"/>
      <c r="AK596" s="280"/>
      <c r="AL596" s="280"/>
      <c r="AM596" s="280"/>
      <c r="AN596" s="280"/>
      <c r="AO596" s="280"/>
      <c r="AP596" s="280"/>
      <c r="AQ596" s="280"/>
      <c r="AR596" s="280"/>
      <c r="AS596" s="280"/>
      <c r="BJ596" s="1184" t="s">
        <v>4763</v>
      </c>
    </row>
    <row r="597" spans="1:62" x14ac:dyDescent="0.3">
      <c r="A597" s="1200">
        <v>6</v>
      </c>
      <c r="B597" s="1208">
        <v>606.20000000000005</v>
      </c>
      <c r="C597" s="1203"/>
      <c r="D597" s="1203"/>
      <c r="E597" s="1203"/>
      <c r="F597" s="1203" t="s">
        <v>645</v>
      </c>
      <c r="G597" s="1202" t="str">
        <f t="shared" si="173"/>
        <v>P</v>
      </c>
      <c r="H597" s="1204" t="s">
        <v>4386</v>
      </c>
      <c r="I597" s="66"/>
      <c r="J597" s="4"/>
      <c r="K597" s="90" t="s">
        <v>645</v>
      </c>
      <c r="L597" s="86" t="s">
        <v>735</v>
      </c>
      <c r="M597" s="305"/>
      <c r="N597" s="282"/>
      <c r="O597" s="282"/>
      <c r="P597" s="280"/>
      <c r="Q597" s="280"/>
      <c r="R597" s="280"/>
      <c r="S597" s="280"/>
      <c r="T597" s="280"/>
      <c r="U597" s="280"/>
      <c r="V597" s="280"/>
      <c r="W597" s="280"/>
      <c r="X597" s="280"/>
      <c r="Z597" s="1055"/>
      <c r="AC597" s="280"/>
      <c r="AD597" s="280"/>
      <c r="AE597" s="280"/>
      <c r="AF597" s="280"/>
      <c r="AG597" s="280"/>
      <c r="AH597" s="280"/>
      <c r="AI597" s="280"/>
      <c r="AJ597" s="280"/>
      <c r="AK597" s="280"/>
      <c r="AL597" s="280"/>
      <c r="AM597" s="280"/>
      <c r="AN597" s="280"/>
      <c r="AO597" s="280"/>
      <c r="AP597" s="280"/>
      <c r="AQ597" s="280"/>
      <c r="AR597" s="280"/>
      <c r="AS597" s="280"/>
      <c r="BJ597" s="1184" t="s">
        <v>4763</v>
      </c>
    </row>
    <row r="598" spans="1:62" x14ac:dyDescent="0.3">
      <c r="A598" s="1200">
        <v>6</v>
      </c>
      <c r="B598" s="1208">
        <v>606.20000000000005</v>
      </c>
      <c r="C598" s="1203"/>
      <c r="D598" s="1203"/>
      <c r="E598" s="1203"/>
      <c r="F598" s="1203" t="s">
        <v>647</v>
      </c>
      <c r="G598" s="1202" t="str">
        <f t="shared" si="173"/>
        <v>P</v>
      </c>
      <c r="H598" s="1204" t="s">
        <v>4386</v>
      </c>
      <c r="I598" s="66"/>
      <c r="J598" s="4"/>
      <c r="K598" s="90" t="s">
        <v>647</v>
      </c>
      <c r="L598" s="86" t="s">
        <v>736</v>
      </c>
      <c r="M598" s="305"/>
      <c r="N598" s="282"/>
      <c r="O598" s="282"/>
      <c r="P598" s="280"/>
      <c r="Q598" s="280"/>
      <c r="R598" s="280"/>
      <c r="S598" s="280"/>
      <c r="T598" s="280"/>
      <c r="U598" s="280"/>
      <c r="V598" s="280"/>
      <c r="W598" s="280"/>
      <c r="X598" s="280"/>
      <c r="Z598" s="1055"/>
      <c r="AC598" s="280"/>
      <c r="AD598" s="280"/>
      <c r="AE598" s="280"/>
      <c r="AF598" s="280"/>
      <c r="AG598" s="280"/>
      <c r="AH598" s="280"/>
      <c r="AI598" s="280"/>
      <c r="AJ598" s="280"/>
      <c r="AK598" s="280"/>
      <c r="AL598" s="280"/>
      <c r="AM598" s="280"/>
      <c r="AN598" s="280"/>
      <c r="AO598" s="280"/>
      <c r="AP598" s="280"/>
      <c r="AQ598" s="280"/>
      <c r="AR598" s="280"/>
      <c r="AS598" s="280"/>
      <c r="BJ598" s="1184" t="s">
        <v>4763</v>
      </c>
    </row>
    <row r="599" spans="1:62" x14ac:dyDescent="0.3">
      <c r="A599" s="1200">
        <v>6</v>
      </c>
      <c r="B599" s="1208">
        <v>606.20000000000005</v>
      </c>
      <c r="C599" s="1203"/>
      <c r="D599" s="1203"/>
      <c r="E599" s="1203"/>
      <c r="F599" s="1203" t="s">
        <v>649</v>
      </c>
      <c r="G599" s="1202" t="str">
        <f t="shared" si="173"/>
        <v>P</v>
      </c>
      <c r="H599" s="1204" t="s">
        <v>4386</v>
      </c>
      <c r="I599" s="66"/>
      <c r="J599" s="4"/>
      <c r="K599" s="90" t="s">
        <v>649</v>
      </c>
      <c r="L599" s="86" t="s">
        <v>3283</v>
      </c>
      <c r="M599" s="305"/>
      <c r="N599" s="282"/>
      <c r="O599" s="282"/>
      <c r="P599" s="280"/>
      <c r="Q599" s="280"/>
      <c r="R599" s="280"/>
      <c r="S599" s="280"/>
      <c r="T599" s="280"/>
      <c r="U599" s="280"/>
      <c r="V599" s="280"/>
      <c r="W599" s="280" t="s">
        <v>3284</v>
      </c>
      <c r="X599" s="280"/>
      <c r="Z599" s="1055"/>
      <c r="AC599" s="280"/>
      <c r="AD599" s="280"/>
      <c r="AE599" s="280"/>
      <c r="AF599" s="280"/>
      <c r="AG599" s="280"/>
      <c r="AH599" s="280"/>
      <c r="AI599" s="280"/>
      <c r="AJ599" s="280"/>
      <c r="AK599" s="280"/>
      <c r="AL599" s="280"/>
      <c r="AM599" s="280"/>
      <c r="AN599" s="280"/>
      <c r="AO599" s="280"/>
      <c r="AP599" s="280"/>
      <c r="AQ599" s="280"/>
      <c r="AR599" s="280"/>
      <c r="AS599" s="280"/>
      <c r="BJ599" s="1184" t="s">
        <v>4763</v>
      </c>
    </row>
    <row r="600" spans="1:62" x14ac:dyDescent="0.3">
      <c r="A600" s="1200">
        <v>6</v>
      </c>
      <c r="B600" s="1208">
        <v>606.20000000000005</v>
      </c>
      <c r="C600" s="1203"/>
      <c r="D600" s="1203"/>
      <c r="E600" s="1203" t="s">
        <v>271</v>
      </c>
      <c r="F600" s="1212" t="s">
        <v>3173</v>
      </c>
      <c r="G600" s="1202" t="str">
        <f>IF(N600&gt;0,"P","")</f>
        <v/>
      </c>
      <c r="H600" s="1211" t="s">
        <v>4386</v>
      </c>
      <c r="I600" s="66"/>
      <c r="J600" s="203" t="s">
        <v>271</v>
      </c>
      <c r="K600" s="98"/>
      <c r="L600" s="1305" t="s">
        <v>737</v>
      </c>
      <c r="M600" s="1318">
        <v>3</v>
      </c>
      <c r="N600" s="1473">
        <f>'Ch6'!O346</f>
        <v>0</v>
      </c>
      <c r="O600" s="1473">
        <f>IF(AND(S600,NOT(ISBLANK(W600)),NOT(ISBLANK(W601))),M600,0)</f>
        <v>0</v>
      </c>
      <c r="P600" s="280" t="b">
        <v>1</v>
      </c>
      <c r="Q600" s="280" t="b">
        <v>1</v>
      </c>
      <c r="R600" s="280" t="b">
        <v>0</v>
      </c>
      <c r="S600" s="280" t="b">
        <v>1</v>
      </c>
      <c r="T600" s="280" t="b">
        <v>0</v>
      </c>
      <c r="U600" s="97" t="str">
        <f>SUBSTITUTE(SUBSTITUTE(SUBSTITUTE("dd"&amp;B600&amp;C600&amp;D600&amp;E600&amp;F600,".","_"),"(","_"),")","")</f>
        <v>dd606_2_1a</v>
      </c>
      <c r="V600" s="280"/>
      <c r="W600" s="12"/>
      <c r="X600" s="281"/>
      <c r="Y600" s="312" t="str">
        <f>IF(LEN('Ch6'!X346)=0,"None",'Ch6'!X346)</f>
        <v>None</v>
      </c>
      <c r="Z600" s="1169"/>
      <c r="AC600" s="280" t="b">
        <f>OR(AD600:AE600)</f>
        <v>0</v>
      </c>
      <c r="AD600" s="985" t="b">
        <f>T600</f>
        <v>0</v>
      </c>
      <c r="AE600" s="280" t="b">
        <f>AND(NOT(ISBLANK(W600)),LEN(X600)=0)</f>
        <v>0</v>
      </c>
      <c r="AF600" s="1182" t="b">
        <f>AND(AE600,NOT(Q600))</f>
        <v>0</v>
      </c>
      <c r="AG600" s="280"/>
      <c r="AH600" s="280"/>
      <c r="AI600" s="280"/>
      <c r="AJ600" s="280"/>
      <c r="AK600" s="280"/>
      <c r="AL600" s="311" t="str">
        <f t="shared" ref="AL600" si="174">SUBSTITUTE(SUBSTITUTE(SUBSTITUTE("vpa"&amp;$B600&amp;$C600&amp;$D600&amp;$E600&amp;$F600,".","_"),"(","_"),")","")</f>
        <v>vpa606_2_1a</v>
      </c>
      <c r="AM600" s="311">
        <f>M600</f>
        <v>3</v>
      </c>
      <c r="AN600" s="311" t="str">
        <f>SUBSTITUTE(SUBSTITUTE(SUBSTITUTE("vpc"&amp;$B600&amp;$C600&amp;$D600&amp;$E600&amp;$F600,".","_"),"(","_"),")","")</f>
        <v>vpc606_2_1a</v>
      </c>
      <c r="AO600" s="311">
        <f>O600</f>
        <v>0</v>
      </c>
      <c r="AP600" s="311" t="str">
        <f t="shared" ref="AP600:AP601" si="175">SUBSTITUTE(SUBSTITUTE(SUBSTITUTE("vch"&amp;$B600&amp;$C600&amp;$D600&amp;$E600&amp;$F600,".","_"),"(","_"),")","")</f>
        <v>vch606_2_1a</v>
      </c>
      <c r="AQ600" s="311">
        <f>W600</f>
        <v>0</v>
      </c>
      <c r="AR600" s="311" t="str">
        <f t="shared" ref="AR600:AR601" si="176">SUBSTITUTE(SUBSTITUTE(SUBSTITUTE("vnt"&amp;$B600&amp;$C600&amp;$D600&amp;$E600&amp;$F600,".","_"),"(","_"),")","")</f>
        <v>vnt606_2_1a</v>
      </c>
      <c r="AS600" s="311">
        <f>X600</f>
        <v>0</v>
      </c>
      <c r="BJ600" s="1184" t="s">
        <v>4763</v>
      </c>
    </row>
    <row r="601" spans="1:62" x14ac:dyDescent="0.3">
      <c r="A601" s="1200">
        <v>6</v>
      </c>
      <c r="B601" s="1208">
        <v>606.20000000000005</v>
      </c>
      <c r="C601" s="1203"/>
      <c r="D601" s="1203"/>
      <c r="E601" s="1203" t="s">
        <v>271</v>
      </c>
      <c r="F601" s="1212" t="s">
        <v>3174</v>
      </c>
      <c r="G601" s="1202" t="str">
        <f t="shared" ref="G601:G602" si="177">G600</f>
        <v/>
      </c>
      <c r="H601" s="1211" t="s">
        <v>4386</v>
      </c>
      <c r="I601" s="66"/>
      <c r="J601" s="203"/>
      <c r="K601" s="98"/>
      <c r="L601" s="1305"/>
      <c r="M601" s="1318"/>
      <c r="N601" s="1473"/>
      <c r="O601" s="1473"/>
      <c r="P601" s="280" t="b">
        <v>1</v>
      </c>
      <c r="Q601" s="440" t="b">
        <v>1</v>
      </c>
      <c r="R601" s="280" t="b">
        <v>0</v>
      </c>
      <c r="S601" s="280" t="b">
        <v>1</v>
      </c>
      <c r="T601" s="280" t="b">
        <v>0</v>
      </c>
      <c r="U601" s="97" t="str">
        <f>SUBSTITUTE(SUBSTITUTE(SUBSTITUTE("dd"&amp;B601&amp;C601&amp;D601&amp;E601&amp;F601,".","_"),"(","_"),")","")</f>
        <v>dd606_2_1b</v>
      </c>
      <c r="V601" s="280"/>
      <c r="W601" s="12"/>
      <c r="X601" s="1303"/>
      <c r="Y601" s="1522" t="str">
        <f>IF(LEN('Ch6'!X347)=0,"None",'Ch6'!X347)</f>
        <v>None</v>
      </c>
      <c r="Z601" s="1586"/>
      <c r="AC601" s="280" t="b">
        <f>OR(AD601:AE601)</f>
        <v>0</v>
      </c>
      <c r="AD601" s="985" t="b">
        <f>T601</f>
        <v>0</v>
      </c>
      <c r="AE601" s="280" t="b">
        <f>AND(NOT(ISBLANK(W601)),LEN(X601)=0)</f>
        <v>0</v>
      </c>
      <c r="AF601" s="1182" t="b">
        <f>AND(AE601,NOT(Q601))</f>
        <v>0</v>
      </c>
      <c r="AG601" s="280"/>
      <c r="AH601" s="280"/>
      <c r="AI601" s="280"/>
      <c r="AJ601" s="280"/>
      <c r="AK601" s="280"/>
      <c r="AL601" s="280"/>
      <c r="AM601" s="280"/>
      <c r="AN601" s="280"/>
      <c r="AO601" s="280"/>
      <c r="AP601" s="311" t="str">
        <f t="shared" si="175"/>
        <v>vch606_2_1b</v>
      </c>
      <c r="AQ601" s="311">
        <f>W601</f>
        <v>0</v>
      </c>
      <c r="AR601" s="311" t="str">
        <f t="shared" si="176"/>
        <v>vnt606_2_1b</v>
      </c>
      <c r="AS601" s="311">
        <f>X601</f>
        <v>0</v>
      </c>
      <c r="BJ601" s="1184" t="s">
        <v>4763</v>
      </c>
    </row>
    <row r="602" spans="1:62" x14ac:dyDescent="0.3">
      <c r="A602" s="1200">
        <v>6</v>
      </c>
      <c r="B602" s="1208">
        <v>606.20000000000005</v>
      </c>
      <c r="C602" s="1203"/>
      <c r="D602" s="1203"/>
      <c r="E602" s="1203" t="s">
        <v>271</v>
      </c>
      <c r="F602" s="1212"/>
      <c r="G602" s="1202" t="str">
        <f t="shared" si="177"/>
        <v/>
      </c>
      <c r="H602" s="1211" t="s">
        <v>4386</v>
      </c>
      <c r="I602" s="66"/>
      <c r="J602" s="231"/>
      <c r="K602" s="193"/>
      <c r="L602" s="304" t="s">
        <v>3285</v>
      </c>
      <c r="M602" s="1319"/>
      <c r="N602" s="1491"/>
      <c r="O602" s="1491"/>
      <c r="P602" s="280"/>
      <c r="Q602" s="280"/>
      <c r="R602" s="280"/>
      <c r="S602" s="280"/>
      <c r="T602" s="280"/>
      <c r="U602" s="97"/>
      <c r="V602" s="280"/>
      <c r="W602" s="280"/>
      <c r="X602" s="1303"/>
      <c r="Y602" s="1522"/>
      <c r="Z602" s="1586"/>
      <c r="AC602" s="280"/>
      <c r="AD602" s="280"/>
      <c r="AE602" s="280"/>
      <c r="AF602" s="280"/>
      <c r="AG602" s="280"/>
      <c r="AH602" s="280"/>
      <c r="AI602" s="280"/>
      <c r="AJ602" s="280"/>
      <c r="AK602" s="280"/>
      <c r="AL602" s="280"/>
      <c r="AM602" s="280"/>
      <c r="AN602" s="280"/>
      <c r="AO602" s="280"/>
      <c r="AP602" s="280"/>
      <c r="AQ602" s="280"/>
      <c r="AR602" s="280"/>
      <c r="AS602" s="280"/>
      <c r="BJ602" s="1184" t="s">
        <v>4763</v>
      </c>
    </row>
    <row r="603" spans="1:62" x14ac:dyDescent="0.3">
      <c r="A603" s="1200">
        <v>6</v>
      </c>
      <c r="B603" s="1208">
        <v>606.20000000000005</v>
      </c>
      <c r="C603" s="1203"/>
      <c r="D603" s="1203"/>
      <c r="E603" s="1203" t="s">
        <v>273</v>
      </c>
      <c r="F603" s="1212" t="s">
        <v>3173</v>
      </c>
      <c r="G603" s="1202" t="str">
        <f>IF(N603&gt;0,"P","")</f>
        <v>P</v>
      </c>
      <c r="H603" s="1211" t="s">
        <v>4386</v>
      </c>
      <c r="I603" s="66"/>
      <c r="J603" s="27" t="s">
        <v>273</v>
      </c>
      <c r="K603" s="86"/>
      <c r="L603" s="1329" t="s">
        <v>738</v>
      </c>
      <c r="M603" s="1335">
        <v>4</v>
      </c>
      <c r="N603" s="1472">
        <f>'Ch6'!O349</f>
        <v>4</v>
      </c>
      <c r="O603" s="1463">
        <f>IF(AND(S603,NOT(ISBLANK(W603)),NOT(ISBLANK(W604))),M603,0)</f>
        <v>0</v>
      </c>
      <c r="P603" s="280" t="b">
        <v>1</v>
      </c>
      <c r="Q603" s="440" t="b">
        <v>1</v>
      </c>
      <c r="R603" s="280" t="b">
        <v>0</v>
      </c>
      <c r="S603" s="280" t="b">
        <v>1</v>
      </c>
      <c r="T603" s="280" t="b">
        <v>0</v>
      </c>
      <c r="U603" s="97" t="str">
        <f>SUBSTITUTE(SUBSTITUTE(SUBSTITUTE("dd"&amp;B603&amp;C603&amp;D603&amp;E603&amp;F603,".","_"),"(","_"),")","")</f>
        <v>dd606_2_2a</v>
      </c>
      <c r="V603" s="280"/>
      <c r="W603" s="12"/>
      <c r="X603" s="281"/>
      <c r="Y603" s="312" t="str">
        <f>IF(LEN('Ch6'!X349)=0,"None",'Ch6'!X349)</f>
        <v>Weyerhaeuser Trus Joist</v>
      </c>
      <c r="Z603" s="1169"/>
      <c r="AC603" s="280" t="b">
        <f>OR(AD603:AE603)</f>
        <v>0</v>
      </c>
      <c r="AD603" s="985" t="b">
        <f>T603</f>
        <v>0</v>
      </c>
      <c r="AE603" s="280" t="b">
        <f>AND(NOT(ISBLANK(W603)),LEN(X603)=0)</f>
        <v>0</v>
      </c>
      <c r="AF603" s="1182" t="b">
        <f>AND(AE603,NOT(Q603))</f>
        <v>0</v>
      </c>
      <c r="AG603" s="280"/>
      <c r="AH603" s="280"/>
      <c r="AI603" s="280"/>
      <c r="AJ603" s="280"/>
      <c r="AK603" s="280"/>
      <c r="AL603" s="311" t="str">
        <f t="shared" ref="AL603" si="178">SUBSTITUTE(SUBSTITUTE(SUBSTITUTE("vpa"&amp;$B603&amp;$C603&amp;$D603&amp;$E603&amp;$F603,".","_"),"(","_"),")","")</f>
        <v>vpa606_2_2a</v>
      </c>
      <c r="AM603" s="311">
        <f>M603</f>
        <v>4</v>
      </c>
      <c r="AN603" s="311" t="str">
        <f>SUBSTITUTE(SUBSTITUTE(SUBSTITUTE("vpc"&amp;$B603&amp;$C603&amp;$D603&amp;$E603&amp;$F603,".","_"),"(","_"),")","")</f>
        <v>vpc606_2_2a</v>
      </c>
      <c r="AO603" s="311">
        <f>O603</f>
        <v>0</v>
      </c>
      <c r="AP603" s="311" t="str">
        <f t="shared" ref="AP603:AP604" si="179">SUBSTITUTE(SUBSTITUTE(SUBSTITUTE("vch"&amp;$B603&amp;$C603&amp;$D603&amp;$E603&amp;$F603,".","_"),"(","_"),")","")</f>
        <v>vch606_2_2a</v>
      </c>
      <c r="AQ603" s="311">
        <f>W603</f>
        <v>0</v>
      </c>
      <c r="AR603" s="311" t="str">
        <f t="shared" ref="AR603:AR604" si="180">SUBSTITUTE(SUBSTITUTE(SUBSTITUTE("vnt"&amp;$B603&amp;$C603&amp;$D603&amp;$E603&amp;$F603,".","_"),"(","_"),")","")</f>
        <v>vnt606_2_2a</v>
      </c>
      <c r="AS603" s="311">
        <f>X603</f>
        <v>0</v>
      </c>
      <c r="BJ603" s="1184" t="s">
        <v>4763</v>
      </c>
    </row>
    <row r="604" spans="1:62" x14ac:dyDescent="0.3">
      <c r="A604" s="1200">
        <v>6</v>
      </c>
      <c r="B604" s="1208">
        <v>606.20000000000005</v>
      </c>
      <c r="C604" s="1203"/>
      <c r="D604" s="1203"/>
      <c r="E604" s="1203" t="s">
        <v>273</v>
      </c>
      <c r="F604" s="1212" t="s">
        <v>3174</v>
      </c>
      <c r="G604" s="1202" t="str">
        <f t="shared" ref="G604:G611" si="181">G603</f>
        <v>P</v>
      </c>
      <c r="H604" s="1211" t="s">
        <v>4386</v>
      </c>
      <c r="I604" s="66"/>
      <c r="J604" s="4"/>
      <c r="K604" s="86"/>
      <c r="L604" s="1329"/>
      <c r="M604" s="1335"/>
      <c r="N604" s="1463"/>
      <c r="O604" s="1463"/>
      <c r="P604" s="280" t="b">
        <v>1</v>
      </c>
      <c r="Q604" s="440" t="b">
        <v>1</v>
      </c>
      <c r="R604" s="280" t="b">
        <v>0</v>
      </c>
      <c r="S604" s="280" t="b">
        <v>1</v>
      </c>
      <c r="T604" s="280" t="b">
        <v>0</v>
      </c>
      <c r="U604" s="97" t="str">
        <f>SUBSTITUTE(SUBSTITUTE(SUBSTITUTE("dd"&amp;B604&amp;C604&amp;D604&amp;E604&amp;F604,".","_"),"(","_"),")","")</f>
        <v>dd606_2_2b</v>
      </c>
      <c r="V604" s="280"/>
      <c r="W604" s="12"/>
      <c r="X604" s="1303"/>
      <c r="Y604" s="1523" t="str">
        <f>IF(LEN('Ch6'!X350)=0,"None",'Ch6'!X350)</f>
        <v>Boise Cascade Versa-Lam</v>
      </c>
      <c r="Z604" s="1583"/>
      <c r="AC604" s="280" t="b">
        <f>OR(AD604:AE604)</f>
        <v>0</v>
      </c>
      <c r="AD604" s="985" t="b">
        <f>T604</f>
        <v>0</v>
      </c>
      <c r="AE604" s="280" t="b">
        <f>AND(NOT(ISBLANK(W604)),LEN(X604)=0)</f>
        <v>0</v>
      </c>
      <c r="AF604" s="1182" t="b">
        <f>AND(AE604,NOT(Q604))</f>
        <v>0</v>
      </c>
      <c r="AG604" s="280"/>
      <c r="AH604" s="280"/>
      <c r="AI604" s="280"/>
      <c r="AJ604" s="280"/>
      <c r="AK604" s="280"/>
      <c r="AL604" s="280"/>
      <c r="AM604" s="280"/>
      <c r="AN604" s="280"/>
      <c r="AO604" s="280"/>
      <c r="AP604" s="311" t="str">
        <f t="shared" si="179"/>
        <v>vch606_2_2b</v>
      </c>
      <c r="AQ604" s="311">
        <f>W604</f>
        <v>0</v>
      </c>
      <c r="AR604" s="311" t="str">
        <f t="shared" si="180"/>
        <v>vnt606_2_2b</v>
      </c>
      <c r="AS604" s="311">
        <f>X604</f>
        <v>0</v>
      </c>
      <c r="BJ604" s="1184" t="s">
        <v>4763</v>
      </c>
    </row>
    <row r="605" spans="1:62" ht="15" thickBot="1" x14ac:dyDescent="0.35">
      <c r="A605" s="1200">
        <v>6</v>
      </c>
      <c r="B605" s="1208">
        <v>606.20000000000005</v>
      </c>
      <c r="C605" s="1203"/>
      <c r="D605" s="1203"/>
      <c r="E605" s="1203" t="s">
        <v>273</v>
      </c>
      <c r="F605" s="1212"/>
      <c r="G605" s="1202" t="str">
        <f t="shared" si="181"/>
        <v>P</v>
      </c>
      <c r="H605" s="1211" t="s">
        <v>4386</v>
      </c>
      <c r="I605" s="66"/>
      <c r="J605" s="4"/>
      <c r="K605" s="86"/>
      <c r="L605" s="299" t="s">
        <v>3285</v>
      </c>
      <c r="M605" s="1335"/>
      <c r="N605" s="1529"/>
      <c r="O605" s="1463"/>
      <c r="P605" s="280"/>
      <c r="Q605" s="280"/>
      <c r="R605" s="280"/>
      <c r="S605" s="280"/>
      <c r="T605" s="280"/>
      <c r="U605" s="97"/>
      <c r="V605" s="280"/>
      <c r="W605" s="317"/>
      <c r="X605" s="1337"/>
      <c r="Y605" s="1524"/>
      <c r="Z605" s="1584"/>
      <c r="AC605" s="280"/>
      <c r="AD605" s="280"/>
      <c r="AE605" s="280"/>
      <c r="AF605" s="280"/>
      <c r="AG605" s="280"/>
      <c r="AH605" s="280"/>
      <c r="AI605" s="280"/>
      <c r="AJ605" s="280"/>
      <c r="AK605" s="280"/>
      <c r="AL605" s="280"/>
      <c r="AM605" s="280"/>
      <c r="AN605" s="280"/>
      <c r="AO605" s="280"/>
      <c r="AP605" s="280"/>
      <c r="AQ605" s="280"/>
      <c r="AR605" s="280"/>
      <c r="AS605" s="280"/>
      <c r="BJ605" s="1184" t="s">
        <v>4763</v>
      </c>
    </row>
    <row r="606" spans="1:62" ht="15" thickTop="1" x14ac:dyDescent="0.3">
      <c r="A606" s="1200">
        <v>6</v>
      </c>
      <c r="B606" s="1208">
        <v>606.29999999999995</v>
      </c>
      <c r="C606" s="1203"/>
      <c r="D606" s="1203"/>
      <c r="E606" s="1203"/>
      <c r="F606" s="1203"/>
      <c r="G606" s="1202" t="str">
        <f ca="1">IF(N606&gt;0,"P","")</f>
        <v>P</v>
      </c>
      <c r="H606" s="1200" t="s">
        <v>4386</v>
      </c>
      <c r="I606" s="200">
        <v>606.29999999999995</v>
      </c>
      <c r="J606" s="201"/>
      <c r="K606" s="202"/>
      <c r="L606" s="1331" t="s">
        <v>739</v>
      </c>
      <c r="M606" s="1343" t="s">
        <v>712</v>
      </c>
      <c r="N606" s="1528">
        <f ca="1">'Ch6'!O352</f>
        <v>2</v>
      </c>
      <c r="O606" s="1528">
        <f ca="1">IFERROR(MATCH(W606,INDIRECT(U606),0),0)*2</f>
        <v>0</v>
      </c>
      <c r="P606" s="110" t="b">
        <v>1</v>
      </c>
      <c r="Q606" s="110" t="b">
        <v>1</v>
      </c>
      <c r="R606" s="110" t="b">
        <v>0</v>
      </c>
      <c r="S606" s="110" t="b">
        <v>1</v>
      </c>
      <c r="T606" s="110" t="b">
        <v>0</v>
      </c>
      <c r="U606" s="110" t="str">
        <f>SUBSTITUTE(SUBSTITUTE(SUBSTITUTE("dd"&amp;B606&amp;C606&amp;D606&amp;E606&amp;F606,".","_"),"(","_"),")","")</f>
        <v>dd606_3</v>
      </c>
      <c r="V606" s="110"/>
      <c r="W606" s="316"/>
      <c r="X606" s="1311"/>
      <c r="Y606" s="1525" t="str">
        <f>IF(LEN('Ch6'!X352)=0,"None",'Ch6'!X352)</f>
        <v>Weyerhaeuser Trust Joist</v>
      </c>
      <c r="Z606" s="1585"/>
      <c r="AC606" s="280" t="b">
        <f>OR(AD606:AE606)</f>
        <v>0</v>
      </c>
      <c r="AD606" s="985" t="b">
        <f>T606</f>
        <v>0</v>
      </c>
      <c r="AE606" s="280" t="b">
        <f>AND(NOT(ISBLANK(W606)),LEN(X606)=0)</f>
        <v>0</v>
      </c>
      <c r="AF606" s="1182" t="b">
        <f>AND(AE606,NOT(Q606))</f>
        <v>0</v>
      </c>
      <c r="AG606" s="280"/>
      <c r="AH606" s="280"/>
      <c r="AI606" s="280"/>
      <c r="AJ606" s="280"/>
      <c r="AK606" s="280"/>
      <c r="AL606" s="311" t="str">
        <f t="shared" ref="AL606" si="182">SUBSTITUTE(SUBSTITUTE(SUBSTITUTE("vpa"&amp;$B606&amp;$C606&amp;$D606&amp;$E606&amp;$F606,".","_"),"(","_"),")","")</f>
        <v>vpa606_3</v>
      </c>
      <c r="AM606" s="311" t="str">
        <f>M606</f>
        <v>6 Max</v>
      </c>
      <c r="AN606" s="311" t="str">
        <f>SUBSTITUTE(SUBSTITUTE(SUBSTITUTE("vpc"&amp;$B606&amp;$C606&amp;$D606&amp;$E606&amp;$F606,".","_"),"(","_"),")","")</f>
        <v>vpc606_3</v>
      </c>
      <c r="AO606" s="311">
        <f ca="1">O606</f>
        <v>0</v>
      </c>
      <c r="AP606" s="311" t="str">
        <f>SUBSTITUTE(SUBSTITUTE(SUBSTITUTE("vch"&amp;$B606&amp;$C606&amp;$D606&amp;$E606&amp;$F606,".","_"),"(","_"),")","")</f>
        <v>vch606_3</v>
      </c>
      <c r="AQ606" s="311">
        <f>W606</f>
        <v>0</v>
      </c>
      <c r="AR606" s="311" t="str">
        <f>SUBSTITUTE(SUBSTITUTE(SUBSTITUTE("vnt"&amp;$B606&amp;$C606&amp;$D606&amp;$E606&amp;$F606,".","_"),"(","_"),")","")</f>
        <v>vnt606_3</v>
      </c>
      <c r="AS606" s="311">
        <f>X606</f>
        <v>0</v>
      </c>
      <c r="BJ606" s="1184" t="s">
        <v>4763</v>
      </c>
    </row>
    <row r="607" spans="1:62" x14ac:dyDescent="0.3">
      <c r="A607" s="1200">
        <v>6</v>
      </c>
      <c r="B607" s="1208">
        <v>606.29999999999995</v>
      </c>
      <c r="C607" s="1203"/>
      <c r="D607" s="1203"/>
      <c r="E607" s="1203"/>
      <c r="F607" s="1203"/>
      <c r="G607" s="1202" t="str">
        <f t="shared" ca="1" si="181"/>
        <v>P</v>
      </c>
      <c r="H607" s="1200" t="s">
        <v>4386</v>
      </c>
      <c r="I607" s="141"/>
      <c r="J607" s="140"/>
      <c r="K607" s="98"/>
      <c r="L607" s="1313"/>
      <c r="M607" s="1318"/>
      <c r="N607" s="1473"/>
      <c r="O607" s="1473"/>
      <c r="P607" s="97"/>
      <c r="Q607" s="97"/>
      <c r="R607" s="97"/>
      <c r="S607" s="97"/>
      <c r="T607" s="97"/>
      <c r="U607" s="97"/>
      <c r="V607" s="97"/>
      <c r="W607" s="97"/>
      <c r="X607" s="1312"/>
      <c r="Y607" s="1522"/>
      <c r="Z607" s="1586"/>
      <c r="AC607" s="280"/>
      <c r="AD607" s="280"/>
      <c r="AE607" s="280"/>
      <c r="AF607" s="280"/>
      <c r="AG607" s="280"/>
      <c r="AH607" s="280"/>
      <c r="AI607" s="280"/>
      <c r="AJ607" s="280"/>
      <c r="AK607" s="280"/>
      <c r="AL607" s="280"/>
      <c r="AM607" s="280"/>
      <c r="AN607" s="280"/>
      <c r="AO607" s="280"/>
      <c r="AP607" s="280"/>
      <c r="AQ607" s="280"/>
      <c r="AR607" s="280"/>
      <c r="AS607" s="280"/>
      <c r="BJ607" s="1184" t="s">
        <v>4763</v>
      </c>
    </row>
    <row r="608" spans="1:62" x14ac:dyDescent="0.3">
      <c r="A608" s="1200">
        <v>6</v>
      </c>
      <c r="B608" s="1208">
        <v>606.29999999999995</v>
      </c>
      <c r="C608" s="1203"/>
      <c r="D608" s="1203"/>
      <c r="E608" s="1203"/>
      <c r="F608" s="1203"/>
      <c r="G608" s="1202" t="str">
        <f t="shared" ca="1" si="181"/>
        <v>P</v>
      </c>
      <c r="H608" s="1200" t="s">
        <v>4386</v>
      </c>
      <c r="I608" s="141"/>
      <c r="J608" s="140"/>
      <c r="K608" s="98"/>
      <c r="L608" s="1313"/>
      <c r="M608" s="1318"/>
      <c r="N608" s="1473"/>
      <c r="O608" s="1473"/>
      <c r="P608" s="97"/>
      <c r="Q608" s="97"/>
      <c r="R608" s="97"/>
      <c r="S608" s="97"/>
      <c r="T608" s="97"/>
      <c r="U608" s="97"/>
      <c r="V608" s="97"/>
      <c r="W608" s="97"/>
      <c r="X608" s="1312"/>
      <c r="Y608" s="1522"/>
      <c r="Z608" s="1586"/>
      <c r="AC608" s="280"/>
      <c r="AD608" s="280"/>
      <c r="AE608" s="280"/>
      <c r="AF608" s="280"/>
      <c r="AG608" s="280"/>
      <c r="AH608" s="280"/>
      <c r="AI608" s="280"/>
      <c r="AJ608" s="280"/>
      <c r="AK608" s="280"/>
      <c r="AL608" s="280"/>
      <c r="AM608" s="280"/>
      <c r="AN608" s="280"/>
      <c r="AO608" s="280"/>
      <c r="AP608" s="280"/>
      <c r="AQ608" s="280"/>
      <c r="AR608" s="280"/>
      <c r="AS608" s="280"/>
      <c r="BJ608" s="1184" t="s">
        <v>4763</v>
      </c>
    </row>
    <row r="609" spans="1:62" x14ac:dyDescent="0.3">
      <c r="A609" s="1200">
        <v>6</v>
      </c>
      <c r="B609" s="1208">
        <v>606.29999999999995</v>
      </c>
      <c r="C609" s="1203"/>
      <c r="D609" s="1203"/>
      <c r="E609" s="1203"/>
      <c r="F609" s="1203"/>
      <c r="G609" s="1202" t="str">
        <f t="shared" ca="1" si="181"/>
        <v>P</v>
      </c>
      <c r="H609" s="1200" t="s">
        <v>4386</v>
      </c>
      <c r="I609" s="141"/>
      <c r="J609" s="140"/>
      <c r="K609" s="98"/>
      <c r="L609" s="1313"/>
      <c r="M609" s="1318"/>
      <c r="N609" s="1473"/>
      <c r="O609" s="1473"/>
      <c r="P609" s="97"/>
      <c r="Q609" s="97"/>
      <c r="R609" s="97"/>
      <c r="S609" s="97"/>
      <c r="T609" s="97"/>
      <c r="U609" s="97"/>
      <c r="V609" s="97"/>
      <c r="W609" s="97"/>
      <c r="X609" s="1312"/>
      <c r="Y609" s="1522"/>
      <c r="Z609" s="1586"/>
      <c r="AC609" s="280"/>
      <c r="AD609" s="280"/>
      <c r="AE609" s="280"/>
      <c r="AF609" s="280"/>
      <c r="AG609" s="280"/>
      <c r="AH609" s="280"/>
      <c r="AI609" s="280"/>
      <c r="AJ609" s="280"/>
      <c r="AK609" s="280"/>
      <c r="AL609" s="280"/>
      <c r="AM609" s="280"/>
      <c r="AN609" s="280"/>
      <c r="AO609" s="280"/>
      <c r="AP609" s="280"/>
      <c r="AQ609" s="280"/>
      <c r="AR609" s="280"/>
      <c r="AS609" s="280"/>
      <c r="BJ609" s="1184" t="s">
        <v>4763</v>
      </c>
    </row>
    <row r="610" spans="1:62" x14ac:dyDescent="0.3">
      <c r="A610" s="1200">
        <v>6</v>
      </c>
      <c r="B610" s="1208">
        <v>606.29999999999995</v>
      </c>
      <c r="C610" s="1203"/>
      <c r="D610" s="1203"/>
      <c r="E610" s="1203"/>
      <c r="F610" s="1203"/>
      <c r="G610" s="1202" t="str">
        <f t="shared" ca="1" si="181"/>
        <v>P</v>
      </c>
      <c r="H610" s="1200" t="s">
        <v>4386</v>
      </c>
      <c r="I610" s="141"/>
      <c r="J610" s="140"/>
      <c r="K610" s="98"/>
      <c r="L610" s="208" t="s">
        <v>740</v>
      </c>
      <c r="M610" s="1318"/>
      <c r="N610" s="1473"/>
      <c r="O610" s="1473"/>
      <c r="P610" s="97"/>
      <c r="Q610" s="97"/>
      <c r="R610" s="97"/>
      <c r="S610" s="97"/>
      <c r="T610" s="97"/>
      <c r="U610" s="97"/>
      <c r="V610" s="97"/>
      <c r="W610" s="97"/>
      <c r="X610" s="1312"/>
      <c r="Y610" s="1522"/>
      <c r="Z610" s="1586"/>
      <c r="AC610" s="280"/>
      <c r="AD610" s="280"/>
      <c r="AE610" s="280"/>
      <c r="AF610" s="280"/>
      <c r="AG610" s="280"/>
      <c r="AH610" s="280"/>
      <c r="AI610" s="280"/>
      <c r="AJ610" s="280"/>
      <c r="AK610" s="280"/>
      <c r="AL610" s="280"/>
      <c r="AM610" s="280"/>
      <c r="AN610" s="280"/>
      <c r="AO610" s="280"/>
      <c r="AP610" s="280"/>
      <c r="AQ610" s="280"/>
      <c r="AR610" s="280"/>
      <c r="AS610" s="280"/>
      <c r="BJ610" s="1184" t="s">
        <v>4763</v>
      </c>
    </row>
    <row r="611" spans="1:62" x14ac:dyDescent="0.3">
      <c r="A611" s="1200">
        <v>6</v>
      </c>
      <c r="B611" s="1208">
        <v>606.29999999999995</v>
      </c>
      <c r="C611" s="1203"/>
      <c r="D611" s="1203"/>
      <c r="E611" s="1203"/>
      <c r="F611" s="1203"/>
      <c r="G611" s="1202" t="str">
        <f t="shared" ca="1" si="181"/>
        <v>P</v>
      </c>
      <c r="H611" s="1200" t="s">
        <v>4386</v>
      </c>
      <c r="I611" s="141"/>
      <c r="J611" s="140"/>
      <c r="K611" s="98"/>
      <c r="L611" s="303" t="s">
        <v>3289</v>
      </c>
      <c r="M611" s="1318"/>
      <c r="N611" s="1473"/>
      <c r="O611" s="1473"/>
      <c r="P611" s="97"/>
      <c r="Q611" s="97"/>
      <c r="R611" s="97"/>
      <c r="S611" s="97"/>
      <c r="T611" s="97"/>
      <c r="U611" s="97"/>
      <c r="V611" s="97"/>
      <c r="W611" s="97"/>
      <c r="X611" s="1304"/>
      <c r="Y611" s="1522"/>
      <c r="Z611" s="1586"/>
      <c r="AC611" s="280"/>
      <c r="AD611" s="280"/>
      <c r="AE611" s="280"/>
      <c r="AF611" s="280"/>
      <c r="AG611" s="280"/>
      <c r="AH611" s="280"/>
      <c r="AI611" s="280"/>
      <c r="AJ611" s="280"/>
      <c r="AK611" s="280"/>
      <c r="AL611" s="280"/>
      <c r="AM611" s="280"/>
      <c r="AN611" s="280"/>
      <c r="AO611" s="280"/>
      <c r="AP611" s="280"/>
      <c r="AQ611" s="280"/>
      <c r="AR611" s="280"/>
      <c r="AS611" s="280"/>
      <c r="BJ611" s="1184" t="s">
        <v>4763</v>
      </c>
    </row>
    <row r="612" spans="1:62" ht="18" x14ac:dyDescent="0.35">
      <c r="A612" s="1200">
        <v>6</v>
      </c>
      <c r="B612" s="1208">
        <v>607</v>
      </c>
      <c r="C612" s="1203"/>
      <c r="D612" s="1203"/>
      <c r="E612" s="1203"/>
      <c r="F612" s="1203"/>
      <c r="G612" s="1202" t="s">
        <v>4389</v>
      </c>
      <c r="H612" s="1200" t="s">
        <v>4386</v>
      </c>
      <c r="I612" s="14" t="s">
        <v>741</v>
      </c>
      <c r="J612" s="23"/>
      <c r="K612" s="85"/>
      <c r="L612" s="82"/>
      <c r="M612" s="71"/>
      <c r="N612" s="71"/>
      <c r="O612" s="71"/>
      <c r="P612" s="23"/>
      <c r="Q612" s="23"/>
      <c r="R612" s="23"/>
      <c r="S612" s="23"/>
      <c r="T612" s="23"/>
      <c r="U612" s="23"/>
      <c r="V612" s="23"/>
      <c r="W612" s="23"/>
      <c r="X612" s="23"/>
      <c r="Y612" s="23"/>
      <c r="Z612" s="1168"/>
      <c r="AC612" s="280"/>
      <c r="AD612" s="280"/>
      <c r="AE612" s="280"/>
      <c r="AF612" s="280"/>
      <c r="AG612" s="280"/>
      <c r="AH612" s="280"/>
      <c r="AI612" s="280"/>
      <c r="AJ612" s="280"/>
      <c r="AK612" s="280"/>
      <c r="AL612" s="280"/>
      <c r="AM612" s="280"/>
      <c r="AN612" s="280"/>
      <c r="AO612" s="280"/>
      <c r="AP612" s="280"/>
      <c r="AQ612" s="280"/>
      <c r="AR612" s="280"/>
      <c r="AS612" s="280"/>
      <c r="BJ612" s="1184" t="s">
        <v>4763</v>
      </c>
    </row>
    <row r="613" spans="1:62" x14ac:dyDescent="0.3">
      <c r="A613" s="1200">
        <v>6</v>
      </c>
      <c r="B613" s="1208">
        <v>607.1</v>
      </c>
      <c r="C613" s="1203"/>
      <c r="D613" s="1203"/>
      <c r="E613" s="1203"/>
      <c r="F613" s="1203"/>
      <c r="G613" s="1196" t="str">
        <f>IF(COUNTIF(G615:G617,"P")&gt;0,"P","")</f>
        <v>P</v>
      </c>
      <c r="H613" s="1200" t="s">
        <v>4388</v>
      </c>
      <c r="I613" s="66">
        <v>607.1</v>
      </c>
      <c r="J613" s="4"/>
      <c r="K613" s="86"/>
      <c r="L613" s="1292" t="s">
        <v>742</v>
      </c>
      <c r="M613" s="305"/>
      <c r="N613" s="282"/>
      <c r="O613" s="282"/>
      <c r="P613" s="280"/>
      <c r="Q613" s="280"/>
      <c r="R613" s="280"/>
      <c r="S613" s="280"/>
      <c r="T613" s="280"/>
      <c r="U613" s="280"/>
      <c r="V613" s="280"/>
      <c r="W613" s="280"/>
      <c r="X613" s="280"/>
      <c r="Z613" s="1055"/>
      <c r="AC613" s="280"/>
      <c r="AD613" s="280"/>
      <c r="AE613" s="280"/>
      <c r="AF613" s="280"/>
      <c r="AG613" s="280"/>
      <c r="AH613" s="280"/>
      <c r="AI613" s="280"/>
      <c r="AJ613" s="280"/>
      <c r="AK613" s="280"/>
      <c r="AL613" s="280"/>
      <c r="AM613" s="280"/>
      <c r="AN613" s="280"/>
      <c r="AO613" s="280"/>
      <c r="AP613" s="280"/>
      <c r="AQ613" s="280"/>
      <c r="AR613" s="280"/>
      <c r="AS613" s="280"/>
      <c r="BJ613" s="1184" t="s">
        <v>4763</v>
      </c>
    </row>
    <row r="614" spans="1:62" x14ac:dyDescent="0.3">
      <c r="A614" s="1200">
        <v>6</v>
      </c>
      <c r="B614" s="1208">
        <v>607.1</v>
      </c>
      <c r="C614" s="1203"/>
      <c r="D614" s="1203"/>
      <c r="E614" s="1203"/>
      <c r="F614" s="1203"/>
      <c r="G614" s="1202" t="str">
        <f t="shared" ref="G614" si="183">G613</f>
        <v>P</v>
      </c>
      <c r="H614" s="1200" t="s">
        <v>4388</v>
      </c>
      <c r="I614" s="66"/>
      <c r="J614" s="4"/>
      <c r="K614" s="86"/>
      <c r="L614" s="1292"/>
      <c r="M614" s="305"/>
      <c r="N614" s="282"/>
      <c r="O614" s="282"/>
      <c r="P614" s="280"/>
      <c r="Q614" s="280"/>
      <c r="R614" s="280"/>
      <c r="S614" s="280"/>
      <c r="T614" s="280"/>
      <c r="U614" s="280"/>
      <c r="V614" s="280"/>
      <c r="W614" s="280"/>
      <c r="X614" s="280"/>
      <c r="Z614" s="1055"/>
      <c r="AC614" s="280"/>
      <c r="AD614" s="280"/>
      <c r="AE614" s="280"/>
      <c r="AF614" s="280"/>
      <c r="AG614" s="280"/>
      <c r="AH614" s="280"/>
      <c r="AI614" s="280"/>
      <c r="AJ614" s="280"/>
      <c r="AK614" s="280"/>
      <c r="AL614" s="280"/>
      <c r="AM614" s="280"/>
      <c r="AN614" s="280"/>
      <c r="AO614" s="280"/>
      <c r="AP614" s="280"/>
      <c r="AQ614" s="280"/>
      <c r="AR614" s="280"/>
      <c r="AS614" s="280"/>
      <c r="BJ614" s="1184" t="s">
        <v>4763</v>
      </c>
    </row>
    <row r="615" spans="1:62" x14ac:dyDescent="0.3">
      <c r="A615" s="1200">
        <v>6</v>
      </c>
      <c r="B615" s="1208">
        <v>607.1</v>
      </c>
      <c r="C615" s="1203"/>
      <c r="D615" s="1203"/>
      <c r="E615" s="1203" t="s">
        <v>271</v>
      </c>
      <c r="F615" s="1203"/>
      <c r="G615" s="1202" t="str">
        <f>IF(N615&gt;0,"P","")</f>
        <v>P</v>
      </c>
      <c r="H615" s="1200" t="s">
        <v>4388</v>
      </c>
      <c r="I615" s="66"/>
      <c r="J615" s="203" t="s">
        <v>271</v>
      </c>
      <c r="K615" s="98"/>
      <c r="L615" s="1305" t="s">
        <v>743</v>
      </c>
      <c r="M615" s="1318">
        <v>3</v>
      </c>
      <c r="N615" s="1473">
        <f>'Ch6'!O361</f>
        <v>3</v>
      </c>
      <c r="O615" s="1473">
        <f>M615*S615*W615</f>
        <v>0</v>
      </c>
      <c r="P615" s="280" t="b">
        <v>0</v>
      </c>
      <c r="Q615" s="280" t="b">
        <v>1</v>
      </c>
      <c r="R615" s="280" t="b">
        <v>0</v>
      </c>
      <c r="S615" s="280" t="b">
        <v>1</v>
      </c>
      <c r="T615" s="280" t="b">
        <v>0</v>
      </c>
      <c r="U615" s="280"/>
      <c r="V615" s="280"/>
      <c r="W615" s="25"/>
      <c r="X615" s="1303"/>
      <c r="Y615" s="1522" t="str">
        <f>IF(LEN('Ch6'!X361)=0,"None",'Ch6'!X361)</f>
        <v>None</v>
      </c>
      <c r="Z615" s="1586"/>
      <c r="AC615" s="280"/>
      <c r="AD615" s="280"/>
      <c r="AE615" s="280"/>
      <c r="AF615" s="280"/>
      <c r="AG615" s="280"/>
      <c r="AH615" s="280"/>
      <c r="AI615" s="280"/>
      <c r="AJ615" s="280"/>
      <c r="AK615" s="280"/>
      <c r="AL615" s="311" t="str">
        <f t="shared" ref="AL615" si="184">SUBSTITUTE(SUBSTITUTE(SUBSTITUTE("vpa"&amp;$B615&amp;$C615&amp;$D615&amp;$E615&amp;$F615,".","_"),"(","_"),")","")</f>
        <v>vpa607_1_1</v>
      </c>
      <c r="AM615" s="311">
        <f>M615</f>
        <v>3</v>
      </c>
      <c r="AN615" s="311" t="str">
        <f>SUBSTITUTE(SUBSTITUTE(SUBSTITUTE("vpc"&amp;$B615&amp;$C615&amp;$D615&amp;$E615&amp;$F615,".","_"),"(","_"),")","")</f>
        <v>vpc607_1_1</v>
      </c>
      <c r="AO615" s="311">
        <f>O615</f>
        <v>0</v>
      </c>
      <c r="AP615" s="311" t="str">
        <f>SUBSTITUTE(SUBSTITUTE(SUBSTITUTE("vch"&amp;$B615&amp;$C615&amp;$D615&amp;$E615&amp;$F615,".","_"),"(","_"),")","")</f>
        <v>vch607_1_1</v>
      </c>
      <c r="AQ615" s="311">
        <f>W615</f>
        <v>0</v>
      </c>
      <c r="AR615" s="311" t="str">
        <f>SUBSTITUTE(SUBSTITUTE(SUBSTITUTE("vnt"&amp;$B615&amp;$C615&amp;$D615&amp;$E615&amp;$F615,".","_"),"(","_"),")","")</f>
        <v>vnt607_1_1</v>
      </c>
      <c r="AS615" s="311">
        <f>X615</f>
        <v>0</v>
      </c>
      <c r="BJ615" s="1184" t="s">
        <v>4763</v>
      </c>
    </row>
    <row r="616" spans="1:62" x14ac:dyDescent="0.3">
      <c r="A616" s="1200">
        <v>6</v>
      </c>
      <c r="B616" s="1208">
        <v>607.1</v>
      </c>
      <c r="C616" s="1203"/>
      <c r="D616" s="1203"/>
      <c r="E616" s="1203" t="s">
        <v>271</v>
      </c>
      <c r="F616" s="1203"/>
      <c r="G616" s="1202" t="str">
        <f t="shared" ref="G616" si="185">G615</f>
        <v>P</v>
      </c>
      <c r="H616" s="1200" t="s">
        <v>4388</v>
      </c>
      <c r="I616" s="66"/>
      <c r="J616" s="231"/>
      <c r="K616" s="193"/>
      <c r="L616" s="1306"/>
      <c r="M616" s="1319"/>
      <c r="N616" s="1491"/>
      <c r="O616" s="1491"/>
      <c r="P616" s="280"/>
      <c r="Q616" s="280"/>
      <c r="R616" s="280"/>
      <c r="S616" s="280"/>
      <c r="T616" s="280"/>
      <c r="U616" s="280"/>
      <c r="V616" s="280"/>
      <c r="W616" s="280"/>
      <c r="X616" s="1303"/>
      <c r="Y616" s="1522"/>
      <c r="Z616" s="1586"/>
      <c r="AC616" s="280"/>
      <c r="AD616" s="280"/>
      <c r="AE616" s="280"/>
      <c r="AF616" s="280"/>
      <c r="AG616" s="280"/>
      <c r="AH616" s="280"/>
      <c r="AI616" s="280"/>
      <c r="AJ616" s="280"/>
      <c r="AK616" s="280"/>
      <c r="AL616" s="280"/>
      <c r="AM616" s="280"/>
      <c r="AN616" s="280"/>
      <c r="AO616" s="280"/>
      <c r="AP616" s="280"/>
      <c r="AQ616" s="280"/>
      <c r="AR616" s="280"/>
      <c r="AS616" s="280"/>
      <c r="BJ616" s="1184" t="s">
        <v>4763</v>
      </c>
    </row>
    <row r="617" spans="1:62" ht="15" thickBot="1" x14ac:dyDescent="0.35">
      <c r="A617" s="1200">
        <v>6</v>
      </c>
      <c r="B617" s="1208">
        <v>607.1</v>
      </c>
      <c r="C617" s="1203"/>
      <c r="D617" s="1203"/>
      <c r="E617" s="1203" t="s">
        <v>273</v>
      </c>
      <c r="F617" s="1203"/>
      <c r="G617" s="1202" t="str">
        <f>IF(N617&gt;0,"P","")</f>
        <v/>
      </c>
      <c r="H617" s="1200" t="s">
        <v>4388</v>
      </c>
      <c r="I617" s="66"/>
      <c r="J617" s="27" t="s">
        <v>273</v>
      </c>
      <c r="K617" s="86"/>
      <c r="L617" s="86" t="s">
        <v>744</v>
      </c>
      <c r="M617" s="305">
        <v>3</v>
      </c>
      <c r="N617" s="282">
        <f>'Ch6'!O363</f>
        <v>0</v>
      </c>
      <c r="O617" s="282">
        <f>M617*S617*W617</f>
        <v>0</v>
      </c>
      <c r="P617" s="280" t="b">
        <v>0</v>
      </c>
      <c r="Q617" s="280" t="b">
        <v>1</v>
      </c>
      <c r="R617" s="280" t="b">
        <v>0</v>
      </c>
      <c r="S617" s="280" t="b">
        <v>1</v>
      </c>
      <c r="T617" s="280" t="b">
        <v>0</v>
      </c>
      <c r="U617" s="280"/>
      <c r="V617" s="280"/>
      <c r="W617" s="105"/>
      <c r="X617" s="298"/>
      <c r="Y617" s="313" t="str">
        <f>IF(LEN('Ch6'!X363)=0,"None",'Ch6'!X363)</f>
        <v>None</v>
      </c>
      <c r="Z617" s="1173"/>
      <c r="AC617" s="280"/>
      <c r="AD617" s="280"/>
      <c r="AE617" s="280"/>
      <c r="AF617" s="280"/>
      <c r="AG617" s="280"/>
      <c r="AH617" s="280"/>
      <c r="AI617" s="280"/>
      <c r="AJ617" s="280"/>
      <c r="AK617" s="280"/>
      <c r="AL617" s="311" t="str">
        <f t="shared" ref="AL617:AL618" si="186">SUBSTITUTE(SUBSTITUTE(SUBSTITUTE("vpa"&amp;$B617&amp;$C617&amp;$D617&amp;$E617&amp;$F617,".","_"),"(","_"),")","")</f>
        <v>vpa607_1_2</v>
      </c>
      <c r="AM617" s="311">
        <f>M617</f>
        <v>3</v>
      </c>
      <c r="AN617" s="311" t="str">
        <f t="shared" ref="AN617:AN618" si="187">SUBSTITUTE(SUBSTITUTE(SUBSTITUTE("vpc"&amp;$B617&amp;$C617&amp;$D617&amp;$E617&amp;$F617,".","_"),"(","_"),")","")</f>
        <v>vpc607_1_2</v>
      </c>
      <c r="AO617" s="311">
        <f>O617</f>
        <v>0</v>
      </c>
      <c r="AP617" s="311" t="str">
        <f>SUBSTITUTE(SUBSTITUTE(SUBSTITUTE("vch"&amp;$B617&amp;$C617&amp;$D617&amp;$E617&amp;$F617,".","_"),"(","_"),")","")</f>
        <v>vch607_1_2</v>
      </c>
      <c r="AQ617" s="311">
        <f>W617</f>
        <v>0</v>
      </c>
      <c r="AR617" s="311" t="str">
        <f t="shared" ref="AR617:AR618" si="188">SUBSTITUTE(SUBSTITUTE(SUBSTITUTE("vnt"&amp;$B617&amp;$C617&amp;$D617&amp;$E617&amp;$F617,".","_"),"(","_"),")","")</f>
        <v>vnt607_1_2</v>
      </c>
      <c r="AS617" s="311">
        <f>X617</f>
        <v>0</v>
      </c>
      <c r="BJ617" s="1184" t="s">
        <v>4763</v>
      </c>
    </row>
    <row r="618" spans="1:62" ht="15" thickTop="1" x14ac:dyDescent="0.3">
      <c r="A618" s="1200">
        <v>6</v>
      </c>
      <c r="B618" s="1208">
        <v>607.20000000000005</v>
      </c>
      <c r="C618" s="1203"/>
      <c r="D618" s="1203"/>
      <c r="E618" s="1203"/>
      <c r="F618" s="1203"/>
      <c r="G618" s="1202" t="str">
        <f>IF(N618&gt;0,"P","")</f>
        <v/>
      </c>
      <c r="H618" s="1200" t="s">
        <v>4388</v>
      </c>
      <c r="I618" s="200">
        <v>607.20000000000005</v>
      </c>
      <c r="J618" s="201"/>
      <c r="K618" s="202"/>
      <c r="L618" s="1331" t="s">
        <v>745</v>
      </c>
      <c r="M618" s="1343">
        <v>1</v>
      </c>
      <c r="N618" s="1528">
        <f>'Ch6'!O364</f>
        <v>0</v>
      </c>
      <c r="O618" s="1528">
        <f>M618*S618*W618</f>
        <v>0</v>
      </c>
      <c r="P618" s="280" t="b">
        <v>0</v>
      </c>
      <c r="Q618" s="280" t="b">
        <v>1</v>
      </c>
      <c r="R618" s="110" t="b">
        <v>0</v>
      </c>
      <c r="S618" s="110" t="b">
        <v>1</v>
      </c>
      <c r="T618" s="110" t="b">
        <v>0</v>
      </c>
      <c r="U618" s="110"/>
      <c r="V618" s="110"/>
      <c r="W618" s="127"/>
      <c r="X618" s="1327"/>
      <c r="Y618" s="1525" t="str">
        <f>IF(LEN('Ch6'!X364)=0,"None",'Ch6'!X364)</f>
        <v>None</v>
      </c>
      <c r="Z618" s="1585"/>
      <c r="AC618" s="280"/>
      <c r="AD618" s="280"/>
      <c r="AE618" s="280"/>
      <c r="AF618" s="280"/>
      <c r="AG618" s="280"/>
      <c r="AH618" s="280"/>
      <c r="AI618" s="280"/>
      <c r="AJ618" s="280"/>
      <c r="AK618" s="280"/>
      <c r="AL618" s="311" t="str">
        <f t="shared" si="186"/>
        <v>vpa607_2</v>
      </c>
      <c r="AM618" s="311">
        <f>M618</f>
        <v>1</v>
      </c>
      <c r="AN618" s="311" t="str">
        <f t="shared" si="187"/>
        <v>vpc607_2</v>
      </c>
      <c r="AO618" s="311">
        <f>O618</f>
        <v>0</v>
      </c>
      <c r="AP618" s="311" t="str">
        <f>SUBSTITUTE(SUBSTITUTE(SUBSTITUTE("vch"&amp;$B618&amp;$C618&amp;$D618&amp;$E618&amp;$F618,".","_"),"(","_"),")","")</f>
        <v>vch607_2</v>
      </c>
      <c r="AQ618" s="311">
        <f>W618</f>
        <v>0</v>
      </c>
      <c r="AR618" s="311" t="str">
        <f t="shared" si="188"/>
        <v>vnt607_2</v>
      </c>
      <c r="AS618" s="311">
        <f>X618</f>
        <v>0</v>
      </c>
      <c r="BJ618" s="1184" t="s">
        <v>4763</v>
      </c>
    </row>
    <row r="619" spans="1:62" x14ac:dyDescent="0.3">
      <c r="A619" s="1200">
        <v>6</v>
      </c>
      <c r="B619" s="1208">
        <v>607.20000000000005</v>
      </c>
      <c r="C619" s="1203"/>
      <c r="D619" s="1203"/>
      <c r="E619" s="1203"/>
      <c r="F619" s="1203"/>
      <c r="G619" s="1202" t="str">
        <f t="shared" ref="G619" si="189">G618</f>
        <v/>
      </c>
      <c r="H619" s="1200" t="s">
        <v>4388</v>
      </c>
      <c r="I619" s="141"/>
      <c r="J619" s="140"/>
      <c r="K619" s="98"/>
      <c r="L619" s="1313"/>
      <c r="M619" s="1318"/>
      <c r="N619" s="1473"/>
      <c r="O619" s="1473"/>
      <c r="P619" s="97"/>
      <c r="Q619" s="97"/>
      <c r="R619" s="97"/>
      <c r="S619" s="97"/>
      <c r="T619" s="97"/>
      <c r="U619" s="97"/>
      <c r="V619" s="97"/>
      <c r="W619" s="97"/>
      <c r="X619" s="1295"/>
      <c r="Y619" s="1522"/>
      <c r="Z619" s="1586"/>
      <c r="AC619" s="280"/>
      <c r="AD619" s="280"/>
      <c r="AE619" s="280"/>
      <c r="AF619" s="280"/>
      <c r="AG619" s="280"/>
      <c r="AH619" s="280"/>
      <c r="AI619" s="280"/>
      <c r="AJ619" s="280"/>
      <c r="AK619" s="280"/>
      <c r="AL619" s="280"/>
      <c r="AM619" s="280"/>
      <c r="AN619" s="280"/>
      <c r="AO619" s="280"/>
      <c r="AP619" s="280"/>
      <c r="AQ619" s="280"/>
      <c r="AR619" s="280"/>
      <c r="AS619" s="280"/>
      <c r="BJ619" s="1184" t="s">
        <v>4763</v>
      </c>
    </row>
    <row r="620" spans="1:62" ht="18" x14ac:dyDescent="0.35">
      <c r="A620" s="1200">
        <v>6</v>
      </c>
      <c r="B620" s="1208">
        <v>608</v>
      </c>
      <c r="C620" s="1203"/>
      <c r="D620" s="1203"/>
      <c r="E620" s="1203"/>
      <c r="F620" s="1203"/>
      <c r="G620" s="1202" t="s">
        <v>4389</v>
      </c>
      <c r="H620" s="1200" t="s">
        <v>4386</v>
      </c>
      <c r="I620" s="14" t="s">
        <v>746</v>
      </c>
      <c r="J620" s="23"/>
      <c r="K620" s="85"/>
      <c r="L620" s="82"/>
      <c r="M620" s="71"/>
      <c r="N620" s="71"/>
      <c r="O620" s="71"/>
      <c r="P620" s="23"/>
      <c r="Q620" s="23"/>
      <c r="R620" s="23"/>
      <c r="S620" s="23"/>
      <c r="T620" s="23"/>
      <c r="U620" s="23"/>
      <c r="V620" s="23"/>
      <c r="W620" s="23"/>
      <c r="X620" s="23"/>
      <c r="Y620" s="23"/>
      <c r="Z620" s="1168"/>
      <c r="AC620" s="280"/>
      <c r="AD620" s="280"/>
      <c r="AE620" s="280"/>
      <c r="AF620" s="280"/>
      <c r="AG620" s="280"/>
      <c r="AH620" s="280"/>
      <c r="AI620" s="280"/>
      <c r="AJ620" s="280"/>
      <c r="AK620" s="280"/>
      <c r="AL620" s="280"/>
      <c r="AM620" s="280"/>
      <c r="AN620" s="280"/>
      <c r="AO620" s="280"/>
      <c r="AP620" s="280"/>
      <c r="AQ620" s="280"/>
      <c r="AR620" s="280"/>
      <c r="AS620" s="280"/>
      <c r="BJ620" s="1184" t="s">
        <v>4763</v>
      </c>
    </row>
    <row r="621" spans="1:62" x14ac:dyDescent="0.3">
      <c r="A621" s="1200">
        <v>6</v>
      </c>
      <c r="B621" s="1208">
        <v>608.1</v>
      </c>
      <c r="C621" s="1203"/>
      <c r="D621" s="1203"/>
      <c r="E621" s="1203"/>
      <c r="F621" s="1203"/>
      <c r="G621" s="1202" t="str">
        <f ca="1">IF(N621&gt;0,"P","")</f>
        <v>P</v>
      </c>
      <c r="H621" s="1200" t="s">
        <v>4386</v>
      </c>
      <c r="I621" s="66">
        <v>608.1</v>
      </c>
      <c r="J621" s="4"/>
      <c r="K621" s="86"/>
      <c r="L621" s="1292" t="s">
        <v>747</v>
      </c>
      <c r="M621" s="1387" t="s">
        <v>3290</v>
      </c>
      <c r="N621" s="1463">
        <f ca="1">'Ch6'!O367</f>
        <v>6</v>
      </c>
      <c r="O621" s="1463">
        <f ca="1">IFERROR(MATCH(W621,INDIRECT(U621),0),0)*3</f>
        <v>0</v>
      </c>
      <c r="P621" s="280" t="b">
        <v>1</v>
      </c>
      <c r="Q621" s="280" t="b">
        <v>1</v>
      </c>
      <c r="R621" s="280" t="b">
        <v>0</v>
      </c>
      <c r="S621" s="280" t="b">
        <v>1</v>
      </c>
      <c r="T621" s="280" t="b">
        <v>0</v>
      </c>
      <c r="U621" s="97" t="str">
        <f>SUBSTITUTE(SUBSTITUTE(SUBSTITUTE("dd"&amp;B621&amp;C621&amp;D621&amp;E621&amp;F621,".","_"),"(","_"),")","")</f>
        <v>dd608_1</v>
      </c>
      <c r="V621" s="280"/>
      <c r="W621" s="12"/>
      <c r="X621" s="1337"/>
      <c r="Y621" s="1522" t="str">
        <f>IF(LEN('Ch6'!X367)=0,"None",'Ch6'!X367)</f>
        <v>Weyerhaeuser Trus Joist; Boise Cascade Versa-Lam</v>
      </c>
      <c r="Z621" s="1586"/>
      <c r="AC621" s="280" t="b">
        <f>OR(AD621:AE621)</f>
        <v>0</v>
      </c>
      <c r="AD621" s="985" t="b">
        <f>T621</f>
        <v>0</v>
      </c>
      <c r="AE621" s="280" t="b">
        <f>AND(NOT(ISBLANK(W621)),LEN(X621)=0)</f>
        <v>0</v>
      </c>
      <c r="AF621" s="1182" t="b">
        <f>AND(AE621,NOT(Q621))</f>
        <v>0</v>
      </c>
      <c r="AG621" s="280"/>
      <c r="AH621" s="280"/>
      <c r="AI621" s="280"/>
      <c r="AJ621" s="280"/>
      <c r="AK621" s="280"/>
      <c r="AL621" s="311" t="str">
        <f t="shared" ref="AL621" si="190">SUBSTITUTE(SUBSTITUTE(SUBSTITUTE("vpa"&amp;$B621&amp;$C621&amp;$D621&amp;$E621&amp;$F621,".","_"),"(","_"),")","")</f>
        <v>vpa608_1</v>
      </c>
      <c r="AM621" s="311" t="str">
        <f>M621</f>
        <v>9 Max
3 per material</v>
      </c>
      <c r="AN621" s="311" t="str">
        <f>SUBSTITUTE(SUBSTITUTE(SUBSTITUTE("vpc"&amp;$B621&amp;$C621&amp;$D621&amp;$E621&amp;$F621,".","_"),"(","_"),")","")</f>
        <v>vpc608_1</v>
      </c>
      <c r="AO621" s="311">
        <f ca="1">O621</f>
        <v>0</v>
      </c>
      <c r="AP621" s="311" t="str">
        <f>SUBSTITUTE(SUBSTITUTE(SUBSTITUTE("vch"&amp;$B621&amp;$C621&amp;$D621&amp;$E621&amp;$F621,".","_"),"(","_"),")","")</f>
        <v>vch608_1</v>
      </c>
      <c r="AQ621" s="311">
        <f>W621</f>
        <v>0</v>
      </c>
      <c r="AR621" s="311" t="str">
        <f>SUBSTITUTE(SUBSTITUTE(SUBSTITUTE("vnt"&amp;$B621&amp;$C621&amp;$D621&amp;$E621&amp;$F621,".","_"),"(","_"),")","")</f>
        <v>vnt608_1</v>
      </c>
      <c r="AS621" s="311">
        <f>X621</f>
        <v>0</v>
      </c>
      <c r="BJ621" s="1184" t="s">
        <v>4763</v>
      </c>
    </row>
    <row r="622" spans="1:62" x14ac:dyDescent="0.3">
      <c r="A622" s="1200">
        <v>6</v>
      </c>
      <c r="B622" s="1208">
        <v>608.1</v>
      </c>
      <c r="C622" s="1203"/>
      <c r="D622" s="1203"/>
      <c r="E622" s="1203"/>
      <c r="F622" s="1203"/>
      <c r="G622" s="1202" t="str">
        <f t="shared" ref="G622:G628" ca="1" si="191">G621</f>
        <v>P</v>
      </c>
      <c r="H622" s="1200" t="s">
        <v>4386</v>
      </c>
      <c r="I622" s="66"/>
      <c r="J622" s="4"/>
      <c r="K622" s="86"/>
      <c r="L622" s="1292"/>
      <c r="M622" s="1387"/>
      <c r="N622" s="1463"/>
      <c r="O622" s="1463"/>
      <c r="P622" s="280"/>
      <c r="Q622" s="280"/>
      <c r="R622" s="280"/>
      <c r="S622" s="280"/>
      <c r="T622" s="280"/>
      <c r="U622" s="280"/>
      <c r="V622" s="280"/>
      <c r="W622" s="280"/>
      <c r="X622" s="1312"/>
      <c r="Y622" s="1522"/>
      <c r="Z622" s="1586"/>
      <c r="AC622" s="280"/>
      <c r="AD622" s="280"/>
      <c r="AE622" s="280"/>
      <c r="AF622" s="280"/>
      <c r="AG622" s="280"/>
      <c r="AH622" s="280"/>
      <c r="AI622" s="280"/>
      <c r="AJ622" s="280"/>
      <c r="AK622" s="280"/>
      <c r="AL622" s="280"/>
      <c r="AM622" s="280"/>
      <c r="AN622" s="280"/>
      <c r="AO622" s="280"/>
      <c r="AP622" s="280"/>
      <c r="AQ622" s="280"/>
      <c r="AR622" s="280"/>
      <c r="AS622" s="280"/>
      <c r="BJ622" s="1184" t="s">
        <v>4763</v>
      </c>
    </row>
    <row r="623" spans="1:62" x14ac:dyDescent="0.3">
      <c r="A623" s="1200">
        <v>6</v>
      </c>
      <c r="B623" s="1208">
        <v>608.1</v>
      </c>
      <c r="C623" s="1203"/>
      <c r="D623" s="1203"/>
      <c r="E623" s="1203"/>
      <c r="F623" s="1203"/>
      <c r="G623" s="1202" t="str">
        <f t="shared" ca="1" si="191"/>
        <v>P</v>
      </c>
      <c r="H623" s="1200" t="s">
        <v>4386</v>
      </c>
      <c r="I623" s="66"/>
      <c r="J623" s="4"/>
      <c r="K623" s="86"/>
      <c r="L623" s="1292"/>
      <c r="M623" s="1387"/>
      <c r="N623" s="1463"/>
      <c r="O623" s="1463"/>
      <c r="P623" s="280"/>
      <c r="Q623" s="280"/>
      <c r="R623" s="280"/>
      <c r="S623" s="280"/>
      <c r="T623" s="280"/>
      <c r="U623" s="280"/>
      <c r="V623" s="280"/>
      <c r="W623" s="280"/>
      <c r="X623" s="1312"/>
      <c r="Y623" s="1522"/>
      <c r="Z623" s="1586"/>
      <c r="AC623" s="280"/>
      <c r="AD623" s="280"/>
      <c r="AE623" s="280"/>
      <c r="AF623" s="280"/>
      <c r="AG623" s="280"/>
      <c r="AH623" s="280"/>
      <c r="AI623" s="280"/>
      <c r="AJ623" s="280"/>
      <c r="AK623" s="280"/>
      <c r="AL623" s="280"/>
      <c r="AM623" s="280"/>
      <c r="AN623" s="280"/>
      <c r="AO623" s="280"/>
      <c r="AP623" s="280"/>
      <c r="AQ623" s="280"/>
      <c r="AR623" s="280"/>
      <c r="AS623" s="280"/>
      <c r="BJ623" s="1184" t="s">
        <v>4763</v>
      </c>
    </row>
    <row r="624" spans="1:62" x14ac:dyDescent="0.3">
      <c r="A624" s="1200">
        <v>6</v>
      </c>
      <c r="B624" s="1208">
        <v>608.1</v>
      </c>
      <c r="C624" s="1203"/>
      <c r="D624" s="1203"/>
      <c r="E624" s="1203" t="s">
        <v>271</v>
      </c>
      <c r="F624" s="1203"/>
      <c r="G624" s="1202" t="str">
        <f t="shared" ca="1" si="191"/>
        <v>P</v>
      </c>
      <c r="H624" s="1200" t="s">
        <v>4386</v>
      </c>
      <c r="I624" s="66"/>
      <c r="J624" s="27" t="s">
        <v>271</v>
      </c>
      <c r="K624" s="86"/>
      <c r="L624" s="1329" t="s">
        <v>748</v>
      </c>
      <c r="M624" s="1387"/>
      <c r="N624" s="1463"/>
      <c r="O624" s="1463"/>
      <c r="P624" s="280"/>
      <c r="Q624" s="280"/>
      <c r="R624" s="280"/>
      <c r="S624" s="280"/>
      <c r="T624" s="280"/>
      <c r="U624" s="280"/>
      <c r="V624" s="280"/>
      <c r="W624" s="280"/>
      <c r="X624" s="1312"/>
      <c r="Y624" s="1522"/>
      <c r="Z624" s="1586"/>
      <c r="AC624" s="280"/>
      <c r="AD624" s="280"/>
      <c r="AE624" s="280"/>
      <c r="AF624" s="280"/>
      <c r="AG624" s="280"/>
      <c r="AH624" s="280"/>
      <c r="AI624" s="280"/>
      <c r="AJ624" s="280"/>
      <c r="AK624" s="280"/>
      <c r="AL624" s="280"/>
      <c r="AM624" s="280"/>
      <c r="AN624" s="280"/>
      <c r="AO624" s="280"/>
      <c r="AP624" s="280"/>
      <c r="AQ624" s="280"/>
      <c r="AR624" s="280"/>
      <c r="AS624" s="280"/>
      <c r="BJ624" s="1184" t="s">
        <v>4763</v>
      </c>
    </row>
    <row r="625" spans="1:62" x14ac:dyDescent="0.3">
      <c r="A625" s="1200">
        <v>6</v>
      </c>
      <c r="B625" s="1208">
        <v>608.1</v>
      </c>
      <c r="C625" s="1203"/>
      <c r="D625" s="1203"/>
      <c r="E625" s="1203" t="s">
        <v>271</v>
      </c>
      <c r="F625" s="1203"/>
      <c r="G625" s="1202" t="str">
        <f t="shared" ca="1" si="191"/>
        <v>P</v>
      </c>
      <c r="H625" s="1200" t="s">
        <v>4386</v>
      </c>
      <c r="I625" s="66"/>
      <c r="J625" s="27"/>
      <c r="K625" s="86"/>
      <c r="L625" s="1329"/>
      <c r="M625" s="1387"/>
      <c r="N625" s="1463"/>
      <c r="O625" s="1463"/>
      <c r="P625" s="280"/>
      <c r="Q625" s="280"/>
      <c r="R625" s="280"/>
      <c r="S625" s="280"/>
      <c r="T625" s="280"/>
      <c r="U625" s="280"/>
      <c r="V625" s="280"/>
      <c r="W625" s="280"/>
      <c r="X625" s="1312"/>
      <c r="Y625" s="1522"/>
      <c r="Z625" s="1586"/>
      <c r="AC625" s="280"/>
      <c r="AD625" s="280"/>
      <c r="AE625" s="280"/>
      <c r="AF625" s="280"/>
      <c r="AG625" s="280"/>
      <c r="AH625" s="280"/>
      <c r="AI625" s="280"/>
      <c r="AJ625" s="280"/>
      <c r="AK625" s="280"/>
      <c r="AL625" s="280"/>
      <c r="AM625" s="280"/>
      <c r="AN625" s="280"/>
      <c r="AO625" s="280"/>
      <c r="AP625" s="280"/>
      <c r="AQ625" s="280"/>
      <c r="AR625" s="280"/>
      <c r="AS625" s="280"/>
      <c r="BJ625" s="1184" t="s">
        <v>4763</v>
      </c>
    </row>
    <row r="626" spans="1:62" x14ac:dyDescent="0.3">
      <c r="A626" s="1200">
        <v>6</v>
      </c>
      <c r="B626" s="1208">
        <v>608.1</v>
      </c>
      <c r="C626" s="1203"/>
      <c r="D626" s="1203"/>
      <c r="E626" s="1203" t="s">
        <v>273</v>
      </c>
      <c r="F626" s="1203"/>
      <c r="G626" s="1202" t="str">
        <f t="shared" ca="1" si="191"/>
        <v>P</v>
      </c>
      <c r="H626" s="1200" t="s">
        <v>4386</v>
      </c>
      <c r="I626" s="66"/>
      <c r="J626" s="27" t="s">
        <v>273</v>
      </c>
      <c r="K626" s="86"/>
      <c r="L626" s="86" t="s">
        <v>749</v>
      </c>
      <c r="M626" s="1387"/>
      <c r="N626" s="1463"/>
      <c r="O626" s="1463"/>
      <c r="P626" s="280"/>
      <c r="Q626" s="280"/>
      <c r="R626" s="280"/>
      <c r="S626" s="280"/>
      <c r="T626" s="280"/>
      <c r="U626" s="280"/>
      <c r="V626" s="280"/>
      <c r="W626" s="280"/>
      <c r="X626" s="1312"/>
      <c r="Y626" s="1522"/>
      <c r="Z626" s="1586"/>
      <c r="AC626" s="280"/>
      <c r="AD626" s="280"/>
      <c r="AE626" s="280"/>
      <c r="AF626" s="280"/>
      <c r="AG626" s="280"/>
      <c r="AH626" s="280"/>
      <c r="AI626" s="280"/>
      <c r="AJ626" s="280"/>
      <c r="AK626" s="280"/>
      <c r="AL626" s="280"/>
      <c r="AM626" s="280"/>
      <c r="AN626" s="280"/>
      <c r="AO626" s="280"/>
      <c r="AP626" s="280"/>
      <c r="AQ626" s="280"/>
      <c r="AR626" s="280"/>
      <c r="AS626" s="280"/>
      <c r="BJ626" s="1184" t="s">
        <v>4763</v>
      </c>
    </row>
    <row r="627" spans="1:62" x14ac:dyDescent="0.3">
      <c r="A627" s="1200">
        <v>6</v>
      </c>
      <c r="B627" s="1208">
        <v>608.1</v>
      </c>
      <c r="C627" s="1203"/>
      <c r="D627" s="1203"/>
      <c r="E627" s="1203" t="s">
        <v>275</v>
      </c>
      <c r="F627" s="1203"/>
      <c r="G627" s="1202" t="str">
        <f t="shared" ca="1" si="191"/>
        <v>P</v>
      </c>
      <c r="H627" s="1200" t="s">
        <v>4386</v>
      </c>
      <c r="I627" s="66"/>
      <c r="J627" s="27" t="s">
        <v>275</v>
      </c>
      <c r="K627" s="86"/>
      <c r="L627" s="86" t="s">
        <v>750</v>
      </c>
      <c r="M627" s="1387"/>
      <c r="N627" s="1463"/>
      <c r="O627" s="1463"/>
      <c r="P627" s="280"/>
      <c r="Q627" s="280"/>
      <c r="R627" s="280"/>
      <c r="S627" s="280"/>
      <c r="T627" s="280"/>
      <c r="U627" s="280"/>
      <c r="V627" s="280"/>
      <c r="W627" s="280"/>
      <c r="X627" s="1312"/>
      <c r="Y627" s="1522"/>
      <c r="Z627" s="1586"/>
      <c r="AC627" s="280"/>
      <c r="AD627" s="280"/>
      <c r="AE627" s="280"/>
      <c r="AF627" s="280"/>
      <c r="AG627" s="280"/>
      <c r="AH627" s="280"/>
      <c r="AI627" s="280"/>
      <c r="AJ627" s="280"/>
      <c r="AK627" s="280"/>
      <c r="AL627" s="280"/>
      <c r="AM627" s="280"/>
      <c r="AN627" s="280"/>
      <c r="AO627" s="280"/>
      <c r="AP627" s="280"/>
      <c r="AQ627" s="280"/>
      <c r="AR627" s="280"/>
      <c r="AS627" s="280"/>
      <c r="BJ627" s="1184" t="s">
        <v>4763</v>
      </c>
    </row>
    <row r="628" spans="1:62" ht="15" customHeight="1" x14ac:dyDescent="0.3">
      <c r="A628" s="1200">
        <v>6</v>
      </c>
      <c r="B628" s="1208">
        <v>608.1</v>
      </c>
      <c r="C628" s="1203"/>
      <c r="D628" s="1203"/>
      <c r="E628" s="1203"/>
      <c r="F628" s="1203"/>
      <c r="G628" s="1202" t="str">
        <f t="shared" ca="1" si="191"/>
        <v>P</v>
      </c>
      <c r="H628" s="1200" t="s">
        <v>4386</v>
      </c>
      <c r="I628" s="66"/>
      <c r="J628" s="27"/>
      <c r="K628" s="86"/>
      <c r="L628" s="291" t="s">
        <v>3294</v>
      </c>
      <c r="M628" s="1387"/>
      <c r="N628" s="1463"/>
      <c r="O628" s="1463"/>
      <c r="P628" s="280"/>
      <c r="Q628" s="280"/>
      <c r="R628" s="280"/>
      <c r="S628" s="280"/>
      <c r="T628" s="280"/>
      <c r="U628" s="280"/>
      <c r="V628" s="280"/>
      <c r="W628" s="280"/>
      <c r="X628" s="1304"/>
      <c r="Y628" s="1522"/>
      <c r="Z628" s="1586"/>
      <c r="AC628" s="280"/>
      <c r="AD628" s="280"/>
      <c r="AE628" s="280"/>
      <c r="AF628" s="280"/>
      <c r="AG628" s="280"/>
      <c r="AH628" s="280"/>
      <c r="AI628" s="280"/>
      <c r="AJ628" s="280"/>
      <c r="AK628" s="280"/>
      <c r="AL628" s="280"/>
      <c r="AM628" s="280"/>
      <c r="AN628" s="280"/>
      <c r="AO628" s="280"/>
      <c r="AP628" s="280"/>
      <c r="AQ628" s="280"/>
      <c r="AR628" s="280"/>
      <c r="AS628" s="280"/>
      <c r="BJ628" s="1184" t="s">
        <v>4763</v>
      </c>
    </row>
    <row r="629" spans="1:62" ht="18" x14ac:dyDescent="0.35">
      <c r="A629" s="1200">
        <v>6</v>
      </c>
      <c r="B629" s="1208">
        <v>609</v>
      </c>
      <c r="C629" s="1203"/>
      <c r="D629" s="1203"/>
      <c r="E629" s="1203"/>
      <c r="F629" s="1203"/>
      <c r="G629" s="1202" t="s">
        <v>4389</v>
      </c>
      <c r="H629" s="1200" t="s">
        <v>4386</v>
      </c>
      <c r="I629" s="14" t="s">
        <v>751</v>
      </c>
      <c r="J629" s="23"/>
      <c r="K629" s="85"/>
      <c r="L629" s="82"/>
      <c r="M629" s="71"/>
      <c r="N629" s="71"/>
      <c r="O629" s="71"/>
      <c r="P629" s="23"/>
      <c r="Q629" s="23"/>
      <c r="R629" s="23"/>
      <c r="S629" s="23"/>
      <c r="T629" s="23"/>
      <c r="U629" s="23"/>
      <c r="V629" s="23"/>
      <c r="W629" s="23"/>
      <c r="X629" s="23"/>
      <c r="Y629" s="23"/>
      <c r="Z629" s="1168"/>
      <c r="AC629" s="280"/>
      <c r="AD629" s="280"/>
      <c r="AE629" s="280"/>
      <c r="AF629" s="280"/>
      <c r="AG629" s="280"/>
      <c r="AH629" s="280"/>
      <c r="AI629" s="280"/>
      <c r="AJ629" s="280"/>
      <c r="AK629" s="280"/>
      <c r="AL629" s="280"/>
      <c r="AM629" s="280"/>
      <c r="AN629" s="280"/>
      <c r="AO629" s="280"/>
      <c r="AP629" s="280"/>
      <c r="AQ629" s="280"/>
      <c r="AR629" s="280"/>
      <c r="AS629" s="280"/>
      <c r="BJ629" s="1184" t="s">
        <v>4763</v>
      </c>
    </row>
    <row r="630" spans="1:62" x14ac:dyDescent="0.3">
      <c r="A630" s="1200">
        <v>6</v>
      </c>
      <c r="B630" s="1208">
        <v>609.1</v>
      </c>
      <c r="C630" s="1203" t="s">
        <v>3173</v>
      </c>
      <c r="D630" s="1203"/>
      <c r="E630" s="1203"/>
      <c r="F630" s="1203"/>
      <c r="G630" s="1202" t="str">
        <f ca="1">IF(N630&gt;0,"P","")</f>
        <v/>
      </c>
      <c r="H630" s="1200" t="s">
        <v>4386</v>
      </c>
      <c r="I630" s="66">
        <v>609.1</v>
      </c>
      <c r="J630" s="4"/>
      <c r="K630" s="86"/>
      <c r="L630" s="1292" t="s">
        <v>752</v>
      </c>
      <c r="M630" s="1387" t="s">
        <v>3295</v>
      </c>
      <c r="N630" s="1463">
        <f ca="1">'Ch6'!O376</f>
        <v>0</v>
      </c>
      <c r="O630" s="1463">
        <f ca="1">MIN(10,IFERROR(MATCH(W631,INDIRECT(U631),0),0)*2+IFERROR(MATCH(W634,INDIRECT(U634),0),0))</f>
        <v>0</v>
      </c>
      <c r="P630" s="280"/>
      <c r="Q630" s="280"/>
      <c r="R630" s="280"/>
      <c r="S630" s="280"/>
      <c r="T630" s="280"/>
      <c r="U630" s="280"/>
      <c r="V630" s="280"/>
      <c r="W630" s="280" t="s">
        <v>3296</v>
      </c>
      <c r="X630" s="1383"/>
      <c r="Y630" s="1522" t="str">
        <f>IF(LEN('Ch6'!X376)=0,"None",'Ch6'!X376)</f>
        <v>None</v>
      </c>
      <c r="Z630" s="1586"/>
      <c r="AC630" s="280"/>
      <c r="AD630" s="280"/>
      <c r="AE630" s="280"/>
      <c r="AF630" s="280"/>
      <c r="AG630" s="280"/>
      <c r="AH630" s="280"/>
      <c r="AI630" s="280"/>
      <c r="AJ630" s="280"/>
      <c r="AK630" s="280"/>
      <c r="AL630" s="311" t="str">
        <f t="shared" ref="AL630" si="192">SUBSTITUTE(SUBSTITUTE(SUBSTITUTE("vpa"&amp;$B630&amp;$C630&amp;$D630&amp;$E630&amp;$F630,".","_"),"(","_"),")","")</f>
        <v>vpa609_1a</v>
      </c>
      <c r="AM630" s="311" t="str">
        <f>M630</f>
        <v>10 Max
2 per each major comp. 
and 
1 per each minor comp.</v>
      </c>
      <c r="AN630" s="311" t="str">
        <f>SUBSTITUTE(SUBSTITUTE(SUBSTITUTE("vpc"&amp;$B630&amp;$C630&amp;$D630&amp;$E630&amp;$F630,".","_"),"(","_"),")","")</f>
        <v>vpc609_1a</v>
      </c>
      <c r="AO630" s="311">
        <f ca="1">O630</f>
        <v>0</v>
      </c>
      <c r="AP630" s="280"/>
      <c r="AQ630" s="280"/>
      <c r="AR630" s="311" t="str">
        <f>SUBSTITUTE(SUBSTITUTE(SUBSTITUTE("vnt"&amp;$B630&amp;$C630&amp;$D630&amp;$E630&amp;$F630,".","_"),"(","_"),")","")</f>
        <v>vnt609_1a</v>
      </c>
      <c r="AS630" s="311">
        <f>X630</f>
        <v>0</v>
      </c>
      <c r="BJ630" s="1184" t="s">
        <v>4763</v>
      </c>
    </row>
    <row r="631" spans="1:62" x14ac:dyDescent="0.3">
      <c r="A631" s="1200">
        <v>6</v>
      </c>
      <c r="B631" s="1208">
        <v>609.1</v>
      </c>
      <c r="C631" s="1203" t="s">
        <v>3173</v>
      </c>
      <c r="D631" s="1203"/>
      <c r="E631" s="1203"/>
      <c r="F631" s="1203"/>
      <c r="G631" s="1202" t="str">
        <f t="shared" ref="G631:G636" ca="1" si="193">G630</f>
        <v/>
      </c>
      <c r="H631" s="1200" t="s">
        <v>4386</v>
      </c>
      <c r="I631" s="66"/>
      <c r="J631" s="4"/>
      <c r="K631" s="86"/>
      <c r="L631" s="1292"/>
      <c r="M631" s="1387"/>
      <c r="N631" s="1463"/>
      <c r="O631" s="1463"/>
      <c r="P631" s="280" t="b">
        <v>1</v>
      </c>
      <c r="Q631" s="280" t="b">
        <v>1</v>
      </c>
      <c r="R631" s="280" t="b">
        <v>0</v>
      </c>
      <c r="S631" s="280" t="b">
        <v>1</v>
      </c>
      <c r="T631" s="280" t="b">
        <v>0</v>
      </c>
      <c r="U631" s="97" t="str">
        <f>SUBSTITUTE(SUBSTITUTE(SUBSTITUTE("dd"&amp;B631&amp;C631&amp;D631&amp;E631&amp;F631,".","_"),"(","_"),")","")</f>
        <v>dd609_1a</v>
      </c>
      <c r="V631" s="280"/>
      <c r="W631" s="12"/>
      <c r="X631" s="1383"/>
      <c r="Y631" s="1522"/>
      <c r="Z631" s="1586"/>
      <c r="AC631" s="280" t="b">
        <f>OR(AD631:AE631)</f>
        <v>0</v>
      </c>
      <c r="AD631" s="985" t="b">
        <f>T631</f>
        <v>0</v>
      </c>
      <c r="AE631" s="280" t="b">
        <f>AND(NOT(ISBLANK(W631)),LEN(X630)=0)</f>
        <v>0</v>
      </c>
      <c r="AF631" s="1182" t="b">
        <f>AND(AE631,NOT(Q631))</f>
        <v>0</v>
      </c>
      <c r="AG631" s="280"/>
      <c r="AH631" s="280"/>
      <c r="AI631" s="280"/>
      <c r="AJ631" s="280"/>
      <c r="AK631" s="280"/>
      <c r="AL631" s="280"/>
      <c r="AM631" s="280"/>
      <c r="AN631" s="280"/>
      <c r="AO631" s="280"/>
      <c r="AP631" s="311" t="str">
        <f>SUBSTITUTE(SUBSTITUTE(SUBSTITUTE("vch"&amp;$B631&amp;$C631&amp;$D631&amp;$E631&amp;$F631,".","_"),"(","_"),")","")</f>
        <v>vch609_1a</v>
      </c>
      <c r="AQ631" s="311">
        <f>W631</f>
        <v>0</v>
      </c>
      <c r="AR631" s="280"/>
      <c r="AS631" s="280"/>
      <c r="BJ631" s="1184" t="s">
        <v>4763</v>
      </c>
    </row>
    <row r="632" spans="1:62" x14ac:dyDescent="0.3">
      <c r="A632" s="1200">
        <v>6</v>
      </c>
      <c r="B632" s="1208">
        <v>609.1</v>
      </c>
      <c r="C632" s="1203"/>
      <c r="D632" s="1203"/>
      <c r="E632" s="1203"/>
      <c r="F632" s="1203"/>
      <c r="G632" s="1202" t="str">
        <f t="shared" ca="1" si="193"/>
        <v/>
      </c>
      <c r="H632" s="1200" t="s">
        <v>4386</v>
      </c>
      <c r="I632" s="66"/>
      <c r="J632" s="4"/>
      <c r="K632" s="86"/>
      <c r="L632" s="1365" t="s">
        <v>3310</v>
      </c>
      <c r="M632" s="1387"/>
      <c r="N632" s="1463"/>
      <c r="O632" s="1463"/>
      <c r="P632" s="280"/>
      <c r="Q632" s="280"/>
      <c r="R632" s="280"/>
      <c r="S632" s="280"/>
      <c r="T632" s="280"/>
      <c r="U632" s="280"/>
      <c r="V632" s="280"/>
      <c r="W632" s="280"/>
      <c r="X632" s="1383"/>
      <c r="Y632" s="1522"/>
      <c r="Z632" s="1586"/>
      <c r="AC632" s="280"/>
      <c r="AD632" s="280"/>
      <c r="AE632" s="280"/>
      <c r="AF632" s="280"/>
      <c r="AG632" s="280"/>
      <c r="AH632" s="280"/>
      <c r="AI632" s="280"/>
      <c r="AJ632" s="280"/>
      <c r="AK632" s="280"/>
      <c r="AL632" s="280"/>
      <c r="AM632" s="280"/>
      <c r="AN632" s="280"/>
      <c r="AO632" s="280"/>
      <c r="AP632" s="280"/>
      <c r="AQ632" s="280"/>
      <c r="AR632" s="280"/>
      <c r="AS632" s="280"/>
      <c r="BJ632" s="1184" t="s">
        <v>4763</v>
      </c>
    </row>
    <row r="633" spans="1:62" x14ac:dyDescent="0.3">
      <c r="A633" s="1200">
        <v>6</v>
      </c>
      <c r="B633" s="1208">
        <v>609.1</v>
      </c>
      <c r="C633" s="1203" t="s">
        <v>3174</v>
      </c>
      <c r="D633" s="1203"/>
      <c r="E633" s="1203"/>
      <c r="F633" s="1203"/>
      <c r="G633" s="1202" t="str">
        <f t="shared" ca="1" si="193"/>
        <v/>
      </c>
      <c r="H633" s="1200" t="s">
        <v>4386</v>
      </c>
      <c r="I633" s="66"/>
      <c r="J633" s="4"/>
      <c r="K633" s="86"/>
      <c r="L633" s="1365"/>
      <c r="M633" s="1387"/>
      <c r="N633" s="1463"/>
      <c r="O633" s="1463"/>
      <c r="P633" s="280"/>
      <c r="Q633" s="280"/>
      <c r="R633" s="280"/>
      <c r="S633" s="280"/>
      <c r="T633" s="280"/>
      <c r="U633" s="280"/>
      <c r="V633" s="280"/>
      <c r="W633" s="280" t="s">
        <v>3297</v>
      </c>
      <c r="X633" s="1384"/>
      <c r="Y633" s="1522" t="str">
        <f>IF(LEN('Ch6'!X379)=0,"None",'Ch6'!X379)</f>
        <v>None</v>
      </c>
      <c r="Z633" s="1586"/>
      <c r="AC633" s="280"/>
      <c r="AD633" s="280"/>
      <c r="AE633" s="280"/>
      <c r="AF633" s="280"/>
      <c r="AG633" s="280"/>
      <c r="AH633" s="280"/>
      <c r="AI633" s="280"/>
      <c r="AJ633" s="280"/>
      <c r="AK633" s="280"/>
      <c r="AL633" s="280"/>
      <c r="AM633" s="280"/>
      <c r="AN633" s="280"/>
      <c r="AO633" s="280"/>
      <c r="AP633" s="280"/>
      <c r="AQ633" s="280"/>
      <c r="AR633" s="311" t="str">
        <f>SUBSTITUTE(SUBSTITUTE(SUBSTITUTE("vnt"&amp;$B633&amp;$C633&amp;$D633&amp;$E633&amp;$F633,".","_"),"(","_"),")","")</f>
        <v>vnt609_1b</v>
      </c>
      <c r="AS633" s="311">
        <f>X633</f>
        <v>0</v>
      </c>
      <c r="BJ633" s="1184" t="s">
        <v>4763</v>
      </c>
    </row>
    <row r="634" spans="1:62" x14ac:dyDescent="0.3">
      <c r="A634" s="1200">
        <v>6</v>
      </c>
      <c r="B634" s="1208">
        <v>609.1</v>
      </c>
      <c r="C634" s="1203" t="s">
        <v>3174</v>
      </c>
      <c r="D634" s="1203"/>
      <c r="E634" s="1203"/>
      <c r="F634" s="1203"/>
      <c r="G634" s="1202" t="str">
        <f t="shared" ca="1" si="193"/>
        <v/>
      </c>
      <c r="H634" s="1200" t="s">
        <v>4386</v>
      </c>
      <c r="I634" s="66"/>
      <c r="J634" s="4"/>
      <c r="K634" s="86"/>
      <c r="L634" s="1365"/>
      <c r="M634" s="1387"/>
      <c r="N634" s="1463"/>
      <c r="O634" s="1463"/>
      <c r="P634" s="280" t="b">
        <v>1</v>
      </c>
      <c r="Q634" s="280" t="b">
        <v>1</v>
      </c>
      <c r="R634" s="280" t="b">
        <v>0</v>
      </c>
      <c r="S634" s="280" t="b">
        <v>1</v>
      </c>
      <c r="T634" s="280" t="b">
        <v>0</v>
      </c>
      <c r="U634" s="97" t="str">
        <f>SUBSTITUTE(SUBSTITUTE(SUBSTITUTE("dd"&amp;B634&amp;C634&amp;D634&amp;E634&amp;F634,".","_"),"(","_"),")","")</f>
        <v>dd609_1b</v>
      </c>
      <c r="V634" s="280"/>
      <c r="W634" s="12"/>
      <c r="X634" s="1385"/>
      <c r="Y634" s="1522"/>
      <c r="Z634" s="1586"/>
      <c r="AC634" s="280" t="b">
        <f>OR(AD634:AE634)</f>
        <v>0</v>
      </c>
      <c r="AD634" s="985" t="b">
        <f>T634</f>
        <v>0</v>
      </c>
      <c r="AE634" s="280" t="b">
        <f>AND(NOT(ISBLANK(W634)),LEN(X633)=0)</f>
        <v>0</v>
      </c>
      <c r="AF634" s="1182" t="b">
        <f>AND(AE634,NOT(Q634))</f>
        <v>0</v>
      </c>
      <c r="AG634" s="280"/>
      <c r="AH634" s="280"/>
      <c r="AI634" s="280"/>
      <c r="AJ634" s="280"/>
      <c r="AK634" s="280"/>
      <c r="AL634" s="280"/>
      <c r="AM634" s="280"/>
      <c r="AN634" s="280"/>
      <c r="AO634" s="280"/>
      <c r="AP634" s="311" t="str">
        <f>SUBSTITUTE(SUBSTITUTE(SUBSTITUTE("vch"&amp;$B634&amp;$C634&amp;$D634&amp;$E634&amp;$F634,".","_"),"(","_"),")","")</f>
        <v>vch609_1b</v>
      </c>
      <c r="AQ634" s="311">
        <f>W634</f>
        <v>0</v>
      </c>
      <c r="AR634" s="280"/>
      <c r="AS634" s="280"/>
      <c r="BJ634" s="1184" t="s">
        <v>4763</v>
      </c>
    </row>
    <row r="635" spans="1:62" x14ac:dyDescent="0.3">
      <c r="A635" s="1200">
        <v>6</v>
      </c>
      <c r="B635" s="1208">
        <v>609.1</v>
      </c>
      <c r="C635" s="1203"/>
      <c r="D635" s="1203"/>
      <c r="E635" s="1203"/>
      <c r="F635" s="1203"/>
      <c r="G635" s="1202" t="str">
        <f t="shared" ca="1" si="193"/>
        <v/>
      </c>
      <c r="H635" s="1200" t="s">
        <v>4386</v>
      </c>
      <c r="I635" s="66"/>
      <c r="J635" s="4"/>
      <c r="K635" s="86"/>
      <c r="L635" s="1432" t="s">
        <v>3309</v>
      </c>
      <c r="M635" s="1387"/>
      <c r="N635" s="1463"/>
      <c r="O635" s="1463"/>
      <c r="P635" s="280"/>
      <c r="Q635" s="280"/>
      <c r="R635" s="280"/>
      <c r="S635" s="280"/>
      <c r="T635" s="280"/>
      <c r="U635" s="280"/>
      <c r="V635" s="280"/>
      <c r="W635" s="280"/>
      <c r="X635" s="1385"/>
      <c r="Y635" s="1522"/>
      <c r="Z635" s="1586"/>
      <c r="AC635" s="280"/>
      <c r="AD635" s="280"/>
      <c r="AE635" s="280"/>
      <c r="AF635" s="280"/>
      <c r="AG635" s="280"/>
      <c r="AH635" s="280"/>
      <c r="AI635" s="280"/>
      <c r="AJ635" s="280"/>
      <c r="AK635" s="280"/>
      <c r="AL635" s="280"/>
      <c r="AM635" s="280"/>
      <c r="AN635" s="280"/>
      <c r="AO635" s="280"/>
      <c r="AP635" s="280"/>
      <c r="AQ635" s="280"/>
      <c r="AR635" s="280"/>
      <c r="AS635" s="280"/>
      <c r="BJ635" s="1184" t="s">
        <v>4763</v>
      </c>
    </row>
    <row r="636" spans="1:62" x14ac:dyDescent="0.3">
      <c r="A636" s="1200">
        <v>6</v>
      </c>
      <c r="B636" s="1208">
        <v>609.1</v>
      </c>
      <c r="C636" s="1203"/>
      <c r="D636" s="1203"/>
      <c r="E636" s="1203"/>
      <c r="F636" s="1203"/>
      <c r="G636" s="1202" t="str">
        <f t="shared" ca="1" si="193"/>
        <v/>
      </c>
      <c r="H636" s="1200" t="s">
        <v>4386</v>
      </c>
      <c r="I636" s="66"/>
      <c r="J636" s="4"/>
      <c r="K636" s="86"/>
      <c r="L636" s="1433"/>
      <c r="M636" s="1387"/>
      <c r="N636" s="1463"/>
      <c r="O636" s="1463"/>
      <c r="P636" s="280"/>
      <c r="Q636" s="280"/>
      <c r="R636" s="280"/>
      <c r="S636" s="280"/>
      <c r="T636" s="280"/>
      <c r="U636" s="280"/>
      <c r="V636" s="280"/>
      <c r="W636" s="280"/>
      <c r="X636" s="1386"/>
      <c r="Y636" s="1522"/>
      <c r="Z636" s="1586"/>
      <c r="AC636" s="280"/>
      <c r="AD636" s="280"/>
      <c r="AE636" s="280"/>
      <c r="AF636" s="280"/>
      <c r="AG636" s="280"/>
      <c r="AH636" s="280"/>
      <c r="AI636" s="280"/>
      <c r="AJ636" s="280"/>
      <c r="AK636" s="280"/>
      <c r="AL636" s="280"/>
      <c r="AM636" s="280"/>
      <c r="AN636" s="280"/>
      <c r="AO636" s="280"/>
      <c r="AP636" s="280"/>
      <c r="AQ636" s="280"/>
      <c r="AR636" s="280"/>
      <c r="AS636" s="280"/>
      <c r="BJ636" s="1184" t="s">
        <v>4763</v>
      </c>
    </row>
    <row r="637" spans="1:62" ht="18" x14ac:dyDescent="0.35">
      <c r="A637" s="1200">
        <v>6</v>
      </c>
      <c r="B637" s="1208">
        <v>610</v>
      </c>
      <c r="C637" s="1203"/>
      <c r="D637" s="1203"/>
      <c r="E637" s="1203"/>
      <c r="F637" s="1203"/>
      <c r="G637" s="1202" t="s">
        <v>4389</v>
      </c>
      <c r="H637" s="1200" t="s">
        <v>4386</v>
      </c>
      <c r="I637" s="14" t="s">
        <v>754</v>
      </c>
      <c r="J637" s="23"/>
      <c r="K637" s="85"/>
      <c r="L637" s="82"/>
      <c r="M637" s="71"/>
      <c r="N637" s="71"/>
      <c r="O637" s="71"/>
      <c r="P637" s="23"/>
      <c r="Q637" s="23"/>
      <c r="R637" s="23"/>
      <c r="S637" s="23"/>
      <c r="T637" s="23"/>
      <c r="U637" s="23"/>
      <c r="V637" s="23"/>
      <c r="W637" s="23"/>
      <c r="X637" s="23"/>
      <c r="Y637" s="23"/>
      <c r="Z637" s="1168"/>
      <c r="AC637" s="280"/>
      <c r="AD637" s="280"/>
      <c r="AE637" s="280"/>
      <c r="AF637" s="280"/>
      <c r="AG637" s="280"/>
      <c r="AH637" s="280"/>
      <c r="AI637" s="280"/>
      <c r="AJ637" s="280"/>
      <c r="AK637" s="280"/>
      <c r="AL637" s="280"/>
      <c r="AM637" s="280"/>
      <c r="AN637" s="280"/>
      <c r="AO637" s="280"/>
      <c r="AP637" s="280"/>
      <c r="AQ637" s="280"/>
      <c r="AR637" s="280"/>
      <c r="AS637" s="280"/>
      <c r="BJ637" s="1184" t="s">
        <v>4763</v>
      </c>
    </row>
    <row r="638" spans="1:62" x14ac:dyDescent="0.3">
      <c r="A638" s="1200">
        <v>6</v>
      </c>
      <c r="B638" s="1208">
        <v>610.1</v>
      </c>
      <c r="C638" s="1203"/>
      <c r="D638" s="1203"/>
      <c r="E638" s="1203"/>
      <c r="F638" s="1203"/>
      <c r="G638" s="1204"/>
      <c r="H638" s="1200"/>
      <c r="I638" s="66">
        <v>610.1</v>
      </c>
      <c r="J638" s="4"/>
      <c r="K638" s="86"/>
      <c r="L638" s="1292" t="s">
        <v>755</v>
      </c>
      <c r="M638" s="280"/>
      <c r="N638" s="282"/>
      <c r="O638" s="282"/>
      <c r="P638" s="280"/>
      <c r="Q638" s="280"/>
      <c r="R638" s="280"/>
      <c r="S638" s="280"/>
      <c r="T638" s="280"/>
      <c r="U638" s="280"/>
      <c r="V638" s="280"/>
      <c r="W638" s="280"/>
      <c r="X638" s="280"/>
      <c r="Z638" s="1055"/>
      <c r="AC638" s="280"/>
      <c r="AD638" s="280"/>
      <c r="AE638" s="280"/>
      <c r="AF638" s="280"/>
      <c r="AG638" s="280"/>
      <c r="AH638" s="280"/>
      <c r="AI638" s="280"/>
      <c r="AJ638" s="280"/>
      <c r="AK638" s="280"/>
      <c r="AL638" s="280"/>
      <c r="AM638" s="280"/>
      <c r="AN638" s="280"/>
      <c r="AO638" s="280"/>
      <c r="AP638" s="280"/>
      <c r="AQ638" s="280"/>
      <c r="AR638" s="280"/>
      <c r="AS638" s="280"/>
      <c r="BJ638" s="1184" t="s">
        <v>4763</v>
      </c>
    </row>
    <row r="639" spans="1:62" x14ac:dyDescent="0.3">
      <c r="A639" s="1200">
        <v>6</v>
      </c>
      <c r="B639" s="1208">
        <v>610.1</v>
      </c>
      <c r="C639" s="1203"/>
      <c r="D639" s="1203"/>
      <c r="E639" s="1203"/>
      <c r="F639" s="1203"/>
      <c r="G639" s="1204"/>
      <c r="H639" s="1200"/>
      <c r="I639" s="66"/>
      <c r="J639" s="4"/>
      <c r="K639" s="86"/>
      <c r="L639" s="1292"/>
      <c r="M639" s="280"/>
      <c r="N639" s="282"/>
      <c r="O639" s="282"/>
      <c r="P639" s="280"/>
      <c r="Q639" s="280"/>
      <c r="R639" s="280"/>
      <c r="S639" s="280"/>
      <c r="T639" s="280"/>
      <c r="U639" s="280"/>
      <c r="V639" s="280"/>
      <c r="W639" s="280"/>
      <c r="X639" s="280"/>
      <c r="Z639" s="1055"/>
      <c r="AC639" s="280"/>
      <c r="AD639" s="280"/>
      <c r="AE639" s="280"/>
      <c r="AF639" s="280"/>
      <c r="AG639" s="280"/>
      <c r="AH639" s="280"/>
      <c r="AI639" s="280"/>
      <c r="AJ639" s="280"/>
      <c r="AK639" s="280"/>
      <c r="AL639" s="280"/>
      <c r="AM639" s="280"/>
      <c r="AN639" s="280"/>
      <c r="AO639" s="280"/>
      <c r="AP639" s="280"/>
      <c r="AQ639" s="280"/>
      <c r="AR639" s="280"/>
      <c r="AS639" s="280"/>
      <c r="BJ639" s="1184" t="s">
        <v>4763</v>
      </c>
    </row>
    <row r="640" spans="1:62" x14ac:dyDescent="0.3">
      <c r="A640" s="1200">
        <v>6</v>
      </c>
      <c r="B640" s="1208">
        <v>610.1</v>
      </c>
      <c r="C640" s="1203"/>
      <c r="D640" s="1203"/>
      <c r="E640" s="1203"/>
      <c r="F640" s="1203"/>
      <c r="G640" s="1204"/>
      <c r="H640" s="1200"/>
      <c r="I640" s="66"/>
      <c r="J640" s="4"/>
      <c r="K640" s="86"/>
      <c r="L640" s="1292"/>
      <c r="M640" s="280"/>
      <c r="N640" s="282"/>
      <c r="O640" s="282"/>
      <c r="P640" s="280"/>
      <c r="Q640" s="280"/>
      <c r="R640" s="280"/>
      <c r="S640" s="280"/>
      <c r="T640" s="280"/>
      <c r="U640" s="280"/>
      <c r="V640" s="280"/>
      <c r="W640" s="280"/>
      <c r="X640" s="280"/>
      <c r="Z640" s="1055"/>
      <c r="AC640" s="280"/>
      <c r="AD640" s="280"/>
      <c r="AE640" s="280"/>
      <c r="AF640" s="280"/>
      <c r="AG640" s="280"/>
      <c r="AH640" s="280"/>
      <c r="AI640" s="280"/>
      <c r="AJ640" s="280"/>
      <c r="AK640" s="280"/>
      <c r="AL640" s="280"/>
      <c r="AM640" s="280"/>
      <c r="AN640" s="280"/>
      <c r="AO640" s="280"/>
      <c r="AP640" s="280"/>
      <c r="AQ640" s="280"/>
      <c r="AR640" s="280"/>
      <c r="AS640" s="280"/>
      <c r="BJ640" s="1184" t="s">
        <v>4763</v>
      </c>
    </row>
    <row r="641" spans="1:62" x14ac:dyDescent="0.3">
      <c r="A641" s="1200">
        <v>6</v>
      </c>
      <c r="B641" s="1208">
        <v>610.1</v>
      </c>
      <c r="C641" s="1203"/>
      <c r="D641" s="1203"/>
      <c r="E641" s="1203"/>
      <c r="F641" s="1203"/>
      <c r="G641" s="1204"/>
      <c r="H641" s="1200"/>
      <c r="I641" s="66"/>
      <c r="J641" s="4"/>
      <c r="K641" s="86"/>
      <c r="L641" s="1292"/>
      <c r="M641" s="280"/>
      <c r="N641" s="282"/>
      <c r="O641" s="282"/>
      <c r="P641" s="280"/>
      <c r="Q641" s="280"/>
      <c r="R641" s="280"/>
      <c r="S641" s="280"/>
      <c r="T641" s="280"/>
      <c r="U641" s="280"/>
      <c r="V641" s="280"/>
      <c r="W641" s="280"/>
      <c r="X641" s="280"/>
      <c r="Z641" s="1055"/>
      <c r="AC641" s="280"/>
      <c r="AD641" s="280"/>
      <c r="AE641" s="280"/>
      <c r="AF641" s="280"/>
      <c r="AG641" s="280"/>
      <c r="AH641" s="280"/>
      <c r="AI641" s="280"/>
      <c r="AJ641" s="280"/>
      <c r="AK641" s="280"/>
      <c r="AL641" s="280"/>
      <c r="AM641" s="280"/>
      <c r="AN641" s="280"/>
      <c r="AO641" s="280"/>
      <c r="AP641" s="280"/>
      <c r="AQ641" s="280"/>
      <c r="AR641" s="280"/>
      <c r="AS641" s="280"/>
      <c r="BJ641" s="1184" t="s">
        <v>4763</v>
      </c>
    </row>
    <row r="642" spans="1:62" x14ac:dyDescent="0.3">
      <c r="A642" s="1200">
        <v>6</v>
      </c>
      <c r="B642" s="1208">
        <v>610.1</v>
      </c>
      <c r="C642" s="1203"/>
      <c r="D642" s="1203"/>
      <c r="E642" s="1203"/>
      <c r="F642" s="1203"/>
      <c r="G642" s="1204"/>
      <c r="H642" s="1200"/>
      <c r="I642" s="66"/>
      <c r="J642" s="4"/>
      <c r="K642" s="86"/>
      <c r="L642" s="1292"/>
      <c r="M642" s="280"/>
      <c r="N642" s="282"/>
      <c r="O642" s="282"/>
      <c r="P642" s="280"/>
      <c r="Q642" s="280"/>
      <c r="R642" s="280"/>
      <c r="S642" s="280"/>
      <c r="T642" s="280"/>
      <c r="U642" s="280"/>
      <c r="V642" s="280"/>
      <c r="W642" s="280"/>
      <c r="X642" s="280"/>
      <c r="Z642" s="1055"/>
      <c r="AC642" s="280"/>
      <c r="AD642" s="280"/>
      <c r="AE642" s="280"/>
      <c r="AF642" s="280"/>
      <c r="AG642" s="280"/>
      <c r="AH642" s="280"/>
      <c r="AI642" s="280"/>
      <c r="AJ642" s="280"/>
      <c r="AK642" s="280"/>
      <c r="AL642" s="280"/>
      <c r="AM642" s="280"/>
      <c r="AN642" s="280"/>
      <c r="AO642" s="280"/>
      <c r="AP642" s="280"/>
      <c r="AQ642" s="280"/>
      <c r="AR642" s="280"/>
      <c r="AS642" s="280"/>
      <c r="BJ642" s="1184" t="s">
        <v>4763</v>
      </c>
    </row>
    <row r="643" spans="1:62" ht="15" thickBot="1" x14ac:dyDescent="0.35">
      <c r="A643" s="1200">
        <v>6</v>
      </c>
      <c r="B643" s="1208">
        <v>610.1</v>
      </c>
      <c r="C643" s="1203"/>
      <c r="D643" s="1203"/>
      <c r="E643" s="1203"/>
      <c r="F643" s="1203"/>
      <c r="G643" s="1204"/>
      <c r="H643" s="1200"/>
      <c r="I643" s="66"/>
      <c r="J643" s="4"/>
      <c r="K643" s="86"/>
      <c r="L643" s="1292"/>
      <c r="M643" s="280"/>
      <c r="N643" s="282"/>
      <c r="O643" s="282"/>
      <c r="P643" s="280"/>
      <c r="Q643" s="280"/>
      <c r="R643" s="280"/>
      <c r="S643" s="280"/>
      <c r="T643" s="280"/>
      <c r="U643" s="280"/>
      <c r="V643" s="280"/>
      <c r="W643" s="280"/>
      <c r="X643" s="280"/>
      <c r="Y643" s="104"/>
      <c r="Z643" s="1172"/>
      <c r="AC643" s="280"/>
      <c r="AD643" s="280"/>
      <c r="AE643" s="280"/>
      <c r="AF643" s="280"/>
      <c r="AG643" s="280"/>
      <c r="AH643" s="280"/>
      <c r="AI643" s="280"/>
      <c r="AJ643" s="280"/>
      <c r="AK643" s="280"/>
      <c r="AL643" s="280"/>
      <c r="AM643" s="280"/>
      <c r="AN643" s="280"/>
      <c r="AO643" s="280"/>
      <c r="AP643" s="280"/>
      <c r="AQ643" s="280"/>
      <c r="AR643" s="280"/>
      <c r="AS643" s="280"/>
      <c r="BJ643" s="1184" t="s">
        <v>4763</v>
      </c>
    </row>
    <row r="644" spans="1:62" ht="15" thickTop="1" x14ac:dyDescent="0.3">
      <c r="A644" s="1200">
        <v>6</v>
      </c>
      <c r="B644" s="1208" t="s">
        <v>756</v>
      </c>
      <c r="C644" s="1203"/>
      <c r="D644" s="1203"/>
      <c r="E644" s="1203"/>
      <c r="F644" s="1203"/>
      <c r="G644" s="1196" t="str">
        <f>IF(COUNTIF(G646:G662,"P")&gt;0,"P","")</f>
        <v/>
      </c>
      <c r="H644" s="1200" t="s">
        <v>4387</v>
      </c>
      <c r="I644" s="200" t="s">
        <v>756</v>
      </c>
      <c r="J644" s="201"/>
      <c r="K644" s="202"/>
      <c r="L644" s="1331" t="s">
        <v>757</v>
      </c>
      <c r="M644" s="110"/>
      <c r="N644" s="296"/>
      <c r="O644" s="296"/>
      <c r="P644" s="110"/>
      <c r="Q644" s="110"/>
      <c r="R644" s="110"/>
      <c r="S644" s="110"/>
      <c r="T644" s="110"/>
      <c r="U644" s="110"/>
      <c r="V644" s="110"/>
      <c r="W644" s="110"/>
      <c r="X644" s="110"/>
      <c r="Z644" s="1055"/>
      <c r="AC644" s="280"/>
      <c r="AD644" s="280"/>
      <c r="AE644" s="280"/>
      <c r="AF644" s="280"/>
      <c r="AG644" s="280"/>
      <c r="AH644" s="280"/>
      <c r="AI644" s="280"/>
      <c r="AJ644" s="280"/>
      <c r="AK644" s="280"/>
      <c r="AL644" s="280"/>
      <c r="AM644" s="280"/>
      <c r="AN644" s="280"/>
      <c r="AO644" s="280"/>
      <c r="AP644" s="280"/>
      <c r="AQ644" s="280"/>
      <c r="AR644" s="280"/>
      <c r="AS644" s="280"/>
      <c r="BJ644" s="1184" t="s">
        <v>4763</v>
      </c>
    </row>
    <row r="645" spans="1:62" x14ac:dyDescent="0.3">
      <c r="A645" s="1200">
        <v>6</v>
      </c>
      <c r="B645" s="1208" t="s">
        <v>756</v>
      </c>
      <c r="C645" s="1203"/>
      <c r="D645" s="1203"/>
      <c r="E645" s="1203"/>
      <c r="F645" s="1203"/>
      <c r="G645" s="1202" t="str">
        <f t="shared" ref="G645" si="194">G644</f>
        <v/>
      </c>
      <c r="H645" s="1200" t="s">
        <v>4387</v>
      </c>
      <c r="I645" s="141"/>
      <c r="J645" s="140"/>
      <c r="K645" s="98"/>
      <c r="L645" s="1313"/>
      <c r="M645" s="97"/>
      <c r="N645" s="283"/>
      <c r="O645" s="283"/>
      <c r="P645" s="97"/>
      <c r="Q645" s="97"/>
      <c r="R645" s="97"/>
      <c r="S645" s="97"/>
      <c r="T645" s="97"/>
      <c r="U645" s="97"/>
      <c r="V645" s="97"/>
      <c r="W645" s="97"/>
      <c r="X645" s="97"/>
      <c r="Z645" s="1055"/>
      <c r="AC645" s="280"/>
      <c r="AD645" s="280"/>
      <c r="AE645" s="280"/>
      <c r="AF645" s="280"/>
      <c r="AG645" s="280"/>
      <c r="AH645" s="280"/>
      <c r="AI645" s="280"/>
      <c r="AJ645" s="280"/>
      <c r="AK645" s="280"/>
      <c r="AL645" s="280"/>
      <c r="AM645" s="280"/>
      <c r="AN645" s="280"/>
      <c r="AO645" s="280"/>
      <c r="AP645" s="280"/>
      <c r="AQ645" s="280"/>
      <c r="AR645" s="280"/>
      <c r="AS645" s="280"/>
      <c r="BJ645" s="1184" t="s">
        <v>4763</v>
      </c>
    </row>
    <row r="646" spans="1:62" x14ac:dyDescent="0.3">
      <c r="A646" s="1200">
        <v>6</v>
      </c>
      <c r="B646" s="1208" t="s">
        <v>756</v>
      </c>
      <c r="C646" s="1203"/>
      <c r="D646" s="1203"/>
      <c r="E646" s="1203" t="s">
        <v>271</v>
      </c>
      <c r="F646" s="1212"/>
      <c r="G646" s="1202" t="str">
        <f>IF(N646&gt;0,"P","")</f>
        <v/>
      </c>
      <c r="H646" s="1211" t="s">
        <v>4387</v>
      </c>
      <c r="I646" s="66"/>
      <c r="J646" s="203" t="s">
        <v>271</v>
      </c>
      <c r="K646" s="98"/>
      <c r="L646" s="1305" t="s">
        <v>758</v>
      </c>
      <c r="M646" s="1318">
        <v>8</v>
      </c>
      <c r="N646" s="1473">
        <f>'Ch6'!O392</f>
        <v>0</v>
      </c>
      <c r="O646" s="1473">
        <f>M646*S646*W646</f>
        <v>0</v>
      </c>
      <c r="P646" s="280" t="b">
        <v>1</v>
      </c>
      <c r="Q646" s="280" t="b">
        <v>0</v>
      </c>
      <c r="R646" s="280" t="b">
        <v>0</v>
      </c>
      <c r="S646" s="280" t="b">
        <f>NOT(OR(NOT(ISBLANK(W670)),NOT(ISBLANK(W677)),NOT(ISBLANK(W683)),NOT(ISBLANK(W689)),NOT(ISBLANK(W695)),NOT(ISBLANK(W701))))</f>
        <v>1</v>
      </c>
      <c r="T646" s="97" t="b">
        <f>IF(AND(NOT(S646),W646=TRUE),TRUE,FALSE)</f>
        <v>0</v>
      </c>
      <c r="U646" s="280"/>
      <c r="V646" s="280"/>
      <c r="W646" s="25"/>
      <c r="X646" s="1303"/>
      <c r="Y646" s="1522" t="str">
        <f>IF(LEN('Ch6'!X392)=0,"None",'Ch6'!X392)</f>
        <v>None</v>
      </c>
      <c r="Z646" s="1586"/>
      <c r="AC646" s="280" t="b">
        <f>OR(AD646:AE646)</f>
        <v>0</v>
      </c>
      <c r="AD646" s="280" t="b">
        <f>T646</f>
        <v>0</v>
      </c>
      <c r="AE646" s="280"/>
      <c r="AF646" s="280"/>
      <c r="AG646" s="280"/>
      <c r="AH646" s="280"/>
      <c r="AI646" s="280"/>
      <c r="AJ646" s="280"/>
      <c r="AK646" s="280"/>
      <c r="AL646" s="311" t="str">
        <f t="shared" ref="AL646" si="195">SUBSTITUTE(SUBSTITUTE(SUBSTITUTE("vpa"&amp;$B646&amp;$C646&amp;$D646&amp;$E646&amp;$F646,".","_"),"(","_"),")","")</f>
        <v>vpa610_1_1_1</v>
      </c>
      <c r="AM646" s="311">
        <f>M646</f>
        <v>8</v>
      </c>
      <c r="AN646" s="311" t="str">
        <f>SUBSTITUTE(SUBSTITUTE(SUBSTITUTE("vpc"&amp;$B646&amp;$C646&amp;$D646&amp;$E646&amp;$F646,".","_"),"(","_"),")","")</f>
        <v>vpc610_1_1_1</v>
      </c>
      <c r="AO646" s="311">
        <f>O646</f>
        <v>0</v>
      </c>
      <c r="AP646" s="311" t="str">
        <f>SUBSTITUTE(SUBSTITUTE(SUBSTITUTE("vch"&amp;$B646&amp;$C646&amp;$D646&amp;$E646&amp;$F646,".","_"),"(","_"),")","")</f>
        <v>vch610_1_1_1</v>
      </c>
      <c r="AQ646" s="311">
        <f>W646</f>
        <v>0</v>
      </c>
      <c r="AR646" s="311" t="str">
        <f>SUBSTITUTE(SUBSTITUTE(SUBSTITUTE("vnt"&amp;$B646&amp;$C646&amp;$D646&amp;$E646&amp;$F646,".","_"),"(","_"),")","")</f>
        <v>vnt610_1_1_1</v>
      </c>
      <c r="AS646" s="311">
        <f>X646</f>
        <v>0</v>
      </c>
      <c r="BJ646" s="1184" t="s">
        <v>4763</v>
      </c>
    </row>
    <row r="647" spans="1:62" x14ac:dyDescent="0.3">
      <c r="A647" s="1200">
        <v>6</v>
      </c>
      <c r="B647" s="1208" t="s">
        <v>756</v>
      </c>
      <c r="C647" s="1203"/>
      <c r="D647" s="1203"/>
      <c r="E647" s="1203"/>
      <c r="F647" s="1212"/>
      <c r="G647" s="1202" t="str">
        <f t="shared" ref="G647:G654" si="196">G646</f>
        <v/>
      </c>
      <c r="H647" s="1211" t="s">
        <v>4387</v>
      </c>
      <c r="I647" s="66"/>
      <c r="J647" s="140"/>
      <c r="K647" s="98"/>
      <c r="L647" s="1305"/>
      <c r="M647" s="1318"/>
      <c r="N647" s="1473"/>
      <c r="O647" s="1473"/>
      <c r="P647" s="280"/>
      <c r="Q647" s="280"/>
      <c r="R647" s="280"/>
      <c r="S647" s="280"/>
      <c r="T647" s="280"/>
      <c r="U647" s="280"/>
      <c r="V647" s="280"/>
      <c r="W647" s="280"/>
      <c r="X647" s="1303"/>
      <c r="Y647" s="1522"/>
      <c r="Z647" s="1586"/>
      <c r="AC647" s="280"/>
      <c r="AD647" s="280"/>
      <c r="AE647" s="280"/>
      <c r="AF647" s="280"/>
      <c r="AG647" s="280"/>
      <c r="AH647" s="280"/>
      <c r="AI647" s="280"/>
      <c r="AJ647" s="280"/>
      <c r="AK647" s="280"/>
      <c r="AL647" s="280"/>
      <c r="AM647" s="280"/>
      <c r="AN647" s="280"/>
      <c r="AO647" s="280"/>
      <c r="AP647" s="280"/>
      <c r="AQ647" s="280"/>
      <c r="AR647" s="280"/>
      <c r="AS647" s="280"/>
      <c r="BJ647" s="1184" t="s">
        <v>4763</v>
      </c>
    </row>
    <row r="648" spans="1:62" x14ac:dyDescent="0.3">
      <c r="A648" s="1200">
        <v>6</v>
      </c>
      <c r="B648" s="1208" t="s">
        <v>756</v>
      </c>
      <c r="C648" s="1203"/>
      <c r="D648" s="1203"/>
      <c r="E648" s="1203"/>
      <c r="F648" s="1212"/>
      <c r="G648" s="1202" t="str">
        <f t="shared" si="196"/>
        <v/>
      </c>
      <c r="H648" s="1211" t="s">
        <v>4387</v>
      </c>
      <c r="I648" s="66"/>
      <c r="J648" s="140"/>
      <c r="K648" s="98"/>
      <c r="L648" s="1305"/>
      <c r="M648" s="1318"/>
      <c r="N648" s="1473"/>
      <c r="O648" s="1473"/>
      <c r="P648" s="280"/>
      <c r="Q648" s="280"/>
      <c r="R648" s="280"/>
      <c r="S648" s="280"/>
      <c r="T648" s="280"/>
      <c r="U648" s="280"/>
      <c r="V648" s="280"/>
      <c r="W648" s="280"/>
      <c r="X648" s="1303"/>
      <c r="Y648" s="1522"/>
      <c r="Z648" s="1586"/>
      <c r="AC648" s="280"/>
      <c r="AD648" s="280"/>
      <c r="AE648" s="280"/>
      <c r="AF648" s="280"/>
      <c r="AG648" s="280"/>
      <c r="AH648" s="280"/>
      <c r="AI648" s="280"/>
      <c r="AJ648" s="280"/>
      <c r="AK648" s="280"/>
      <c r="AL648" s="280"/>
      <c r="AM648" s="280"/>
      <c r="AN648" s="280"/>
      <c r="AO648" s="280"/>
      <c r="AP648" s="280"/>
      <c r="AQ648" s="280"/>
      <c r="AR648" s="280"/>
      <c r="AS648" s="280"/>
      <c r="BJ648" s="1184" t="s">
        <v>4763</v>
      </c>
    </row>
    <row r="649" spans="1:62" x14ac:dyDescent="0.3">
      <c r="A649" s="1200">
        <v>6</v>
      </c>
      <c r="B649" s="1208" t="s">
        <v>756</v>
      </c>
      <c r="C649" s="1203"/>
      <c r="D649" s="1203"/>
      <c r="E649" s="1203" t="s">
        <v>271</v>
      </c>
      <c r="F649" s="1203" t="s">
        <v>121</v>
      </c>
      <c r="G649" s="1202" t="str">
        <f t="shared" si="196"/>
        <v/>
      </c>
      <c r="H649" s="1204" t="s">
        <v>4387</v>
      </c>
      <c r="I649" s="66"/>
      <c r="J649" s="140"/>
      <c r="K649" s="94" t="s">
        <v>121</v>
      </c>
      <c r="L649" s="98" t="s">
        <v>759</v>
      </c>
      <c r="M649" s="1318"/>
      <c r="N649" s="1473"/>
      <c r="O649" s="1473"/>
      <c r="P649" s="280"/>
      <c r="Q649" s="280"/>
      <c r="R649" s="280"/>
      <c r="S649" s="280"/>
      <c r="T649" s="280"/>
      <c r="U649" s="280"/>
      <c r="V649" s="280"/>
      <c r="W649" s="280"/>
      <c r="X649" s="1303"/>
      <c r="Y649" s="1522"/>
      <c r="Z649" s="1586"/>
      <c r="AC649" s="280"/>
      <c r="AD649" s="280"/>
      <c r="AE649" s="280"/>
      <c r="AF649" s="280"/>
      <c r="AG649" s="280"/>
      <c r="AH649" s="280"/>
      <c r="AI649" s="280"/>
      <c r="AJ649" s="280"/>
      <c r="AK649" s="280"/>
      <c r="AL649" s="280"/>
      <c r="AM649" s="280"/>
      <c r="AN649" s="280"/>
      <c r="AO649" s="280"/>
      <c r="AP649" s="280"/>
      <c r="AQ649" s="280"/>
      <c r="AR649" s="280"/>
      <c r="AS649" s="280"/>
      <c r="BJ649" s="1184" t="s">
        <v>4763</v>
      </c>
    </row>
    <row r="650" spans="1:62" x14ac:dyDescent="0.3">
      <c r="A650" s="1200">
        <v>6</v>
      </c>
      <c r="B650" s="1208" t="s">
        <v>756</v>
      </c>
      <c r="C650" s="1203"/>
      <c r="D650" s="1203"/>
      <c r="E650" s="1203" t="s">
        <v>271</v>
      </c>
      <c r="F650" s="1203" t="s">
        <v>122</v>
      </c>
      <c r="G650" s="1202" t="str">
        <f t="shared" si="196"/>
        <v/>
      </c>
      <c r="H650" s="1204" t="s">
        <v>4387</v>
      </c>
      <c r="I650" s="66"/>
      <c r="J650" s="140"/>
      <c r="K650" s="94" t="s">
        <v>122</v>
      </c>
      <c r="L650" s="98" t="s">
        <v>760</v>
      </c>
      <c r="M650" s="1318"/>
      <c r="N650" s="1473"/>
      <c r="O650" s="1473"/>
      <c r="P650" s="280"/>
      <c r="Q650" s="280"/>
      <c r="R650" s="280"/>
      <c r="S650" s="280"/>
      <c r="T650" s="280"/>
      <c r="U650" s="280"/>
      <c r="V650" s="280"/>
      <c r="W650" s="280"/>
      <c r="X650" s="1303"/>
      <c r="Y650" s="1522"/>
      <c r="Z650" s="1586"/>
      <c r="AC650" s="280"/>
      <c r="AD650" s="280"/>
      <c r="AE650" s="280"/>
      <c r="AF650" s="280"/>
      <c r="AG650" s="280"/>
      <c r="AH650" s="280"/>
      <c r="AI650" s="280"/>
      <c r="AJ650" s="280"/>
      <c r="AK650" s="280"/>
      <c r="AL650" s="280"/>
      <c r="AM650" s="280"/>
      <c r="AN650" s="280"/>
      <c r="AO650" s="280"/>
      <c r="AP650" s="280"/>
      <c r="AQ650" s="280"/>
      <c r="AR650" s="280"/>
      <c r="AS650" s="280"/>
      <c r="BJ650" s="1184" t="s">
        <v>4763</v>
      </c>
    </row>
    <row r="651" spans="1:62" x14ac:dyDescent="0.3">
      <c r="A651" s="1200">
        <v>6</v>
      </c>
      <c r="B651" s="1208" t="s">
        <v>756</v>
      </c>
      <c r="C651" s="1203"/>
      <c r="D651" s="1203"/>
      <c r="E651" s="1203" t="s">
        <v>271</v>
      </c>
      <c r="F651" s="1203" t="s">
        <v>123</v>
      </c>
      <c r="G651" s="1202" t="str">
        <f t="shared" si="196"/>
        <v/>
      </c>
      <c r="H651" s="1204" t="s">
        <v>4387</v>
      </c>
      <c r="I651" s="66"/>
      <c r="J651" s="140"/>
      <c r="K651" s="94" t="s">
        <v>123</v>
      </c>
      <c r="L651" s="98" t="s">
        <v>761</v>
      </c>
      <c r="M651" s="1318"/>
      <c r="N651" s="1473"/>
      <c r="O651" s="1473"/>
      <c r="P651" s="280"/>
      <c r="Q651" s="280"/>
      <c r="R651" s="280"/>
      <c r="S651" s="280"/>
      <c r="T651" s="280"/>
      <c r="U651" s="280"/>
      <c r="V651" s="280"/>
      <c r="W651" s="280"/>
      <c r="X651" s="1303"/>
      <c r="Y651" s="1522"/>
      <c r="Z651" s="1586"/>
      <c r="AC651" s="280"/>
      <c r="AD651" s="280"/>
      <c r="AE651" s="280"/>
      <c r="AF651" s="280"/>
      <c r="AG651" s="280"/>
      <c r="AH651" s="280"/>
      <c r="AI651" s="280"/>
      <c r="AJ651" s="280"/>
      <c r="AK651" s="280"/>
      <c r="AL651" s="280"/>
      <c r="AM651" s="280"/>
      <c r="AN651" s="280"/>
      <c r="AO651" s="280"/>
      <c r="AP651" s="280"/>
      <c r="AQ651" s="280"/>
      <c r="AR651" s="280"/>
      <c r="AS651" s="280"/>
      <c r="BJ651" s="1184" t="s">
        <v>4763</v>
      </c>
    </row>
    <row r="652" spans="1:62" x14ac:dyDescent="0.3">
      <c r="A652" s="1200">
        <v>6</v>
      </c>
      <c r="B652" s="1208" t="s">
        <v>756</v>
      </c>
      <c r="C652" s="1203"/>
      <c r="D652" s="1203"/>
      <c r="E652" s="1203" t="s">
        <v>271</v>
      </c>
      <c r="F652" s="1205" t="s">
        <v>423</v>
      </c>
      <c r="G652" s="1202" t="str">
        <f t="shared" si="196"/>
        <v/>
      </c>
      <c r="H652" s="1206" t="s">
        <v>4387</v>
      </c>
      <c r="I652" s="66"/>
      <c r="J652" s="140"/>
      <c r="K652" s="115" t="s">
        <v>423</v>
      </c>
      <c r="L652" s="98" t="s">
        <v>762</v>
      </c>
      <c r="M652" s="1318"/>
      <c r="N652" s="1473"/>
      <c r="O652" s="1473"/>
      <c r="P652" s="280"/>
      <c r="Q652" s="280"/>
      <c r="R652" s="280"/>
      <c r="S652" s="280"/>
      <c r="T652" s="280"/>
      <c r="U652" s="280"/>
      <c r="V652" s="280"/>
      <c r="W652" s="280"/>
      <c r="X652" s="1303"/>
      <c r="Y652" s="1522"/>
      <c r="Z652" s="1586"/>
      <c r="AC652" s="280"/>
      <c r="AD652" s="280"/>
      <c r="AE652" s="280"/>
      <c r="AF652" s="280"/>
      <c r="AG652" s="280"/>
      <c r="AH652" s="280"/>
      <c r="AI652" s="280"/>
      <c r="AJ652" s="280"/>
      <c r="AK652" s="280"/>
      <c r="AL652" s="280"/>
      <c r="AM652" s="280"/>
      <c r="AN652" s="280"/>
      <c r="AO652" s="280"/>
      <c r="AP652" s="280"/>
      <c r="AQ652" s="280"/>
      <c r="AR652" s="280"/>
      <c r="AS652" s="280"/>
      <c r="BJ652" s="1184" t="s">
        <v>4763</v>
      </c>
    </row>
    <row r="653" spans="1:62" x14ac:dyDescent="0.3">
      <c r="A653" s="1200">
        <v>6</v>
      </c>
      <c r="B653" s="1208" t="s">
        <v>756</v>
      </c>
      <c r="C653" s="1203"/>
      <c r="D653" s="1203"/>
      <c r="E653" s="1203" t="s">
        <v>271</v>
      </c>
      <c r="F653" s="1203" t="s">
        <v>578</v>
      </c>
      <c r="G653" s="1202" t="str">
        <f t="shared" si="196"/>
        <v/>
      </c>
      <c r="H653" s="1200" t="s">
        <v>4387</v>
      </c>
      <c r="I653" s="66"/>
      <c r="J653" s="140"/>
      <c r="K653" s="210" t="s">
        <v>578</v>
      </c>
      <c r="L653" s="98" t="s">
        <v>763</v>
      </c>
      <c r="M653" s="1318"/>
      <c r="N653" s="1473"/>
      <c r="O653" s="1473"/>
      <c r="P653" s="280"/>
      <c r="Q653" s="280"/>
      <c r="R653" s="280"/>
      <c r="S653" s="280"/>
      <c r="T653" s="280"/>
      <c r="U653" s="280"/>
      <c r="V653" s="280"/>
      <c r="W653" s="280"/>
      <c r="X653" s="1303"/>
      <c r="Y653" s="1522"/>
      <c r="Z653" s="1586"/>
      <c r="AC653" s="280"/>
      <c r="AD653" s="280"/>
      <c r="AE653" s="280"/>
      <c r="AF653" s="280"/>
      <c r="AG653" s="280"/>
      <c r="AH653" s="280"/>
      <c r="AI653" s="280"/>
      <c r="AJ653" s="280"/>
      <c r="AK653" s="280"/>
      <c r="AL653" s="280"/>
      <c r="AM653" s="280"/>
      <c r="AN653" s="280"/>
      <c r="AO653" s="280"/>
      <c r="AP653" s="280"/>
      <c r="AQ653" s="280"/>
      <c r="AR653" s="280"/>
      <c r="AS653" s="280"/>
      <c r="BJ653" s="1184" t="s">
        <v>4763</v>
      </c>
    </row>
    <row r="654" spans="1:62" x14ac:dyDescent="0.3">
      <c r="A654" s="1200">
        <v>6</v>
      </c>
      <c r="B654" s="1208" t="s">
        <v>756</v>
      </c>
      <c r="C654" s="1203"/>
      <c r="D654" s="1203"/>
      <c r="E654" s="1203" t="s">
        <v>271</v>
      </c>
      <c r="F654" s="1203" t="s">
        <v>645</v>
      </c>
      <c r="G654" s="1202" t="str">
        <f t="shared" si="196"/>
        <v/>
      </c>
      <c r="H654" s="1204" t="s">
        <v>4387</v>
      </c>
      <c r="I654" s="66"/>
      <c r="J654" s="238"/>
      <c r="K654" s="192" t="s">
        <v>645</v>
      </c>
      <c r="L654" s="193" t="s">
        <v>764</v>
      </c>
      <c r="M654" s="1319"/>
      <c r="N654" s="1491"/>
      <c r="O654" s="1491"/>
      <c r="P654" s="280"/>
      <c r="Q654" s="280"/>
      <c r="R654" s="280"/>
      <c r="S654" s="280"/>
      <c r="T654" s="280"/>
      <c r="U654" s="280"/>
      <c r="V654" s="280"/>
      <c r="W654" s="280"/>
      <c r="X654" s="1303"/>
      <c r="Y654" s="1522"/>
      <c r="Z654" s="1586"/>
      <c r="AC654" s="280"/>
      <c r="AD654" s="280"/>
      <c r="AE654" s="280"/>
      <c r="AF654" s="280"/>
      <c r="AG654" s="280"/>
      <c r="AH654" s="280"/>
      <c r="AI654" s="280"/>
      <c r="AJ654" s="280"/>
      <c r="AK654" s="280"/>
      <c r="AL654" s="280"/>
      <c r="AM654" s="280"/>
      <c r="AN654" s="280"/>
      <c r="AO654" s="280"/>
      <c r="AP654" s="280"/>
      <c r="AQ654" s="280"/>
      <c r="AR654" s="280"/>
      <c r="AS654" s="280"/>
      <c r="BJ654" s="1184" t="s">
        <v>4763</v>
      </c>
    </row>
    <row r="655" spans="1:62" x14ac:dyDescent="0.3">
      <c r="A655" s="1200">
        <v>6</v>
      </c>
      <c r="B655" s="1208" t="s">
        <v>756</v>
      </c>
      <c r="C655" s="1203"/>
      <c r="D655" s="1203"/>
      <c r="E655" s="1203" t="s">
        <v>273</v>
      </c>
      <c r="F655" s="1212"/>
      <c r="G655" s="1202" t="str">
        <f>IF(N655&gt;0,"P","")</f>
        <v/>
      </c>
      <c r="H655" s="1211" t="s">
        <v>4387</v>
      </c>
      <c r="I655" s="66"/>
      <c r="J655" s="237" t="s">
        <v>273</v>
      </c>
      <c r="K655" s="217"/>
      <c r="L655" s="1356" t="s">
        <v>765</v>
      </c>
      <c r="M655" s="1323">
        <v>5</v>
      </c>
      <c r="N655" s="1472">
        <f>'Ch6'!O401</f>
        <v>0</v>
      </c>
      <c r="O655" s="1472">
        <f>M655*S655*W655</f>
        <v>0</v>
      </c>
      <c r="P655" s="280" t="b">
        <v>1</v>
      </c>
      <c r="Q655" s="280" t="b">
        <v>0</v>
      </c>
      <c r="R655" s="280" t="b">
        <v>0</v>
      </c>
      <c r="S655" s="280" t="b">
        <f>NOT(OR(NOT(ISBLANK(W670)),NOT(ISBLANK(W677)),NOT(ISBLANK(W683)),NOT(ISBLANK(W689)),NOT(ISBLANK(W695)),NOT(ISBLANK(W701))))</f>
        <v>1</v>
      </c>
      <c r="T655" s="97" t="b">
        <f>IF(AND(NOT(S655),W655=TRUE),TRUE,FALSE)</f>
        <v>0</v>
      </c>
      <c r="U655" s="280"/>
      <c r="V655" s="280"/>
      <c r="W655" s="25"/>
      <c r="X655" s="1303"/>
      <c r="Y655" s="1522" t="str">
        <f>IF(LEN('Ch6'!X401)=0,"None",'Ch6'!X401)</f>
        <v>None</v>
      </c>
      <c r="Z655" s="1586"/>
      <c r="AC655" s="280" t="b">
        <f>OR(AD655:AE655)</f>
        <v>0</v>
      </c>
      <c r="AD655" s="280" t="b">
        <f>T655</f>
        <v>0</v>
      </c>
      <c r="AE655" s="280"/>
      <c r="AF655" s="280"/>
      <c r="AG655" s="280"/>
      <c r="AH655" s="280"/>
      <c r="AI655" s="280"/>
      <c r="AJ655" s="280"/>
      <c r="AK655" s="280"/>
      <c r="AL655" s="311" t="str">
        <f t="shared" ref="AL655" si="197">SUBSTITUTE(SUBSTITUTE(SUBSTITUTE("vpa"&amp;$B655&amp;$C655&amp;$D655&amp;$E655&amp;$F655,".","_"),"(","_"),")","")</f>
        <v>vpa610_1_1_2</v>
      </c>
      <c r="AM655" s="311">
        <f>M655</f>
        <v>5</v>
      </c>
      <c r="AN655" s="311" t="str">
        <f>SUBSTITUTE(SUBSTITUTE(SUBSTITUTE("vpc"&amp;$B655&amp;$C655&amp;$D655&amp;$E655&amp;$F655,".","_"),"(","_"),")","")</f>
        <v>vpc610_1_1_2</v>
      </c>
      <c r="AO655" s="311">
        <f>O655</f>
        <v>0</v>
      </c>
      <c r="AP655" s="311" t="str">
        <f>SUBSTITUTE(SUBSTITUTE(SUBSTITUTE("vch"&amp;$B655&amp;$C655&amp;$D655&amp;$E655&amp;$F655,".","_"),"(","_"),")","")</f>
        <v>vch610_1_1_2</v>
      </c>
      <c r="AQ655" s="311">
        <f>W655</f>
        <v>0</v>
      </c>
      <c r="AR655" s="311" t="str">
        <f>SUBSTITUTE(SUBSTITUTE(SUBSTITUTE("vnt"&amp;$B655&amp;$C655&amp;$D655&amp;$E655&amp;$F655,".","_"),"(","_"),")","")</f>
        <v>vnt610_1_1_2</v>
      </c>
      <c r="AS655" s="311">
        <f>X655</f>
        <v>0</v>
      </c>
      <c r="BJ655" s="1184" t="s">
        <v>4763</v>
      </c>
    </row>
    <row r="656" spans="1:62" x14ac:dyDescent="0.3">
      <c r="A656" s="1200">
        <v>6</v>
      </c>
      <c r="B656" s="1208" t="s">
        <v>756</v>
      </c>
      <c r="C656" s="1203"/>
      <c r="D656" s="1203"/>
      <c r="E656" s="1203" t="s">
        <v>273</v>
      </c>
      <c r="F656" s="1212"/>
      <c r="G656" s="1202" t="str">
        <f t="shared" ref="G656:G661" si="198">G655</f>
        <v/>
      </c>
      <c r="H656" s="1211" t="s">
        <v>4387</v>
      </c>
      <c r="I656" s="66"/>
      <c r="J656" s="140"/>
      <c r="K656" s="98"/>
      <c r="L656" s="1305"/>
      <c r="M656" s="1318"/>
      <c r="N656" s="1473"/>
      <c r="O656" s="1473"/>
      <c r="P656" s="280"/>
      <c r="Q656" s="280"/>
      <c r="R656" s="280"/>
      <c r="S656" s="280"/>
      <c r="T656" s="280"/>
      <c r="U656" s="280"/>
      <c r="V656" s="280"/>
      <c r="W656" s="280"/>
      <c r="X656" s="1303"/>
      <c r="Y656" s="1522"/>
      <c r="Z656" s="1586"/>
      <c r="AC656" s="280"/>
      <c r="AD656" s="280"/>
      <c r="AE656" s="280"/>
      <c r="AF656" s="280"/>
      <c r="AG656" s="280"/>
      <c r="AH656" s="280"/>
      <c r="AI656" s="280"/>
      <c r="AJ656" s="280"/>
      <c r="AK656" s="280"/>
      <c r="AL656" s="280"/>
      <c r="AM656" s="280"/>
      <c r="AN656" s="280"/>
      <c r="AO656" s="280"/>
      <c r="AP656" s="280"/>
      <c r="AQ656" s="280"/>
      <c r="AR656" s="280"/>
      <c r="AS656" s="280"/>
      <c r="BJ656" s="1184" t="s">
        <v>4763</v>
      </c>
    </row>
    <row r="657" spans="1:62" x14ac:dyDescent="0.3">
      <c r="A657" s="1200">
        <v>6</v>
      </c>
      <c r="B657" s="1208" t="s">
        <v>756</v>
      </c>
      <c r="C657" s="1203"/>
      <c r="D657" s="1203"/>
      <c r="E657" s="1203" t="s">
        <v>273</v>
      </c>
      <c r="F657" s="1212"/>
      <c r="G657" s="1202" t="str">
        <f t="shared" si="198"/>
        <v/>
      </c>
      <c r="H657" s="1211" t="s">
        <v>4387</v>
      </c>
      <c r="I657" s="66"/>
      <c r="J657" s="140"/>
      <c r="K657" s="98"/>
      <c r="L657" s="1305"/>
      <c r="M657" s="1318"/>
      <c r="N657" s="1473"/>
      <c r="O657" s="1473"/>
      <c r="P657" s="280"/>
      <c r="Q657" s="280"/>
      <c r="R657" s="280"/>
      <c r="S657" s="280"/>
      <c r="T657" s="280"/>
      <c r="U657" s="280"/>
      <c r="V657" s="280"/>
      <c r="W657" s="280"/>
      <c r="X657" s="1303"/>
      <c r="Y657" s="1522"/>
      <c r="Z657" s="1586"/>
      <c r="AC657" s="280"/>
      <c r="AD657" s="280"/>
      <c r="AE657" s="280"/>
      <c r="AF657" s="280"/>
      <c r="AG657" s="280"/>
      <c r="AH657" s="280"/>
      <c r="AI657" s="280"/>
      <c r="AJ657" s="280"/>
      <c r="AK657" s="280"/>
      <c r="AL657" s="280"/>
      <c r="AM657" s="280"/>
      <c r="AN657" s="280"/>
      <c r="AO657" s="280"/>
      <c r="AP657" s="280"/>
      <c r="AQ657" s="280"/>
      <c r="AR657" s="280"/>
      <c r="AS657" s="280"/>
      <c r="BJ657" s="1184" t="s">
        <v>4763</v>
      </c>
    </row>
    <row r="658" spans="1:62" x14ac:dyDescent="0.3">
      <c r="A658" s="1200">
        <v>6</v>
      </c>
      <c r="B658" s="1208" t="s">
        <v>756</v>
      </c>
      <c r="C658" s="1203"/>
      <c r="D658" s="1203"/>
      <c r="E658" s="1203" t="s">
        <v>273</v>
      </c>
      <c r="F658" s="1212"/>
      <c r="G658" s="1202" t="str">
        <f t="shared" si="198"/>
        <v/>
      </c>
      <c r="H658" s="1211" t="s">
        <v>4387</v>
      </c>
      <c r="I658" s="66"/>
      <c r="J658" s="140"/>
      <c r="K658" s="98"/>
      <c r="L658" s="1305"/>
      <c r="M658" s="1318"/>
      <c r="N658" s="1473"/>
      <c r="O658" s="1473"/>
      <c r="P658" s="280"/>
      <c r="Q658" s="280"/>
      <c r="R658" s="280"/>
      <c r="S658" s="280"/>
      <c r="T658" s="280"/>
      <c r="U658" s="280"/>
      <c r="V658" s="280"/>
      <c r="W658" s="280"/>
      <c r="X658" s="1303"/>
      <c r="Y658" s="1522"/>
      <c r="Z658" s="1586"/>
      <c r="AC658" s="280"/>
      <c r="AD658" s="280"/>
      <c r="AE658" s="280"/>
      <c r="AF658" s="280"/>
      <c r="AG658" s="280"/>
      <c r="AH658" s="280"/>
      <c r="AI658" s="280"/>
      <c r="AJ658" s="280"/>
      <c r="AK658" s="280"/>
      <c r="AL658" s="280"/>
      <c r="AM658" s="280"/>
      <c r="AN658" s="280"/>
      <c r="AO658" s="280"/>
      <c r="AP658" s="280"/>
      <c r="AQ658" s="280"/>
      <c r="AR658" s="280"/>
      <c r="AS658" s="280"/>
      <c r="BJ658" s="1184" t="s">
        <v>4763</v>
      </c>
    </row>
    <row r="659" spans="1:62" x14ac:dyDescent="0.3">
      <c r="A659" s="1200">
        <v>6</v>
      </c>
      <c r="B659" s="1208" t="s">
        <v>756</v>
      </c>
      <c r="C659" s="1203"/>
      <c r="D659" s="1203"/>
      <c r="E659" s="1203" t="s">
        <v>273</v>
      </c>
      <c r="F659" s="1212"/>
      <c r="G659" s="1202" t="str">
        <f t="shared" si="198"/>
        <v/>
      </c>
      <c r="H659" s="1211" t="s">
        <v>4387</v>
      </c>
      <c r="I659" s="66"/>
      <c r="J659" s="140"/>
      <c r="K659" s="98"/>
      <c r="L659" s="1305"/>
      <c r="M659" s="1318"/>
      <c r="N659" s="1473"/>
      <c r="O659" s="1473"/>
      <c r="P659" s="280"/>
      <c r="Q659" s="280"/>
      <c r="R659" s="280"/>
      <c r="S659" s="280"/>
      <c r="T659" s="280"/>
      <c r="U659" s="280"/>
      <c r="V659" s="280"/>
      <c r="W659" s="280"/>
      <c r="X659" s="1303"/>
      <c r="Y659" s="1522"/>
      <c r="Z659" s="1586"/>
      <c r="AC659" s="280"/>
      <c r="AD659" s="280"/>
      <c r="AE659" s="280"/>
      <c r="AF659" s="280"/>
      <c r="AG659" s="280"/>
      <c r="AH659" s="280"/>
      <c r="AI659" s="280"/>
      <c r="AJ659" s="280"/>
      <c r="AK659" s="280"/>
      <c r="AL659" s="280"/>
      <c r="AM659" s="280"/>
      <c r="AN659" s="280"/>
      <c r="AO659" s="280"/>
      <c r="AP659" s="280"/>
      <c r="AQ659" s="280"/>
      <c r="AR659" s="280"/>
      <c r="AS659" s="280"/>
      <c r="BJ659" s="1184" t="s">
        <v>4763</v>
      </c>
    </row>
    <row r="660" spans="1:62" x14ac:dyDescent="0.3">
      <c r="A660" s="1200">
        <v>6</v>
      </c>
      <c r="B660" s="1208" t="s">
        <v>756</v>
      </c>
      <c r="C660" s="1203"/>
      <c r="D660" s="1203"/>
      <c r="E660" s="1203" t="s">
        <v>273</v>
      </c>
      <c r="F660" s="1212"/>
      <c r="G660" s="1202" t="str">
        <f t="shared" si="198"/>
        <v/>
      </c>
      <c r="H660" s="1211" t="s">
        <v>4387</v>
      </c>
      <c r="I660" s="66"/>
      <c r="J660" s="140"/>
      <c r="K660" s="98"/>
      <c r="L660" s="1305"/>
      <c r="M660" s="1318"/>
      <c r="N660" s="1473"/>
      <c r="O660" s="1473"/>
      <c r="P660" s="280"/>
      <c r="Q660" s="280"/>
      <c r="R660" s="280"/>
      <c r="S660" s="280"/>
      <c r="T660" s="280"/>
      <c r="U660" s="280"/>
      <c r="V660" s="280"/>
      <c r="W660" s="280"/>
      <c r="X660" s="1303"/>
      <c r="Y660" s="1522"/>
      <c r="Z660" s="1586"/>
      <c r="AC660" s="280"/>
      <c r="AD660" s="280"/>
      <c r="AE660" s="280"/>
      <c r="AF660" s="280"/>
      <c r="AG660" s="280"/>
      <c r="AH660" s="280"/>
      <c r="AI660" s="280"/>
      <c r="AJ660" s="280"/>
      <c r="AK660" s="280"/>
      <c r="AL660" s="280"/>
      <c r="AM660" s="280"/>
      <c r="AN660" s="280"/>
      <c r="AO660" s="280"/>
      <c r="AP660" s="280"/>
      <c r="AQ660" s="280"/>
      <c r="AR660" s="280"/>
      <c r="AS660" s="280"/>
      <c r="BJ660" s="1184" t="s">
        <v>4763</v>
      </c>
    </row>
    <row r="661" spans="1:62" x14ac:dyDescent="0.3">
      <c r="A661" s="1200">
        <v>6</v>
      </c>
      <c r="B661" s="1208" t="s">
        <v>756</v>
      </c>
      <c r="C661" s="1203"/>
      <c r="D661" s="1203"/>
      <c r="E661" s="1203" t="s">
        <v>273</v>
      </c>
      <c r="F661" s="1212"/>
      <c r="G661" s="1202" t="str">
        <f t="shared" si="198"/>
        <v/>
      </c>
      <c r="H661" s="1211" t="s">
        <v>4387</v>
      </c>
      <c r="I661" s="66"/>
      <c r="J661" s="238"/>
      <c r="K661" s="193"/>
      <c r="L661" s="1306"/>
      <c r="M661" s="1319"/>
      <c r="N661" s="1491"/>
      <c r="O661" s="1491"/>
      <c r="P661" s="280"/>
      <c r="Q661" s="280"/>
      <c r="R661" s="280"/>
      <c r="S661" s="280"/>
      <c r="T661" s="280"/>
      <c r="U661" s="280"/>
      <c r="V661" s="280"/>
      <c r="W661" s="280"/>
      <c r="X661" s="1303"/>
      <c r="Y661" s="1522"/>
      <c r="Z661" s="1586"/>
      <c r="AC661" s="280"/>
      <c r="AD661" s="280"/>
      <c r="AE661" s="280"/>
      <c r="AF661" s="280"/>
      <c r="AG661" s="280"/>
      <c r="AH661" s="280"/>
      <c r="AI661" s="280"/>
      <c r="AJ661" s="280"/>
      <c r="AK661" s="280"/>
      <c r="AL661" s="280"/>
      <c r="AM661" s="280"/>
      <c r="AN661" s="280"/>
      <c r="AO661" s="280"/>
      <c r="AP661" s="280"/>
      <c r="AQ661" s="280"/>
      <c r="AR661" s="280"/>
      <c r="AS661" s="280"/>
      <c r="BJ661" s="1184" t="s">
        <v>4763</v>
      </c>
    </row>
    <row r="662" spans="1:62" x14ac:dyDescent="0.3">
      <c r="A662" s="1200">
        <v>6</v>
      </c>
      <c r="B662" s="1208" t="s">
        <v>756</v>
      </c>
      <c r="C662" s="1203"/>
      <c r="D662" s="1203"/>
      <c r="E662" s="1203" t="s">
        <v>275</v>
      </c>
      <c r="F662" s="1212"/>
      <c r="G662" s="1202" t="str">
        <f>IF(N662&gt;0,"P","")</f>
        <v/>
      </c>
      <c r="H662" s="1211" t="s">
        <v>4387</v>
      </c>
      <c r="I662" s="66"/>
      <c r="J662" s="27" t="s">
        <v>275</v>
      </c>
      <c r="K662" s="86"/>
      <c r="L662" s="1329" t="s">
        <v>766</v>
      </c>
      <c r="M662" s="1335">
        <v>2</v>
      </c>
      <c r="N662" s="1472">
        <f>'Ch6'!O408</f>
        <v>0</v>
      </c>
      <c r="O662" s="1463">
        <f>M662*S662*W662</f>
        <v>0</v>
      </c>
      <c r="P662" s="280" t="b">
        <v>1</v>
      </c>
      <c r="Q662" s="280" t="b">
        <v>0</v>
      </c>
      <c r="R662" s="280" t="b">
        <v>0</v>
      </c>
      <c r="S662" s="280" t="b">
        <f>NOT(OR(NOT(ISBLANK(W670)),NOT(ISBLANK(W677)),NOT(ISBLANK(W683)),NOT(ISBLANK(W689)),NOT(ISBLANK(W695)),NOT(ISBLANK(W701))))</f>
        <v>1</v>
      </c>
      <c r="T662" s="97" t="b">
        <f>IF(AND(NOT(S662),W662=TRUE),TRUE,FALSE)</f>
        <v>0</v>
      </c>
      <c r="U662" s="280"/>
      <c r="V662" s="280"/>
      <c r="W662" s="25"/>
      <c r="X662" s="1337"/>
      <c r="Y662" s="1523" t="str">
        <f>IF(LEN('Ch6'!X408)=0,"None",'Ch6'!X408)</f>
        <v>None</v>
      </c>
      <c r="Z662" s="1583"/>
      <c r="AC662" s="280" t="b">
        <f>OR(AD662:AE662)</f>
        <v>0</v>
      </c>
      <c r="AD662" s="280" t="b">
        <f>T662</f>
        <v>0</v>
      </c>
      <c r="AE662" s="280"/>
      <c r="AF662" s="280"/>
      <c r="AG662" s="280"/>
      <c r="AH662" s="280"/>
      <c r="AI662" s="280"/>
      <c r="AJ662" s="280"/>
      <c r="AK662" s="280"/>
      <c r="AL662" s="311" t="str">
        <f t="shared" ref="AL662" si="199">SUBSTITUTE(SUBSTITUTE(SUBSTITUTE("vpa"&amp;$B662&amp;$C662&amp;$D662&amp;$E662&amp;$F662,".","_"),"(","_"),")","")</f>
        <v>vpa610_1_1_3</v>
      </c>
      <c r="AM662" s="311">
        <f>M662</f>
        <v>2</v>
      </c>
      <c r="AN662" s="311" t="str">
        <f>SUBSTITUTE(SUBSTITUTE(SUBSTITUTE("vpc"&amp;$B662&amp;$C662&amp;$D662&amp;$E662&amp;$F662,".","_"),"(","_"),")","")</f>
        <v>vpc610_1_1_3</v>
      </c>
      <c r="AO662" s="311">
        <f>O662</f>
        <v>0</v>
      </c>
      <c r="AP662" s="311" t="str">
        <f>SUBSTITUTE(SUBSTITUTE(SUBSTITUTE("vch"&amp;$B662&amp;$C662&amp;$D662&amp;$E662&amp;$F662,".","_"),"(","_"),")","")</f>
        <v>vch610_1_1_3</v>
      </c>
      <c r="AQ662" s="311">
        <f>W662</f>
        <v>0</v>
      </c>
      <c r="AR662" s="311" t="str">
        <f>SUBSTITUTE(SUBSTITUTE(SUBSTITUTE("vnt"&amp;$B662&amp;$C662&amp;$D662&amp;$E662&amp;$F662,".","_"),"(","_"),")","")</f>
        <v>vnt610_1_1_3</v>
      </c>
      <c r="AS662" s="311">
        <f>X662</f>
        <v>0</v>
      </c>
      <c r="BJ662" s="1184" t="s">
        <v>4763</v>
      </c>
    </row>
    <row r="663" spans="1:62" ht="15" thickBot="1" x14ac:dyDescent="0.35">
      <c r="A663" s="1200">
        <v>6</v>
      </c>
      <c r="B663" s="1208" t="s">
        <v>756</v>
      </c>
      <c r="C663" s="1203"/>
      <c r="D663" s="1203"/>
      <c r="E663" s="1203" t="s">
        <v>275</v>
      </c>
      <c r="F663" s="1212"/>
      <c r="G663" s="1202" t="str">
        <f t="shared" ref="G663" si="200">G662</f>
        <v/>
      </c>
      <c r="H663" s="1211" t="s">
        <v>4387</v>
      </c>
      <c r="I663" s="66"/>
      <c r="J663" s="4"/>
      <c r="K663" s="86"/>
      <c r="L663" s="1329"/>
      <c r="M663" s="1335"/>
      <c r="N663" s="1529"/>
      <c r="O663" s="1463"/>
      <c r="P663" s="280"/>
      <c r="Q663" s="280"/>
      <c r="R663" s="280"/>
      <c r="S663" s="280"/>
      <c r="T663" s="280"/>
      <c r="U663" s="280"/>
      <c r="V663" s="280"/>
      <c r="W663" s="280"/>
      <c r="X663" s="1312"/>
      <c r="Y663" s="1524"/>
      <c r="Z663" s="1584"/>
      <c r="AC663" s="280"/>
      <c r="AD663" s="280"/>
      <c r="AE663" s="280"/>
      <c r="AF663" s="280"/>
      <c r="AG663" s="280"/>
      <c r="AH663" s="280"/>
      <c r="AI663" s="280"/>
      <c r="AJ663" s="280"/>
      <c r="AK663" s="280"/>
      <c r="AL663" s="280"/>
      <c r="AM663" s="280"/>
      <c r="AN663" s="280"/>
      <c r="AO663" s="280"/>
      <c r="AP663" s="280"/>
      <c r="AQ663" s="280"/>
      <c r="AR663" s="280"/>
      <c r="AS663" s="280"/>
      <c r="BJ663" s="1184" t="s">
        <v>4763</v>
      </c>
    </row>
    <row r="664" spans="1:62" ht="15" thickTop="1" x14ac:dyDescent="0.3">
      <c r="A664" s="1200">
        <v>6</v>
      </c>
      <c r="B664" s="1208" t="s">
        <v>767</v>
      </c>
      <c r="C664" s="1203"/>
      <c r="D664" s="1203"/>
      <c r="E664" s="1203"/>
      <c r="F664" s="1203"/>
      <c r="G664" s="1202" t="str">
        <f ca="1">IF(N664&gt;0,"P","")</f>
        <v/>
      </c>
      <c r="H664" s="1200" t="s">
        <v>4387</v>
      </c>
      <c r="I664" s="200" t="s">
        <v>767</v>
      </c>
      <c r="J664" s="201"/>
      <c r="K664" s="202"/>
      <c r="L664" s="1331" t="s">
        <v>768</v>
      </c>
      <c r="M664" s="1343" t="s">
        <v>769</v>
      </c>
      <c r="N664" s="1528">
        <f ca="1">'Ch6'!O410</f>
        <v>0</v>
      </c>
      <c r="O664" s="1528">
        <f ca="1">MIN(10,(R671+R678)+IFERROR((INDEX({3,3,6,4,4,6,8,5,5,9,9,10},MATCH(R682*4+S682*5,{8,9,10,12,13,14,15,16,17,18,19,20},0))),0))</f>
        <v>0</v>
      </c>
      <c r="P664" s="110"/>
      <c r="Q664" s="110"/>
      <c r="R664" s="110"/>
      <c r="S664" s="110"/>
      <c r="T664" s="110"/>
      <c r="U664" s="110"/>
      <c r="V664" s="110"/>
      <c r="W664" s="110"/>
      <c r="X664" s="110"/>
      <c r="Z664" s="1055"/>
      <c r="AC664" s="280"/>
      <c r="AD664" s="280"/>
      <c r="AE664" s="280"/>
      <c r="AF664" s="280"/>
      <c r="AG664" s="280"/>
      <c r="AH664" s="280"/>
      <c r="AI664" s="280"/>
      <c r="AJ664" s="280"/>
      <c r="AK664" s="280"/>
      <c r="AL664" s="311" t="str">
        <f t="shared" ref="AL664" si="201">SUBSTITUTE(SUBSTITUTE(SUBSTITUTE("vpa"&amp;$B664&amp;$C664&amp;$D664&amp;$E664&amp;$F664,".","_"),"(","_"),")","")</f>
        <v>vpa610_1_2</v>
      </c>
      <c r="AM664" s="311" t="str">
        <f>M664</f>
        <v xml:space="preserve">10 Max </v>
      </c>
      <c r="AN664" s="311" t="str">
        <f>SUBSTITUTE(SUBSTITUTE(SUBSTITUTE("vpc"&amp;$B664&amp;$C664&amp;$D664&amp;$E664&amp;$F664,".","_"),"(","_"),")","")</f>
        <v>vpc610_1_2</v>
      </c>
      <c r="AO664" s="311">
        <f ca="1">O664</f>
        <v>0</v>
      </c>
      <c r="AP664" s="280"/>
      <c r="AQ664" s="280"/>
      <c r="AR664" s="280"/>
      <c r="AS664" s="280"/>
      <c r="BJ664" s="1184" t="s">
        <v>4763</v>
      </c>
    </row>
    <row r="665" spans="1:62" x14ac:dyDescent="0.3">
      <c r="A665" s="1200">
        <v>6</v>
      </c>
      <c r="B665" s="1208" t="s">
        <v>767</v>
      </c>
      <c r="C665" s="1203"/>
      <c r="D665" s="1203"/>
      <c r="E665" s="1203"/>
      <c r="F665" s="1203"/>
      <c r="G665" s="1202" t="str">
        <f t="shared" ref="G665:G705" ca="1" si="202">G664</f>
        <v/>
      </c>
      <c r="H665" s="1200" t="s">
        <v>4387</v>
      </c>
      <c r="I665" s="141"/>
      <c r="J665" s="140"/>
      <c r="K665" s="98"/>
      <c r="L665" s="1313"/>
      <c r="M665" s="1318"/>
      <c r="N665" s="1473"/>
      <c r="O665" s="1473"/>
      <c r="P665" s="97"/>
      <c r="Q665" s="97"/>
      <c r="R665" s="97"/>
      <c r="S665" s="97"/>
      <c r="T665" s="97"/>
      <c r="U665" s="97"/>
      <c r="V665" s="97"/>
      <c r="W665" s="97"/>
      <c r="X665" s="97"/>
      <c r="Z665" s="1055"/>
      <c r="AC665" s="280"/>
      <c r="AD665" s="280"/>
      <c r="AE665" s="280"/>
      <c r="AF665" s="280"/>
      <c r="AG665" s="280"/>
      <c r="AH665" s="280"/>
      <c r="AI665" s="280"/>
      <c r="AJ665" s="280"/>
      <c r="AK665" s="280"/>
      <c r="AL665" s="280"/>
      <c r="AM665" s="280"/>
      <c r="AN665" s="280"/>
      <c r="AO665" s="280"/>
      <c r="AP665" s="280"/>
      <c r="AQ665" s="280"/>
      <c r="AR665" s="280"/>
      <c r="AS665" s="280"/>
      <c r="BJ665" s="1184" t="s">
        <v>4763</v>
      </c>
    </row>
    <row r="666" spans="1:62" x14ac:dyDescent="0.3">
      <c r="A666" s="1200">
        <v>6</v>
      </c>
      <c r="B666" s="1208" t="s">
        <v>767</v>
      </c>
      <c r="C666" s="1203"/>
      <c r="D666" s="1203"/>
      <c r="E666" s="1203"/>
      <c r="F666" s="1203"/>
      <c r="G666" s="1202" t="str">
        <f t="shared" ca="1" si="202"/>
        <v/>
      </c>
      <c r="H666" s="1200" t="s">
        <v>4387</v>
      </c>
      <c r="I666" s="141"/>
      <c r="J666" s="140"/>
      <c r="K666" s="98"/>
      <c r="L666" s="1313"/>
      <c r="M666" s="1318"/>
      <c r="N666" s="1473"/>
      <c r="O666" s="1473"/>
      <c r="P666" s="97"/>
      <c r="Q666" s="97"/>
      <c r="R666" s="97"/>
      <c r="S666" s="97"/>
      <c r="T666" s="97"/>
      <c r="U666" s="97"/>
      <c r="V666" s="97"/>
      <c r="W666" s="97"/>
      <c r="X666" s="97"/>
      <c r="Z666" s="1055"/>
      <c r="AC666" s="280"/>
      <c r="AD666" s="280"/>
      <c r="AE666" s="280"/>
      <c r="AF666" s="280"/>
      <c r="AG666" s="280"/>
      <c r="AH666" s="280"/>
      <c r="AI666" s="280"/>
      <c r="AJ666" s="280"/>
      <c r="AK666" s="280"/>
      <c r="AL666" s="280"/>
      <c r="AM666" s="280"/>
      <c r="AN666" s="280"/>
      <c r="AO666" s="280"/>
      <c r="AP666" s="280"/>
      <c r="AQ666" s="280"/>
      <c r="AR666" s="280"/>
      <c r="AS666" s="280"/>
      <c r="BJ666" s="1184" t="s">
        <v>4763</v>
      </c>
    </row>
    <row r="667" spans="1:62" x14ac:dyDescent="0.3">
      <c r="A667" s="1200">
        <v>6</v>
      </c>
      <c r="B667" s="1208" t="s">
        <v>767</v>
      </c>
      <c r="C667" s="1203"/>
      <c r="D667" s="1203"/>
      <c r="E667" s="1203"/>
      <c r="F667" s="1203"/>
      <c r="G667" s="1202" t="str">
        <f t="shared" ca="1" si="202"/>
        <v/>
      </c>
      <c r="H667" s="1200" t="s">
        <v>4387</v>
      </c>
      <c r="I667" s="244"/>
      <c r="J667" s="238"/>
      <c r="K667" s="193"/>
      <c r="L667" s="1350"/>
      <c r="M667" s="1319"/>
      <c r="N667" s="1491"/>
      <c r="O667" s="1491"/>
      <c r="P667" s="97"/>
      <c r="Q667" s="97"/>
      <c r="R667" s="97"/>
      <c r="S667" s="97"/>
      <c r="T667" s="97"/>
      <c r="U667" s="97"/>
      <c r="V667" s="97"/>
      <c r="W667" s="97"/>
      <c r="X667" s="97"/>
      <c r="Z667" s="1055"/>
      <c r="AC667" s="280"/>
      <c r="AD667" s="280"/>
      <c r="AE667" s="280"/>
      <c r="AF667" s="280"/>
      <c r="AG667" s="280"/>
      <c r="AH667" s="280"/>
      <c r="AI667" s="280"/>
      <c r="AJ667" s="280"/>
      <c r="AK667" s="280"/>
      <c r="AL667" s="280"/>
      <c r="AM667" s="280"/>
      <c r="AN667" s="280"/>
      <c r="AO667" s="280"/>
      <c r="AP667" s="280"/>
      <c r="AQ667" s="280"/>
      <c r="AR667" s="280"/>
      <c r="AS667" s="280"/>
      <c r="BJ667" s="1184" t="s">
        <v>4763</v>
      </c>
    </row>
    <row r="668" spans="1:62" x14ac:dyDescent="0.3">
      <c r="A668" s="1200">
        <v>6</v>
      </c>
      <c r="B668" s="1208" t="s">
        <v>770</v>
      </c>
      <c r="C668" s="1203"/>
      <c r="D668" s="1203"/>
      <c r="E668" s="1203"/>
      <c r="F668" s="1203"/>
      <c r="G668" s="1202" t="str">
        <f t="shared" ca="1" si="202"/>
        <v/>
      </c>
      <c r="H668" s="1200" t="s">
        <v>4387</v>
      </c>
      <c r="I668" s="215" t="s">
        <v>770</v>
      </c>
      <c r="J668" s="216"/>
      <c r="K668" s="217"/>
      <c r="L668" s="1364" t="s">
        <v>771</v>
      </c>
      <c r="M668" s="1535" t="s">
        <v>3326</v>
      </c>
      <c r="N668" s="282"/>
      <c r="O668" s="282"/>
      <c r="P668" s="280"/>
      <c r="Q668" s="280"/>
      <c r="R668" s="280"/>
      <c r="S668" s="280"/>
      <c r="T668" s="280"/>
      <c r="U668" s="280"/>
      <c r="V668" s="280"/>
      <c r="W668" s="1242" t="s">
        <v>3313</v>
      </c>
      <c r="X668" s="1303"/>
      <c r="Y668" s="1522" t="str">
        <f>IF(LEN('Ch6'!X414)=0,"None",'Ch6'!X414)</f>
        <v>None</v>
      </c>
      <c r="Z668" s="1586"/>
      <c r="AC668" s="280"/>
      <c r="AD668" s="280"/>
      <c r="AE668" s="280"/>
      <c r="AF668" s="280"/>
      <c r="AG668" s="280"/>
      <c r="AH668" s="280"/>
      <c r="AI668" s="280"/>
      <c r="AJ668" s="280"/>
      <c r="AK668" s="280"/>
      <c r="AL668" s="311" t="str">
        <f t="shared" ref="AL668" si="203">SUBSTITUTE(SUBSTITUTE(SUBSTITUTE("vpa"&amp;$B668&amp;$C668&amp;$D668&amp;$E668&amp;$F668,".","_"),"(","_"),")","")</f>
        <v>vpa610_1_2_1</v>
      </c>
      <c r="AM668" s="311" t="str">
        <f>M668</f>
        <v>per Table 610.1.2.1
10 Max</v>
      </c>
      <c r="AN668" s="280"/>
      <c r="AO668" s="280"/>
      <c r="AP668" s="280"/>
      <c r="AQ668" s="280"/>
      <c r="AR668" s="311" t="str">
        <f>SUBSTITUTE(SUBSTITUTE(SUBSTITUTE("vnt"&amp;$B668&amp;$C668&amp;$D668&amp;$E668&amp;$F668,".","_"),"(","_"),")","")</f>
        <v>vnt610_1_2_1</v>
      </c>
      <c r="AS668" s="311">
        <f>X668</f>
        <v>0</v>
      </c>
      <c r="BJ668" s="1184" t="s">
        <v>4763</v>
      </c>
    </row>
    <row r="669" spans="1:62" x14ac:dyDescent="0.3">
      <c r="A669" s="1200">
        <v>6</v>
      </c>
      <c r="B669" s="1208" t="s">
        <v>770</v>
      </c>
      <c r="C669" s="1203"/>
      <c r="D669" s="1203"/>
      <c r="E669" s="1203"/>
      <c r="F669" s="1203"/>
      <c r="G669" s="1202" t="str">
        <f t="shared" ca="1" si="202"/>
        <v/>
      </c>
      <c r="H669" s="1200" t="s">
        <v>4387</v>
      </c>
      <c r="I669" s="141"/>
      <c r="J669" s="140"/>
      <c r="K669" s="98"/>
      <c r="L669" s="1313"/>
      <c r="M669" s="1536"/>
      <c r="N669" s="282"/>
      <c r="O669" s="282"/>
      <c r="P669" s="280"/>
      <c r="Q669" s="280"/>
      <c r="R669" s="280"/>
      <c r="S669" s="280"/>
      <c r="T669" s="280"/>
      <c r="U669" s="97"/>
      <c r="V669" s="280"/>
      <c r="W669" s="1242"/>
      <c r="X669" s="1303"/>
      <c r="Y669" s="1522"/>
      <c r="Z669" s="1586"/>
      <c r="AC669" s="280"/>
      <c r="AD669" s="280"/>
      <c r="AE669" s="280"/>
      <c r="AF669" s="280"/>
      <c r="AG669" s="280"/>
      <c r="AH669" s="280"/>
      <c r="AI669" s="280"/>
      <c r="AJ669" s="280"/>
      <c r="AK669" s="280"/>
      <c r="AL669" s="280"/>
      <c r="AM669" s="280"/>
      <c r="AN669" s="280"/>
      <c r="AO669" s="280"/>
      <c r="AP669" s="280"/>
      <c r="AQ669" s="280"/>
      <c r="AR669" s="280"/>
      <c r="AS669" s="280"/>
      <c r="BJ669" s="1184" t="s">
        <v>4763</v>
      </c>
    </row>
    <row r="670" spans="1:62" x14ac:dyDescent="0.3">
      <c r="A670" s="1200">
        <v>6</v>
      </c>
      <c r="B670" s="1208" t="s">
        <v>770</v>
      </c>
      <c r="C670" s="1203"/>
      <c r="D670" s="1203"/>
      <c r="E670" s="1203" t="s">
        <v>3173</v>
      </c>
      <c r="F670" s="1203"/>
      <c r="G670" s="1202" t="str">
        <f t="shared" ca="1" si="202"/>
        <v/>
      </c>
      <c r="H670" s="1200" t="s">
        <v>4387</v>
      </c>
      <c r="I670" s="141"/>
      <c r="J670" s="140"/>
      <c r="K670" s="98"/>
      <c r="L670" s="1313"/>
      <c r="M670" s="1536"/>
      <c r="N670" s="282"/>
      <c r="O670" s="282"/>
      <c r="P670" s="280" t="b">
        <v>1</v>
      </c>
      <c r="Q670" s="280" t="b">
        <v>0</v>
      </c>
      <c r="R670" s="280" t="b">
        <v>0</v>
      </c>
      <c r="S670" s="280" t="b">
        <f>COUNTIF(W646:W662,TRUE)&lt;1</f>
        <v>1</v>
      </c>
      <c r="T670" s="97" t="b">
        <f>IF(AND(NOT(S670),LEN(W670)&gt;0),TRUE,FALSE)</f>
        <v>0</v>
      </c>
      <c r="U670" s="97" t="str">
        <f>SUBSTITUTE(SUBSTITUTE(SUBSTITUTE("dd"&amp;B670&amp;C670&amp;D670&amp;E670&amp;F670,".","_"),"(","_"),")","")</f>
        <v>dd610_1_2_1a</v>
      </c>
      <c r="V670" s="280"/>
      <c r="W670" s="12"/>
      <c r="X670" s="1303"/>
      <c r="Y670" s="1522"/>
      <c r="Z670" s="1586"/>
      <c r="AC670" s="280" t="b">
        <f>OR(AD670:AE670)</f>
        <v>0</v>
      </c>
      <c r="AD670" s="280" t="b">
        <f>T670</f>
        <v>0</v>
      </c>
      <c r="AE670" s="280" t="b">
        <f>AND(NOT(ISBLANK(W670)),LEN(X668)=0)</f>
        <v>0</v>
      </c>
      <c r="AF670" s="1182" t="b">
        <f>AND(AE670,NOT(Q670))</f>
        <v>0</v>
      </c>
      <c r="AG670" s="280"/>
      <c r="AH670" s="280"/>
      <c r="AI670" s="280"/>
      <c r="AJ670" s="280"/>
      <c r="AK670" s="280"/>
      <c r="AL670" s="280"/>
      <c r="AM670" s="280"/>
      <c r="AN670" s="280"/>
      <c r="AO670" s="280"/>
      <c r="AP670" s="311" t="str">
        <f>SUBSTITUTE(SUBSTITUTE(SUBSTITUTE("vch"&amp;$B670&amp;$C670&amp;$D670&amp;$E670&amp;$F670,".","_"),"(","_"),")","")</f>
        <v>vch610_1_2_1a</v>
      </c>
      <c r="AQ670" s="311">
        <f>W670</f>
        <v>0</v>
      </c>
      <c r="AR670" s="280"/>
      <c r="AS670" s="280"/>
      <c r="BJ670" s="1184" t="s">
        <v>4763</v>
      </c>
    </row>
    <row r="671" spans="1:62" x14ac:dyDescent="0.3">
      <c r="A671" s="1200">
        <v>6</v>
      </c>
      <c r="B671" s="1208" t="s">
        <v>770</v>
      </c>
      <c r="C671" s="1203"/>
      <c r="D671" s="1203"/>
      <c r="E671" s="1203"/>
      <c r="F671" s="1203" t="s">
        <v>121</v>
      </c>
      <c r="G671" s="1202" t="str">
        <f t="shared" ca="1" si="202"/>
        <v/>
      </c>
      <c r="H671" s="1204" t="s">
        <v>4387</v>
      </c>
      <c r="I671" s="141"/>
      <c r="J671" s="140"/>
      <c r="K671" s="94" t="s">
        <v>121</v>
      </c>
      <c r="L671" s="98" t="s">
        <v>759</v>
      </c>
      <c r="M671" s="1536"/>
      <c r="N671" s="282"/>
      <c r="O671" s="282"/>
      <c r="P671" s="280"/>
      <c r="Q671" s="280"/>
      <c r="R671" s="1">
        <f ca="1">2*IFERROR(MATCH(W670,INDIRECT(U670),0),0)*S670</f>
        <v>0</v>
      </c>
      <c r="S671" s="280"/>
      <c r="T671" s="280"/>
      <c r="U671" s="280"/>
      <c r="V671" s="280"/>
      <c r="W671" s="280"/>
      <c r="X671" s="1303"/>
      <c r="Y671" s="1522"/>
      <c r="Z671" s="1586"/>
      <c r="AC671" s="280"/>
      <c r="AD671" s="280"/>
      <c r="AE671" s="280"/>
      <c r="AF671" s="280"/>
      <c r="AG671" s="280"/>
      <c r="AH671" s="280"/>
      <c r="AI671" s="280"/>
      <c r="AJ671" s="280"/>
      <c r="AK671" s="280"/>
      <c r="AL671" s="280"/>
      <c r="AM671" s="280"/>
      <c r="AN671" s="280"/>
      <c r="AO671" s="280"/>
      <c r="AP671" s="280"/>
      <c r="AQ671" s="280"/>
      <c r="AR671" s="280"/>
      <c r="AS671" s="280"/>
      <c r="BJ671" s="1184" t="s">
        <v>4763</v>
      </c>
    </row>
    <row r="672" spans="1:62" x14ac:dyDescent="0.3">
      <c r="A672" s="1200">
        <v>6</v>
      </c>
      <c r="B672" s="1208" t="s">
        <v>770</v>
      </c>
      <c r="C672" s="1203"/>
      <c r="D672" s="1203"/>
      <c r="E672" s="1203"/>
      <c r="F672" s="1203" t="s">
        <v>122</v>
      </c>
      <c r="G672" s="1202" t="str">
        <f t="shared" ca="1" si="202"/>
        <v/>
      </c>
      <c r="H672" s="1204" t="s">
        <v>4387</v>
      </c>
      <c r="I672" s="141"/>
      <c r="J672" s="140"/>
      <c r="K672" s="94" t="s">
        <v>122</v>
      </c>
      <c r="L672" s="98" t="s">
        <v>760</v>
      </c>
      <c r="M672" s="1536"/>
      <c r="N672" s="282"/>
      <c r="O672" s="282"/>
      <c r="P672" s="280"/>
      <c r="Q672" s="280"/>
      <c r="R672" s="280"/>
      <c r="S672" s="280"/>
      <c r="T672" s="280"/>
      <c r="U672" s="280"/>
      <c r="V672" s="280"/>
      <c r="W672" s="280"/>
      <c r="X672" s="1303"/>
      <c r="Y672" s="1522"/>
      <c r="Z672" s="1586"/>
      <c r="AC672" s="280"/>
      <c r="AD672" s="280"/>
      <c r="AE672" s="280"/>
      <c r="AF672" s="280"/>
      <c r="AG672" s="280"/>
      <c r="AH672" s="280"/>
      <c r="AI672" s="280"/>
      <c r="AJ672" s="280"/>
      <c r="AK672" s="280"/>
      <c r="AL672" s="280"/>
      <c r="AM672" s="280"/>
      <c r="AN672" s="280"/>
      <c r="AO672" s="280"/>
      <c r="AP672" s="280"/>
      <c r="AQ672" s="280"/>
      <c r="AR672" s="280"/>
      <c r="AS672" s="280"/>
      <c r="BJ672" s="1184" t="s">
        <v>4763</v>
      </c>
    </row>
    <row r="673" spans="1:62" x14ac:dyDescent="0.3">
      <c r="A673" s="1200">
        <v>6</v>
      </c>
      <c r="B673" s="1208" t="s">
        <v>770</v>
      </c>
      <c r="C673" s="1203"/>
      <c r="D673" s="1203"/>
      <c r="E673" s="1203"/>
      <c r="F673" s="1203" t="s">
        <v>123</v>
      </c>
      <c r="G673" s="1202" t="str">
        <f t="shared" ca="1" si="202"/>
        <v/>
      </c>
      <c r="H673" s="1204" t="s">
        <v>4387</v>
      </c>
      <c r="I673" s="141"/>
      <c r="J673" s="140"/>
      <c r="K673" s="94" t="s">
        <v>123</v>
      </c>
      <c r="L673" s="98" t="s">
        <v>761</v>
      </c>
      <c r="M673" s="1536"/>
      <c r="N673" s="282"/>
      <c r="O673" s="282"/>
      <c r="P673" s="280"/>
      <c r="Q673" s="280"/>
      <c r="R673" s="280"/>
      <c r="S673" s="280"/>
      <c r="T673" s="280"/>
      <c r="U673" s="280"/>
      <c r="V673" s="280"/>
      <c r="W673" s="280"/>
      <c r="X673" s="1303"/>
      <c r="Y673" s="1522"/>
      <c r="Z673" s="1586"/>
      <c r="AC673" s="280"/>
      <c r="AD673" s="280"/>
      <c r="AE673" s="280"/>
      <c r="AF673" s="280"/>
      <c r="AG673" s="280"/>
      <c r="AH673" s="280"/>
      <c r="AI673" s="280"/>
      <c r="AJ673" s="280"/>
      <c r="AK673" s="280"/>
      <c r="AL673" s="280"/>
      <c r="AM673" s="280"/>
      <c r="AN673" s="280"/>
      <c r="AO673" s="280"/>
      <c r="AP673" s="280"/>
      <c r="AQ673" s="280"/>
      <c r="AR673" s="280"/>
      <c r="AS673" s="280"/>
      <c r="BJ673" s="1184" t="s">
        <v>4763</v>
      </c>
    </row>
    <row r="674" spans="1:62" x14ac:dyDescent="0.3">
      <c r="A674" s="1200">
        <v>6</v>
      </c>
      <c r="B674" s="1208" t="s">
        <v>770</v>
      </c>
      <c r="C674" s="1203"/>
      <c r="D674" s="1203"/>
      <c r="E674" s="1203"/>
      <c r="F674" s="1205" t="s">
        <v>423</v>
      </c>
      <c r="G674" s="1202" t="str">
        <f t="shared" ca="1" si="202"/>
        <v/>
      </c>
      <c r="H674" s="1206" t="s">
        <v>4387</v>
      </c>
      <c r="I674" s="141"/>
      <c r="J674" s="140"/>
      <c r="K674" s="115" t="s">
        <v>423</v>
      </c>
      <c r="L674" s="98" t="s">
        <v>762</v>
      </c>
      <c r="M674" s="1536"/>
      <c r="N674" s="282"/>
      <c r="O674" s="282"/>
      <c r="P674" s="280"/>
      <c r="Q674" s="280"/>
      <c r="R674" s="280"/>
      <c r="S674" s="280"/>
      <c r="T674" s="280"/>
      <c r="U674" s="97"/>
      <c r="V674" s="280"/>
      <c r="W674" s="280"/>
      <c r="X674" s="1303"/>
      <c r="Y674" s="1522"/>
      <c r="Z674" s="1586"/>
      <c r="AC674" s="280"/>
      <c r="AD674" s="280"/>
      <c r="AE674" s="280"/>
      <c r="AF674" s="280"/>
      <c r="AG674" s="280"/>
      <c r="AH674" s="280"/>
      <c r="AI674" s="280"/>
      <c r="AJ674" s="280"/>
      <c r="AK674" s="280"/>
      <c r="AL674" s="280"/>
      <c r="AM674" s="280"/>
      <c r="AN674" s="280"/>
      <c r="AO674" s="280"/>
      <c r="AP674" s="280"/>
      <c r="AQ674" s="280"/>
      <c r="AR674" s="280"/>
      <c r="AS674" s="280"/>
      <c r="BJ674" s="1184" t="s">
        <v>4763</v>
      </c>
    </row>
    <row r="675" spans="1:62" x14ac:dyDescent="0.3">
      <c r="A675" s="1200">
        <v>6</v>
      </c>
      <c r="B675" s="1208" t="s">
        <v>770</v>
      </c>
      <c r="C675" s="1203"/>
      <c r="D675" s="1203"/>
      <c r="E675" s="1203"/>
      <c r="F675" s="1203" t="s">
        <v>578</v>
      </c>
      <c r="G675" s="1202" t="str">
        <f t="shared" ca="1" si="202"/>
        <v/>
      </c>
      <c r="H675" s="1200" t="s">
        <v>4387</v>
      </c>
      <c r="I675" s="141"/>
      <c r="J675" s="140"/>
      <c r="K675" s="210" t="s">
        <v>578</v>
      </c>
      <c r="L675" s="98" t="s">
        <v>763</v>
      </c>
      <c r="M675" s="1536"/>
      <c r="N675" s="282"/>
      <c r="O675" s="282"/>
      <c r="P675" s="280"/>
      <c r="Q675" s="280"/>
      <c r="R675" s="280"/>
      <c r="S675" s="280"/>
      <c r="T675" s="280"/>
      <c r="U675" s="280"/>
      <c r="V675" s="280"/>
      <c r="W675" s="1242" t="s">
        <v>3312</v>
      </c>
      <c r="X675" s="1303"/>
      <c r="Y675" s="1522" t="str">
        <f>IF(LEN('Ch6'!X421)=0,"None",'Ch6'!X421)</f>
        <v>None</v>
      </c>
      <c r="Z675" s="1586"/>
      <c r="AC675" s="280"/>
      <c r="AD675" s="280"/>
      <c r="AE675" s="280"/>
      <c r="AF675" s="280"/>
      <c r="AG675" s="280"/>
      <c r="AH675" s="280"/>
      <c r="AI675" s="280"/>
      <c r="AJ675" s="280"/>
      <c r="AK675" s="280"/>
      <c r="AL675" s="280"/>
      <c r="AM675" s="280"/>
      <c r="AN675" s="280"/>
      <c r="AO675" s="280"/>
      <c r="AP675" s="280"/>
      <c r="AQ675" s="280"/>
      <c r="AR675" s="311" t="str">
        <f>SUBSTITUTE(SUBSTITUTE(SUBSTITUTE("vnt"&amp;$B675&amp;$C675&amp;$D675&amp;$E675&amp;$F675,".","_"),"(","_"),")","")</f>
        <v>vnt610_1_2_1_e</v>
      </c>
      <c r="AS675" s="311">
        <f>X675</f>
        <v>0</v>
      </c>
      <c r="BJ675" s="1184" t="s">
        <v>4763</v>
      </c>
    </row>
    <row r="676" spans="1:62" x14ac:dyDescent="0.3">
      <c r="A676" s="1200">
        <v>6</v>
      </c>
      <c r="B676" s="1208" t="s">
        <v>770</v>
      </c>
      <c r="C676" s="1203"/>
      <c r="D676" s="1203"/>
      <c r="E676" s="1203"/>
      <c r="F676" s="1203" t="s">
        <v>645</v>
      </c>
      <c r="G676" s="1202" t="str">
        <f t="shared" ca="1" si="202"/>
        <v/>
      </c>
      <c r="H676" s="1204" t="s">
        <v>4387</v>
      </c>
      <c r="I676" s="141"/>
      <c r="J676" s="140"/>
      <c r="K676" s="94" t="s">
        <v>645</v>
      </c>
      <c r="L676" s="98" t="s">
        <v>764</v>
      </c>
      <c r="M676" s="1536"/>
      <c r="N676" s="282"/>
      <c r="O676" s="282"/>
      <c r="P676" s="280"/>
      <c r="Q676" s="280"/>
      <c r="R676" s="280"/>
      <c r="S676" s="280"/>
      <c r="T676" s="280"/>
      <c r="U676" s="97"/>
      <c r="V676" s="280"/>
      <c r="W676" s="1242"/>
      <c r="X676" s="1303"/>
      <c r="Y676" s="1522"/>
      <c r="Z676" s="1586"/>
      <c r="AC676" s="280"/>
      <c r="AD676" s="280"/>
      <c r="AE676" s="280"/>
      <c r="AF676" s="280"/>
      <c r="AG676" s="280"/>
      <c r="AH676" s="280"/>
      <c r="AI676" s="280"/>
      <c r="AJ676" s="280"/>
      <c r="AK676" s="280"/>
      <c r="AL676" s="280"/>
      <c r="AM676" s="280"/>
      <c r="AN676" s="280"/>
      <c r="AO676" s="280"/>
      <c r="AP676" s="280"/>
      <c r="AQ676" s="280"/>
      <c r="AR676" s="280"/>
      <c r="AS676" s="280"/>
      <c r="BJ676" s="1184" t="s">
        <v>4763</v>
      </c>
    </row>
    <row r="677" spans="1:62" x14ac:dyDescent="0.3">
      <c r="A677" s="1200">
        <v>6</v>
      </c>
      <c r="B677" s="1208" t="s">
        <v>770</v>
      </c>
      <c r="C677" s="1203"/>
      <c r="D677" s="1203"/>
      <c r="E677" s="1203" t="s">
        <v>3174</v>
      </c>
      <c r="F677" s="1203"/>
      <c r="G677" s="1202" t="str">
        <f t="shared" ca="1" si="202"/>
        <v/>
      </c>
      <c r="H677" s="1200" t="s">
        <v>4387</v>
      </c>
      <c r="I677" s="141"/>
      <c r="J677" s="140"/>
      <c r="K677" s="97"/>
      <c r="L677" s="1368" t="s">
        <v>772</v>
      </c>
      <c r="M677" s="1536"/>
      <c r="N677" s="282"/>
      <c r="O677" s="282"/>
      <c r="P677" s="280" t="b">
        <v>1</v>
      </c>
      <c r="Q677" s="280" t="b">
        <v>0</v>
      </c>
      <c r="R677" s="280" t="b">
        <v>0</v>
      </c>
      <c r="S677" s="280" t="b">
        <f>COUNTIF(W646:W662,TRUE)&lt;1</f>
        <v>1</v>
      </c>
      <c r="T677" s="97" t="b">
        <f>IF(AND(NOT(S677),LEN(W677)&gt;0),TRUE,FALSE)</f>
        <v>0</v>
      </c>
      <c r="U677" s="97" t="str">
        <f>SUBSTITUTE(SUBSTITUTE(SUBSTITUTE("dd"&amp;B677&amp;C677&amp;D677&amp;E677&amp;F677,".","_"),"(","_"),")","")</f>
        <v>dd610_1_2_1b</v>
      </c>
      <c r="V677" s="280"/>
      <c r="W677" s="12"/>
      <c r="X677" s="1303"/>
      <c r="Y677" s="1522"/>
      <c r="Z677" s="1586"/>
      <c r="AC677" s="280" t="b">
        <f>OR(AD677:AE677)</f>
        <v>0</v>
      </c>
      <c r="AD677" s="280" t="b">
        <f>T677</f>
        <v>0</v>
      </c>
      <c r="AE677" s="280" t="b">
        <f>AND(NOT(ISBLANK(W677)),LEN(X675)=0)</f>
        <v>0</v>
      </c>
      <c r="AF677" s="1182" t="b">
        <f>AND(AE677,NOT(Q677))</f>
        <v>0</v>
      </c>
      <c r="AG677" s="280"/>
      <c r="AH677" s="280"/>
      <c r="AI677" s="280"/>
      <c r="AJ677" s="280"/>
      <c r="AK677" s="280"/>
      <c r="AL677" s="280"/>
      <c r="AM677" s="280"/>
      <c r="AN677" s="280"/>
      <c r="AO677" s="280"/>
      <c r="AP677" s="311" t="str">
        <f>SUBSTITUTE(SUBSTITUTE(SUBSTITUTE("vch"&amp;$B677&amp;$C677&amp;$D677&amp;$E677&amp;$F677,".","_"),"(","_"),")","")</f>
        <v>vch610_1_2_1b</v>
      </c>
      <c r="AQ677" s="311">
        <f>W677</f>
        <v>0</v>
      </c>
      <c r="AR677" s="280"/>
      <c r="AS677" s="280"/>
      <c r="BJ677" s="1184" t="s">
        <v>4763</v>
      </c>
    </row>
    <row r="678" spans="1:62" x14ac:dyDescent="0.3">
      <c r="A678" s="1200">
        <v>6</v>
      </c>
      <c r="B678" s="1208" t="s">
        <v>770</v>
      </c>
      <c r="C678" s="1203"/>
      <c r="D678" s="1203"/>
      <c r="E678" s="1203"/>
      <c r="F678" s="1203"/>
      <c r="G678" s="1202" t="str">
        <f t="shared" ca="1" si="202"/>
        <v/>
      </c>
      <c r="H678" s="1200" t="s">
        <v>4387</v>
      </c>
      <c r="I678" s="141"/>
      <c r="J678" s="140"/>
      <c r="K678" s="302"/>
      <c r="L678" s="1368"/>
      <c r="M678" s="1536"/>
      <c r="N678" s="282"/>
      <c r="O678" s="282"/>
      <c r="P678" s="280"/>
      <c r="Q678" s="280"/>
      <c r="R678" s="1">
        <f ca="1">3*IFERROR(MATCH(W677,INDIRECT(U677),0),0)*S677</f>
        <v>0</v>
      </c>
      <c r="S678" s="280"/>
      <c r="T678" s="280"/>
      <c r="U678" s="280"/>
      <c r="V678" s="280"/>
      <c r="W678" s="280"/>
      <c r="X678" s="1303"/>
      <c r="Y678" s="1522"/>
      <c r="Z678" s="1586"/>
      <c r="AC678" s="280"/>
      <c r="AD678" s="280"/>
      <c r="AE678" s="280"/>
      <c r="AF678" s="280"/>
      <c r="AG678" s="280"/>
      <c r="AH678" s="280"/>
      <c r="AI678" s="280"/>
      <c r="AJ678" s="280"/>
      <c r="AK678" s="280"/>
      <c r="AL678" s="280"/>
      <c r="AM678" s="280"/>
      <c r="AN678" s="280"/>
      <c r="AO678" s="280"/>
      <c r="AP678" s="280"/>
      <c r="AQ678" s="280"/>
      <c r="AR678" s="280"/>
      <c r="AS678" s="280"/>
      <c r="BJ678" s="1184" t="s">
        <v>4763</v>
      </c>
    </row>
    <row r="679" spans="1:62" x14ac:dyDescent="0.3">
      <c r="A679" s="1200">
        <v>6</v>
      </c>
      <c r="B679" s="1208" t="s">
        <v>770</v>
      </c>
      <c r="C679" s="1203"/>
      <c r="D679" s="1203"/>
      <c r="E679" s="1203"/>
      <c r="F679" s="1203"/>
      <c r="G679" s="1202" t="str">
        <f t="shared" ca="1" si="202"/>
        <v/>
      </c>
      <c r="H679" s="1200" t="s">
        <v>4387</v>
      </c>
      <c r="I679" s="141"/>
      <c r="J679" s="140"/>
      <c r="K679" s="302"/>
      <c r="L679" s="1368"/>
      <c r="M679" s="1536"/>
      <c r="N679" s="282"/>
      <c r="O679" s="282"/>
      <c r="P679" s="280"/>
      <c r="Q679" s="280"/>
      <c r="R679" s="280"/>
      <c r="S679" s="280"/>
      <c r="T679" s="280"/>
      <c r="U679" s="280"/>
      <c r="V679" s="280"/>
      <c r="W679" s="280"/>
      <c r="X679" s="1303"/>
      <c r="Y679" s="1522"/>
      <c r="Z679" s="1586"/>
      <c r="AC679" s="280"/>
      <c r="AD679" s="280"/>
      <c r="AE679" s="280"/>
      <c r="AF679" s="280"/>
      <c r="AG679" s="280"/>
      <c r="AH679" s="280"/>
      <c r="AI679" s="280"/>
      <c r="AJ679" s="280"/>
      <c r="AK679" s="280"/>
      <c r="AL679" s="280"/>
      <c r="AM679" s="280"/>
      <c r="AN679" s="280"/>
      <c r="AO679" s="280"/>
      <c r="AP679" s="280"/>
      <c r="AQ679" s="280"/>
      <c r="AR679" s="280"/>
      <c r="AS679" s="280"/>
      <c r="BJ679" s="1184" t="s">
        <v>4763</v>
      </c>
    </row>
    <row r="680" spans="1:62" x14ac:dyDescent="0.3">
      <c r="A680" s="1200">
        <v>6</v>
      </c>
      <c r="B680" s="1208" t="s">
        <v>770</v>
      </c>
      <c r="C680" s="1203"/>
      <c r="D680" s="1203"/>
      <c r="E680" s="1203"/>
      <c r="F680" s="1203"/>
      <c r="G680" s="1202" t="str">
        <f t="shared" ca="1" si="202"/>
        <v/>
      </c>
      <c r="H680" s="1200" t="s">
        <v>4387</v>
      </c>
      <c r="I680" s="141"/>
      <c r="J680" s="140"/>
      <c r="K680" s="302"/>
      <c r="L680" s="1394" t="s">
        <v>3311</v>
      </c>
      <c r="M680" s="1536"/>
      <c r="N680" s="282"/>
      <c r="O680" s="282"/>
      <c r="P680" s="280"/>
      <c r="Q680" s="280"/>
      <c r="R680" s="280"/>
      <c r="S680" s="280"/>
      <c r="T680" s="280"/>
      <c r="U680" s="280"/>
      <c r="V680" s="280"/>
      <c r="W680" s="280"/>
      <c r="X680" s="1303"/>
      <c r="Y680" s="1522"/>
      <c r="Z680" s="1586"/>
      <c r="AC680" s="280"/>
      <c r="AD680" s="280"/>
      <c r="AE680" s="280"/>
      <c r="AF680" s="280"/>
      <c r="AG680" s="280"/>
      <c r="AH680" s="280"/>
      <c r="AI680" s="280"/>
      <c r="AJ680" s="280"/>
      <c r="AK680" s="280"/>
      <c r="AL680" s="280"/>
      <c r="AM680" s="280"/>
      <c r="AN680" s="280"/>
      <c r="AO680" s="280"/>
      <c r="AP680" s="280"/>
      <c r="AQ680" s="280"/>
      <c r="AR680" s="280"/>
      <c r="AS680" s="280"/>
      <c r="BJ680" s="1184" t="s">
        <v>4763</v>
      </c>
    </row>
    <row r="681" spans="1:62" x14ac:dyDescent="0.3">
      <c r="A681" s="1200">
        <v>6</v>
      </c>
      <c r="B681" s="1208" t="s">
        <v>770</v>
      </c>
      <c r="C681" s="1203"/>
      <c r="D681" s="1203"/>
      <c r="E681" s="1203"/>
      <c r="F681" s="1203"/>
      <c r="G681" s="1202" t="str">
        <f t="shared" ca="1" si="202"/>
        <v/>
      </c>
      <c r="H681" s="1200" t="s">
        <v>4387</v>
      </c>
      <c r="I681" s="244"/>
      <c r="J681" s="238"/>
      <c r="K681" s="250"/>
      <c r="L681" s="1396"/>
      <c r="M681" s="1537"/>
      <c r="N681" s="282"/>
      <c r="O681" s="282"/>
      <c r="P681" s="280"/>
      <c r="Q681" s="280"/>
      <c r="R681" s="280"/>
      <c r="S681" s="280"/>
      <c r="T681" s="280"/>
      <c r="U681" s="280"/>
      <c r="V681" s="280"/>
      <c r="W681" s="280"/>
      <c r="X681" s="1303"/>
      <c r="Y681" s="1522"/>
      <c r="Z681" s="1586"/>
      <c r="AC681" s="280"/>
      <c r="AD681" s="280"/>
      <c r="AE681" s="280"/>
      <c r="AF681" s="280"/>
      <c r="AG681" s="280"/>
      <c r="AH681" s="280"/>
      <c r="AI681" s="280"/>
      <c r="AJ681" s="280"/>
      <c r="AK681" s="280"/>
      <c r="AL681" s="280"/>
      <c r="AM681" s="280"/>
      <c r="AN681" s="280"/>
      <c r="AO681" s="280"/>
      <c r="AP681" s="280"/>
      <c r="AQ681" s="280"/>
      <c r="AR681" s="280"/>
      <c r="AS681" s="280"/>
      <c r="BJ681" s="1184" t="s">
        <v>4763</v>
      </c>
    </row>
    <row r="682" spans="1:62" x14ac:dyDescent="0.3">
      <c r="A682" s="1200">
        <v>6</v>
      </c>
      <c r="B682" s="1208" t="s">
        <v>773</v>
      </c>
      <c r="C682" s="1203"/>
      <c r="D682" s="1203"/>
      <c r="E682" s="1203" t="s">
        <v>3173</v>
      </c>
      <c r="F682" s="1203"/>
      <c r="G682" s="1202" t="str">
        <f t="shared" ca="1" si="202"/>
        <v/>
      </c>
      <c r="H682" s="1200" t="s">
        <v>4387</v>
      </c>
      <c r="I682" s="66" t="s">
        <v>773</v>
      </c>
      <c r="J682" s="4"/>
      <c r="K682" s="86"/>
      <c r="L682" s="1292" t="s">
        <v>774</v>
      </c>
      <c r="M682" s="1534" t="s">
        <v>3327</v>
      </c>
      <c r="N682" s="282"/>
      <c r="O682" s="282"/>
      <c r="P682" s="280"/>
      <c r="Q682" s="280"/>
      <c r="R682" s="280">
        <f ca="1">COUNTIF(W683:W701,INDEX(INDIRECT(U683),1))*S683</f>
        <v>0</v>
      </c>
      <c r="S682" s="280">
        <f ca="1">COUNTIF(W683:W701,INDEX(INDIRECT(U683),2))*S683</f>
        <v>0</v>
      </c>
      <c r="T682" s="280"/>
      <c r="U682" s="280"/>
      <c r="V682" s="280"/>
      <c r="W682" s="280" t="s">
        <v>3322</v>
      </c>
      <c r="X682" s="1303"/>
      <c r="Y682" s="1522" t="str">
        <f>IF(LEN('Ch6'!X428)=0,"None",'Ch6'!X428)</f>
        <v>None</v>
      </c>
      <c r="Z682" s="1586"/>
      <c r="AC682" s="280"/>
      <c r="AD682" s="280"/>
      <c r="AE682" s="280"/>
      <c r="AF682" s="280"/>
      <c r="AG682" s="280"/>
      <c r="AH682" s="280"/>
      <c r="AI682" s="280"/>
      <c r="AJ682" s="280"/>
      <c r="AK682" s="280"/>
      <c r="AL682" s="311" t="str">
        <f t="shared" ref="AL682" si="204">SUBSTITUTE(SUBSTITUTE(SUBSTITUTE("vpa"&amp;$B682&amp;$C682&amp;$D682&amp;$E682&amp;$F682,".","_"),"(","_"),")","")</f>
        <v>vpa610_1_2_2a</v>
      </c>
      <c r="AM682" s="311" t="str">
        <f>M682</f>
        <v>per Table 610.1.2.2
10 Max</v>
      </c>
      <c r="AN682" s="280"/>
      <c r="AO682" s="280"/>
      <c r="AP682" s="280"/>
      <c r="AQ682" s="280"/>
      <c r="AR682" s="311" t="str">
        <f>SUBSTITUTE(SUBSTITUTE(SUBSTITUTE("vnt"&amp;$B682&amp;$C682&amp;$D682&amp;$E682&amp;$F682,".","_"),"(","_"),")","")</f>
        <v>vnt610_1_2_2a</v>
      </c>
      <c r="AS682" s="311">
        <f>X682</f>
        <v>0</v>
      </c>
      <c r="BJ682" s="1184" t="s">
        <v>4763</v>
      </c>
    </row>
    <row r="683" spans="1:62" x14ac:dyDescent="0.3">
      <c r="A683" s="1200">
        <v>6</v>
      </c>
      <c r="B683" s="1208" t="s">
        <v>773</v>
      </c>
      <c r="C683" s="1203"/>
      <c r="D683" s="1203"/>
      <c r="E683" s="1203" t="s">
        <v>3173</v>
      </c>
      <c r="F683" s="1203"/>
      <c r="G683" s="1202" t="str">
        <f t="shared" ca="1" si="202"/>
        <v/>
      </c>
      <c r="H683" s="1200" t="s">
        <v>4387</v>
      </c>
      <c r="I683" s="66"/>
      <c r="J683" s="4"/>
      <c r="K683" s="86"/>
      <c r="L683" s="1292"/>
      <c r="M683" s="1534"/>
      <c r="N683" s="282"/>
      <c r="O683" s="282"/>
      <c r="P683" s="280" t="b">
        <v>1</v>
      </c>
      <c r="Q683" s="280" t="b">
        <v>0</v>
      </c>
      <c r="R683" s="280" t="b">
        <v>0</v>
      </c>
      <c r="S683" s="280" t="b">
        <f>COUNTIF(W646:W662,TRUE)&lt;1</f>
        <v>1</v>
      </c>
      <c r="T683" s="97" t="b">
        <f>IF(AND(NOT(S683),LEN(W683)&gt;0),TRUE,FALSE)</f>
        <v>0</v>
      </c>
      <c r="U683" s="97" t="str">
        <f>SUBSTITUTE(SUBSTITUTE(SUBSTITUTE("dd"&amp;B683&amp;C683&amp;D683&amp;E683&amp;F683,".","_"),"(","_"),")","")</f>
        <v>dd610_1_2_2a</v>
      </c>
      <c r="V683" s="280"/>
      <c r="W683" s="12"/>
      <c r="X683" s="1303"/>
      <c r="Y683" s="1522"/>
      <c r="Z683" s="1586"/>
      <c r="AC683" s="280" t="b">
        <f>OR(AD683:AE683)</f>
        <v>0</v>
      </c>
      <c r="AD683" s="280" t="b">
        <f>T683</f>
        <v>0</v>
      </c>
      <c r="AE683" s="280" t="b">
        <f>AND(NOT(ISBLANK(W683)),LEN(X682)=0)</f>
        <v>0</v>
      </c>
      <c r="AF683" s="1182" t="b">
        <f>AND(AE683,NOT(Q683))</f>
        <v>0</v>
      </c>
      <c r="AG683" s="280"/>
      <c r="AH683" s="280"/>
      <c r="AI683" s="280"/>
      <c r="AJ683" s="280"/>
      <c r="AK683" s="280"/>
      <c r="AL683" s="280"/>
      <c r="AM683" s="280"/>
      <c r="AN683" s="280"/>
      <c r="AO683" s="280"/>
      <c r="AP683" s="311" t="str">
        <f>SUBSTITUTE(SUBSTITUTE(SUBSTITUTE("vch"&amp;$B683&amp;$C683&amp;$D683&amp;$E683&amp;$F683,".","_"),"(","_"),")","")</f>
        <v>vch610_1_2_2a</v>
      </c>
      <c r="AQ683" s="311">
        <f>W683</f>
        <v>0</v>
      </c>
      <c r="AR683" s="280"/>
      <c r="AS683" s="280"/>
      <c r="BJ683" s="1184" t="s">
        <v>4763</v>
      </c>
    </row>
    <row r="684" spans="1:62" x14ac:dyDescent="0.3">
      <c r="A684" s="1200">
        <v>6</v>
      </c>
      <c r="B684" s="1208" t="s">
        <v>773</v>
      </c>
      <c r="C684" s="1203"/>
      <c r="D684" s="1203"/>
      <c r="E684" s="1203"/>
      <c r="F684" s="1203"/>
      <c r="G684" s="1202" t="str">
        <f t="shared" ca="1" si="202"/>
        <v/>
      </c>
      <c r="H684" s="1200" t="s">
        <v>4387</v>
      </c>
      <c r="I684" s="66"/>
      <c r="J684" s="4"/>
      <c r="K684" s="86"/>
      <c r="L684" s="1292"/>
      <c r="M684" s="1534"/>
      <c r="N684" s="282"/>
      <c r="O684" s="282"/>
      <c r="P684" s="280"/>
      <c r="Q684" s="280"/>
      <c r="R684" s="280"/>
      <c r="S684" s="280"/>
      <c r="T684" s="280"/>
      <c r="U684" s="280"/>
      <c r="V684" s="280"/>
      <c r="W684" s="280"/>
      <c r="X684" s="1303"/>
      <c r="Y684" s="1522"/>
      <c r="Z684" s="1586"/>
      <c r="AC684" s="280"/>
      <c r="AD684" s="280"/>
      <c r="AE684" s="280"/>
      <c r="AF684" s="280"/>
      <c r="AG684" s="280"/>
      <c r="AH684" s="280"/>
      <c r="AI684" s="280"/>
      <c r="AJ684" s="280"/>
      <c r="AK684" s="280"/>
      <c r="AL684" s="280"/>
      <c r="AM684" s="280"/>
      <c r="AN684" s="280"/>
      <c r="AO684" s="280"/>
      <c r="AP684" s="280"/>
      <c r="AQ684" s="280"/>
      <c r="AR684" s="280"/>
      <c r="AS684" s="280"/>
      <c r="BJ684" s="1184" t="s">
        <v>4763</v>
      </c>
    </row>
    <row r="685" spans="1:62" x14ac:dyDescent="0.3">
      <c r="A685" s="1200">
        <v>6</v>
      </c>
      <c r="B685" s="1208" t="s">
        <v>773</v>
      </c>
      <c r="C685" s="1203"/>
      <c r="D685" s="1203"/>
      <c r="E685" s="1203"/>
      <c r="F685" s="1203"/>
      <c r="G685" s="1202" t="str">
        <f t="shared" ca="1" si="202"/>
        <v/>
      </c>
      <c r="H685" s="1200" t="s">
        <v>4387</v>
      </c>
      <c r="I685" s="66"/>
      <c r="J685" s="4"/>
      <c r="K685" s="86"/>
      <c r="L685" s="1292"/>
      <c r="M685" s="1534"/>
      <c r="N685" s="282"/>
      <c r="O685" s="282"/>
      <c r="P685" s="280"/>
      <c r="Q685" s="280"/>
      <c r="R685" s="280"/>
      <c r="S685" s="280"/>
      <c r="T685" s="280"/>
      <c r="U685" s="280"/>
      <c r="V685" s="280"/>
      <c r="W685" s="280"/>
      <c r="X685" s="1303"/>
      <c r="Y685" s="1522"/>
      <c r="Z685" s="1586"/>
      <c r="AC685" s="280"/>
      <c r="AD685" s="280"/>
      <c r="AE685" s="280"/>
      <c r="AF685" s="280"/>
      <c r="AG685" s="280"/>
      <c r="AH685" s="280"/>
      <c r="AI685" s="280"/>
      <c r="AJ685" s="280"/>
      <c r="AK685" s="280"/>
      <c r="AL685" s="280"/>
      <c r="AM685" s="280"/>
      <c r="AN685" s="280"/>
      <c r="AO685" s="280"/>
      <c r="AP685" s="280"/>
      <c r="AQ685" s="280"/>
      <c r="AR685" s="280"/>
      <c r="AS685" s="280"/>
      <c r="BJ685" s="1184" t="s">
        <v>4763</v>
      </c>
    </row>
    <row r="686" spans="1:62" x14ac:dyDescent="0.3">
      <c r="A686" s="1200">
        <v>6</v>
      </c>
      <c r="B686" s="1208" t="s">
        <v>773</v>
      </c>
      <c r="C686" s="1203"/>
      <c r="D686" s="1203"/>
      <c r="E686" s="1203"/>
      <c r="F686" s="1203"/>
      <c r="G686" s="1202" t="str">
        <f t="shared" ca="1" si="202"/>
        <v/>
      </c>
      <c r="H686" s="1200" t="s">
        <v>4387</v>
      </c>
      <c r="I686" s="66"/>
      <c r="J686" s="4"/>
      <c r="K686" s="86"/>
      <c r="L686" s="1292"/>
      <c r="M686" s="1534"/>
      <c r="N686" s="282"/>
      <c r="O686" s="282"/>
      <c r="P686" s="280"/>
      <c r="Q686" s="280"/>
      <c r="R686" s="280"/>
      <c r="S686" s="280"/>
      <c r="T686" s="280"/>
      <c r="U686" s="280"/>
      <c r="V686" s="280"/>
      <c r="W686" s="280"/>
      <c r="X686" s="1303"/>
      <c r="Y686" s="1522"/>
      <c r="Z686" s="1586"/>
      <c r="AC686" s="280"/>
      <c r="AD686" s="280"/>
      <c r="AE686" s="280"/>
      <c r="AF686" s="280"/>
      <c r="AG686" s="280"/>
      <c r="AH686" s="280"/>
      <c r="AI686" s="280"/>
      <c r="AJ686" s="280"/>
      <c r="AK686" s="280"/>
      <c r="AL686" s="280"/>
      <c r="AM686" s="280"/>
      <c r="AN686" s="280"/>
      <c r="AO686" s="280"/>
      <c r="AP686" s="280"/>
      <c r="AQ686" s="280"/>
      <c r="AR686" s="280"/>
      <c r="AS686" s="280"/>
      <c r="BJ686" s="1184" t="s">
        <v>4763</v>
      </c>
    </row>
    <row r="687" spans="1:62" x14ac:dyDescent="0.3">
      <c r="A687" s="1200">
        <v>6</v>
      </c>
      <c r="B687" s="1208" t="s">
        <v>773</v>
      </c>
      <c r="C687" s="1203"/>
      <c r="D687" s="1203"/>
      <c r="E687" s="1203"/>
      <c r="F687" s="1203"/>
      <c r="G687" s="1202" t="str">
        <f t="shared" ca="1" si="202"/>
        <v/>
      </c>
      <c r="H687" s="1200" t="s">
        <v>4387</v>
      </c>
      <c r="I687" s="66"/>
      <c r="J687" s="4"/>
      <c r="K687" s="86"/>
      <c r="L687" s="1292"/>
      <c r="M687" s="1534"/>
      <c r="N687" s="282"/>
      <c r="O687" s="282"/>
      <c r="P687" s="280"/>
      <c r="Q687" s="280"/>
      <c r="R687" s="280"/>
      <c r="S687" s="280"/>
      <c r="T687" s="280"/>
      <c r="U687" s="280"/>
      <c r="V687" s="280"/>
      <c r="W687" s="280"/>
      <c r="X687" s="1303"/>
      <c r="Y687" s="1522"/>
      <c r="Z687" s="1586"/>
      <c r="AC687" s="280"/>
      <c r="AD687" s="280"/>
      <c r="AE687" s="280"/>
      <c r="AF687" s="280"/>
      <c r="AG687" s="280"/>
      <c r="AH687" s="280"/>
      <c r="AI687" s="280"/>
      <c r="AJ687" s="280"/>
      <c r="AK687" s="280"/>
      <c r="AL687" s="280"/>
      <c r="AM687" s="280"/>
      <c r="AN687" s="280"/>
      <c r="AO687" s="280"/>
      <c r="AP687" s="280"/>
      <c r="AQ687" s="280"/>
      <c r="AR687" s="280"/>
      <c r="AS687" s="280"/>
      <c r="BJ687" s="1184" t="s">
        <v>4763</v>
      </c>
    </row>
    <row r="688" spans="1:62" x14ac:dyDescent="0.3">
      <c r="A688" s="1200">
        <v>6</v>
      </c>
      <c r="B688" s="1208" t="s">
        <v>773</v>
      </c>
      <c r="C688" s="1203"/>
      <c r="D688" s="1203"/>
      <c r="E688" s="1203" t="s">
        <v>3174</v>
      </c>
      <c r="F688" s="1203"/>
      <c r="G688" s="1202" t="str">
        <f t="shared" ca="1" si="202"/>
        <v/>
      </c>
      <c r="H688" s="1200" t="s">
        <v>4387</v>
      </c>
      <c r="I688" s="66"/>
      <c r="J688" s="4"/>
      <c r="K688" s="86"/>
      <c r="L688" s="1292"/>
      <c r="M688" s="1534"/>
      <c r="N688" s="282"/>
      <c r="O688" s="282"/>
      <c r="P688" s="280"/>
      <c r="Q688" s="280"/>
      <c r="R688" s="280"/>
      <c r="S688" s="280"/>
      <c r="T688" s="280"/>
      <c r="U688" s="280"/>
      <c r="V688" s="280"/>
      <c r="W688" s="280" t="s">
        <v>3323</v>
      </c>
      <c r="X688" s="1303"/>
      <c r="Y688" s="1522" t="str">
        <f>IF(LEN('Ch6'!X434)=0,"None",'Ch6'!X434)</f>
        <v>None</v>
      </c>
      <c r="Z688" s="1586"/>
      <c r="AC688" s="280"/>
      <c r="AD688" s="280"/>
      <c r="AE688" s="280"/>
      <c r="AF688" s="280"/>
      <c r="AG688" s="280"/>
      <c r="AH688" s="280"/>
      <c r="AI688" s="280"/>
      <c r="AJ688" s="280"/>
      <c r="AK688" s="280"/>
      <c r="AL688" s="280"/>
      <c r="AM688" s="280"/>
      <c r="AN688" s="280"/>
      <c r="AO688" s="280"/>
      <c r="AP688" s="280"/>
      <c r="AQ688" s="280"/>
      <c r="AR688" s="311" t="str">
        <f>SUBSTITUTE(SUBSTITUTE(SUBSTITUTE("vnt"&amp;$B688&amp;$C688&amp;$D688&amp;$E688&amp;$F688,".","_"),"(","_"),")","")</f>
        <v>vnt610_1_2_2b</v>
      </c>
      <c r="AS688" s="311">
        <f>X688</f>
        <v>0</v>
      </c>
      <c r="BJ688" s="1184" t="s">
        <v>4763</v>
      </c>
    </row>
    <row r="689" spans="1:62" x14ac:dyDescent="0.3">
      <c r="A689" s="1200">
        <v>6</v>
      </c>
      <c r="B689" s="1208" t="s">
        <v>773</v>
      </c>
      <c r="C689" s="1203"/>
      <c r="D689" s="1203"/>
      <c r="E689" s="1203" t="s">
        <v>3174</v>
      </c>
      <c r="F689" s="1203"/>
      <c r="G689" s="1202" t="str">
        <f t="shared" ca="1" si="202"/>
        <v/>
      </c>
      <c r="H689" s="1200" t="s">
        <v>4387</v>
      </c>
      <c r="I689" s="66"/>
      <c r="J689" s="4"/>
      <c r="K689" s="86"/>
      <c r="L689" s="1292"/>
      <c r="M689" s="1534"/>
      <c r="N689" s="282"/>
      <c r="O689" s="282"/>
      <c r="P689" s="280" t="b">
        <v>1</v>
      </c>
      <c r="Q689" s="280" t="b">
        <v>0</v>
      </c>
      <c r="R689" s="280" t="b">
        <v>0</v>
      </c>
      <c r="S689" s="280" t="b">
        <f>COUNTIF(W646:W662,TRUE)&lt;1</f>
        <v>1</v>
      </c>
      <c r="T689" s="97" t="b">
        <f>IF(AND(NOT(S689),LEN(W689)&gt;0),TRUE,FALSE)</f>
        <v>0</v>
      </c>
      <c r="U689" s="97" t="str">
        <f>SUBSTITUTE(SUBSTITUTE(SUBSTITUTE("dd"&amp;B689&amp;C689&amp;D689&amp;E689&amp;F689,".","_"),"(","_"),")","")</f>
        <v>dd610_1_2_2b</v>
      </c>
      <c r="V689" s="280"/>
      <c r="W689" s="12"/>
      <c r="X689" s="1303"/>
      <c r="Y689" s="1522"/>
      <c r="Z689" s="1586"/>
      <c r="AC689" s="280" t="b">
        <f>OR(AD689:AE689)</f>
        <v>0</v>
      </c>
      <c r="AD689" s="280" t="b">
        <f>T689</f>
        <v>0</v>
      </c>
      <c r="AE689" s="280" t="b">
        <f>AND(NOT(ISBLANK(W689)),LEN(X688)=0)</f>
        <v>0</v>
      </c>
      <c r="AF689" s="1182" t="b">
        <f>AND(AE689,NOT(Q689))</f>
        <v>0</v>
      </c>
      <c r="AG689" s="280"/>
      <c r="AH689" s="280"/>
      <c r="AI689" s="280"/>
      <c r="AJ689" s="280"/>
      <c r="AK689" s="280"/>
      <c r="AL689" s="280"/>
      <c r="AM689" s="280"/>
      <c r="AN689" s="280"/>
      <c r="AO689" s="280"/>
      <c r="AP689" s="311" t="str">
        <f>SUBSTITUTE(SUBSTITUTE(SUBSTITUTE("vch"&amp;$B689&amp;$C689&amp;$D689&amp;$E689&amp;$F689,".","_"),"(","_"),")","")</f>
        <v>vch610_1_2_2b</v>
      </c>
      <c r="AQ689" s="311">
        <f>W689</f>
        <v>0</v>
      </c>
      <c r="AR689" s="280"/>
      <c r="AS689" s="280"/>
      <c r="BJ689" s="1184" t="s">
        <v>4763</v>
      </c>
    </row>
    <row r="690" spans="1:62" x14ac:dyDescent="0.3">
      <c r="A690" s="1200">
        <v>6</v>
      </c>
      <c r="B690" s="1208" t="s">
        <v>773</v>
      </c>
      <c r="C690" s="1203"/>
      <c r="D690" s="1203"/>
      <c r="E690" s="1203"/>
      <c r="F690" s="1203" t="s">
        <v>121</v>
      </c>
      <c r="G690" s="1202" t="str">
        <f t="shared" ca="1" si="202"/>
        <v/>
      </c>
      <c r="H690" s="1204" t="s">
        <v>4387</v>
      </c>
      <c r="I690" s="66"/>
      <c r="J690" s="4"/>
      <c r="K690" s="90" t="s">
        <v>121</v>
      </c>
      <c r="L690" s="86" t="s">
        <v>775</v>
      </c>
      <c r="M690" s="1534"/>
      <c r="N690" s="282"/>
      <c r="O690" s="282"/>
      <c r="P690" s="280"/>
      <c r="Q690" s="280"/>
      <c r="R690" s="280"/>
      <c r="S690" s="280"/>
      <c r="T690" s="280"/>
      <c r="U690" s="97"/>
      <c r="V690" s="280"/>
      <c r="W690" s="280"/>
      <c r="X690" s="1303"/>
      <c r="Y690" s="1522"/>
      <c r="Z690" s="1586"/>
      <c r="AC690" s="280"/>
      <c r="AD690" s="280"/>
      <c r="AE690" s="280"/>
      <c r="AF690" s="280"/>
      <c r="AG690" s="280"/>
      <c r="AH690" s="280"/>
      <c r="AI690" s="280"/>
      <c r="AJ690" s="280"/>
      <c r="AK690" s="280"/>
      <c r="AL690" s="280"/>
      <c r="AM690" s="280"/>
      <c r="AN690" s="280"/>
      <c r="AO690" s="280"/>
      <c r="AP690" s="280"/>
      <c r="AQ690" s="280"/>
      <c r="AR690" s="280"/>
      <c r="AS690" s="280"/>
      <c r="BJ690" s="1184" t="s">
        <v>4763</v>
      </c>
    </row>
    <row r="691" spans="1:62" x14ac:dyDescent="0.3">
      <c r="A691" s="1200">
        <v>6</v>
      </c>
      <c r="B691" s="1208" t="s">
        <v>773</v>
      </c>
      <c r="C691" s="1203"/>
      <c r="D691" s="1203"/>
      <c r="E691" s="1203"/>
      <c r="F691" s="1203" t="s">
        <v>122</v>
      </c>
      <c r="G691" s="1202" t="str">
        <f t="shared" ca="1" si="202"/>
        <v/>
      </c>
      <c r="H691" s="1204" t="s">
        <v>4387</v>
      </c>
      <c r="I691" s="66"/>
      <c r="J691" s="4"/>
      <c r="K691" s="90" t="s">
        <v>122</v>
      </c>
      <c r="L691" s="86" t="s">
        <v>776</v>
      </c>
      <c r="M691" s="1534"/>
      <c r="N691" s="282"/>
      <c r="O691" s="282"/>
      <c r="P691" s="280"/>
      <c r="Q691" s="280"/>
      <c r="R691" s="280"/>
      <c r="S691" s="280"/>
      <c r="T691" s="280"/>
      <c r="U691" s="97"/>
      <c r="V691" s="280"/>
      <c r="W691" s="280"/>
      <c r="X691" s="1303"/>
      <c r="Y691" s="1522"/>
      <c r="Z691" s="1586"/>
      <c r="AC691" s="280"/>
      <c r="AD691" s="280"/>
      <c r="AE691" s="280"/>
      <c r="AF691" s="280"/>
      <c r="AG691" s="280"/>
      <c r="AH691" s="280"/>
      <c r="AI691" s="280"/>
      <c r="AJ691" s="280"/>
      <c r="AK691" s="280"/>
      <c r="AL691" s="280"/>
      <c r="AM691" s="280"/>
      <c r="AN691" s="280"/>
      <c r="AO691" s="280"/>
      <c r="AP691" s="280"/>
      <c r="AQ691" s="280"/>
      <c r="AR691" s="280"/>
      <c r="AS691" s="280"/>
      <c r="BJ691" s="1184" t="s">
        <v>4763</v>
      </c>
    </row>
    <row r="692" spans="1:62" x14ac:dyDescent="0.3">
      <c r="A692" s="1200">
        <v>6</v>
      </c>
      <c r="B692" s="1208" t="s">
        <v>773</v>
      </c>
      <c r="C692" s="1203"/>
      <c r="D692" s="1203"/>
      <c r="E692" s="1203"/>
      <c r="F692" s="1203" t="s">
        <v>123</v>
      </c>
      <c r="G692" s="1202" t="str">
        <f t="shared" ca="1" si="202"/>
        <v/>
      </c>
      <c r="H692" s="1204" t="s">
        <v>4387</v>
      </c>
      <c r="I692" s="66"/>
      <c r="J692" s="4"/>
      <c r="K692" s="90" t="s">
        <v>123</v>
      </c>
      <c r="L692" s="86" t="s">
        <v>777</v>
      </c>
      <c r="M692" s="1534"/>
      <c r="N692" s="282"/>
      <c r="O692" s="282"/>
      <c r="P692" s="280"/>
      <c r="Q692" s="280"/>
      <c r="R692" s="280"/>
      <c r="S692" s="280"/>
      <c r="T692" s="280"/>
      <c r="U692" s="97"/>
      <c r="V692" s="280"/>
      <c r="W692" s="280"/>
      <c r="X692" s="1303"/>
      <c r="Y692" s="1522"/>
      <c r="Z692" s="1586"/>
      <c r="AC692" s="280"/>
      <c r="AD692" s="280"/>
      <c r="AE692" s="280"/>
      <c r="AF692" s="280"/>
      <c r="AG692" s="280"/>
      <c r="AH692" s="280"/>
      <c r="AI692" s="280"/>
      <c r="AJ692" s="280"/>
      <c r="AK692" s="280"/>
      <c r="AL692" s="280"/>
      <c r="AM692" s="280"/>
      <c r="AN692" s="280"/>
      <c r="AO692" s="280"/>
      <c r="AP692" s="280"/>
      <c r="AQ692" s="280"/>
      <c r="AR692" s="280"/>
      <c r="AS692" s="280"/>
      <c r="BJ692" s="1184" t="s">
        <v>4763</v>
      </c>
    </row>
    <row r="693" spans="1:62" x14ac:dyDescent="0.3">
      <c r="A693" s="1200">
        <v>6</v>
      </c>
      <c r="B693" s="1208" t="s">
        <v>773</v>
      </c>
      <c r="C693" s="1203"/>
      <c r="D693" s="1203"/>
      <c r="E693" s="1203"/>
      <c r="F693" s="1205" t="s">
        <v>423</v>
      </c>
      <c r="G693" s="1202" t="str">
        <f t="shared" ca="1" si="202"/>
        <v/>
      </c>
      <c r="H693" s="1206" t="s">
        <v>4387</v>
      </c>
      <c r="I693" s="66"/>
      <c r="J693" s="4"/>
      <c r="K693" s="92" t="s">
        <v>423</v>
      </c>
      <c r="L693" s="86" t="s">
        <v>778</v>
      </c>
      <c r="M693" s="1534"/>
      <c r="N693" s="282"/>
      <c r="O693" s="282"/>
      <c r="P693" s="280"/>
      <c r="Q693" s="280"/>
      <c r="R693" s="280"/>
      <c r="S693" s="280"/>
      <c r="T693" s="280"/>
      <c r="U693" s="97"/>
      <c r="V693" s="280"/>
      <c r="W693" s="280"/>
      <c r="X693" s="1303"/>
      <c r="Y693" s="1522"/>
      <c r="Z693" s="1586"/>
      <c r="AC693" s="280"/>
      <c r="AD693" s="280"/>
      <c r="AE693" s="280"/>
      <c r="AF693" s="280"/>
      <c r="AG693" s="280"/>
      <c r="AH693" s="280"/>
      <c r="AI693" s="280"/>
      <c r="AJ693" s="280"/>
      <c r="AK693" s="280"/>
      <c r="AL693" s="280"/>
      <c r="AM693" s="280"/>
      <c r="AN693" s="280"/>
      <c r="AO693" s="280"/>
      <c r="AP693" s="280"/>
      <c r="AQ693" s="280"/>
      <c r="AR693" s="280"/>
      <c r="AS693" s="280"/>
      <c r="BJ693" s="1184" t="s">
        <v>4763</v>
      </c>
    </row>
    <row r="694" spans="1:62" x14ac:dyDescent="0.3">
      <c r="A694" s="1200">
        <v>6</v>
      </c>
      <c r="B694" s="1208" t="s">
        <v>773</v>
      </c>
      <c r="C694" s="1203"/>
      <c r="D694" s="1203"/>
      <c r="E694" s="1203" t="s">
        <v>3175</v>
      </c>
      <c r="F694" s="1203"/>
      <c r="G694" s="1202" t="str">
        <f t="shared" ca="1" si="202"/>
        <v/>
      </c>
      <c r="H694" s="1200" t="s">
        <v>4387</v>
      </c>
      <c r="I694" s="66"/>
      <c r="J694" s="4"/>
      <c r="K694" s="86"/>
      <c r="L694" s="1367" t="s">
        <v>779</v>
      </c>
      <c r="M694" s="1534"/>
      <c r="N694" s="282"/>
      <c r="O694" s="282"/>
      <c r="P694" s="280"/>
      <c r="Q694" s="280"/>
      <c r="R694" s="280"/>
      <c r="S694" s="280"/>
      <c r="T694" s="280"/>
      <c r="U694" s="280"/>
      <c r="V694" s="280"/>
      <c r="W694" s="280" t="s">
        <v>3324</v>
      </c>
      <c r="X694" s="1303"/>
      <c r="Y694" s="1522" t="str">
        <f>IF(LEN('Ch6'!X440)=0,"None",'Ch6'!X440)</f>
        <v>None</v>
      </c>
      <c r="Z694" s="1586"/>
      <c r="AC694" s="280"/>
      <c r="AD694" s="280"/>
      <c r="AE694" s="280"/>
      <c r="AF694" s="280"/>
      <c r="AG694" s="280"/>
      <c r="AH694" s="280"/>
      <c r="AI694" s="280"/>
      <c r="AJ694" s="280"/>
      <c r="AK694" s="280"/>
      <c r="AL694" s="280"/>
      <c r="AM694" s="280"/>
      <c r="AN694" s="280"/>
      <c r="AO694" s="280"/>
      <c r="AP694" s="280"/>
      <c r="AQ694" s="280"/>
      <c r="AR694" s="311" t="str">
        <f>SUBSTITUTE(SUBSTITUTE(SUBSTITUTE("vnt"&amp;$B694&amp;$C694&amp;$D694&amp;$E694&amp;$F694,".","_"),"(","_"),")","")</f>
        <v>vnt610_1_2_2c</v>
      </c>
      <c r="AS694" s="311">
        <f>X694</f>
        <v>0</v>
      </c>
      <c r="BJ694" s="1184" t="s">
        <v>4763</v>
      </c>
    </row>
    <row r="695" spans="1:62" x14ac:dyDescent="0.3">
      <c r="A695" s="1200">
        <v>6</v>
      </c>
      <c r="B695" s="1208" t="s">
        <v>773</v>
      </c>
      <c r="C695" s="1203"/>
      <c r="D695" s="1203"/>
      <c r="E695" s="1203" t="s">
        <v>3175</v>
      </c>
      <c r="F695" s="1203"/>
      <c r="G695" s="1202" t="str">
        <f t="shared" ca="1" si="202"/>
        <v/>
      </c>
      <c r="H695" s="1200" t="s">
        <v>4387</v>
      </c>
      <c r="I695" s="66"/>
      <c r="J695" s="4"/>
      <c r="K695" s="86"/>
      <c r="L695" s="1367"/>
      <c r="M695" s="1534"/>
      <c r="N695" s="282"/>
      <c r="O695" s="282"/>
      <c r="P695" s="280" t="b">
        <v>1</v>
      </c>
      <c r="Q695" s="280" t="b">
        <v>0</v>
      </c>
      <c r="R695" s="280" t="b">
        <v>0</v>
      </c>
      <c r="S695" s="280" t="b">
        <f>COUNTIF(W646:W662,TRUE)&lt;1</f>
        <v>1</v>
      </c>
      <c r="T695" s="97" t="b">
        <f>IF(AND(NOT(S695),LEN(W695)&gt;0),TRUE,FALSE)</f>
        <v>0</v>
      </c>
      <c r="U695" s="97" t="str">
        <f>SUBSTITUTE(SUBSTITUTE(SUBSTITUTE("dd"&amp;B695&amp;C695&amp;D695&amp;E695&amp;F695,".","_"),"(","_"),")","")</f>
        <v>dd610_1_2_2c</v>
      </c>
      <c r="V695" s="280"/>
      <c r="W695" s="12"/>
      <c r="X695" s="1303"/>
      <c r="Y695" s="1522"/>
      <c r="Z695" s="1586"/>
      <c r="AC695" s="280" t="b">
        <f>OR(AD695:AE695)</f>
        <v>0</v>
      </c>
      <c r="AD695" s="280" t="b">
        <f>T695</f>
        <v>0</v>
      </c>
      <c r="AE695" s="280" t="b">
        <f>AND(NOT(ISBLANK(W695)),LEN(X694)=0)</f>
        <v>0</v>
      </c>
      <c r="AF695" s="1182" t="b">
        <f>AND(AE695,NOT(Q695))</f>
        <v>0</v>
      </c>
      <c r="AG695" s="280"/>
      <c r="AH695" s="280"/>
      <c r="AI695" s="280"/>
      <c r="AJ695" s="280"/>
      <c r="AK695" s="280"/>
      <c r="AL695" s="280"/>
      <c r="AM695" s="280"/>
      <c r="AN695" s="280"/>
      <c r="AO695" s="280"/>
      <c r="AP695" s="311" t="str">
        <f>SUBSTITUTE(SUBSTITUTE(SUBSTITUTE("vch"&amp;$B695&amp;$C695&amp;$D695&amp;$E695&amp;$F695,".","_"),"(","_"),")","")</f>
        <v>vch610_1_2_2c</v>
      </c>
      <c r="AQ695" s="311">
        <f>W695</f>
        <v>0</v>
      </c>
      <c r="AR695" s="280"/>
      <c r="AS695" s="280"/>
      <c r="BJ695" s="1184" t="s">
        <v>4763</v>
      </c>
    </row>
    <row r="696" spans="1:62" x14ac:dyDescent="0.3">
      <c r="A696" s="1200">
        <v>6</v>
      </c>
      <c r="B696" s="1208" t="s">
        <v>773</v>
      </c>
      <c r="C696" s="1203"/>
      <c r="D696" s="1203"/>
      <c r="E696" s="1203"/>
      <c r="F696" s="1203" t="s">
        <v>121</v>
      </c>
      <c r="G696" s="1202" t="str">
        <f t="shared" ca="1" si="202"/>
        <v/>
      </c>
      <c r="H696" s="1204" t="s">
        <v>4387</v>
      </c>
      <c r="I696" s="66"/>
      <c r="J696" s="4"/>
      <c r="K696" s="90" t="s">
        <v>121</v>
      </c>
      <c r="L696" s="86" t="s">
        <v>759</v>
      </c>
      <c r="M696" s="1534"/>
      <c r="N696" s="282"/>
      <c r="O696" s="282"/>
      <c r="P696" s="280"/>
      <c r="Q696" s="280"/>
      <c r="R696" s="280"/>
      <c r="S696" s="280"/>
      <c r="T696" s="280"/>
      <c r="U696" s="280"/>
      <c r="V696" s="280"/>
      <c r="W696" s="280"/>
      <c r="X696" s="1303"/>
      <c r="Y696" s="1522"/>
      <c r="Z696" s="1586"/>
      <c r="AC696" s="280"/>
      <c r="AD696" s="280"/>
      <c r="AE696" s="280"/>
      <c r="AF696" s="280"/>
      <c r="AG696" s="280"/>
      <c r="AH696" s="280"/>
      <c r="AI696" s="280"/>
      <c r="AJ696" s="280"/>
      <c r="AK696" s="280"/>
      <c r="AL696" s="280"/>
      <c r="AM696" s="280"/>
      <c r="AN696" s="280"/>
      <c r="AO696" s="280"/>
      <c r="AP696" s="280"/>
      <c r="AQ696" s="280"/>
      <c r="AR696" s="280"/>
      <c r="AS696" s="280"/>
      <c r="BJ696" s="1184" t="s">
        <v>4763</v>
      </c>
    </row>
    <row r="697" spans="1:62" x14ac:dyDescent="0.3">
      <c r="A697" s="1200">
        <v>6</v>
      </c>
      <c r="B697" s="1208" t="s">
        <v>773</v>
      </c>
      <c r="C697" s="1203"/>
      <c r="D697" s="1203"/>
      <c r="E697" s="1203"/>
      <c r="F697" s="1203" t="s">
        <v>122</v>
      </c>
      <c r="G697" s="1202" t="str">
        <f t="shared" ca="1" si="202"/>
        <v/>
      </c>
      <c r="H697" s="1204" t="s">
        <v>4387</v>
      </c>
      <c r="I697" s="66"/>
      <c r="J697" s="4"/>
      <c r="K697" s="90" t="s">
        <v>122</v>
      </c>
      <c r="L697" s="86" t="s">
        <v>760</v>
      </c>
      <c r="M697" s="1534"/>
      <c r="N697" s="282"/>
      <c r="O697" s="282"/>
      <c r="P697" s="280"/>
      <c r="Q697" s="280"/>
      <c r="R697" s="280"/>
      <c r="S697" s="280"/>
      <c r="T697" s="280"/>
      <c r="U697" s="280"/>
      <c r="V697" s="280"/>
      <c r="W697" s="280"/>
      <c r="X697" s="1303"/>
      <c r="Y697" s="1522"/>
      <c r="Z697" s="1586"/>
      <c r="AC697" s="280"/>
      <c r="AD697" s="280"/>
      <c r="AE697" s="280"/>
      <c r="AF697" s="280"/>
      <c r="AG697" s="280"/>
      <c r="AH697" s="280"/>
      <c r="AI697" s="280"/>
      <c r="AJ697" s="280"/>
      <c r="AK697" s="280"/>
      <c r="AL697" s="280"/>
      <c r="AM697" s="280"/>
      <c r="AN697" s="280"/>
      <c r="AO697" s="280"/>
      <c r="AP697" s="280"/>
      <c r="AQ697" s="280"/>
      <c r="AR697" s="280"/>
      <c r="AS697" s="280"/>
      <c r="BJ697" s="1184" t="s">
        <v>4763</v>
      </c>
    </row>
    <row r="698" spans="1:62" x14ac:dyDescent="0.3">
      <c r="A698" s="1200">
        <v>6</v>
      </c>
      <c r="B698" s="1208" t="s">
        <v>773</v>
      </c>
      <c r="C698" s="1203"/>
      <c r="D698" s="1203"/>
      <c r="E698" s="1203"/>
      <c r="F698" s="1203" t="s">
        <v>123</v>
      </c>
      <c r="G698" s="1202" t="str">
        <f t="shared" ca="1" si="202"/>
        <v/>
      </c>
      <c r="H698" s="1204" t="s">
        <v>4387</v>
      </c>
      <c r="I698" s="66"/>
      <c r="J698" s="4"/>
      <c r="K698" s="90" t="s">
        <v>123</v>
      </c>
      <c r="L698" s="86" t="s">
        <v>761</v>
      </c>
      <c r="M698" s="1534"/>
      <c r="N698" s="282"/>
      <c r="O698" s="282"/>
      <c r="P698" s="280"/>
      <c r="Q698" s="280"/>
      <c r="R698" s="280"/>
      <c r="S698" s="280"/>
      <c r="T698" s="280"/>
      <c r="U698" s="280"/>
      <c r="V698" s="280"/>
      <c r="W698" s="280"/>
      <c r="X698" s="1303"/>
      <c r="Y698" s="1522"/>
      <c r="Z698" s="1586"/>
      <c r="AC698" s="280"/>
      <c r="AD698" s="280"/>
      <c r="AE698" s="280"/>
      <c r="AF698" s="280"/>
      <c r="AG698" s="280"/>
      <c r="AH698" s="280"/>
      <c r="AI698" s="280"/>
      <c r="AJ698" s="280"/>
      <c r="AK698" s="280"/>
      <c r="AL698" s="280"/>
      <c r="AM698" s="280"/>
      <c r="AN698" s="280"/>
      <c r="AO698" s="280"/>
      <c r="AP698" s="280"/>
      <c r="AQ698" s="280"/>
      <c r="AR698" s="280"/>
      <c r="AS698" s="280"/>
      <c r="BJ698" s="1184" t="s">
        <v>4763</v>
      </c>
    </row>
    <row r="699" spans="1:62" x14ac:dyDescent="0.3">
      <c r="A699" s="1200">
        <v>6</v>
      </c>
      <c r="B699" s="1208" t="s">
        <v>773</v>
      </c>
      <c r="C699" s="1203"/>
      <c r="D699" s="1203"/>
      <c r="E699" s="1203"/>
      <c r="F699" s="1205" t="s">
        <v>423</v>
      </c>
      <c r="G699" s="1202" t="str">
        <f t="shared" ca="1" si="202"/>
        <v/>
      </c>
      <c r="H699" s="1206" t="s">
        <v>4387</v>
      </c>
      <c r="I699" s="66"/>
      <c r="J699" s="4"/>
      <c r="K699" s="92" t="s">
        <v>423</v>
      </c>
      <c r="L699" s="86" t="s">
        <v>762</v>
      </c>
      <c r="M699" s="1534"/>
      <c r="N699" s="282"/>
      <c r="O699" s="282"/>
      <c r="P699" s="280"/>
      <c r="Q699" s="280"/>
      <c r="R699" s="280"/>
      <c r="S699" s="280"/>
      <c r="T699" s="280"/>
      <c r="U699" s="280"/>
      <c r="V699" s="280"/>
      <c r="W699" s="280"/>
      <c r="X699" s="1303"/>
      <c r="Y699" s="1522"/>
      <c r="Z699" s="1586"/>
      <c r="AC699" s="280"/>
      <c r="AD699" s="280"/>
      <c r="AE699" s="280"/>
      <c r="AF699" s="280"/>
      <c r="AG699" s="280"/>
      <c r="AH699" s="280"/>
      <c r="AI699" s="280"/>
      <c r="AJ699" s="280"/>
      <c r="AK699" s="280"/>
      <c r="AL699" s="280"/>
      <c r="AM699" s="280"/>
      <c r="AN699" s="280"/>
      <c r="AO699" s="280"/>
      <c r="AP699" s="280"/>
      <c r="AQ699" s="280"/>
      <c r="AR699" s="280"/>
      <c r="AS699" s="280"/>
      <c r="BJ699" s="1184" t="s">
        <v>4763</v>
      </c>
    </row>
    <row r="700" spans="1:62" x14ac:dyDescent="0.3">
      <c r="A700" s="1200">
        <v>6</v>
      </c>
      <c r="B700" s="1208" t="s">
        <v>773</v>
      </c>
      <c r="C700" s="1203"/>
      <c r="D700" s="1203"/>
      <c r="E700" s="1203"/>
      <c r="F700" s="1203" t="s">
        <v>578</v>
      </c>
      <c r="G700" s="1202" t="str">
        <f t="shared" ca="1" si="202"/>
        <v/>
      </c>
      <c r="H700" s="1200" t="s">
        <v>4387</v>
      </c>
      <c r="I700" s="66"/>
      <c r="J700" s="4"/>
      <c r="K700" s="88" t="s">
        <v>578</v>
      </c>
      <c r="L700" s="86" t="s">
        <v>763</v>
      </c>
      <c r="M700" s="1534"/>
      <c r="N700" s="282"/>
      <c r="O700" s="282"/>
      <c r="P700" s="280"/>
      <c r="Q700" s="280"/>
      <c r="R700" s="280"/>
      <c r="S700" s="280"/>
      <c r="T700" s="280"/>
      <c r="U700" s="280"/>
      <c r="V700" s="280"/>
      <c r="W700" s="280" t="s">
        <v>3325</v>
      </c>
      <c r="X700" s="1303"/>
      <c r="Y700" s="1522" t="str">
        <f>IF(LEN('Ch6'!X446)=0,"None",'Ch6'!X446)</f>
        <v>None</v>
      </c>
      <c r="Z700" s="1586"/>
      <c r="AC700" s="280"/>
      <c r="AD700" s="280"/>
      <c r="AE700" s="280"/>
      <c r="AF700" s="280"/>
      <c r="AG700" s="280"/>
      <c r="AH700" s="280"/>
      <c r="AI700" s="280"/>
      <c r="AJ700" s="280"/>
      <c r="AK700" s="280"/>
      <c r="AL700" s="280"/>
      <c r="AM700" s="280"/>
      <c r="AN700" s="280"/>
      <c r="AO700" s="280"/>
      <c r="AP700" s="280"/>
      <c r="AQ700" s="280"/>
      <c r="AR700" s="311" t="str">
        <f>SUBSTITUTE(SUBSTITUTE(SUBSTITUTE("vnt"&amp;$B700&amp;$C700&amp;$D700&amp;$E700&amp;$F700,".","_"),"(","_"),")","")</f>
        <v>vnt610_1_2_2_e</v>
      </c>
      <c r="AS700" s="311">
        <f>X700</f>
        <v>0</v>
      </c>
      <c r="BJ700" s="1184" t="s">
        <v>4763</v>
      </c>
    </row>
    <row r="701" spans="1:62" x14ac:dyDescent="0.3">
      <c r="A701" s="1200">
        <v>6</v>
      </c>
      <c r="B701" s="1208" t="s">
        <v>773</v>
      </c>
      <c r="C701" s="1203"/>
      <c r="D701" s="1203"/>
      <c r="E701" s="1203"/>
      <c r="F701" s="1203" t="s">
        <v>645</v>
      </c>
      <c r="G701" s="1202" t="str">
        <f t="shared" ca="1" si="202"/>
        <v/>
      </c>
      <c r="H701" s="1204" t="s">
        <v>4387</v>
      </c>
      <c r="I701" s="66"/>
      <c r="J701" s="4"/>
      <c r="K701" s="90" t="s">
        <v>645</v>
      </c>
      <c r="L701" s="86" t="s">
        <v>764</v>
      </c>
      <c r="M701" s="1534"/>
      <c r="N701" s="282"/>
      <c r="O701" s="282"/>
      <c r="P701" s="280" t="b">
        <v>1</v>
      </c>
      <c r="Q701" s="280" t="b">
        <v>0</v>
      </c>
      <c r="R701" s="280" t="b">
        <v>0</v>
      </c>
      <c r="S701" s="280" t="b">
        <f>COUNTIF(W646:W662,TRUE)&lt;1</f>
        <v>1</v>
      </c>
      <c r="T701" s="97" t="b">
        <f>IF(AND(NOT(S701),LEN(W701)&gt;0),TRUE,FALSE)</f>
        <v>0</v>
      </c>
      <c r="U701" s="97" t="str">
        <f>SUBSTITUTE(SUBSTITUTE(SUBSTITUTE("dd"&amp;B701&amp;C701&amp;D701&amp;E701&amp;F701,".","_"),"(","_"),")","")</f>
        <v>dd610_1_2_2_f</v>
      </c>
      <c r="V701" s="280"/>
      <c r="W701" s="12"/>
      <c r="X701" s="1303"/>
      <c r="Y701" s="1522"/>
      <c r="Z701" s="1586"/>
      <c r="AC701" s="280" t="b">
        <f>OR(AD701:AE701)</f>
        <v>0</v>
      </c>
      <c r="AD701" s="280" t="b">
        <f>T701</f>
        <v>0</v>
      </c>
      <c r="AE701" s="280" t="b">
        <f>AND(NOT(ISBLANK(W701)),LEN(X700)=0)</f>
        <v>0</v>
      </c>
      <c r="AF701" s="1182" t="b">
        <f>AND(AE701,NOT(Q701))</f>
        <v>0</v>
      </c>
      <c r="AG701" s="280"/>
      <c r="AH701" s="280"/>
      <c r="AI701" s="280"/>
      <c r="AJ701" s="280"/>
      <c r="AK701" s="280"/>
      <c r="AL701" s="280"/>
      <c r="AM701" s="280"/>
      <c r="AN701" s="280"/>
      <c r="AO701" s="280"/>
      <c r="AP701" s="311" t="str">
        <f>SUBSTITUTE(SUBSTITUTE(SUBSTITUTE("vch"&amp;$B701&amp;$C701&amp;$D701&amp;$E701&amp;$F701,".","_"),"(","_"),")","")</f>
        <v>vch610_1_2_2_f</v>
      </c>
      <c r="AQ701" s="311">
        <f>W701</f>
        <v>0</v>
      </c>
      <c r="AR701" s="280"/>
      <c r="AS701" s="280"/>
      <c r="BJ701" s="1184" t="s">
        <v>4763</v>
      </c>
    </row>
    <row r="702" spans="1:62" x14ac:dyDescent="0.3">
      <c r="A702" s="1200">
        <v>6</v>
      </c>
      <c r="B702" s="1208" t="s">
        <v>773</v>
      </c>
      <c r="C702" s="1203"/>
      <c r="D702" s="1203"/>
      <c r="E702" s="1203"/>
      <c r="F702" s="1203"/>
      <c r="G702" s="1202" t="str">
        <f t="shared" ca="1" si="202"/>
        <v/>
      </c>
      <c r="H702" s="1200" t="s">
        <v>4387</v>
      </c>
      <c r="I702" s="66"/>
      <c r="J702" s="4"/>
      <c r="K702" s="86"/>
      <c r="L702" s="1365" t="s">
        <v>780</v>
      </c>
      <c r="M702" s="1534"/>
      <c r="N702" s="282"/>
      <c r="O702" s="282"/>
      <c r="P702" s="280"/>
      <c r="Q702" s="280"/>
      <c r="R702" s="280"/>
      <c r="S702" s="280"/>
      <c r="T702" s="280"/>
      <c r="U702" s="280"/>
      <c r="V702" s="280"/>
      <c r="W702" s="280"/>
      <c r="X702" s="1303"/>
      <c r="Y702" s="1522"/>
      <c r="Z702" s="1586"/>
      <c r="AC702" s="280"/>
      <c r="AD702" s="280"/>
      <c r="AE702" s="280"/>
      <c r="AF702" s="280"/>
      <c r="AG702" s="280"/>
      <c r="AH702" s="280"/>
      <c r="AI702" s="280"/>
      <c r="AJ702" s="280"/>
      <c r="AK702" s="280"/>
      <c r="AL702" s="280"/>
      <c r="AM702" s="280"/>
      <c r="AN702" s="280"/>
      <c r="AO702" s="280"/>
      <c r="AP702" s="280"/>
      <c r="AQ702" s="280"/>
      <c r="AR702" s="280"/>
      <c r="AS702" s="280"/>
      <c r="BJ702" s="1184" t="s">
        <v>4763</v>
      </c>
    </row>
    <row r="703" spans="1:62" x14ac:dyDescent="0.3">
      <c r="A703" s="1200">
        <v>6</v>
      </c>
      <c r="B703" s="1208" t="s">
        <v>773</v>
      </c>
      <c r="C703" s="1203"/>
      <c r="D703" s="1203"/>
      <c r="E703" s="1203"/>
      <c r="F703" s="1203"/>
      <c r="G703" s="1202" t="str">
        <f t="shared" ca="1" si="202"/>
        <v/>
      </c>
      <c r="H703" s="1200" t="s">
        <v>4387</v>
      </c>
      <c r="I703" s="66"/>
      <c r="J703" s="4"/>
      <c r="K703" s="86"/>
      <c r="L703" s="1365"/>
      <c r="M703" s="1534"/>
      <c r="N703" s="282"/>
      <c r="O703" s="282"/>
      <c r="P703" s="280"/>
      <c r="Q703" s="280"/>
      <c r="R703" s="280"/>
      <c r="S703" s="280"/>
      <c r="T703" s="280"/>
      <c r="U703" s="280"/>
      <c r="V703" s="280"/>
      <c r="W703" s="280"/>
      <c r="X703" s="1303"/>
      <c r="Y703" s="1522"/>
      <c r="Z703" s="1586"/>
      <c r="AC703" s="280"/>
      <c r="AD703" s="280"/>
      <c r="AE703" s="280"/>
      <c r="AF703" s="280"/>
      <c r="AG703" s="280"/>
      <c r="AH703" s="280"/>
      <c r="AI703" s="280"/>
      <c r="AJ703" s="280"/>
      <c r="AK703" s="280"/>
      <c r="AL703" s="280"/>
      <c r="AM703" s="280"/>
      <c r="AN703" s="280"/>
      <c r="AO703" s="280"/>
      <c r="AP703" s="280"/>
      <c r="AQ703" s="280"/>
      <c r="AR703" s="280"/>
      <c r="AS703" s="280"/>
      <c r="BJ703" s="1184" t="s">
        <v>4763</v>
      </c>
    </row>
    <row r="704" spans="1:62" x14ac:dyDescent="0.3">
      <c r="A704" s="1200">
        <v>6</v>
      </c>
      <c r="B704" s="1208" t="s">
        <v>773</v>
      </c>
      <c r="C704" s="1203"/>
      <c r="D704" s="1203"/>
      <c r="E704" s="1203"/>
      <c r="F704" s="1203"/>
      <c r="G704" s="1202" t="str">
        <f t="shared" ca="1" si="202"/>
        <v/>
      </c>
      <c r="H704" s="1200" t="s">
        <v>4387</v>
      </c>
      <c r="I704" s="66"/>
      <c r="J704" s="4"/>
      <c r="K704" s="86"/>
      <c r="L704" s="1432" t="s">
        <v>3319</v>
      </c>
      <c r="M704" s="1534"/>
      <c r="N704" s="282"/>
      <c r="O704" s="282"/>
      <c r="P704" s="280"/>
      <c r="Q704" s="280"/>
      <c r="R704" s="280"/>
      <c r="S704" s="280"/>
      <c r="T704" s="280"/>
      <c r="U704" s="280"/>
      <c r="V704" s="280"/>
      <c r="W704" s="280"/>
      <c r="X704" s="1303"/>
      <c r="Y704" s="1522"/>
      <c r="Z704" s="1586"/>
      <c r="AC704" s="280"/>
      <c r="AD704" s="280"/>
      <c r="AE704" s="280"/>
      <c r="AF704" s="280"/>
      <c r="AG704" s="280"/>
      <c r="AH704" s="280"/>
      <c r="AI704" s="280"/>
      <c r="AJ704" s="280"/>
      <c r="AK704" s="280"/>
      <c r="AL704" s="280"/>
      <c r="AM704" s="280"/>
      <c r="AN704" s="280"/>
      <c r="AO704" s="280"/>
      <c r="AP704" s="280"/>
      <c r="AQ704" s="280"/>
      <c r="AR704" s="280"/>
      <c r="AS704" s="280"/>
      <c r="BJ704" s="1184" t="s">
        <v>4763</v>
      </c>
    </row>
    <row r="705" spans="1:62" x14ac:dyDescent="0.3">
      <c r="A705" s="1200">
        <v>6</v>
      </c>
      <c r="B705" s="1208" t="s">
        <v>773</v>
      </c>
      <c r="C705" s="1203"/>
      <c r="D705" s="1203"/>
      <c r="E705" s="1203"/>
      <c r="F705" s="1203"/>
      <c r="G705" s="1202" t="str">
        <f t="shared" ca="1" si="202"/>
        <v/>
      </c>
      <c r="H705" s="1200" t="s">
        <v>4387</v>
      </c>
      <c r="I705" s="66"/>
      <c r="J705" s="4"/>
      <c r="K705" s="86"/>
      <c r="L705" s="1433"/>
      <c r="M705" s="1534"/>
      <c r="N705" s="282"/>
      <c r="O705" s="282"/>
      <c r="P705" s="280"/>
      <c r="Q705" s="280"/>
      <c r="R705" s="280"/>
      <c r="S705" s="280"/>
      <c r="T705" s="280"/>
      <c r="U705" s="280"/>
      <c r="V705" s="280"/>
      <c r="W705" s="280"/>
      <c r="X705" s="1303"/>
      <c r="Y705" s="1522"/>
      <c r="Z705" s="1586"/>
      <c r="AC705" s="280"/>
      <c r="AD705" s="280"/>
      <c r="AE705" s="280"/>
      <c r="AF705" s="280"/>
      <c r="AG705" s="280"/>
      <c r="AH705" s="280"/>
      <c r="AI705" s="280"/>
      <c r="AJ705" s="280"/>
      <c r="AK705" s="280"/>
      <c r="AL705" s="280"/>
      <c r="AM705" s="280"/>
      <c r="AN705" s="280"/>
      <c r="AO705" s="280"/>
      <c r="AP705" s="280"/>
      <c r="AQ705" s="280"/>
      <c r="AR705" s="280"/>
      <c r="AS705" s="280"/>
      <c r="BJ705" s="1184" t="s">
        <v>4763</v>
      </c>
    </row>
    <row r="706" spans="1:62" ht="18" x14ac:dyDescent="0.35">
      <c r="A706" s="1200">
        <v>6</v>
      </c>
      <c r="B706" s="1208">
        <v>611</v>
      </c>
      <c r="C706" s="1203"/>
      <c r="D706" s="1203"/>
      <c r="E706" s="1203"/>
      <c r="F706" s="1203"/>
      <c r="G706" s="1202" t="s">
        <v>4389</v>
      </c>
      <c r="H706" s="1200" t="s">
        <v>4386</v>
      </c>
      <c r="I706" s="14" t="s">
        <v>781</v>
      </c>
      <c r="J706" s="23"/>
      <c r="K706" s="85"/>
      <c r="L706" s="82"/>
      <c r="M706" s="71"/>
      <c r="N706" s="71"/>
      <c r="O706" s="71"/>
      <c r="P706" s="23"/>
      <c r="Q706" s="23"/>
      <c r="R706" s="23"/>
      <c r="S706" s="23"/>
      <c r="T706" s="23"/>
      <c r="U706" s="23"/>
      <c r="V706" s="23"/>
      <c r="W706" s="23"/>
      <c r="X706" s="23"/>
      <c r="Y706" s="23"/>
      <c r="Z706" s="1168"/>
      <c r="AC706" s="280"/>
      <c r="AD706" s="280"/>
      <c r="AE706" s="280"/>
      <c r="AF706" s="280"/>
      <c r="AG706" s="280"/>
      <c r="AH706" s="280"/>
      <c r="AI706" s="280"/>
      <c r="AJ706" s="280"/>
      <c r="AK706" s="280"/>
      <c r="AL706" s="280"/>
      <c r="AM706" s="280"/>
      <c r="AN706" s="280"/>
      <c r="AO706" s="280"/>
      <c r="AP706" s="280"/>
      <c r="AQ706" s="280"/>
      <c r="AR706" s="280"/>
      <c r="AS706" s="280"/>
      <c r="BJ706" s="1184" t="s">
        <v>4763</v>
      </c>
    </row>
    <row r="707" spans="1:62" x14ac:dyDescent="0.3">
      <c r="A707" s="1200">
        <v>6</v>
      </c>
      <c r="B707" s="1208">
        <v>611.1</v>
      </c>
      <c r="C707" s="1203"/>
      <c r="D707" s="1203"/>
      <c r="E707" s="1203"/>
      <c r="F707" s="1203"/>
      <c r="G707" s="1202" t="str">
        <f ca="1">IF(N707&gt;0,"P","")</f>
        <v/>
      </c>
      <c r="H707" s="1200" t="s">
        <v>4386</v>
      </c>
      <c r="I707" s="66">
        <v>611.1</v>
      </c>
      <c r="J707" s="4"/>
      <c r="K707" s="86"/>
      <c r="L707" s="1292" t="s">
        <v>782</v>
      </c>
      <c r="M707" s="1335" t="s">
        <v>753</v>
      </c>
      <c r="N707" s="1463">
        <f ca="1">'Ch6'!O453</f>
        <v>0</v>
      </c>
      <c r="O707" s="1463">
        <f ca="1">IFERROR(MATCH(W707,INDIRECT(U707),0),0)</f>
        <v>0</v>
      </c>
      <c r="P707" s="280" t="b">
        <v>1</v>
      </c>
      <c r="Q707" s="280" t="b">
        <v>1</v>
      </c>
      <c r="R707" s="280" t="b">
        <v>0</v>
      </c>
      <c r="S707" s="280" t="b">
        <v>1</v>
      </c>
      <c r="T707" s="280" t="b">
        <v>0</v>
      </c>
      <c r="U707" s="97" t="str">
        <f>SUBSTITUTE(SUBSTITUTE(SUBSTITUTE("dd"&amp;B707&amp;C707&amp;D707&amp;E707&amp;F707,".","_"),"(","_"),")","")</f>
        <v>dd611_1</v>
      </c>
      <c r="V707" s="280"/>
      <c r="W707" s="12"/>
      <c r="X707" s="1303"/>
      <c r="Y707" s="1523" t="str">
        <f>IF(LEN('Ch6'!X453)=0,"None",'Ch6'!X453)</f>
        <v>None</v>
      </c>
      <c r="Z707" s="1583"/>
      <c r="AC707" s="280" t="b">
        <f>OR(AD707:AE707)</f>
        <v>0</v>
      </c>
      <c r="AD707" s="985" t="b">
        <f>T707</f>
        <v>0</v>
      </c>
      <c r="AE707" s="280" t="b">
        <f>AND(NOT(ISBLANK(W707)),LEN(X707)=0)</f>
        <v>0</v>
      </c>
      <c r="AF707" s="1182" t="b">
        <f>AND(AE707,NOT(Q707))</f>
        <v>0</v>
      </c>
      <c r="AG707" s="280"/>
      <c r="AH707" s="280"/>
      <c r="AI707" s="280"/>
      <c r="AJ707" s="280"/>
      <c r="AK707" s="280"/>
      <c r="AL707" s="311" t="str">
        <f t="shared" ref="AL707" si="205">SUBSTITUTE(SUBSTITUTE(SUBSTITUTE("vpa"&amp;$B707&amp;$C707&amp;$D707&amp;$E707&amp;$F707,".","_"),"(","_"),")","")</f>
        <v>vpa611_1</v>
      </c>
      <c r="AM707" s="311" t="str">
        <f>M707</f>
        <v>10 Max</v>
      </c>
      <c r="AN707" s="311" t="str">
        <f>SUBSTITUTE(SUBSTITUTE(SUBSTITUTE("vpc"&amp;$B707&amp;$C707&amp;$D707&amp;$E707&amp;$F707,".","_"),"(","_"),")","")</f>
        <v>vpc611_1</v>
      </c>
      <c r="AO707" s="311">
        <f ca="1">O707</f>
        <v>0</v>
      </c>
      <c r="AP707" s="311" t="str">
        <f>SUBSTITUTE(SUBSTITUTE(SUBSTITUTE("vch"&amp;$B707&amp;$C707&amp;$D707&amp;$E707&amp;$F707,".","_"),"(","_"),")","")</f>
        <v>vch611_1</v>
      </c>
      <c r="AQ707" s="311">
        <f>W707</f>
        <v>0</v>
      </c>
      <c r="AR707" s="311" t="str">
        <f>SUBSTITUTE(SUBSTITUTE(SUBSTITUTE("vnt"&amp;$B707&amp;$C707&amp;$D707&amp;$E707&amp;$F707,".","_"),"(","_"),")","")</f>
        <v>vnt611_1</v>
      </c>
      <c r="AS707" s="311">
        <f>X707</f>
        <v>0</v>
      </c>
      <c r="BJ707" s="1184" t="s">
        <v>4763</v>
      </c>
    </row>
    <row r="708" spans="1:62" x14ac:dyDescent="0.3">
      <c r="A708" s="1200">
        <v>6</v>
      </c>
      <c r="B708" s="1208">
        <v>611.1</v>
      </c>
      <c r="C708" s="1203"/>
      <c r="D708" s="1203"/>
      <c r="E708" s="1203"/>
      <c r="F708" s="1203"/>
      <c r="G708" s="1202" t="str">
        <f t="shared" ref="G708:G714" ca="1" si="206">G707</f>
        <v/>
      </c>
      <c r="H708" s="1200" t="s">
        <v>4386</v>
      </c>
      <c r="I708" s="66"/>
      <c r="J708" s="4"/>
      <c r="K708" s="86"/>
      <c r="L708" s="1292"/>
      <c r="M708" s="1335"/>
      <c r="N708" s="1463"/>
      <c r="O708" s="1463"/>
      <c r="P708" s="280"/>
      <c r="Q708" s="280"/>
      <c r="R708" s="280"/>
      <c r="S708" s="280"/>
      <c r="T708" s="280"/>
      <c r="U708" s="280"/>
      <c r="V708" s="280"/>
      <c r="W708" s="280"/>
      <c r="X708" s="1303"/>
      <c r="Y708" s="1523"/>
      <c r="Z708" s="1583"/>
      <c r="AC708" s="280"/>
      <c r="AD708" s="280"/>
      <c r="AE708" s="280"/>
      <c r="AF708" s="280"/>
      <c r="AG708" s="280"/>
      <c r="AH708" s="280"/>
      <c r="AI708" s="280"/>
      <c r="AJ708" s="280"/>
      <c r="AK708" s="280"/>
      <c r="AL708" s="280"/>
      <c r="AM708" s="280"/>
      <c r="AN708" s="280"/>
      <c r="AO708" s="280"/>
      <c r="AP708" s="280"/>
      <c r="AQ708" s="280"/>
      <c r="AR708" s="280"/>
      <c r="AS708" s="280"/>
      <c r="BJ708" s="1184" t="s">
        <v>4763</v>
      </c>
    </row>
    <row r="709" spans="1:62" x14ac:dyDescent="0.3">
      <c r="A709" s="1200">
        <v>6</v>
      </c>
      <c r="B709" s="1208">
        <v>611.1</v>
      </c>
      <c r="C709" s="1203"/>
      <c r="D709" s="1203"/>
      <c r="E709" s="1203"/>
      <c r="F709" s="1203"/>
      <c r="G709" s="1202" t="str">
        <f t="shared" ca="1" si="206"/>
        <v/>
      </c>
      <c r="H709" s="1200" t="s">
        <v>4386</v>
      </c>
      <c r="I709" s="66"/>
      <c r="J709" s="4"/>
      <c r="K709" s="86"/>
      <c r="L709" s="1292"/>
      <c r="M709" s="1335"/>
      <c r="N709" s="1463"/>
      <c r="O709" s="1463"/>
      <c r="P709" s="280"/>
      <c r="Q709" s="280"/>
      <c r="R709" s="280"/>
      <c r="S709" s="280"/>
      <c r="T709" s="280"/>
      <c r="U709" s="280"/>
      <c r="V709" s="280"/>
      <c r="W709" s="280"/>
      <c r="X709" s="1303"/>
      <c r="Y709" s="1523"/>
      <c r="Z709" s="1583"/>
      <c r="AC709" s="280"/>
      <c r="AD709" s="280"/>
      <c r="AE709" s="280"/>
      <c r="AF709" s="280"/>
      <c r="AG709" s="280"/>
      <c r="AH709" s="280"/>
      <c r="AI709" s="280"/>
      <c r="AJ709" s="280"/>
      <c r="AK709" s="280"/>
      <c r="AL709" s="280"/>
      <c r="AM709" s="280"/>
      <c r="AN709" s="280"/>
      <c r="AO709" s="280"/>
      <c r="AP709" s="280"/>
      <c r="AQ709" s="280"/>
      <c r="AR709" s="280"/>
      <c r="AS709" s="280"/>
      <c r="BJ709" s="1184" t="s">
        <v>4763</v>
      </c>
    </row>
    <row r="710" spans="1:62" x14ac:dyDescent="0.3">
      <c r="A710" s="1200">
        <v>6</v>
      </c>
      <c r="B710" s="1208">
        <v>611.1</v>
      </c>
      <c r="C710" s="1203"/>
      <c r="D710" s="1203"/>
      <c r="E710" s="1203"/>
      <c r="F710" s="1203"/>
      <c r="G710" s="1202" t="str">
        <f t="shared" ca="1" si="206"/>
        <v/>
      </c>
      <c r="H710" s="1200" t="s">
        <v>4386</v>
      </c>
      <c r="I710" s="66"/>
      <c r="J710" s="4"/>
      <c r="K710" s="86"/>
      <c r="L710" s="1292"/>
      <c r="M710" s="1335"/>
      <c r="N710" s="1463"/>
      <c r="O710" s="1463"/>
      <c r="P710" s="280"/>
      <c r="Q710" s="280"/>
      <c r="R710" s="280"/>
      <c r="S710" s="280"/>
      <c r="T710" s="280"/>
      <c r="U710" s="280"/>
      <c r="V710" s="280"/>
      <c r="W710" s="280"/>
      <c r="X710" s="1303"/>
      <c r="Y710" s="1523"/>
      <c r="Z710" s="1583"/>
      <c r="AC710" s="280"/>
      <c r="AD710" s="280"/>
      <c r="AE710" s="280"/>
      <c r="AF710" s="280"/>
      <c r="AG710" s="280"/>
      <c r="AH710" s="280"/>
      <c r="AI710" s="280"/>
      <c r="AJ710" s="280"/>
      <c r="AK710" s="280"/>
      <c r="AL710" s="280"/>
      <c r="AM710" s="280"/>
      <c r="AN710" s="280"/>
      <c r="AO710" s="280"/>
      <c r="AP710" s="280"/>
      <c r="AQ710" s="280"/>
      <c r="AR710" s="280"/>
      <c r="AS710" s="280"/>
      <c r="BJ710" s="1184" t="s">
        <v>4763</v>
      </c>
    </row>
    <row r="711" spans="1:62" x14ac:dyDescent="0.3">
      <c r="A711" s="1200">
        <v>6</v>
      </c>
      <c r="B711" s="1208">
        <v>611.1</v>
      </c>
      <c r="C711" s="1203"/>
      <c r="D711" s="1203"/>
      <c r="E711" s="1203"/>
      <c r="F711" s="1203"/>
      <c r="G711" s="1202" t="str">
        <f t="shared" ca="1" si="206"/>
        <v/>
      </c>
      <c r="H711" s="1200" t="s">
        <v>4386</v>
      </c>
      <c r="I711" s="66"/>
      <c r="J711" s="4"/>
      <c r="K711" s="86"/>
      <c r="L711" s="1292"/>
      <c r="M711" s="1335"/>
      <c r="N711" s="1463"/>
      <c r="O711" s="1463"/>
      <c r="P711" s="280"/>
      <c r="Q711" s="280"/>
      <c r="R711" s="280"/>
      <c r="S711" s="280"/>
      <c r="T711" s="280"/>
      <c r="U711" s="280"/>
      <c r="V711" s="280"/>
      <c r="W711" s="280"/>
      <c r="X711" s="1303"/>
      <c r="Y711" s="1523"/>
      <c r="Z711" s="1583"/>
      <c r="AC711" s="280"/>
      <c r="AD711" s="280"/>
      <c r="AE711" s="280"/>
      <c r="AF711" s="280"/>
      <c r="AG711" s="280"/>
      <c r="AH711" s="280"/>
      <c r="AI711" s="280"/>
      <c r="AJ711" s="280"/>
      <c r="AK711" s="280"/>
      <c r="AL711" s="280"/>
      <c r="AM711" s="280"/>
      <c r="AN711" s="280"/>
      <c r="AO711" s="280"/>
      <c r="AP711" s="280"/>
      <c r="AQ711" s="280"/>
      <c r="AR711" s="280"/>
      <c r="AS711" s="280"/>
      <c r="BJ711" s="1184" t="s">
        <v>4763</v>
      </c>
    </row>
    <row r="712" spans="1:62" x14ac:dyDescent="0.3">
      <c r="A712" s="1200">
        <v>6</v>
      </c>
      <c r="B712" s="1208">
        <v>611.1</v>
      </c>
      <c r="C712" s="1203"/>
      <c r="D712" s="1203"/>
      <c r="E712" s="1203"/>
      <c r="F712" s="1203"/>
      <c r="G712" s="1202" t="str">
        <f t="shared" ca="1" si="206"/>
        <v/>
      </c>
      <c r="H712" s="1200" t="s">
        <v>4386</v>
      </c>
      <c r="I712" s="66"/>
      <c r="J712" s="4"/>
      <c r="K712" s="86"/>
      <c r="L712" s="174" t="s">
        <v>783</v>
      </c>
      <c r="M712" s="1335"/>
      <c r="N712" s="1463"/>
      <c r="O712" s="1463"/>
      <c r="P712" s="280"/>
      <c r="Q712" s="280"/>
      <c r="R712" s="280"/>
      <c r="S712" s="280"/>
      <c r="T712" s="280"/>
      <c r="U712" s="280"/>
      <c r="V712" s="280"/>
      <c r="W712" s="280"/>
      <c r="X712" s="1303"/>
      <c r="Y712" s="1523"/>
      <c r="Z712" s="1583"/>
      <c r="AC712" s="280"/>
      <c r="AD712" s="280"/>
      <c r="AE712" s="280"/>
      <c r="AF712" s="280"/>
      <c r="AG712" s="280"/>
      <c r="AH712" s="280"/>
      <c r="AI712" s="280"/>
      <c r="AJ712" s="280"/>
      <c r="AK712" s="280"/>
      <c r="AL712" s="280"/>
      <c r="AM712" s="280"/>
      <c r="AN712" s="280"/>
      <c r="AO712" s="280"/>
      <c r="AP712" s="280"/>
      <c r="AQ712" s="280"/>
      <c r="AR712" s="280"/>
      <c r="AS712" s="280"/>
      <c r="BJ712" s="1184" t="s">
        <v>4763</v>
      </c>
    </row>
    <row r="713" spans="1:62" x14ac:dyDescent="0.3">
      <c r="A713" s="1200">
        <v>6</v>
      </c>
      <c r="B713" s="1208">
        <v>611.1</v>
      </c>
      <c r="C713" s="1203"/>
      <c r="D713" s="1203"/>
      <c r="E713" s="1203"/>
      <c r="F713" s="1203"/>
      <c r="G713" s="1202" t="str">
        <f t="shared" ca="1" si="206"/>
        <v/>
      </c>
      <c r="H713" s="1200" t="s">
        <v>4386</v>
      </c>
      <c r="I713" s="66"/>
      <c r="J713" s="4"/>
      <c r="K713" s="86"/>
      <c r="L713" s="1328" t="s">
        <v>3340</v>
      </c>
      <c r="M713" s="1335"/>
      <c r="N713" s="1463"/>
      <c r="O713" s="1463"/>
      <c r="P713" s="280"/>
      <c r="Q713" s="280"/>
      <c r="R713" s="280"/>
      <c r="S713" s="280"/>
      <c r="T713" s="280"/>
      <c r="U713" s="280"/>
      <c r="V713" s="280"/>
      <c r="W713" s="280"/>
      <c r="X713" s="1303"/>
      <c r="Y713" s="1523"/>
      <c r="Z713" s="1583"/>
      <c r="AC713" s="280"/>
      <c r="AD713" s="280"/>
      <c r="AE713" s="280"/>
      <c r="AF713" s="280"/>
      <c r="AG713" s="280"/>
      <c r="AH713" s="280"/>
      <c r="AI713" s="280"/>
      <c r="AJ713" s="280"/>
      <c r="AK713" s="280"/>
      <c r="AL713" s="280"/>
      <c r="AM713" s="280"/>
      <c r="AN713" s="280"/>
      <c r="AO713" s="280"/>
      <c r="AP713" s="280"/>
      <c r="AQ713" s="280"/>
      <c r="AR713" s="280"/>
      <c r="AS713" s="280"/>
      <c r="BJ713" s="1184" t="s">
        <v>4763</v>
      </c>
    </row>
    <row r="714" spans="1:62" ht="15" thickBot="1" x14ac:dyDescent="0.35">
      <c r="A714" s="1200">
        <v>6</v>
      </c>
      <c r="B714" s="1208">
        <v>611.1</v>
      </c>
      <c r="C714" s="1203"/>
      <c r="D714" s="1203"/>
      <c r="E714" s="1203"/>
      <c r="F714" s="1203"/>
      <c r="G714" s="1202" t="str">
        <f t="shared" ca="1" si="206"/>
        <v/>
      </c>
      <c r="H714" s="1200" t="s">
        <v>4386</v>
      </c>
      <c r="I714" s="66"/>
      <c r="J714" s="4"/>
      <c r="K714" s="86"/>
      <c r="L714" s="1432"/>
      <c r="M714" s="1335"/>
      <c r="N714" s="1529"/>
      <c r="O714" s="1463"/>
      <c r="P714" s="280"/>
      <c r="Q714" s="280"/>
      <c r="R714" s="280"/>
      <c r="S714" s="280"/>
      <c r="T714" s="280"/>
      <c r="U714" s="280"/>
      <c r="V714" s="280"/>
      <c r="W714" s="280"/>
      <c r="X714" s="1337"/>
      <c r="Y714" s="1524"/>
      <c r="Z714" s="1584"/>
      <c r="AC714" s="280"/>
      <c r="AD714" s="280"/>
      <c r="AE714" s="280"/>
      <c r="AF714" s="280"/>
      <c r="AG714" s="280"/>
      <c r="AH714" s="280"/>
      <c r="AI714" s="280"/>
      <c r="AJ714" s="280"/>
      <c r="AK714" s="280"/>
      <c r="AL714" s="280"/>
      <c r="AM714" s="280"/>
      <c r="AN714" s="280"/>
      <c r="AO714" s="280"/>
      <c r="AP714" s="280"/>
      <c r="AQ714" s="280"/>
      <c r="AR714" s="280"/>
      <c r="AS714" s="280"/>
      <c r="BJ714" s="1184" t="s">
        <v>4763</v>
      </c>
    </row>
    <row r="715" spans="1:62" ht="15" thickTop="1" x14ac:dyDescent="0.3">
      <c r="A715" s="1200">
        <v>6</v>
      </c>
      <c r="B715" s="1208">
        <v>611.20000000000005</v>
      </c>
      <c r="C715" s="1203"/>
      <c r="D715" s="1203"/>
      <c r="E715" s="1203"/>
      <c r="F715" s="1203"/>
      <c r="G715" s="1202" t="str">
        <f>IF(N715&gt;0,"P","")</f>
        <v/>
      </c>
      <c r="H715" s="1200" t="s">
        <v>4386</v>
      </c>
      <c r="I715" s="200">
        <v>611.20000000000005</v>
      </c>
      <c r="J715" s="201"/>
      <c r="K715" s="202"/>
      <c r="L715" s="1331" t="s">
        <v>784</v>
      </c>
      <c r="M715" s="1343" t="s">
        <v>548</v>
      </c>
      <c r="N715" s="1528">
        <f>'Ch6'!O461</f>
        <v>0</v>
      </c>
      <c r="O715" s="1528">
        <f>MIN(9,M718*S718*W718+M719*S719*W719+M720*S720*W720+M721*S721*W721+M722*S722*W722+M723*S723*W723+M724*S724*W724)</f>
        <v>0</v>
      </c>
      <c r="P715" s="110"/>
      <c r="Q715" s="110"/>
      <c r="R715" s="110"/>
      <c r="S715" s="110"/>
      <c r="T715" s="110"/>
      <c r="U715" s="110"/>
      <c r="V715" s="110"/>
      <c r="W715" s="110"/>
      <c r="X715" s="110"/>
      <c r="Z715" s="1055"/>
      <c r="AC715" s="280"/>
      <c r="AD715" s="280"/>
      <c r="AE715" s="280"/>
      <c r="AF715" s="280"/>
      <c r="AG715" s="280"/>
      <c r="AH715" s="280"/>
      <c r="AI715" s="280"/>
      <c r="AJ715" s="280"/>
      <c r="AK715" s="280"/>
      <c r="AL715" s="311" t="str">
        <f t="shared" ref="AL715" si="207">SUBSTITUTE(SUBSTITUTE(SUBSTITUTE("vpa"&amp;$B715&amp;$C715&amp;$D715&amp;$E715&amp;$F715,".","_"),"(","_"),")","")</f>
        <v>vpa611_2</v>
      </c>
      <c r="AM715" s="311" t="str">
        <f>M715</f>
        <v>9 Max</v>
      </c>
      <c r="AN715" s="311" t="str">
        <f>SUBSTITUTE(SUBSTITUTE(SUBSTITUTE("vpc"&amp;$B715&amp;$C715&amp;$D715&amp;$E715&amp;$F715,".","_"),"(","_"),")","")</f>
        <v>vpc611_2</v>
      </c>
      <c r="AO715" s="311">
        <f>O715</f>
        <v>0</v>
      </c>
      <c r="AP715" s="280"/>
      <c r="AQ715" s="280"/>
      <c r="AR715" s="280"/>
      <c r="AS715" s="280"/>
      <c r="BJ715" s="1184" t="s">
        <v>4763</v>
      </c>
    </row>
    <row r="716" spans="1:62" x14ac:dyDescent="0.3">
      <c r="A716" s="1200">
        <v>6</v>
      </c>
      <c r="B716" s="1208">
        <v>611.20000000000005</v>
      </c>
      <c r="C716" s="1203"/>
      <c r="D716" s="1203"/>
      <c r="E716" s="1203"/>
      <c r="F716" s="1203"/>
      <c r="G716" s="1202" t="str">
        <f t="shared" ref="G716:G725" si="208">G715</f>
        <v/>
      </c>
      <c r="H716" s="1200" t="s">
        <v>4386</v>
      </c>
      <c r="I716" s="141"/>
      <c r="J716" s="140"/>
      <c r="K716" s="98"/>
      <c r="L716" s="1313"/>
      <c r="M716" s="1318"/>
      <c r="N716" s="1473"/>
      <c r="O716" s="1473"/>
      <c r="P716" s="97"/>
      <c r="Q716" s="97"/>
      <c r="R716" s="97"/>
      <c r="S716" s="97"/>
      <c r="T716" s="97"/>
      <c r="U716" s="97"/>
      <c r="V716" s="97"/>
      <c r="W716" s="97"/>
      <c r="X716" s="97"/>
      <c r="Z716" s="1055"/>
      <c r="AC716" s="280"/>
      <c r="AD716" s="280"/>
      <c r="AE716" s="280"/>
      <c r="AF716" s="280"/>
      <c r="AG716" s="280"/>
      <c r="AH716" s="280"/>
      <c r="AI716" s="280"/>
      <c r="AJ716" s="280"/>
      <c r="AK716" s="280"/>
      <c r="AL716" s="280"/>
      <c r="AM716" s="280"/>
      <c r="AN716" s="280"/>
      <c r="AO716" s="280"/>
      <c r="AP716" s="280"/>
      <c r="AQ716" s="280"/>
      <c r="AR716" s="280"/>
      <c r="AS716" s="280"/>
      <c r="BJ716" s="1184" t="s">
        <v>4763</v>
      </c>
    </row>
    <row r="717" spans="1:62" x14ac:dyDescent="0.3">
      <c r="A717" s="1200">
        <v>6</v>
      </c>
      <c r="B717" s="1208">
        <v>611.20000000000005</v>
      </c>
      <c r="C717" s="1203"/>
      <c r="D717" s="1203"/>
      <c r="E717" s="1203"/>
      <c r="F717" s="1203"/>
      <c r="G717" s="1202" t="str">
        <f t="shared" si="208"/>
        <v/>
      </c>
      <c r="H717" s="1200" t="s">
        <v>4386</v>
      </c>
      <c r="I717" s="141"/>
      <c r="J717" s="140"/>
      <c r="K717" s="98"/>
      <c r="L717" s="1313"/>
      <c r="M717" s="1318"/>
      <c r="N717" s="1473"/>
      <c r="O717" s="1473"/>
      <c r="P717" s="97"/>
      <c r="Q717" s="97"/>
      <c r="R717" s="97"/>
      <c r="S717" s="97"/>
      <c r="T717" s="97"/>
      <c r="U717" s="97"/>
      <c r="V717" s="97"/>
      <c r="W717" s="97"/>
      <c r="X717" s="97"/>
      <c r="Z717" s="1055"/>
      <c r="AC717" s="280"/>
      <c r="AD717" s="280"/>
      <c r="AE717" s="280"/>
      <c r="AF717" s="280"/>
      <c r="AG717" s="280"/>
      <c r="AH717" s="280"/>
      <c r="AI717" s="280"/>
      <c r="AJ717" s="280"/>
      <c r="AK717" s="280"/>
      <c r="AL717" s="280"/>
      <c r="AM717" s="280"/>
      <c r="AN717" s="280"/>
      <c r="AO717" s="280"/>
      <c r="AP717" s="280"/>
      <c r="AQ717" s="280"/>
      <c r="AR717" s="280"/>
      <c r="AS717" s="280"/>
      <c r="BJ717" s="1184" t="s">
        <v>4763</v>
      </c>
    </row>
    <row r="718" spans="1:62" x14ac:dyDescent="0.3">
      <c r="A718" s="1200">
        <v>6</v>
      </c>
      <c r="B718" s="1208">
        <v>611.20000000000005</v>
      </c>
      <c r="C718" s="1203"/>
      <c r="D718" s="1203"/>
      <c r="E718" s="1203" t="s">
        <v>271</v>
      </c>
      <c r="F718" s="1203"/>
      <c r="G718" s="1202" t="str">
        <f t="shared" si="208"/>
        <v/>
      </c>
      <c r="H718" s="1200" t="s">
        <v>4386</v>
      </c>
      <c r="I718" s="66"/>
      <c r="J718" s="231" t="s">
        <v>271</v>
      </c>
      <c r="K718" s="193"/>
      <c r="L718" s="193" t="s">
        <v>785</v>
      </c>
      <c r="M718" s="301">
        <v>3</v>
      </c>
      <c r="N718" s="282"/>
      <c r="O718" s="282"/>
      <c r="P718" s="280" t="b">
        <v>1</v>
      </c>
      <c r="Q718" s="280" t="b">
        <v>1</v>
      </c>
      <c r="R718" s="280" t="b">
        <v>0</v>
      </c>
      <c r="S718" s="280" t="b">
        <v>1</v>
      </c>
      <c r="T718" s="280" t="b">
        <v>0</v>
      </c>
      <c r="U718" s="280"/>
      <c r="V718" s="280"/>
      <c r="W718" s="25"/>
      <c r="X718" s="281"/>
      <c r="Y718" s="312" t="str">
        <f>IF(LEN('Ch6'!X464)=0,"None",'Ch6'!X464)</f>
        <v>None</v>
      </c>
      <c r="Z718" s="1169"/>
      <c r="AC718" s="280" t="b">
        <f t="shared" ref="AC718:AC724" si="209">OR(AD718:AE718)</f>
        <v>0</v>
      </c>
      <c r="AD718" s="280" t="b">
        <f t="shared" ref="AD718:AD724" si="210">T718</f>
        <v>0</v>
      </c>
      <c r="AE718" s="280" t="b">
        <v>0</v>
      </c>
      <c r="AF718" s="1182" t="b">
        <f t="shared" ref="AF718:AF724" si="211">AND(AE718,NOT(Q718))</f>
        <v>0</v>
      </c>
      <c r="AG718" s="280"/>
      <c r="AH718" s="280"/>
      <c r="AI718" s="280"/>
      <c r="AJ718" s="280"/>
      <c r="AK718" s="280"/>
      <c r="AL718" s="311" t="str">
        <f t="shared" ref="AL718:AL724" si="212">SUBSTITUTE(SUBSTITUTE(SUBSTITUTE("vpa"&amp;$B718&amp;$C718&amp;$D718&amp;$E718&amp;$F718,".","_"),"(","_"),")","")</f>
        <v>vpa611_2_1</v>
      </c>
      <c r="AM718" s="311">
        <f t="shared" ref="AM718:AM724" si="213">M718</f>
        <v>3</v>
      </c>
      <c r="AN718" s="280"/>
      <c r="AO718" s="280"/>
      <c r="AP718" s="311" t="str">
        <f t="shared" ref="AP718:AP724" si="214">SUBSTITUTE(SUBSTITUTE(SUBSTITUTE("vch"&amp;$B718&amp;$C718&amp;$D718&amp;$E718&amp;$F718,".","_"),"(","_"),")","")</f>
        <v>vch611_2_1</v>
      </c>
      <c r="AQ718" s="311">
        <f t="shared" ref="AQ718:AQ724" si="215">W718</f>
        <v>0</v>
      </c>
      <c r="AR718" s="311" t="str">
        <f t="shared" ref="AR718:AR724" si="216">SUBSTITUTE(SUBSTITUTE(SUBSTITUTE("vnt"&amp;$B718&amp;$C718&amp;$D718&amp;$E718&amp;$F718,".","_"),"(","_"),")","")</f>
        <v>vnt611_2_1</v>
      </c>
      <c r="AS718" s="311">
        <f t="shared" ref="AS718:AS724" si="217">X718</f>
        <v>0</v>
      </c>
      <c r="BJ718" s="1184" t="s">
        <v>4763</v>
      </c>
    </row>
    <row r="719" spans="1:62" x14ac:dyDescent="0.3">
      <c r="A719" s="1200">
        <v>6</v>
      </c>
      <c r="B719" s="1208">
        <v>611.20000000000005</v>
      </c>
      <c r="C719" s="1203"/>
      <c r="D719" s="1203"/>
      <c r="E719" s="1203" t="s">
        <v>273</v>
      </c>
      <c r="F719" s="1203"/>
      <c r="G719" s="1202" t="str">
        <f t="shared" si="208"/>
        <v/>
      </c>
      <c r="H719" s="1200" t="s">
        <v>4386</v>
      </c>
      <c r="I719" s="66"/>
      <c r="J719" s="233" t="s">
        <v>273</v>
      </c>
      <c r="K719" s="234"/>
      <c r="L719" s="234" t="s">
        <v>786</v>
      </c>
      <c r="M719" s="236">
        <v>3</v>
      </c>
      <c r="N719" s="282"/>
      <c r="O719" s="282"/>
      <c r="P719" s="440" t="b">
        <v>1</v>
      </c>
      <c r="Q719" s="280" t="b">
        <v>1</v>
      </c>
      <c r="R719" s="280" t="b">
        <v>0</v>
      </c>
      <c r="S719" s="280" t="b">
        <v>1</v>
      </c>
      <c r="T719" s="280" t="b">
        <v>0</v>
      </c>
      <c r="U719" s="280"/>
      <c r="V719" s="280"/>
      <c r="W719" s="25"/>
      <c r="X719" s="281"/>
      <c r="Y719" s="312" t="str">
        <f>IF(LEN('Ch6'!X465)=0,"None",'Ch6'!X465)</f>
        <v>None</v>
      </c>
      <c r="Z719" s="1169"/>
      <c r="AC719" s="280" t="b">
        <f t="shared" si="209"/>
        <v>0</v>
      </c>
      <c r="AD719" s="280" t="b">
        <f t="shared" si="210"/>
        <v>0</v>
      </c>
      <c r="AE719" s="280" t="b">
        <v>0</v>
      </c>
      <c r="AF719" s="1182" t="b">
        <f t="shared" si="211"/>
        <v>0</v>
      </c>
      <c r="AG719" s="280"/>
      <c r="AH719" s="280"/>
      <c r="AI719" s="280"/>
      <c r="AJ719" s="280"/>
      <c r="AK719" s="280"/>
      <c r="AL719" s="311" t="str">
        <f t="shared" si="212"/>
        <v>vpa611_2_2</v>
      </c>
      <c r="AM719" s="311">
        <f t="shared" si="213"/>
        <v>3</v>
      </c>
      <c r="AN719" s="280"/>
      <c r="AO719" s="280"/>
      <c r="AP719" s="311" t="str">
        <f t="shared" si="214"/>
        <v>vch611_2_2</v>
      </c>
      <c r="AQ719" s="311">
        <f t="shared" si="215"/>
        <v>0</v>
      </c>
      <c r="AR719" s="311" t="str">
        <f t="shared" si="216"/>
        <v>vnt611_2_2</v>
      </c>
      <c r="AS719" s="311">
        <f t="shared" si="217"/>
        <v>0</v>
      </c>
      <c r="BJ719" s="1184" t="s">
        <v>4763</v>
      </c>
    </row>
    <row r="720" spans="1:62" x14ac:dyDescent="0.3">
      <c r="A720" s="1200">
        <v>6</v>
      </c>
      <c r="B720" s="1208">
        <v>611.20000000000005</v>
      </c>
      <c r="C720" s="1203"/>
      <c r="D720" s="1203"/>
      <c r="E720" s="1203" t="s">
        <v>275</v>
      </c>
      <c r="F720" s="1203"/>
      <c r="G720" s="1202" t="str">
        <f t="shared" si="208"/>
        <v/>
      </c>
      <c r="H720" s="1200" t="s">
        <v>4386</v>
      </c>
      <c r="I720" s="66"/>
      <c r="J720" s="233" t="s">
        <v>275</v>
      </c>
      <c r="K720" s="234"/>
      <c r="L720" s="234" t="s">
        <v>787</v>
      </c>
      <c r="M720" s="236">
        <v>3</v>
      </c>
      <c r="N720" s="282"/>
      <c r="O720" s="282"/>
      <c r="P720" s="280" t="b">
        <v>1</v>
      </c>
      <c r="Q720" s="280" t="b">
        <v>1</v>
      </c>
      <c r="R720" s="280" t="b">
        <v>0</v>
      </c>
      <c r="S720" s="280" t="b">
        <v>1</v>
      </c>
      <c r="T720" s="280" t="b">
        <v>0</v>
      </c>
      <c r="U720" s="280"/>
      <c r="V720" s="280"/>
      <c r="W720" s="25"/>
      <c r="X720" s="281"/>
      <c r="Y720" s="312" t="str">
        <f>IF(LEN('Ch6'!X466)=0,"None",'Ch6'!X466)</f>
        <v>None</v>
      </c>
      <c r="Z720" s="1169"/>
      <c r="AC720" s="280" t="b">
        <f t="shared" si="209"/>
        <v>0</v>
      </c>
      <c r="AD720" s="280" t="b">
        <f t="shared" si="210"/>
        <v>0</v>
      </c>
      <c r="AE720" s="280" t="b">
        <v>0</v>
      </c>
      <c r="AF720" s="1182" t="b">
        <f t="shared" si="211"/>
        <v>0</v>
      </c>
      <c r="AG720" s="280"/>
      <c r="AH720" s="280"/>
      <c r="AI720" s="280"/>
      <c r="AJ720" s="280"/>
      <c r="AK720" s="280"/>
      <c r="AL720" s="311" t="str">
        <f t="shared" si="212"/>
        <v>vpa611_2_3</v>
      </c>
      <c r="AM720" s="311">
        <f t="shared" si="213"/>
        <v>3</v>
      </c>
      <c r="AN720" s="280"/>
      <c r="AO720" s="280"/>
      <c r="AP720" s="311" t="str">
        <f t="shared" si="214"/>
        <v>vch611_2_3</v>
      </c>
      <c r="AQ720" s="311">
        <f t="shared" si="215"/>
        <v>0</v>
      </c>
      <c r="AR720" s="311" t="str">
        <f t="shared" si="216"/>
        <v>vnt611_2_3</v>
      </c>
      <c r="AS720" s="311">
        <f t="shared" si="217"/>
        <v>0</v>
      </c>
      <c r="BJ720" s="1184" t="s">
        <v>4763</v>
      </c>
    </row>
    <row r="721" spans="1:62" x14ac:dyDescent="0.3">
      <c r="A721" s="1200">
        <v>6</v>
      </c>
      <c r="B721" s="1208">
        <v>611.20000000000005</v>
      </c>
      <c r="C721" s="1203"/>
      <c r="D721" s="1203"/>
      <c r="E721" s="1203" t="s">
        <v>285</v>
      </c>
      <c r="F721" s="1203"/>
      <c r="G721" s="1202" t="str">
        <f t="shared" si="208"/>
        <v/>
      </c>
      <c r="H721" s="1200" t="s">
        <v>4386</v>
      </c>
      <c r="I721" s="66"/>
      <c r="J721" s="233" t="s">
        <v>285</v>
      </c>
      <c r="K721" s="234"/>
      <c r="L721" s="234" t="s">
        <v>788</v>
      </c>
      <c r="M721" s="236">
        <v>3</v>
      </c>
      <c r="N721" s="282"/>
      <c r="O721" s="282"/>
      <c r="P721" s="440" t="b">
        <v>1</v>
      </c>
      <c r="Q721" s="280" t="b">
        <v>1</v>
      </c>
      <c r="R721" s="280" t="b">
        <v>0</v>
      </c>
      <c r="S721" s="280" t="b">
        <v>1</v>
      </c>
      <c r="T721" s="280" t="b">
        <v>0</v>
      </c>
      <c r="U721" s="280"/>
      <c r="V721" s="280"/>
      <c r="W721" s="25"/>
      <c r="X721" s="281"/>
      <c r="Y721" s="312" t="str">
        <f>IF(LEN('Ch6'!X467)=0,"None",'Ch6'!X467)</f>
        <v>None</v>
      </c>
      <c r="Z721" s="1169"/>
      <c r="AC721" s="280" t="b">
        <f t="shared" si="209"/>
        <v>0</v>
      </c>
      <c r="AD721" s="280" t="b">
        <f t="shared" si="210"/>
        <v>0</v>
      </c>
      <c r="AE721" s="280" t="b">
        <v>0</v>
      </c>
      <c r="AF721" s="1182" t="b">
        <f t="shared" si="211"/>
        <v>0</v>
      </c>
      <c r="AG721" s="280"/>
      <c r="AH721" s="280"/>
      <c r="AI721" s="280"/>
      <c r="AJ721" s="280"/>
      <c r="AK721" s="280"/>
      <c r="AL721" s="311" t="str">
        <f t="shared" si="212"/>
        <v>vpa611_2_4</v>
      </c>
      <c r="AM721" s="311">
        <f t="shared" si="213"/>
        <v>3</v>
      </c>
      <c r="AN721" s="280"/>
      <c r="AO721" s="280"/>
      <c r="AP721" s="311" t="str">
        <f t="shared" si="214"/>
        <v>vch611_2_4</v>
      </c>
      <c r="AQ721" s="311">
        <f t="shared" si="215"/>
        <v>0</v>
      </c>
      <c r="AR721" s="311" t="str">
        <f t="shared" si="216"/>
        <v>vnt611_2_4</v>
      </c>
      <c r="AS721" s="311">
        <f t="shared" si="217"/>
        <v>0</v>
      </c>
      <c r="BJ721" s="1184" t="s">
        <v>4763</v>
      </c>
    </row>
    <row r="722" spans="1:62" x14ac:dyDescent="0.3">
      <c r="A722" s="1200">
        <v>6</v>
      </c>
      <c r="B722" s="1208">
        <v>611.20000000000005</v>
      </c>
      <c r="C722" s="1203"/>
      <c r="D722" s="1203"/>
      <c r="E722" s="1203" t="s">
        <v>291</v>
      </c>
      <c r="F722" s="1203"/>
      <c r="G722" s="1202" t="str">
        <f t="shared" si="208"/>
        <v/>
      </c>
      <c r="H722" s="1200" t="s">
        <v>4386</v>
      </c>
      <c r="I722" s="66"/>
      <c r="J722" s="233" t="s">
        <v>291</v>
      </c>
      <c r="K722" s="234"/>
      <c r="L722" s="234" t="s">
        <v>789</v>
      </c>
      <c r="M722" s="236">
        <v>3</v>
      </c>
      <c r="N722" s="282"/>
      <c r="O722" s="282"/>
      <c r="P722" s="280" t="b">
        <v>1</v>
      </c>
      <c r="Q722" s="440" t="b">
        <v>1</v>
      </c>
      <c r="R722" s="280" t="b">
        <v>0</v>
      </c>
      <c r="S722" s="280" t="b">
        <v>1</v>
      </c>
      <c r="T722" s="280" t="b">
        <v>0</v>
      </c>
      <c r="U722" s="280"/>
      <c r="V722" s="280"/>
      <c r="W722" s="25"/>
      <c r="X722" s="281"/>
      <c r="Y722" s="312" t="str">
        <f>IF(LEN('Ch6'!X468)=0,"None",'Ch6'!X468)</f>
        <v>None</v>
      </c>
      <c r="Z722" s="1169"/>
      <c r="AC722" s="280" t="b">
        <f t="shared" si="209"/>
        <v>0</v>
      </c>
      <c r="AD722" s="280" t="b">
        <f t="shared" si="210"/>
        <v>0</v>
      </c>
      <c r="AE722" s="280" t="b">
        <v>0</v>
      </c>
      <c r="AF722" s="1182" t="b">
        <f t="shared" si="211"/>
        <v>0</v>
      </c>
      <c r="AG722" s="280"/>
      <c r="AH722" s="280"/>
      <c r="AI722" s="280"/>
      <c r="AJ722" s="280"/>
      <c r="AK722" s="280"/>
      <c r="AL722" s="311" t="str">
        <f t="shared" si="212"/>
        <v>vpa611_2_5</v>
      </c>
      <c r="AM722" s="311">
        <f t="shared" si="213"/>
        <v>3</v>
      </c>
      <c r="AN722" s="280"/>
      <c r="AO722" s="280"/>
      <c r="AP722" s="311" t="str">
        <f t="shared" si="214"/>
        <v>vch611_2_5</v>
      </c>
      <c r="AQ722" s="311">
        <f t="shared" si="215"/>
        <v>0</v>
      </c>
      <c r="AR722" s="311" t="str">
        <f t="shared" si="216"/>
        <v>vnt611_2_5</v>
      </c>
      <c r="AS722" s="311">
        <f t="shared" si="217"/>
        <v>0</v>
      </c>
      <c r="BJ722" s="1184" t="s">
        <v>4763</v>
      </c>
    </row>
    <row r="723" spans="1:62" x14ac:dyDescent="0.3">
      <c r="A723" s="1200">
        <v>6</v>
      </c>
      <c r="B723" s="1208">
        <v>611.20000000000005</v>
      </c>
      <c r="C723" s="1203"/>
      <c r="D723" s="1203"/>
      <c r="E723" s="1203" t="s">
        <v>293</v>
      </c>
      <c r="F723" s="1203"/>
      <c r="G723" s="1202" t="str">
        <f t="shared" si="208"/>
        <v/>
      </c>
      <c r="H723" s="1200" t="s">
        <v>4386</v>
      </c>
      <c r="I723" s="66"/>
      <c r="J723" s="233" t="s">
        <v>293</v>
      </c>
      <c r="K723" s="234"/>
      <c r="L723" s="234" t="s">
        <v>790</v>
      </c>
      <c r="M723" s="236">
        <v>3</v>
      </c>
      <c r="N723" s="282"/>
      <c r="O723" s="282"/>
      <c r="P723" s="440" t="b">
        <v>1</v>
      </c>
      <c r="Q723" s="280" t="b">
        <v>1</v>
      </c>
      <c r="R723" s="280" t="b">
        <v>0</v>
      </c>
      <c r="S723" s="280" t="b">
        <v>1</v>
      </c>
      <c r="T723" s="280" t="b">
        <v>0</v>
      </c>
      <c r="U723" s="280"/>
      <c r="V723" s="280"/>
      <c r="W723" s="25"/>
      <c r="X723" s="281"/>
      <c r="Y723" s="312" t="str">
        <f>IF(LEN('Ch6'!X469)=0,"None",'Ch6'!X469)</f>
        <v>None</v>
      </c>
      <c r="Z723" s="1169"/>
      <c r="AC723" s="280" t="b">
        <f t="shared" si="209"/>
        <v>0</v>
      </c>
      <c r="AD723" s="280" t="b">
        <f t="shared" si="210"/>
        <v>0</v>
      </c>
      <c r="AE723" s="280" t="b">
        <v>0</v>
      </c>
      <c r="AF723" s="1182" t="b">
        <f t="shared" si="211"/>
        <v>0</v>
      </c>
      <c r="AG723" s="280"/>
      <c r="AH723" s="280"/>
      <c r="AI723" s="280"/>
      <c r="AJ723" s="280"/>
      <c r="AK723" s="280"/>
      <c r="AL723" s="311" t="str">
        <f t="shared" si="212"/>
        <v>vpa611_2_6</v>
      </c>
      <c r="AM723" s="311">
        <f t="shared" si="213"/>
        <v>3</v>
      </c>
      <c r="AN723" s="280"/>
      <c r="AO723" s="280"/>
      <c r="AP723" s="311" t="str">
        <f t="shared" si="214"/>
        <v>vch611_2_6</v>
      </c>
      <c r="AQ723" s="311">
        <f t="shared" si="215"/>
        <v>0</v>
      </c>
      <c r="AR723" s="311" t="str">
        <f t="shared" si="216"/>
        <v>vnt611_2_6</v>
      </c>
      <c r="AS723" s="311">
        <f t="shared" si="217"/>
        <v>0</v>
      </c>
      <c r="BJ723" s="1184" t="s">
        <v>4763</v>
      </c>
    </row>
    <row r="724" spans="1:62" x14ac:dyDescent="0.3">
      <c r="A724" s="1200">
        <v>6</v>
      </c>
      <c r="B724" s="1208">
        <v>611.20000000000005</v>
      </c>
      <c r="C724" s="1203"/>
      <c r="D724" s="1203"/>
      <c r="E724" s="1203" t="s">
        <v>405</v>
      </c>
      <c r="F724" s="1203"/>
      <c r="G724" s="1202" t="str">
        <f t="shared" si="208"/>
        <v/>
      </c>
      <c r="H724" s="1200" t="s">
        <v>4386</v>
      </c>
      <c r="I724" s="66"/>
      <c r="J724" s="27" t="s">
        <v>405</v>
      </c>
      <c r="K724" s="86"/>
      <c r="L724" s="1329" t="s">
        <v>791</v>
      </c>
      <c r="M724" s="1335">
        <v>3</v>
      </c>
      <c r="N724" s="282"/>
      <c r="O724" s="282"/>
      <c r="P724" s="440" t="b">
        <v>1</v>
      </c>
      <c r="Q724" s="280" t="b">
        <v>1</v>
      </c>
      <c r="R724" s="280" t="b">
        <v>0</v>
      </c>
      <c r="S724" s="280" t="b">
        <v>1</v>
      </c>
      <c r="T724" s="280" t="b">
        <v>0</v>
      </c>
      <c r="U724" s="280"/>
      <c r="V724" s="280"/>
      <c r="W724" s="25"/>
      <c r="X724" s="1303"/>
      <c r="Y724" s="1523" t="str">
        <f>IF(LEN('Ch6'!X470)=0,"None",'Ch6'!X470)</f>
        <v>None</v>
      </c>
      <c r="Z724" s="1583"/>
      <c r="AC724" s="280" t="b">
        <f t="shared" si="209"/>
        <v>0</v>
      </c>
      <c r="AD724" s="280" t="b">
        <f t="shared" si="210"/>
        <v>0</v>
      </c>
      <c r="AE724" s="280" t="b">
        <v>0</v>
      </c>
      <c r="AF724" s="1182" t="b">
        <f t="shared" si="211"/>
        <v>0</v>
      </c>
      <c r="AG724" s="280"/>
      <c r="AH724" s="280"/>
      <c r="AI724" s="280"/>
      <c r="AJ724" s="280"/>
      <c r="AK724" s="280"/>
      <c r="AL724" s="311" t="str">
        <f t="shared" si="212"/>
        <v>vpa611_2_7</v>
      </c>
      <c r="AM724" s="311">
        <f t="shared" si="213"/>
        <v>3</v>
      </c>
      <c r="AN724" s="280"/>
      <c r="AO724" s="280"/>
      <c r="AP724" s="311" t="str">
        <f t="shared" si="214"/>
        <v>vch611_2_7</v>
      </c>
      <c r="AQ724" s="311">
        <f t="shared" si="215"/>
        <v>0</v>
      </c>
      <c r="AR724" s="311" t="str">
        <f t="shared" si="216"/>
        <v>vnt611_2_7</v>
      </c>
      <c r="AS724" s="311">
        <f t="shared" si="217"/>
        <v>0</v>
      </c>
      <c r="BJ724" s="1184" t="s">
        <v>4763</v>
      </c>
    </row>
    <row r="725" spans="1:62" ht="15" thickBot="1" x14ac:dyDescent="0.35">
      <c r="A725" s="1200">
        <v>6</v>
      </c>
      <c r="B725" s="1208">
        <v>611.20000000000005</v>
      </c>
      <c r="C725" s="1203"/>
      <c r="D725" s="1203"/>
      <c r="E725" s="1203" t="s">
        <v>405</v>
      </c>
      <c r="F725" s="1203"/>
      <c r="G725" s="1202" t="str">
        <f t="shared" si="208"/>
        <v/>
      </c>
      <c r="H725" s="1200" t="s">
        <v>4386</v>
      </c>
      <c r="I725" s="66"/>
      <c r="J725" s="27"/>
      <c r="K725" s="86"/>
      <c r="L725" s="1329"/>
      <c r="M725" s="1335"/>
      <c r="N725" s="282"/>
      <c r="O725" s="282"/>
      <c r="P725" s="280"/>
      <c r="Q725" s="280"/>
      <c r="R725" s="280"/>
      <c r="S725" s="280"/>
      <c r="T725" s="280"/>
      <c r="U725" s="280"/>
      <c r="V725" s="280"/>
      <c r="W725" s="280"/>
      <c r="X725" s="1337"/>
      <c r="Y725" s="1524"/>
      <c r="Z725" s="1584"/>
      <c r="AC725" s="280"/>
      <c r="AD725" s="280"/>
      <c r="AE725" s="280"/>
      <c r="AF725" s="280"/>
      <c r="AG725" s="280"/>
      <c r="AH725" s="280"/>
      <c r="AI725" s="280"/>
      <c r="AJ725" s="280"/>
      <c r="AK725" s="280"/>
      <c r="AL725" s="280"/>
      <c r="AM725" s="280"/>
      <c r="AN725" s="280"/>
      <c r="AO725" s="280"/>
      <c r="AP725" s="280"/>
      <c r="AQ725" s="280"/>
      <c r="AR725" s="280"/>
      <c r="AS725" s="280"/>
      <c r="BJ725" s="1184" t="s">
        <v>4763</v>
      </c>
    </row>
    <row r="726" spans="1:62" ht="15" thickTop="1" x14ac:dyDescent="0.3">
      <c r="A726" s="1200">
        <v>6</v>
      </c>
      <c r="B726" s="1208">
        <v>611.29999999999995</v>
      </c>
      <c r="C726" s="1203"/>
      <c r="D726" s="1203"/>
      <c r="E726" s="1203"/>
      <c r="F726" s="1203"/>
      <c r="G726" s="1202" t="str">
        <f>IF(N726&gt;0,"P","")</f>
        <v>P</v>
      </c>
      <c r="H726" s="1200" t="s">
        <v>4386</v>
      </c>
      <c r="I726" s="200">
        <v>611.29999999999995</v>
      </c>
      <c r="J726" s="222"/>
      <c r="K726" s="202"/>
      <c r="L726" s="1331" t="s">
        <v>792</v>
      </c>
      <c r="M726" s="1343" t="s">
        <v>571</v>
      </c>
      <c r="N726" s="1528">
        <f>'Ch6'!O472</f>
        <v>1</v>
      </c>
      <c r="O726" s="1528">
        <f>MIN(12,M728*S728*W728+M733*S733*W733+M737*S737*W737+M739*S739*W739+M741*S741*W741+M742*S742*W742+M743*S743*W743+M747*S747*W747+M749*S749*W749)</f>
        <v>0</v>
      </c>
      <c r="P726" s="110"/>
      <c r="Q726" s="110"/>
      <c r="R726" s="110"/>
      <c r="S726" s="110"/>
      <c r="T726" s="110"/>
      <c r="U726" s="110"/>
      <c r="V726" s="110"/>
      <c r="W726" s="110"/>
      <c r="X726" s="110"/>
      <c r="Z726" s="1055"/>
      <c r="AC726" s="280"/>
      <c r="AD726" s="280"/>
      <c r="AE726" s="280"/>
      <c r="AF726" s="280"/>
      <c r="AG726" s="280"/>
      <c r="AH726" s="280"/>
      <c r="AI726" s="280"/>
      <c r="AJ726" s="280"/>
      <c r="AK726" s="280"/>
      <c r="AL726" s="311" t="str">
        <f t="shared" ref="AL726" si="218">SUBSTITUTE(SUBSTITUTE(SUBSTITUTE("vpa"&amp;$B726&amp;$C726&amp;$D726&amp;$E726&amp;$F726,".","_"),"(","_"),")","")</f>
        <v>vpa611_3</v>
      </c>
      <c r="AM726" s="311" t="str">
        <f>M726</f>
        <v>12 Max</v>
      </c>
      <c r="AN726" s="311" t="str">
        <f>SUBSTITUTE(SUBSTITUTE(SUBSTITUTE("vpc"&amp;$B726&amp;$C726&amp;$D726&amp;$E726&amp;$F726,".","_"),"(","_"),")","")</f>
        <v>vpc611_3</v>
      </c>
      <c r="AO726" s="311">
        <f>O726</f>
        <v>0</v>
      </c>
      <c r="AP726" s="280"/>
      <c r="AQ726" s="280"/>
      <c r="AR726" s="280"/>
      <c r="AS726" s="280"/>
      <c r="BJ726" s="1184" t="s">
        <v>4763</v>
      </c>
    </row>
    <row r="727" spans="1:62" x14ac:dyDescent="0.3">
      <c r="A727" s="1200">
        <v>6</v>
      </c>
      <c r="B727" s="1208">
        <v>611.29999999999995</v>
      </c>
      <c r="C727" s="1203"/>
      <c r="D727" s="1203"/>
      <c r="E727" s="1203"/>
      <c r="F727" s="1203"/>
      <c r="G727" s="1202" t="str">
        <f t="shared" ref="G727:G750" si="219">G726</f>
        <v>P</v>
      </c>
      <c r="H727" s="1200" t="s">
        <v>4386</v>
      </c>
      <c r="I727" s="141"/>
      <c r="J727" s="140"/>
      <c r="K727" s="98"/>
      <c r="L727" s="1313"/>
      <c r="M727" s="1318"/>
      <c r="N727" s="1473"/>
      <c r="O727" s="1473"/>
      <c r="P727" s="97"/>
      <c r="Q727" s="97"/>
      <c r="R727" s="97"/>
      <c r="S727" s="97"/>
      <c r="T727" s="97"/>
      <c r="U727" s="97"/>
      <c r="V727" s="97"/>
      <c r="W727" s="97"/>
      <c r="X727" s="97"/>
      <c r="Z727" s="1055"/>
      <c r="AC727" s="280"/>
      <c r="AD727" s="280"/>
      <c r="AE727" s="280"/>
      <c r="AF727" s="280"/>
      <c r="AG727" s="280"/>
      <c r="AH727" s="280"/>
      <c r="AI727" s="280"/>
      <c r="AJ727" s="280"/>
      <c r="AK727" s="280"/>
      <c r="AL727" s="280"/>
      <c r="AM727" s="280"/>
      <c r="AN727" s="280"/>
      <c r="AO727" s="280"/>
      <c r="AP727" s="280"/>
      <c r="AQ727" s="280"/>
      <c r="AR727" s="280"/>
      <c r="AS727" s="280"/>
      <c r="BJ727" s="1184" t="s">
        <v>4763</v>
      </c>
    </row>
    <row r="728" spans="1:62" x14ac:dyDescent="0.3">
      <c r="A728" s="1200">
        <v>6</v>
      </c>
      <c r="B728" s="1208">
        <v>611.29999999999995</v>
      </c>
      <c r="C728" s="1203"/>
      <c r="D728" s="1203"/>
      <c r="E728" s="1203" t="s">
        <v>271</v>
      </c>
      <c r="F728" s="1203"/>
      <c r="G728" s="1202" t="str">
        <f t="shared" si="219"/>
        <v>P</v>
      </c>
      <c r="H728" s="1200" t="s">
        <v>4386</v>
      </c>
      <c r="I728" s="66"/>
      <c r="J728" s="203" t="s">
        <v>271</v>
      </c>
      <c r="K728" s="98"/>
      <c r="L728" s="1305" t="s">
        <v>793</v>
      </c>
      <c r="M728" s="1318">
        <v>3</v>
      </c>
      <c r="N728" s="282"/>
      <c r="O728" s="282"/>
      <c r="P728" s="280" t="b">
        <v>1</v>
      </c>
      <c r="Q728" s="280" t="b">
        <v>1</v>
      </c>
      <c r="R728" s="280" t="b">
        <v>0</v>
      </c>
      <c r="S728" s="280" t="b">
        <v>1</v>
      </c>
      <c r="T728" s="280" t="b">
        <v>0</v>
      </c>
      <c r="U728" s="280"/>
      <c r="V728" s="280"/>
      <c r="W728" s="25"/>
      <c r="X728" s="1303"/>
      <c r="Y728" s="1522" t="str">
        <f>IF(LEN('Ch6'!X474)=0,"None",'Ch6'!X474)</f>
        <v>None</v>
      </c>
      <c r="Z728" s="1586"/>
      <c r="AA728" s="1110">
        <f>'Photo Review'!H728</f>
        <v>0</v>
      </c>
      <c r="AC728" s="280"/>
      <c r="AD728" s="280"/>
      <c r="AE728" s="280"/>
      <c r="AF728" s="280"/>
      <c r="AG728" s="280"/>
      <c r="AH728" s="280"/>
      <c r="AI728" s="280"/>
      <c r="AJ728" s="280"/>
      <c r="AK728" s="280"/>
      <c r="AL728" s="311" t="str">
        <f t="shared" ref="AL728" si="220">SUBSTITUTE(SUBSTITUTE(SUBSTITUTE("vpa"&amp;$B728&amp;$C728&amp;$D728&amp;$E728&amp;$F728,".","_"),"(","_"),")","")</f>
        <v>vpa611_3_1</v>
      </c>
      <c r="AM728" s="311">
        <f>M728</f>
        <v>3</v>
      </c>
      <c r="AN728" s="280"/>
      <c r="AO728" s="280"/>
      <c r="AP728" s="311" t="str">
        <f>SUBSTITUTE(SUBSTITUTE(SUBSTITUTE("vch"&amp;$B728&amp;$C728&amp;$D728&amp;$E728&amp;$F728,".","_"),"(","_"),")","")</f>
        <v>vch611_3_1</v>
      </c>
      <c r="AQ728" s="311">
        <f>W728</f>
        <v>0</v>
      </c>
      <c r="AR728" s="311" t="str">
        <f>SUBSTITUTE(SUBSTITUTE(SUBSTITUTE("vnt"&amp;$B728&amp;$C728&amp;$D728&amp;$E728&amp;$F728,".","_"),"(","_"),")","")</f>
        <v>vnt611_3_1</v>
      </c>
      <c r="AS728" s="311">
        <f>X728</f>
        <v>0</v>
      </c>
      <c r="BJ728" s="1184" t="s">
        <v>4763</v>
      </c>
    </row>
    <row r="729" spans="1:62" x14ac:dyDescent="0.3">
      <c r="A729" s="1200">
        <v>6</v>
      </c>
      <c r="B729" s="1208">
        <v>611.29999999999995</v>
      </c>
      <c r="C729" s="1203"/>
      <c r="D729" s="1203"/>
      <c r="E729" s="1203" t="s">
        <v>271</v>
      </c>
      <c r="F729" s="1203"/>
      <c r="G729" s="1202" t="str">
        <f t="shared" si="219"/>
        <v>P</v>
      </c>
      <c r="H729" s="1200" t="s">
        <v>4386</v>
      </c>
      <c r="I729" s="66"/>
      <c r="J729" s="140"/>
      <c r="K729" s="98"/>
      <c r="L729" s="1305"/>
      <c r="M729" s="1318"/>
      <c r="N729" s="282"/>
      <c r="O729" s="282"/>
      <c r="P729" s="280"/>
      <c r="Q729" s="280"/>
      <c r="R729" s="280"/>
      <c r="S729" s="280"/>
      <c r="T729" s="280"/>
      <c r="U729" s="280"/>
      <c r="V729" s="280"/>
      <c r="W729" s="280"/>
      <c r="X729" s="1303"/>
      <c r="Y729" s="1522"/>
      <c r="Z729" s="1586"/>
      <c r="AC729" s="280"/>
      <c r="AD729" s="280"/>
      <c r="AE729" s="280"/>
      <c r="AF729" s="280"/>
      <c r="AG729" s="280"/>
      <c r="AH729" s="280"/>
      <c r="AI729" s="280"/>
      <c r="AJ729" s="280"/>
      <c r="AK729" s="280"/>
      <c r="AL729" s="280"/>
      <c r="AM729" s="280"/>
      <c r="AN729" s="280"/>
      <c r="AO729" s="280"/>
      <c r="AP729" s="280"/>
      <c r="AQ729" s="280"/>
      <c r="AR729" s="280"/>
      <c r="AS729" s="280"/>
      <c r="BJ729" s="1184" t="s">
        <v>4763</v>
      </c>
    </row>
    <row r="730" spans="1:62" x14ac:dyDescent="0.3">
      <c r="A730" s="1200">
        <v>6</v>
      </c>
      <c r="B730" s="1208">
        <v>611.29999999999995</v>
      </c>
      <c r="C730" s="1203"/>
      <c r="D730" s="1203"/>
      <c r="E730" s="1203" t="s">
        <v>271</v>
      </c>
      <c r="F730" s="1203"/>
      <c r="G730" s="1202" t="str">
        <f t="shared" si="219"/>
        <v>P</v>
      </c>
      <c r="H730" s="1200" t="s">
        <v>4386</v>
      </c>
      <c r="I730" s="66"/>
      <c r="J730" s="140"/>
      <c r="K730" s="98"/>
      <c r="L730" s="1305"/>
      <c r="M730" s="1318"/>
      <c r="N730" s="282"/>
      <c r="O730" s="282"/>
      <c r="P730" s="280"/>
      <c r="Q730" s="280"/>
      <c r="R730" s="280"/>
      <c r="S730" s="280"/>
      <c r="T730" s="280"/>
      <c r="U730" s="280"/>
      <c r="V730" s="280"/>
      <c r="W730" s="280"/>
      <c r="X730" s="1303"/>
      <c r="Y730" s="1522"/>
      <c r="Z730" s="1586"/>
      <c r="AC730" s="280"/>
      <c r="AD730" s="280"/>
      <c r="AE730" s="280"/>
      <c r="AF730" s="280"/>
      <c r="AG730" s="280"/>
      <c r="AH730" s="280"/>
      <c r="AI730" s="280"/>
      <c r="AJ730" s="280"/>
      <c r="AK730" s="280"/>
      <c r="AL730" s="280"/>
      <c r="AM730" s="280"/>
      <c r="AN730" s="280"/>
      <c r="AO730" s="280"/>
      <c r="AP730" s="280"/>
      <c r="AQ730" s="280"/>
      <c r="AR730" s="280"/>
      <c r="AS730" s="280"/>
      <c r="BJ730" s="1184" t="s">
        <v>4763</v>
      </c>
    </row>
    <row r="731" spans="1:62" x14ac:dyDescent="0.3">
      <c r="A731" s="1200">
        <v>6</v>
      </c>
      <c r="B731" s="1208">
        <v>611.29999999999995</v>
      </c>
      <c r="C731" s="1203"/>
      <c r="D731" s="1203"/>
      <c r="E731" s="1203" t="s">
        <v>271</v>
      </c>
      <c r="F731" s="1203"/>
      <c r="G731" s="1202" t="str">
        <f t="shared" si="219"/>
        <v>P</v>
      </c>
      <c r="H731" s="1200" t="s">
        <v>4386</v>
      </c>
      <c r="I731" s="66"/>
      <c r="J731" s="140"/>
      <c r="K731" s="98"/>
      <c r="L731" s="1305"/>
      <c r="M731" s="1318"/>
      <c r="N731" s="282"/>
      <c r="O731" s="282"/>
      <c r="P731" s="280"/>
      <c r="Q731" s="280"/>
      <c r="R731" s="280"/>
      <c r="S731" s="280"/>
      <c r="T731" s="280"/>
      <c r="U731" s="280"/>
      <c r="V731" s="280"/>
      <c r="W731" s="280"/>
      <c r="X731" s="1303"/>
      <c r="Y731" s="1522"/>
      <c r="Z731" s="1586"/>
      <c r="AC731" s="280"/>
      <c r="AD731" s="280"/>
      <c r="AE731" s="280"/>
      <c r="AF731" s="280"/>
      <c r="AG731" s="280"/>
      <c r="AH731" s="280"/>
      <c r="AI731" s="280"/>
      <c r="AJ731" s="280"/>
      <c r="AK731" s="280"/>
      <c r="AL731" s="280"/>
      <c r="AM731" s="280"/>
      <c r="AN731" s="280"/>
      <c r="AO731" s="280"/>
      <c r="AP731" s="280"/>
      <c r="AQ731" s="280"/>
      <c r="AR731" s="280"/>
      <c r="AS731" s="280"/>
      <c r="BJ731" s="1184" t="s">
        <v>4763</v>
      </c>
    </row>
    <row r="732" spans="1:62" x14ac:dyDescent="0.3">
      <c r="A732" s="1200">
        <v>6</v>
      </c>
      <c r="B732" s="1208">
        <v>611.29999999999995</v>
      </c>
      <c r="C732" s="1203"/>
      <c r="D732" s="1203"/>
      <c r="E732" s="1203" t="s">
        <v>271</v>
      </c>
      <c r="F732" s="1203"/>
      <c r="G732" s="1202" t="str">
        <f t="shared" si="219"/>
        <v>P</v>
      </c>
      <c r="H732" s="1200" t="s">
        <v>4386</v>
      </c>
      <c r="I732" s="66"/>
      <c r="J732" s="238"/>
      <c r="K732" s="193"/>
      <c r="L732" s="1306"/>
      <c r="M732" s="1319"/>
      <c r="N732" s="282"/>
      <c r="O732" s="282"/>
      <c r="P732" s="280"/>
      <c r="Q732" s="280"/>
      <c r="R732" s="280"/>
      <c r="S732" s="280"/>
      <c r="T732" s="280"/>
      <c r="U732" s="280"/>
      <c r="V732" s="280"/>
      <c r="W732" s="280"/>
      <c r="X732" s="1303"/>
      <c r="Y732" s="1522"/>
      <c r="Z732" s="1586"/>
      <c r="AC732" s="280"/>
      <c r="AD732" s="280"/>
      <c r="AE732" s="280"/>
      <c r="AF732" s="280"/>
      <c r="AG732" s="280"/>
      <c r="AH732" s="280"/>
      <c r="AI732" s="280"/>
      <c r="AJ732" s="280"/>
      <c r="AK732" s="280"/>
      <c r="AL732" s="280"/>
      <c r="AM732" s="280"/>
      <c r="AN732" s="280"/>
      <c r="AO732" s="280"/>
      <c r="AP732" s="280"/>
      <c r="AQ732" s="280"/>
      <c r="AR732" s="280"/>
      <c r="AS732" s="280"/>
      <c r="BJ732" s="1184" t="s">
        <v>4763</v>
      </c>
    </row>
    <row r="733" spans="1:62" x14ac:dyDescent="0.3">
      <c r="A733" s="1200">
        <v>6</v>
      </c>
      <c r="B733" s="1208">
        <v>611.29999999999995</v>
      </c>
      <c r="C733" s="1203"/>
      <c r="D733" s="1203"/>
      <c r="E733" s="1203" t="s">
        <v>273</v>
      </c>
      <c r="F733" s="1203"/>
      <c r="G733" s="1202" t="str">
        <f t="shared" si="219"/>
        <v>P</v>
      </c>
      <c r="H733" s="1200" t="s">
        <v>4386</v>
      </c>
      <c r="I733" s="66"/>
      <c r="J733" s="237" t="s">
        <v>273</v>
      </c>
      <c r="K733" s="217"/>
      <c r="L733" s="1356" t="s">
        <v>794</v>
      </c>
      <c r="M733" s="1323">
        <v>3</v>
      </c>
      <c r="N733" s="282"/>
      <c r="O733" s="282"/>
      <c r="P733" s="440" t="b">
        <v>1</v>
      </c>
      <c r="Q733" s="280" t="b">
        <v>1</v>
      </c>
      <c r="R733" s="280" t="b">
        <v>0</v>
      </c>
      <c r="S733" s="280" t="b">
        <f>IF(W728=TRUE,TRUE,FALSE)</f>
        <v>0</v>
      </c>
      <c r="T733" s="97" t="b">
        <f>IF(AND(NOT(S733),W733=TRUE),TRUE,FALSE)</f>
        <v>0</v>
      </c>
      <c r="U733" s="280"/>
      <c r="V733" s="280"/>
      <c r="W733" s="25"/>
      <c r="X733" s="1303"/>
      <c r="Y733" s="1522" t="str">
        <f>IF(LEN('Ch6'!X479)=0,"None",'Ch6'!X479)</f>
        <v>None</v>
      </c>
      <c r="Z733" s="1586"/>
      <c r="AC733" s="280" t="b">
        <f>OR(AD733:AE733)</f>
        <v>0</v>
      </c>
      <c r="AD733" s="280" t="b">
        <f>T733</f>
        <v>0</v>
      </c>
      <c r="AE733" s="280"/>
      <c r="AF733" s="280"/>
      <c r="AG733" s="280"/>
      <c r="AH733" s="280"/>
      <c r="AI733" s="280"/>
      <c r="AJ733" s="280"/>
      <c r="AK733" s="280"/>
      <c r="AL733" s="311" t="str">
        <f t="shared" ref="AL733" si="221">SUBSTITUTE(SUBSTITUTE(SUBSTITUTE("vpa"&amp;$B733&amp;$C733&amp;$D733&amp;$E733&amp;$F733,".","_"),"(","_"),")","")</f>
        <v>vpa611_3_2</v>
      </c>
      <c r="AM733" s="311">
        <f>M733</f>
        <v>3</v>
      </c>
      <c r="AN733" s="280"/>
      <c r="AO733" s="280"/>
      <c r="AP733" s="311" t="str">
        <f>SUBSTITUTE(SUBSTITUTE(SUBSTITUTE("vch"&amp;$B733&amp;$C733&amp;$D733&amp;$E733&amp;$F733,".","_"),"(","_"),")","")</f>
        <v>vch611_3_2</v>
      </c>
      <c r="AQ733" s="311">
        <f>W733</f>
        <v>0</v>
      </c>
      <c r="AR733" s="311" t="str">
        <f>SUBSTITUTE(SUBSTITUTE(SUBSTITUTE("vnt"&amp;$B733&amp;$C733&amp;$D733&amp;$E733&amp;$F733,".","_"),"(","_"),")","")</f>
        <v>vnt611_3_2</v>
      </c>
      <c r="AS733" s="311">
        <f>X733</f>
        <v>0</v>
      </c>
      <c r="BJ733" s="1184" t="s">
        <v>4763</v>
      </c>
    </row>
    <row r="734" spans="1:62" x14ac:dyDescent="0.3">
      <c r="A734" s="1200">
        <v>6</v>
      </c>
      <c r="B734" s="1208">
        <v>611.29999999999995</v>
      </c>
      <c r="C734" s="1203"/>
      <c r="D734" s="1203"/>
      <c r="E734" s="1203" t="s">
        <v>273</v>
      </c>
      <c r="F734" s="1203"/>
      <c r="G734" s="1202" t="str">
        <f t="shared" si="219"/>
        <v>P</v>
      </c>
      <c r="H734" s="1200" t="s">
        <v>4386</v>
      </c>
      <c r="I734" s="66"/>
      <c r="J734" s="140"/>
      <c r="K734" s="98"/>
      <c r="L734" s="1305"/>
      <c r="M734" s="1318"/>
      <c r="N734" s="282"/>
      <c r="O734" s="282"/>
      <c r="P734" s="280"/>
      <c r="Q734" s="280"/>
      <c r="R734" s="280"/>
      <c r="S734" s="280"/>
      <c r="T734" s="280"/>
      <c r="U734" s="280"/>
      <c r="V734" s="280"/>
      <c r="W734" s="280"/>
      <c r="X734" s="1303"/>
      <c r="Y734" s="1522"/>
      <c r="Z734" s="1586"/>
      <c r="AC734" s="280"/>
      <c r="AD734" s="280"/>
      <c r="AE734" s="280"/>
      <c r="AF734" s="280"/>
      <c r="AG734" s="280"/>
      <c r="AH734" s="280"/>
      <c r="AI734" s="280"/>
      <c r="AJ734" s="280"/>
      <c r="AK734" s="280"/>
      <c r="AL734" s="280"/>
      <c r="AM734" s="280"/>
      <c r="AN734" s="280"/>
      <c r="AO734" s="280"/>
      <c r="AP734" s="280"/>
      <c r="AQ734" s="280"/>
      <c r="AR734" s="280"/>
      <c r="AS734" s="280"/>
      <c r="BJ734" s="1184" t="s">
        <v>4763</v>
      </c>
    </row>
    <row r="735" spans="1:62" x14ac:dyDescent="0.3">
      <c r="A735" s="1200">
        <v>6</v>
      </c>
      <c r="B735" s="1208">
        <v>611.29999999999995</v>
      </c>
      <c r="C735" s="1203"/>
      <c r="D735" s="1203"/>
      <c r="E735" s="1203" t="s">
        <v>273</v>
      </c>
      <c r="F735" s="1203"/>
      <c r="G735" s="1202" t="str">
        <f t="shared" si="219"/>
        <v>P</v>
      </c>
      <c r="H735" s="1200" t="s">
        <v>4386</v>
      </c>
      <c r="I735" s="66"/>
      <c r="J735" s="140"/>
      <c r="K735" s="98"/>
      <c r="L735" s="1305"/>
      <c r="M735" s="1318"/>
      <c r="N735" s="282"/>
      <c r="O735" s="282"/>
      <c r="P735" s="280"/>
      <c r="Q735" s="280"/>
      <c r="R735" s="280"/>
      <c r="S735" s="280"/>
      <c r="T735" s="280"/>
      <c r="U735" s="280"/>
      <c r="V735" s="280"/>
      <c r="W735" s="280"/>
      <c r="X735" s="1303"/>
      <c r="Y735" s="1522"/>
      <c r="Z735" s="1586"/>
      <c r="AC735" s="280"/>
      <c r="AD735" s="280"/>
      <c r="AE735" s="280"/>
      <c r="AF735" s="280"/>
      <c r="AG735" s="280"/>
      <c r="AH735" s="280"/>
      <c r="AI735" s="280"/>
      <c r="AJ735" s="280"/>
      <c r="AK735" s="280"/>
      <c r="AL735" s="280"/>
      <c r="AM735" s="280"/>
      <c r="AN735" s="280"/>
      <c r="AO735" s="280"/>
      <c r="AP735" s="280"/>
      <c r="AQ735" s="280"/>
      <c r="AR735" s="280"/>
      <c r="AS735" s="280"/>
      <c r="BJ735" s="1184" t="s">
        <v>4763</v>
      </c>
    </row>
    <row r="736" spans="1:62" x14ac:dyDescent="0.3">
      <c r="A736" s="1200">
        <v>6</v>
      </c>
      <c r="B736" s="1208">
        <v>611.29999999999995</v>
      </c>
      <c r="C736" s="1203"/>
      <c r="D736" s="1203"/>
      <c r="E736" s="1203" t="s">
        <v>273</v>
      </c>
      <c r="F736" s="1203"/>
      <c r="G736" s="1202" t="str">
        <f t="shared" si="219"/>
        <v>P</v>
      </c>
      <c r="H736" s="1200" t="s">
        <v>4386</v>
      </c>
      <c r="I736" s="66"/>
      <c r="J736" s="238"/>
      <c r="K736" s="193"/>
      <c r="L736" s="1306"/>
      <c r="M736" s="1319"/>
      <c r="N736" s="282"/>
      <c r="O736" s="282"/>
      <c r="P736" s="280"/>
      <c r="Q736" s="280"/>
      <c r="R736" s="280"/>
      <c r="S736" s="280"/>
      <c r="T736" s="280"/>
      <c r="U736" s="280"/>
      <c r="V736" s="280"/>
      <c r="W736" s="280"/>
      <c r="X736" s="1303"/>
      <c r="Y736" s="1522"/>
      <c r="Z736" s="1586"/>
      <c r="AC736" s="280"/>
      <c r="AD736" s="280"/>
      <c r="AE736" s="280"/>
      <c r="AF736" s="280"/>
      <c r="AG736" s="280"/>
      <c r="AH736" s="280"/>
      <c r="AI736" s="280"/>
      <c r="AJ736" s="280"/>
      <c r="AK736" s="280"/>
      <c r="AL736" s="280"/>
      <c r="AM736" s="280"/>
      <c r="AN736" s="280"/>
      <c r="AO736" s="280"/>
      <c r="AP736" s="280"/>
      <c r="AQ736" s="280"/>
      <c r="AR736" s="280"/>
      <c r="AS736" s="280"/>
      <c r="BJ736" s="1184" t="s">
        <v>4763</v>
      </c>
    </row>
    <row r="737" spans="1:62" x14ac:dyDescent="0.3">
      <c r="A737" s="1200">
        <v>6</v>
      </c>
      <c r="B737" s="1208">
        <v>611.29999999999995</v>
      </c>
      <c r="C737" s="1203"/>
      <c r="D737" s="1203"/>
      <c r="E737" s="1203" t="s">
        <v>275</v>
      </c>
      <c r="F737" s="1203"/>
      <c r="G737" s="1202" t="str">
        <f t="shared" si="219"/>
        <v>P</v>
      </c>
      <c r="H737" s="1200" t="s">
        <v>4386</v>
      </c>
      <c r="I737" s="66"/>
      <c r="J737" s="237" t="s">
        <v>275</v>
      </c>
      <c r="K737" s="217"/>
      <c r="L737" s="1356" t="s">
        <v>795</v>
      </c>
      <c r="M737" s="1323">
        <v>3</v>
      </c>
      <c r="N737" s="282"/>
      <c r="O737" s="282"/>
      <c r="P737" s="440" t="b">
        <v>1</v>
      </c>
      <c r="Q737" s="280" t="b">
        <v>1</v>
      </c>
      <c r="R737" s="280" t="b">
        <v>0</v>
      </c>
      <c r="S737" s="280" t="b">
        <f>IF(W728=TRUE,TRUE,FALSE)</f>
        <v>0</v>
      </c>
      <c r="T737" s="97" t="b">
        <f>IF(AND(NOT(S737),W737=TRUE),TRUE,FALSE)</f>
        <v>0</v>
      </c>
      <c r="U737" s="280"/>
      <c r="V737" s="280"/>
      <c r="W737" s="25"/>
      <c r="X737" s="1303"/>
      <c r="Y737" s="1522" t="str">
        <f>IF(LEN('Ch6'!X483)=0,"None",'Ch6'!X483)</f>
        <v>None</v>
      </c>
      <c r="Z737" s="1586"/>
      <c r="AC737" s="280" t="b">
        <f>OR(AD737:AE737)</f>
        <v>0</v>
      </c>
      <c r="AD737" s="280" t="b">
        <f>T737</f>
        <v>0</v>
      </c>
      <c r="AE737" s="280"/>
      <c r="AF737" s="280"/>
      <c r="AG737" s="280"/>
      <c r="AH737" s="280"/>
      <c r="AI737" s="280"/>
      <c r="AJ737" s="280"/>
      <c r="AK737" s="280"/>
      <c r="AL737" s="311" t="str">
        <f t="shared" ref="AL737" si="222">SUBSTITUTE(SUBSTITUTE(SUBSTITUTE("vpa"&amp;$B737&amp;$C737&amp;$D737&amp;$E737&amp;$F737,".","_"),"(","_"),")","")</f>
        <v>vpa611_3_3</v>
      </c>
      <c r="AM737" s="311">
        <f>M737</f>
        <v>3</v>
      </c>
      <c r="AN737" s="280"/>
      <c r="AO737" s="280"/>
      <c r="AP737" s="311" t="str">
        <f>SUBSTITUTE(SUBSTITUTE(SUBSTITUTE("vch"&amp;$B737&amp;$C737&amp;$D737&amp;$E737&amp;$F737,".","_"),"(","_"),")","")</f>
        <v>vch611_3_3</v>
      </c>
      <c r="AQ737" s="311">
        <f>W737</f>
        <v>0</v>
      </c>
      <c r="AR737" s="311" t="str">
        <f>SUBSTITUTE(SUBSTITUTE(SUBSTITUTE("vnt"&amp;$B737&amp;$C737&amp;$D737&amp;$E737&amp;$F737,".","_"),"(","_"),")","")</f>
        <v>vnt611_3_3</v>
      </c>
      <c r="AS737" s="311">
        <f>X737</f>
        <v>0</v>
      </c>
      <c r="BJ737" s="1184" t="s">
        <v>4763</v>
      </c>
    </row>
    <row r="738" spans="1:62" x14ac:dyDescent="0.3">
      <c r="A738" s="1200">
        <v>6</v>
      </c>
      <c r="B738" s="1208">
        <v>611.29999999999995</v>
      </c>
      <c r="C738" s="1203"/>
      <c r="D738" s="1203"/>
      <c r="E738" s="1203" t="s">
        <v>275</v>
      </c>
      <c r="F738" s="1203"/>
      <c r="G738" s="1202" t="str">
        <f t="shared" si="219"/>
        <v>P</v>
      </c>
      <c r="H738" s="1200" t="s">
        <v>4386</v>
      </c>
      <c r="I738" s="66"/>
      <c r="J738" s="238"/>
      <c r="K738" s="193"/>
      <c r="L738" s="1306"/>
      <c r="M738" s="1319"/>
      <c r="N738" s="282"/>
      <c r="O738" s="282"/>
      <c r="P738" s="280"/>
      <c r="Q738" s="280"/>
      <c r="R738" s="280"/>
      <c r="S738" s="280"/>
      <c r="T738" s="280"/>
      <c r="U738" s="280"/>
      <c r="V738" s="280"/>
      <c r="W738" s="280"/>
      <c r="X738" s="1303"/>
      <c r="Y738" s="1522"/>
      <c r="Z738" s="1586"/>
      <c r="AC738" s="280"/>
      <c r="AD738" s="280"/>
      <c r="AE738" s="280"/>
      <c r="AF738" s="280"/>
      <c r="AG738" s="280"/>
      <c r="AH738" s="280"/>
      <c r="AI738" s="280"/>
      <c r="AJ738" s="280"/>
      <c r="AK738" s="280"/>
      <c r="AL738" s="280"/>
      <c r="AM738" s="280"/>
      <c r="AN738" s="280"/>
      <c r="AO738" s="280"/>
      <c r="AP738" s="280"/>
      <c r="AQ738" s="280"/>
      <c r="AR738" s="280"/>
      <c r="AS738" s="280"/>
      <c r="BJ738" s="1184" t="s">
        <v>4763</v>
      </c>
    </row>
    <row r="739" spans="1:62" x14ac:dyDescent="0.3">
      <c r="A739" s="1200">
        <v>6</v>
      </c>
      <c r="B739" s="1208">
        <v>611.29999999999995</v>
      </c>
      <c r="C739" s="1203"/>
      <c r="D739" s="1203"/>
      <c r="E739" s="1203" t="s">
        <v>285</v>
      </c>
      <c r="F739" s="1203"/>
      <c r="G739" s="1202" t="str">
        <f t="shared" si="219"/>
        <v>P</v>
      </c>
      <c r="H739" s="1200" t="s">
        <v>4387</v>
      </c>
      <c r="I739" s="66"/>
      <c r="J739" s="237" t="s">
        <v>285</v>
      </c>
      <c r="K739" s="217"/>
      <c r="L739" s="1356" t="s">
        <v>796</v>
      </c>
      <c r="M739" s="1323">
        <v>1</v>
      </c>
      <c r="N739" s="282"/>
      <c r="O739" s="282"/>
      <c r="P739" s="280" t="b">
        <v>1</v>
      </c>
      <c r="Q739" s="280" t="b">
        <v>0</v>
      </c>
      <c r="R739" s="280" t="b">
        <v>0</v>
      </c>
      <c r="S739" s="280" t="b">
        <v>1</v>
      </c>
      <c r="T739" s="280" t="b">
        <v>0</v>
      </c>
      <c r="U739" s="280"/>
      <c r="V739" s="280"/>
      <c r="W739" s="25"/>
      <c r="X739" s="1303"/>
      <c r="Y739" s="1522" t="str">
        <f>IF(LEN('Ch6'!X485)=0,"None",'Ch6'!X485)</f>
        <v>None</v>
      </c>
      <c r="Z739" s="1586"/>
      <c r="AC739" s="280"/>
      <c r="AD739" s="280"/>
      <c r="AE739" s="280"/>
      <c r="AF739" s="280"/>
      <c r="AG739" s="280"/>
      <c r="AH739" s="280"/>
      <c r="AI739" s="280"/>
      <c r="AJ739" s="280"/>
      <c r="AK739" s="280"/>
      <c r="AL739" s="311" t="str">
        <f t="shared" ref="AL739" si="223">SUBSTITUTE(SUBSTITUTE(SUBSTITUTE("vpa"&amp;$B739&amp;$C739&amp;$D739&amp;$E739&amp;$F739,".","_"),"(","_"),")","")</f>
        <v>vpa611_3_4</v>
      </c>
      <c r="AM739" s="311">
        <f>M739</f>
        <v>1</v>
      </c>
      <c r="AN739" s="280"/>
      <c r="AO739" s="280"/>
      <c r="AP739" s="311" t="str">
        <f>SUBSTITUTE(SUBSTITUTE(SUBSTITUTE("vch"&amp;$B739&amp;$C739&amp;$D739&amp;$E739&amp;$F739,".","_"),"(","_"),")","")</f>
        <v>vch611_3_4</v>
      </c>
      <c r="AQ739" s="311">
        <f>W739</f>
        <v>0</v>
      </c>
      <c r="AR739" s="311" t="str">
        <f>SUBSTITUTE(SUBSTITUTE(SUBSTITUTE("vnt"&amp;$B739&amp;$C739&amp;$D739&amp;$E739&amp;$F739,".","_"),"(","_"),")","")</f>
        <v>vnt611_3_4</v>
      </c>
      <c r="AS739" s="311">
        <f>X739</f>
        <v>0</v>
      </c>
      <c r="BJ739" s="1184" t="s">
        <v>4763</v>
      </c>
    </row>
    <row r="740" spans="1:62" x14ac:dyDescent="0.3">
      <c r="A740" s="1200">
        <v>6</v>
      </c>
      <c r="B740" s="1208">
        <v>611.29999999999995</v>
      </c>
      <c r="C740" s="1203"/>
      <c r="D740" s="1203"/>
      <c r="E740" s="1203" t="s">
        <v>285</v>
      </c>
      <c r="F740" s="1203"/>
      <c r="G740" s="1202" t="str">
        <f t="shared" si="219"/>
        <v>P</v>
      </c>
      <c r="H740" s="1200" t="s">
        <v>4387</v>
      </c>
      <c r="I740" s="66"/>
      <c r="J740" s="238"/>
      <c r="K740" s="193"/>
      <c r="L740" s="1306"/>
      <c r="M740" s="1319"/>
      <c r="N740" s="282"/>
      <c r="O740" s="282"/>
      <c r="P740" s="280"/>
      <c r="Q740" s="280"/>
      <c r="R740" s="280"/>
      <c r="S740" s="280"/>
      <c r="T740" s="280"/>
      <c r="U740" s="280"/>
      <c r="V740" s="280"/>
      <c r="W740" s="280"/>
      <c r="X740" s="1303"/>
      <c r="Y740" s="1522"/>
      <c r="Z740" s="1586"/>
      <c r="AC740" s="280"/>
      <c r="AD740" s="280"/>
      <c r="AE740" s="280"/>
      <c r="AF740" s="280"/>
      <c r="AG740" s="280"/>
      <c r="AH740" s="280"/>
      <c r="AI740" s="280"/>
      <c r="AJ740" s="280"/>
      <c r="AK740" s="280"/>
      <c r="AL740" s="280"/>
      <c r="AM740" s="280"/>
      <c r="AN740" s="280"/>
      <c r="AO740" s="280"/>
      <c r="AP740" s="280"/>
      <c r="AQ740" s="280"/>
      <c r="AR740" s="280"/>
      <c r="AS740" s="280"/>
      <c r="BJ740" s="1184" t="s">
        <v>4763</v>
      </c>
    </row>
    <row r="741" spans="1:62" x14ac:dyDescent="0.3">
      <c r="A741" s="1200">
        <v>6</v>
      </c>
      <c r="B741" s="1208">
        <v>611.29999999999995</v>
      </c>
      <c r="C741" s="1203"/>
      <c r="D741" s="1203"/>
      <c r="E741" s="1203" t="s">
        <v>291</v>
      </c>
      <c r="F741" s="1203"/>
      <c r="G741" s="1202" t="str">
        <f t="shared" si="219"/>
        <v>P</v>
      </c>
      <c r="H741" s="1200" t="s">
        <v>4386</v>
      </c>
      <c r="I741" s="66"/>
      <c r="J741" s="233" t="s">
        <v>291</v>
      </c>
      <c r="K741" s="234"/>
      <c r="L741" s="234" t="s">
        <v>797</v>
      </c>
      <c r="M741" s="236">
        <v>1</v>
      </c>
      <c r="N741" s="282"/>
      <c r="O741" s="282"/>
      <c r="P741" s="440" t="b">
        <v>1</v>
      </c>
      <c r="Q741" s="280" t="b">
        <v>1</v>
      </c>
      <c r="R741" s="280" t="b">
        <v>0</v>
      </c>
      <c r="S741" s="280" t="b">
        <v>1</v>
      </c>
      <c r="T741" s="280" t="b">
        <v>0</v>
      </c>
      <c r="U741" s="280"/>
      <c r="V741" s="280"/>
      <c r="W741" s="25"/>
      <c r="X741" s="281"/>
      <c r="Y741" s="312" t="str">
        <f>IF(LEN('Ch6'!X487)=0,"None",'Ch6'!X487)</f>
        <v>None</v>
      </c>
      <c r="Z741" s="1169"/>
      <c r="AC741" s="280"/>
      <c r="AD741" s="280"/>
      <c r="AE741" s="280"/>
      <c r="AF741" s="280"/>
      <c r="AG741" s="280"/>
      <c r="AH741" s="280"/>
      <c r="AI741" s="280"/>
      <c r="AJ741" s="280"/>
      <c r="AK741" s="280"/>
      <c r="AL741" s="311" t="str">
        <f t="shared" ref="AL741:AL743" si="224">SUBSTITUTE(SUBSTITUTE(SUBSTITUTE("vpa"&amp;$B741&amp;$C741&amp;$D741&amp;$E741&amp;$F741,".","_"),"(","_"),")","")</f>
        <v>vpa611_3_5</v>
      </c>
      <c r="AM741" s="311">
        <f>M741</f>
        <v>1</v>
      </c>
      <c r="AN741" s="280"/>
      <c r="AO741" s="280"/>
      <c r="AP741" s="311" t="str">
        <f t="shared" ref="AP741:AP743" si="225">SUBSTITUTE(SUBSTITUTE(SUBSTITUTE("vch"&amp;$B741&amp;$C741&amp;$D741&amp;$E741&amp;$F741,".","_"),"(","_"),")","")</f>
        <v>vch611_3_5</v>
      </c>
      <c r="AQ741" s="311">
        <f>W741</f>
        <v>0</v>
      </c>
      <c r="AR741" s="311" t="str">
        <f t="shared" ref="AR741:AR743" si="226">SUBSTITUTE(SUBSTITUTE(SUBSTITUTE("vnt"&amp;$B741&amp;$C741&amp;$D741&amp;$E741&amp;$F741,".","_"),"(","_"),")","")</f>
        <v>vnt611_3_5</v>
      </c>
      <c r="AS741" s="311">
        <f>X741</f>
        <v>0</v>
      </c>
      <c r="BJ741" s="1184" t="s">
        <v>4763</v>
      </c>
    </row>
    <row r="742" spans="1:62" x14ac:dyDescent="0.3">
      <c r="A742" s="1200">
        <v>6</v>
      </c>
      <c r="B742" s="1208">
        <v>611.29999999999995</v>
      </c>
      <c r="C742" s="1203"/>
      <c r="D742" s="1203"/>
      <c r="E742" s="1203" t="s">
        <v>293</v>
      </c>
      <c r="F742" s="1203"/>
      <c r="G742" s="1202" t="str">
        <f t="shared" si="219"/>
        <v>P</v>
      </c>
      <c r="H742" s="1200" t="s">
        <v>4386</v>
      </c>
      <c r="I742" s="66"/>
      <c r="J742" s="233" t="s">
        <v>293</v>
      </c>
      <c r="K742" s="234"/>
      <c r="L742" s="234" t="s">
        <v>798</v>
      </c>
      <c r="M742" s="236">
        <v>1</v>
      </c>
      <c r="N742" s="282"/>
      <c r="O742" s="282"/>
      <c r="P742" s="440" t="b">
        <v>1</v>
      </c>
      <c r="Q742" s="280" t="b">
        <v>1</v>
      </c>
      <c r="R742" s="280" t="b">
        <v>0</v>
      </c>
      <c r="S742" s="280" t="b">
        <v>1</v>
      </c>
      <c r="T742" s="280" t="b">
        <v>0</v>
      </c>
      <c r="U742" s="280"/>
      <c r="V742" s="280"/>
      <c r="W742" s="25"/>
      <c r="X742" s="281"/>
      <c r="Y742" s="312" t="str">
        <f>IF(LEN('Ch6'!X488)=0,"None",'Ch6'!X488)</f>
        <v>None</v>
      </c>
      <c r="Z742" s="1169"/>
      <c r="AC742" s="280"/>
      <c r="AD742" s="280"/>
      <c r="AE742" s="280"/>
      <c r="AF742" s="280"/>
      <c r="AG742" s="280"/>
      <c r="AH742" s="280"/>
      <c r="AI742" s="280"/>
      <c r="AJ742" s="280"/>
      <c r="AK742" s="280"/>
      <c r="AL742" s="311" t="str">
        <f t="shared" si="224"/>
        <v>vpa611_3_6</v>
      </c>
      <c r="AM742" s="311">
        <f>M742</f>
        <v>1</v>
      </c>
      <c r="AN742" s="280"/>
      <c r="AO742" s="280"/>
      <c r="AP742" s="311" t="str">
        <f t="shared" si="225"/>
        <v>vch611_3_6</v>
      </c>
      <c r="AQ742" s="311">
        <f>W742</f>
        <v>0</v>
      </c>
      <c r="AR742" s="311" t="str">
        <f t="shared" si="226"/>
        <v>vnt611_3_6</v>
      </c>
      <c r="AS742" s="311">
        <f>X742</f>
        <v>0</v>
      </c>
      <c r="BJ742" s="1184" t="s">
        <v>4763</v>
      </c>
    </row>
    <row r="743" spans="1:62" x14ac:dyDescent="0.3">
      <c r="A743" s="1200">
        <v>6</v>
      </c>
      <c r="B743" s="1208">
        <v>611.29999999999995</v>
      </c>
      <c r="C743" s="1203"/>
      <c r="D743" s="1203"/>
      <c r="E743" s="1203" t="s">
        <v>405</v>
      </c>
      <c r="F743" s="1203"/>
      <c r="G743" s="1202" t="str">
        <f t="shared" si="219"/>
        <v>P</v>
      </c>
      <c r="H743" s="1200" t="s">
        <v>4386</v>
      </c>
      <c r="I743" s="66"/>
      <c r="J743" s="237" t="s">
        <v>405</v>
      </c>
      <c r="K743" s="217"/>
      <c r="L743" s="1356" t="s">
        <v>799</v>
      </c>
      <c r="M743" s="1323">
        <v>1</v>
      </c>
      <c r="N743" s="282"/>
      <c r="O743" s="282"/>
      <c r="P743" s="440" t="b">
        <v>1</v>
      </c>
      <c r="Q743" s="280" t="b">
        <v>1</v>
      </c>
      <c r="R743" s="280" t="b">
        <v>0</v>
      </c>
      <c r="S743" s="280" t="b">
        <v>1</v>
      </c>
      <c r="T743" s="280" t="b">
        <v>0</v>
      </c>
      <c r="U743" s="280"/>
      <c r="V743" s="280"/>
      <c r="W743" s="25"/>
      <c r="X743" s="1303"/>
      <c r="Y743" s="1522" t="str">
        <f>IF(LEN('Ch6'!X489)=0,"None",'Ch6'!X489)</f>
        <v>None</v>
      </c>
      <c r="Z743" s="1586"/>
      <c r="AC743" s="280"/>
      <c r="AD743" s="280"/>
      <c r="AE743" s="280"/>
      <c r="AF743" s="280"/>
      <c r="AG743" s="280"/>
      <c r="AH743" s="280"/>
      <c r="AI743" s="280"/>
      <c r="AJ743" s="280"/>
      <c r="AK743" s="280"/>
      <c r="AL743" s="311" t="str">
        <f t="shared" si="224"/>
        <v>vpa611_3_7</v>
      </c>
      <c r="AM743" s="311">
        <f>M743</f>
        <v>1</v>
      </c>
      <c r="AN743" s="280"/>
      <c r="AO743" s="280"/>
      <c r="AP743" s="311" t="str">
        <f t="shared" si="225"/>
        <v>vch611_3_7</v>
      </c>
      <c r="AQ743" s="311">
        <f>W743</f>
        <v>0</v>
      </c>
      <c r="AR743" s="311" t="str">
        <f t="shared" si="226"/>
        <v>vnt611_3_7</v>
      </c>
      <c r="AS743" s="311">
        <f>X743</f>
        <v>0</v>
      </c>
      <c r="BJ743" s="1184" t="s">
        <v>4763</v>
      </c>
    </row>
    <row r="744" spans="1:62" x14ac:dyDescent="0.3">
      <c r="A744" s="1200">
        <v>6</v>
      </c>
      <c r="B744" s="1208">
        <v>611.29999999999995</v>
      </c>
      <c r="C744" s="1203"/>
      <c r="D744" s="1203"/>
      <c r="E744" s="1203" t="s">
        <v>405</v>
      </c>
      <c r="F744" s="1203"/>
      <c r="G744" s="1202" t="str">
        <f t="shared" si="219"/>
        <v>P</v>
      </c>
      <c r="H744" s="1200" t="s">
        <v>4386</v>
      </c>
      <c r="I744" s="66"/>
      <c r="J744" s="140"/>
      <c r="K744" s="98"/>
      <c r="L744" s="1305"/>
      <c r="M744" s="1318"/>
      <c r="N744" s="282"/>
      <c r="O744" s="282"/>
      <c r="P744" s="280"/>
      <c r="Q744" s="280"/>
      <c r="R744" s="280"/>
      <c r="S744" s="280"/>
      <c r="T744" s="280"/>
      <c r="U744" s="280"/>
      <c r="V744" s="280"/>
      <c r="W744" s="280"/>
      <c r="X744" s="1303"/>
      <c r="Y744" s="1522"/>
      <c r="Z744" s="1586"/>
      <c r="AC744" s="280"/>
      <c r="AD744" s="280"/>
      <c r="AE744" s="280"/>
      <c r="AF744" s="280"/>
      <c r="AG744" s="280"/>
      <c r="AH744" s="280"/>
      <c r="AI744" s="280"/>
      <c r="AJ744" s="280"/>
      <c r="AK744" s="280"/>
      <c r="AL744" s="280"/>
      <c r="AM744" s="280"/>
      <c r="AN744" s="280"/>
      <c r="AO744" s="280"/>
      <c r="AP744" s="280"/>
      <c r="AQ744" s="280"/>
      <c r="AR744" s="280"/>
      <c r="AS744" s="280"/>
      <c r="BJ744" s="1184" t="s">
        <v>4763</v>
      </c>
    </row>
    <row r="745" spans="1:62" x14ac:dyDescent="0.3">
      <c r="A745" s="1200">
        <v>6</v>
      </c>
      <c r="B745" s="1208">
        <v>611.29999999999995</v>
      </c>
      <c r="C745" s="1203"/>
      <c r="D745" s="1203"/>
      <c r="E745" s="1203" t="s">
        <v>405</v>
      </c>
      <c r="F745" s="1203"/>
      <c r="G745" s="1202" t="str">
        <f t="shared" si="219"/>
        <v>P</v>
      </c>
      <c r="H745" s="1200" t="s">
        <v>4386</v>
      </c>
      <c r="I745" s="66"/>
      <c r="J745" s="140"/>
      <c r="K745" s="98"/>
      <c r="L745" s="1305"/>
      <c r="M745" s="1318"/>
      <c r="N745" s="282"/>
      <c r="O745" s="282"/>
      <c r="P745" s="280"/>
      <c r="Q745" s="280"/>
      <c r="R745" s="280"/>
      <c r="S745" s="280"/>
      <c r="T745" s="280"/>
      <c r="U745" s="280"/>
      <c r="V745" s="280"/>
      <c r="W745" s="280"/>
      <c r="X745" s="1303"/>
      <c r="Y745" s="1522"/>
      <c r="Z745" s="1586"/>
      <c r="AC745" s="280"/>
      <c r="AD745" s="280"/>
      <c r="AE745" s="280"/>
      <c r="AF745" s="280"/>
      <c r="AG745" s="280"/>
      <c r="AH745" s="280"/>
      <c r="AI745" s="280"/>
      <c r="AJ745" s="280"/>
      <c r="AK745" s="280"/>
      <c r="AL745" s="280"/>
      <c r="AM745" s="280"/>
      <c r="AN745" s="280"/>
      <c r="AO745" s="280"/>
      <c r="AP745" s="280"/>
      <c r="AQ745" s="280"/>
      <c r="AR745" s="280"/>
      <c r="AS745" s="280"/>
      <c r="BJ745" s="1184" t="s">
        <v>4763</v>
      </c>
    </row>
    <row r="746" spans="1:62" x14ac:dyDescent="0.3">
      <c r="A746" s="1200">
        <v>6</v>
      </c>
      <c r="B746" s="1208">
        <v>611.29999999999995</v>
      </c>
      <c r="C746" s="1203"/>
      <c r="D746" s="1203"/>
      <c r="E746" s="1203" t="s">
        <v>405</v>
      </c>
      <c r="F746" s="1203"/>
      <c r="G746" s="1202" t="str">
        <f t="shared" si="219"/>
        <v>P</v>
      </c>
      <c r="H746" s="1200" t="s">
        <v>4386</v>
      </c>
      <c r="I746" s="66"/>
      <c r="J746" s="238"/>
      <c r="K746" s="193"/>
      <c r="L746" s="1306"/>
      <c r="M746" s="1319"/>
      <c r="N746" s="282"/>
      <c r="O746" s="282"/>
      <c r="P746" s="280"/>
      <c r="Q746" s="280"/>
      <c r="R746" s="280"/>
      <c r="S746" s="280"/>
      <c r="T746" s="280"/>
      <c r="U746" s="280"/>
      <c r="V746" s="280"/>
      <c r="W746" s="280"/>
      <c r="X746" s="1303"/>
      <c r="Y746" s="1522"/>
      <c r="Z746" s="1586"/>
      <c r="AC746" s="280"/>
      <c r="AD746" s="280"/>
      <c r="AE746" s="280"/>
      <c r="AF746" s="280"/>
      <c r="AG746" s="280"/>
      <c r="AH746" s="280"/>
      <c r="AI746" s="280"/>
      <c r="AJ746" s="280"/>
      <c r="AK746" s="280"/>
      <c r="AL746" s="280"/>
      <c r="AM746" s="280"/>
      <c r="AN746" s="280"/>
      <c r="AO746" s="280"/>
      <c r="AP746" s="280"/>
      <c r="AQ746" s="280"/>
      <c r="AR746" s="280"/>
      <c r="AS746" s="280"/>
      <c r="BJ746" s="1184" t="s">
        <v>4763</v>
      </c>
    </row>
    <row r="747" spans="1:62" x14ac:dyDescent="0.3">
      <c r="A747" s="1200">
        <v>6</v>
      </c>
      <c r="B747" s="1208">
        <v>611.29999999999995</v>
      </c>
      <c r="C747" s="1203"/>
      <c r="D747" s="1203"/>
      <c r="E747" s="1203" t="s">
        <v>456</v>
      </c>
      <c r="F747" s="1203"/>
      <c r="G747" s="1202" t="str">
        <f t="shared" si="219"/>
        <v>P</v>
      </c>
      <c r="H747" s="1200" t="s">
        <v>4386</v>
      </c>
      <c r="I747" s="66"/>
      <c r="J747" s="237" t="s">
        <v>456</v>
      </c>
      <c r="K747" s="217"/>
      <c r="L747" s="1356" t="s">
        <v>800</v>
      </c>
      <c r="M747" s="1323">
        <v>1</v>
      </c>
      <c r="N747" s="282"/>
      <c r="O747" s="282"/>
      <c r="P747" s="440" t="b">
        <v>1</v>
      </c>
      <c r="Q747" s="280" t="b">
        <v>1</v>
      </c>
      <c r="R747" s="280" t="b">
        <v>0</v>
      </c>
      <c r="S747" s="280" t="b">
        <v>1</v>
      </c>
      <c r="T747" s="280" t="b">
        <v>0</v>
      </c>
      <c r="U747" s="280"/>
      <c r="V747" s="280"/>
      <c r="W747" s="25"/>
      <c r="X747" s="1303"/>
      <c r="Y747" s="1522" t="str">
        <f>IF(LEN('Ch6'!X493)=0,"None",'Ch6'!X493)</f>
        <v>None</v>
      </c>
      <c r="Z747" s="1586"/>
      <c r="AC747" s="280"/>
      <c r="AD747" s="280"/>
      <c r="AE747" s="280"/>
      <c r="AF747" s="280"/>
      <c r="AG747" s="280"/>
      <c r="AH747" s="280"/>
      <c r="AI747" s="280"/>
      <c r="AJ747" s="280"/>
      <c r="AK747" s="280"/>
      <c r="AL747" s="311" t="str">
        <f t="shared" ref="AL747" si="227">SUBSTITUTE(SUBSTITUTE(SUBSTITUTE("vpa"&amp;$B747&amp;$C747&amp;$D747&amp;$E747&amp;$F747,".","_"),"(","_"),")","")</f>
        <v>vpa611_3_8</v>
      </c>
      <c r="AM747" s="311">
        <f>M747</f>
        <v>1</v>
      </c>
      <c r="AN747" s="280"/>
      <c r="AO747" s="280"/>
      <c r="AP747" s="311" t="str">
        <f>SUBSTITUTE(SUBSTITUTE(SUBSTITUTE("vch"&amp;$B747&amp;$C747&amp;$D747&amp;$E747&amp;$F747,".","_"),"(","_"),")","")</f>
        <v>vch611_3_8</v>
      </c>
      <c r="AQ747" s="311">
        <f>W747</f>
        <v>0</v>
      </c>
      <c r="AR747" s="311" t="str">
        <f>SUBSTITUTE(SUBSTITUTE(SUBSTITUTE("vnt"&amp;$B747&amp;$C747&amp;$D747&amp;$E747&amp;$F747,".","_"),"(","_"),")","")</f>
        <v>vnt611_3_8</v>
      </c>
      <c r="AS747" s="311">
        <f>X747</f>
        <v>0</v>
      </c>
      <c r="BJ747" s="1184" t="s">
        <v>4763</v>
      </c>
    </row>
    <row r="748" spans="1:62" x14ac:dyDescent="0.3">
      <c r="A748" s="1200">
        <v>6</v>
      </c>
      <c r="B748" s="1208">
        <v>611.29999999999995</v>
      </c>
      <c r="C748" s="1203"/>
      <c r="D748" s="1203"/>
      <c r="E748" s="1203" t="s">
        <v>456</v>
      </c>
      <c r="F748" s="1203"/>
      <c r="G748" s="1202" t="str">
        <f t="shared" si="219"/>
        <v>P</v>
      </c>
      <c r="H748" s="1200" t="s">
        <v>4386</v>
      </c>
      <c r="I748" s="66"/>
      <c r="J748" s="238"/>
      <c r="K748" s="193"/>
      <c r="L748" s="1306"/>
      <c r="M748" s="1319"/>
      <c r="N748" s="282"/>
      <c r="O748" s="282"/>
      <c r="P748" s="280"/>
      <c r="Q748" s="280"/>
      <c r="R748" s="280"/>
      <c r="S748" s="280"/>
      <c r="T748" s="280"/>
      <c r="U748" s="280"/>
      <c r="V748" s="280"/>
      <c r="W748" s="280"/>
      <c r="X748" s="1303"/>
      <c r="Y748" s="1522"/>
      <c r="Z748" s="1586"/>
      <c r="AC748" s="280"/>
      <c r="AD748" s="280"/>
      <c r="AE748" s="280"/>
      <c r="AF748" s="280"/>
      <c r="AG748" s="280"/>
      <c r="AH748" s="280"/>
      <c r="AI748" s="280"/>
      <c r="AJ748" s="280"/>
      <c r="AK748" s="280"/>
      <c r="AL748" s="280"/>
      <c r="AM748" s="280"/>
      <c r="AN748" s="280"/>
      <c r="AO748" s="280"/>
      <c r="AP748" s="280"/>
      <c r="AQ748" s="280"/>
      <c r="AR748" s="280"/>
      <c r="AS748" s="280"/>
      <c r="BJ748" s="1184" t="s">
        <v>4763</v>
      </c>
    </row>
    <row r="749" spans="1:62" x14ac:dyDescent="0.3">
      <c r="A749" s="1200">
        <v>6</v>
      </c>
      <c r="B749" s="1208">
        <v>611.29999999999995</v>
      </c>
      <c r="C749" s="1203"/>
      <c r="D749" s="1203"/>
      <c r="E749" s="1203" t="s">
        <v>458</v>
      </c>
      <c r="F749" s="1203"/>
      <c r="G749" s="1202" t="str">
        <f t="shared" si="219"/>
        <v>P</v>
      </c>
      <c r="H749" s="1200" t="s">
        <v>4386</v>
      </c>
      <c r="I749" s="66"/>
      <c r="J749" s="27" t="s">
        <v>458</v>
      </c>
      <c r="K749" s="86"/>
      <c r="L749" s="1329" t="s">
        <v>801</v>
      </c>
      <c r="M749" s="1335">
        <v>1</v>
      </c>
      <c r="N749" s="282"/>
      <c r="O749" s="282"/>
      <c r="P749" s="440" t="b">
        <v>1</v>
      </c>
      <c r="Q749" s="280" t="b">
        <v>1</v>
      </c>
      <c r="R749" s="280" t="b">
        <v>0</v>
      </c>
      <c r="S749" s="280" t="b">
        <v>1</v>
      </c>
      <c r="T749" s="280" t="b">
        <v>0</v>
      </c>
      <c r="U749" s="280"/>
      <c r="V749" s="280"/>
      <c r="W749" s="25"/>
      <c r="X749" s="1303"/>
      <c r="Y749" s="1523" t="str">
        <f>IF(LEN('Ch6'!X495)=0,"None",'Ch6'!X495)</f>
        <v>None</v>
      </c>
      <c r="Z749" s="1583"/>
      <c r="AC749" s="280"/>
      <c r="AD749" s="280"/>
      <c r="AE749" s="280"/>
      <c r="AF749" s="280"/>
      <c r="AG749" s="280"/>
      <c r="AH749" s="280"/>
      <c r="AI749" s="280"/>
      <c r="AJ749" s="280"/>
      <c r="AK749" s="280"/>
      <c r="AL749" s="311" t="str">
        <f t="shared" ref="AL749" si="228">SUBSTITUTE(SUBSTITUTE(SUBSTITUTE("vpa"&amp;$B749&amp;$C749&amp;$D749&amp;$E749&amp;$F749,".","_"),"(","_"),")","")</f>
        <v>vpa611_3_9</v>
      </c>
      <c r="AM749" s="311">
        <f>M749</f>
        <v>1</v>
      </c>
      <c r="AN749" s="280"/>
      <c r="AO749" s="280"/>
      <c r="AP749" s="311" t="str">
        <f>SUBSTITUTE(SUBSTITUTE(SUBSTITUTE("vch"&amp;$B749&amp;$C749&amp;$D749&amp;$E749&amp;$F749,".","_"),"(","_"),")","")</f>
        <v>vch611_3_9</v>
      </c>
      <c r="AQ749" s="311">
        <f>W749</f>
        <v>0</v>
      </c>
      <c r="AR749" s="311" t="str">
        <f>SUBSTITUTE(SUBSTITUTE(SUBSTITUTE("vnt"&amp;$B749&amp;$C749&amp;$D749&amp;$E749&amp;$F749,".","_"),"(","_"),")","")</f>
        <v>vnt611_3_9</v>
      </c>
      <c r="AS749" s="311">
        <f>X749</f>
        <v>0</v>
      </c>
      <c r="BJ749" s="1184" t="s">
        <v>4763</v>
      </c>
    </row>
    <row r="750" spans="1:62" ht="15" thickBot="1" x14ac:dyDescent="0.35">
      <c r="A750" s="1200">
        <v>6</v>
      </c>
      <c r="B750" s="1208">
        <v>611.29999999999995</v>
      </c>
      <c r="C750" s="1203"/>
      <c r="D750" s="1203"/>
      <c r="E750" s="1203" t="s">
        <v>458</v>
      </c>
      <c r="F750" s="1203"/>
      <c r="G750" s="1202" t="str">
        <f t="shared" si="219"/>
        <v>P</v>
      </c>
      <c r="H750" s="1200" t="s">
        <v>4386</v>
      </c>
      <c r="I750" s="66"/>
      <c r="J750" s="4"/>
      <c r="K750" s="86"/>
      <c r="L750" s="1329"/>
      <c r="M750" s="1335"/>
      <c r="N750" s="282"/>
      <c r="O750" s="282"/>
      <c r="P750" s="280"/>
      <c r="Q750" s="280"/>
      <c r="R750" s="280"/>
      <c r="S750" s="280"/>
      <c r="T750" s="280"/>
      <c r="U750" s="280"/>
      <c r="V750" s="280"/>
      <c r="W750" s="280"/>
      <c r="X750" s="1337"/>
      <c r="Y750" s="1524"/>
      <c r="Z750" s="1584"/>
      <c r="AC750" s="280"/>
      <c r="AD750" s="280"/>
      <c r="AE750" s="280"/>
      <c r="AF750" s="280"/>
      <c r="AG750" s="280"/>
      <c r="AH750" s="280"/>
      <c r="AI750" s="280"/>
      <c r="AJ750" s="280"/>
      <c r="AK750" s="280"/>
      <c r="AL750" s="280"/>
      <c r="AM750" s="280"/>
      <c r="AN750" s="280"/>
      <c r="AO750" s="280"/>
      <c r="AP750" s="280"/>
      <c r="AQ750" s="280"/>
      <c r="AR750" s="280"/>
      <c r="AS750" s="280"/>
      <c r="BJ750" s="1184" t="s">
        <v>4763</v>
      </c>
    </row>
    <row r="751" spans="1:62" ht="15" thickTop="1" x14ac:dyDescent="0.3">
      <c r="A751" s="1200">
        <v>6</v>
      </c>
      <c r="B751" s="1208">
        <v>611.4</v>
      </c>
      <c r="C751" s="1203"/>
      <c r="D751" s="1203"/>
      <c r="E751" s="1203"/>
      <c r="F751" s="1203"/>
      <c r="G751" s="1202" t="str">
        <f>IF(N751&gt;0,"P","")</f>
        <v/>
      </c>
      <c r="H751" s="1200" t="s">
        <v>4388</v>
      </c>
      <c r="I751" s="200">
        <v>611.4</v>
      </c>
      <c r="J751" s="201"/>
      <c r="K751" s="202"/>
      <c r="L751" s="1331" t="s">
        <v>802</v>
      </c>
      <c r="M751" s="1343">
        <v>5</v>
      </c>
      <c r="N751" s="1528">
        <f>'Ch6'!O497</f>
        <v>0</v>
      </c>
      <c r="O751" s="1528">
        <f>IF(W757+W767*2&gt;=10,5,0)</f>
        <v>0</v>
      </c>
      <c r="P751" s="110"/>
      <c r="Q751" s="110"/>
      <c r="R751" s="110"/>
      <c r="S751" s="110"/>
      <c r="T751" s="110"/>
      <c r="U751" s="110"/>
      <c r="V751" s="110"/>
      <c r="W751" s="110"/>
      <c r="X751" s="110"/>
      <c r="Z751" s="1055"/>
      <c r="AC751" s="280"/>
      <c r="AD751" s="280"/>
      <c r="AE751" s="280"/>
      <c r="AF751" s="280"/>
      <c r="AG751" s="280"/>
      <c r="AH751" s="280"/>
      <c r="AI751" s="280"/>
      <c r="AJ751" s="280"/>
      <c r="AK751" s="280"/>
      <c r="AL751" s="311" t="str">
        <f t="shared" ref="AL751" si="229">SUBSTITUTE(SUBSTITUTE(SUBSTITUTE("vpa"&amp;$B751&amp;$C751&amp;$D751&amp;$E751&amp;$F751,".","_"),"(","_"),")","")</f>
        <v>vpa611_4</v>
      </c>
      <c r="AM751" s="311">
        <f>M751</f>
        <v>5</v>
      </c>
      <c r="AN751" s="311" t="str">
        <f>SUBSTITUTE(SUBSTITUTE(SUBSTITUTE("vpc"&amp;$B751&amp;$C751&amp;$D751&amp;$E751&amp;$F751,".","_"),"(","_"),")","")</f>
        <v>vpc611_4</v>
      </c>
      <c r="AO751" s="311">
        <f>O751</f>
        <v>0</v>
      </c>
      <c r="AP751" s="280"/>
      <c r="AQ751" s="280"/>
      <c r="AR751" s="280"/>
      <c r="AS751" s="280"/>
      <c r="BJ751" s="1184" t="s">
        <v>4763</v>
      </c>
    </row>
    <row r="752" spans="1:62" x14ac:dyDescent="0.3">
      <c r="A752" s="1200">
        <v>6</v>
      </c>
      <c r="B752" s="1208">
        <v>611.4</v>
      </c>
      <c r="C752" s="1203"/>
      <c r="D752" s="1203"/>
      <c r="E752" s="1203"/>
      <c r="F752" s="1203"/>
      <c r="G752" s="1202" t="str">
        <f t="shared" ref="G752:G771" si="230">G751</f>
        <v/>
      </c>
      <c r="H752" s="1200" t="s">
        <v>4388</v>
      </c>
      <c r="I752" s="141"/>
      <c r="J752" s="140"/>
      <c r="K752" s="98"/>
      <c r="L752" s="1313"/>
      <c r="M752" s="1318"/>
      <c r="N752" s="1473"/>
      <c r="O752" s="1473"/>
      <c r="P752" s="97"/>
      <c r="Q752" s="97"/>
      <c r="R752" s="97"/>
      <c r="S752" s="97"/>
      <c r="T752" s="97"/>
      <c r="U752" s="97"/>
      <c r="V752" s="97"/>
      <c r="W752" s="97"/>
      <c r="X752" s="97"/>
      <c r="Z752" s="1055"/>
      <c r="AC752" s="280"/>
      <c r="AD752" s="280"/>
      <c r="AE752" s="280"/>
      <c r="AF752" s="280"/>
      <c r="AG752" s="280"/>
      <c r="AH752" s="280"/>
      <c r="AI752" s="280"/>
      <c r="AJ752" s="280"/>
      <c r="AK752" s="280"/>
      <c r="AL752" s="280"/>
      <c r="AM752" s="280"/>
      <c r="AN752" s="280"/>
      <c r="AO752" s="280"/>
      <c r="AP752" s="280"/>
      <c r="AQ752" s="280"/>
      <c r="AR752" s="280"/>
      <c r="AS752" s="280"/>
      <c r="BJ752" s="1184" t="s">
        <v>4763</v>
      </c>
    </row>
    <row r="753" spans="1:62" x14ac:dyDescent="0.3">
      <c r="A753" s="1200">
        <v>6</v>
      </c>
      <c r="B753" s="1208">
        <v>611.4</v>
      </c>
      <c r="C753" s="1203"/>
      <c r="D753" s="1203"/>
      <c r="E753" s="1203"/>
      <c r="F753" s="1203"/>
      <c r="G753" s="1202" t="str">
        <f t="shared" si="230"/>
        <v/>
      </c>
      <c r="H753" s="1200" t="s">
        <v>4388</v>
      </c>
      <c r="I753" s="141"/>
      <c r="J753" s="140"/>
      <c r="K753" s="98"/>
      <c r="L753" s="1313"/>
      <c r="M753" s="1318"/>
      <c r="N753" s="1473"/>
      <c r="O753" s="1473"/>
      <c r="P753" s="97"/>
      <c r="Q753" s="97"/>
      <c r="R753" s="97"/>
      <c r="S753" s="97"/>
      <c r="T753" s="97"/>
      <c r="U753" s="97"/>
      <c r="V753" s="97"/>
      <c r="W753" s="97"/>
      <c r="X753" s="97"/>
      <c r="Z753" s="1055"/>
      <c r="AC753" s="280"/>
      <c r="AD753" s="280"/>
      <c r="AE753" s="280"/>
      <c r="AF753" s="280"/>
      <c r="AG753" s="280"/>
      <c r="AH753" s="280"/>
      <c r="AI753" s="280"/>
      <c r="AJ753" s="280"/>
      <c r="AK753" s="280"/>
      <c r="AL753" s="280"/>
      <c r="AM753" s="280"/>
      <c r="AN753" s="280"/>
      <c r="AO753" s="280"/>
      <c r="AP753" s="280"/>
      <c r="AQ753" s="280"/>
      <c r="AR753" s="280"/>
      <c r="AS753" s="280"/>
      <c r="BJ753" s="1184" t="s">
        <v>4763</v>
      </c>
    </row>
    <row r="754" spans="1:62" x14ac:dyDescent="0.3">
      <c r="A754" s="1200">
        <v>6</v>
      </c>
      <c r="B754" s="1208">
        <v>611.4</v>
      </c>
      <c r="C754" s="1203"/>
      <c r="D754" s="1203"/>
      <c r="E754" s="1203"/>
      <c r="F754" s="1203"/>
      <c r="G754" s="1202" t="str">
        <f t="shared" si="230"/>
        <v/>
      </c>
      <c r="H754" s="1200" t="s">
        <v>4388</v>
      </c>
      <c r="I754" s="141"/>
      <c r="J754" s="140"/>
      <c r="K754" s="98"/>
      <c r="L754" s="1313"/>
      <c r="M754" s="1318"/>
      <c r="N754" s="1473"/>
      <c r="O754" s="1473"/>
      <c r="P754" s="97"/>
      <c r="Q754" s="97"/>
      <c r="R754" s="97"/>
      <c r="S754" s="97"/>
      <c r="T754" s="97"/>
      <c r="U754" s="97"/>
      <c r="V754" s="97"/>
      <c r="W754" s="97"/>
      <c r="X754" s="97"/>
      <c r="Z754" s="1055"/>
      <c r="AC754" s="280"/>
      <c r="AD754" s="280"/>
      <c r="AE754" s="280"/>
      <c r="AF754" s="280"/>
      <c r="AG754" s="280"/>
      <c r="AH754" s="280"/>
      <c r="AI754" s="280"/>
      <c r="AJ754" s="280"/>
      <c r="AK754" s="280"/>
      <c r="AL754" s="280"/>
      <c r="AM754" s="280"/>
      <c r="AN754" s="280"/>
      <c r="AO754" s="280"/>
      <c r="AP754" s="280"/>
      <c r="AQ754" s="280"/>
      <c r="AR754" s="280"/>
      <c r="AS754" s="280"/>
      <c r="BJ754" s="1184" t="s">
        <v>4763</v>
      </c>
    </row>
    <row r="755" spans="1:62" x14ac:dyDescent="0.3">
      <c r="A755" s="1200">
        <v>6</v>
      </c>
      <c r="B755" s="1208">
        <v>611.4</v>
      </c>
      <c r="C755" s="1203"/>
      <c r="D755" s="1203"/>
      <c r="E755" s="1203"/>
      <c r="F755" s="1203"/>
      <c r="G755" s="1202" t="str">
        <f t="shared" si="230"/>
        <v/>
      </c>
      <c r="H755" s="1200" t="s">
        <v>4388</v>
      </c>
      <c r="I755" s="244"/>
      <c r="J755" s="238"/>
      <c r="K755" s="193"/>
      <c r="L755" s="1350"/>
      <c r="M755" s="1319"/>
      <c r="N755" s="1491"/>
      <c r="O755" s="1491"/>
      <c r="P755" s="97"/>
      <c r="Q755" s="97"/>
      <c r="R755" s="97"/>
      <c r="S755" s="97"/>
      <c r="T755" s="97"/>
      <c r="U755" s="97"/>
      <c r="V755" s="97"/>
      <c r="W755" s="97"/>
      <c r="X755" s="97"/>
      <c r="Z755" s="1055"/>
      <c r="AC755" s="280"/>
      <c r="AD755" s="280"/>
      <c r="AE755" s="280"/>
      <c r="AF755" s="280"/>
      <c r="AG755" s="280"/>
      <c r="AH755" s="280"/>
      <c r="AI755" s="280"/>
      <c r="AJ755" s="280"/>
      <c r="AK755" s="280"/>
      <c r="AL755" s="280"/>
      <c r="AM755" s="280"/>
      <c r="AN755" s="280"/>
      <c r="AO755" s="280"/>
      <c r="AP755" s="280"/>
      <c r="AQ755" s="280"/>
      <c r="AR755" s="280"/>
      <c r="AS755" s="280"/>
      <c r="BJ755" s="1184" t="s">
        <v>4763</v>
      </c>
    </row>
    <row r="756" spans="1:62" x14ac:dyDescent="0.3">
      <c r="A756" s="1200">
        <v>6</v>
      </c>
      <c r="B756" s="1208" t="s">
        <v>803</v>
      </c>
      <c r="C756" s="1203"/>
      <c r="D756" s="1203"/>
      <c r="E756" s="1203"/>
      <c r="F756" s="1203"/>
      <c r="G756" s="1202" t="str">
        <f t="shared" si="230"/>
        <v/>
      </c>
      <c r="H756" s="1200" t="s">
        <v>4388</v>
      </c>
      <c r="I756" s="66" t="s">
        <v>803</v>
      </c>
      <c r="J756" s="4"/>
      <c r="K756" s="86"/>
      <c r="L756" s="1377" t="s">
        <v>804</v>
      </c>
      <c r="M756" s="305"/>
      <c r="N756" s="282"/>
      <c r="O756" s="282"/>
      <c r="P756" s="280"/>
      <c r="Q756" s="280"/>
      <c r="R756" s="280"/>
      <c r="S756" s="280"/>
      <c r="T756" s="280"/>
      <c r="U756" s="280"/>
      <c r="V756" s="280"/>
      <c r="W756" s="280" t="s">
        <v>3341</v>
      </c>
      <c r="X756" s="1303"/>
      <c r="Y756" s="1522" t="str">
        <f>IF(LEN('Ch6'!X502)=0,"None",'Ch6'!X502)</f>
        <v>None</v>
      </c>
      <c r="Z756" s="1586"/>
      <c r="AC756" s="280"/>
      <c r="AD756" s="280"/>
      <c r="AE756" s="280"/>
      <c r="AF756" s="280"/>
      <c r="AG756" s="280"/>
      <c r="AH756" s="280"/>
      <c r="AI756" s="280"/>
      <c r="AJ756" s="280"/>
      <c r="AK756" s="280"/>
      <c r="AL756" s="280"/>
      <c r="AM756" s="280"/>
      <c r="AN756" s="280"/>
      <c r="AO756" s="280"/>
      <c r="AP756" s="280"/>
      <c r="AQ756" s="280"/>
      <c r="AR756" s="311" t="str">
        <f>SUBSTITUTE(SUBSTITUTE(SUBSTITUTE("vnt"&amp;$B756&amp;$C756&amp;$D756&amp;$E756&amp;$F756,".","_"),"(","_"),")","")</f>
        <v>vnt611_4_1</v>
      </c>
      <c r="AS756" s="311">
        <f>X756</f>
        <v>0</v>
      </c>
      <c r="BJ756" s="1184" t="s">
        <v>4763</v>
      </c>
    </row>
    <row r="757" spans="1:62" x14ac:dyDescent="0.3">
      <c r="A757" s="1200">
        <v>6</v>
      </c>
      <c r="B757" s="1208" t="s">
        <v>803</v>
      </c>
      <c r="C757" s="1203"/>
      <c r="D757" s="1203"/>
      <c r="E757" s="1203"/>
      <c r="F757" s="1203"/>
      <c r="G757" s="1202" t="str">
        <f t="shared" si="230"/>
        <v/>
      </c>
      <c r="H757" s="1200" t="s">
        <v>4388</v>
      </c>
      <c r="I757" s="66"/>
      <c r="J757" s="4"/>
      <c r="K757" s="86"/>
      <c r="L757" s="1377"/>
      <c r="M757" s="305"/>
      <c r="N757" s="282"/>
      <c r="O757" s="282"/>
      <c r="P757" s="280" t="b">
        <v>0</v>
      </c>
      <c r="Q757" s="280" t="b">
        <v>1</v>
      </c>
      <c r="R757" s="280" t="b">
        <v>0</v>
      </c>
      <c r="S757" s="280" t="b">
        <v>1</v>
      </c>
      <c r="T757" s="280" t="b">
        <v>0</v>
      </c>
      <c r="U757" s="280"/>
      <c r="V757" s="280"/>
      <c r="W757" s="191"/>
      <c r="X757" s="1303"/>
      <c r="Y757" s="1522"/>
      <c r="Z757" s="1586"/>
      <c r="AC757" s="280" t="b">
        <f>OR(AD757:AE757)</f>
        <v>0</v>
      </c>
      <c r="AD757" s="985" t="b">
        <f>T757</f>
        <v>0</v>
      </c>
      <c r="AE757" s="280" t="b">
        <f>AND(W757&gt;0,LEN(X756)=0)</f>
        <v>0</v>
      </c>
      <c r="AF757" s="1182" t="b">
        <f>AND(AE757,NOT(Q757))</f>
        <v>0</v>
      </c>
      <c r="AG757" s="280"/>
      <c r="AH757" s="280"/>
      <c r="AI757" s="280"/>
      <c r="AJ757" s="280"/>
      <c r="AK757" s="280"/>
      <c r="AL757" s="280"/>
      <c r="AM757" s="280"/>
      <c r="AN757" s="280"/>
      <c r="AO757" s="280"/>
      <c r="AP757" s="311" t="str">
        <f>SUBSTITUTE(SUBSTITUTE(SUBSTITUTE("vch"&amp;$B757&amp;$C757&amp;$D757&amp;$E757&amp;$F757,".","_"),"(","_"),")","")</f>
        <v>vch611_4_1</v>
      </c>
      <c r="AQ757" s="311">
        <f>W757</f>
        <v>0</v>
      </c>
      <c r="AR757" s="280"/>
      <c r="AS757" s="280"/>
      <c r="BJ757" s="1184" t="s">
        <v>4763</v>
      </c>
    </row>
    <row r="758" spans="1:62" x14ac:dyDescent="0.3">
      <c r="A758" s="1200">
        <v>6</v>
      </c>
      <c r="B758" s="1208" t="s">
        <v>803</v>
      </c>
      <c r="C758" s="1203"/>
      <c r="D758" s="1203"/>
      <c r="E758" s="1203"/>
      <c r="F758" s="1203"/>
      <c r="G758" s="1202" t="str">
        <f t="shared" si="230"/>
        <v/>
      </c>
      <c r="H758" s="1200" t="s">
        <v>4388</v>
      </c>
      <c r="I758" s="66"/>
      <c r="J758" s="4"/>
      <c r="K758" s="86"/>
      <c r="L758" s="1377"/>
      <c r="M758" s="305"/>
      <c r="N758" s="282"/>
      <c r="O758" s="282"/>
      <c r="P758" s="280"/>
      <c r="Q758" s="280"/>
      <c r="R758" s="280"/>
      <c r="S758" s="280"/>
      <c r="T758" s="280"/>
      <c r="U758" s="280"/>
      <c r="V758" s="280"/>
      <c r="W758" s="280"/>
      <c r="X758" s="1303"/>
      <c r="Y758" s="1522"/>
      <c r="Z758" s="1586"/>
      <c r="AC758" s="280"/>
      <c r="AD758" s="280"/>
      <c r="AE758" s="280"/>
      <c r="AF758" s="280"/>
      <c r="AG758" s="280"/>
      <c r="AH758" s="280"/>
      <c r="AI758" s="280"/>
      <c r="AJ758" s="280"/>
      <c r="AK758" s="280"/>
      <c r="AL758" s="280"/>
      <c r="AM758" s="280"/>
      <c r="AN758" s="280"/>
      <c r="AO758" s="280"/>
      <c r="AP758" s="280"/>
      <c r="AQ758" s="280"/>
      <c r="AR758" s="280"/>
      <c r="AS758" s="280"/>
      <c r="BJ758" s="1184" t="s">
        <v>4763</v>
      </c>
    </row>
    <row r="759" spans="1:62" x14ac:dyDescent="0.3">
      <c r="A759" s="1200">
        <v>6</v>
      </c>
      <c r="B759" s="1208" t="s">
        <v>803</v>
      </c>
      <c r="C759" s="1203"/>
      <c r="D759" s="1203"/>
      <c r="E759" s="1203"/>
      <c r="F759" s="1203"/>
      <c r="G759" s="1202" t="str">
        <f t="shared" si="230"/>
        <v/>
      </c>
      <c r="H759" s="1200" t="s">
        <v>4388</v>
      </c>
      <c r="I759" s="66"/>
      <c r="J759" s="4"/>
      <c r="K759" s="86"/>
      <c r="L759" s="1377"/>
      <c r="M759" s="305"/>
      <c r="N759" s="282"/>
      <c r="O759" s="282"/>
      <c r="P759" s="280"/>
      <c r="Q759" s="280"/>
      <c r="R759" s="280"/>
      <c r="S759" s="280"/>
      <c r="T759" s="280"/>
      <c r="U759" s="280"/>
      <c r="V759" s="280"/>
      <c r="W759" s="280"/>
      <c r="X759" s="1303"/>
      <c r="Y759" s="1522"/>
      <c r="Z759" s="1586"/>
      <c r="AC759" s="280"/>
      <c r="AD759" s="280"/>
      <c r="AE759" s="280"/>
      <c r="AF759" s="280"/>
      <c r="AG759" s="280"/>
      <c r="AH759" s="280"/>
      <c r="AI759" s="280"/>
      <c r="AJ759" s="280"/>
      <c r="AK759" s="280"/>
      <c r="AL759" s="280"/>
      <c r="AM759" s="280"/>
      <c r="AN759" s="280"/>
      <c r="AO759" s="280"/>
      <c r="AP759" s="280"/>
      <c r="AQ759" s="280"/>
      <c r="AR759" s="280"/>
      <c r="AS759" s="280"/>
      <c r="BJ759" s="1184" t="s">
        <v>4763</v>
      </c>
    </row>
    <row r="760" spans="1:62" x14ac:dyDescent="0.3">
      <c r="A760" s="1200">
        <v>6</v>
      </c>
      <c r="B760" s="1208" t="s">
        <v>803</v>
      </c>
      <c r="C760" s="1203"/>
      <c r="D760" s="1203"/>
      <c r="E760" s="1203"/>
      <c r="F760" s="1203"/>
      <c r="G760" s="1202" t="str">
        <f t="shared" si="230"/>
        <v/>
      </c>
      <c r="H760" s="1200" t="s">
        <v>4388</v>
      </c>
      <c r="I760" s="66"/>
      <c r="J760" s="4"/>
      <c r="K760" s="86"/>
      <c r="L760" s="1377"/>
      <c r="M760" s="305"/>
      <c r="N760" s="282"/>
      <c r="O760" s="282"/>
      <c r="P760" s="280"/>
      <c r="Q760" s="280"/>
      <c r="R760" s="280"/>
      <c r="S760" s="280"/>
      <c r="T760" s="280"/>
      <c r="U760" s="280"/>
      <c r="V760" s="280"/>
      <c r="W760" s="280"/>
      <c r="X760" s="1303"/>
      <c r="Y760" s="1522"/>
      <c r="Z760" s="1586"/>
      <c r="AC760" s="280"/>
      <c r="AD760" s="280"/>
      <c r="AE760" s="280"/>
      <c r="AF760" s="280"/>
      <c r="AG760" s="280"/>
      <c r="AH760" s="280"/>
      <c r="AI760" s="280"/>
      <c r="AJ760" s="280"/>
      <c r="AK760" s="280"/>
      <c r="AL760" s="280"/>
      <c r="AM760" s="280"/>
      <c r="AN760" s="280"/>
      <c r="AO760" s="280"/>
      <c r="AP760" s="280"/>
      <c r="AQ760" s="280"/>
      <c r="AR760" s="280"/>
      <c r="AS760" s="280"/>
      <c r="BJ760" s="1184" t="s">
        <v>4763</v>
      </c>
    </row>
    <row r="761" spans="1:62" x14ac:dyDescent="0.3">
      <c r="A761" s="1200">
        <v>6</v>
      </c>
      <c r="B761" s="1208" t="s">
        <v>803</v>
      </c>
      <c r="C761" s="1203"/>
      <c r="D761" s="1203"/>
      <c r="E761" s="1203"/>
      <c r="F761" s="1203"/>
      <c r="G761" s="1202" t="str">
        <f t="shared" si="230"/>
        <v/>
      </c>
      <c r="H761" s="1200" t="s">
        <v>4388</v>
      </c>
      <c r="I761" s="66"/>
      <c r="J761" s="4"/>
      <c r="K761" s="86"/>
      <c r="L761" s="1377"/>
      <c r="M761" s="305"/>
      <c r="N761" s="282"/>
      <c r="O761" s="282"/>
      <c r="P761" s="280"/>
      <c r="Q761" s="280"/>
      <c r="R761" s="280"/>
      <c r="S761" s="280"/>
      <c r="T761" s="280"/>
      <c r="U761" s="280"/>
      <c r="V761" s="280"/>
      <c r="W761" s="280"/>
      <c r="X761" s="1303"/>
      <c r="Y761" s="1522"/>
      <c r="Z761" s="1586"/>
      <c r="AC761" s="280"/>
      <c r="AD761" s="280"/>
      <c r="AE761" s="280"/>
      <c r="AF761" s="280"/>
      <c r="AG761" s="280"/>
      <c r="AH761" s="280"/>
      <c r="AI761" s="280"/>
      <c r="AJ761" s="280"/>
      <c r="AK761" s="280"/>
      <c r="AL761" s="280"/>
      <c r="AM761" s="280"/>
      <c r="AN761" s="280"/>
      <c r="AO761" s="280"/>
      <c r="AP761" s="280"/>
      <c r="AQ761" s="280"/>
      <c r="AR761" s="280"/>
      <c r="AS761" s="280"/>
      <c r="BJ761" s="1184" t="s">
        <v>4763</v>
      </c>
    </row>
    <row r="762" spans="1:62" x14ac:dyDescent="0.3">
      <c r="A762" s="1200">
        <v>6</v>
      </c>
      <c r="B762" s="1208" t="s">
        <v>803</v>
      </c>
      <c r="C762" s="1203"/>
      <c r="D762" s="1203"/>
      <c r="E762" s="1203"/>
      <c r="F762" s="1203"/>
      <c r="G762" s="1202" t="str">
        <f t="shared" si="230"/>
        <v/>
      </c>
      <c r="H762" s="1200" t="s">
        <v>4388</v>
      </c>
      <c r="I762" s="66"/>
      <c r="J762" s="4"/>
      <c r="K762" s="86"/>
      <c r="L762" s="1377"/>
      <c r="M762" s="305"/>
      <c r="N762" s="282"/>
      <c r="O762" s="282"/>
      <c r="P762" s="280"/>
      <c r="Q762" s="280"/>
      <c r="R762" s="280"/>
      <c r="S762" s="280"/>
      <c r="T762" s="280"/>
      <c r="U762" s="280"/>
      <c r="V762" s="280"/>
      <c r="W762" s="280"/>
      <c r="X762" s="1303"/>
      <c r="Y762" s="1522"/>
      <c r="Z762" s="1586"/>
      <c r="AC762" s="280"/>
      <c r="AD762" s="280"/>
      <c r="AE762" s="280"/>
      <c r="AF762" s="280"/>
      <c r="AG762" s="280"/>
      <c r="AH762" s="280"/>
      <c r="AI762" s="280"/>
      <c r="AJ762" s="280"/>
      <c r="AK762" s="280"/>
      <c r="AL762" s="280"/>
      <c r="AM762" s="280"/>
      <c r="AN762" s="280"/>
      <c r="AO762" s="280"/>
      <c r="AP762" s="280"/>
      <c r="AQ762" s="280"/>
      <c r="AR762" s="280"/>
      <c r="AS762" s="280"/>
      <c r="BJ762" s="1184" t="s">
        <v>4763</v>
      </c>
    </row>
    <row r="763" spans="1:62" x14ac:dyDescent="0.3">
      <c r="A763" s="1200">
        <v>6</v>
      </c>
      <c r="B763" s="1208" t="s">
        <v>803</v>
      </c>
      <c r="C763" s="1203"/>
      <c r="D763" s="1203"/>
      <c r="E763" s="1203"/>
      <c r="F763" s="1203"/>
      <c r="G763" s="1202" t="str">
        <f t="shared" si="230"/>
        <v/>
      </c>
      <c r="H763" s="1200" t="s">
        <v>4388</v>
      </c>
      <c r="I763" s="66"/>
      <c r="J763" s="4"/>
      <c r="K763" s="86"/>
      <c r="L763" s="1377"/>
      <c r="M763" s="305"/>
      <c r="N763" s="282"/>
      <c r="O763" s="282"/>
      <c r="P763" s="280"/>
      <c r="Q763" s="280"/>
      <c r="R763" s="280"/>
      <c r="S763" s="280"/>
      <c r="T763" s="280"/>
      <c r="U763" s="280"/>
      <c r="V763" s="280"/>
      <c r="W763" s="280"/>
      <c r="X763" s="1303"/>
      <c r="Y763" s="1522"/>
      <c r="Z763" s="1586"/>
      <c r="AC763" s="280"/>
      <c r="AD763" s="280"/>
      <c r="AE763" s="280"/>
      <c r="AF763" s="280"/>
      <c r="AG763" s="280"/>
      <c r="AH763" s="280"/>
      <c r="AI763" s="280"/>
      <c r="AJ763" s="280"/>
      <c r="AK763" s="280"/>
      <c r="AL763" s="280"/>
      <c r="AM763" s="280"/>
      <c r="AN763" s="280"/>
      <c r="AO763" s="280"/>
      <c r="AP763" s="280"/>
      <c r="AQ763" s="280"/>
      <c r="AR763" s="280"/>
      <c r="AS763" s="280"/>
      <c r="BJ763" s="1184" t="s">
        <v>4763</v>
      </c>
    </row>
    <row r="764" spans="1:62" x14ac:dyDescent="0.3">
      <c r="A764" s="1200">
        <v>6</v>
      </c>
      <c r="B764" s="1208" t="s">
        <v>803</v>
      </c>
      <c r="C764" s="1203"/>
      <c r="D764" s="1203"/>
      <c r="E764" s="1203"/>
      <c r="F764" s="1203"/>
      <c r="G764" s="1202" t="str">
        <f t="shared" si="230"/>
        <v/>
      </c>
      <c r="H764" s="1200" t="s">
        <v>4388</v>
      </c>
      <c r="I764" s="244"/>
      <c r="J764" s="238"/>
      <c r="K764" s="193"/>
      <c r="L764" s="304" t="s">
        <v>3343</v>
      </c>
      <c r="M764" s="305"/>
      <c r="N764" s="282"/>
      <c r="O764" s="282"/>
      <c r="P764" s="280"/>
      <c r="Q764" s="280"/>
      <c r="R764" s="280"/>
      <c r="S764" s="280"/>
      <c r="T764" s="280"/>
      <c r="U764" s="280"/>
      <c r="V764" s="280"/>
      <c r="W764" s="280"/>
      <c r="X764" s="1303"/>
      <c r="Y764" s="1522"/>
      <c r="Z764" s="1586"/>
      <c r="AC764" s="280"/>
      <c r="AD764" s="280"/>
      <c r="AE764" s="280"/>
      <c r="AF764" s="280"/>
      <c r="AG764" s="280"/>
      <c r="AH764" s="280"/>
      <c r="AI764" s="280"/>
      <c r="AJ764" s="280"/>
      <c r="AK764" s="280"/>
      <c r="AL764" s="280"/>
      <c r="AM764" s="280"/>
      <c r="AN764" s="280"/>
      <c r="AO764" s="280"/>
      <c r="AP764" s="280"/>
      <c r="AQ764" s="280"/>
      <c r="AR764" s="280"/>
      <c r="AS764" s="280"/>
      <c r="BJ764" s="1184" t="s">
        <v>4763</v>
      </c>
    </row>
    <row r="765" spans="1:62" x14ac:dyDescent="0.3">
      <c r="A765" s="1200">
        <v>6</v>
      </c>
      <c r="B765" s="1208" t="s">
        <v>805</v>
      </c>
      <c r="C765" s="1203"/>
      <c r="D765" s="1203"/>
      <c r="E765" s="1203"/>
      <c r="F765" s="1203"/>
      <c r="G765" s="1202" t="str">
        <f t="shared" si="230"/>
        <v/>
      </c>
      <c r="H765" s="1200" t="s">
        <v>4388</v>
      </c>
      <c r="I765" s="141" t="s">
        <v>805</v>
      </c>
      <c r="J765" s="140"/>
      <c r="K765" s="98"/>
      <c r="L765" s="1342" t="s">
        <v>806</v>
      </c>
      <c r="M765" s="300"/>
      <c r="N765" s="283"/>
      <c r="O765" s="283"/>
      <c r="P765" s="97"/>
      <c r="Q765" s="97"/>
      <c r="R765" s="97"/>
      <c r="S765" s="97"/>
      <c r="T765" s="97"/>
      <c r="U765" s="97"/>
      <c r="V765" s="97"/>
      <c r="W765" s="1376" t="s">
        <v>3342</v>
      </c>
      <c r="X765" s="1295"/>
      <c r="Y765" s="1523" t="str">
        <f>IF(LEN('Ch6'!X511)=0,"None",'Ch6'!X511)</f>
        <v>None</v>
      </c>
      <c r="Z765" s="1583"/>
      <c r="AC765" s="280"/>
      <c r="AD765" s="280"/>
      <c r="AE765" s="280"/>
      <c r="AF765" s="280"/>
      <c r="AG765" s="280"/>
      <c r="AH765" s="280"/>
      <c r="AI765" s="280"/>
      <c r="AJ765" s="280"/>
      <c r="AK765" s="280"/>
      <c r="AL765" s="280"/>
      <c r="AM765" s="280"/>
      <c r="AN765" s="280"/>
      <c r="AO765" s="280"/>
      <c r="AP765" s="280"/>
      <c r="AQ765" s="280"/>
      <c r="AR765" s="311" t="str">
        <f>SUBSTITUTE(SUBSTITUTE(SUBSTITUTE("vnt"&amp;$B765&amp;$C765&amp;$D765&amp;$E765&amp;$F765,".","_"),"(","_"),")","")</f>
        <v>vnt611_4_2</v>
      </c>
      <c r="AS765" s="311">
        <f>X765</f>
        <v>0</v>
      </c>
      <c r="BJ765" s="1184" t="s">
        <v>4763</v>
      </c>
    </row>
    <row r="766" spans="1:62" x14ac:dyDescent="0.3">
      <c r="A766" s="1200">
        <v>6</v>
      </c>
      <c r="B766" s="1208" t="s">
        <v>805</v>
      </c>
      <c r="C766" s="1203"/>
      <c r="D766" s="1203"/>
      <c r="E766" s="1203"/>
      <c r="F766" s="1203"/>
      <c r="G766" s="1202" t="str">
        <f t="shared" si="230"/>
        <v/>
      </c>
      <c r="H766" s="1200" t="s">
        <v>4388</v>
      </c>
      <c r="I766" s="141"/>
      <c r="J766" s="140"/>
      <c r="K766" s="98"/>
      <c r="L766" s="1342"/>
      <c r="M766" s="300"/>
      <c r="N766" s="283"/>
      <c r="O766" s="283"/>
      <c r="P766" s="97"/>
      <c r="Q766" s="97"/>
      <c r="R766" s="97"/>
      <c r="S766" s="97"/>
      <c r="T766" s="97"/>
      <c r="U766" s="97"/>
      <c r="V766" s="97"/>
      <c r="W766" s="1376"/>
      <c r="X766" s="1295"/>
      <c r="Y766" s="1523"/>
      <c r="Z766" s="1583"/>
      <c r="AC766" s="280"/>
      <c r="AD766" s="280"/>
      <c r="AE766" s="280"/>
      <c r="AF766" s="280"/>
      <c r="AG766" s="280"/>
      <c r="AH766" s="280"/>
      <c r="AI766" s="280"/>
      <c r="AJ766" s="280"/>
      <c r="AK766" s="280"/>
      <c r="AL766" s="280"/>
      <c r="AM766" s="280"/>
      <c r="AN766" s="280"/>
      <c r="AO766" s="280"/>
      <c r="AP766" s="280"/>
      <c r="AQ766" s="280"/>
      <c r="AR766" s="280"/>
      <c r="AS766" s="280"/>
      <c r="BJ766" s="1184" t="s">
        <v>4763</v>
      </c>
    </row>
    <row r="767" spans="1:62" x14ac:dyDescent="0.3">
      <c r="A767" s="1200">
        <v>6</v>
      </c>
      <c r="B767" s="1208" t="s">
        <v>805</v>
      </c>
      <c r="C767" s="1203"/>
      <c r="D767" s="1203"/>
      <c r="E767" s="1203"/>
      <c r="F767" s="1203"/>
      <c r="G767" s="1202" t="str">
        <f t="shared" si="230"/>
        <v/>
      </c>
      <c r="H767" s="1200" t="s">
        <v>4388</v>
      </c>
      <c r="I767" s="141"/>
      <c r="J767" s="140"/>
      <c r="K767" s="98"/>
      <c r="L767" s="1342"/>
      <c r="M767" s="300"/>
      <c r="N767" s="283"/>
      <c r="O767" s="283"/>
      <c r="P767" s="280" t="b">
        <v>0</v>
      </c>
      <c r="Q767" s="280" t="b">
        <v>1</v>
      </c>
      <c r="R767" s="97" t="b">
        <v>0</v>
      </c>
      <c r="S767" s="97" t="b">
        <v>1</v>
      </c>
      <c r="T767" s="97" t="b">
        <v>0</v>
      </c>
      <c r="U767" s="97"/>
      <c r="V767" s="97"/>
      <c r="W767" s="223"/>
      <c r="X767" s="1295"/>
      <c r="Y767" s="1523"/>
      <c r="Z767" s="1583"/>
      <c r="AC767" s="280" t="b">
        <f>OR(AD767:AE767)</f>
        <v>0</v>
      </c>
      <c r="AD767" s="985" t="b">
        <f>T767</f>
        <v>0</v>
      </c>
      <c r="AE767" s="280" t="b">
        <f>AND(W767&gt;0,LEN(X765)=0)</f>
        <v>0</v>
      </c>
      <c r="AF767" s="1182" t="b">
        <f>AND(AE767,NOT(Q767))</f>
        <v>0</v>
      </c>
      <c r="AG767" s="280"/>
      <c r="AH767" s="280"/>
      <c r="AI767" s="280"/>
      <c r="AJ767" s="280"/>
      <c r="AK767" s="280"/>
      <c r="AL767" s="280"/>
      <c r="AM767" s="280"/>
      <c r="AN767" s="280"/>
      <c r="AO767" s="280"/>
      <c r="AP767" s="311" t="str">
        <f>SUBSTITUTE(SUBSTITUTE(SUBSTITUTE("vch"&amp;$B767&amp;$C767&amp;$D767&amp;$E767&amp;$F767,".","_"),"(","_"),")","")</f>
        <v>vch611_4_2</v>
      </c>
      <c r="AQ767" s="311">
        <f>W767</f>
        <v>0</v>
      </c>
      <c r="AR767" s="280"/>
      <c r="AS767" s="280"/>
      <c r="BJ767" s="1184" t="s">
        <v>4763</v>
      </c>
    </row>
    <row r="768" spans="1:62" x14ac:dyDescent="0.3">
      <c r="A768" s="1200">
        <v>6</v>
      </c>
      <c r="B768" s="1208" t="s">
        <v>805</v>
      </c>
      <c r="C768" s="1203"/>
      <c r="D768" s="1203"/>
      <c r="E768" s="1203"/>
      <c r="F768" s="1203"/>
      <c r="G768" s="1202" t="str">
        <f t="shared" si="230"/>
        <v/>
      </c>
      <c r="H768" s="1200" t="s">
        <v>4388</v>
      </c>
      <c r="I768" s="141"/>
      <c r="J768" s="140"/>
      <c r="K768" s="98"/>
      <c r="L768" s="1342"/>
      <c r="M768" s="300"/>
      <c r="N768" s="283"/>
      <c r="O768" s="283"/>
      <c r="P768" s="97"/>
      <c r="Q768" s="97"/>
      <c r="R768" s="97"/>
      <c r="S768" s="97"/>
      <c r="T768" s="97"/>
      <c r="U768" s="97"/>
      <c r="V768" s="97"/>
      <c r="W768" s="97"/>
      <c r="X768" s="1295"/>
      <c r="Y768" s="1523"/>
      <c r="Z768" s="1583"/>
      <c r="BJ768" s="1184" t="s">
        <v>4763</v>
      </c>
    </row>
    <row r="769" spans="1:62" x14ac:dyDescent="0.3">
      <c r="A769" s="1200">
        <v>6</v>
      </c>
      <c r="B769" s="1208" t="s">
        <v>805</v>
      </c>
      <c r="C769" s="1203"/>
      <c r="D769" s="1203"/>
      <c r="E769" s="1203"/>
      <c r="F769" s="1203"/>
      <c r="G769" s="1202" t="str">
        <f t="shared" si="230"/>
        <v/>
      </c>
      <c r="H769" s="1200" t="s">
        <v>4388</v>
      </c>
      <c r="I769" s="141"/>
      <c r="J769" s="140"/>
      <c r="K769" s="98"/>
      <c r="L769" s="1342"/>
      <c r="M769" s="300"/>
      <c r="N769" s="283"/>
      <c r="O769" s="283"/>
      <c r="P769" s="97"/>
      <c r="Q769" s="97"/>
      <c r="R769" s="97"/>
      <c r="S769" s="97"/>
      <c r="T769" s="97"/>
      <c r="U769" s="97"/>
      <c r="V769" s="97"/>
      <c r="W769" s="97"/>
      <c r="X769" s="1295"/>
      <c r="Y769" s="1523"/>
      <c r="Z769" s="1583"/>
      <c r="BJ769" s="1184" t="s">
        <v>4763</v>
      </c>
    </row>
    <row r="770" spans="1:62" x14ac:dyDescent="0.3">
      <c r="A770" s="1200">
        <v>6</v>
      </c>
      <c r="B770" s="1208" t="s">
        <v>805</v>
      </c>
      <c r="C770" s="1203"/>
      <c r="D770" s="1203"/>
      <c r="E770" s="1203"/>
      <c r="F770" s="1203"/>
      <c r="G770" s="1202" t="str">
        <f t="shared" si="230"/>
        <v/>
      </c>
      <c r="H770" s="1200" t="s">
        <v>4388</v>
      </c>
      <c r="I770" s="141"/>
      <c r="J770" s="140"/>
      <c r="K770" s="98"/>
      <c r="L770" s="1342"/>
      <c r="M770" s="300"/>
      <c r="N770" s="283"/>
      <c r="O770" s="283"/>
      <c r="P770" s="97"/>
      <c r="Q770" s="97"/>
      <c r="R770" s="97"/>
      <c r="S770" s="97"/>
      <c r="T770" s="97"/>
      <c r="U770" s="97"/>
      <c r="V770" s="97"/>
      <c r="W770" s="97"/>
      <c r="X770" s="1295"/>
      <c r="Y770" s="1523"/>
      <c r="Z770" s="1583"/>
      <c r="BJ770" s="1184" t="s">
        <v>4763</v>
      </c>
    </row>
    <row r="771" spans="1:62" ht="15" thickBot="1" x14ac:dyDescent="0.35">
      <c r="A771" s="1200">
        <v>6</v>
      </c>
      <c r="B771" s="1208" t="s">
        <v>805</v>
      </c>
      <c r="C771" s="1207"/>
      <c r="D771" s="1207"/>
      <c r="E771" s="1207"/>
      <c r="F771" s="1207"/>
      <c r="G771" s="1202" t="str">
        <f t="shared" si="230"/>
        <v/>
      </c>
      <c r="H771" s="1200" t="s">
        <v>4388</v>
      </c>
      <c r="I771" s="104"/>
      <c r="J771" s="104"/>
      <c r="K771" s="104"/>
      <c r="L771" s="199" t="s">
        <v>3343</v>
      </c>
      <c r="M771" s="224"/>
      <c r="N771" s="288"/>
      <c r="O771" s="288"/>
      <c r="P771" s="104"/>
      <c r="Q771" s="104"/>
      <c r="R771" s="104"/>
      <c r="S771" s="104"/>
      <c r="T771" s="104"/>
      <c r="U771" s="104"/>
      <c r="V771" s="104"/>
      <c r="W771" s="104"/>
      <c r="X771" s="1296"/>
      <c r="Y771" s="1524"/>
      <c r="Z771" s="1584"/>
      <c r="BJ771" s="1184" t="s">
        <v>4763</v>
      </c>
    </row>
    <row r="772" spans="1:62" ht="18.600000000000001" thickTop="1" x14ac:dyDescent="0.35">
      <c r="A772" s="1200">
        <v>7</v>
      </c>
      <c r="B772" s="1214" t="s">
        <v>946</v>
      </c>
      <c r="C772" s="1200"/>
      <c r="D772" s="1200"/>
      <c r="E772" s="1200"/>
      <c r="F772" s="1200"/>
      <c r="G772" s="1202" t="s">
        <v>4389</v>
      </c>
      <c r="H772" s="1200" t="s">
        <v>4386</v>
      </c>
      <c r="I772" s="22" t="s">
        <v>947</v>
      </c>
      <c r="J772" s="22"/>
      <c r="K772" s="22"/>
      <c r="L772" s="23"/>
      <c r="M772" s="24"/>
      <c r="N772" s="24"/>
      <c r="O772" s="24"/>
      <c r="P772" s="896" t="s">
        <v>260</v>
      </c>
      <c r="Q772" s="896" t="s">
        <v>260</v>
      </c>
      <c r="R772" s="896" t="s">
        <v>260</v>
      </c>
      <c r="S772" s="896" t="s">
        <v>260</v>
      </c>
      <c r="T772" s="896" t="s">
        <v>260</v>
      </c>
      <c r="U772" s="896" t="s">
        <v>260</v>
      </c>
      <c r="V772" s="896" t="s">
        <v>260</v>
      </c>
      <c r="W772" s="23"/>
      <c r="X772" s="23"/>
      <c r="Y772" s="23"/>
      <c r="Z772" s="1168"/>
      <c r="AB772" s="791"/>
      <c r="AC772" s="791"/>
      <c r="AD772" s="791"/>
      <c r="AE772" s="791"/>
      <c r="AF772" s="791"/>
      <c r="AG772" s="791"/>
      <c r="AH772" s="791"/>
      <c r="AI772" s="791"/>
      <c r="AJ772" s="791"/>
      <c r="AK772" s="791"/>
      <c r="AL772" s="791"/>
      <c r="AM772" s="791"/>
      <c r="AN772" s="791"/>
      <c r="AO772" s="791"/>
      <c r="AP772" s="791"/>
      <c r="AQ772" s="791"/>
      <c r="AR772" s="791"/>
      <c r="AS772" s="791"/>
      <c r="AT772" s="791"/>
      <c r="AU772" s="791"/>
      <c r="AV772" s="791"/>
      <c r="AW772" s="791"/>
      <c r="AX772" s="791"/>
      <c r="AY772" s="791"/>
      <c r="AZ772" s="791"/>
      <c r="BA772" s="791"/>
      <c r="BB772" s="791"/>
      <c r="BC772" s="791"/>
      <c r="BD772" s="791"/>
      <c r="BE772" s="791"/>
      <c r="BF772" s="791"/>
      <c r="BG772" s="791"/>
      <c r="BH772" s="791"/>
      <c r="BI772" s="791"/>
      <c r="BJ772" s="1184" t="s">
        <v>4763</v>
      </c>
    </row>
    <row r="773" spans="1:62" x14ac:dyDescent="0.3">
      <c r="A773" s="1200">
        <v>7</v>
      </c>
      <c r="B773" s="1210" t="s">
        <v>4668</v>
      </c>
      <c r="C773" s="1215"/>
      <c r="D773" s="1203"/>
      <c r="E773" s="1203"/>
      <c r="F773" s="1203"/>
      <c r="G773" s="1202" t="s">
        <v>4389</v>
      </c>
      <c r="H773" s="1200" t="s">
        <v>4386</v>
      </c>
      <c r="I773" s="141">
        <v>701.1</v>
      </c>
      <c r="J773" s="614"/>
      <c r="K773" s="812"/>
      <c r="L773" s="1313" t="s">
        <v>948</v>
      </c>
      <c r="M773" s="795"/>
      <c r="N773" s="97"/>
      <c r="O773" s="838"/>
      <c r="P773" s="97"/>
      <c r="Q773" s="97"/>
      <c r="R773" s="97"/>
      <c r="S773" s="97"/>
      <c r="T773" s="97"/>
      <c r="U773" s="97"/>
      <c r="V773" s="97"/>
      <c r="W773" s="97"/>
      <c r="X773" s="97"/>
      <c r="Y773" s="790"/>
      <c r="Z773" s="1055"/>
      <c r="AB773" s="790"/>
      <c r="AC773" s="790"/>
      <c r="AD773" s="790"/>
      <c r="AE773" s="790"/>
      <c r="AF773" s="790"/>
      <c r="AG773" s="790"/>
      <c r="AH773" s="790"/>
      <c r="AI773" s="790"/>
      <c r="AJ773" s="790"/>
      <c r="AK773" s="790"/>
      <c r="AL773" s="790"/>
      <c r="AM773" s="790"/>
      <c r="AN773" s="790"/>
      <c r="AO773" s="790"/>
      <c r="AP773" s="790"/>
      <c r="AQ773" s="790"/>
      <c r="AR773" s="790"/>
      <c r="AS773" s="790"/>
      <c r="AT773" s="790"/>
      <c r="AU773" s="790"/>
      <c r="AV773" s="790"/>
      <c r="AW773" s="790"/>
      <c r="AX773" s="790"/>
      <c r="AY773" s="790"/>
      <c r="AZ773" s="790"/>
      <c r="BA773" s="790"/>
      <c r="BB773" s="790"/>
      <c r="BC773" s="790"/>
      <c r="BD773" s="790"/>
      <c r="BE773" s="790"/>
      <c r="BF773" s="790"/>
      <c r="BG773" s="790"/>
      <c r="BH773" s="790"/>
      <c r="BI773" s="790"/>
      <c r="BJ773" s="1184" t="s">
        <v>4763</v>
      </c>
    </row>
    <row r="774" spans="1:62" x14ac:dyDescent="0.3">
      <c r="A774" s="1200">
        <v>7</v>
      </c>
      <c r="B774" s="1210" t="s">
        <v>4668</v>
      </c>
      <c r="C774" s="1215"/>
      <c r="D774" s="1203"/>
      <c r="E774" s="1203"/>
      <c r="F774" s="1203"/>
      <c r="G774" s="1202" t="s">
        <v>4389</v>
      </c>
      <c r="H774" s="1200" t="s">
        <v>4386</v>
      </c>
      <c r="I774" s="141"/>
      <c r="J774" s="614"/>
      <c r="K774" s="812"/>
      <c r="L774" s="1313"/>
      <c r="M774" s="795"/>
      <c r="N774" s="97"/>
      <c r="O774" s="838"/>
      <c r="P774" s="97"/>
      <c r="Q774" s="97"/>
      <c r="R774" s="97"/>
      <c r="S774" s="97"/>
      <c r="T774" s="97"/>
      <c r="U774" s="97"/>
      <c r="V774" s="97"/>
      <c r="W774" s="97" t="s">
        <v>1306</v>
      </c>
      <c r="X774" s="97"/>
      <c r="Y774" s="790"/>
      <c r="Z774" s="1055"/>
      <c r="AB774" s="790"/>
      <c r="AC774" s="790"/>
      <c r="AD774" s="790"/>
      <c r="AE774" s="790"/>
      <c r="AF774" s="790"/>
      <c r="AG774" s="790"/>
      <c r="AH774" s="790"/>
      <c r="AI774" s="790"/>
      <c r="AJ774" s="790"/>
      <c r="AK774" s="790"/>
      <c r="AL774" s="790"/>
      <c r="AM774" s="790"/>
      <c r="AN774" s="790"/>
      <c r="AO774" s="790"/>
      <c r="AP774" s="790"/>
      <c r="AQ774" s="790"/>
      <c r="AR774" s="790"/>
      <c r="AS774" s="790"/>
      <c r="AT774" s="790"/>
      <c r="AU774" s="790"/>
      <c r="AV774" s="790"/>
      <c r="AW774" s="790"/>
      <c r="AX774" s="792" t="str">
        <f>'Overview (Verification)'!A8</f>
        <v>Builder Name:</v>
      </c>
      <c r="AY774" s="1077">
        <f>IF(LEN('Overview (Verification)'!P8)=0,0,'Overview (Verification)'!P8)</f>
        <v>0</v>
      </c>
      <c r="AZ774" s="790"/>
      <c r="BA774" s="790"/>
      <c r="BB774" s="790"/>
      <c r="BC774" s="790"/>
      <c r="BD774" s="790"/>
      <c r="BE774" s="790"/>
      <c r="BF774" s="790"/>
      <c r="BG774" s="790"/>
      <c r="BH774" s="790"/>
      <c r="BI774" s="790"/>
      <c r="BJ774" s="1184" t="s">
        <v>4763</v>
      </c>
    </row>
    <row r="775" spans="1:62" x14ac:dyDescent="0.3">
      <c r="A775" s="1200">
        <v>7</v>
      </c>
      <c r="B775" s="1210" t="s">
        <v>4668</v>
      </c>
      <c r="C775" s="1215"/>
      <c r="D775" s="1203"/>
      <c r="E775" s="1203"/>
      <c r="F775" s="1203"/>
      <c r="G775" s="1202" t="s">
        <v>4389</v>
      </c>
      <c r="H775" s="1200" t="s">
        <v>4386</v>
      </c>
      <c r="I775" s="141"/>
      <c r="J775" s="614"/>
      <c r="K775" s="812"/>
      <c r="L775" s="1313"/>
      <c r="M775" s="795"/>
      <c r="N775" s="97"/>
      <c r="O775" s="838"/>
      <c r="P775" s="97" t="b">
        <v>1</v>
      </c>
      <c r="Q775" s="97" t="b">
        <v>0</v>
      </c>
      <c r="R775" s="97" t="b">
        <v>1</v>
      </c>
      <c r="S775" s="97" t="b">
        <v>1</v>
      </c>
      <c r="T775" s="97" t="b">
        <f>AND(NOT(S775),LEN(W775)&gt;0)</f>
        <v>0</v>
      </c>
      <c r="U775" s="97" t="str">
        <f>SUBSTITUTE(SUBSTITUTE(SUBSTITUTE("dd"&amp;B775&amp;C775&amp;D775&amp;E775&amp;F775,".","_"),"(","_"),")","")</f>
        <v>dd701_1</v>
      </c>
      <c r="V775" s="97"/>
      <c r="W775" s="12"/>
      <c r="X775" s="97"/>
      <c r="Y775" s="790"/>
      <c r="Z775" s="1055"/>
      <c r="AB775" s="790"/>
      <c r="AC775" s="790" t="b">
        <f>OR(AD775:AE775)</f>
        <v>1</v>
      </c>
      <c r="AD775" s="790" t="b">
        <f>T775</f>
        <v>0</v>
      </c>
      <c r="AE775" s="790" t="b">
        <f>AND(R775,ISBLANK(W775))</f>
        <v>1</v>
      </c>
      <c r="AF775" s="1182" t="b">
        <f>AND(AE775,NOT(Q775))</f>
        <v>1</v>
      </c>
      <c r="AG775" s="790"/>
      <c r="AH775" s="790"/>
      <c r="AI775" s="790"/>
      <c r="AJ775" s="790"/>
      <c r="AK775" s="790"/>
      <c r="AL775" s="311"/>
      <c r="AM775" s="311"/>
      <c r="AN775" s="311"/>
      <c r="AO775" s="311"/>
      <c r="AP775" s="311" t="str">
        <f>SUBSTITUTE(SUBSTITUTE(SUBSTITUTE("vch"&amp;$B775&amp;$C775&amp;$D775&amp;$E775&amp;$F775,".","_"),"(","_"),")","")</f>
        <v>vch701_1</v>
      </c>
      <c r="AQ775" s="311">
        <f>W775</f>
        <v>0</v>
      </c>
      <c r="AR775" s="311"/>
      <c r="AS775" s="311"/>
      <c r="AT775" s="790"/>
      <c r="AU775" s="790"/>
      <c r="AV775" s="790"/>
      <c r="AW775" s="790"/>
      <c r="AX775" s="792" t="str">
        <f>'Overview (Verification)'!A9</f>
        <v>Physical Address of Home:</v>
      </c>
      <c r="AY775" s="1077">
        <f>IF(LEN('Overview (Verification)'!P9)=0,0,'Overview (Verification)'!P9)</f>
        <v>0</v>
      </c>
      <c r="AZ775" s="790"/>
      <c r="BA775" s="790"/>
      <c r="BB775" s="790"/>
      <c r="BC775" s="790"/>
      <c r="BD775" s="790"/>
      <c r="BE775" s="790"/>
      <c r="BF775" s="790"/>
      <c r="BG775" s="790"/>
      <c r="BH775" s="790"/>
      <c r="BI775" s="790"/>
      <c r="BJ775" s="1184" t="s">
        <v>4763</v>
      </c>
    </row>
    <row r="776" spans="1:62" x14ac:dyDescent="0.3">
      <c r="A776" s="1200">
        <v>7</v>
      </c>
      <c r="B776" s="1210" t="s">
        <v>4668</v>
      </c>
      <c r="C776" s="1215"/>
      <c r="D776" s="1203"/>
      <c r="E776" s="1203"/>
      <c r="F776" s="1203"/>
      <c r="G776" s="1202" t="s">
        <v>4389</v>
      </c>
      <c r="H776" s="1200" t="s">
        <v>4386</v>
      </c>
      <c r="I776" s="244"/>
      <c r="J776" s="626"/>
      <c r="K776" s="813"/>
      <c r="L776" s="1350"/>
      <c r="M776" s="796"/>
      <c r="N776" s="196"/>
      <c r="O776" s="839"/>
      <c r="P776" s="196"/>
      <c r="Q776" s="196"/>
      <c r="R776" s="627" t="s">
        <v>3599</v>
      </c>
      <c r="S776" s="627">
        <f ca="1">IFERROR(MATCH(W775,INDIRECT(U775),0),0)</f>
        <v>0</v>
      </c>
      <c r="T776" s="196"/>
      <c r="U776" s="196"/>
      <c r="V776" s="196"/>
      <c r="W776" s="196"/>
      <c r="X776" s="196"/>
      <c r="Y776" s="790"/>
      <c r="Z776" s="1055"/>
      <c r="AB776" s="790"/>
      <c r="AC776" s="790"/>
      <c r="AD776" s="790"/>
      <c r="AE776" s="790"/>
      <c r="AF776" s="790"/>
      <c r="AG776" s="790"/>
      <c r="AH776" s="790"/>
      <c r="AI776" s="790"/>
      <c r="AJ776" s="790"/>
      <c r="AK776" s="790"/>
      <c r="AL776" s="790"/>
      <c r="AM776" s="790"/>
      <c r="AN776" s="790"/>
      <c r="AO776" s="790"/>
      <c r="AP776" s="790"/>
      <c r="AQ776" s="790"/>
      <c r="AR776" s="790"/>
      <c r="AS776" s="790"/>
      <c r="AT776" s="790"/>
      <c r="AU776" s="790"/>
      <c r="AV776" s="790"/>
      <c r="AW776" s="790"/>
      <c r="AX776" s="792" t="str">
        <f>'Overview (Verification)'!A10</f>
        <v>Community/Lot #:</v>
      </c>
      <c r="AY776" s="1077">
        <f>IF(LEN('Overview (Verification)'!P10)=0,0,'Overview (Verification)'!P10)</f>
        <v>0</v>
      </c>
      <c r="AZ776" s="790"/>
      <c r="BA776" s="790"/>
      <c r="BB776" s="790"/>
      <c r="BC776" s="790"/>
      <c r="BD776" s="790"/>
      <c r="BE776" s="790"/>
      <c r="BF776" s="790"/>
      <c r="BG776" s="790"/>
      <c r="BH776" s="790"/>
      <c r="BI776" s="790"/>
      <c r="BJ776" s="1184" t="s">
        <v>4763</v>
      </c>
    </row>
    <row r="777" spans="1:62" x14ac:dyDescent="0.3">
      <c r="A777" s="1200">
        <v>7</v>
      </c>
      <c r="B777" s="1210" t="s">
        <v>949</v>
      </c>
      <c r="C777" s="1215"/>
      <c r="D777" s="1203"/>
      <c r="E777" s="1203"/>
      <c r="F777" s="1203"/>
      <c r="G777" s="1202" t="s">
        <v>4389</v>
      </c>
      <c r="H777" s="1200" t="s">
        <v>4386</v>
      </c>
      <c r="I777" s="215" t="s">
        <v>949</v>
      </c>
      <c r="J777" s="823"/>
      <c r="K777" s="823"/>
      <c r="L777" s="1364" t="s">
        <v>950</v>
      </c>
      <c r="M777" s="1407" t="s">
        <v>3601</v>
      </c>
      <c r="N777" s="216"/>
      <c r="O777" s="810"/>
      <c r="P777" s="218" t="b">
        <v>0</v>
      </c>
      <c r="Q777" s="218"/>
      <c r="R777" s="628" t="s">
        <v>3600</v>
      </c>
      <c r="S777" s="628">
        <f ca="1">COUNTIF(O1226:O1279,"&gt;0")+MIN(1,O1287+O1288)+COUNTIF(O1291:O1324,"&gt;0")</f>
        <v>0</v>
      </c>
      <c r="T777" s="218"/>
      <c r="U777" s="218"/>
      <c r="V777" s="218"/>
      <c r="W777" s="218"/>
      <c r="X777" s="1295"/>
      <c r="Y777" s="1522" t="str">
        <f>IF(LEN('Ch7'!X14)=0,"None",'Ch7'!X14)</f>
        <v>None</v>
      </c>
      <c r="Z777" s="1586"/>
      <c r="AB777" s="790"/>
      <c r="AC777" s="790" t="b">
        <f ca="1">OR(AD777:AE777)</f>
        <v>0</v>
      </c>
      <c r="AD777" s="985"/>
      <c r="AE777" s="790" t="b">
        <f ca="1">IF(AND(OR(S776=1,S776=2,S776=3),S777&lt;2),TRUE,FALSE)</f>
        <v>0</v>
      </c>
      <c r="AF777" s="1182" t="b">
        <f ca="1">AND(AE777,NOT(Q777))</f>
        <v>0</v>
      </c>
      <c r="AG777" s="790"/>
      <c r="AH777" s="790"/>
      <c r="AI777" s="790"/>
      <c r="AJ777" s="790"/>
      <c r="AK777" s="790"/>
      <c r="AL777" s="790"/>
      <c r="AM777" s="790"/>
      <c r="AN777" s="790"/>
      <c r="AO777" s="790"/>
      <c r="AP777" s="790"/>
      <c r="AQ777" s="790"/>
      <c r="AR777" s="311" t="str">
        <f>SUBSTITUTE(SUBSTITUTE(SUBSTITUTE("vnt"&amp;$B777&amp;$C777&amp;$D777&amp;$E777&amp;$F777,".","_"),"(","_"),")","")</f>
        <v>vnt701_1_1</v>
      </c>
      <c r="AS777" s="311">
        <f>X777</f>
        <v>0</v>
      </c>
      <c r="AT777" s="790"/>
      <c r="AU777" s="790"/>
      <c r="AV777" s="790"/>
      <c r="AW777" s="790"/>
      <c r="AX777" s="792" t="str">
        <f>'Overview (Verification)'!A11</f>
        <v>City:</v>
      </c>
      <c r="AY777" s="1077">
        <f>IF(LEN('Overview (Verification)'!P11)=0,0,'Overview (Verification)'!P11)</f>
        <v>0</v>
      </c>
      <c r="AZ777" s="790"/>
      <c r="BA777" s="790"/>
      <c r="BB777" s="790"/>
      <c r="BC777" s="790"/>
      <c r="BD777" s="790"/>
      <c r="BE777" s="790"/>
      <c r="BF777" s="790"/>
      <c r="BG777" s="790"/>
      <c r="BH777" s="790"/>
      <c r="BI777" s="790"/>
      <c r="BJ777" s="1184" t="s">
        <v>4763</v>
      </c>
    </row>
    <row r="778" spans="1:62" x14ac:dyDescent="0.3">
      <c r="A778" s="1200">
        <v>7</v>
      </c>
      <c r="B778" s="1210" t="s">
        <v>949</v>
      </c>
      <c r="C778" s="1215"/>
      <c r="D778" s="1203"/>
      <c r="E778" s="1203"/>
      <c r="F778" s="1203"/>
      <c r="G778" s="1202" t="s">
        <v>4389</v>
      </c>
      <c r="H778" s="1200" t="s">
        <v>4386</v>
      </c>
      <c r="I778" s="238"/>
      <c r="J778" s="813"/>
      <c r="K778" s="813"/>
      <c r="L778" s="1350"/>
      <c r="M778" s="1408"/>
      <c r="N778" s="140"/>
      <c r="O778" s="803"/>
      <c r="P778" s="97"/>
      <c r="Q778" s="97"/>
      <c r="R778" s="97"/>
      <c r="S778" s="97"/>
      <c r="T778" s="97"/>
      <c r="U778" s="97"/>
      <c r="V778" s="97"/>
      <c r="W778" s="97"/>
      <c r="X778" s="1295"/>
      <c r="Y778" s="1522"/>
      <c r="Z778" s="1586"/>
      <c r="AB778" s="790"/>
      <c r="AC778" s="790"/>
      <c r="AD778" s="790"/>
      <c r="AE778" s="790"/>
      <c r="AF778" s="790"/>
      <c r="AG778" s="790"/>
      <c r="AH778" s="790"/>
      <c r="AI778" s="790"/>
      <c r="AJ778" s="790"/>
      <c r="AK778" s="790"/>
      <c r="AL778" s="790"/>
      <c r="AM778" s="790"/>
      <c r="AN778" s="790"/>
      <c r="AO778" s="790"/>
      <c r="AP778" s="790"/>
      <c r="AQ778" s="790"/>
      <c r="AR778" s="790"/>
      <c r="AS778" s="790"/>
      <c r="AT778" s="790"/>
      <c r="AU778" s="790"/>
      <c r="AV778" s="790"/>
      <c r="AW778" s="790"/>
      <c r="AX778" s="792" t="str">
        <f>'Overview (Verification)'!A12</f>
        <v>State:</v>
      </c>
      <c r="AY778" s="1077">
        <f>IF(LEN('Overview (Verification)'!P12)=0,0,'Overview (Verification)'!P12)</f>
        <v>0</v>
      </c>
      <c r="AZ778" s="790"/>
      <c r="BA778" s="790"/>
      <c r="BB778" s="790"/>
      <c r="BC778" s="790" t="str">
        <f>'Overview (Verification)'!T12</f>
        <v>State</v>
      </c>
      <c r="BD778" s="790" t="str">
        <f>'Overview (Verification)'!U12</f>
        <v>County</v>
      </c>
      <c r="BE778" s="790" t="str">
        <f>'Overview (Verification)'!V12</f>
        <v>Radon</v>
      </c>
      <c r="BF778" s="790" t="str">
        <f>'Overview (Verification)'!W12</f>
        <v>Climate</v>
      </c>
      <c r="BG778" s="790" t="str">
        <f>'Overview (Verification)'!X12</f>
        <v>Moist</v>
      </c>
      <c r="BH778" s="790" t="str">
        <f>'Overview (Verification)'!Y12</f>
        <v>WarmHumid</v>
      </c>
      <c r="BI778" s="790" t="str">
        <f>'Overview (Verification)'!Z12</f>
        <v>Tropical</v>
      </c>
      <c r="BJ778" s="1184" t="s">
        <v>4763</v>
      </c>
    </row>
    <row r="779" spans="1:62" x14ac:dyDescent="0.3">
      <c r="A779" s="1200">
        <v>7</v>
      </c>
      <c r="B779" s="1210" t="s">
        <v>951</v>
      </c>
      <c r="C779" s="1215"/>
      <c r="D779" s="1203"/>
      <c r="E779" s="1203"/>
      <c r="F779" s="1203"/>
      <c r="G779" s="1202" t="s">
        <v>4389</v>
      </c>
      <c r="H779" s="1200" t="s">
        <v>4386</v>
      </c>
      <c r="I779" s="215" t="s">
        <v>951</v>
      </c>
      <c r="J779" s="823"/>
      <c r="K779" s="823"/>
      <c r="L779" s="1364" t="s">
        <v>952</v>
      </c>
      <c r="M779" s="1408"/>
      <c r="N779" s="140"/>
      <c r="O779" s="803"/>
      <c r="P779" s="97"/>
      <c r="Q779" s="97"/>
      <c r="R779" s="97"/>
      <c r="S779" s="97"/>
      <c r="T779" s="97"/>
      <c r="U779" s="97"/>
      <c r="V779" s="97"/>
      <c r="W779" s="97"/>
      <c r="X779" s="1295"/>
      <c r="Y779" s="1522" t="str">
        <f>IF(LEN('Ch7'!X16)=0,"None",'Ch7'!X16)</f>
        <v>None</v>
      </c>
      <c r="Z779" s="1586"/>
      <c r="AB779" s="790"/>
      <c r="AC779" s="790" t="b">
        <f>OR(AD779:AE779)</f>
        <v>0</v>
      </c>
      <c r="AD779" s="985"/>
      <c r="AE779" s="790" t="b">
        <v>0</v>
      </c>
      <c r="AF779" s="1182" t="b">
        <f>AND(AE779,NOT(Q779))</f>
        <v>0</v>
      </c>
      <c r="AG779" s="790"/>
      <c r="AH779" s="790"/>
      <c r="AI779" s="790"/>
      <c r="AJ779" s="790"/>
      <c r="AK779" s="790"/>
      <c r="AL779" s="790"/>
      <c r="AM779" s="790"/>
      <c r="AN779" s="790"/>
      <c r="AO779" s="790"/>
      <c r="AP779" s="790"/>
      <c r="AQ779" s="790"/>
      <c r="AR779" s="311" t="str">
        <f>SUBSTITUTE(SUBSTITUTE(SUBSTITUTE("vnt"&amp;$B779&amp;$C779&amp;$D779&amp;$E779&amp;$F779,".","_"),"(","_"),")","")</f>
        <v>vnt701_1_2</v>
      </c>
      <c r="AS779" s="311">
        <f>X779</f>
        <v>0</v>
      </c>
      <c r="AT779" s="790"/>
      <c r="AU779" s="790"/>
      <c r="AV779" s="790"/>
      <c r="AW779" s="790"/>
      <c r="AX779" s="792" t="str">
        <f>'Overview (Verification)'!A13</f>
        <v>County:</v>
      </c>
      <c r="AY779" s="1077">
        <f>IF(LEN('Overview (Verification)'!P13)=0,0,'Overview (Verification)'!P13)</f>
        <v>0</v>
      </c>
      <c r="AZ779" s="790"/>
      <c r="BA779" s="790"/>
      <c r="BB779" s="790"/>
      <c r="BC779" s="790" t="str">
        <f>'Overview (Verification)'!T13</f>
        <v/>
      </c>
      <c r="BD779" s="790" t="str">
        <f>'Overview (Verification)'!U13</f>
        <v/>
      </c>
      <c r="BE779" s="790" t="str">
        <f>'Overview (Verification)'!V13</f>
        <v>!!</v>
      </c>
      <c r="BF779" s="790" t="str">
        <f>'Overview (Verification)'!W13</f>
        <v>!!</v>
      </c>
      <c r="BG779" s="790" t="str">
        <f>'Overview (Verification)'!X13</f>
        <v>!!</v>
      </c>
      <c r="BH779" s="790" t="str">
        <f>'Overview (Verification)'!Y13</f>
        <v>!!</v>
      </c>
      <c r="BI779" s="790" t="str">
        <f>'Overview (Verification)'!Z13</f>
        <v>!!</v>
      </c>
      <c r="BJ779" s="1184" t="s">
        <v>4763</v>
      </c>
    </row>
    <row r="780" spans="1:62" x14ac:dyDescent="0.3">
      <c r="A780" s="1200">
        <v>7</v>
      </c>
      <c r="B780" s="1210" t="s">
        <v>951</v>
      </c>
      <c r="C780" s="1215"/>
      <c r="D780" s="1203"/>
      <c r="E780" s="1203"/>
      <c r="F780" s="1203"/>
      <c r="G780" s="1202" t="s">
        <v>4389</v>
      </c>
      <c r="H780" s="1200" t="s">
        <v>4386</v>
      </c>
      <c r="I780" s="140"/>
      <c r="J780" s="812"/>
      <c r="K780" s="812"/>
      <c r="L780" s="1313"/>
      <c r="M780" s="1408"/>
      <c r="N780" s="140"/>
      <c r="O780" s="803"/>
      <c r="P780" s="97"/>
      <c r="Q780" s="97"/>
      <c r="R780" s="97"/>
      <c r="S780" s="97"/>
      <c r="T780" s="97"/>
      <c r="U780" s="97"/>
      <c r="V780" s="97"/>
      <c r="W780" s="97"/>
      <c r="X780" s="1295"/>
      <c r="Y780" s="1522"/>
      <c r="Z780" s="1586"/>
      <c r="AB780" s="790"/>
      <c r="AC780" s="790"/>
      <c r="AD780" s="790"/>
      <c r="AE780" s="790"/>
      <c r="AF780" s="790"/>
      <c r="AG780" s="790"/>
      <c r="AH780" s="790"/>
      <c r="AI780" s="790"/>
      <c r="AJ780" s="790"/>
      <c r="AK780" s="790"/>
      <c r="AL780" s="790"/>
      <c r="AM780" s="790"/>
      <c r="AN780" s="790"/>
      <c r="AO780" s="790"/>
      <c r="AP780" s="790"/>
      <c r="AQ780" s="790"/>
      <c r="AR780" s="790"/>
      <c r="AS780" s="790"/>
      <c r="AT780" s="790"/>
      <c r="AU780" s="790"/>
      <c r="AV780" s="790"/>
      <c r="AW780" s="790"/>
      <c r="AX780" s="792" t="str">
        <f>'Overview (Verification)'!A14</f>
        <v>Zip:</v>
      </c>
      <c r="AY780" s="1077">
        <f>IF(LEN('Overview (Verification)'!P14)=0,0,'Overview (Verification)'!P14)</f>
        <v>0</v>
      </c>
      <c r="AZ780" s="790"/>
      <c r="BA780" s="790"/>
      <c r="BB780" s="790"/>
      <c r="BC780" s="790"/>
      <c r="BD780" s="790"/>
      <c r="BE780" s="790"/>
      <c r="BF780" s="790"/>
      <c r="BG780" s="790"/>
      <c r="BH780" s="790"/>
      <c r="BI780" s="790"/>
      <c r="BJ780" s="1184" t="s">
        <v>4763</v>
      </c>
    </row>
    <row r="781" spans="1:62" x14ac:dyDescent="0.3">
      <c r="A781" s="1200">
        <v>7</v>
      </c>
      <c r="B781" s="1210" t="s">
        <v>951</v>
      </c>
      <c r="C781" s="1215"/>
      <c r="D781" s="1203"/>
      <c r="E781" s="1203"/>
      <c r="F781" s="1203"/>
      <c r="G781" s="1202" t="s">
        <v>4389</v>
      </c>
      <c r="H781" s="1200" t="s">
        <v>4386</v>
      </c>
      <c r="I781" s="238"/>
      <c r="J781" s="813"/>
      <c r="K781" s="813"/>
      <c r="L781" s="1350"/>
      <c r="M781" s="1408"/>
      <c r="N781" s="140"/>
      <c r="O781" s="803"/>
      <c r="P781" s="97"/>
      <c r="Q781" s="97"/>
      <c r="R781" s="97"/>
      <c r="S781" s="97"/>
      <c r="T781" s="97"/>
      <c r="U781" s="97"/>
      <c r="V781" s="97"/>
      <c r="W781" s="97"/>
      <c r="X781" s="1295"/>
      <c r="Y781" s="1522"/>
      <c r="Z781" s="1586"/>
      <c r="AB781" s="790"/>
      <c r="AC781" s="790"/>
      <c r="AD781" s="790"/>
      <c r="AE781" s="790"/>
      <c r="AF781" s="790"/>
      <c r="AG781" s="790"/>
      <c r="AH781" s="790"/>
      <c r="AI781" s="790"/>
      <c r="AJ781" s="790"/>
      <c r="AK781" s="790"/>
      <c r="AL781" s="790"/>
      <c r="AM781" s="790"/>
      <c r="AN781" s="790"/>
      <c r="AO781" s="790"/>
      <c r="AP781" s="790"/>
      <c r="AQ781" s="790"/>
      <c r="AR781" s="790"/>
      <c r="AS781" s="790"/>
      <c r="AT781" s="790"/>
      <c r="AU781" s="790"/>
      <c r="AV781" s="790"/>
      <c r="AW781" s="790"/>
      <c r="AX781" s="792"/>
      <c r="AY781" s="1077"/>
      <c r="AZ781" s="790"/>
      <c r="BA781" s="790"/>
      <c r="BB781" s="790"/>
      <c r="BC781" s="790"/>
      <c r="BD781" s="790"/>
      <c r="BE781" s="790"/>
      <c r="BF781" s="790"/>
      <c r="BG781" s="790"/>
      <c r="BH781" s="790"/>
      <c r="BI781" s="790"/>
      <c r="BJ781" s="1184" t="s">
        <v>4763</v>
      </c>
    </row>
    <row r="782" spans="1:62" x14ac:dyDescent="0.3">
      <c r="A782" s="1200">
        <v>7</v>
      </c>
      <c r="B782" s="1210" t="s">
        <v>953</v>
      </c>
      <c r="C782" s="1215"/>
      <c r="D782" s="1203"/>
      <c r="E782" s="1203"/>
      <c r="F782" s="1203"/>
      <c r="G782" s="1202" t="s">
        <v>4389</v>
      </c>
      <c r="H782" s="1200" t="s">
        <v>4386</v>
      </c>
      <c r="I782" s="141" t="s">
        <v>953</v>
      </c>
      <c r="J782" s="812"/>
      <c r="K782" s="812"/>
      <c r="L782" s="1313" t="s">
        <v>954</v>
      </c>
      <c r="M782" s="1408"/>
      <c r="N782" s="790"/>
      <c r="O782" s="803"/>
      <c r="P782" s="97"/>
      <c r="Q782" s="97"/>
      <c r="R782" s="97"/>
      <c r="S782" s="97"/>
      <c r="T782" s="97"/>
      <c r="U782" s="97"/>
      <c r="V782" s="97"/>
      <c r="W782" s="97"/>
      <c r="X782" s="1295"/>
      <c r="Y782" s="1522" t="str">
        <f>IF(LEN('Ch7'!X19)=0,"None",'Ch7'!X19)</f>
        <v>None</v>
      </c>
      <c r="Z782" s="1586"/>
      <c r="AB782" s="790"/>
      <c r="AC782" s="790"/>
      <c r="AD782" s="790"/>
      <c r="AE782" s="790"/>
      <c r="AF782" s="790"/>
      <c r="AG782" s="790"/>
      <c r="AH782" s="790"/>
      <c r="AI782" s="790"/>
      <c r="AJ782" s="790"/>
      <c r="AK782" s="790"/>
      <c r="AL782" s="790"/>
      <c r="AM782" s="790"/>
      <c r="AN782" s="790"/>
      <c r="AO782" s="790"/>
      <c r="AP782" s="790"/>
      <c r="AQ782" s="790"/>
      <c r="AR782" s="311" t="str">
        <f>SUBSTITUTE(SUBSTITUTE(SUBSTITUTE("vnt"&amp;$B782&amp;$C782&amp;$D782&amp;$E782&amp;$F782,".","_"),"(","_"),")","")</f>
        <v>vnt701_1_3</v>
      </c>
      <c r="AS782" s="311">
        <f>X782</f>
        <v>0</v>
      </c>
      <c r="AT782" s="790"/>
      <c r="AU782" s="790"/>
      <c r="AV782" s="790"/>
      <c r="AW782" s="790"/>
      <c r="AX782" s="792" t="str">
        <f>'Overview (Verification)'!A16</f>
        <v>Single-Family or Multifamily:</v>
      </c>
      <c r="AY782" s="1077">
        <f>IF(LEN('Overview (Verification)'!P16)=0,0,'Overview (Verification)'!P16)</f>
        <v>0</v>
      </c>
      <c r="AZ782" s="790"/>
      <c r="BA782" s="790"/>
      <c r="BB782" s="790"/>
      <c r="BC782" s="790"/>
      <c r="BD782" s="790"/>
      <c r="BE782" s="790"/>
      <c r="BF782" s="790"/>
      <c r="BG782" s="790"/>
      <c r="BH782" s="790"/>
      <c r="BI782" s="790"/>
      <c r="BJ782" s="1184" t="s">
        <v>4763</v>
      </c>
    </row>
    <row r="783" spans="1:62" x14ac:dyDescent="0.3">
      <c r="A783" s="1200">
        <v>7</v>
      </c>
      <c r="B783" s="1210" t="s">
        <v>953</v>
      </c>
      <c r="C783" s="1215"/>
      <c r="D783" s="1203"/>
      <c r="E783" s="1203"/>
      <c r="F783" s="1203"/>
      <c r="G783" s="1202" t="s">
        <v>4389</v>
      </c>
      <c r="H783" s="1200" t="s">
        <v>4386</v>
      </c>
      <c r="I783" s="140"/>
      <c r="J783" s="812"/>
      <c r="K783" s="812"/>
      <c r="L783" s="1313"/>
      <c r="M783" s="1408"/>
      <c r="N783" s="790"/>
      <c r="O783" s="803"/>
      <c r="P783" s="97"/>
      <c r="Q783" s="97"/>
      <c r="R783" s="97"/>
      <c r="S783" s="97"/>
      <c r="T783" s="97"/>
      <c r="U783" s="97"/>
      <c r="V783" s="97"/>
      <c r="W783" s="97"/>
      <c r="X783" s="1295"/>
      <c r="Y783" s="1522"/>
      <c r="Z783" s="1586"/>
      <c r="AB783" s="790"/>
      <c r="AC783" s="790"/>
      <c r="AD783" s="790"/>
      <c r="AE783" s="790"/>
      <c r="AF783" s="790"/>
      <c r="AG783" s="790"/>
      <c r="AH783" s="790"/>
      <c r="AI783" s="790"/>
      <c r="AJ783" s="790"/>
      <c r="AK783" s="790"/>
      <c r="AL783" s="790"/>
      <c r="AM783" s="790"/>
      <c r="AN783" s="790"/>
      <c r="AO783" s="790"/>
      <c r="AP783" s="790"/>
      <c r="AQ783" s="790"/>
      <c r="AR783" s="790"/>
      <c r="AS783" s="790"/>
      <c r="AT783" s="790"/>
      <c r="AU783" s="790"/>
      <c r="AV783" s="790"/>
      <c r="AW783" s="790"/>
      <c r="AX783" s="792" t="str">
        <f>'Overview (Verification)'!A17</f>
        <v>Number of Units:</v>
      </c>
      <c r="AY783" s="1077">
        <f>IF(LEN('Overview (Verification)'!P17)=0,0,'Overview (Verification)'!P17)</f>
        <v>0</v>
      </c>
      <c r="AZ783" s="790"/>
      <c r="BA783" s="790"/>
      <c r="BB783" s="790"/>
      <c r="BC783" s="790"/>
      <c r="BD783" s="790"/>
      <c r="BE783" s="790"/>
      <c r="BF783" s="790"/>
      <c r="BG783" s="790"/>
      <c r="BH783" s="790"/>
      <c r="BI783" s="790"/>
      <c r="BJ783" s="1184" t="s">
        <v>4763</v>
      </c>
    </row>
    <row r="784" spans="1:62" x14ac:dyDescent="0.3">
      <c r="A784" s="1200">
        <v>7</v>
      </c>
      <c r="B784" s="1210" t="s">
        <v>953</v>
      </c>
      <c r="C784" s="1215"/>
      <c r="D784" s="1203"/>
      <c r="E784" s="1203"/>
      <c r="F784" s="1203"/>
      <c r="G784" s="1202" t="s">
        <v>4389</v>
      </c>
      <c r="H784" s="1200" t="s">
        <v>4386</v>
      </c>
      <c r="I784" s="238"/>
      <c r="J784" s="813"/>
      <c r="K784" s="813"/>
      <c r="L784" s="1350"/>
      <c r="M784" s="1409"/>
      <c r="N784" s="238"/>
      <c r="O784" s="804"/>
      <c r="P784" s="196"/>
      <c r="Q784" s="196"/>
      <c r="R784" s="196"/>
      <c r="S784" s="196"/>
      <c r="T784" s="196"/>
      <c r="U784" s="196"/>
      <c r="V784" s="196"/>
      <c r="W784" s="196"/>
      <c r="X784" s="1295"/>
      <c r="Y784" s="1522"/>
      <c r="Z784" s="1586"/>
      <c r="AB784" s="790"/>
      <c r="AC784" s="790"/>
      <c r="AD784" s="790"/>
      <c r="AE784" s="790"/>
      <c r="AF784" s="790"/>
      <c r="AG784" s="790"/>
      <c r="AH784" s="790"/>
      <c r="AI784" s="790"/>
      <c r="AJ784" s="790"/>
      <c r="AK784" s="790"/>
      <c r="AL784" s="790"/>
      <c r="AM784" s="790"/>
      <c r="AN784" s="790"/>
      <c r="AO784" s="790"/>
      <c r="AP784" s="790"/>
      <c r="AQ784" s="790"/>
      <c r="AR784" s="790"/>
      <c r="AS784" s="790"/>
      <c r="AT784" s="790"/>
      <c r="AU784" s="790"/>
      <c r="AV784" s="790"/>
      <c r="AW784" s="790"/>
      <c r="AX784" s="792" t="str">
        <f>'Overview (Verification)'!A18</f>
        <v>Project Name:</v>
      </c>
      <c r="AY784" s="1077">
        <f>IF(LEN('Overview (Verification)'!P18)=0,0,'Overview (Verification)'!P18)</f>
        <v>0</v>
      </c>
      <c r="AZ784" s="790"/>
      <c r="BA784" s="790"/>
      <c r="BB784" s="790"/>
      <c r="BC784" s="790"/>
      <c r="BD784" s="790"/>
      <c r="BE784" s="790"/>
      <c r="BF784" s="790"/>
      <c r="BG784" s="790"/>
      <c r="BH784" s="790"/>
      <c r="BI784" s="790"/>
      <c r="BJ784" s="1184" t="s">
        <v>4763</v>
      </c>
    </row>
    <row r="785" spans="1:62" x14ac:dyDescent="0.3">
      <c r="A785" s="1200">
        <v>7</v>
      </c>
      <c r="B785" s="1210" t="s">
        <v>955</v>
      </c>
      <c r="C785" s="1215"/>
      <c r="D785" s="1203"/>
      <c r="E785" s="1203"/>
      <c r="F785" s="1203"/>
      <c r="G785" s="1202" t="s">
        <v>4389</v>
      </c>
      <c r="H785" s="1200" t="s">
        <v>4386</v>
      </c>
      <c r="I785" s="606" t="s">
        <v>955</v>
      </c>
      <c r="J785" s="812"/>
      <c r="K785" s="812"/>
      <c r="L785" s="1313" t="s">
        <v>956</v>
      </c>
      <c r="M785" s="795"/>
      <c r="N785" s="1308">
        <f ca="1">'Ch7'!O22</f>
        <v>30</v>
      </c>
      <c r="O785" s="1308">
        <f ca="1">IFERROR(MATCH(W786,INDIRECT(U786),0)*15+15,0)*S786</f>
        <v>0</v>
      </c>
      <c r="P785" s="97"/>
      <c r="Q785" s="97"/>
      <c r="R785" s="97"/>
      <c r="S785" s="97"/>
      <c r="T785" s="97"/>
      <c r="U785" s="97"/>
      <c r="V785" s="97"/>
      <c r="W785" s="97" t="s">
        <v>3199</v>
      </c>
      <c r="X785" s="1304"/>
      <c r="Y785" s="1523" t="str">
        <f>IF(LEN('Ch7'!X22)=0,"None",'Ch7'!X22)</f>
        <v>ZERH Requirement - ENERGY STAR Homes Version 3.0 or 3.1 certification (depending on location)</v>
      </c>
      <c r="Z785" s="1583"/>
      <c r="AB785" s="790"/>
      <c r="AC785" s="790"/>
      <c r="AD785" s="790"/>
      <c r="AE785" s="790"/>
      <c r="AF785" s="790"/>
      <c r="AG785" s="790"/>
      <c r="AH785" s="790"/>
      <c r="AI785" s="790"/>
      <c r="AJ785" s="790"/>
      <c r="AK785" s="790"/>
      <c r="AL785" s="790"/>
      <c r="AM785" s="790"/>
      <c r="AN785" s="311" t="str">
        <f>SUBSTITUTE(SUBSTITUTE(SUBSTITUTE("vpc"&amp;$B785&amp;$C785&amp;$D785&amp;$E785&amp;$F785,".","_"),"(","_"),")","")</f>
        <v>vpc701_1_4</v>
      </c>
      <c r="AO785" s="311">
        <f ca="1">O785</f>
        <v>0</v>
      </c>
      <c r="AP785" s="790"/>
      <c r="AQ785" s="790"/>
      <c r="AR785" s="311" t="str">
        <f>SUBSTITUTE(SUBSTITUTE(SUBSTITUTE("vnt"&amp;$B785&amp;$C785&amp;$D785&amp;$E785&amp;$F785,".","_"),"(","_"),")","")</f>
        <v>vnt701_1_4</v>
      </c>
      <c r="AS785" s="311">
        <f>X785</f>
        <v>0</v>
      </c>
      <c r="AT785" s="790"/>
      <c r="AU785" s="790"/>
      <c r="AV785" s="790"/>
      <c r="AW785" s="790"/>
      <c r="AX785" s="792"/>
      <c r="AY785" s="1077"/>
      <c r="AZ785" s="790"/>
      <c r="BA785" s="790"/>
      <c r="BB785" s="790"/>
      <c r="BC785" s="790"/>
      <c r="BD785" s="790"/>
      <c r="BE785" s="790"/>
      <c r="BF785" s="790"/>
      <c r="BG785" s="790"/>
      <c r="BH785" s="790"/>
      <c r="BI785" s="790"/>
      <c r="BJ785" s="1184" t="s">
        <v>4763</v>
      </c>
    </row>
    <row r="786" spans="1:62" x14ac:dyDescent="0.3">
      <c r="A786" s="1200">
        <v>7</v>
      </c>
      <c r="B786" s="1210" t="s">
        <v>955</v>
      </c>
      <c r="C786" s="1215"/>
      <c r="D786" s="1203"/>
      <c r="E786" s="1203"/>
      <c r="F786" s="1203"/>
      <c r="G786" s="1202" t="s">
        <v>4389</v>
      </c>
      <c r="H786" s="1200" t="s">
        <v>4386</v>
      </c>
      <c r="I786" s="140"/>
      <c r="J786" s="812"/>
      <c r="K786" s="812"/>
      <c r="L786" s="1313"/>
      <c r="M786" s="795"/>
      <c r="N786" s="1308"/>
      <c r="O786" s="1308"/>
      <c r="P786" s="97" t="b">
        <v>0</v>
      </c>
      <c r="Q786" s="97" t="b">
        <v>1</v>
      </c>
      <c r="R786" s="97" t="b">
        <f ca="1">S786</f>
        <v>0</v>
      </c>
      <c r="S786" s="97" t="b">
        <f ca="1">IFERROR(S776=4,FALSE)</f>
        <v>0</v>
      </c>
      <c r="T786" s="97" t="b">
        <f ca="1">AND(NOT(S786),LEN(W786)&gt;0)</f>
        <v>0</v>
      </c>
      <c r="U786" s="97" t="str">
        <f>SUBSTITUTE(SUBSTITUTE(SUBSTITUTE("dd"&amp;B785&amp;C785&amp;D785&amp;E785&amp;F785,".","_"),"(","_"),")","")</f>
        <v>dd701_1_4</v>
      </c>
      <c r="V786" s="97"/>
      <c r="W786" s="12"/>
      <c r="X786" s="1295"/>
      <c r="Y786" s="1523"/>
      <c r="Z786" s="1583"/>
      <c r="AB786" s="790"/>
      <c r="AC786" s="790" t="b">
        <f ca="1">OR(AD786:AE786)</f>
        <v>0</v>
      </c>
      <c r="AD786" s="790" t="b">
        <f ca="1">T786</f>
        <v>0</v>
      </c>
      <c r="AE786" s="790" t="b">
        <f ca="1">AND(R786,ISBLANK(W786))</f>
        <v>0</v>
      </c>
      <c r="AF786" s="1182" t="b">
        <f ca="1">AND(AE786,NOT(Q786))</f>
        <v>0</v>
      </c>
      <c r="AG786" s="790"/>
      <c r="AH786" s="790"/>
      <c r="AI786" s="790"/>
      <c r="AJ786" s="790"/>
      <c r="AK786" s="790"/>
      <c r="AL786" s="790"/>
      <c r="AM786" s="790"/>
      <c r="AN786" s="790"/>
      <c r="AO786" s="790"/>
      <c r="AP786" s="311" t="str">
        <f>SUBSTITUTE(SUBSTITUTE(SUBSTITUTE("vch"&amp;$B786&amp;$C786&amp;$D786&amp;$E786&amp;$F786,".","_"),"(","_"),")","")</f>
        <v>vch701_1_4</v>
      </c>
      <c r="AQ786" s="311">
        <f>W786</f>
        <v>0</v>
      </c>
      <c r="AR786" s="790"/>
      <c r="AS786" s="790"/>
      <c r="AT786" s="790"/>
      <c r="AU786" s="790"/>
      <c r="AV786" s="790"/>
      <c r="AW786" s="790"/>
      <c r="AX786" s="792" t="str">
        <f>'Overview (Verification)'!A20</f>
        <v>Above grade plane finished floor area:</v>
      </c>
      <c r="AY786" s="1077">
        <f>IF(LEN('Overview (Verification)'!P20)=0,0,'Overview (Verification)'!P20)</f>
        <v>0</v>
      </c>
      <c r="AZ786" s="790"/>
      <c r="BA786" s="790"/>
      <c r="BB786" s="790"/>
      <c r="BC786" s="790"/>
      <c r="BD786" s="790"/>
      <c r="BE786" s="790"/>
      <c r="BF786" s="790"/>
      <c r="BG786" s="790"/>
      <c r="BH786" s="790"/>
      <c r="BI786" s="790"/>
      <c r="BJ786" s="1184" t="s">
        <v>4763</v>
      </c>
    </row>
    <row r="787" spans="1:62" x14ac:dyDescent="0.3">
      <c r="A787" s="1200">
        <v>7</v>
      </c>
      <c r="B787" s="1210" t="s">
        <v>955</v>
      </c>
      <c r="C787" s="1215"/>
      <c r="D787" s="1203"/>
      <c r="E787" s="1203"/>
      <c r="F787" s="1203"/>
      <c r="G787" s="1202" t="s">
        <v>4389</v>
      </c>
      <c r="H787" s="1200" t="s">
        <v>4386</v>
      </c>
      <c r="I787" s="140"/>
      <c r="J787" s="812"/>
      <c r="K787" s="812"/>
      <c r="L787" s="1313"/>
      <c r="M787" s="795"/>
      <c r="N787" s="1308"/>
      <c r="O787" s="1308"/>
      <c r="P787" s="97"/>
      <c r="Q787" s="97"/>
      <c r="R787" s="97"/>
      <c r="S787" s="97"/>
      <c r="T787" s="97"/>
      <c r="U787" s="97"/>
      <c r="V787" s="97"/>
      <c r="W787" s="97"/>
      <c r="X787" s="1295"/>
      <c r="Y787" s="1523"/>
      <c r="Z787" s="1583"/>
      <c r="AB787" s="790"/>
      <c r="AC787" s="790"/>
      <c r="AD787" s="790"/>
      <c r="AE787" s="790"/>
      <c r="AF787" s="790"/>
      <c r="AG787" s="790"/>
      <c r="AH787" s="790"/>
      <c r="AI787" s="790"/>
      <c r="AJ787" s="790"/>
      <c r="AK787" s="790"/>
      <c r="AL787" s="790"/>
      <c r="AM787" s="790"/>
      <c r="AN787" s="790"/>
      <c r="AO787" s="790"/>
      <c r="AP787" s="790"/>
      <c r="AQ787" s="790"/>
      <c r="AR787" s="790"/>
      <c r="AS787" s="790"/>
      <c r="AT787" s="790"/>
      <c r="AU787" s="790"/>
      <c r="AV787" s="790"/>
      <c r="AW787" s="790"/>
      <c r="AX787" s="792" t="str">
        <f>'Overview (Verification)'!A21</f>
        <v>Total conditioned floor area:</v>
      </c>
      <c r="AY787" s="1077">
        <f>IF(LEN('Overview (Verification)'!P21)=0,0,'Overview (Verification)'!P21)</f>
        <v>0</v>
      </c>
      <c r="AZ787" s="790"/>
      <c r="BA787" s="790"/>
      <c r="BB787" s="790"/>
      <c r="BC787" s="790"/>
      <c r="BD787" s="790"/>
      <c r="BE787" s="790"/>
      <c r="BF787" s="790"/>
      <c r="BG787" s="790"/>
      <c r="BH787" s="790"/>
      <c r="BI787" s="790"/>
      <c r="BJ787" s="1184" t="s">
        <v>4763</v>
      </c>
    </row>
    <row r="788" spans="1:62" x14ac:dyDescent="0.3">
      <c r="A788" s="1200">
        <v>7</v>
      </c>
      <c r="B788" s="1210" t="s">
        <v>955</v>
      </c>
      <c r="C788" s="1215"/>
      <c r="D788" s="1203"/>
      <c r="E788" s="1203"/>
      <c r="F788" s="1203"/>
      <c r="G788" s="1202" t="s">
        <v>4389</v>
      </c>
      <c r="H788" s="1200" t="s">
        <v>4386</v>
      </c>
      <c r="I788" s="140"/>
      <c r="J788" s="812"/>
      <c r="K788" s="812"/>
      <c r="L788" s="1313"/>
      <c r="M788" s="795"/>
      <c r="N788" s="1308"/>
      <c r="O788" s="1308"/>
      <c r="P788" s="97"/>
      <c r="Q788" s="97"/>
      <c r="R788" s="97"/>
      <c r="S788" s="97"/>
      <c r="T788" s="97"/>
      <c r="U788" s="97"/>
      <c r="V788" s="97"/>
      <c r="W788" s="97"/>
      <c r="X788" s="1295"/>
      <c r="Y788" s="1523"/>
      <c r="Z788" s="1583"/>
      <c r="AB788" s="790"/>
      <c r="AC788" s="790"/>
      <c r="AD788" s="790"/>
      <c r="AE788" s="790"/>
      <c r="AF788" s="790"/>
      <c r="AG788" s="790"/>
      <c r="AH788" s="790"/>
      <c r="AI788" s="790"/>
      <c r="AJ788" s="790"/>
      <c r="AK788" s="790"/>
      <c r="AL788" s="790"/>
      <c r="AM788" s="790"/>
      <c r="AN788" s="790"/>
      <c r="AO788" s="790"/>
      <c r="AP788" s="790"/>
      <c r="AQ788" s="790"/>
      <c r="AR788" s="790"/>
      <c r="AS788" s="790"/>
      <c r="AT788" s="790"/>
      <c r="AU788" s="790"/>
      <c r="AV788" s="790"/>
      <c r="AW788" s="790"/>
      <c r="AX788" s="792" t="str">
        <f>'Overview (Verification)'!A22</f>
        <v>Stories above grade:</v>
      </c>
      <c r="AY788" s="1077">
        <f>IF(LEN('Overview (Verification)'!P22)=0,0,'Overview (Verification)'!P22)</f>
        <v>0</v>
      </c>
      <c r="AZ788" s="790"/>
      <c r="BA788" s="790"/>
      <c r="BB788" s="790"/>
      <c r="BC788" s="790"/>
      <c r="BD788" s="790"/>
      <c r="BE788" s="790"/>
      <c r="BF788" s="790"/>
      <c r="BG788" s="790"/>
      <c r="BH788" s="790"/>
      <c r="BI788" s="790"/>
      <c r="BJ788" s="1184" t="s">
        <v>4763</v>
      </c>
    </row>
    <row r="789" spans="1:62" x14ac:dyDescent="0.3">
      <c r="A789" s="1200">
        <v>7</v>
      </c>
      <c r="B789" s="1210" t="s">
        <v>955</v>
      </c>
      <c r="C789" s="1215"/>
      <c r="D789" s="1203"/>
      <c r="E789" s="1203"/>
      <c r="F789" s="1203"/>
      <c r="G789" s="1202" t="s">
        <v>4389</v>
      </c>
      <c r="H789" s="1200" t="s">
        <v>4386</v>
      </c>
      <c r="I789" s="140"/>
      <c r="J789" s="812"/>
      <c r="K789" s="812"/>
      <c r="L789" s="1313"/>
      <c r="M789" s="795"/>
      <c r="N789" s="1308"/>
      <c r="O789" s="1308"/>
      <c r="P789" s="97"/>
      <c r="Q789" s="97"/>
      <c r="R789" s="97"/>
      <c r="S789" s="97"/>
      <c r="T789" s="97"/>
      <c r="U789" s="97"/>
      <c r="V789" s="97"/>
      <c r="W789" s="97"/>
      <c r="X789" s="1295"/>
      <c r="Y789" s="1523"/>
      <c r="Z789" s="1583"/>
      <c r="AB789" s="790"/>
      <c r="AC789" s="790"/>
      <c r="AD789" s="790"/>
      <c r="AE789" s="790"/>
      <c r="AF789" s="790"/>
      <c r="AG789" s="790"/>
      <c r="AH789" s="790"/>
      <c r="AI789" s="790"/>
      <c r="AJ789" s="790"/>
      <c r="AK789" s="790"/>
      <c r="AL789" s="790"/>
      <c r="AM789" s="790"/>
      <c r="AN789" s="790"/>
      <c r="AO789" s="790"/>
      <c r="AP789" s="790"/>
      <c r="AQ789" s="790"/>
      <c r="AR789" s="790"/>
      <c r="AS789" s="790"/>
      <c r="AT789" s="790"/>
      <c r="AU789" s="790"/>
      <c r="AV789" s="790"/>
      <c r="AW789" s="790"/>
      <c r="AX789" s="792"/>
      <c r="AY789" s="1077"/>
      <c r="AZ789" s="790"/>
      <c r="BA789" s="790"/>
      <c r="BB789" s="790"/>
      <c r="BC789" s="790"/>
      <c r="BD789" s="790"/>
      <c r="BE789" s="790"/>
      <c r="BF789" s="790"/>
      <c r="BG789" s="790"/>
      <c r="BH789" s="790"/>
      <c r="BI789" s="790"/>
      <c r="BJ789" s="1184" t="s">
        <v>4763</v>
      </c>
    </row>
    <row r="790" spans="1:62" x14ac:dyDescent="0.3">
      <c r="A790" s="1200">
        <v>7</v>
      </c>
      <c r="B790" s="1210" t="s">
        <v>955</v>
      </c>
      <c r="C790" s="1215"/>
      <c r="D790" s="1203"/>
      <c r="E790" s="1203"/>
      <c r="F790" s="1203"/>
      <c r="G790" s="1202" t="s">
        <v>4389</v>
      </c>
      <c r="H790" s="1200" t="s">
        <v>4386</v>
      </c>
      <c r="I790" s="140"/>
      <c r="J790" s="812"/>
      <c r="K790" s="812"/>
      <c r="L790" s="1313"/>
      <c r="M790" s="795"/>
      <c r="N790" s="1308"/>
      <c r="O790" s="1308"/>
      <c r="P790" s="97"/>
      <c r="Q790" s="97"/>
      <c r="R790" s="97"/>
      <c r="S790" s="97"/>
      <c r="T790" s="97"/>
      <c r="U790" s="97"/>
      <c r="V790" s="97"/>
      <c r="W790" s="97"/>
      <c r="X790" s="1295"/>
      <c r="Y790" s="1523"/>
      <c r="Z790" s="1583"/>
      <c r="AB790" s="790"/>
      <c r="AC790" s="790"/>
      <c r="AD790" s="790"/>
      <c r="AE790" s="790"/>
      <c r="AF790" s="790"/>
      <c r="AG790" s="790"/>
      <c r="AH790" s="790"/>
      <c r="AI790" s="790"/>
      <c r="AJ790" s="790"/>
      <c r="AK790" s="790"/>
      <c r="AL790" s="790"/>
      <c r="AM790" s="790"/>
      <c r="AN790" s="790"/>
      <c r="AO790" s="790"/>
      <c r="AP790" s="790"/>
      <c r="AQ790" s="790"/>
      <c r="AR790" s="790"/>
      <c r="AS790" s="790"/>
      <c r="AT790" s="790"/>
      <c r="AU790" s="790"/>
      <c r="AV790" s="790"/>
      <c r="AW790" s="790"/>
      <c r="AX790" s="792" t="str">
        <f>'Overview (Verification)'!A24</f>
        <v xml:space="preserve">Project Description (optional): </v>
      </c>
      <c r="AY790" s="1077">
        <f>IF(LEN('Overview (Verification)'!P24)=0,0,'Overview (Verification)'!P24)</f>
        <v>0</v>
      </c>
      <c r="AZ790" s="790"/>
      <c r="BA790" s="790"/>
      <c r="BB790" s="790"/>
      <c r="BC790" s="790"/>
      <c r="BD790" s="790"/>
      <c r="BE790" s="790"/>
      <c r="BF790" s="790"/>
      <c r="BG790" s="790"/>
      <c r="BH790" s="790"/>
      <c r="BI790" s="790"/>
      <c r="BJ790" s="1184" t="s">
        <v>4763</v>
      </c>
    </row>
    <row r="791" spans="1:62" x14ac:dyDescent="0.3">
      <c r="A791" s="1200">
        <v>7</v>
      </c>
      <c r="B791" s="1210" t="s">
        <v>955</v>
      </c>
      <c r="C791" s="1215"/>
      <c r="D791" s="1203"/>
      <c r="E791" s="1203"/>
      <c r="F791" s="1203"/>
      <c r="G791" s="1202" t="s">
        <v>4389</v>
      </c>
      <c r="H791" s="1200" t="s">
        <v>4386</v>
      </c>
      <c r="I791" s="140"/>
      <c r="J791" s="812"/>
      <c r="K791" s="812"/>
      <c r="L791" s="1313"/>
      <c r="M791" s="795"/>
      <c r="N791" s="1308"/>
      <c r="O791" s="1308"/>
      <c r="P791" s="97"/>
      <c r="Q791" s="97"/>
      <c r="R791" s="97"/>
      <c r="S791" s="97"/>
      <c r="T791" s="97"/>
      <c r="U791" s="97"/>
      <c r="V791" s="97"/>
      <c r="W791" s="97"/>
      <c r="X791" s="1295"/>
      <c r="Y791" s="1523"/>
      <c r="Z791" s="1583"/>
      <c r="AB791" s="790"/>
      <c r="AC791" s="790"/>
      <c r="AD791" s="790"/>
      <c r="AE791" s="790"/>
      <c r="AF791" s="790"/>
      <c r="AG791" s="790"/>
      <c r="AH791" s="790"/>
      <c r="AI791" s="790"/>
      <c r="AJ791" s="790"/>
      <c r="AK791" s="790"/>
      <c r="AL791" s="790"/>
      <c r="AM791" s="790"/>
      <c r="AN791" s="790"/>
      <c r="AO791" s="790"/>
      <c r="AP791" s="790"/>
      <c r="AQ791" s="790"/>
      <c r="AR791" s="790"/>
      <c r="AS791" s="790"/>
      <c r="AT791" s="790"/>
      <c r="AU791" s="790"/>
      <c r="AV791" s="790"/>
      <c r="AW791" s="790"/>
      <c r="AX791" s="792"/>
      <c r="AY791" s="1077"/>
      <c r="AZ791" s="790"/>
      <c r="BA791" s="790"/>
      <c r="BB791" s="790"/>
      <c r="BC791" s="790"/>
      <c r="BD791" s="790"/>
      <c r="BE791" s="790"/>
      <c r="BF791" s="790"/>
      <c r="BG791" s="790"/>
      <c r="BH791" s="790"/>
      <c r="BI791" s="790"/>
      <c r="BJ791" s="1184" t="s">
        <v>4763</v>
      </c>
    </row>
    <row r="792" spans="1:62" ht="15" thickBot="1" x14ac:dyDescent="0.35">
      <c r="A792" s="1200">
        <v>7</v>
      </c>
      <c r="B792" s="1210" t="s">
        <v>955</v>
      </c>
      <c r="C792" s="1215"/>
      <c r="D792" s="1203"/>
      <c r="E792" s="1203"/>
      <c r="F792" s="1203"/>
      <c r="G792" s="1202" t="s">
        <v>4389</v>
      </c>
      <c r="H792" s="1200" t="s">
        <v>4386</v>
      </c>
      <c r="I792" s="270"/>
      <c r="J792" s="824"/>
      <c r="K792" s="824"/>
      <c r="L792" s="1332"/>
      <c r="M792" s="798"/>
      <c r="N792" s="1315"/>
      <c r="O792" s="1315"/>
      <c r="P792" s="104"/>
      <c r="Q792" s="104"/>
      <c r="R792" s="104"/>
      <c r="S792" s="104"/>
      <c r="T792" s="104"/>
      <c r="U792" s="104"/>
      <c r="V792" s="104"/>
      <c r="W792" s="104"/>
      <c r="X792" s="1296"/>
      <c r="Y792" s="1524"/>
      <c r="Z792" s="1584"/>
      <c r="AB792" s="790"/>
      <c r="AC792" s="790"/>
      <c r="AD792" s="790"/>
      <c r="AE792" s="790"/>
      <c r="AF792" s="790"/>
      <c r="AG792" s="790"/>
      <c r="AH792" s="790"/>
      <c r="AI792" s="790"/>
      <c r="AJ792" s="790"/>
      <c r="AK792" s="790"/>
      <c r="AL792" s="790"/>
      <c r="AM792" s="790"/>
      <c r="AN792" s="790"/>
      <c r="AO792" s="790"/>
      <c r="AP792" s="790"/>
      <c r="AQ792" s="790"/>
      <c r="AR792" s="790"/>
      <c r="AS792" s="790"/>
      <c r="AT792" s="790"/>
      <c r="AU792" s="790"/>
      <c r="AV792" s="790"/>
      <c r="AW792" s="790"/>
      <c r="AX792" s="792" t="str">
        <f>'Overview (Verification)'!A26</f>
        <v>HERS Index (if available):</v>
      </c>
      <c r="AY792" s="1077">
        <f>IF(LEN('Overview (Verification)'!P26)=0,0,'Overview (Verification)'!P26)</f>
        <v>0</v>
      </c>
      <c r="AZ792" s="790"/>
      <c r="BA792" s="790"/>
      <c r="BB792" s="790"/>
      <c r="BC792" s="790"/>
      <c r="BD792" s="790"/>
      <c r="BE792" s="790"/>
      <c r="BF792" s="790"/>
      <c r="BG792" s="790"/>
      <c r="BH792" s="790"/>
      <c r="BI792" s="790"/>
      <c r="BJ792" s="1184" t="s">
        <v>4763</v>
      </c>
    </row>
    <row r="793" spans="1:62" ht="15" thickTop="1" x14ac:dyDescent="0.3">
      <c r="A793" s="1200">
        <v>7</v>
      </c>
      <c r="B793" s="1210">
        <v>701.2</v>
      </c>
      <c r="C793" s="1215"/>
      <c r="D793" s="1203"/>
      <c r="E793" s="1203"/>
      <c r="F793" s="1203"/>
      <c r="G793" s="1202" t="s">
        <v>4389</v>
      </c>
      <c r="H793" s="1200" t="s">
        <v>4386</v>
      </c>
      <c r="I793" s="200">
        <v>701.2</v>
      </c>
      <c r="J793" s="616"/>
      <c r="K793" s="616"/>
      <c r="L793" s="1331" t="s">
        <v>957</v>
      </c>
      <c r="M793" s="1405" t="s">
        <v>3196</v>
      </c>
      <c r="N793" s="859"/>
      <c r="O793" s="800"/>
      <c r="P793" s="110"/>
      <c r="Q793" s="110"/>
      <c r="R793" s="110"/>
      <c r="S793" s="110"/>
      <c r="T793" s="110"/>
      <c r="U793" s="110"/>
      <c r="V793" s="110"/>
      <c r="W793" s="110"/>
      <c r="X793" s="110"/>
      <c r="Y793" s="790"/>
      <c r="Z793" s="1055"/>
      <c r="AB793" s="790"/>
      <c r="AC793" s="790"/>
      <c r="AD793" s="790"/>
      <c r="AE793" s="790"/>
      <c r="AF793" s="790"/>
      <c r="AG793" s="790"/>
      <c r="AH793" s="790"/>
      <c r="AI793" s="790"/>
      <c r="AJ793" s="790"/>
      <c r="AK793" s="790"/>
      <c r="AL793" s="790"/>
      <c r="AM793" s="790"/>
      <c r="AN793" s="790"/>
      <c r="AO793" s="790"/>
      <c r="AP793" s="790"/>
      <c r="AQ793" s="790"/>
      <c r="AR793" s="790"/>
      <c r="AS793" s="790"/>
      <c r="AT793" s="790"/>
      <c r="AU793" s="790"/>
      <c r="AV793" s="790"/>
      <c r="AW793" s="790"/>
      <c r="AX793" s="792" t="str">
        <f>'Overview (Verification)'!A27</f>
        <v>Foundation Type:</v>
      </c>
      <c r="AY793" s="1077">
        <f>IF(LEN('Overview (Verification)'!P27)=0,0,'Overview (Verification)'!P27)</f>
        <v>0</v>
      </c>
      <c r="AZ793" s="790"/>
      <c r="BA793" s="790"/>
      <c r="BB793" s="790"/>
      <c r="BC793" s="790"/>
      <c r="BD793" s="790"/>
      <c r="BE793" s="790"/>
      <c r="BF793" s="790"/>
      <c r="BG793" s="790"/>
      <c r="BH793" s="790"/>
      <c r="BI793" s="790"/>
      <c r="BJ793" s="1184" t="s">
        <v>4763</v>
      </c>
    </row>
    <row r="794" spans="1:62" ht="15" thickBot="1" x14ac:dyDescent="0.35">
      <c r="A794" s="1200">
        <v>7</v>
      </c>
      <c r="B794" s="1210">
        <v>701.2</v>
      </c>
      <c r="C794" s="1215"/>
      <c r="D794" s="1203"/>
      <c r="E794" s="1203"/>
      <c r="F794" s="1203"/>
      <c r="G794" s="1202" t="s">
        <v>4389</v>
      </c>
      <c r="H794" s="1200" t="s">
        <v>4386</v>
      </c>
      <c r="I794" s="270"/>
      <c r="J794" s="824"/>
      <c r="K794" s="824"/>
      <c r="L794" s="1332"/>
      <c r="M794" s="1406"/>
      <c r="N794" s="858"/>
      <c r="O794" s="801"/>
      <c r="P794" s="104"/>
      <c r="Q794" s="104"/>
      <c r="R794" s="104"/>
      <c r="S794" s="104"/>
      <c r="T794" s="104"/>
      <c r="U794" s="104"/>
      <c r="V794" s="104"/>
      <c r="W794" s="104"/>
      <c r="X794" s="104"/>
      <c r="Y794" s="104"/>
      <c r="Z794" s="1172"/>
      <c r="AB794" s="790"/>
      <c r="AC794" s="790"/>
      <c r="AD794" s="790"/>
      <c r="AE794" s="790"/>
      <c r="AF794" s="790"/>
      <c r="AG794" s="790"/>
      <c r="AH794" s="790"/>
      <c r="AI794" s="790"/>
      <c r="AJ794" s="790"/>
      <c r="AK794" s="790"/>
      <c r="AL794" s="790"/>
      <c r="AM794" s="790"/>
      <c r="AN794" s="790"/>
      <c r="AO794" s="790"/>
      <c r="AP794" s="790"/>
      <c r="AQ794" s="790"/>
      <c r="AR794" s="790"/>
      <c r="AS794" s="790"/>
      <c r="AT794" s="790"/>
      <c r="AU794" s="790"/>
      <c r="AV794" s="790"/>
      <c r="AW794" s="790"/>
      <c r="AX794" s="792"/>
      <c r="AY794" s="1077"/>
      <c r="AZ794" s="790"/>
      <c r="BA794" s="790"/>
      <c r="BB794" s="790"/>
      <c r="BC794" s="790"/>
      <c r="BD794" s="790"/>
      <c r="BE794" s="790"/>
      <c r="BF794" s="790"/>
      <c r="BG794" s="790"/>
      <c r="BH794" s="790"/>
      <c r="BI794" s="790"/>
      <c r="BJ794" s="1184" t="s">
        <v>4763</v>
      </c>
    </row>
    <row r="795" spans="1:62" ht="15" thickTop="1" x14ac:dyDescent="0.3">
      <c r="A795" s="1200">
        <v>7</v>
      </c>
      <c r="B795" s="1210">
        <v>701.3</v>
      </c>
      <c r="C795" s="1215"/>
      <c r="D795" s="1203"/>
      <c r="E795" s="1203"/>
      <c r="F795" s="1203"/>
      <c r="G795" s="1202" t="s">
        <v>4389</v>
      </c>
      <c r="H795" s="1200" t="s">
        <v>4388</v>
      </c>
      <c r="I795" s="200">
        <v>701.3</v>
      </c>
      <c r="J795" s="616"/>
      <c r="K795" s="616"/>
      <c r="L795" s="1331" t="s">
        <v>958</v>
      </c>
      <c r="M795" s="797"/>
      <c r="N795" s="859"/>
      <c r="O795" s="800"/>
      <c r="P795" s="97" t="b">
        <v>0</v>
      </c>
      <c r="Q795" s="97" t="b">
        <v>1</v>
      </c>
      <c r="R795" s="110" t="b">
        <f ca="1">IF(S776=4,FALSE,TRUE)</f>
        <v>1</v>
      </c>
      <c r="S795" s="110" t="b">
        <f ca="1">IF(S776=4,FALSE,TRUE)</f>
        <v>1</v>
      </c>
      <c r="T795" s="110" t="b">
        <f ca="1">AND(NOT(S795),W795=TRUE)</f>
        <v>0</v>
      </c>
      <c r="U795" s="110"/>
      <c r="V795" s="110"/>
      <c r="W795" s="25"/>
      <c r="X795" s="1327"/>
      <c r="Y795" s="1526" t="str">
        <f>IF(LEN('Ch7'!X32)=0,"None",'Ch7'!X32)</f>
        <v>None</v>
      </c>
      <c r="Z795" s="1591"/>
      <c r="AB795" s="790"/>
      <c r="AC795" s="790" t="b">
        <f ca="1">OR(AD795:AE795)</f>
        <v>1</v>
      </c>
      <c r="AD795" s="790" t="b">
        <f ca="1">T795</f>
        <v>0</v>
      </c>
      <c r="AE795" s="790" t="b">
        <f ca="1">OR(AND(R795,NOT(W795)),AND(W795=TRUE,LEN(X795)=0))</f>
        <v>1</v>
      </c>
      <c r="AF795" s="1182" t="b">
        <f ca="1">AND(AE795,NOT(Q795))</f>
        <v>0</v>
      </c>
      <c r="AG795" s="790"/>
      <c r="AH795" s="790"/>
      <c r="AI795" s="790"/>
      <c r="AJ795" s="790"/>
      <c r="AK795" s="790"/>
      <c r="AL795" s="790"/>
      <c r="AM795" s="790"/>
      <c r="AN795" s="790"/>
      <c r="AO795" s="790"/>
      <c r="AP795" s="311" t="str">
        <f>SUBSTITUTE(SUBSTITUTE(SUBSTITUTE("vch"&amp;$B795&amp;$C795&amp;$D795&amp;$E795&amp;$F795,".","_"),"(","_"),")","")</f>
        <v>vch701_3</v>
      </c>
      <c r="AQ795" s="311">
        <f>W795</f>
        <v>0</v>
      </c>
      <c r="AR795" s="311" t="str">
        <f>SUBSTITUTE(SUBSTITUTE(SUBSTITUTE("vnt"&amp;$B795&amp;$C795&amp;$D795&amp;$E795&amp;$F795,".","_"),"(","_"),")","")</f>
        <v>vnt701_3</v>
      </c>
      <c r="AS795" s="311">
        <f>X795</f>
        <v>0</v>
      </c>
      <c r="AT795" s="790"/>
      <c r="AU795" s="790"/>
      <c r="AV795" s="790"/>
      <c r="AW795" s="790"/>
      <c r="AX795" s="792" t="str">
        <f>'Overview (Verification)'!A29</f>
        <v>Type of Heating System (main system):</v>
      </c>
      <c r="AY795" s="1077">
        <f>IF(LEN('Overview (Verification)'!P29)=0,0,'Overview (Verification)'!P29)</f>
        <v>0</v>
      </c>
      <c r="AZ795" s="790"/>
      <c r="BA795" s="790"/>
      <c r="BB795" s="790"/>
      <c r="BC795" s="790"/>
      <c r="BD795" s="790"/>
      <c r="BE795" s="790"/>
      <c r="BF795" s="790"/>
      <c r="BG795" s="790"/>
      <c r="BH795" s="790"/>
      <c r="BI795" s="790"/>
      <c r="BJ795" s="1184" t="s">
        <v>4763</v>
      </c>
    </row>
    <row r="796" spans="1:62" x14ac:dyDescent="0.3">
      <c r="A796" s="1200">
        <v>7</v>
      </c>
      <c r="B796" s="1210">
        <v>701.3</v>
      </c>
      <c r="C796" s="1215"/>
      <c r="D796" s="1203"/>
      <c r="E796" s="1203"/>
      <c r="F796" s="1203"/>
      <c r="G796" s="1202" t="s">
        <v>4389</v>
      </c>
      <c r="H796" s="1200" t="s">
        <v>4388</v>
      </c>
      <c r="I796" s="140"/>
      <c r="J796" s="812"/>
      <c r="K796" s="812"/>
      <c r="L796" s="1313"/>
      <c r="M796" s="795"/>
      <c r="N796" s="854"/>
      <c r="O796" s="803"/>
      <c r="P796" s="97"/>
      <c r="Q796" s="97"/>
      <c r="R796" s="97"/>
      <c r="S796" s="97"/>
      <c r="T796" s="97"/>
      <c r="U796" s="97"/>
      <c r="V796" s="97"/>
      <c r="W796" s="97"/>
      <c r="X796" s="1295"/>
      <c r="Y796" s="1523"/>
      <c r="Z796" s="1583"/>
      <c r="AB796" s="790"/>
      <c r="AC796" s="790"/>
      <c r="AD796" s="790"/>
      <c r="AE796" s="790"/>
      <c r="AF796" s="790"/>
      <c r="AG796" s="790"/>
      <c r="AH796" s="790"/>
      <c r="AI796" s="790"/>
      <c r="AJ796" s="790"/>
      <c r="AK796" s="790"/>
      <c r="AL796" s="790"/>
      <c r="AM796" s="790"/>
      <c r="AN796" s="790"/>
      <c r="AO796" s="790"/>
      <c r="AP796" s="790"/>
      <c r="AQ796" s="790"/>
      <c r="AR796" s="790"/>
      <c r="AS796" s="790"/>
      <c r="AT796" s="790"/>
      <c r="AU796" s="790"/>
      <c r="AV796" s="790"/>
      <c r="AW796" s="790"/>
      <c r="AX796" s="792" t="str">
        <f>'Overview (Verification)'!A30</f>
        <v>Type of Heating System (system 2):</v>
      </c>
      <c r="AY796" s="1077">
        <f>IF(LEN('Overview (Verification)'!P30)=0,0,'Overview (Verification)'!P30)</f>
        <v>0</v>
      </c>
      <c r="AZ796" s="790"/>
      <c r="BA796" s="790"/>
      <c r="BB796" s="790"/>
      <c r="BC796" s="790"/>
      <c r="BD796" s="790"/>
      <c r="BE796" s="790"/>
      <c r="BF796" s="790"/>
      <c r="BG796" s="790"/>
      <c r="BH796" s="790"/>
      <c r="BI796" s="790"/>
      <c r="BJ796" s="1184" t="s">
        <v>4763</v>
      </c>
    </row>
    <row r="797" spans="1:62" ht="15" thickBot="1" x14ac:dyDescent="0.35">
      <c r="A797" s="1200">
        <v>7</v>
      </c>
      <c r="B797" s="1210">
        <v>701.3</v>
      </c>
      <c r="C797" s="1215"/>
      <c r="D797" s="1203"/>
      <c r="E797" s="1203"/>
      <c r="F797" s="1203"/>
      <c r="G797" s="1202" t="s">
        <v>4389</v>
      </c>
      <c r="H797" s="1200" t="s">
        <v>4388</v>
      </c>
      <c r="I797" s="270"/>
      <c r="J797" s="824"/>
      <c r="K797" s="824"/>
      <c r="L797" s="833" t="s">
        <v>3602</v>
      </c>
      <c r="M797" s="798"/>
      <c r="N797" s="858"/>
      <c r="O797" s="801"/>
      <c r="P797" s="104"/>
      <c r="Q797" s="104"/>
      <c r="R797" s="104"/>
      <c r="S797" s="104"/>
      <c r="T797" s="104"/>
      <c r="U797" s="104"/>
      <c r="V797" s="104"/>
      <c r="W797" s="104"/>
      <c r="X797" s="1296"/>
      <c r="Y797" s="1524"/>
      <c r="Z797" s="1584"/>
      <c r="AB797" s="790"/>
      <c r="AC797" s="790"/>
      <c r="AD797" s="790"/>
      <c r="AE797" s="790"/>
      <c r="AF797" s="790"/>
      <c r="AG797" s="790"/>
      <c r="AH797" s="790"/>
      <c r="AI797" s="790"/>
      <c r="AJ797" s="790"/>
      <c r="AK797" s="790"/>
      <c r="AL797" s="790"/>
      <c r="AM797" s="790"/>
      <c r="AN797" s="790"/>
      <c r="AO797" s="790"/>
      <c r="AP797" s="790"/>
      <c r="AQ797" s="790"/>
      <c r="AR797" s="790"/>
      <c r="AS797" s="790"/>
      <c r="AT797" s="790"/>
      <c r="AU797" s="790"/>
      <c r="AV797" s="790"/>
      <c r="AW797" s="790"/>
      <c r="AX797" s="792" t="str">
        <f>'Overview (Verification)'!A31</f>
        <v>Type of Heating System (system 3):</v>
      </c>
      <c r="AY797" s="1077">
        <f>IF(LEN('Overview (Verification)'!P31)=0,0,'Overview (Verification)'!P31)</f>
        <v>0</v>
      </c>
      <c r="AZ797" s="790"/>
      <c r="BA797" s="790"/>
      <c r="BB797" s="790"/>
      <c r="BC797" s="790"/>
      <c r="BD797" s="790"/>
      <c r="BE797" s="790"/>
      <c r="BF797" s="790"/>
      <c r="BG797" s="790"/>
      <c r="BH797" s="790"/>
      <c r="BI797" s="790"/>
      <c r="BJ797" s="1184" t="s">
        <v>4763</v>
      </c>
    </row>
    <row r="798" spans="1:62" ht="15" thickTop="1" x14ac:dyDescent="0.3">
      <c r="A798" s="1200">
        <v>7</v>
      </c>
      <c r="B798" s="1210">
        <v>701.4</v>
      </c>
      <c r="C798" s="1215"/>
      <c r="D798" s="1203"/>
      <c r="E798" s="1203"/>
      <c r="F798" s="1203"/>
      <c r="G798" s="1202" t="s">
        <v>4389</v>
      </c>
      <c r="H798" s="1200" t="s">
        <v>4386</v>
      </c>
      <c r="I798" s="200">
        <v>701.4</v>
      </c>
      <c r="J798" s="616"/>
      <c r="K798" s="616"/>
      <c r="L798" s="836" t="s">
        <v>959</v>
      </c>
      <c r="M798" s="797"/>
      <c r="N798" s="859"/>
      <c r="O798" s="800"/>
      <c r="P798" s="110"/>
      <c r="Q798" s="110"/>
      <c r="R798" s="110"/>
      <c r="S798" s="110"/>
      <c r="T798" s="110"/>
      <c r="U798" s="110"/>
      <c r="V798" s="110"/>
      <c r="W798" s="110"/>
      <c r="X798" s="110"/>
      <c r="Y798" s="790"/>
      <c r="Z798" s="1055"/>
      <c r="AB798" s="790"/>
      <c r="AC798" s="790"/>
      <c r="AD798" s="790"/>
      <c r="AE798" s="790"/>
      <c r="AF798" s="790"/>
      <c r="AG798" s="790"/>
      <c r="AH798" s="790"/>
      <c r="AI798" s="790"/>
      <c r="AJ798" s="790"/>
      <c r="AK798" s="790"/>
      <c r="AL798" s="790"/>
      <c r="AM798" s="790"/>
      <c r="AN798" s="790"/>
      <c r="AO798" s="790"/>
      <c r="AP798" s="790"/>
      <c r="AQ798" s="790"/>
      <c r="AR798" s="790"/>
      <c r="AS798" s="790"/>
      <c r="AT798" s="790"/>
      <c r="AU798" s="790"/>
      <c r="AV798" s="790"/>
      <c r="AW798" s="790"/>
      <c r="AX798" s="792" t="str">
        <f>'Overview (Verification)'!A32</f>
        <v>Heating Fuel:</v>
      </c>
      <c r="AY798" s="1077">
        <f>IF(LEN('Overview (Verification)'!P32)=0,0,'Overview (Verification)'!P32)</f>
        <v>0</v>
      </c>
      <c r="AZ798" s="790"/>
      <c r="BA798" s="790"/>
      <c r="BB798" s="790"/>
      <c r="BC798" s="790"/>
      <c r="BD798" s="790"/>
      <c r="BE798" s="790"/>
      <c r="BF798" s="790"/>
      <c r="BG798" s="790"/>
      <c r="BH798" s="790"/>
      <c r="BI798" s="790"/>
      <c r="BJ798" s="1184" t="s">
        <v>4763</v>
      </c>
    </row>
    <row r="799" spans="1:62" x14ac:dyDescent="0.3">
      <c r="A799" s="1200">
        <v>7</v>
      </c>
      <c r="B799" s="1210" t="s">
        <v>960</v>
      </c>
      <c r="C799" s="1215"/>
      <c r="D799" s="1203"/>
      <c r="E799" s="1203"/>
      <c r="F799" s="1203"/>
      <c r="G799" s="1202" t="s">
        <v>4389</v>
      </c>
      <c r="H799" s="1200" t="s">
        <v>4387</v>
      </c>
      <c r="I799" s="244" t="s">
        <v>960</v>
      </c>
      <c r="J799" s="813"/>
      <c r="K799" s="813"/>
      <c r="L799" s="831" t="s">
        <v>961</v>
      </c>
      <c r="M799" s="796"/>
      <c r="N799" s="855"/>
      <c r="O799" s="804"/>
      <c r="P799" s="196"/>
      <c r="Q799" s="196"/>
      <c r="R799" s="196"/>
      <c r="S799" s="196"/>
      <c r="T799" s="196"/>
      <c r="U799" s="196"/>
      <c r="V799" s="196"/>
      <c r="W799" s="196"/>
      <c r="X799" s="196"/>
      <c r="Y799" s="790"/>
      <c r="Z799" s="1055"/>
      <c r="AB799" s="790"/>
      <c r="AC799" s="790"/>
      <c r="AD799" s="790"/>
      <c r="AE799" s="790"/>
      <c r="AF799" s="790"/>
      <c r="AG799" s="790"/>
      <c r="AH799" s="790"/>
      <c r="AI799" s="790"/>
      <c r="AJ799" s="790"/>
      <c r="AK799" s="790"/>
      <c r="AL799" s="790"/>
      <c r="AM799" s="790"/>
      <c r="AN799" s="790"/>
      <c r="AO799" s="790"/>
      <c r="AP799" s="790"/>
      <c r="AQ799" s="790"/>
      <c r="AR799" s="790"/>
      <c r="AS799" s="790"/>
      <c r="AT799" s="790"/>
      <c r="AU799" s="790"/>
      <c r="AV799" s="790"/>
      <c r="AW799" s="790"/>
      <c r="AX799" s="792" t="str">
        <f>'Overview (Verification)'!A33</f>
        <v>Heating Ducts:</v>
      </c>
      <c r="AY799" s="1077">
        <f>IF(LEN('Overview (Verification)'!P33)=0,0,'Overview (Verification)'!P33)</f>
        <v>0</v>
      </c>
      <c r="AZ799" s="790"/>
      <c r="BA799" s="790"/>
      <c r="BB799" s="790"/>
      <c r="BC799" s="790"/>
      <c r="BD799" s="790"/>
      <c r="BE799" s="790"/>
      <c r="BF799" s="790"/>
      <c r="BG799" s="790"/>
      <c r="BH799" s="790"/>
      <c r="BI799" s="790"/>
      <c r="BJ799" s="1184" t="s">
        <v>4763</v>
      </c>
    </row>
    <row r="800" spans="1:62" x14ac:dyDescent="0.3">
      <c r="A800" s="1200">
        <v>7</v>
      </c>
      <c r="B800" s="1210" t="s">
        <v>962</v>
      </c>
      <c r="C800" s="1210"/>
      <c r="D800" s="1203"/>
      <c r="E800" s="1203"/>
      <c r="F800" s="1203"/>
      <c r="G800" s="1202" t="s">
        <v>4389</v>
      </c>
      <c r="H800" s="1200" t="s">
        <v>4387</v>
      </c>
      <c r="I800" s="215" t="s">
        <v>962</v>
      </c>
      <c r="J800" s="823"/>
      <c r="K800" s="823"/>
      <c r="L800" s="1364" t="s">
        <v>963</v>
      </c>
      <c r="M800" s="1388" t="str">
        <f ca="1">IF(R800,"Mandatory","N/A")</f>
        <v>Mandatory</v>
      </c>
      <c r="N800" s="864"/>
      <c r="O800" s="810"/>
      <c r="P800" s="97" t="b">
        <v>1</v>
      </c>
      <c r="Q800" s="97" t="b">
        <v>0</v>
      </c>
      <c r="R800" s="218" t="b">
        <f ca="1">S800</f>
        <v>1</v>
      </c>
      <c r="S800" s="218" t="b">
        <f ca="1">NOT(S776=4)</f>
        <v>1</v>
      </c>
      <c r="T800" s="218" t="b">
        <f ca="1">AND(NOT(S800),W800=TRUE)</f>
        <v>0</v>
      </c>
      <c r="U800" s="218"/>
      <c r="V800" s="218"/>
      <c r="W800" s="25"/>
      <c r="X800" s="1295"/>
      <c r="Y800" s="1522" t="str">
        <f>IF(LEN('Ch7'!X37)=0,"None",'Ch7'!X37)</f>
        <v>None</v>
      </c>
      <c r="Z800" s="1586"/>
      <c r="AB800" s="790"/>
      <c r="AC800" s="790" t="b">
        <f ca="1">OR(AD800:AE800)</f>
        <v>1</v>
      </c>
      <c r="AD800" s="790" t="b">
        <f ca="1">T800</f>
        <v>0</v>
      </c>
      <c r="AE800" s="790" t="b">
        <f ca="1">AND(R800,NOT(W800))</f>
        <v>1</v>
      </c>
      <c r="AF800" s="1182" t="b">
        <f ca="1">AND(AE800,NOT(Q800))</f>
        <v>1</v>
      </c>
      <c r="AG800" s="790"/>
      <c r="AH800" s="790"/>
      <c r="AI800" s="790"/>
      <c r="AJ800" s="790"/>
      <c r="AK800" s="790"/>
      <c r="AL800" s="311" t="str">
        <f t="shared" ref="AL800" si="231">SUBSTITUTE(SUBSTITUTE(SUBSTITUTE("vpa"&amp;$B800&amp;$C800&amp;$D800&amp;$E800&amp;$F800,".","_"),"(","_"),")","")</f>
        <v>vpa701_4_1_1</v>
      </c>
      <c r="AM800" s="311" t="str">
        <f ca="1">M800</f>
        <v>Mandatory</v>
      </c>
      <c r="AN800" s="790"/>
      <c r="AO800" s="790"/>
      <c r="AP800" s="311" t="str">
        <f>SUBSTITUTE(SUBSTITUTE(SUBSTITUTE("vch"&amp;$B800&amp;$C800&amp;$D800&amp;$E800&amp;$F800,".","_"),"(","_"),")","")</f>
        <v>vch701_4_1_1</v>
      </c>
      <c r="AQ800" s="311">
        <f>W800</f>
        <v>0</v>
      </c>
      <c r="AR800" s="311" t="str">
        <f>SUBSTITUTE(SUBSTITUTE(SUBSTITUTE("vnt"&amp;$B800&amp;$C800&amp;$D800&amp;$E800&amp;$F800,".","_"),"(","_"),")","")</f>
        <v>vnt701_4_1_1</v>
      </c>
      <c r="AS800" s="311">
        <f>X800</f>
        <v>0</v>
      </c>
      <c r="AT800" s="790"/>
      <c r="AU800" s="790"/>
      <c r="AV800" s="790"/>
      <c r="AW800" s="790"/>
      <c r="AX800" s="792" t="str">
        <f>'Overview (Verification)'!A34</f>
        <v>Type of Cooling System (main system):</v>
      </c>
      <c r="AY800" s="1077">
        <f>IF(LEN('Overview (Verification)'!P34)=0,0,'Overview (Verification)'!P34)</f>
        <v>0</v>
      </c>
      <c r="AZ800" s="790"/>
      <c r="BA800" s="790"/>
      <c r="BB800" s="790"/>
      <c r="BC800" s="790"/>
      <c r="BD800" s="790"/>
      <c r="BE800" s="790"/>
      <c r="BF800" s="790"/>
      <c r="BG800" s="790"/>
      <c r="BH800" s="790"/>
      <c r="BI800" s="790"/>
      <c r="BJ800" s="1184" t="s">
        <v>4763</v>
      </c>
    </row>
    <row r="801" spans="1:62" x14ac:dyDescent="0.3">
      <c r="A801" s="1200">
        <v>7</v>
      </c>
      <c r="B801" s="1210" t="s">
        <v>962</v>
      </c>
      <c r="C801" s="1210"/>
      <c r="D801" s="1203"/>
      <c r="E801" s="1203"/>
      <c r="F801" s="1203"/>
      <c r="G801" s="1202" t="s">
        <v>4389</v>
      </c>
      <c r="H801" s="1200" t="s">
        <v>4387</v>
      </c>
      <c r="I801" s="140"/>
      <c r="J801" s="812"/>
      <c r="K801" s="812"/>
      <c r="L801" s="1313"/>
      <c r="M801" s="1351"/>
      <c r="N801" s="854"/>
      <c r="O801" s="803"/>
      <c r="P801" s="97"/>
      <c r="Q801" s="97"/>
      <c r="R801" s="97"/>
      <c r="S801" s="97"/>
      <c r="T801" s="97"/>
      <c r="U801" s="97"/>
      <c r="V801" s="97"/>
      <c r="W801" s="97"/>
      <c r="X801" s="1295"/>
      <c r="Y801" s="1522"/>
      <c r="Z801" s="1586"/>
      <c r="AB801" s="790"/>
      <c r="AC801" s="790"/>
      <c r="AD801" s="790"/>
      <c r="AE801" s="790"/>
      <c r="AF801" s="790"/>
      <c r="AG801" s="790"/>
      <c r="AH801" s="790"/>
      <c r="AI801" s="790"/>
      <c r="AJ801" s="790"/>
      <c r="AK801" s="790"/>
      <c r="AL801" s="790"/>
      <c r="AM801" s="790"/>
      <c r="AN801" s="790"/>
      <c r="AO801" s="790"/>
      <c r="AP801" s="790"/>
      <c r="AQ801" s="790"/>
      <c r="AR801" s="790"/>
      <c r="AS801" s="790"/>
      <c r="AT801" s="790"/>
      <c r="AU801" s="790"/>
      <c r="AV801" s="790"/>
      <c r="AW801" s="790"/>
      <c r="AX801" s="792" t="str">
        <f>'Overview (Verification)'!A35</f>
        <v>Type of Cooling System (system 2):</v>
      </c>
      <c r="AY801" s="1077">
        <f>IF(LEN('Overview (Verification)'!P35)=0,0,'Overview (Verification)'!P35)</f>
        <v>0</v>
      </c>
      <c r="AZ801" s="790"/>
      <c r="BA801" s="790"/>
      <c r="BB801" s="790"/>
      <c r="BC801" s="790"/>
      <c r="BD801" s="790"/>
      <c r="BE801" s="790"/>
      <c r="BF801" s="790"/>
      <c r="BG801" s="790"/>
      <c r="BH801" s="790"/>
      <c r="BI801" s="790"/>
      <c r="BJ801" s="1184" t="s">
        <v>4763</v>
      </c>
    </row>
    <row r="802" spans="1:62" x14ac:dyDescent="0.3">
      <c r="A802" s="1200">
        <v>7</v>
      </c>
      <c r="B802" s="1210" t="s">
        <v>962</v>
      </c>
      <c r="C802" s="1210"/>
      <c r="D802" s="1203"/>
      <c r="E802" s="1203"/>
      <c r="F802" s="1203"/>
      <c r="G802" s="1202" t="s">
        <v>4389</v>
      </c>
      <c r="H802" s="1200" t="s">
        <v>4387</v>
      </c>
      <c r="I802" s="238"/>
      <c r="J802" s="813"/>
      <c r="K802" s="813"/>
      <c r="L802" s="1350"/>
      <c r="M802" s="1352"/>
      <c r="N802" s="855"/>
      <c r="O802" s="804"/>
      <c r="P802" s="196"/>
      <c r="Q802" s="196"/>
      <c r="R802" s="196"/>
      <c r="S802" s="196"/>
      <c r="T802" s="196"/>
      <c r="U802" s="196"/>
      <c r="V802" s="196"/>
      <c r="W802" s="196"/>
      <c r="X802" s="1295"/>
      <c r="Y802" s="1522"/>
      <c r="Z802" s="1586"/>
      <c r="AB802" s="790"/>
      <c r="AC802" s="790"/>
      <c r="AD802" s="790"/>
      <c r="AE802" s="790"/>
      <c r="AF802" s="790"/>
      <c r="AG802" s="790"/>
      <c r="AH802" s="790"/>
      <c r="AI802" s="790"/>
      <c r="AJ802" s="790"/>
      <c r="AK802" s="790"/>
      <c r="AL802" s="790"/>
      <c r="AM802" s="790"/>
      <c r="AN802" s="790"/>
      <c r="AO802" s="790"/>
      <c r="AP802" s="790"/>
      <c r="AQ802" s="790"/>
      <c r="AR802" s="790"/>
      <c r="AS802" s="790"/>
      <c r="AT802" s="790"/>
      <c r="AU802" s="790"/>
      <c r="AV802" s="790"/>
      <c r="AW802" s="790"/>
      <c r="AX802" s="792" t="str">
        <f>'Overview (Verification)'!A36</f>
        <v>Type of Cooling System (system 3):</v>
      </c>
      <c r="AY802" s="1077">
        <f>IF(LEN('Overview (Verification)'!P36)=0,0,'Overview (Verification)'!P36)</f>
        <v>0</v>
      </c>
      <c r="AZ802" s="790"/>
      <c r="BA802" s="790"/>
      <c r="BB802" s="790"/>
      <c r="BC802" s="790"/>
      <c r="BD802" s="790"/>
      <c r="BE802" s="790"/>
      <c r="BF802" s="790"/>
      <c r="BG802" s="790"/>
      <c r="BH802" s="790"/>
      <c r="BI802" s="790"/>
      <c r="BJ802" s="1184" t="s">
        <v>4763</v>
      </c>
    </row>
    <row r="803" spans="1:62" x14ac:dyDescent="0.3">
      <c r="A803" s="1200">
        <v>7</v>
      </c>
      <c r="B803" s="1210" t="s">
        <v>964</v>
      </c>
      <c r="C803" s="1210"/>
      <c r="D803" s="1203"/>
      <c r="E803" s="1203"/>
      <c r="F803" s="1203"/>
      <c r="G803" s="1202" t="s">
        <v>4389</v>
      </c>
      <c r="H803" s="1200" t="s">
        <v>4387</v>
      </c>
      <c r="I803" s="630" t="s">
        <v>964</v>
      </c>
      <c r="J803" s="823"/>
      <c r="K803" s="823"/>
      <c r="L803" s="1364" t="s">
        <v>965</v>
      </c>
      <c r="M803" s="1388" t="str">
        <f ca="1">IF(R803,"Mandatory","N/A")</f>
        <v>Mandatory</v>
      </c>
      <c r="N803" s="864"/>
      <c r="O803" s="810"/>
      <c r="P803" s="97" t="b">
        <v>1</v>
      </c>
      <c r="Q803" s="97" t="b">
        <v>0</v>
      </c>
      <c r="R803" s="218" t="b">
        <f ca="1">S803</f>
        <v>1</v>
      </c>
      <c r="S803" s="218" t="b">
        <f ca="1">NOT(S776=4)</f>
        <v>1</v>
      </c>
      <c r="T803" s="218" t="b">
        <f ca="1">AND(NOT(S803),LEN(W803)&gt;0)</f>
        <v>0</v>
      </c>
      <c r="U803" s="218" t="str">
        <f>SUBSTITUTE(SUBSTITUTE(SUBSTITUTE("dd"&amp;B803&amp;C803&amp;D803&amp;E803&amp;F803,".","_"),"(","_"),")","")</f>
        <v>dd701_4_1_2</v>
      </c>
      <c r="V803" s="218"/>
      <c r="W803" s="12"/>
      <c r="X803" s="1295"/>
      <c r="Y803" s="1522" t="str">
        <f>IF(LEN('Ch7'!X40)=0,"None",'Ch7'!X40)</f>
        <v>None</v>
      </c>
      <c r="Z803" s="1586"/>
      <c r="AB803" s="790"/>
      <c r="AC803" s="790" t="b">
        <f ca="1">OR(AD803:AE803)</f>
        <v>1</v>
      </c>
      <c r="AD803" s="790" t="b">
        <f ca="1">T803</f>
        <v>0</v>
      </c>
      <c r="AE803" s="790" t="b">
        <f ca="1">AND(R803,OR(W803="Not Met",W803=""))</f>
        <v>1</v>
      </c>
      <c r="AF803" s="1182" t="b">
        <f ca="1">AND(AE803,NOT(Q803))</f>
        <v>1</v>
      </c>
      <c r="AG803" s="790"/>
      <c r="AH803" s="790"/>
      <c r="AI803" s="790"/>
      <c r="AJ803" s="790"/>
      <c r="AK803" s="790"/>
      <c r="AL803" s="311" t="str">
        <f t="shared" ref="AL803" si="232">SUBSTITUTE(SUBSTITUTE(SUBSTITUTE("vpa"&amp;$B803&amp;$C803&amp;$D803&amp;$E803&amp;$F803,".","_"),"(","_"),")","")</f>
        <v>vpa701_4_1_2</v>
      </c>
      <c r="AM803" s="311" t="str">
        <f ca="1">M803</f>
        <v>Mandatory</v>
      </c>
      <c r="AN803" s="790"/>
      <c r="AO803" s="790"/>
      <c r="AP803" s="311" t="str">
        <f>SUBSTITUTE(SUBSTITUTE(SUBSTITUTE("vch"&amp;$B803&amp;$C803&amp;$D803&amp;$E803&amp;$F803,".","_"),"(","_"),")","")</f>
        <v>vch701_4_1_2</v>
      </c>
      <c r="AQ803" s="311">
        <f>W803</f>
        <v>0</v>
      </c>
      <c r="AR803" s="311" t="str">
        <f>SUBSTITUTE(SUBSTITUTE(SUBSTITUTE("vnt"&amp;$B803&amp;$C803&amp;$D803&amp;$E803&amp;$F803,".","_"),"(","_"),")","")</f>
        <v>vnt701_4_1_2</v>
      </c>
      <c r="AS803" s="311">
        <f>X803</f>
        <v>0</v>
      </c>
      <c r="AT803" s="790"/>
      <c r="AU803" s="790"/>
      <c r="AV803" s="790"/>
      <c r="AW803" s="790"/>
      <c r="AX803" s="792" t="str">
        <f>'Overview (Verification)'!A37</f>
        <v>Cooling Ducts:</v>
      </c>
      <c r="AY803" s="1077">
        <f>IF(LEN('Overview (Verification)'!P37)=0,0,'Overview (Verification)'!P37)</f>
        <v>0</v>
      </c>
      <c r="AZ803" s="790"/>
      <c r="BA803" s="790"/>
      <c r="BB803" s="790"/>
      <c r="BC803" s="790"/>
      <c r="BD803" s="790"/>
      <c r="BE803" s="790"/>
      <c r="BF803" s="790"/>
      <c r="BG803" s="790"/>
      <c r="BH803" s="790"/>
      <c r="BI803" s="790"/>
      <c r="BJ803" s="1184" t="s">
        <v>4763</v>
      </c>
    </row>
    <row r="804" spans="1:62" x14ac:dyDescent="0.3">
      <c r="A804" s="1200">
        <v>7</v>
      </c>
      <c r="B804" s="1210" t="s">
        <v>964</v>
      </c>
      <c r="C804" s="1210"/>
      <c r="D804" s="1203"/>
      <c r="E804" s="1203"/>
      <c r="F804" s="1203"/>
      <c r="G804" s="1202" t="s">
        <v>4389</v>
      </c>
      <c r="H804" s="1200" t="s">
        <v>4387</v>
      </c>
      <c r="I804" s="140"/>
      <c r="J804" s="812"/>
      <c r="K804" s="812"/>
      <c r="L804" s="1313"/>
      <c r="M804" s="1351"/>
      <c r="N804" s="854"/>
      <c r="O804" s="803"/>
      <c r="P804" s="97"/>
      <c r="Q804" s="97"/>
      <c r="R804" s="97"/>
      <c r="S804" s="97"/>
      <c r="T804" s="97"/>
      <c r="U804" s="97"/>
      <c r="V804" s="97"/>
      <c r="W804" s="97"/>
      <c r="X804" s="1295"/>
      <c r="Y804" s="1522"/>
      <c r="Z804" s="1586"/>
      <c r="AB804" s="790"/>
      <c r="AC804" s="790"/>
      <c r="AD804" s="790"/>
      <c r="AE804" s="790"/>
      <c r="AF804" s="790"/>
      <c r="AG804" s="790"/>
      <c r="AH804" s="790"/>
      <c r="AI804" s="790"/>
      <c r="AJ804" s="790"/>
      <c r="AK804" s="790"/>
      <c r="AL804" s="790"/>
      <c r="AM804" s="790"/>
      <c r="AN804" s="790"/>
      <c r="AO804" s="790"/>
      <c r="AP804" s="790"/>
      <c r="AQ804" s="790"/>
      <c r="AR804" s="790"/>
      <c r="AS804" s="790"/>
      <c r="AT804" s="790"/>
      <c r="AU804" s="790"/>
      <c r="AV804" s="790"/>
      <c r="AW804" s="790"/>
      <c r="AX804" s="792"/>
      <c r="AY804" s="1077"/>
      <c r="AZ804" s="790"/>
      <c r="BA804" s="790"/>
      <c r="BB804" s="790"/>
      <c r="BC804" s="790"/>
      <c r="BD804" s="790"/>
      <c r="BE804" s="790"/>
      <c r="BF804" s="790"/>
      <c r="BG804" s="790"/>
      <c r="BH804" s="790"/>
      <c r="BI804" s="790"/>
      <c r="BJ804" s="1184" t="s">
        <v>4763</v>
      </c>
    </row>
    <row r="805" spans="1:62" x14ac:dyDescent="0.3">
      <c r="A805" s="1200">
        <v>7</v>
      </c>
      <c r="B805" s="1210" t="s">
        <v>964</v>
      </c>
      <c r="C805" s="1210"/>
      <c r="D805" s="1203"/>
      <c r="E805" s="1203"/>
      <c r="F805" s="1203"/>
      <c r="G805" s="1202" t="s">
        <v>4389</v>
      </c>
      <c r="H805" s="1200" t="s">
        <v>4387</v>
      </c>
      <c r="I805" s="140"/>
      <c r="J805" s="812"/>
      <c r="K805" s="812"/>
      <c r="L805" s="1313"/>
      <c r="M805" s="1351"/>
      <c r="N805" s="854"/>
      <c r="O805" s="803"/>
      <c r="P805" s="97"/>
      <c r="Q805" s="97"/>
      <c r="R805" s="97"/>
      <c r="S805" s="97"/>
      <c r="T805" s="97"/>
      <c r="U805" s="97"/>
      <c r="V805" s="97"/>
      <c r="W805" s="97"/>
      <c r="X805" s="1295"/>
      <c r="Y805" s="1522"/>
      <c r="Z805" s="1586"/>
      <c r="AB805" s="790"/>
      <c r="AC805" s="790"/>
      <c r="AD805" s="790"/>
      <c r="AE805" s="790"/>
      <c r="AF805" s="790"/>
      <c r="AG805" s="790"/>
      <c r="AH805" s="790"/>
      <c r="AI805" s="790"/>
      <c r="AJ805" s="790"/>
      <c r="AK805" s="790"/>
      <c r="AL805" s="790"/>
      <c r="AM805" s="790"/>
      <c r="AN805" s="790"/>
      <c r="AO805" s="790"/>
      <c r="AP805" s="790"/>
      <c r="AQ805" s="790"/>
      <c r="AR805" s="790"/>
      <c r="AS805" s="790"/>
      <c r="AT805" s="790"/>
      <c r="AU805" s="790"/>
      <c r="AV805" s="790"/>
      <c r="AW805" s="790"/>
      <c r="AX805" s="792" t="str">
        <f>'Overview (Verification)'!A39</f>
        <v>Maximum window and door SHGC:</v>
      </c>
      <c r="AY805" s="1077">
        <f>IF(LEN('Overview (Verification)'!P39)=0,0,'Overview (Verification)'!P39)</f>
        <v>0</v>
      </c>
      <c r="AZ805" s="790"/>
      <c r="BA805" s="790"/>
      <c r="BB805" s="790"/>
      <c r="BC805" s="790"/>
      <c r="BD805" s="790"/>
      <c r="BE805" s="790"/>
      <c r="BF805" s="790"/>
      <c r="BG805" s="790"/>
      <c r="BH805" s="790"/>
      <c r="BI805" s="790"/>
      <c r="BJ805" s="1184" t="s">
        <v>4763</v>
      </c>
    </row>
    <row r="806" spans="1:62" x14ac:dyDescent="0.3">
      <c r="A806" s="1200">
        <v>7</v>
      </c>
      <c r="B806" s="1210" t="s">
        <v>964</v>
      </c>
      <c r="C806" s="1210"/>
      <c r="D806" s="1203"/>
      <c r="E806" s="1203"/>
      <c r="F806" s="1203"/>
      <c r="G806" s="1202" t="s">
        <v>4389</v>
      </c>
      <c r="H806" s="1200" t="s">
        <v>4387</v>
      </c>
      <c r="I806" s="140"/>
      <c r="J806" s="812"/>
      <c r="K806" s="812"/>
      <c r="L806" s="1313"/>
      <c r="M806" s="1351"/>
      <c r="N806" s="854"/>
      <c r="O806" s="803"/>
      <c r="P806" s="97"/>
      <c r="Q806" s="97"/>
      <c r="R806" s="97"/>
      <c r="S806" s="97"/>
      <c r="T806" s="97"/>
      <c r="U806" s="97"/>
      <c r="V806" s="97"/>
      <c r="W806" s="97"/>
      <c r="X806" s="1295"/>
      <c r="Y806" s="1522"/>
      <c r="Z806" s="1586"/>
      <c r="AB806" s="790"/>
      <c r="AC806" s="790"/>
      <c r="AD806" s="790"/>
      <c r="AE806" s="790"/>
      <c r="AF806" s="790"/>
      <c r="AG806" s="790"/>
      <c r="AH806" s="790"/>
      <c r="AI806" s="790"/>
      <c r="AJ806" s="790"/>
      <c r="AK806" s="790"/>
      <c r="AL806" s="790"/>
      <c r="AM806" s="790"/>
      <c r="AN806" s="790"/>
      <c r="AO806" s="790"/>
      <c r="AP806" s="790"/>
      <c r="AQ806" s="790"/>
      <c r="AR806" s="790"/>
      <c r="AS806" s="790"/>
      <c r="AT806" s="790"/>
      <c r="AU806" s="790"/>
      <c r="AV806" s="790"/>
      <c r="AW806" s="790"/>
      <c r="AX806" s="792" t="str">
        <f>'Overview (Verification)'!A40</f>
        <v>Maximum skylight SHGC:</v>
      </c>
      <c r="AY806" s="1077">
        <f>IF(LEN('Overview (Verification)'!P40)=0,0,'Overview (Verification)'!P40)</f>
        <v>0</v>
      </c>
      <c r="AZ806" s="790"/>
      <c r="BA806" s="790"/>
      <c r="BB806" s="790"/>
      <c r="BC806" s="790"/>
      <c r="BD806" s="790"/>
      <c r="BE806" s="790"/>
      <c r="BF806" s="790"/>
      <c r="BG806" s="790"/>
      <c r="BH806" s="790"/>
      <c r="BI806" s="790"/>
      <c r="BJ806" s="1184" t="s">
        <v>4763</v>
      </c>
    </row>
    <row r="807" spans="1:62" x14ac:dyDescent="0.3">
      <c r="A807" s="1200">
        <v>7</v>
      </c>
      <c r="B807" s="1210" t="s">
        <v>964</v>
      </c>
      <c r="C807" s="1210"/>
      <c r="D807" s="1203"/>
      <c r="E807" s="1203"/>
      <c r="F807" s="1203"/>
      <c r="G807" s="1202" t="s">
        <v>4389</v>
      </c>
      <c r="H807" s="1200" t="s">
        <v>4387</v>
      </c>
      <c r="I807" s="238"/>
      <c r="J807" s="813"/>
      <c r="K807" s="813"/>
      <c r="L807" s="1350"/>
      <c r="M807" s="1352"/>
      <c r="N807" s="855"/>
      <c r="O807" s="804"/>
      <c r="P807" s="196"/>
      <c r="Q807" s="196"/>
      <c r="R807" s="196"/>
      <c r="S807" s="196"/>
      <c r="T807" s="196"/>
      <c r="U807" s="196"/>
      <c r="V807" s="196"/>
      <c r="W807" s="196"/>
      <c r="X807" s="1295"/>
      <c r="Y807" s="1522"/>
      <c r="Z807" s="1586"/>
      <c r="AB807" s="790"/>
      <c r="AC807" s="790"/>
      <c r="AD807" s="790"/>
      <c r="AE807" s="790"/>
      <c r="AF807" s="790"/>
      <c r="AG807" s="790"/>
      <c r="AH807" s="790"/>
      <c r="AI807" s="790"/>
      <c r="AJ807" s="790"/>
      <c r="AK807" s="790"/>
      <c r="AL807" s="790"/>
      <c r="AM807" s="790"/>
      <c r="AN807" s="790"/>
      <c r="AO807" s="790"/>
      <c r="AP807" s="790"/>
      <c r="AQ807" s="790"/>
      <c r="AR807" s="790"/>
      <c r="AS807" s="790"/>
      <c r="AT807" s="790"/>
      <c r="AU807" s="790"/>
      <c r="AV807" s="790"/>
      <c r="AW807" s="790"/>
      <c r="AX807" s="792" t="str">
        <f>'Overview (Verification)'!A41</f>
        <v>Maximum window and door U-value:</v>
      </c>
      <c r="AY807" s="1077">
        <f>IF(LEN('Overview (Verification)'!P41)=0,0,'Overview (Verification)'!P41)</f>
        <v>0</v>
      </c>
      <c r="AZ807" s="790"/>
      <c r="BA807" s="790"/>
      <c r="BB807" s="790"/>
      <c r="BC807" s="790"/>
      <c r="BD807" s="790"/>
      <c r="BE807" s="790"/>
      <c r="BF807" s="790"/>
      <c r="BG807" s="790"/>
      <c r="BH807" s="790"/>
      <c r="BI807" s="790"/>
      <c r="BJ807" s="1184" t="s">
        <v>4763</v>
      </c>
    </row>
    <row r="808" spans="1:62" x14ac:dyDescent="0.3">
      <c r="A808" s="1200">
        <v>7</v>
      </c>
      <c r="B808" s="1210" t="s">
        <v>966</v>
      </c>
      <c r="C808" s="1210"/>
      <c r="D808" s="1203"/>
      <c r="E808" s="1203"/>
      <c r="F808" s="1203"/>
      <c r="G808" s="1202" t="s">
        <v>4389</v>
      </c>
      <c r="H808" s="1200" t="s">
        <v>4387</v>
      </c>
      <c r="I808" s="630" t="s">
        <v>966</v>
      </c>
      <c r="J808" s="823"/>
      <c r="K808" s="823"/>
      <c r="L808" s="832" t="s">
        <v>967</v>
      </c>
      <c r="M808" s="811"/>
      <c r="N808" s="864"/>
      <c r="O808" s="810"/>
      <c r="P808" s="218"/>
      <c r="Q808" s="218"/>
      <c r="R808" s="218"/>
      <c r="S808" s="218"/>
      <c r="T808" s="218"/>
      <c r="U808" s="218"/>
      <c r="V808" s="218"/>
      <c r="W808" s="218"/>
      <c r="X808" s="218"/>
      <c r="Y808" s="790"/>
      <c r="Z808" s="1055"/>
      <c r="AB808" s="790"/>
      <c r="AC808" s="790"/>
      <c r="AD808" s="790"/>
      <c r="AE808" s="790"/>
      <c r="AF808" s="790"/>
      <c r="AG808" s="790"/>
      <c r="AH808" s="790"/>
      <c r="AI808" s="790"/>
      <c r="AJ808" s="790"/>
      <c r="AK808" s="790"/>
      <c r="AL808" s="790"/>
      <c r="AM808" s="790"/>
      <c r="AN808" s="790"/>
      <c r="AO808" s="790"/>
      <c r="AP808" s="790"/>
      <c r="AQ808" s="790"/>
      <c r="AR808" s="790"/>
      <c r="AS808" s="790"/>
      <c r="AT808" s="790"/>
      <c r="AU808" s="790"/>
      <c r="AV808" s="790"/>
      <c r="AW808" s="790"/>
      <c r="AX808" s="792" t="str">
        <f>'Overview (Verification)'!A42</f>
        <v>Maximum skylight U-value:</v>
      </c>
      <c r="AY808" s="1077">
        <f>IF(LEN('Overview (Verification)'!P42)=0,0,'Overview (Verification)'!P42)</f>
        <v>0</v>
      </c>
      <c r="AZ808" s="790"/>
      <c r="BA808" s="790"/>
      <c r="BB808" s="790"/>
      <c r="BC808" s="790"/>
      <c r="BD808" s="790"/>
      <c r="BE808" s="790"/>
      <c r="BF808" s="790"/>
      <c r="BG808" s="790"/>
      <c r="BH808" s="790"/>
      <c r="BI808" s="790"/>
      <c r="BJ808" s="1184" t="s">
        <v>4763</v>
      </c>
    </row>
    <row r="809" spans="1:62" x14ac:dyDescent="0.3">
      <c r="A809" s="1200">
        <v>7</v>
      </c>
      <c r="B809" s="1210" t="s">
        <v>960</v>
      </c>
      <c r="C809" s="1210"/>
      <c r="D809" s="1203"/>
      <c r="E809" s="1203"/>
      <c r="F809" s="1203"/>
      <c r="G809" s="1202" t="s">
        <v>4389</v>
      </c>
      <c r="H809" s="1200" t="s">
        <v>4387</v>
      </c>
      <c r="I809" s="606" t="s">
        <v>4078</v>
      </c>
      <c r="J809" s="812"/>
      <c r="K809" s="812"/>
      <c r="L809" s="1313" t="s">
        <v>968</v>
      </c>
      <c r="M809" s="1351" t="str">
        <f ca="1">IF(R809,"Mandatory","N/A")</f>
        <v>Mandatory</v>
      </c>
      <c r="N809" s="854"/>
      <c r="O809" s="803"/>
      <c r="P809" s="97" t="b">
        <v>1</v>
      </c>
      <c r="Q809" s="97" t="b">
        <v>0</v>
      </c>
      <c r="R809" s="97" t="b">
        <f ca="1">S809</f>
        <v>1</v>
      </c>
      <c r="S809" s="97" t="b">
        <f ca="1">AND(NOT(S776=4),NOT(AND(OR(AY799=INDEX(INDIRECT('Overview (Design)'!$E$33),2),AY799=INDEX(INDIRECT('Overview (Design)'!$E$33),3)),OR(AY803=INDEX(INDIRECT('Overview (Design)'!$E$37),2),AY803=INDEX(INDIRECT('Overview (Design)'!$E$37),3)))))</f>
        <v>1</v>
      </c>
      <c r="T809" s="97" t="b">
        <f ca="1">AND(NOT(S809),W809=TRUE)</f>
        <v>0</v>
      </c>
      <c r="U809" s="97"/>
      <c r="V809" s="97"/>
      <c r="W809" s="25"/>
      <c r="X809" s="1303"/>
      <c r="Y809" s="1522" t="str">
        <f>IF(LEN('Ch7'!X46)=0,"None",'Ch7'!X46)</f>
        <v>None</v>
      </c>
      <c r="Z809" s="1586"/>
      <c r="AB809" s="790"/>
      <c r="AC809" s="790" t="b">
        <f ca="1">OR(AD809:AE809)</f>
        <v>1</v>
      </c>
      <c r="AD809" s="790" t="b">
        <f ca="1">T809</f>
        <v>0</v>
      </c>
      <c r="AE809" s="790" t="b">
        <f ca="1">AND(R809,NOT(W809))</f>
        <v>1</v>
      </c>
      <c r="AF809" s="1182" t="b">
        <f ca="1">AND(AE809,NOT(Q809))</f>
        <v>1</v>
      </c>
      <c r="AG809" s="790"/>
      <c r="AH809" s="790"/>
      <c r="AI809" s="790"/>
      <c r="AJ809" s="790"/>
      <c r="AK809" s="790"/>
      <c r="AL809" s="311" t="str">
        <f t="shared" ref="AL809" si="233">SUBSTITUTE(SUBSTITUTE(SUBSTITUTE("vpa"&amp;$B809&amp;$C809&amp;$D809&amp;$E809&amp;$F809,".","_"),"(","_"),")","")</f>
        <v>vpa701_4_1</v>
      </c>
      <c r="AM809" s="311" t="str">
        <f ca="1">M809</f>
        <v>Mandatory</v>
      </c>
      <c r="AN809" s="790"/>
      <c r="AO809" s="790"/>
      <c r="AP809" s="311" t="str">
        <f>SUBSTITUTE(SUBSTITUTE(SUBSTITUTE("vch"&amp;$B809&amp;$C809&amp;$D809&amp;$E809&amp;$F809,".","_"),"(","_"),")","")</f>
        <v>vch701_4_1</v>
      </c>
      <c r="AQ809" s="311">
        <f>W809</f>
        <v>0</v>
      </c>
      <c r="AR809" s="311" t="str">
        <f>SUBSTITUTE(SUBSTITUTE(SUBSTITUTE("vnt"&amp;$B809&amp;$C809&amp;$D809&amp;$E809&amp;$F809,".","_"),"(","_"),")","")</f>
        <v>vnt701_4_1</v>
      </c>
      <c r="AS809" s="311">
        <f>X809</f>
        <v>0</v>
      </c>
      <c r="AT809" s="790"/>
      <c r="AU809" s="790"/>
      <c r="AV809" s="790"/>
      <c r="AW809" s="790"/>
      <c r="AX809" s="792" t="str">
        <f>'Overview (Verification)'!A43</f>
        <v>Renewable Energy:</v>
      </c>
      <c r="AY809" s="1077">
        <f>IF(LEN('Overview (Verification)'!P43)=0,0,'Overview (Verification)'!P43)</f>
        <v>0</v>
      </c>
      <c r="AZ809" s="790"/>
      <c r="BA809" s="790"/>
      <c r="BB809" s="790"/>
      <c r="BC809" s="790"/>
      <c r="BD809" s="790"/>
      <c r="BE809" s="790"/>
      <c r="BF809" s="790"/>
      <c r="BG809" s="790"/>
      <c r="BH809" s="790"/>
      <c r="BI809" s="790"/>
      <c r="BJ809" s="1184" t="s">
        <v>4763</v>
      </c>
    </row>
    <row r="810" spans="1:62" x14ac:dyDescent="0.3">
      <c r="A810" s="1200">
        <v>7</v>
      </c>
      <c r="B810" s="1210" t="s">
        <v>960</v>
      </c>
      <c r="C810" s="1210"/>
      <c r="D810" s="1203"/>
      <c r="E810" s="1203"/>
      <c r="F810" s="1203"/>
      <c r="G810" s="1202" t="s">
        <v>4389</v>
      </c>
      <c r="H810" s="1200" t="s">
        <v>4387</v>
      </c>
      <c r="I810" s="606"/>
      <c r="J810" s="812"/>
      <c r="K810" s="812"/>
      <c r="L810" s="1313"/>
      <c r="M810" s="1351"/>
      <c r="N810" s="854"/>
      <c r="O810" s="803"/>
      <c r="P810" s="97"/>
      <c r="Q810" s="97"/>
      <c r="R810" s="97"/>
      <c r="S810" s="97"/>
      <c r="T810" s="97"/>
      <c r="U810" s="97"/>
      <c r="V810" s="97"/>
      <c r="W810" s="97"/>
      <c r="X810" s="1303"/>
      <c r="Y810" s="1522"/>
      <c r="Z810" s="1586"/>
      <c r="AB810" s="790"/>
      <c r="AC810" s="790"/>
      <c r="AD810" s="790"/>
      <c r="AE810" s="790"/>
      <c r="AF810" s="790"/>
      <c r="AG810" s="790"/>
      <c r="AH810" s="790"/>
      <c r="AI810" s="790"/>
      <c r="AJ810" s="790"/>
      <c r="AK810" s="790"/>
      <c r="AL810" s="790"/>
      <c r="AM810" s="790"/>
      <c r="AN810" s="790"/>
      <c r="AO810" s="790"/>
      <c r="AP810" s="790"/>
      <c r="AQ810" s="790"/>
      <c r="AR810" s="790"/>
      <c r="AS810" s="790"/>
      <c r="AT810" s="790"/>
      <c r="AU810" s="790"/>
      <c r="AV810" s="790"/>
      <c r="AW810" s="790"/>
      <c r="AX810" s="792" t="str">
        <f>'Overview (Verification)'!A44</f>
        <v>Thermal Envelope Insulation:</v>
      </c>
      <c r="AY810" s="1077">
        <f>IF(LEN('Overview (Verification)'!P44)=0,0,'Overview (Verification)'!P44)</f>
        <v>0</v>
      </c>
      <c r="AZ810" s="790"/>
      <c r="BA810" s="790"/>
      <c r="BB810" s="790"/>
      <c r="BC810" s="790"/>
      <c r="BD810" s="790"/>
      <c r="BE810" s="790"/>
      <c r="BF810" s="790"/>
      <c r="BG810" s="790"/>
      <c r="BH810" s="790"/>
      <c r="BI810" s="790"/>
      <c r="BJ810" s="1184" t="s">
        <v>4763</v>
      </c>
    </row>
    <row r="811" spans="1:62" x14ac:dyDescent="0.3">
      <c r="A811" s="1200">
        <v>7</v>
      </c>
      <c r="B811" s="1210" t="s">
        <v>960</v>
      </c>
      <c r="C811" s="1210"/>
      <c r="D811" s="1203"/>
      <c r="E811" s="1203"/>
      <c r="F811" s="1203"/>
      <c r="G811" s="1202" t="s">
        <v>4389</v>
      </c>
      <c r="H811" s="1200" t="s">
        <v>4387</v>
      </c>
      <c r="I811" s="631"/>
      <c r="J811" s="813"/>
      <c r="K811" s="813"/>
      <c r="L811" s="1350"/>
      <c r="M811" s="1352"/>
      <c r="N811" s="855"/>
      <c r="O811" s="804"/>
      <c r="P811" s="196"/>
      <c r="Q811" s="196"/>
      <c r="R811" s="196"/>
      <c r="S811" s="196"/>
      <c r="T811" s="196"/>
      <c r="U811" s="196"/>
      <c r="V811" s="196"/>
      <c r="W811" s="196"/>
      <c r="X811" s="1303"/>
      <c r="Y811" s="1522"/>
      <c r="Z811" s="1586"/>
      <c r="AB811" s="790"/>
      <c r="AC811" s="790"/>
      <c r="AD811" s="790"/>
      <c r="AE811" s="790"/>
      <c r="AF811" s="790"/>
      <c r="AG811" s="790"/>
      <c r="AH811" s="790"/>
      <c r="AI811" s="790"/>
      <c r="AJ811" s="790"/>
      <c r="AK811" s="790"/>
      <c r="AL811" s="790"/>
      <c r="AM811" s="790"/>
      <c r="AN811" s="790"/>
      <c r="AO811" s="790"/>
      <c r="AP811" s="790"/>
      <c r="AQ811" s="790"/>
      <c r="AR811" s="790"/>
      <c r="AS811" s="790"/>
      <c r="AT811" s="790"/>
      <c r="AU811" s="790"/>
      <c r="AV811" s="790"/>
      <c r="AW811" s="790"/>
      <c r="AX811" s="792" t="str">
        <f>'Overview (Verification)'!A45</f>
        <v>Attic Type:</v>
      </c>
      <c r="AY811" s="1077">
        <f>IF(LEN('Overview (Verification)'!P45)=0,0,'Overview (Verification)'!P45)</f>
        <v>0</v>
      </c>
      <c r="AZ811" s="790"/>
      <c r="BA811" s="790"/>
      <c r="BB811" s="790"/>
      <c r="BC811" s="790"/>
      <c r="BD811" s="790"/>
      <c r="BE811" s="790"/>
      <c r="BF811" s="790"/>
      <c r="BG811" s="790"/>
      <c r="BH811" s="790"/>
      <c r="BI811" s="790"/>
      <c r="BJ811" s="1184" t="s">
        <v>4763</v>
      </c>
    </row>
    <row r="812" spans="1:62" ht="15" customHeight="1" x14ac:dyDescent="0.3">
      <c r="A812" s="1200">
        <v>7</v>
      </c>
      <c r="B812" s="1210" t="s">
        <v>969</v>
      </c>
      <c r="C812" s="1210"/>
      <c r="D812" s="1203"/>
      <c r="E812" s="1203"/>
      <c r="F812" s="1203"/>
      <c r="G812" s="1202" t="s">
        <v>4389</v>
      </c>
      <c r="H812" s="1200" t="s">
        <v>4387</v>
      </c>
      <c r="I812" s="632" t="s">
        <v>969</v>
      </c>
      <c r="J812" s="365"/>
      <c r="K812" s="365"/>
      <c r="L812" s="633" t="s">
        <v>970</v>
      </c>
      <c r="M812" s="1092" t="str">
        <f ca="1">IF(R812,"Mandatory","N/A")</f>
        <v>Mandatory</v>
      </c>
      <c r="N812" s="892"/>
      <c r="O812" s="845"/>
      <c r="P812" s="97" t="b">
        <v>1</v>
      </c>
      <c r="Q812" s="97" t="b">
        <v>0</v>
      </c>
      <c r="R812" s="239" t="b">
        <f ca="1">S812</f>
        <v>1</v>
      </c>
      <c r="S812" s="239" t="b">
        <f ca="1">AND(NOT(S776=4),NOT(AND(OR(AY799=INDEX(INDIRECT('Overview (Design)'!$E$33),2),AY799=INDEX(INDIRECT('Overview (Design)'!$E$33),3)),OR(AY803=INDEX(INDIRECT('Overview (Design)'!$E$37),2),AY803=INDEX(INDIRECT('Overview (Design)'!$E$37),3)))))</f>
        <v>1</v>
      </c>
      <c r="T812" s="239" t="b">
        <f ca="1">AND(NOT(S812),W812=TRUE)</f>
        <v>0</v>
      </c>
      <c r="U812" s="239"/>
      <c r="V812" s="239"/>
      <c r="W812" s="25"/>
      <c r="X812" s="793"/>
      <c r="Y812" s="841" t="str">
        <f>IF(LEN('Ch7'!X49)=0,"None",'Ch7'!X49)</f>
        <v>None</v>
      </c>
      <c r="Z812" s="1169"/>
      <c r="AB812" s="790"/>
      <c r="AC812" s="790" t="b">
        <f ca="1">OR(AD812:AE812)</f>
        <v>1</v>
      </c>
      <c r="AD812" s="790" t="b">
        <f ca="1">T812</f>
        <v>0</v>
      </c>
      <c r="AE812" s="790" t="b">
        <f ca="1">AND(R812,NOT(W812))</f>
        <v>1</v>
      </c>
      <c r="AF812" s="1182" t="b">
        <f ca="1">AND(AE812,NOT(Q812))</f>
        <v>1</v>
      </c>
      <c r="AG812" s="790"/>
      <c r="AH812" s="790"/>
      <c r="AI812" s="790"/>
      <c r="AJ812" s="790"/>
      <c r="AK812" s="790"/>
      <c r="AL812" s="311" t="str">
        <f t="shared" ref="AL812:AL813" si="234">SUBSTITUTE(SUBSTITUTE(SUBSTITUTE("vpa"&amp;$B812&amp;$C812&amp;$D812&amp;$E812&amp;$F812,".","_"),"(","_"),")","")</f>
        <v>vpa701_4_2_2</v>
      </c>
      <c r="AM812" s="311" t="str">
        <f ca="1">M812</f>
        <v>Mandatory</v>
      </c>
      <c r="AN812" s="790"/>
      <c r="AO812" s="790"/>
      <c r="AP812" s="311" t="str">
        <f t="shared" ref="AP812:AP813" si="235">SUBSTITUTE(SUBSTITUTE(SUBSTITUTE("vch"&amp;$B812&amp;$C812&amp;$D812&amp;$E812&amp;$F812,".","_"),"(","_"),")","")</f>
        <v>vch701_4_2_2</v>
      </c>
      <c r="AQ812" s="311">
        <f>W812</f>
        <v>0</v>
      </c>
      <c r="AR812" s="311" t="str">
        <f t="shared" ref="AR812:AR813" si="236">SUBSTITUTE(SUBSTITUTE(SUBSTITUTE("vnt"&amp;$B812&amp;$C812&amp;$D812&amp;$E812&amp;$F812,".","_"),"(","_"),")","")</f>
        <v>vnt701_4_2_2</v>
      </c>
      <c r="AS812" s="311">
        <f>X812</f>
        <v>0</v>
      </c>
      <c r="AT812" s="790"/>
      <c r="AU812" s="790"/>
      <c r="AV812" s="790"/>
      <c r="AW812" s="790"/>
      <c r="AX812" s="792" t="str">
        <f>'Overview (Verification)'!A46</f>
        <v>Attached Garage:</v>
      </c>
      <c r="AY812" s="1077">
        <f>IF(LEN('Overview (Verification)'!P46)=0,0,'Overview (Verification)'!P46)</f>
        <v>0</v>
      </c>
      <c r="AZ812" s="790"/>
      <c r="BA812" s="790"/>
      <c r="BB812" s="790"/>
      <c r="BC812" s="790"/>
      <c r="BD812" s="790"/>
      <c r="BE812" s="790"/>
      <c r="BF812" s="790"/>
      <c r="BG812" s="790"/>
      <c r="BH812" s="790"/>
      <c r="BI812" s="790"/>
      <c r="BJ812" s="1184" t="s">
        <v>4763</v>
      </c>
    </row>
    <row r="813" spans="1:62" x14ac:dyDescent="0.3">
      <c r="A813" s="1200">
        <v>7</v>
      </c>
      <c r="B813" s="1210" t="s">
        <v>971</v>
      </c>
      <c r="C813" s="1210"/>
      <c r="D813" s="1203"/>
      <c r="E813" s="1203"/>
      <c r="F813" s="1203"/>
      <c r="G813" s="1202" t="s">
        <v>4389</v>
      </c>
      <c r="H813" s="1200" t="s">
        <v>4387</v>
      </c>
      <c r="I813" s="630" t="s">
        <v>971</v>
      </c>
      <c r="J813" s="823"/>
      <c r="K813" s="823"/>
      <c r="L813" s="1364" t="s">
        <v>972</v>
      </c>
      <c r="M813" s="1388" t="str">
        <f ca="1">IF(R813,"Mandatory","N/A")</f>
        <v>Mandatory</v>
      </c>
      <c r="N813" s="864"/>
      <c r="O813" s="810"/>
      <c r="P813" s="97" t="b">
        <v>1</v>
      </c>
      <c r="Q813" s="97" t="b">
        <v>0</v>
      </c>
      <c r="R813" s="218" t="b">
        <f ca="1">S813</f>
        <v>1</v>
      </c>
      <c r="S813" s="218" t="b">
        <f ca="1">AND(NOT(S776=4),NOT(AND(OR(AY799=INDEX(INDIRECT('Overview (Design)'!$E$33),2),AY799=INDEX(INDIRECT('Overview (Design)'!$E$33),3)),OR(AY803=INDEX(INDIRECT('Overview (Design)'!$E$37),2),AY803=INDEX(INDIRECT('Overview (Design)'!$E$37),3)))))</f>
        <v>1</v>
      </c>
      <c r="T813" s="218" t="b">
        <f ca="1">AND(NOT(S813),W813=TRUE)</f>
        <v>0</v>
      </c>
      <c r="U813" s="218"/>
      <c r="V813" s="218"/>
      <c r="W813" s="25"/>
      <c r="X813" s="1295"/>
      <c r="Y813" s="1522" t="str">
        <f>IF(LEN('Ch7'!X50)=0,"None",'Ch7'!X50)</f>
        <v>None</v>
      </c>
      <c r="Z813" s="1586"/>
      <c r="AB813" s="790"/>
      <c r="AC813" s="790" t="b">
        <f ca="1">OR(AD813:AE813)</f>
        <v>1</v>
      </c>
      <c r="AD813" s="790" t="b">
        <f ca="1">T813</f>
        <v>0</v>
      </c>
      <c r="AE813" s="790" t="b">
        <f ca="1">AND(R813,NOT(W813))</f>
        <v>1</v>
      </c>
      <c r="AF813" s="1182" t="b">
        <f ca="1">AND(AE813,NOT(Q813))</f>
        <v>1</v>
      </c>
      <c r="AG813" s="790"/>
      <c r="AH813" s="790"/>
      <c r="AI813" s="790"/>
      <c r="AJ813" s="790"/>
      <c r="AK813" s="790"/>
      <c r="AL813" s="311" t="str">
        <f t="shared" si="234"/>
        <v>vpa701_4_2_3</v>
      </c>
      <c r="AM813" s="311" t="str">
        <f ca="1">M813</f>
        <v>Mandatory</v>
      </c>
      <c r="AN813" s="790"/>
      <c r="AO813" s="790"/>
      <c r="AP813" s="311" t="str">
        <f t="shared" si="235"/>
        <v>vch701_4_2_3</v>
      </c>
      <c r="AQ813" s="311">
        <f>W813</f>
        <v>0</v>
      </c>
      <c r="AR813" s="311" t="str">
        <f t="shared" si="236"/>
        <v>vnt701_4_2_3</v>
      </c>
      <c r="AS813" s="311">
        <f>X813</f>
        <v>0</v>
      </c>
      <c r="AT813" s="790"/>
      <c r="AU813" s="790"/>
      <c r="AV813" s="790"/>
      <c r="AW813" s="790"/>
      <c r="AX813" s="792" t="str">
        <f>'Overview (Verification)'!A47</f>
        <v>Recessed Lighting:</v>
      </c>
      <c r="AY813" s="1077">
        <f>IF(LEN('Overview (Verification)'!P47)=0,0,'Overview (Verification)'!P47)</f>
        <v>0</v>
      </c>
      <c r="AZ813" s="790"/>
      <c r="BA813" s="790"/>
      <c r="BB813" s="790"/>
      <c r="BC813" s="790"/>
      <c r="BD813" s="790"/>
      <c r="BE813" s="790"/>
      <c r="BF813" s="790"/>
      <c r="BG813" s="790"/>
      <c r="BH813" s="790"/>
      <c r="BI813" s="790"/>
      <c r="BJ813" s="1184" t="s">
        <v>4763</v>
      </c>
    </row>
    <row r="814" spans="1:62" x14ac:dyDescent="0.3">
      <c r="A814" s="1200">
        <v>7</v>
      </c>
      <c r="B814" s="1210" t="s">
        <v>971</v>
      </c>
      <c r="C814" s="1210"/>
      <c r="D814" s="1203"/>
      <c r="E814" s="1203"/>
      <c r="F814" s="1203"/>
      <c r="G814" s="1202" t="s">
        <v>4389</v>
      </c>
      <c r="H814" s="1200" t="s">
        <v>4387</v>
      </c>
      <c r="I814" s="631"/>
      <c r="J814" s="813"/>
      <c r="K814" s="813"/>
      <c r="L814" s="1350"/>
      <c r="M814" s="1352"/>
      <c r="N814" s="855"/>
      <c r="O814" s="804"/>
      <c r="P814" s="196"/>
      <c r="Q814" s="196"/>
      <c r="R814" s="196"/>
      <c r="S814" s="196"/>
      <c r="T814" s="196"/>
      <c r="U814" s="196"/>
      <c r="V814" s="196"/>
      <c r="W814" s="196"/>
      <c r="X814" s="1295"/>
      <c r="Y814" s="1522"/>
      <c r="Z814" s="1586"/>
      <c r="AB814" s="790"/>
      <c r="AC814" s="790"/>
      <c r="AD814" s="790"/>
      <c r="AE814" s="790"/>
      <c r="AF814" s="790"/>
      <c r="AG814" s="790"/>
      <c r="AH814" s="790"/>
      <c r="AI814" s="790"/>
      <c r="AJ814" s="790"/>
      <c r="AK814" s="790"/>
      <c r="AL814" s="790"/>
      <c r="AM814" s="790"/>
      <c r="AN814" s="790"/>
      <c r="AO814" s="790"/>
      <c r="AP814" s="790"/>
      <c r="AQ814" s="790"/>
      <c r="AR814" s="790"/>
      <c r="AS814" s="790"/>
      <c r="AT814" s="790"/>
      <c r="AU814" s="790"/>
      <c r="AV814" s="790"/>
      <c r="AW814" s="790"/>
      <c r="AX814" s="792"/>
      <c r="AY814" s="1077"/>
      <c r="AZ814" s="790"/>
      <c r="BA814" s="790"/>
      <c r="BB814" s="790"/>
      <c r="BC814" s="790"/>
      <c r="BD814" s="790"/>
      <c r="BE814" s="790"/>
      <c r="BF814" s="790"/>
      <c r="BG814" s="790"/>
      <c r="BH814" s="790"/>
      <c r="BI814" s="790"/>
      <c r="BJ814" s="1184" t="s">
        <v>4763</v>
      </c>
    </row>
    <row r="815" spans="1:62" x14ac:dyDescent="0.3">
      <c r="A815" s="1200">
        <v>7</v>
      </c>
      <c r="B815" s="1210" t="s">
        <v>973</v>
      </c>
      <c r="C815" s="1210"/>
      <c r="D815" s="1203"/>
      <c r="E815" s="1203"/>
      <c r="F815" s="1203"/>
      <c r="G815" s="1202" t="s">
        <v>4389</v>
      </c>
      <c r="H815" s="1200" t="s">
        <v>4387</v>
      </c>
      <c r="I815" s="630" t="s">
        <v>973</v>
      </c>
      <c r="J815" s="823"/>
      <c r="K815" s="823"/>
      <c r="L815" s="832" t="s">
        <v>974</v>
      </c>
      <c r="M815" s="811"/>
      <c r="N815" s="864"/>
      <c r="O815" s="810"/>
      <c r="P815" s="218"/>
      <c r="Q815" s="218"/>
      <c r="R815" s="218"/>
      <c r="S815" s="218"/>
      <c r="T815" s="218"/>
      <c r="U815" s="218"/>
      <c r="V815" s="218"/>
      <c r="W815" s="218"/>
      <c r="X815" s="218"/>
      <c r="Y815" s="790"/>
      <c r="Z815" s="1055"/>
      <c r="AB815" s="790"/>
      <c r="AC815" s="790"/>
      <c r="AD815" s="790"/>
      <c r="AE815" s="790"/>
      <c r="AF815" s="790"/>
      <c r="AG815" s="790"/>
      <c r="AH815" s="790"/>
      <c r="AI815" s="790"/>
      <c r="AJ815" s="790"/>
      <c r="AK815" s="790"/>
      <c r="AL815" s="790"/>
      <c r="AM815" s="790"/>
      <c r="AN815" s="790"/>
      <c r="AO815" s="790"/>
      <c r="AP815" s="790"/>
      <c r="AQ815" s="790"/>
      <c r="AR815" s="790"/>
      <c r="AS815" s="790"/>
      <c r="AT815" s="790"/>
      <c r="AU815" s="790"/>
      <c r="AV815" s="790"/>
      <c r="AW815" s="790"/>
      <c r="AX815" s="792"/>
      <c r="AY815" s="1077"/>
      <c r="AZ815" s="790"/>
      <c r="BA815" s="790"/>
      <c r="BB815" s="790"/>
      <c r="BC815" s="790"/>
      <c r="BD815" s="790"/>
      <c r="BE815" s="790"/>
      <c r="BF815" s="790"/>
      <c r="BG815" s="790"/>
      <c r="BH815" s="790"/>
      <c r="BI815" s="790"/>
      <c r="BJ815" s="1184" t="s">
        <v>4763</v>
      </c>
    </row>
    <row r="816" spans="1:62" x14ac:dyDescent="0.3">
      <c r="A816" s="1200">
        <v>7</v>
      </c>
      <c r="B816" s="1210" t="s">
        <v>975</v>
      </c>
      <c r="C816" s="1210"/>
      <c r="D816" s="1203"/>
      <c r="E816" s="1203"/>
      <c r="F816" s="1203"/>
      <c r="G816" s="1202" t="s">
        <v>4389</v>
      </c>
      <c r="H816" s="1200" t="s">
        <v>4387</v>
      </c>
      <c r="I816" s="68" t="s">
        <v>975</v>
      </c>
      <c r="J816" s="819"/>
      <c r="K816" s="819"/>
      <c r="L816" s="1292" t="s">
        <v>976</v>
      </c>
      <c r="M816" s="1351" t="str">
        <f ca="1">IF(R819,"Mandatory","N/A")</f>
        <v>Mandatory</v>
      </c>
      <c r="N816" s="850"/>
      <c r="O816" s="802"/>
      <c r="P816" s="1081"/>
      <c r="Q816" s="1081"/>
      <c r="R816" s="790"/>
      <c r="S816" s="790"/>
      <c r="T816" s="790"/>
      <c r="U816" s="790"/>
      <c r="V816" s="790"/>
      <c r="W816" s="790" t="s">
        <v>3635</v>
      </c>
      <c r="X816" s="1303"/>
      <c r="Y816" s="1522" t="str">
        <f>IF(LEN('Ch7'!X53)=0,"None",'Ch7'!X53)</f>
        <v>None</v>
      </c>
      <c r="Z816" s="1586"/>
      <c r="AB816" s="790"/>
      <c r="AC816" s="790"/>
      <c r="AD816" s="790"/>
      <c r="AE816" s="790"/>
      <c r="AF816" s="790"/>
      <c r="AG816" s="790"/>
      <c r="AH816" s="790"/>
      <c r="AI816" s="790"/>
      <c r="AJ816" s="790"/>
      <c r="AK816" s="790"/>
      <c r="AL816" s="311" t="str">
        <f t="shared" ref="AL816" si="237">SUBSTITUTE(SUBSTITUTE(SUBSTITUTE("vpa"&amp;$B816&amp;$C816&amp;$D816&amp;$E816&amp;$F816,".","_"),"(","_"),")","")</f>
        <v>vpa701_4_3_1</v>
      </c>
      <c r="AM816" s="311" t="str">
        <f ca="1">M816</f>
        <v>Mandatory</v>
      </c>
      <c r="AN816" s="790"/>
      <c r="AO816" s="790"/>
      <c r="AP816" s="790"/>
      <c r="AQ816" s="790"/>
      <c r="AR816" s="311" t="str">
        <f>SUBSTITUTE(SUBSTITUTE(SUBSTITUTE("vnt"&amp;$B816&amp;$C816&amp;$D816&amp;$E816&amp;$F816,".","_"),"(","_"),")","")</f>
        <v>vnt701_4_3_1</v>
      </c>
      <c r="AS816" s="311">
        <f>X816</f>
        <v>0</v>
      </c>
      <c r="AT816" s="790"/>
      <c r="AU816" s="790"/>
      <c r="AV816" s="790"/>
      <c r="AW816" s="790"/>
      <c r="AX816" s="792" t="str">
        <f>'Overview (Verification)'!A50</f>
        <v>Passive Solar:</v>
      </c>
      <c r="AY816" s="1077">
        <f>IF(LEN('Overview (Verification)'!P50)=0,0,'Overview (Verification)'!P50)</f>
        <v>0</v>
      </c>
      <c r="AZ816" s="790"/>
      <c r="BA816" s="790"/>
      <c r="BB816" s="790"/>
      <c r="BC816" s="790"/>
      <c r="BD816" s="790"/>
      <c r="BE816" s="790"/>
      <c r="BF816" s="790"/>
      <c r="BG816" s="790"/>
      <c r="BH816" s="790"/>
      <c r="BI816" s="790"/>
      <c r="BJ816" s="1184" t="s">
        <v>4763</v>
      </c>
    </row>
    <row r="817" spans="1:62" x14ac:dyDescent="0.3">
      <c r="A817" s="1200">
        <v>7</v>
      </c>
      <c r="B817" s="1210" t="s">
        <v>975</v>
      </c>
      <c r="C817" s="1210"/>
      <c r="D817" s="1203" t="s">
        <v>271</v>
      </c>
      <c r="E817" s="1203"/>
      <c r="F817" s="1203"/>
      <c r="G817" s="1202" t="s">
        <v>4389</v>
      </c>
      <c r="H817" s="1200" t="s">
        <v>4387</v>
      </c>
      <c r="I817" s="4"/>
      <c r="J817" s="819"/>
      <c r="K817" s="819"/>
      <c r="L817" s="1292"/>
      <c r="M817" s="1351"/>
      <c r="N817" s="850"/>
      <c r="O817" s="802"/>
      <c r="P817" s="97" t="b">
        <v>1</v>
      </c>
      <c r="Q817" s="97" t="b">
        <v>1</v>
      </c>
      <c r="R817" s="790" t="b">
        <v>0</v>
      </c>
      <c r="S817" s="790" t="b">
        <f ca="1">AND(NOT(S776=4),AY788&gt;3,AY782=INDEX(INDIRECT('Overview (Design)'!$E$16),2))</f>
        <v>0</v>
      </c>
      <c r="T817" s="97" t="b">
        <f ca="1">AND(NOT(S817),W817=TRUE)</f>
        <v>0</v>
      </c>
      <c r="U817" s="790"/>
      <c r="V817" s="790"/>
      <c r="W817" s="25"/>
      <c r="X817" s="1303"/>
      <c r="Y817" s="1522"/>
      <c r="Z817" s="1586"/>
      <c r="AB817" s="790"/>
      <c r="AC817" s="1188" t="b">
        <f ca="1">OR(AD817:AE817)</f>
        <v>0</v>
      </c>
      <c r="AD817" s="1188" t="b">
        <f ca="1">T817</f>
        <v>0</v>
      </c>
      <c r="AE817" s="1188" t="b">
        <f>AND(R817,NOT(W817))</f>
        <v>0</v>
      </c>
      <c r="AF817" s="1188" t="b">
        <f>AND(AE817,NOT(Q817))</f>
        <v>0</v>
      </c>
      <c r="AG817" s="790"/>
      <c r="AH817" s="790"/>
      <c r="AI817" s="790"/>
      <c r="AJ817" s="790"/>
      <c r="AK817" s="790"/>
      <c r="AL817" s="790"/>
      <c r="AM817" s="790"/>
      <c r="AN817" s="790"/>
      <c r="AO817" s="790"/>
      <c r="AP817" s="311" t="str">
        <f>SUBSTITUTE(SUBSTITUTE(SUBSTITUTE("vch"&amp;$B817&amp;$C817&amp;$D817&amp;$E817&amp;$F817,".","_"),"(","_"),")","")</f>
        <v>vch701_4_3_1_1</v>
      </c>
      <c r="AQ817" s="311">
        <f>W817</f>
        <v>0</v>
      </c>
      <c r="AR817" s="790"/>
      <c r="AS817" s="790"/>
      <c r="AT817" s="790"/>
      <c r="AU817" s="790"/>
      <c r="AV817" s="790"/>
      <c r="AW817" s="790"/>
      <c r="AX817" s="792" t="str">
        <f>'Overview (Verification)'!A51</f>
        <v>Mass Walls:</v>
      </c>
      <c r="AY817" s="1077">
        <f>IF(LEN('Overview (Verification)'!P51)=0,0,'Overview (Verification)'!P51)</f>
        <v>0</v>
      </c>
      <c r="AZ817" s="790"/>
      <c r="BA817" s="790"/>
      <c r="BB817" s="790"/>
      <c r="BC817" s="790"/>
      <c r="BD817" s="790"/>
      <c r="BE817" s="790"/>
      <c r="BF817" s="790"/>
      <c r="BG817" s="790"/>
      <c r="BH817" s="790"/>
      <c r="BI817" s="790"/>
      <c r="BJ817" s="1184" t="s">
        <v>4763</v>
      </c>
    </row>
    <row r="818" spans="1:62" x14ac:dyDescent="0.3">
      <c r="A818" s="1200">
        <v>7</v>
      </c>
      <c r="B818" s="1210" t="s">
        <v>975</v>
      </c>
      <c r="C818" s="1210"/>
      <c r="D818" s="1203"/>
      <c r="E818" s="1203"/>
      <c r="F818" s="1203"/>
      <c r="G818" s="1202" t="s">
        <v>4389</v>
      </c>
      <c r="H818" s="1200" t="s">
        <v>4387</v>
      </c>
      <c r="I818" s="4"/>
      <c r="J818" s="819"/>
      <c r="K818" s="819"/>
      <c r="L818" s="1292"/>
      <c r="M818" s="1351"/>
      <c r="N818" s="850"/>
      <c r="O818" s="802"/>
      <c r="P818" s="1081"/>
      <c r="Q818" s="1081"/>
      <c r="R818" s="790"/>
      <c r="S818" s="790"/>
      <c r="T818" s="790"/>
      <c r="U818" s="790"/>
      <c r="V818" s="790"/>
      <c r="W818" s="790"/>
      <c r="X818" s="1303"/>
      <c r="Y818" s="1522"/>
      <c r="Z818" s="1586"/>
      <c r="AB818" s="790"/>
      <c r="AC818" s="790"/>
      <c r="AD818" s="790"/>
      <c r="AE818" s="790"/>
      <c r="AF818" s="790"/>
      <c r="AG818" s="790"/>
      <c r="AH818" s="790"/>
      <c r="AI818" s="790"/>
      <c r="AJ818" s="790"/>
      <c r="AK818" s="790"/>
      <c r="AL818" s="790"/>
      <c r="AM818" s="790"/>
      <c r="AN818" s="790"/>
      <c r="AO818" s="790"/>
      <c r="AP818" s="790"/>
      <c r="AQ818" s="790"/>
      <c r="AR818" s="790"/>
      <c r="AS818" s="790"/>
      <c r="AT818" s="790"/>
      <c r="AU818" s="790"/>
      <c r="AV818" s="790"/>
      <c r="AW818" s="790"/>
      <c r="AX818" s="792" t="str">
        <f>'Overview (Verification)'!A52</f>
        <v>Ductless:</v>
      </c>
      <c r="AY818" s="1077">
        <f>IF(LEN('Overview (Verification)'!P52)=0,0,'Overview (Verification)'!P52)</f>
        <v>0</v>
      </c>
      <c r="AZ818" s="790"/>
      <c r="BA818" s="790"/>
      <c r="BB818" s="790"/>
      <c r="BC818" s="790"/>
      <c r="BD818" s="790"/>
      <c r="BE818" s="790"/>
      <c r="BF818" s="790"/>
      <c r="BG818" s="790"/>
      <c r="BH818" s="790"/>
      <c r="BI818" s="790"/>
      <c r="BJ818" s="1184" t="s">
        <v>4763</v>
      </c>
    </row>
    <row r="819" spans="1:62" x14ac:dyDescent="0.3">
      <c r="A819" s="1200">
        <v>7</v>
      </c>
      <c r="B819" s="1210" t="s">
        <v>975</v>
      </c>
      <c r="C819" s="1210"/>
      <c r="D819" s="1203" t="s">
        <v>273</v>
      </c>
      <c r="E819" s="1203"/>
      <c r="F819" s="1203"/>
      <c r="G819" s="1202" t="s">
        <v>4389</v>
      </c>
      <c r="H819" s="1200" t="s">
        <v>4387</v>
      </c>
      <c r="I819" s="4"/>
      <c r="J819" s="819"/>
      <c r="K819" s="819"/>
      <c r="L819" s="1292"/>
      <c r="M819" s="1351"/>
      <c r="N819" s="850"/>
      <c r="O819" s="802"/>
      <c r="P819" s="97" t="b">
        <v>1</v>
      </c>
      <c r="Q819" s="97" t="b">
        <v>1</v>
      </c>
      <c r="R819" s="790" t="b">
        <f ca="1">S819</f>
        <v>1</v>
      </c>
      <c r="S819" s="790" t="b">
        <f ca="1">AND(NOT(S776=4),NOT(W817))</f>
        <v>1</v>
      </c>
      <c r="T819" s="97" t="b">
        <f ca="1">AND(NOT(S819),W819=TRUE)</f>
        <v>0</v>
      </c>
      <c r="U819" s="790"/>
      <c r="V819" s="790"/>
      <c r="W819" s="25"/>
      <c r="X819" s="1303"/>
      <c r="Y819" s="1522"/>
      <c r="Z819" s="1586"/>
      <c r="AB819" s="790"/>
      <c r="AC819" s="790" t="b">
        <f ca="1">OR(AD819:AE819)</f>
        <v>1</v>
      </c>
      <c r="AD819" s="790" t="b">
        <f ca="1">T819</f>
        <v>0</v>
      </c>
      <c r="AE819" s="790" t="b">
        <f ca="1">AND(R819,NOT(W819))</f>
        <v>1</v>
      </c>
      <c r="AF819" s="1182" t="b">
        <f ca="1">AND(AE819,NOT(Q819))</f>
        <v>0</v>
      </c>
      <c r="AG819" s="790"/>
      <c r="AH819" s="790"/>
      <c r="AI819" s="790"/>
      <c r="AJ819" s="790"/>
      <c r="AK819" s="790"/>
      <c r="AL819" s="790"/>
      <c r="AM819" s="790"/>
      <c r="AN819" s="790"/>
      <c r="AO819" s="790"/>
      <c r="AP819" s="311" t="str">
        <f>SUBSTITUTE(SUBSTITUTE(SUBSTITUTE("vch"&amp;$B819&amp;$C819&amp;$D819&amp;$E819&amp;$F819,".","_"),"(","_"),")","")</f>
        <v>vch701_4_3_1_2</v>
      </c>
      <c r="AQ819" s="311">
        <f>W819</f>
        <v>0</v>
      </c>
      <c r="AR819" s="790"/>
      <c r="AS819" s="790"/>
      <c r="AT819" s="790"/>
      <c r="AU819" s="790"/>
      <c r="AV819" s="790"/>
      <c r="AW819" s="790"/>
      <c r="AX819" s="792" t="str">
        <f>'Overview (Verification)'!A53</f>
        <v>Radiant/Hydronic:</v>
      </c>
      <c r="AY819" s="1077">
        <f>IF(LEN('Overview (Verification)'!P53)=0,0,'Overview (Verification)'!P53)</f>
        <v>0</v>
      </c>
      <c r="AZ819" s="790"/>
      <c r="BA819" s="790"/>
      <c r="BB819" s="790"/>
      <c r="BC819" s="790"/>
      <c r="BD819" s="790"/>
      <c r="BE819" s="790"/>
      <c r="BF819" s="790"/>
      <c r="BG819" s="790"/>
      <c r="BH819" s="790"/>
      <c r="BI819" s="790"/>
      <c r="BJ819" s="1184" t="s">
        <v>4763</v>
      </c>
    </row>
    <row r="820" spans="1:62" x14ac:dyDescent="0.3">
      <c r="A820" s="1200">
        <v>7</v>
      </c>
      <c r="B820" s="1210" t="s">
        <v>975</v>
      </c>
      <c r="C820" s="1210"/>
      <c r="D820" s="1203"/>
      <c r="E820" s="1203" t="s">
        <v>121</v>
      </c>
      <c r="F820" s="1203"/>
      <c r="G820" s="1202" t="s">
        <v>4389</v>
      </c>
      <c r="H820" s="1204" t="s">
        <v>4387</v>
      </c>
      <c r="I820" s="4"/>
      <c r="J820" s="819"/>
      <c r="K820" s="260" t="s">
        <v>121</v>
      </c>
      <c r="L820" s="819" t="s">
        <v>977</v>
      </c>
      <c r="M820" s="799"/>
      <c r="N820" s="850"/>
      <c r="O820" s="802"/>
      <c r="P820" s="1081"/>
      <c r="Q820" s="1081"/>
      <c r="R820" s="790"/>
      <c r="S820" s="790"/>
      <c r="T820" s="790"/>
      <c r="U820" s="790"/>
      <c r="V820" s="790"/>
      <c r="W820" s="790"/>
      <c r="X820" s="809"/>
      <c r="Y820" s="841" t="str">
        <f>IF(LEN('Ch7'!X57)=0,"None",'Ch7'!X57)</f>
        <v>None</v>
      </c>
      <c r="Z820" s="1169"/>
      <c r="AB820" s="790"/>
      <c r="AC820" s="790"/>
      <c r="AD820" s="790"/>
      <c r="AE820" s="790"/>
      <c r="AF820" s="790"/>
      <c r="AG820" s="790"/>
      <c r="AH820" s="790"/>
      <c r="AI820" s="790"/>
      <c r="AJ820" s="790"/>
      <c r="AK820" s="790"/>
      <c r="AL820" s="790"/>
      <c r="AM820" s="790"/>
      <c r="AN820" s="790"/>
      <c r="AO820" s="790"/>
      <c r="AP820" s="790"/>
      <c r="AQ820" s="790"/>
      <c r="AR820" s="311" t="str">
        <f t="shared" ref="AR820:AR831" si="238">SUBSTITUTE(SUBSTITUTE(SUBSTITUTE("vnt"&amp;$B820&amp;$C820&amp;$D820&amp;$E820&amp;$F820,".","_"),"(","_"),")","")</f>
        <v>vnt701_4_3_1_a</v>
      </c>
      <c r="AS820" s="311">
        <f t="shared" ref="AS820:AS831" si="239">X820</f>
        <v>0</v>
      </c>
      <c r="AT820" s="790"/>
      <c r="AU820" s="790"/>
      <c r="AV820" s="790"/>
      <c r="AW820" s="790"/>
      <c r="AX820" s="792" t="str">
        <f>'Overview (Verification)'!A54</f>
        <v>Tankless Water Heater:</v>
      </c>
      <c r="AY820" s="1077">
        <f>IF(LEN('Overview (Verification)'!P54)=0,0,'Overview (Verification)'!P54)</f>
        <v>0</v>
      </c>
      <c r="AZ820" s="790"/>
      <c r="BA820" s="790"/>
      <c r="BB820" s="790"/>
      <c r="BC820" s="790"/>
      <c r="BD820" s="790"/>
      <c r="BE820" s="790"/>
      <c r="BF820" s="790"/>
      <c r="BG820" s="790"/>
      <c r="BH820" s="790"/>
      <c r="BI820" s="790"/>
      <c r="BJ820" s="1184" t="s">
        <v>4763</v>
      </c>
    </row>
    <row r="821" spans="1:62" x14ac:dyDescent="0.3">
      <c r="A821" s="1200">
        <v>7</v>
      </c>
      <c r="B821" s="1210" t="s">
        <v>975</v>
      </c>
      <c r="C821" s="1210"/>
      <c r="D821" s="1203"/>
      <c r="E821" s="1203" t="s">
        <v>122</v>
      </c>
      <c r="F821" s="1203"/>
      <c r="G821" s="1202" t="s">
        <v>4389</v>
      </c>
      <c r="H821" s="1204" t="s">
        <v>4387</v>
      </c>
      <c r="I821" s="4"/>
      <c r="J821" s="819"/>
      <c r="K821" s="260" t="s">
        <v>122</v>
      </c>
      <c r="L821" s="819" t="s">
        <v>978</v>
      </c>
      <c r="M821" s="799"/>
      <c r="N821" s="850"/>
      <c r="O821" s="802"/>
      <c r="P821" s="1081"/>
      <c r="Q821" s="1081"/>
      <c r="R821" s="790"/>
      <c r="S821" s="790"/>
      <c r="T821" s="790"/>
      <c r="U821" s="790"/>
      <c r="V821" s="790"/>
      <c r="W821" s="790"/>
      <c r="X821" s="809"/>
      <c r="Y821" s="841" t="str">
        <f>IF(LEN('Ch7'!X58)=0,"None",'Ch7'!X58)</f>
        <v>None</v>
      </c>
      <c r="Z821" s="1169"/>
      <c r="AB821" s="790"/>
      <c r="AC821" s="790"/>
      <c r="AD821" s="790"/>
      <c r="AE821" s="790"/>
      <c r="AF821" s="790"/>
      <c r="AG821" s="790"/>
      <c r="AH821" s="790"/>
      <c r="AI821" s="790"/>
      <c r="AJ821" s="790"/>
      <c r="AK821" s="790"/>
      <c r="AL821" s="790"/>
      <c r="AM821" s="790"/>
      <c r="AN821" s="790"/>
      <c r="AO821" s="790"/>
      <c r="AP821" s="790"/>
      <c r="AQ821" s="790"/>
      <c r="AR821" s="311" t="str">
        <f t="shared" si="238"/>
        <v>vnt701_4_3_1_b</v>
      </c>
      <c r="AS821" s="311">
        <f t="shared" si="239"/>
        <v>0</v>
      </c>
      <c r="AT821" s="790"/>
      <c r="AU821" s="790"/>
      <c r="AV821" s="790"/>
      <c r="AW821" s="790"/>
      <c r="AX821" s="792" t="str">
        <f>'Overview (Verification)'!A55</f>
        <v>Composting Toilet:</v>
      </c>
      <c r="AY821" s="1077">
        <f>IF(LEN('Overview (Verification)'!P55)=0,0,'Overview (Verification)'!P55)</f>
        <v>0</v>
      </c>
      <c r="AZ821" s="790"/>
      <c r="BA821" s="790"/>
      <c r="BB821" s="790"/>
      <c r="BC821" s="790"/>
      <c r="BD821" s="790"/>
      <c r="BE821" s="790"/>
      <c r="BF821" s="790"/>
      <c r="BG821" s="790"/>
      <c r="BH821" s="790"/>
      <c r="BI821" s="790"/>
      <c r="BJ821" s="1184" t="s">
        <v>4763</v>
      </c>
    </row>
    <row r="822" spans="1:62" ht="15" customHeight="1" x14ac:dyDescent="0.3">
      <c r="A822" s="1200">
        <v>7</v>
      </c>
      <c r="B822" s="1210" t="s">
        <v>975</v>
      </c>
      <c r="C822" s="1210"/>
      <c r="D822" s="1203"/>
      <c r="E822" s="1205" t="s">
        <v>123</v>
      </c>
      <c r="F822" s="1205"/>
      <c r="G822" s="1202" t="s">
        <v>4389</v>
      </c>
      <c r="H822" s="1206" t="s">
        <v>4387</v>
      </c>
      <c r="I822" s="4"/>
      <c r="J822" s="819"/>
      <c r="K822" s="261" t="s">
        <v>123</v>
      </c>
      <c r="L822" s="819" t="s">
        <v>979</v>
      </c>
      <c r="M822" s="799"/>
      <c r="N822" s="850"/>
      <c r="O822" s="802"/>
      <c r="P822" s="1081"/>
      <c r="Q822" s="1081"/>
      <c r="R822" s="790"/>
      <c r="S822" s="790"/>
      <c r="T822" s="790"/>
      <c r="U822" s="790"/>
      <c r="V822" s="790"/>
      <c r="W822" s="790"/>
      <c r="X822" s="809"/>
      <c r="Y822" s="841" t="str">
        <f>IF(LEN('Ch7'!X59)=0,"None",'Ch7'!X59)</f>
        <v>None</v>
      </c>
      <c r="Z822" s="1169"/>
      <c r="AB822" s="790"/>
      <c r="AC822" s="790"/>
      <c r="AD822" s="790"/>
      <c r="AE822" s="790"/>
      <c r="AF822" s="790"/>
      <c r="AG822" s="790"/>
      <c r="AH822" s="790"/>
      <c r="AI822" s="790"/>
      <c r="AJ822" s="790"/>
      <c r="AK822" s="790"/>
      <c r="AL822" s="790"/>
      <c r="AM822" s="790"/>
      <c r="AN822" s="790"/>
      <c r="AO822" s="790"/>
      <c r="AP822" s="790"/>
      <c r="AQ822" s="790"/>
      <c r="AR822" s="311" t="str">
        <f t="shared" si="238"/>
        <v>vnt701_4_3_1_c</v>
      </c>
      <c r="AS822" s="311">
        <f t="shared" si="239"/>
        <v>0</v>
      </c>
      <c r="AT822" s="790"/>
      <c r="AU822" s="790"/>
      <c r="AV822" s="790"/>
      <c r="AW822" s="790"/>
      <c r="AX822" s="792"/>
      <c r="AY822" s="1077"/>
      <c r="AZ822" s="790"/>
      <c r="BA822" s="790"/>
      <c r="BB822" s="790"/>
      <c r="BC822" s="790"/>
      <c r="BD822" s="790"/>
      <c r="BE822" s="790"/>
      <c r="BF822" s="790"/>
      <c r="BG822" s="790"/>
      <c r="BH822" s="790"/>
      <c r="BI822" s="790"/>
      <c r="BJ822" s="1184" t="s">
        <v>4763</v>
      </c>
    </row>
    <row r="823" spans="1:62" x14ac:dyDescent="0.3">
      <c r="A823" s="1200">
        <v>7</v>
      </c>
      <c r="B823" s="1210" t="s">
        <v>975</v>
      </c>
      <c r="C823" s="1210"/>
      <c r="D823" s="1203"/>
      <c r="E823" s="1203" t="s">
        <v>423</v>
      </c>
      <c r="F823" s="1203"/>
      <c r="G823" s="1202" t="s">
        <v>4389</v>
      </c>
      <c r="H823" s="1200" t="s">
        <v>4387</v>
      </c>
      <c r="I823" s="4"/>
      <c r="J823" s="819"/>
      <c r="K823" s="829" t="s">
        <v>423</v>
      </c>
      <c r="L823" s="819" t="s">
        <v>980</v>
      </c>
      <c r="M823" s="799"/>
      <c r="N823" s="850"/>
      <c r="O823" s="802"/>
      <c r="P823" s="1081"/>
      <c r="Q823" s="1081"/>
      <c r="R823" s="790"/>
      <c r="S823" s="790"/>
      <c r="T823" s="790"/>
      <c r="U823" s="790"/>
      <c r="V823" s="790"/>
      <c r="W823" s="790"/>
      <c r="X823" s="809"/>
      <c r="Y823" s="841" t="str">
        <f>IF(LEN('Ch7'!X60)=0,"None",'Ch7'!X60)</f>
        <v>None</v>
      </c>
      <c r="Z823" s="1169"/>
      <c r="AB823" s="790"/>
      <c r="AC823" s="790"/>
      <c r="AD823" s="790"/>
      <c r="AE823" s="790"/>
      <c r="AF823" s="790"/>
      <c r="AG823" s="790"/>
      <c r="AH823" s="790"/>
      <c r="AI823" s="790"/>
      <c r="AJ823" s="790"/>
      <c r="AK823" s="790"/>
      <c r="AL823" s="790"/>
      <c r="AM823" s="790"/>
      <c r="AN823" s="790"/>
      <c r="AO823" s="790"/>
      <c r="AP823" s="790"/>
      <c r="AQ823" s="790"/>
      <c r="AR823" s="311" t="str">
        <f t="shared" si="238"/>
        <v>vnt701_4_3_1_d</v>
      </c>
      <c r="AS823" s="311">
        <f t="shared" si="239"/>
        <v>0</v>
      </c>
      <c r="AT823" s="790"/>
      <c r="AU823" s="790"/>
      <c r="AV823" s="790"/>
      <c r="AW823" s="790"/>
      <c r="AX823" s="792" t="str">
        <f>'Overview (Verification)'!A57</f>
        <v>Local Energy Code:</v>
      </c>
      <c r="AY823" s="1077">
        <f>IF(LEN('Overview (Verification)'!P57)=0,0,'Overview (Verification)'!P57)</f>
        <v>0</v>
      </c>
      <c r="AZ823" s="790"/>
      <c r="BA823" s="790"/>
      <c r="BB823" s="790"/>
      <c r="BC823" s="790"/>
      <c r="BD823" s="790"/>
      <c r="BE823" s="790"/>
      <c r="BF823" s="790"/>
      <c r="BG823" s="790"/>
      <c r="BH823" s="790"/>
      <c r="BI823" s="790"/>
      <c r="BJ823" s="1184" t="s">
        <v>4763</v>
      </c>
    </row>
    <row r="824" spans="1:62" x14ac:dyDescent="0.3">
      <c r="A824" s="1200">
        <v>7</v>
      </c>
      <c r="B824" s="1210" t="s">
        <v>975</v>
      </c>
      <c r="C824" s="1210"/>
      <c r="D824" s="1203"/>
      <c r="E824" s="1203" t="s">
        <v>578</v>
      </c>
      <c r="F824" s="1203"/>
      <c r="G824" s="1202" t="s">
        <v>4389</v>
      </c>
      <c r="H824" s="1200" t="s">
        <v>4387</v>
      </c>
      <c r="I824" s="4"/>
      <c r="J824" s="819"/>
      <c r="K824" s="829" t="s">
        <v>578</v>
      </c>
      <c r="L824" s="819" t="s">
        <v>981</v>
      </c>
      <c r="M824" s="799"/>
      <c r="N824" s="850"/>
      <c r="O824" s="802"/>
      <c r="P824" s="1081"/>
      <c r="Q824" s="1081"/>
      <c r="R824" s="790"/>
      <c r="S824" s="790"/>
      <c r="T824" s="790"/>
      <c r="U824" s="790"/>
      <c r="V824" s="790"/>
      <c r="W824" s="790"/>
      <c r="X824" s="809"/>
      <c r="Y824" s="841" t="str">
        <f>IF(LEN('Ch7'!X61)=0,"None",'Ch7'!X61)</f>
        <v>None</v>
      </c>
      <c r="Z824" s="1169"/>
      <c r="AB824" s="790"/>
      <c r="AC824" s="790"/>
      <c r="AD824" s="790"/>
      <c r="AE824" s="790"/>
      <c r="AF824" s="790"/>
      <c r="AG824" s="790"/>
      <c r="AH824" s="790"/>
      <c r="AI824" s="790"/>
      <c r="AJ824" s="790"/>
      <c r="AK824" s="790"/>
      <c r="AL824" s="790"/>
      <c r="AM824" s="790"/>
      <c r="AN824" s="790"/>
      <c r="AO824" s="790"/>
      <c r="AP824" s="790"/>
      <c r="AQ824" s="790"/>
      <c r="AR824" s="311" t="str">
        <f t="shared" si="238"/>
        <v>vnt701_4_3_1_e</v>
      </c>
      <c r="AS824" s="311">
        <f t="shared" si="239"/>
        <v>0</v>
      </c>
      <c r="AT824" s="790"/>
      <c r="AU824" s="790"/>
      <c r="AV824" s="790"/>
      <c r="AW824" s="790"/>
      <c r="AX824" s="792" t="str">
        <f>'Overview (Verification)'!A58</f>
        <v>Local Building Code:</v>
      </c>
      <c r="AY824" s="1077">
        <f>IF(LEN('Overview (Verification)'!P58)=0,0,'Overview (Verification)'!P58)</f>
        <v>0</v>
      </c>
      <c r="AZ824" s="790"/>
      <c r="BA824" s="790"/>
      <c r="BB824" s="790"/>
      <c r="BC824" s="790"/>
      <c r="BD824" s="790"/>
      <c r="BE824" s="790"/>
      <c r="BF824" s="790"/>
      <c r="BG824" s="790"/>
      <c r="BH824" s="790"/>
      <c r="BI824" s="790"/>
      <c r="BJ824" s="1184" t="s">
        <v>4763</v>
      </c>
    </row>
    <row r="825" spans="1:62" x14ac:dyDescent="0.3">
      <c r="A825" s="1200">
        <v>7</v>
      </c>
      <c r="B825" s="1210" t="s">
        <v>975</v>
      </c>
      <c r="C825" s="1210"/>
      <c r="D825" s="1203"/>
      <c r="E825" s="1205" t="s">
        <v>645</v>
      </c>
      <c r="F825" s="1205"/>
      <c r="G825" s="1202" t="s">
        <v>4389</v>
      </c>
      <c r="H825" s="1206" t="s">
        <v>4387</v>
      </c>
      <c r="I825" s="4"/>
      <c r="J825" s="819"/>
      <c r="K825" s="261" t="s">
        <v>645</v>
      </c>
      <c r="L825" s="819" t="s">
        <v>982</v>
      </c>
      <c r="M825" s="799"/>
      <c r="N825" s="850"/>
      <c r="O825" s="802"/>
      <c r="P825" s="1081"/>
      <c r="Q825" s="1081"/>
      <c r="R825" s="790"/>
      <c r="S825" s="790"/>
      <c r="T825" s="790"/>
      <c r="U825" s="790"/>
      <c r="V825" s="790"/>
      <c r="W825" s="790"/>
      <c r="X825" s="809"/>
      <c r="Y825" s="841" t="str">
        <f>IF(LEN('Ch7'!X62)=0,"None",'Ch7'!X62)</f>
        <v>None</v>
      </c>
      <c r="Z825" s="1169"/>
      <c r="AB825" s="790"/>
      <c r="AC825" s="790"/>
      <c r="AD825" s="790"/>
      <c r="AE825" s="790"/>
      <c r="AF825" s="790"/>
      <c r="AG825" s="790"/>
      <c r="AH825" s="790"/>
      <c r="AI825" s="790"/>
      <c r="AJ825" s="790"/>
      <c r="AK825" s="790"/>
      <c r="AL825" s="790"/>
      <c r="AM825" s="790"/>
      <c r="AN825" s="790"/>
      <c r="AO825" s="790"/>
      <c r="AP825" s="790"/>
      <c r="AQ825" s="790"/>
      <c r="AR825" s="311" t="str">
        <f t="shared" si="238"/>
        <v>vnt701_4_3_1_f</v>
      </c>
      <c r="AS825" s="311">
        <f t="shared" si="239"/>
        <v>0</v>
      </c>
      <c r="AT825" s="790"/>
      <c r="AU825" s="790"/>
      <c r="AV825" s="790"/>
      <c r="AW825" s="790"/>
      <c r="AX825" s="790"/>
      <c r="AY825" s="790"/>
      <c r="AZ825" s="790"/>
      <c r="BA825" s="790"/>
      <c r="BB825" s="790"/>
      <c r="BC825" s="790"/>
      <c r="BD825" s="790"/>
      <c r="BE825" s="790"/>
      <c r="BF825" s="790"/>
      <c r="BG825" s="790"/>
      <c r="BH825" s="790"/>
      <c r="BI825" s="790"/>
      <c r="BJ825" s="1184" t="s">
        <v>4763</v>
      </c>
    </row>
    <row r="826" spans="1:62" x14ac:dyDescent="0.3">
      <c r="A826" s="1200">
        <v>7</v>
      </c>
      <c r="B826" s="1210" t="s">
        <v>975</v>
      </c>
      <c r="C826" s="1210"/>
      <c r="D826" s="1203"/>
      <c r="E826" s="1203" t="s">
        <v>647</v>
      </c>
      <c r="F826" s="1203"/>
      <c r="G826" s="1202" t="s">
        <v>4389</v>
      </c>
      <c r="H826" s="1200" t="s">
        <v>4387</v>
      </c>
      <c r="I826" s="4"/>
      <c r="J826" s="819"/>
      <c r="K826" s="829" t="s">
        <v>647</v>
      </c>
      <c r="L826" s="819" t="s">
        <v>983</v>
      </c>
      <c r="M826" s="799"/>
      <c r="N826" s="850"/>
      <c r="O826" s="802"/>
      <c r="P826" s="1081"/>
      <c r="Q826" s="1081"/>
      <c r="R826" s="790"/>
      <c r="S826" s="790"/>
      <c r="T826" s="790"/>
      <c r="U826" s="790"/>
      <c r="V826" s="790"/>
      <c r="W826" s="790"/>
      <c r="X826" s="809"/>
      <c r="Y826" s="841" t="str">
        <f>IF(LEN('Ch7'!X63)=0,"None",'Ch7'!X63)</f>
        <v>None</v>
      </c>
      <c r="Z826" s="1169"/>
      <c r="AB826" s="790"/>
      <c r="AC826" s="790"/>
      <c r="AD826" s="790"/>
      <c r="AE826" s="790"/>
      <c r="AF826" s="790"/>
      <c r="AG826" s="790"/>
      <c r="AH826" s="790"/>
      <c r="AI826" s="790"/>
      <c r="AJ826" s="790"/>
      <c r="AK826" s="790"/>
      <c r="AL826" s="790"/>
      <c r="AM826" s="790"/>
      <c r="AN826" s="790"/>
      <c r="AO826" s="790"/>
      <c r="AP826" s="790"/>
      <c r="AQ826" s="790"/>
      <c r="AR826" s="311" t="str">
        <f t="shared" si="238"/>
        <v>vnt701_4_3_1_g</v>
      </c>
      <c r="AS826" s="311">
        <f t="shared" si="239"/>
        <v>0</v>
      </c>
      <c r="AT826" s="790"/>
      <c r="AU826" s="790"/>
      <c r="AV826" s="790"/>
      <c r="AW826" s="790"/>
      <c r="AX826" s="790"/>
      <c r="AY826" s="790"/>
      <c r="AZ826" s="790"/>
      <c r="BA826" s="790"/>
      <c r="BB826" s="790"/>
      <c r="BC826" s="790"/>
      <c r="BD826" s="790"/>
      <c r="BE826" s="790"/>
      <c r="BF826" s="790"/>
      <c r="BG826" s="790"/>
      <c r="BH826" s="790"/>
      <c r="BI826" s="790"/>
      <c r="BJ826" s="1184" t="s">
        <v>4763</v>
      </c>
    </row>
    <row r="827" spans="1:62" x14ac:dyDescent="0.3">
      <c r="A827" s="1200">
        <v>7</v>
      </c>
      <c r="B827" s="1210" t="s">
        <v>975</v>
      </c>
      <c r="C827" s="1210"/>
      <c r="D827" s="1203"/>
      <c r="E827" s="1203" t="s">
        <v>649</v>
      </c>
      <c r="F827" s="1203"/>
      <c r="G827" s="1202" t="s">
        <v>4389</v>
      </c>
      <c r="H827" s="1200" t="s">
        <v>4387</v>
      </c>
      <c r="I827" s="4"/>
      <c r="J827" s="819"/>
      <c r="K827" s="829" t="s">
        <v>649</v>
      </c>
      <c r="L827" s="819" t="s">
        <v>984</v>
      </c>
      <c r="M827" s="799"/>
      <c r="N827" s="850"/>
      <c r="O827" s="802"/>
      <c r="P827" s="1081"/>
      <c r="Q827" s="1081"/>
      <c r="R827" s="790"/>
      <c r="S827" s="790"/>
      <c r="T827" s="790"/>
      <c r="U827" s="790"/>
      <c r="V827" s="790"/>
      <c r="W827" s="790"/>
      <c r="X827" s="809"/>
      <c r="Y827" s="841" t="str">
        <f>IF(LEN('Ch7'!X64)=0,"None",'Ch7'!X64)</f>
        <v>None</v>
      </c>
      <c r="Z827" s="1169"/>
      <c r="AB827" s="790"/>
      <c r="AC827" s="790"/>
      <c r="AD827" s="790"/>
      <c r="AE827" s="790"/>
      <c r="AF827" s="790"/>
      <c r="AG827" s="790"/>
      <c r="AH827" s="790"/>
      <c r="AI827" s="790"/>
      <c r="AJ827" s="790"/>
      <c r="AK827" s="790"/>
      <c r="AL827" s="790"/>
      <c r="AM827" s="790"/>
      <c r="AN827" s="790"/>
      <c r="AO827" s="790"/>
      <c r="AP827" s="790"/>
      <c r="AQ827" s="790"/>
      <c r="AR827" s="311" t="str">
        <f t="shared" si="238"/>
        <v>vnt701_4_3_1_h</v>
      </c>
      <c r="AS827" s="311">
        <f t="shared" si="239"/>
        <v>0</v>
      </c>
      <c r="AT827" s="790"/>
      <c r="AU827" s="790"/>
      <c r="AV827" s="790"/>
      <c r="AW827" s="790"/>
      <c r="AX827" s="790"/>
      <c r="AY827" s="790"/>
      <c r="AZ827" s="790"/>
      <c r="BA827" s="790"/>
      <c r="BB827" s="790"/>
      <c r="BC827" s="790"/>
      <c r="BD827" s="790"/>
      <c r="BE827" s="790"/>
      <c r="BF827" s="790"/>
      <c r="BG827" s="790"/>
      <c r="BH827" s="790"/>
      <c r="BI827" s="790"/>
      <c r="BJ827" s="1184" t="s">
        <v>4763</v>
      </c>
    </row>
    <row r="828" spans="1:62" x14ac:dyDescent="0.3">
      <c r="A828" s="1200">
        <v>7</v>
      </c>
      <c r="B828" s="1210" t="s">
        <v>975</v>
      </c>
      <c r="C828" s="1210"/>
      <c r="D828" s="1203"/>
      <c r="E828" s="1203" t="s">
        <v>985</v>
      </c>
      <c r="F828" s="1203"/>
      <c r="G828" s="1202" t="s">
        <v>4389</v>
      </c>
      <c r="H828" s="1200" t="s">
        <v>4387</v>
      </c>
      <c r="I828" s="4"/>
      <c r="J828" s="819"/>
      <c r="K828" s="829" t="s">
        <v>985</v>
      </c>
      <c r="L828" s="819" t="s">
        <v>986</v>
      </c>
      <c r="M828" s="799"/>
      <c r="N828" s="850"/>
      <c r="O828" s="802"/>
      <c r="P828" s="1081"/>
      <c r="Q828" s="1081"/>
      <c r="R828" s="790"/>
      <c r="S828" s="790"/>
      <c r="T828" s="790"/>
      <c r="U828" s="790"/>
      <c r="V828" s="790"/>
      <c r="W828" s="790"/>
      <c r="X828" s="809"/>
      <c r="Y828" s="841" t="str">
        <f>IF(LEN('Ch7'!X65)=0,"None",'Ch7'!X65)</f>
        <v>None</v>
      </c>
      <c r="Z828" s="1169"/>
      <c r="AB828" s="790"/>
      <c r="AC828" s="790"/>
      <c r="AD828" s="790"/>
      <c r="AE828" s="790"/>
      <c r="AF828" s="790"/>
      <c r="AG828" s="790"/>
      <c r="AH828" s="790"/>
      <c r="AI828" s="790"/>
      <c r="AJ828" s="790"/>
      <c r="AK828" s="790"/>
      <c r="AL828" s="790"/>
      <c r="AM828" s="790"/>
      <c r="AN828" s="790"/>
      <c r="AO828" s="790"/>
      <c r="AP828" s="790"/>
      <c r="AQ828" s="790"/>
      <c r="AR828" s="311" t="str">
        <f t="shared" si="238"/>
        <v>vnt701_4_3_1_i</v>
      </c>
      <c r="AS828" s="311">
        <f t="shared" si="239"/>
        <v>0</v>
      </c>
      <c r="AT828" s="790"/>
      <c r="AU828" s="790"/>
      <c r="AV828" s="790"/>
      <c r="AW828" s="790"/>
      <c r="AX828" s="790"/>
      <c r="AY828" s="790"/>
      <c r="AZ828" s="790"/>
      <c r="BA828" s="790"/>
      <c r="BB828" s="790"/>
      <c r="BC828" s="790"/>
      <c r="BD828" s="790"/>
      <c r="BE828" s="790"/>
      <c r="BF828" s="790"/>
      <c r="BG828" s="790"/>
      <c r="BH828" s="790"/>
      <c r="BI828" s="790"/>
      <c r="BJ828" s="1184" t="s">
        <v>4763</v>
      </c>
    </row>
    <row r="829" spans="1:62" x14ac:dyDescent="0.3">
      <c r="A829" s="1200">
        <v>7</v>
      </c>
      <c r="B829" s="1210" t="s">
        <v>975</v>
      </c>
      <c r="C829" s="1210"/>
      <c r="D829" s="1203"/>
      <c r="E829" s="1203" t="s">
        <v>987</v>
      </c>
      <c r="F829" s="1203"/>
      <c r="G829" s="1202" t="s">
        <v>4389</v>
      </c>
      <c r="H829" s="1200" t="s">
        <v>4387</v>
      </c>
      <c r="I829" s="4"/>
      <c r="J829" s="819"/>
      <c r="K829" s="829" t="s">
        <v>987</v>
      </c>
      <c r="L829" s="819" t="s">
        <v>988</v>
      </c>
      <c r="M829" s="799"/>
      <c r="N829" s="850"/>
      <c r="O829" s="802"/>
      <c r="P829" s="1081"/>
      <c r="Q829" s="1081"/>
      <c r="R829" s="790"/>
      <c r="S829" s="790"/>
      <c r="T829" s="790"/>
      <c r="U829" s="790"/>
      <c r="V829" s="790"/>
      <c r="W829" s="790"/>
      <c r="X829" s="809"/>
      <c r="Y829" s="841" t="str">
        <f>IF(LEN('Ch7'!X66)=0,"None",'Ch7'!X66)</f>
        <v>None</v>
      </c>
      <c r="Z829" s="1169"/>
      <c r="AB829" s="790"/>
      <c r="AC829" s="790"/>
      <c r="AD829" s="790"/>
      <c r="AE829" s="790"/>
      <c r="AF829" s="790"/>
      <c r="AG829" s="790"/>
      <c r="AH829" s="790"/>
      <c r="AI829" s="790"/>
      <c r="AJ829" s="790"/>
      <c r="AK829" s="790"/>
      <c r="AL829" s="790"/>
      <c r="AM829" s="790"/>
      <c r="AN829" s="790"/>
      <c r="AO829" s="790"/>
      <c r="AP829" s="790"/>
      <c r="AQ829" s="790"/>
      <c r="AR829" s="311" t="str">
        <f t="shared" si="238"/>
        <v>vnt701_4_3_1_j</v>
      </c>
      <c r="AS829" s="311">
        <f t="shared" si="239"/>
        <v>0</v>
      </c>
      <c r="AT829" s="790"/>
      <c r="AU829" s="790"/>
      <c r="AV829" s="790"/>
      <c r="AW829" s="790"/>
      <c r="AX829" s="790"/>
      <c r="AY829" s="790"/>
      <c r="AZ829" s="790"/>
      <c r="BA829" s="790"/>
      <c r="BB829" s="790"/>
      <c r="BC829" s="790"/>
      <c r="BD829" s="790"/>
      <c r="BE829" s="790"/>
      <c r="BF829" s="790"/>
      <c r="BG829" s="790"/>
      <c r="BH829" s="790"/>
      <c r="BI829" s="790"/>
      <c r="BJ829" s="1184" t="s">
        <v>4763</v>
      </c>
    </row>
    <row r="830" spans="1:62" x14ac:dyDescent="0.3">
      <c r="A830" s="1200">
        <v>7</v>
      </c>
      <c r="B830" s="1210" t="s">
        <v>975</v>
      </c>
      <c r="C830" s="1210"/>
      <c r="D830" s="1203"/>
      <c r="E830" s="1203" t="s">
        <v>989</v>
      </c>
      <c r="F830" s="1203"/>
      <c r="G830" s="1202" t="s">
        <v>4389</v>
      </c>
      <c r="H830" s="1200" t="s">
        <v>4387</v>
      </c>
      <c r="I830" s="140"/>
      <c r="J830" s="812"/>
      <c r="K830" s="830" t="s">
        <v>989</v>
      </c>
      <c r="L830" s="812" t="s">
        <v>990</v>
      </c>
      <c r="M830" s="795"/>
      <c r="N830" s="854"/>
      <c r="O830" s="803"/>
      <c r="P830" s="97"/>
      <c r="Q830" s="97"/>
      <c r="R830" s="97"/>
      <c r="S830" s="97"/>
      <c r="T830" s="97"/>
      <c r="U830" s="97"/>
      <c r="V830" s="97"/>
      <c r="W830" s="97"/>
      <c r="X830" s="793"/>
      <c r="Y830" s="841" t="str">
        <f>IF(LEN('Ch7'!X67)=0,"None",'Ch7'!X67)</f>
        <v>None</v>
      </c>
      <c r="Z830" s="1169"/>
      <c r="AB830" s="790"/>
      <c r="AC830" s="790"/>
      <c r="AD830" s="790"/>
      <c r="AE830" s="790"/>
      <c r="AF830" s="790"/>
      <c r="AG830" s="790"/>
      <c r="AH830" s="790"/>
      <c r="AI830" s="790"/>
      <c r="AJ830" s="790"/>
      <c r="AK830" s="790"/>
      <c r="AL830" s="790"/>
      <c r="AM830" s="790"/>
      <c r="AN830" s="790"/>
      <c r="AO830" s="790"/>
      <c r="AP830" s="790"/>
      <c r="AQ830" s="790"/>
      <c r="AR830" s="311" t="str">
        <f t="shared" si="238"/>
        <v>vnt701_4_3_1_k</v>
      </c>
      <c r="AS830" s="311">
        <f t="shared" si="239"/>
        <v>0</v>
      </c>
      <c r="AT830" s="790"/>
      <c r="AU830" s="790"/>
      <c r="AV830" s="790"/>
      <c r="AW830" s="790"/>
      <c r="AX830" s="790"/>
      <c r="AY830" s="790"/>
      <c r="AZ830" s="790"/>
      <c r="BA830" s="790"/>
      <c r="BB830" s="790"/>
      <c r="BC830" s="790"/>
      <c r="BD830" s="790"/>
      <c r="BE830" s="790"/>
      <c r="BF830" s="790"/>
      <c r="BG830" s="790"/>
      <c r="BH830" s="790"/>
      <c r="BI830" s="790"/>
      <c r="BJ830" s="1184" t="s">
        <v>4763</v>
      </c>
    </row>
    <row r="831" spans="1:62" x14ac:dyDescent="0.3">
      <c r="A831" s="1200">
        <v>7</v>
      </c>
      <c r="B831" s="1210" t="s">
        <v>975</v>
      </c>
      <c r="C831" s="1210"/>
      <c r="D831" s="1203"/>
      <c r="E831" s="1203" t="s">
        <v>991</v>
      </c>
      <c r="F831" s="1203"/>
      <c r="G831" s="1202" t="s">
        <v>4389</v>
      </c>
      <c r="H831" s="1200" t="s">
        <v>4387</v>
      </c>
      <c r="I831" s="238"/>
      <c r="J831" s="813"/>
      <c r="K831" s="831" t="s">
        <v>991</v>
      </c>
      <c r="L831" s="813" t="s">
        <v>992</v>
      </c>
      <c r="M831" s="796"/>
      <c r="N831" s="855"/>
      <c r="O831" s="804"/>
      <c r="P831" s="196"/>
      <c r="Q831" s="196"/>
      <c r="R831" s="196"/>
      <c r="S831" s="196"/>
      <c r="T831" s="196"/>
      <c r="U831" s="196"/>
      <c r="V831" s="196"/>
      <c r="W831" s="196"/>
      <c r="X831" s="793"/>
      <c r="Y831" s="841" t="str">
        <f>IF(LEN('Ch7'!X68)=0,"None",'Ch7'!X68)</f>
        <v>None</v>
      </c>
      <c r="Z831" s="1169"/>
      <c r="AB831" s="790"/>
      <c r="AC831" s="790"/>
      <c r="AD831" s="790"/>
      <c r="AE831" s="790"/>
      <c r="AF831" s="790"/>
      <c r="AG831" s="790"/>
      <c r="AH831" s="790"/>
      <c r="AI831" s="790"/>
      <c r="AJ831" s="790"/>
      <c r="AK831" s="790"/>
      <c r="AL831" s="790"/>
      <c r="AM831" s="790"/>
      <c r="AN831" s="790"/>
      <c r="AO831" s="790"/>
      <c r="AP831" s="790"/>
      <c r="AQ831" s="790"/>
      <c r="AR831" s="311" t="str">
        <f t="shared" si="238"/>
        <v>vnt701_4_3_1_l</v>
      </c>
      <c r="AS831" s="311">
        <f t="shared" si="239"/>
        <v>0</v>
      </c>
      <c r="AT831" s="790"/>
      <c r="AU831" s="790"/>
      <c r="AV831" s="790"/>
      <c r="AW831" s="790"/>
      <c r="AX831" s="790"/>
      <c r="AY831" s="790"/>
      <c r="AZ831" s="790"/>
      <c r="BA831" s="790"/>
      <c r="BB831" s="790"/>
      <c r="BC831" s="790"/>
      <c r="BD831" s="790"/>
      <c r="BE831" s="790"/>
      <c r="BF831" s="790"/>
      <c r="BG831" s="790"/>
      <c r="BH831" s="790"/>
      <c r="BI831" s="790"/>
      <c r="BJ831" s="1184" t="s">
        <v>4763</v>
      </c>
    </row>
    <row r="832" spans="1:62" x14ac:dyDescent="0.3">
      <c r="A832" s="1200">
        <v>7</v>
      </c>
      <c r="B832" s="1210" t="s">
        <v>993</v>
      </c>
      <c r="C832" s="1210"/>
      <c r="D832" s="1203"/>
      <c r="E832" s="1203"/>
      <c r="F832" s="1203"/>
      <c r="G832" s="1202" t="s">
        <v>4389</v>
      </c>
      <c r="H832" s="1200" t="s">
        <v>4387</v>
      </c>
      <c r="I832" s="68" t="s">
        <v>993</v>
      </c>
      <c r="J832" s="819"/>
      <c r="K832" s="819"/>
      <c r="L832" s="1292" t="s">
        <v>994</v>
      </c>
      <c r="M832" s="1351" t="str">
        <f ca="1">IF(R835,"Mandatory","N/A")</f>
        <v>Mandatory</v>
      </c>
      <c r="N832" s="850"/>
      <c r="O832" s="802"/>
      <c r="P832" s="1081"/>
      <c r="Q832" s="1081"/>
      <c r="R832" s="790"/>
      <c r="S832" s="790"/>
      <c r="T832" s="790"/>
      <c r="U832" s="790"/>
      <c r="V832" s="790"/>
      <c r="W832" s="790"/>
      <c r="X832" s="790"/>
      <c r="Y832" s="790"/>
      <c r="Z832" s="1055"/>
      <c r="AB832" s="790"/>
      <c r="AC832" s="790"/>
      <c r="AD832" s="790"/>
      <c r="AE832" s="790"/>
      <c r="AF832" s="790"/>
      <c r="AG832" s="790"/>
      <c r="AH832" s="790"/>
      <c r="AI832" s="790"/>
      <c r="AJ832" s="790"/>
      <c r="AK832" s="790"/>
      <c r="AL832" s="311" t="str">
        <f t="shared" ref="AL832" si="240">SUBSTITUTE(SUBSTITUTE(SUBSTITUTE("vpa"&amp;$B832&amp;$C832&amp;$D832&amp;$E832&amp;$F832,".","_"),"(","_"),")","")</f>
        <v>vpa701_4_3_2</v>
      </c>
      <c r="AM832" s="311" t="str">
        <f ca="1">M832</f>
        <v>Mandatory</v>
      </c>
      <c r="AN832" s="790"/>
      <c r="AO832" s="790"/>
      <c r="AP832" s="790"/>
      <c r="AQ832" s="790"/>
      <c r="AR832" s="790"/>
      <c r="AS832" s="790"/>
      <c r="AT832" s="790"/>
      <c r="AU832" s="790"/>
      <c r="AV832" s="790"/>
      <c r="AW832" s="790"/>
      <c r="AX832" s="790"/>
      <c r="AY832" s="790"/>
      <c r="AZ832" s="790"/>
      <c r="BA832" s="790"/>
      <c r="BB832" s="790"/>
      <c r="BC832" s="790"/>
      <c r="BD832" s="790"/>
      <c r="BE832" s="790"/>
      <c r="BF832" s="790"/>
      <c r="BG832" s="790"/>
      <c r="BH832" s="790"/>
      <c r="BI832" s="790"/>
      <c r="BJ832" s="1184" t="s">
        <v>4763</v>
      </c>
    </row>
    <row r="833" spans="1:62" x14ac:dyDescent="0.3">
      <c r="A833" s="1200">
        <v>7</v>
      </c>
      <c r="B833" s="1210" t="s">
        <v>993</v>
      </c>
      <c r="C833" s="1210"/>
      <c r="D833" s="1203"/>
      <c r="E833" s="1203"/>
      <c r="F833" s="1203"/>
      <c r="G833" s="1202" t="s">
        <v>4389</v>
      </c>
      <c r="H833" s="1200" t="s">
        <v>4387</v>
      </c>
      <c r="I833" s="4"/>
      <c r="J833" s="819"/>
      <c r="K833" s="819"/>
      <c r="L833" s="1292"/>
      <c r="M833" s="1351"/>
      <c r="N833" s="850"/>
      <c r="O833" s="802"/>
      <c r="P833" s="1081"/>
      <c r="Q833" s="1081"/>
      <c r="R833" s="790"/>
      <c r="S833" s="790"/>
      <c r="T833" s="790"/>
      <c r="U833" s="790"/>
      <c r="V833" s="790"/>
      <c r="W833" s="790"/>
      <c r="X833" s="790"/>
      <c r="Y833" s="790"/>
      <c r="Z833" s="1055"/>
      <c r="AB833" s="790"/>
      <c r="AC833" s="790"/>
      <c r="AD833" s="790"/>
      <c r="AE833" s="790"/>
      <c r="AF833" s="790"/>
      <c r="AG833" s="790"/>
      <c r="AH833" s="790"/>
      <c r="AI833" s="790"/>
      <c r="AJ833" s="790"/>
      <c r="AK833" s="790"/>
      <c r="AL833" s="790"/>
      <c r="AM833" s="790"/>
      <c r="AN833" s="790"/>
      <c r="AO833" s="790"/>
      <c r="AP833" s="790"/>
      <c r="AQ833" s="790"/>
      <c r="AR833" s="790"/>
      <c r="AS833" s="790"/>
      <c r="AT833" s="790"/>
      <c r="AU833" s="790"/>
      <c r="AV833" s="790"/>
      <c r="AW833" s="790"/>
      <c r="AX833" s="790"/>
      <c r="AY833" s="790"/>
      <c r="AZ833" s="790"/>
      <c r="BA833" s="790"/>
      <c r="BB833" s="790"/>
      <c r="BC833" s="790"/>
      <c r="BD833" s="790"/>
      <c r="BE833" s="790"/>
      <c r="BF833" s="790"/>
      <c r="BG833" s="790"/>
      <c r="BH833" s="790"/>
      <c r="BI833" s="790"/>
      <c r="BJ833" s="1184" t="s">
        <v>4763</v>
      </c>
    </row>
    <row r="834" spans="1:62" x14ac:dyDescent="0.3">
      <c r="A834" s="1200">
        <v>7</v>
      </c>
      <c r="B834" s="1210" t="s">
        <v>993</v>
      </c>
      <c r="C834" s="1210"/>
      <c r="D834" s="1203"/>
      <c r="E834" s="1203"/>
      <c r="F834" s="1203"/>
      <c r="G834" s="1202" t="s">
        <v>4389</v>
      </c>
      <c r="H834" s="1200" t="s">
        <v>4387</v>
      </c>
      <c r="I834" s="4"/>
      <c r="J834" s="819"/>
      <c r="K834" s="819"/>
      <c r="L834" s="1292"/>
      <c r="M834" s="1351"/>
      <c r="N834" s="850"/>
      <c r="O834" s="802"/>
      <c r="P834" s="1081"/>
      <c r="Q834" s="1081"/>
      <c r="R834" s="790"/>
      <c r="S834" s="790"/>
      <c r="T834" s="790"/>
      <c r="U834" s="790"/>
      <c r="V834" s="790"/>
      <c r="W834" s="790" t="s">
        <v>4030</v>
      </c>
      <c r="X834" s="790"/>
      <c r="Y834" s="790"/>
      <c r="Z834" s="1055"/>
      <c r="AB834" s="790"/>
      <c r="AC834" s="790"/>
      <c r="AD834" s="790"/>
      <c r="AE834" s="790"/>
      <c r="AF834" s="790"/>
      <c r="AG834" s="790"/>
      <c r="AH834" s="790"/>
      <c r="AI834" s="790"/>
      <c r="AJ834" s="790"/>
      <c r="AK834" s="790"/>
      <c r="AL834" s="790"/>
      <c r="AM834" s="790"/>
      <c r="AN834" s="790"/>
      <c r="AO834" s="790"/>
      <c r="AP834" s="790"/>
      <c r="AQ834" s="790"/>
      <c r="AR834" s="790"/>
      <c r="AS834" s="790"/>
      <c r="AT834" s="790"/>
      <c r="AU834" s="790"/>
      <c r="AV834" s="790"/>
      <c r="AW834" s="790"/>
      <c r="AX834" s="790"/>
      <c r="AY834" s="790"/>
      <c r="AZ834" s="790"/>
      <c r="BA834" s="790"/>
      <c r="BB834" s="790"/>
      <c r="BC834" s="790"/>
      <c r="BD834" s="790"/>
      <c r="BE834" s="790"/>
      <c r="BF834" s="790"/>
      <c r="BG834" s="790"/>
      <c r="BH834" s="790"/>
      <c r="BI834" s="790"/>
      <c r="BJ834" s="1184" t="s">
        <v>4763</v>
      </c>
    </row>
    <row r="835" spans="1:62" x14ac:dyDescent="0.3">
      <c r="A835" s="1200">
        <v>7</v>
      </c>
      <c r="B835" s="1210" t="s">
        <v>993</v>
      </c>
      <c r="C835" s="1210"/>
      <c r="D835" s="1203" t="s">
        <v>4672</v>
      </c>
      <c r="E835" s="1203"/>
      <c r="F835" s="1203"/>
      <c r="G835" s="1202" t="s">
        <v>4389</v>
      </c>
      <c r="H835" s="1200" t="s">
        <v>4387</v>
      </c>
      <c r="I835" s="4"/>
      <c r="J835" s="260" t="s">
        <v>271</v>
      </c>
      <c r="K835" s="819"/>
      <c r="L835" s="1292" t="s">
        <v>995</v>
      </c>
      <c r="M835" s="799"/>
      <c r="N835" s="850"/>
      <c r="O835" s="802"/>
      <c r="P835" s="97" t="b">
        <v>1</v>
      </c>
      <c r="Q835" s="97" t="b">
        <v>1</v>
      </c>
      <c r="R835" s="1083" t="b">
        <f ca="1">AND(S835,NOT(OR(AND(BF779=2,BG779="Dry"),BI779="Tropical")))</f>
        <v>1</v>
      </c>
      <c r="S835" s="790" t="b">
        <f ca="1">NOT(S776=4)</f>
        <v>1</v>
      </c>
      <c r="T835" s="97" t="b">
        <f ca="1">IF(AND(NOT(S835),LEN(W835)&gt;0),TRUE,FALSE)</f>
        <v>0</v>
      </c>
      <c r="U835" s="790"/>
      <c r="V835" s="790"/>
      <c r="W835" s="478"/>
      <c r="X835" s="1337"/>
      <c r="Y835" s="1527" t="str">
        <f>IF(LEN('Ch7'!X72)=0,"None",'Ch7'!X72)</f>
        <v>None</v>
      </c>
      <c r="Z835" s="1590"/>
      <c r="AB835" s="790"/>
      <c r="AC835" s="790" t="b">
        <f ca="1">OR(AD835:AE835)</f>
        <v>1</v>
      </c>
      <c r="AD835" s="790" t="b">
        <f ca="1">T835</f>
        <v>0</v>
      </c>
      <c r="AE835" s="790" t="b">
        <f ca="1">AND(R835,LEN(W835)=0)</f>
        <v>1</v>
      </c>
      <c r="AF835" s="1182" t="b">
        <f ca="1">AND(AE835,NOT(Q835))</f>
        <v>0</v>
      </c>
      <c r="AG835" s="790"/>
      <c r="AH835" s="790"/>
      <c r="AI835" s="790"/>
      <c r="AJ835" s="790"/>
      <c r="AK835" s="790"/>
      <c r="AL835" s="790"/>
      <c r="AM835" s="790"/>
      <c r="AN835" s="790"/>
      <c r="AO835" s="790"/>
      <c r="AP835" s="311" t="str">
        <f>SUBSTITUTE(SUBSTITUTE(SUBSTITUTE("vch"&amp;$B835&amp;$C835&amp;$D835&amp;$E835&amp;$F835,".","_"),"(","_"),")","")</f>
        <v>vch701_4_3_2_1_</v>
      </c>
      <c r="AQ835" s="311">
        <f>W835</f>
        <v>0</v>
      </c>
      <c r="AR835" s="311" t="str">
        <f>SUBSTITUTE(SUBSTITUTE(SUBSTITUTE("vnt"&amp;$B835&amp;$C835&amp;$D835&amp;$E835&amp;$F835,".","_"),"(","_"),")","")</f>
        <v>vnt701_4_3_2_1_</v>
      </c>
      <c r="AS835" s="311">
        <f>X835</f>
        <v>0</v>
      </c>
      <c r="AT835" s="790"/>
      <c r="AU835" s="790"/>
      <c r="AV835" s="790"/>
      <c r="AW835" s="790"/>
      <c r="AX835" s="790"/>
      <c r="AY835" s="790"/>
      <c r="AZ835" s="790"/>
      <c r="BA835" s="790"/>
      <c r="BB835" s="790"/>
      <c r="BC835" s="790"/>
      <c r="BD835" s="790"/>
      <c r="BE835" s="790"/>
      <c r="BF835" s="790"/>
      <c r="BG835" s="790"/>
      <c r="BH835" s="790"/>
      <c r="BI835" s="790"/>
      <c r="BJ835" s="1184" t="s">
        <v>4763</v>
      </c>
    </row>
    <row r="836" spans="1:62" x14ac:dyDescent="0.3">
      <c r="A836" s="1200">
        <v>7</v>
      </c>
      <c r="B836" s="1210" t="s">
        <v>993</v>
      </c>
      <c r="C836" s="1210"/>
      <c r="D836" s="1203" t="s">
        <v>271</v>
      </c>
      <c r="E836" s="1203"/>
      <c r="F836" s="1203"/>
      <c r="G836" s="1202" t="s">
        <v>4389</v>
      </c>
      <c r="H836" s="1200" t="s">
        <v>4387</v>
      </c>
      <c r="I836" s="4"/>
      <c r="J836" s="819"/>
      <c r="K836" s="819"/>
      <c r="L836" s="1292"/>
      <c r="M836" s="799"/>
      <c r="N836" s="850"/>
      <c r="O836" s="802"/>
      <c r="P836" s="1083"/>
      <c r="Q836" s="1083"/>
      <c r="R836" s="1083"/>
      <c r="S836" s="1083"/>
      <c r="T836" s="1083"/>
      <c r="U836" s="1083"/>
      <c r="V836" s="1083"/>
      <c r="W836" s="1083"/>
      <c r="X836" s="1312"/>
      <c r="Y836" s="1531"/>
      <c r="Z836" s="1588"/>
      <c r="AB836" s="790"/>
      <c r="AC836" s="790"/>
      <c r="AD836" s="790"/>
      <c r="AE836" s="790"/>
      <c r="AF836" s="790"/>
      <c r="AG836" s="790"/>
      <c r="AH836" s="790"/>
      <c r="AI836" s="790"/>
      <c r="AJ836" s="790"/>
      <c r="AK836" s="790"/>
      <c r="AL836" s="790"/>
      <c r="AM836" s="790"/>
      <c r="AN836" s="790"/>
      <c r="AO836" s="790"/>
      <c r="AP836" s="790"/>
      <c r="AQ836" s="790"/>
      <c r="AR836" s="790"/>
      <c r="AS836" s="790"/>
      <c r="AT836" s="790"/>
      <c r="AU836" s="790"/>
      <c r="AV836" s="790"/>
      <c r="AW836" s="790"/>
      <c r="AX836" s="790"/>
      <c r="AY836" s="790"/>
      <c r="AZ836" s="790"/>
      <c r="BA836" s="790"/>
      <c r="BB836" s="790"/>
      <c r="BC836" s="790"/>
      <c r="BD836" s="790"/>
      <c r="BE836" s="790"/>
      <c r="BF836" s="790"/>
      <c r="BG836" s="790"/>
      <c r="BH836" s="790"/>
      <c r="BI836" s="790"/>
      <c r="BJ836" s="1184" t="s">
        <v>4763</v>
      </c>
    </row>
    <row r="837" spans="1:62" x14ac:dyDescent="0.3">
      <c r="A837" s="1200">
        <v>7</v>
      </c>
      <c r="B837" s="1210" t="s">
        <v>993</v>
      </c>
      <c r="C837" s="1210"/>
      <c r="D837" s="1203" t="s">
        <v>271</v>
      </c>
      <c r="E837" s="1203"/>
      <c r="F837" s="1203"/>
      <c r="G837" s="1202" t="s">
        <v>4389</v>
      </c>
      <c r="H837" s="1200" t="s">
        <v>4387</v>
      </c>
      <c r="I837" s="4"/>
      <c r="J837" s="819"/>
      <c r="K837" s="819"/>
      <c r="L837" s="1292"/>
      <c r="M837" s="799"/>
      <c r="N837" s="850"/>
      <c r="O837" s="802"/>
      <c r="P837" s="97"/>
      <c r="Q837" s="97"/>
      <c r="R837" s="1083"/>
      <c r="S837" s="1083"/>
      <c r="T837" s="1083"/>
      <c r="U837" s="1083"/>
      <c r="V837" s="1083"/>
      <c r="W837" s="1083" t="s">
        <v>4690</v>
      </c>
      <c r="X837" s="1304"/>
      <c r="Y837" s="1525"/>
      <c r="Z837" s="1585"/>
      <c r="AB837" s="790"/>
      <c r="AC837" s="790"/>
      <c r="AD837" s="790"/>
      <c r="AE837" s="790"/>
      <c r="AF837" s="790"/>
      <c r="AG837" s="790"/>
      <c r="AH837" s="790"/>
      <c r="AI837" s="790"/>
      <c r="AJ837" s="790"/>
      <c r="AK837" s="790"/>
      <c r="AL837" s="790"/>
      <c r="AM837" s="790"/>
      <c r="AN837" s="790"/>
      <c r="AO837" s="790"/>
      <c r="AP837" s="790"/>
      <c r="AQ837" s="790"/>
      <c r="AR837" s="790"/>
      <c r="AS837" s="790"/>
      <c r="AT837" s="790"/>
      <c r="AU837" s="790"/>
      <c r="AV837" s="790"/>
      <c r="AW837" s="790"/>
      <c r="AX837" s="790"/>
      <c r="AY837" s="790"/>
      <c r="AZ837" s="790"/>
      <c r="BA837" s="790"/>
      <c r="BB837" s="790"/>
      <c r="BC837" s="790"/>
      <c r="BD837" s="790"/>
      <c r="BE837" s="790"/>
      <c r="BF837" s="790"/>
      <c r="BG837" s="790"/>
      <c r="BH837" s="790"/>
      <c r="BI837" s="790"/>
      <c r="BJ837" s="1184" t="s">
        <v>4763</v>
      </c>
    </row>
    <row r="838" spans="1:62" x14ac:dyDescent="0.3">
      <c r="A838" s="1200">
        <v>7</v>
      </c>
      <c r="B838" s="1210" t="s">
        <v>993</v>
      </c>
      <c r="C838" s="1210"/>
      <c r="D838" s="1203" t="s">
        <v>3177</v>
      </c>
      <c r="E838" s="1203"/>
      <c r="F838" s="1203"/>
      <c r="G838" s="1202" t="s">
        <v>4389</v>
      </c>
      <c r="H838" s="1200" t="s">
        <v>4387</v>
      </c>
      <c r="I838" s="4"/>
      <c r="J838" s="819"/>
      <c r="K838" s="819"/>
      <c r="L838" s="1292"/>
      <c r="M838" s="799"/>
      <c r="N838" s="850"/>
      <c r="O838" s="802"/>
      <c r="P838" s="97" t="b">
        <v>1</v>
      </c>
      <c r="Q838" s="97" t="b">
        <v>1</v>
      </c>
      <c r="R838" s="1083" t="b">
        <v>0</v>
      </c>
      <c r="S838" s="1083" t="b">
        <f ca="1">AND(NOT(S776=4),NOT(W817))</f>
        <v>1</v>
      </c>
      <c r="T838" s="97" t="b">
        <f ca="1">IF(AND(NOT(S838),LEN(W838)&gt;0),TRUE,FALSE)</f>
        <v>0</v>
      </c>
      <c r="U838" s="1083"/>
      <c r="V838" s="1083"/>
      <c r="W838" s="478"/>
      <c r="X838" s="1337"/>
      <c r="Y838" s="1527" t="str">
        <f>IF(LEN('Ch7'!X75)=0,"None",'Ch7'!X75)</f>
        <v>None</v>
      </c>
      <c r="Z838" s="1590"/>
      <c r="AB838" s="790"/>
      <c r="AC838" s="1083" t="b">
        <f ca="1">OR(AD838:AE838)</f>
        <v>0</v>
      </c>
      <c r="AD838" s="1083" t="b">
        <f ca="1">T838</f>
        <v>0</v>
      </c>
      <c r="AE838" s="1083" t="b">
        <f>AND(R838,LEN(W838)=0)</f>
        <v>0</v>
      </c>
      <c r="AF838" s="1182" t="b">
        <f>AND(AE838,NOT(Q838))</f>
        <v>0</v>
      </c>
      <c r="AG838" s="790"/>
      <c r="AH838" s="790"/>
      <c r="AI838" s="790"/>
      <c r="AJ838" s="790"/>
      <c r="AK838" s="790"/>
      <c r="AL838" s="790"/>
      <c r="AM838" s="790"/>
      <c r="AN838" s="790"/>
      <c r="AO838" s="790"/>
      <c r="AP838" s="311" t="str">
        <f>SUBSTITUTE(SUBSTITUTE(SUBSTITUTE("vch"&amp;$B838&amp;$C838&amp;$D838&amp;$E838&amp;$F838,".","_"),"(","_"),")","")</f>
        <v>vch701_4_3_2e</v>
      </c>
      <c r="AQ838" s="311">
        <f>W838</f>
        <v>0</v>
      </c>
      <c r="AR838" s="311" t="str">
        <f>SUBSTITUTE(SUBSTITUTE(SUBSTITUTE("vnt"&amp;$B838&amp;$C838&amp;$D838&amp;$E838&amp;$F838,".","_"),"(","_"),")","")</f>
        <v>vnt701_4_3_2e</v>
      </c>
      <c r="AS838" s="311">
        <f>X838</f>
        <v>0</v>
      </c>
      <c r="AT838" s="790"/>
      <c r="AU838" s="790"/>
      <c r="AV838" s="790"/>
      <c r="AW838" s="790"/>
      <c r="AX838" s="790"/>
      <c r="AY838" s="790"/>
      <c r="AZ838" s="790"/>
      <c r="BA838" s="790"/>
      <c r="BB838" s="790"/>
      <c r="BC838" s="790"/>
      <c r="BD838" s="790"/>
      <c r="BE838" s="790"/>
      <c r="BF838" s="790"/>
      <c r="BG838" s="790"/>
      <c r="BH838" s="790"/>
      <c r="BI838" s="790"/>
      <c r="BJ838" s="1184" t="s">
        <v>4763</v>
      </c>
    </row>
    <row r="839" spans="1:62" x14ac:dyDescent="0.3">
      <c r="A839" s="1200">
        <v>7</v>
      </c>
      <c r="B839" s="1210" t="s">
        <v>993</v>
      </c>
      <c r="C839" s="1210"/>
      <c r="D839" s="1203" t="s">
        <v>271</v>
      </c>
      <c r="E839" s="1203"/>
      <c r="F839" s="1203"/>
      <c r="G839" s="1202" t="s">
        <v>4389</v>
      </c>
      <c r="H839" s="1200" t="s">
        <v>4387</v>
      </c>
      <c r="I839" s="4"/>
      <c r="J839" s="819"/>
      <c r="K839" s="819"/>
      <c r="L839" s="1292"/>
      <c r="M839" s="799"/>
      <c r="N839" s="850"/>
      <c r="O839" s="802"/>
      <c r="P839" s="1081"/>
      <c r="Q839" s="1081"/>
      <c r="R839" s="790"/>
      <c r="S839" s="790"/>
      <c r="T839" s="790"/>
      <c r="U839" s="790"/>
      <c r="V839" s="790"/>
      <c r="W839" s="790"/>
      <c r="X839" s="1304"/>
      <c r="Y839" s="1525"/>
      <c r="Z839" s="1585"/>
      <c r="AB839" s="790"/>
      <c r="AC839" s="790"/>
      <c r="AD839" s="790"/>
      <c r="AE839" s="790"/>
      <c r="AF839" s="790"/>
      <c r="AG839" s="790"/>
      <c r="AH839" s="790"/>
      <c r="AI839" s="790"/>
      <c r="AJ839" s="790"/>
      <c r="AK839" s="790"/>
      <c r="AL839" s="790"/>
      <c r="AM839" s="790"/>
      <c r="AN839" s="790"/>
      <c r="AO839" s="790"/>
      <c r="AP839" s="790"/>
      <c r="AQ839" s="790"/>
      <c r="AR839" s="790"/>
      <c r="AS839" s="790"/>
      <c r="AT839" s="790"/>
      <c r="AU839" s="790"/>
      <c r="AV839" s="790"/>
      <c r="AW839" s="790"/>
      <c r="AX839" s="790"/>
      <c r="AY839" s="790"/>
      <c r="AZ839" s="790"/>
      <c r="BA839" s="790"/>
      <c r="BB839" s="790"/>
      <c r="BC839" s="790"/>
      <c r="BD839" s="790"/>
      <c r="BE839" s="790"/>
      <c r="BF839" s="790"/>
      <c r="BG839" s="790"/>
      <c r="BH839" s="790"/>
      <c r="BI839" s="790"/>
      <c r="BJ839" s="1184" t="s">
        <v>4763</v>
      </c>
    </row>
    <row r="840" spans="1:62" x14ac:dyDescent="0.3">
      <c r="A840" s="1200">
        <v>7</v>
      </c>
      <c r="B840" s="1210" t="s">
        <v>993</v>
      </c>
      <c r="C840" s="1210"/>
      <c r="D840" s="1203" t="s">
        <v>271</v>
      </c>
      <c r="E840" s="1203" t="s">
        <v>121</v>
      </c>
      <c r="F840" s="1203"/>
      <c r="G840" s="1202" t="s">
        <v>4389</v>
      </c>
      <c r="H840" s="1204" t="s">
        <v>4387</v>
      </c>
      <c r="I840" s="4"/>
      <c r="J840" s="819"/>
      <c r="K840" s="260" t="s">
        <v>121</v>
      </c>
      <c r="L840" s="819" t="s">
        <v>996</v>
      </c>
      <c r="M840" s="799"/>
      <c r="N840" s="850"/>
      <c r="O840" s="802"/>
      <c r="P840" s="1081"/>
      <c r="Q840" s="1081"/>
      <c r="R840" s="790"/>
      <c r="S840" s="790"/>
      <c r="T840" s="790"/>
      <c r="U840" s="790"/>
      <c r="V840" s="790"/>
      <c r="W840" s="790"/>
      <c r="X840" s="809"/>
      <c r="Y840" s="841" t="str">
        <f>IF(LEN('Ch7'!X77)=0,"None",'Ch7'!X77)</f>
        <v>None</v>
      </c>
      <c r="Z840" s="1169"/>
      <c r="AB840" s="790"/>
      <c r="AC840" s="790"/>
      <c r="AD840" s="790"/>
      <c r="AE840" s="790"/>
      <c r="AF840" s="790"/>
      <c r="AG840" s="790"/>
      <c r="AH840" s="790"/>
      <c r="AI840" s="790"/>
      <c r="AJ840" s="790"/>
      <c r="AK840" s="790"/>
      <c r="AL840" s="790"/>
      <c r="AM840" s="790"/>
      <c r="AN840" s="790"/>
      <c r="AO840" s="790"/>
      <c r="AP840" s="790"/>
      <c r="AQ840" s="790"/>
      <c r="AR840" s="311" t="str">
        <f t="shared" ref="AR840:AR841" si="241">SUBSTITUTE(SUBSTITUTE(SUBSTITUTE("vnt"&amp;$B840&amp;$C840&amp;$D840&amp;$E840&amp;$F840,".","_"),"(","_"),")","")</f>
        <v>vnt701_4_3_2_1_a</v>
      </c>
      <c r="AS840" s="311">
        <f>X840</f>
        <v>0</v>
      </c>
      <c r="AT840" s="790"/>
      <c r="AU840" s="790"/>
      <c r="AV840" s="790"/>
      <c r="AW840" s="790"/>
      <c r="AX840" s="790"/>
      <c r="AY840" s="790"/>
      <c r="AZ840" s="790"/>
      <c r="BA840" s="790"/>
      <c r="BB840" s="790"/>
      <c r="BC840" s="790"/>
      <c r="BD840" s="790"/>
      <c r="BE840" s="790"/>
      <c r="BF840" s="790"/>
      <c r="BG840" s="790"/>
      <c r="BH840" s="790"/>
      <c r="BI840" s="790"/>
      <c r="BJ840" s="1184" t="s">
        <v>4763</v>
      </c>
    </row>
    <row r="841" spans="1:62" x14ac:dyDescent="0.3">
      <c r="A841" s="1200">
        <v>7</v>
      </c>
      <c r="B841" s="1210" t="s">
        <v>993</v>
      </c>
      <c r="C841" s="1210"/>
      <c r="D841" s="1203" t="s">
        <v>271</v>
      </c>
      <c r="E841" s="1203" t="s">
        <v>122</v>
      </c>
      <c r="F841" s="1203"/>
      <c r="G841" s="1202" t="s">
        <v>4389</v>
      </c>
      <c r="H841" s="1204" t="s">
        <v>4387</v>
      </c>
      <c r="I841" s="4"/>
      <c r="J841" s="819"/>
      <c r="K841" s="260" t="s">
        <v>122</v>
      </c>
      <c r="L841" s="1329" t="s">
        <v>997</v>
      </c>
      <c r="M841" s="799"/>
      <c r="N841" s="850"/>
      <c r="O841" s="802"/>
      <c r="P841" s="1081"/>
      <c r="Q841" s="1081"/>
      <c r="R841" s="790"/>
      <c r="S841" s="790"/>
      <c r="T841" s="790"/>
      <c r="U841" s="790"/>
      <c r="V841" s="790"/>
      <c r="W841" s="790"/>
      <c r="X841" s="1303"/>
      <c r="Y841" s="1522" t="str">
        <f>IF(LEN('Ch7'!X78)=0,"None",'Ch7'!X78)</f>
        <v>None</v>
      </c>
      <c r="Z841" s="1586"/>
      <c r="AB841" s="790"/>
      <c r="AC841" s="790"/>
      <c r="AD841" s="790"/>
      <c r="AE841" s="790"/>
      <c r="AF841" s="790"/>
      <c r="AG841" s="790"/>
      <c r="AH841" s="790"/>
      <c r="AI841" s="790"/>
      <c r="AJ841" s="790"/>
      <c r="AK841" s="790"/>
      <c r="AL841" s="790"/>
      <c r="AM841" s="790"/>
      <c r="AN841" s="790"/>
      <c r="AO841" s="790"/>
      <c r="AP841" s="790"/>
      <c r="AQ841" s="790"/>
      <c r="AR841" s="311" t="str">
        <f t="shared" si="241"/>
        <v>vnt701_4_3_2_1_b</v>
      </c>
      <c r="AS841" s="311">
        <f>X841</f>
        <v>0</v>
      </c>
      <c r="AT841" s="790"/>
      <c r="AU841" s="790"/>
      <c r="AV841" s="790"/>
      <c r="AW841" s="790"/>
      <c r="AX841" s="790"/>
      <c r="AY841" s="790"/>
      <c r="AZ841" s="790"/>
      <c r="BA841" s="790"/>
      <c r="BB841" s="790"/>
      <c r="BC841" s="790"/>
      <c r="BD841" s="790"/>
      <c r="BE841" s="790"/>
      <c r="BF841" s="790"/>
      <c r="BG841" s="790"/>
      <c r="BH841" s="790"/>
      <c r="BI841" s="790"/>
      <c r="BJ841" s="1184" t="s">
        <v>4763</v>
      </c>
    </row>
    <row r="842" spans="1:62" x14ac:dyDescent="0.3">
      <c r="A842" s="1200">
        <v>7</v>
      </c>
      <c r="B842" s="1210" t="s">
        <v>993</v>
      </c>
      <c r="C842" s="1210"/>
      <c r="D842" s="1203" t="s">
        <v>271</v>
      </c>
      <c r="E842" s="1203" t="s">
        <v>122</v>
      </c>
      <c r="F842" s="1203"/>
      <c r="G842" s="1202" t="s">
        <v>4389</v>
      </c>
      <c r="H842" s="1204" t="s">
        <v>4387</v>
      </c>
      <c r="I842" s="4"/>
      <c r="J842" s="819"/>
      <c r="K842" s="260"/>
      <c r="L842" s="1329"/>
      <c r="M842" s="799"/>
      <c r="N842" s="850"/>
      <c r="O842" s="802"/>
      <c r="P842" s="1081"/>
      <c r="Q842" s="1081"/>
      <c r="R842" s="790"/>
      <c r="S842" s="790"/>
      <c r="T842" s="790"/>
      <c r="U842" s="790"/>
      <c r="V842" s="790"/>
      <c r="W842" s="790"/>
      <c r="X842" s="1303"/>
      <c r="Y842" s="1522"/>
      <c r="Z842" s="1586"/>
      <c r="AB842" s="790"/>
      <c r="AC842" s="790"/>
      <c r="AD842" s="790"/>
      <c r="AE842" s="790"/>
      <c r="AF842" s="790"/>
      <c r="AG842" s="790"/>
      <c r="AH842" s="790"/>
      <c r="AI842" s="790"/>
      <c r="AJ842" s="790"/>
      <c r="AK842" s="790"/>
      <c r="AL842" s="790"/>
      <c r="AM842" s="790"/>
      <c r="AN842" s="790"/>
      <c r="AO842" s="790"/>
      <c r="AP842" s="790"/>
      <c r="AQ842" s="790"/>
      <c r="AR842" s="790"/>
      <c r="AS842" s="790"/>
      <c r="AT842" s="790"/>
      <c r="AU842" s="790"/>
      <c r="AV842" s="790"/>
      <c r="AW842" s="790"/>
      <c r="AX842" s="790"/>
      <c r="AY842" s="790"/>
      <c r="AZ842" s="790"/>
      <c r="BA842" s="790"/>
      <c r="BB842" s="790"/>
      <c r="BC842" s="790"/>
      <c r="BD842" s="790"/>
      <c r="BE842" s="790"/>
      <c r="BF842" s="790"/>
      <c r="BG842" s="790"/>
      <c r="BH842" s="790"/>
      <c r="BI842" s="790"/>
      <c r="BJ842" s="1184" t="s">
        <v>4763</v>
      </c>
    </row>
    <row r="843" spans="1:62" x14ac:dyDescent="0.3">
      <c r="A843" s="1200">
        <v>7</v>
      </c>
      <c r="B843" s="1210" t="s">
        <v>993</v>
      </c>
      <c r="C843" s="1210"/>
      <c r="D843" s="1203" t="s">
        <v>271</v>
      </c>
      <c r="E843" s="1205" t="s">
        <v>123</v>
      </c>
      <c r="F843" s="1205"/>
      <c r="G843" s="1202" t="s">
        <v>4389</v>
      </c>
      <c r="H843" s="1206" t="s">
        <v>4387</v>
      </c>
      <c r="I843" s="4"/>
      <c r="J843" s="819"/>
      <c r="K843" s="261" t="s">
        <v>123</v>
      </c>
      <c r="L843" s="819" t="s">
        <v>998</v>
      </c>
      <c r="M843" s="799"/>
      <c r="N843" s="850"/>
      <c r="O843" s="802"/>
      <c r="P843" s="1081"/>
      <c r="Q843" s="1081"/>
      <c r="R843" s="790"/>
      <c r="S843" s="790"/>
      <c r="T843" s="790"/>
      <c r="U843" s="790"/>
      <c r="V843" s="790"/>
      <c r="W843" s="790"/>
      <c r="X843" s="809"/>
      <c r="Y843" s="841" t="str">
        <f>IF(LEN('Ch7'!X80)=0,"None",'Ch7'!X80)</f>
        <v>None</v>
      </c>
      <c r="Z843" s="1169"/>
      <c r="AB843" s="790"/>
      <c r="AC843" s="790"/>
      <c r="AD843" s="790"/>
      <c r="AE843" s="790"/>
      <c r="AF843" s="790"/>
      <c r="AG843" s="790"/>
      <c r="AH843" s="790"/>
      <c r="AI843" s="790"/>
      <c r="AJ843" s="790"/>
      <c r="AK843" s="790"/>
      <c r="AL843" s="790"/>
      <c r="AM843" s="790"/>
      <c r="AN843" s="790"/>
      <c r="AO843" s="790"/>
      <c r="AP843" s="790"/>
      <c r="AQ843" s="790"/>
      <c r="AR843" s="311" t="str">
        <f t="shared" ref="AR843:AR844" si="242">SUBSTITUTE(SUBSTITUTE(SUBSTITUTE("vnt"&amp;$B843&amp;$C843&amp;$D843&amp;$E843&amp;$F843,".","_"),"(","_"),")","")</f>
        <v>vnt701_4_3_2_1_c</v>
      </c>
      <c r="AS843" s="311">
        <f>X843</f>
        <v>0</v>
      </c>
      <c r="AT843" s="790"/>
      <c r="AU843" s="790"/>
      <c r="AV843" s="790"/>
      <c r="AW843" s="790"/>
      <c r="AX843" s="790"/>
      <c r="AY843" s="790"/>
      <c r="AZ843" s="790"/>
      <c r="BA843" s="790"/>
      <c r="BB843" s="790"/>
      <c r="BC843" s="790"/>
      <c r="BD843" s="790"/>
      <c r="BE843" s="790"/>
      <c r="BF843" s="790"/>
      <c r="BG843" s="790"/>
      <c r="BH843" s="790"/>
      <c r="BI843" s="790"/>
      <c r="BJ843" s="1184" t="s">
        <v>4763</v>
      </c>
    </row>
    <row r="844" spans="1:62" x14ac:dyDescent="0.3">
      <c r="A844" s="1200">
        <v>7</v>
      </c>
      <c r="B844" s="1210" t="s">
        <v>993</v>
      </c>
      <c r="C844" s="1210"/>
      <c r="D844" s="1203" t="s">
        <v>271</v>
      </c>
      <c r="E844" s="1203" t="s">
        <v>423</v>
      </c>
      <c r="F844" s="1203"/>
      <c r="G844" s="1202" t="s">
        <v>4389</v>
      </c>
      <c r="H844" s="1200" t="s">
        <v>4387</v>
      </c>
      <c r="I844" s="4"/>
      <c r="J844" s="819"/>
      <c r="K844" s="829" t="s">
        <v>423</v>
      </c>
      <c r="L844" s="1329" t="s">
        <v>999</v>
      </c>
      <c r="M844" s="799"/>
      <c r="N844" s="850"/>
      <c r="O844" s="802"/>
      <c r="P844" s="1081"/>
      <c r="Q844" s="1081"/>
      <c r="R844" s="790"/>
      <c r="S844" s="790"/>
      <c r="T844" s="790"/>
      <c r="U844" s="790"/>
      <c r="V844" s="790"/>
      <c r="W844" s="790"/>
      <c r="X844" s="1303"/>
      <c r="Y844" s="1522" t="str">
        <f>IF(LEN('Ch7'!X81)=0,"None",'Ch7'!X81)</f>
        <v>None</v>
      </c>
      <c r="Z844" s="1586"/>
      <c r="AB844" s="790"/>
      <c r="AC844" s="790"/>
      <c r="AD844" s="790"/>
      <c r="AE844" s="790"/>
      <c r="AF844" s="790"/>
      <c r="AG844" s="790"/>
      <c r="AH844" s="790"/>
      <c r="AI844" s="790"/>
      <c r="AJ844" s="790"/>
      <c r="AK844" s="790"/>
      <c r="AL844" s="790"/>
      <c r="AM844" s="790"/>
      <c r="AN844" s="790"/>
      <c r="AO844" s="790"/>
      <c r="AP844" s="790"/>
      <c r="AQ844" s="790"/>
      <c r="AR844" s="311" t="str">
        <f t="shared" si="242"/>
        <v>vnt701_4_3_2_1_d</v>
      </c>
      <c r="AS844" s="311">
        <f>X844</f>
        <v>0</v>
      </c>
      <c r="AT844" s="790"/>
      <c r="AU844" s="790"/>
      <c r="AV844" s="790"/>
      <c r="AW844" s="790"/>
      <c r="AX844" s="790"/>
      <c r="AY844" s="790"/>
      <c r="AZ844" s="790"/>
      <c r="BA844" s="790"/>
      <c r="BB844" s="790"/>
      <c r="BC844" s="790"/>
      <c r="BD844" s="790"/>
      <c r="BE844" s="790"/>
      <c r="BF844" s="790"/>
      <c r="BG844" s="790"/>
      <c r="BH844" s="790"/>
      <c r="BI844" s="790"/>
      <c r="BJ844" s="1184" t="s">
        <v>4763</v>
      </c>
    </row>
    <row r="845" spans="1:62" x14ac:dyDescent="0.3">
      <c r="A845" s="1200">
        <v>7</v>
      </c>
      <c r="B845" s="1210" t="s">
        <v>993</v>
      </c>
      <c r="C845" s="1210"/>
      <c r="D845" s="1203" t="s">
        <v>271</v>
      </c>
      <c r="E845" s="1203" t="s">
        <v>423</v>
      </c>
      <c r="F845" s="1203"/>
      <c r="G845" s="1202" t="s">
        <v>4389</v>
      </c>
      <c r="H845" s="1200" t="s">
        <v>4387</v>
      </c>
      <c r="I845" s="4"/>
      <c r="J845" s="819"/>
      <c r="K845" s="829"/>
      <c r="L845" s="1329"/>
      <c r="M845" s="799"/>
      <c r="N845" s="850"/>
      <c r="O845" s="802"/>
      <c r="P845" s="1081"/>
      <c r="Q845" s="1081"/>
      <c r="R845" s="790"/>
      <c r="S845" s="790"/>
      <c r="T845" s="790"/>
      <c r="U845" s="790"/>
      <c r="V845" s="790"/>
      <c r="W845" s="790"/>
      <c r="X845" s="1303"/>
      <c r="Y845" s="1522"/>
      <c r="Z845" s="1586"/>
      <c r="AB845" s="790"/>
      <c r="AC845" s="790"/>
      <c r="AD845" s="790"/>
      <c r="AE845" s="790"/>
      <c r="AF845" s="790"/>
      <c r="AG845" s="790"/>
      <c r="AH845" s="790"/>
      <c r="AI845" s="790"/>
      <c r="AJ845" s="790"/>
      <c r="AK845" s="790"/>
      <c r="AL845" s="790"/>
      <c r="AM845" s="790"/>
      <c r="AN845" s="790"/>
      <c r="AO845" s="790"/>
      <c r="AP845" s="790"/>
      <c r="AQ845" s="790"/>
      <c r="AR845" s="790"/>
      <c r="AS845" s="790"/>
      <c r="AT845" s="790"/>
      <c r="AU845" s="790"/>
      <c r="AV845" s="790"/>
      <c r="AW845" s="790"/>
      <c r="AX845" s="790"/>
      <c r="AY845" s="790"/>
      <c r="AZ845" s="790"/>
      <c r="BA845" s="790"/>
      <c r="BB845" s="790"/>
      <c r="BC845" s="790"/>
      <c r="BD845" s="790"/>
      <c r="BE845" s="790"/>
      <c r="BF845" s="790"/>
      <c r="BG845" s="790"/>
      <c r="BH845" s="790"/>
      <c r="BI845" s="790"/>
      <c r="BJ845" s="1184" t="s">
        <v>4763</v>
      </c>
    </row>
    <row r="846" spans="1:62" x14ac:dyDescent="0.3">
      <c r="A846" s="1200">
        <v>7</v>
      </c>
      <c r="B846" s="1210" t="s">
        <v>993</v>
      </c>
      <c r="C846" s="1210"/>
      <c r="D846" s="1203" t="s">
        <v>271</v>
      </c>
      <c r="E846" s="1203" t="s">
        <v>578</v>
      </c>
      <c r="F846" s="1203"/>
      <c r="G846" s="1202" t="s">
        <v>4389</v>
      </c>
      <c r="H846" s="1200" t="s">
        <v>4387</v>
      </c>
      <c r="I846" s="4"/>
      <c r="J846" s="819"/>
      <c r="K846" s="829" t="s">
        <v>578</v>
      </c>
      <c r="L846" s="819" t="s">
        <v>1000</v>
      </c>
      <c r="M846" s="799"/>
      <c r="N846" s="850"/>
      <c r="O846" s="802"/>
      <c r="P846" s="1081"/>
      <c r="Q846" s="1081"/>
      <c r="R846" s="790"/>
      <c r="S846" s="790"/>
      <c r="T846" s="790"/>
      <c r="U846" s="790"/>
      <c r="V846" s="790"/>
      <c r="W846" s="790"/>
      <c r="X846" s="809"/>
      <c r="Y846" s="841" t="str">
        <f>IF(LEN('Ch7'!X83)=0,"None",'Ch7'!X83)</f>
        <v>None</v>
      </c>
      <c r="Z846" s="1169"/>
      <c r="AB846" s="790"/>
      <c r="AC846" s="790"/>
      <c r="AD846" s="790"/>
      <c r="AE846" s="790"/>
      <c r="AF846" s="790"/>
      <c r="AG846" s="790"/>
      <c r="AH846" s="790"/>
      <c r="AI846" s="790"/>
      <c r="AJ846" s="790"/>
      <c r="AK846" s="790"/>
      <c r="AL846" s="790"/>
      <c r="AM846" s="790"/>
      <c r="AN846" s="790"/>
      <c r="AO846" s="790"/>
      <c r="AP846" s="790"/>
      <c r="AQ846" s="790"/>
      <c r="AR846" s="311" t="str">
        <f t="shared" ref="AR846:AR849" si="243">SUBSTITUTE(SUBSTITUTE(SUBSTITUTE("vnt"&amp;$B846&amp;$C846&amp;$D846&amp;$E846&amp;$F846,".","_"),"(","_"),")","")</f>
        <v>vnt701_4_3_2_1_e</v>
      </c>
      <c r="AS846" s="311">
        <f>X846</f>
        <v>0</v>
      </c>
      <c r="AT846" s="790"/>
      <c r="AU846" s="790"/>
      <c r="AV846" s="790"/>
      <c r="AW846" s="790"/>
      <c r="AX846" s="790"/>
      <c r="AY846" s="790"/>
      <c r="AZ846" s="790"/>
      <c r="BA846" s="790"/>
      <c r="BB846" s="790"/>
      <c r="BC846" s="790"/>
      <c r="BD846" s="790"/>
      <c r="BE846" s="790"/>
      <c r="BF846" s="790"/>
      <c r="BG846" s="790"/>
      <c r="BH846" s="790"/>
      <c r="BI846" s="790"/>
      <c r="BJ846" s="1184" t="s">
        <v>4763</v>
      </c>
    </row>
    <row r="847" spans="1:62" x14ac:dyDescent="0.3">
      <c r="A847" s="1200">
        <v>7</v>
      </c>
      <c r="B847" s="1210" t="s">
        <v>993</v>
      </c>
      <c r="C847" s="1210"/>
      <c r="D847" s="1203" t="s">
        <v>271</v>
      </c>
      <c r="E847" s="1205" t="s">
        <v>645</v>
      </c>
      <c r="F847" s="1205"/>
      <c r="G847" s="1202" t="s">
        <v>4389</v>
      </c>
      <c r="H847" s="1206" t="s">
        <v>4387</v>
      </c>
      <c r="I847" s="4"/>
      <c r="J847" s="819"/>
      <c r="K847" s="261" t="s">
        <v>645</v>
      </c>
      <c r="L847" s="819" t="s">
        <v>1001</v>
      </c>
      <c r="M847" s="799"/>
      <c r="N847" s="850"/>
      <c r="O847" s="802"/>
      <c r="P847" s="1081"/>
      <c r="Q847" s="1081"/>
      <c r="R847" s="790"/>
      <c r="S847" s="790"/>
      <c r="T847" s="790"/>
      <c r="U847" s="790"/>
      <c r="V847" s="790"/>
      <c r="W847" s="790"/>
      <c r="X847" s="809"/>
      <c r="Y847" s="841" t="str">
        <f>IF(LEN('Ch7'!X84)=0,"None",'Ch7'!X84)</f>
        <v>None</v>
      </c>
      <c r="Z847" s="1169"/>
      <c r="AB847" s="790"/>
      <c r="AC847" s="790"/>
      <c r="AD847" s="790"/>
      <c r="AE847" s="790"/>
      <c r="AF847" s="790"/>
      <c r="AG847" s="790"/>
      <c r="AH847" s="790"/>
      <c r="AI847" s="790"/>
      <c r="AJ847" s="790"/>
      <c r="AK847" s="790"/>
      <c r="AL847" s="790"/>
      <c r="AM847" s="790"/>
      <c r="AN847" s="790"/>
      <c r="AO847" s="790"/>
      <c r="AP847" s="790"/>
      <c r="AQ847" s="790"/>
      <c r="AR847" s="311" t="str">
        <f t="shared" si="243"/>
        <v>vnt701_4_3_2_1_f</v>
      </c>
      <c r="AS847" s="311">
        <f>X847</f>
        <v>0</v>
      </c>
      <c r="AT847" s="790"/>
      <c r="AU847" s="790"/>
      <c r="AV847" s="790"/>
      <c r="AW847" s="790"/>
      <c r="AX847" s="790"/>
      <c r="AY847" s="790"/>
      <c r="AZ847" s="790"/>
      <c r="BA847" s="790"/>
      <c r="BB847" s="790"/>
      <c r="BC847" s="790"/>
      <c r="BD847" s="790"/>
      <c r="BE847" s="790"/>
      <c r="BF847" s="790"/>
      <c r="BG847" s="790"/>
      <c r="BH847" s="790"/>
      <c r="BI847" s="790"/>
      <c r="BJ847" s="1184" t="s">
        <v>4763</v>
      </c>
    </row>
    <row r="848" spans="1:62" x14ac:dyDescent="0.3">
      <c r="A848" s="1200">
        <v>7</v>
      </c>
      <c r="B848" s="1210" t="s">
        <v>993</v>
      </c>
      <c r="C848" s="1210"/>
      <c r="D848" s="1203" t="s">
        <v>271</v>
      </c>
      <c r="E848" s="1203" t="s">
        <v>647</v>
      </c>
      <c r="F848" s="1203"/>
      <c r="G848" s="1202" t="s">
        <v>4389</v>
      </c>
      <c r="H848" s="1200" t="s">
        <v>4387</v>
      </c>
      <c r="I848" s="4"/>
      <c r="J848" s="819"/>
      <c r="K848" s="829" t="s">
        <v>647</v>
      </c>
      <c r="L848" s="819" t="s">
        <v>1002</v>
      </c>
      <c r="M848" s="799"/>
      <c r="N848" s="850"/>
      <c r="O848" s="802"/>
      <c r="P848" s="1081"/>
      <c r="Q848" s="1081"/>
      <c r="R848" s="790"/>
      <c r="S848" s="790"/>
      <c r="T848" s="790"/>
      <c r="U848" s="790"/>
      <c r="V848" s="790"/>
      <c r="W848" s="790"/>
      <c r="X848" s="809"/>
      <c r="Y848" s="841" t="str">
        <f>IF(LEN('Ch7'!X85)=0,"None",'Ch7'!X85)</f>
        <v>None</v>
      </c>
      <c r="Z848" s="1169"/>
      <c r="AB848" s="790"/>
      <c r="AC848" s="790"/>
      <c r="AD848" s="790"/>
      <c r="AE848" s="790"/>
      <c r="AF848" s="790"/>
      <c r="AG848" s="790"/>
      <c r="AH848" s="790"/>
      <c r="AI848" s="790"/>
      <c r="AJ848" s="790"/>
      <c r="AK848" s="790"/>
      <c r="AL848" s="790"/>
      <c r="AM848" s="790"/>
      <c r="AN848" s="790"/>
      <c r="AO848" s="790"/>
      <c r="AP848" s="790"/>
      <c r="AQ848" s="790"/>
      <c r="AR848" s="311" t="str">
        <f t="shared" si="243"/>
        <v>vnt701_4_3_2_1_g</v>
      </c>
      <c r="AS848" s="311">
        <f>X848</f>
        <v>0</v>
      </c>
      <c r="AT848" s="790"/>
      <c r="AU848" s="790"/>
      <c r="AV848" s="790"/>
      <c r="AW848" s="790"/>
      <c r="AX848" s="790"/>
      <c r="AY848" s="790"/>
      <c r="AZ848" s="790"/>
      <c r="BA848" s="790"/>
      <c r="BB848" s="790"/>
      <c r="BC848" s="790"/>
      <c r="BD848" s="790"/>
      <c r="BE848" s="790"/>
      <c r="BF848" s="790"/>
      <c r="BG848" s="790"/>
      <c r="BH848" s="790"/>
      <c r="BI848" s="790"/>
      <c r="BJ848" s="1184" t="s">
        <v>4763</v>
      </c>
    </row>
    <row r="849" spans="1:62" x14ac:dyDescent="0.3">
      <c r="A849" s="1200">
        <v>7</v>
      </c>
      <c r="B849" s="1210" t="s">
        <v>993</v>
      </c>
      <c r="C849" s="1210"/>
      <c r="D849" s="1203" t="s">
        <v>271</v>
      </c>
      <c r="E849" s="1203" t="s">
        <v>649</v>
      </c>
      <c r="F849" s="1203"/>
      <c r="G849" s="1202" t="s">
        <v>4389</v>
      </c>
      <c r="H849" s="1200" t="s">
        <v>4387</v>
      </c>
      <c r="I849" s="4"/>
      <c r="J849" s="812"/>
      <c r="K849" s="647"/>
      <c r="L849" s="1394" t="s">
        <v>4075</v>
      </c>
      <c r="M849" s="799"/>
      <c r="N849" s="850"/>
      <c r="O849" s="802"/>
      <c r="P849" s="1081"/>
      <c r="Q849" s="1081"/>
      <c r="R849" s="790"/>
      <c r="S849" s="790"/>
      <c r="T849" s="790"/>
      <c r="U849" s="790"/>
      <c r="V849" s="790"/>
      <c r="W849" s="790"/>
      <c r="X849" s="1303"/>
      <c r="Y849" s="1522" t="str">
        <f>IF(LEN('Ch7'!X86)=0,"None",'Ch7'!X86)</f>
        <v>None</v>
      </c>
      <c r="Z849" s="1586"/>
      <c r="AB849" s="790"/>
      <c r="AC849" s="790"/>
      <c r="AD849" s="790"/>
      <c r="AE849" s="790"/>
      <c r="AF849" s="790"/>
      <c r="AG849" s="790"/>
      <c r="AH849" s="790"/>
      <c r="AI849" s="790"/>
      <c r="AJ849" s="790"/>
      <c r="AK849" s="790"/>
      <c r="AL849" s="790"/>
      <c r="AM849" s="790"/>
      <c r="AN849" s="790"/>
      <c r="AO849" s="790"/>
      <c r="AP849" s="790"/>
      <c r="AQ849" s="790"/>
      <c r="AR849" s="311" t="str">
        <f t="shared" si="243"/>
        <v>vnt701_4_3_2_1_h</v>
      </c>
      <c r="AS849" s="311">
        <f>X849</f>
        <v>0</v>
      </c>
      <c r="AT849" s="790"/>
      <c r="AU849" s="790"/>
      <c r="AV849" s="790"/>
      <c r="AW849" s="790"/>
      <c r="AX849" s="790"/>
      <c r="AY849" s="790"/>
      <c r="AZ849" s="790"/>
      <c r="BA849" s="790"/>
      <c r="BB849" s="790"/>
      <c r="BC849" s="790"/>
      <c r="BD849" s="790"/>
      <c r="BE849" s="790"/>
      <c r="BF849" s="790"/>
      <c r="BG849" s="790"/>
      <c r="BH849" s="790"/>
      <c r="BI849" s="790"/>
      <c r="BJ849" s="1184" t="s">
        <v>4763</v>
      </c>
    </row>
    <row r="850" spans="1:62" x14ac:dyDescent="0.3">
      <c r="A850" s="1200">
        <v>7</v>
      </c>
      <c r="B850" s="1210" t="s">
        <v>993</v>
      </c>
      <c r="C850" s="1210"/>
      <c r="D850" s="1203" t="s">
        <v>271</v>
      </c>
      <c r="E850" s="1203"/>
      <c r="F850" s="1203"/>
      <c r="G850" s="1202" t="s">
        <v>4389</v>
      </c>
      <c r="H850" s="1200" t="s">
        <v>4387</v>
      </c>
      <c r="I850" s="4"/>
      <c r="J850" s="813"/>
      <c r="K850" s="648"/>
      <c r="L850" s="1396"/>
      <c r="M850" s="799"/>
      <c r="N850" s="850"/>
      <c r="O850" s="802"/>
      <c r="P850" s="1081"/>
      <c r="Q850" s="1081"/>
      <c r="R850" s="790"/>
      <c r="S850" s="790"/>
      <c r="T850" s="790"/>
      <c r="U850" s="790"/>
      <c r="V850" s="790"/>
      <c r="W850" s="790"/>
      <c r="X850" s="1303"/>
      <c r="Y850" s="1522"/>
      <c r="Z850" s="1586"/>
      <c r="AB850" s="790"/>
      <c r="AC850" s="790"/>
      <c r="AD850" s="790"/>
      <c r="AE850" s="790"/>
      <c r="AF850" s="790"/>
      <c r="AG850" s="790"/>
      <c r="AH850" s="790"/>
      <c r="AI850" s="790"/>
      <c r="AJ850" s="790"/>
      <c r="AK850" s="790"/>
      <c r="AL850" s="790"/>
      <c r="AM850" s="790"/>
      <c r="AN850" s="790"/>
      <c r="AO850" s="790"/>
      <c r="AP850" s="790"/>
      <c r="AQ850" s="790"/>
      <c r="AR850" s="790"/>
      <c r="AS850" s="790"/>
      <c r="AT850" s="790"/>
      <c r="AU850" s="790"/>
      <c r="AV850" s="790"/>
      <c r="AW850" s="790"/>
      <c r="AX850" s="790"/>
      <c r="AY850" s="790"/>
      <c r="AZ850" s="790"/>
      <c r="BA850" s="790"/>
      <c r="BB850" s="790"/>
      <c r="BC850" s="790"/>
      <c r="BD850" s="790"/>
      <c r="BE850" s="790"/>
      <c r="BF850" s="790"/>
      <c r="BG850" s="790"/>
      <c r="BH850" s="790"/>
      <c r="BI850" s="790"/>
      <c r="BJ850" s="1184" t="s">
        <v>4763</v>
      </c>
    </row>
    <row r="851" spans="1:62" x14ac:dyDescent="0.3">
      <c r="A851" s="1200">
        <v>7</v>
      </c>
      <c r="B851" s="1210" t="s">
        <v>993</v>
      </c>
      <c r="C851" s="1210"/>
      <c r="D851" s="1203" t="s">
        <v>273</v>
      </c>
      <c r="E851" s="1203"/>
      <c r="F851" s="1203"/>
      <c r="G851" s="1202" t="s">
        <v>4389</v>
      </c>
      <c r="H851" s="1200" t="s">
        <v>4387</v>
      </c>
      <c r="I851" s="140"/>
      <c r="J851" s="614" t="s">
        <v>273</v>
      </c>
      <c r="K851" s="812"/>
      <c r="L851" s="1313" t="s">
        <v>1003</v>
      </c>
      <c r="M851" s="795"/>
      <c r="N851" s="854"/>
      <c r="O851" s="803"/>
      <c r="P851" s="97" t="b">
        <v>1</v>
      </c>
      <c r="Q851" s="97" t="b">
        <v>1</v>
      </c>
      <c r="R851" s="97" t="b">
        <f ca="1">S851</f>
        <v>1</v>
      </c>
      <c r="S851" s="97" t="b">
        <f ca="1">AND(NOT(S776=4),NOT(W817))</f>
        <v>1</v>
      </c>
      <c r="T851" s="97" t="b">
        <f ca="1">AND(NOT(S851),W851=TRUE)</f>
        <v>0</v>
      </c>
      <c r="U851" s="97"/>
      <c r="V851" s="97"/>
      <c r="W851" s="25"/>
      <c r="X851" s="1295"/>
      <c r="Y851" s="1522" t="str">
        <f>IF(LEN('Ch7'!X88)=0,"None",'Ch7'!X88)</f>
        <v>None</v>
      </c>
      <c r="Z851" s="1586"/>
      <c r="AB851" s="790"/>
      <c r="AC851" s="790" t="b">
        <f ca="1">OR(AD851:AE851)</f>
        <v>1</v>
      </c>
      <c r="AD851" s="790" t="b">
        <f ca="1">T851</f>
        <v>0</v>
      </c>
      <c r="AE851" s="790" t="b">
        <f ca="1">AND(R851,NOT(W851))</f>
        <v>1</v>
      </c>
      <c r="AF851" s="1182" t="b">
        <f ca="1">AND(AE851,NOT(Q851))</f>
        <v>0</v>
      </c>
      <c r="AG851" s="790"/>
      <c r="AH851" s="790"/>
      <c r="AI851" s="790"/>
      <c r="AJ851" s="790"/>
      <c r="AK851" s="790"/>
      <c r="AL851" s="790"/>
      <c r="AM851" s="790"/>
      <c r="AN851" s="790"/>
      <c r="AO851" s="790"/>
      <c r="AP851" s="311" t="str">
        <f>SUBSTITUTE(SUBSTITUTE(SUBSTITUTE("vch"&amp;$B851&amp;$C851&amp;$D851&amp;$E851&amp;$F851,".","_"),"(","_"),")","")</f>
        <v>vch701_4_3_2_2</v>
      </c>
      <c r="AQ851" s="311">
        <f>W851</f>
        <v>0</v>
      </c>
      <c r="AR851" s="311" t="str">
        <f>SUBSTITUTE(SUBSTITUTE(SUBSTITUTE("vnt"&amp;$B851&amp;$C851&amp;$D851&amp;$E851&amp;$F851,".","_"),"(","_"),")","")</f>
        <v>vnt701_4_3_2_2</v>
      </c>
      <c r="AS851" s="311">
        <f>X851</f>
        <v>0</v>
      </c>
      <c r="AT851" s="790"/>
      <c r="AU851" s="790"/>
      <c r="AV851" s="790"/>
      <c r="AW851" s="790"/>
      <c r="AX851" s="790"/>
      <c r="AY851" s="790"/>
      <c r="AZ851" s="790"/>
      <c r="BA851" s="790"/>
      <c r="BB851" s="790"/>
      <c r="BC851" s="790"/>
      <c r="BD851" s="790"/>
      <c r="BE851" s="790"/>
      <c r="BF851" s="790"/>
      <c r="BG851" s="790"/>
      <c r="BH851" s="790"/>
      <c r="BI851" s="790"/>
      <c r="BJ851" s="1184" t="s">
        <v>4763</v>
      </c>
    </row>
    <row r="852" spans="1:62" x14ac:dyDescent="0.3">
      <c r="A852" s="1200">
        <v>7</v>
      </c>
      <c r="B852" s="1210" t="s">
        <v>993</v>
      </c>
      <c r="C852" s="1210"/>
      <c r="D852" s="1203" t="s">
        <v>273</v>
      </c>
      <c r="E852" s="1203"/>
      <c r="F852" s="1203"/>
      <c r="G852" s="1202" t="s">
        <v>4389</v>
      </c>
      <c r="H852" s="1200" t="s">
        <v>4387</v>
      </c>
      <c r="I852" s="140"/>
      <c r="J852" s="812"/>
      <c r="K852" s="812"/>
      <c r="L852" s="1313"/>
      <c r="M852" s="795"/>
      <c r="N852" s="854"/>
      <c r="O852" s="803"/>
      <c r="P852" s="97"/>
      <c r="Q852" s="97"/>
      <c r="R852" s="97"/>
      <c r="S852" s="97"/>
      <c r="T852" s="97"/>
      <c r="U852" s="97"/>
      <c r="V852" s="97"/>
      <c r="W852" s="97"/>
      <c r="X852" s="1295"/>
      <c r="Y852" s="1522"/>
      <c r="Z852" s="1586"/>
      <c r="AB852" s="790"/>
      <c r="AC852" s="790"/>
      <c r="AD852" s="790"/>
      <c r="AE852" s="790"/>
      <c r="AF852" s="790"/>
      <c r="AG852" s="790"/>
      <c r="AH852" s="790"/>
      <c r="AI852" s="790"/>
      <c r="AJ852" s="790"/>
      <c r="AK852" s="790"/>
      <c r="AL852" s="790"/>
      <c r="AM852" s="790"/>
      <c r="AN852" s="790"/>
      <c r="AO852" s="790"/>
      <c r="AP852" s="790"/>
      <c r="AQ852" s="790"/>
      <c r="AR852" s="790"/>
      <c r="AS852" s="790"/>
      <c r="AT852" s="790"/>
      <c r="AU852" s="790"/>
      <c r="AV852" s="790"/>
      <c r="AW852" s="790"/>
      <c r="AX852" s="790"/>
      <c r="AY852" s="790"/>
      <c r="AZ852" s="790"/>
      <c r="BA852" s="790"/>
      <c r="BB852" s="790"/>
      <c r="BC852" s="790"/>
      <c r="BD852" s="790"/>
      <c r="BE852" s="790"/>
      <c r="BF852" s="790"/>
      <c r="BG852" s="790"/>
      <c r="BH852" s="790"/>
      <c r="BI852" s="790"/>
      <c r="BJ852" s="1184" t="s">
        <v>4763</v>
      </c>
    </row>
    <row r="853" spans="1:62" x14ac:dyDescent="0.3">
      <c r="A853" s="1200">
        <v>7</v>
      </c>
      <c r="B853" s="1210" t="s">
        <v>993</v>
      </c>
      <c r="C853" s="1210"/>
      <c r="D853" s="1203" t="s">
        <v>273</v>
      </c>
      <c r="E853" s="1203"/>
      <c r="F853" s="1203"/>
      <c r="G853" s="1202" t="s">
        <v>4389</v>
      </c>
      <c r="H853" s="1200" t="s">
        <v>4387</v>
      </c>
      <c r="I853" s="238"/>
      <c r="J853" s="813"/>
      <c r="K853" s="813"/>
      <c r="L853" s="623" t="s">
        <v>3636</v>
      </c>
      <c r="M853" s="796"/>
      <c r="N853" s="855"/>
      <c r="O853" s="804"/>
      <c r="P853" s="196"/>
      <c r="Q853" s="196"/>
      <c r="R853" s="196"/>
      <c r="S853" s="196"/>
      <c r="T853" s="196"/>
      <c r="U853" s="196"/>
      <c r="V853" s="196"/>
      <c r="W853" s="196"/>
      <c r="X853" s="1295"/>
      <c r="Y853" s="1522"/>
      <c r="Z853" s="1586"/>
      <c r="AB853" s="790"/>
      <c r="AC853" s="790"/>
      <c r="AD853" s="790"/>
      <c r="AE853" s="790"/>
      <c r="AF853" s="790"/>
      <c r="AG853" s="790"/>
      <c r="AH853" s="790"/>
      <c r="AI853" s="790"/>
      <c r="AJ853" s="790"/>
      <c r="AK853" s="790"/>
      <c r="AL853" s="790"/>
      <c r="AM853" s="790"/>
      <c r="AN853" s="790"/>
      <c r="AO853" s="790"/>
      <c r="AP853" s="790"/>
      <c r="AQ853" s="790"/>
      <c r="AR853" s="790"/>
      <c r="AS853" s="790"/>
      <c r="AT853" s="790"/>
      <c r="AU853" s="790"/>
      <c r="AV853" s="790"/>
      <c r="AW853" s="790"/>
      <c r="AX853" s="790"/>
      <c r="AY853" s="790"/>
      <c r="AZ853" s="790"/>
      <c r="BA853" s="790"/>
      <c r="BB853" s="790"/>
      <c r="BC853" s="790"/>
      <c r="BD853" s="790"/>
      <c r="BE853" s="790"/>
      <c r="BF853" s="790"/>
      <c r="BG853" s="790"/>
      <c r="BH853" s="790"/>
      <c r="BI853" s="790"/>
      <c r="BJ853" s="1184" t="s">
        <v>4763</v>
      </c>
    </row>
    <row r="854" spans="1:62" x14ac:dyDescent="0.3">
      <c r="A854" s="1200">
        <v>7</v>
      </c>
      <c r="B854" s="1210" t="s">
        <v>1004</v>
      </c>
      <c r="C854" s="1210"/>
      <c r="D854" s="1203"/>
      <c r="E854" s="1203"/>
      <c r="F854" s="1203"/>
      <c r="G854" s="1202" t="s">
        <v>4389</v>
      </c>
      <c r="H854" s="1200" t="s">
        <v>4387</v>
      </c>
      <c r="I854" s="68" t="s">
        <v>1004</v>
      </c>
      <c r="J854" s="819"/>
      <c r="K854" s="819"/>
      <c r="L854" s="829" t="s">
        <v>1005</v>
      </c>
      <c r="M854" s="1091" t="str">
        <f ca="1">IF(R854,"Mandatory","N/A")</f>
        <v>Mandatory</v>
      </c>
      <c r="N854" s="850"/>
      <c r="O854" s="802"/>
      <c r="P854" s="97" t="b">
        <v>1</v>
      </c>
      <c r="Q854" s="97" t="b">
        <v>0</v>
      </c>
      <c r="R854" s="790" t="b">
        <f ca="1">S854</f>
        <v>1</v>
      </c>
      <c r="S854" s="790" t="b">
        <f ca="1">AND(NOT(S776=4),NOT(W817))</f>
        <v>1</v>
      </c>
      <c r="T854" s="97" t="b">
        <f ca="1">AND(NOT(S854),W854=TRUE)</f>
        <v>0</v>
      </c>
      <c r="U854" s="790"/>
      <c r="V854" s="790"/>
      <c r="W854" s="25"/>
      <c r="X854" s="790"/>
      <c r="Y854" s="790"/>
      <c r="Z854" s="1055"/>
      <c r="AB854" s="790"/>
      <c r="AC854" s="790" t="b">
        <f ca="1">OR(AD854:AE854)</f>
        <v>1</v>
      </c>
      <c r="AD854" s="790" t="b">
        <f ca="1">T854</f>
        <v>0</v>
      </c>
      <c r="AE854" s="790" t="b">
        <f ca="1">AND(R854,NOT(W854))</f>
        <v>1</v>
      </c>
      <c r="AF854" s="1182" t="b">
        <f ca="1">AND(AE854,NOT(Q854))</f>
        <v>1</v>
      </c>
      <c r="AG854" s="790"/>
      <c r="AH854" s="790"/>
      <c r="AI854" s="790"/>
      <c r="AJ854" s="790"/>
      <c r="AK854" s="790"/>
      <c r="AL854" s="311" t="str">
        <f t="shared" ref="AL854" si="244">SUBSTITUTE(SUBSTITUTE(SUBSTITUTE("vpa"&amp;$B854&amp;$C854&amp;$D854&amp;$E854&amp;$F854,".","_"),"(","_"),")","")</f>
        <v>vpa701_4_3_2_1</v>
      </c>
      <c r="AM854" s="311" t="str">
        <f ca="1">M854</f>
        <v>Mandatory</v>
      </c>
      <c r="AN854" s="790"/>
      <c r="AO854" s="790"/>
      <c r="AP854" s="311" t="str">
        <f>SUBSTITUTE(SUBSTITUTE(SUBSTITUTE("vch"&amp;$B854&amp;$C854&amp;$D854&amp;$E854&amp;$F854,".","_"),"(","_"),")","")</f>
        <v>vch701_4_3_2_1</v>
      </c>
      <c r="AQ854" s="311">
        <f>W854</f>
        <v>0</v>
      </c>
      <c r="AR854" s="790"/>
      <c r="AS854" s="790"/>
      <c r="AT854" s="790"/>
      <c r="AU854" s="790"/>
      <c r="AV854" s="790"/>
      <c r="AW854" s="790"/>
      <c r="AX854" s="790"/>
      <c r="AY854" s="790"/>
      <c r="AZ854" s="790"/>
      <c r="BA854" s="790"/>
      <c r="BB854" s="790"/>
      <c r="BC854" s="790"/>
      <c r="BD854" s="790"/>
      <c r="BE854" s="790"/>
      <c r="BF854" s="790"/>
      <c r="BG854" s="790"/>
      <c r="BH854" s="790"/>
      <c r="BI854" s="790"/>
      <c r="BJ854" s="1184" t="s">
        <v>4763</v>
      </c>
    </row>
    <row r="855" spans="1:62" x14ac:dyDescent="0.3">
      <c r="A855" s="1200">
        <v>7</v>
      </c>
      <c r="B855" s="1210" t="s">
        <v>1004</v>
      </c>
      <c r="C855" s="1210"/>
      <c r="D855" s="1203" t="s">
        <v>271</v>
      </c>
      <c r="E855" s="1203"/>
      <c r="F855" s="1203"/>
      <c r="G855" s="1202" t="s">
        <v>4389</v>
      </c>
      <c r="H855" s="1204" t="s">
        <v>4387</v>
      </c>
      <c r="I855" s="4"/>
      <c r="J855" s="626" t="s">
        <v>271</v>
      </c>
      <c r="K855" s="813"/>
      <c r="L855" s="813" t="s">
        <v>1006</v>
      </c>
      <c r="M855" s="799"/>
      <c r="N855" s="850"/>
      <c r="O855" s="802"/>
      <c r="P855" s="1081"/>
      <c r="Q855" s="1081"/>
      <c r="R855" s="790"/>
      <c r="S855" s="790"/>
      <c r="T855" s="790"/>
      <c r="U855" s="790"/>
      <c r="V855" s="790"/>
      <c r="W855" s="790"/>
      <c r="X855" s="809"/>
      <c r="Y855" s="841" t="str">
        <f>IF(LEN('Ch7'!X92)=0,"None",'Ch7'!X92)</f>
        <v>None</v>
      </c>
      <c r="Z855" s="1169"/>
      <c r="AB855" s="790"/>
      <c r="AC855" s="790"/>
      <c r="AD855" s="790"/>
      <c r="AE855" s="790"/>
      <c r="AF855" s="790"/>
      <c r="AG855" s="790"/>
      <c r="AH855" s="790"/>
      <c r="AI855" s="790"/>
      <c r="AJ855" s="790"/>
      <c r="AK855" s="790"/>
      <c r="AL855" s="790"/>
      <c r="AM855" s="790"/>
      <c r="AN855" s="790"/>
      <c r="AO855" s="790"/>
      <c r="AP855" s="790"/>
      <c r="AQ855" s="790"/>
      <c r="AR855" s="311" t="str">
        <f t="shared" ref="AR855:AR856" si="245">SUBSTITUTE(SUBSTITUTE(SUBSTITUTE("vnt"&amp;$B855&amp;$C855&amp;$D855&amp;$E855&amp;$F855,".","_"),"(","_"),")","")</f>
        <v>vnt701_4_3_2_1_1</v>
      </c>
      <c r="AS855" s="311">
        <f>X855</f>
        <v>0</v>
      </c>
      <c r="AT855" s="790"/>
      <c r="AU855" s="790"/>
      <c r="AV855" s="790"/>
      <c r="AW855" s="790"/>
      <c r="AX855" s="790"/>
      <c r="AY855" s="790"/>
      <c r="AZ855" s="790"/>
      <c r="BA855" s="790"/>
      <c r="BB855" s="790"/>
      <c r="BC855" s="790"/>
      <c r="BD855" s="790"/>
      <c r="BE855" s="790"/>
      <c r="BF855" s="790"/>
      <c r="BG855" s="790"/>
      <c r="BH855" s="790"/>
      <c r="BI855" s="790"/>
      <c r="BJ855" s="1184" t="s">
        <v>4763</v>
      </c>
    </row>
    <row r="856" spans="1:62" x14ac:dyDescent="0.3">
      <c r="A856" s="1200">
        <v>7</v>
      </c>
      <c r="B856" s="1210" t="s">
        <v>1004</v>
      </c>
      <c r="C856" s="1210"/>
      <c r="D856" s="1203" t="s">
        <v>273</v>
      </c>
      <c r="E856" s="1203"/>
      <c r="F856" s="1203"/>
      <c r="G856" s="1202" t="s">
        <v>4389</v>
      </c>
      <c r="H856" s="1204" t="s">
        <v>4387</v>
      </c>
      <c r="I856" s="4"/>
      <c r="J856" s="649" t="s">
        <v>273</v>
      </c>
      <c r="K856" s="823"/>
      <c r="L856" s="1356" t="s">
        <v>1007</v>
      </c>
      <c r="M856" s="799"/>
      <c r="N856" s="850"/>
      <c r="O856" s="802"/>
      <c r="P856" s="1081"/>
      <c r="Q856" s="1081"/>
      <c r="R856" s="790"/>
      <c r="S856" s="790"/>
      <c r="T856" s="790"/>
      <c r="U856" s="790"/>
      <c r="V856" s="790"/>
      <c r="W856" s="790"/>
      <c r="X856" s="1303"/>
      <c r="Y856" s="1522" t="str">
        <f>IF(LEN('Ch7'!X93)=0,"None",'Ch7'!X93)</f>
        <v>None</v>
      </c>
      <c r="Z856" s="1586"/>
      <c r="AB856" s="790"/>
      <c r="AC856" s="790"/>
      <c r="AD856" s="790"/>
      <c r="AE856" s="790"/>
      <c r="AF856" s="790"/>
      <c r="AG856" s="790"/>
      <c r="AH856" s="790"/>
      <c r="AI856" s="790"/>
      <c r="AJ856" s="790"/>
      <c r="AK856" s="790"/>
      <c r="AL856" s="790"/>
      <c r="AM856" s="790"/>
      <c r="AN856" s="790"/>
      <c r="AO856" s="790"/>
      <c r="AP856" s="790"/>
      <c r="AQ856" s="790"/>
      <c r="AR856" s="311" t="str">
        <f t="shared" si="245"/>
        <v>vnt701_4_3_2_1_2</v>
      </c>
      <c r="AS856" s="311">
        <f>X856</f>
        <v>0</v>
      </c>
      <c r="AT856" s="790"/>
      <c r="AU856" s="790"/>
      <c r="AV856" s="790"/>
      <c r="AW856" s="790"/>
      <c r="AX856" s="790"/>
      <c r="AY856" s="790"/>
      <c r="AZ856" s="790"/>
      <c r="BA856" s="790"/>
      <c r="BB856" s="790"/>
      <c r="BC856" s="790"/>
      <c r="BD856" s="790"/>
      <c r="BE856" s="790"/>
      <c r="BF856" s="790"/>
      <c r="BG856" s="790"/>
      <c r="BH856" s="790"/>
      <c r="BI856" s="790"/>
      <c r="BJ856" s="1184" t="s">
        <v>4763</v>
      </c>
    </row>
    <row r="857" spans="1:62" x14ac:dyDescent="0.3">
      <c r="A857" s="1200">
        <v>7</v>
      </c>
      <c r="B857" s="1210" t="s">
        <v>1004</v>
      </c>
      <c r="C857" s="1210"/>
      <c r="D857" s="1203" t="s">
        <v>273</v>
      </c>
      <c r="E857" s="1203"/>
      <c r="F857" s="1203"/>
      <c r="G857" s="1202" t="s">
        <v>4389</v>
      </c>
      <c r="H857" s="1204" t="s">
        <v>4387</v>
      </c>
      <c r="I857" s="4"/>
      <c r="J857" s="626"/>
      <c r="K857" s="813"/>
      <c r="L857" s="1306"/>
      <c r="M857" s="799"/>
      <c r="N857" s="850"/>
      <c r="O857" s="802"/>
      <c r="P857" s="1081"/>
      <c r="Q857" s="1081"/>
      <c r="R857" s="790"/>
      <c r="S857" s="790"/>
      <c r="T857" s="790"/>
      <c r="U857" s="790"/>
      <c r="V857" s="790"/>
      <c r="W857" s="790"/>
      <c r="X857" s="1303"/>
      <c r="Y857" s="1522"/>
      <c r="Z857" s="1586"/>
      <c r="AB857" s="790"/>
      <c r="AC857" s="790"/>
      <c r="AD857" s="790"/>
      <c r="AE857" s="790"/>
      <c r="AF857" s="790"/>
      <c r="AG857" s="790"/>
      <c r="AH857" s="790"/>
      <c r="AI857" s="790"/>
      <c r="AJ857" s="790"/>
      <c r="AK857" s="790"/>
      <c r="AL857" s="790"/>
      <c r="AM857" s="790"/>
      <c r="AN857" s="790"/>
      <c r="AO857" s="790"/>
      <c r="AP857" s="790"/>
      <c r="AQ857" s="790"/>
      <c r="AR857" s="790"/>
      <c r="AS857" s="790"/>
      <c r="AT857" s="790"/>
      <c r="AU857" s="790"/>
      <c r="AV857" s="790"/>
      <c r="AW857" s="790"/>
      <c r="AX857" s="790"/>
      <c r="AY857" s="790"/>
      <c r="AZ857" s="790"/>
      <c r="BA857" s="790"/>
      <c r="BB857" s="790"/>
      <c r="BC857" s="790"/>
      <c r="BD857" s="790"/>
      <c r="BE857" s="790"/>
      <c r="BF857" s="790"/>
      <c r="BG857" s="790"/>
      <c r="BH857" s="790"/>
      <c r="BI857" s="790"/>
      <c r="BJ857" s="1184" t="s">
        <v>4763</v>
      </c>
    </row>
    <row r="858" spans="1:62" x14ac:dyDescent="0.3">
      <c r="A858" s="1200">
        <v>7</v>
      </c>
      <c r="B858" s="1210" t="s">
        <v>1004</v>
      </c>
      <c r="C858" s="1210"/>
      <c r="D858" s="1203" t="s">
        <v>275</v>
      </c>
      <c r="E858" s="1203"/>
      <c r="F858" s="1203"/>
      <c r="G858" s="1202" t="s">
        <v>4389</v>
      </c>
      <c r="H858" s="1204" t="s">
        <v>4387</v>
      </c>
      <c r="I858" s="4"/>
      <c r="J858" s="650" t="s">
        <v>275</v>
      </c>
      <c r="K858" s="365"/>
      <c r="L858" s="365" t="s">
        <v>1008</v>
      </c>
      <c r="M858" s="799"/>
      <c r="N858" s="850"/>
      <c r="O858" s="802"/>
      <c r="P858" s="1081"/>
      <c r="Q858" s="1081"/>
      <c r="R858" s="790"/>
      <c r="S858" s="790"/>
      <c r="T858" s="790"/>
      <c r="U858" s="790"/>
      <c r="V858" s="790"/>
      <c r="W858" s="790"/>
      <c r="X858" s="809"/>
      <c r="Y858" s="841" t="str">
        <f>IF(LEN('Ch7'!X95)=0,"None",'Ch7'!X95)</f>
        <v>None</v>
      </c>
      <c r="Z858" s="1169"/>
      <c r="AB858" s="790"/>
      <c r="AC858" s="790"/>
      <c r="AD858" s="790"/>
      <c r="AE858" s="790"/>
      <c r="AF858" s="790"/>
      <c r="AG858" s="790"/>
      <c r="AH858" s="790"/>
      <c r="AI858" s="790"/>
      <c r="AJ858" s="790"/>
      <c r="AK858" s="790"/>
      <c r="AL858" s="790"/>
      <c r="AM858" s="790"/>
      <c r="AN858" s="790"/>
      <c r="AO858" s="790"/>
      <c r="AP858" s="790"/>
      <c r="AQ858" s="790"/>
      <c r="AR858" s="311" t="str">
        <f t="shared" ref="AR858:AR859" si="246">SUBSTITUTE(SUBSTITUTE(SUBSTITUTE("vnt"&amp;$B858&amp;$C858&amp;$D858&amp;$E858&amp;$F858,".","_"),"(","_"),")","")</f>
        <v>vnt701_4_3_2_1_3</v>
      </c>
      <c r="AS858" s="311">
        <f>X858</f>
        <v>0</v>
      </c>
      <c r="AT858" s="790"/>
      <c r="AU858" s="790"/>
      <c r="AV858" s="790"/>
      <c r="AW858" s="790"/>
      <c r="AX858" s="790"/>
      <c r="AY858" s="790"/>
      <c r="AZ858" s="790"/>
      <c r="BA858" s="790"/>
      <c r="BB858" s="790"/>
      <c r="BC858" s="790"/>
      <c r="BD858" s="790"/>
      <c r="BE858" s="790"/>
      <c r="BF858" s="790"/>
      <c r="BG858" s="790"/>
      <c r="BH858" s="790"/>
      <c r="BI858" s="790"/>
      <c r="BJ858" s="1184" t="s">
        <v>4763</v>
      </c>
    </row>
    <row r="859" spans="1:62" x14ac:dyDescent="0.3">
      <c r="A859" s="1200">
        <v>7</v>
      </c>
      <c r="B859" s="1210" t="s">
        <v>1004</v>
      </c>
      <c r="C859" s="1210"/>
      <c r="D859" s="1203" t="s">
        <v>285</v>
      </c>
      <c r="E859" s="1203"/>
      <c r="F859" s="1203"/>
      <c r="G859" s="1202" t="s">
        <v>4389</v>
      </c>
      <c r="H859" s="1204" t="s">
        <v>4387</v>
      </c>
      <c r="I859" s="4"/>
      <c r="J859" s="260" t="s">
        <v>285</v>
      </c>
      <c r="K859" s="819"/>
      <c r="L859" s="1329" t="s">
        <v>1009</v>
      </c>
      <c r="M859" s="799"/>
      <c r="N859" s="850"/>
      <c r="O859" s="802"/>
      <c r="P859" s="1081"/>
      <c r="Q859" s="1081"/>
      <c r="R859" s="790"/>
      <c r="S859" s="790"/>
      <c r="T859" s="790"/>
      <c r="U859" s="790"/>
      <c r="V859" s="790"/>
      <c r="W859" s="790"/>
      <c r="X859" s="1303"/>
      <c r="Y859" s="1522" t="str">
        <f>IF(LEN('Ch7'!X96)=0,"None",'Ch7'!X96)</f>
        <v>None</v>
      </c>
      <c r="Z859" s="1586"/>
      <c r="AB859" s="790"/>
      <c r="AC859" s="790"/>
      <c r="AD859" s="790"/>
      <c r="AE859" s="790"/>
      <c r="AF859" s="790"/>
      <c r="AG859" s="790"/>
      <c r="AH859" s="790"/>
      <c r="AI859" s="790"/>
      <c r="AJ859" s="790"/>
      <c r="AK859" s="790"/>
      <c r="AL859" s="790"/>
      <c r="AM859" s="790"/>
      <c r="AN859" s="790"/>
      <c r="AO859" s="790"/>
      <c r="AP859" s="790"/>
      <c r="AQ859" s="790"/>
      <c r="AR859" s="311" t="str">
        <f t="shared" si="246"/>
        <v>vnt701_4_3_2_1_4</v>
      </c>
      <c r="AS859" s="311">
        <f>X859</f>
        <v>0</v>
      </c>
      <c r="AT859" s="790"/>
      <c r="AU859" s="790"/>
      <c r="AV859" s="790"/>
      <c r="AW859" s="790"/>
      <c r="AX859" s="790"/>
      <c r="AY859" s="790"/>
      <c r="AZ859" s="790"/>
      <c r="BA859" s="790"/>
      <c r="BB859" s="790"/>
      <c r="BC859" s="790"/>
      <c r="BD859" s="790"/>
      <c r="BE859" s="790"/>
      <c r="BF859" s="790"/>
      <c r="BG859" s="790"/>
      <c r="BH859" s="790"/>
      <c r="BI859" s="790"/>
      <c r="BJ859" s="1184" t="s">
        <v>4763</v>
      </c>
    </row>
    <row r="860" spans="1:62" x14ac:dyDescent="0.3">
      <c r="A860" s="1200">
        <v>7</v>
      </c>
      <c r="B860" s="1210" t="s">
        <v>1004</v>
      </c>
      <c r="C860" s="1210"/>
      <c r="D860" s="1203" t="s">
        <v>285</v>
      </c>
      <c r="E860" s="1203"/>
      <c r="F860" s="1203"/>
      <c r="G860" s="1202" t="s">
        <v>4389</v>
      </c>
      <c r="H860" s="1204" t="s">
        <v>4387</v>
      </c>
      <c r="I860" s="4"/>
      <c r="J860" s="260"/>
      <c r="K860" s="819"/>
      <c r="L860" s="1329"/>
      <c r="M860" s="799"/>
      <c r="N860" s="850"/>
      <c r="O860" s="802"/>
      <c r="P860" s="1081"/>
      <c r="Q860" s="1081"/>
      <c r="R860" s="790"/>
      <c r="S860" s="790"/>
      <c r="T860" s="790"/>
      <c r="U860" s="790"/>
      <c r="V860" s="790"/>
      <c r="W860" s="790"/>
      <c r="X860" s="1303"/>
      <c r="Y860" s="1522"/>
      <c r="Z860" s="1586"/>
      <c r="AB860" s="790"/>
      <c r="AC860" s="790"/>
      <c r="AD860" s="790"/>
      <c r="AE860" s="790"/>
      <c r="AF860" s="790"/>
      <c r="AG860" s="790"/>
      <c r="AH860" s="790"/>
      <c r="AI860" s="790"/>
      <c r="AJ860" s="790"/>
      <c r="AK860" s="790"/>
      <c r="AL860" s="790"/>
      <c r="AM860" s="790"/>
      <c r="AN860" s="790"/>
      <c r="AO860" s="790"/>
      <c r="AP860" s="790"/>
      <c r="AQ860" s="790"/>
      <c r="AR860" s="790"/>
      <c r="AS860" s="790"/>
      <c r="AT860" s="790"/>
      <c r="AU860" s="790"/>
      <c r="AV860" s="790"/>
      <c r="AW860" s="790"/>
      <c r="AX860" s="790"/>
      <c r="AY860" s="790"/>
      <c r="AZ860" s="790"/>
      <c r="BA860" s="790"/>
      <c r="BB860" s="790"/>
      <c r="BC860" s="790"/>
      <c r="BD860" s="790"/>
      <c r="BE860" s="790"/>
      <c r="BF860" s="790"/>
      <c r="BG860" s="790"/>
      <c r="BH860" s="790"/>
      <c r="BI860" s="790"/>
      <c r="BJ860" s="1184" t="s">
        <v>4763</v>
      </c>
    </row>
    <row r="861" spans="1:62" x14ac:dyDescent="0.3">
      <c r="A861" s="1200">
        <v>7</v>
      </c>
      <c r="B861" s="1210" t="s">
        <v>1004</v>
      </c>
      <c r="C861" s="1210"/>
      <c r="D861" s="1203" t="s">
        <v>285</v>
      </c>
      <c r="E861" s="1203"/>
      <c r="F861" s="1203"/>
      <c r="G861" s="1202" t="s">
        <v>4389</v>
      </c>
      <c r="H861" s="1204" t="s">
        <v>4387</v>
      </c>
      <c r="I861" s="4"/>
      <c r="J861" s="260"/>
      <c r="K861" s="819"/>
      <c r="L861" s="1329"/>
      <c r="M861" s="799"/>
      <c r="N861" s="850"/>
      <c r="O861" s="802"/>
      <c r="P861" s="1081"/>
      <c r="Q861" s="1081"/>
      <c r="R861" s="790"/>
      <c r="S861" s="790"/>
      <c r="T861" s="790"/>
      <c r="U861" s="790"/>
      <c r="V861" s="790"/>
      <c r="W861" s="790"/>
      <c r="X861" s="1303"/>
      <c r="Y861" s="1522"/>
      <c r="Z861" s="1586"/>
      <c r="AB861" s="790"/>
      <c r="AC861" s="790"/>
      <c r="AD861" s="790"/>
      <c r="AE861" s="790"/>
      <c r="AF861" s="790"/>
      <c r="AG861" s="790"/>
      <c r="AH861" s="790"/>
      <c r="AI861" s="790"/>
      <c r="AJ861" s="790"/>
      <c r="AK861" s="790"/>
      <c r="AL861" s="790"/>
      <c r="AM861" s="790"/>
      <c r="AN861" s="790"/>
      <c r="AO861" s="790"/>
      <c r="AP861" s="790"/>
      <c r="AQ861" s="790"/>
      <c r="AR861" s="790"/>
      <c r="AS861" s="790"/>
      <c r="AT861" s="790"/>
      <c r="AU861" s="790"/>
      <c r="AV861" s="790"/>
      <c r="AW861" s="790"/>
      <c r="AX861" s="790"/>
      <c r="AY861" s="790"/>
      <c r="AZ861" s="790"/>
      <c r="BA861" s="790"/>
      <c r="BB861" s="790"/>
      <c r="BC861" s="790"/>
      <c r="BD861" s="790"/>
      <c r="BE861" s="790"/>
      <c r="BF861" s="790"/>
      <c r="BG861" s="790"/>
      <c r="BH861" s="790"/>
      <c r="BI861" s="790"/>
      <c r="BJ861" s="1184" t="s">
        <v>4763</v>
      </c>
    </row>
    <row r="862" spans="1:62" x14ac:dyDescent="0.3">
      <c r="A862" s="1200">
        <v>7</v>
      </c>
      <c r="B862" s="1210" t="s">
        <v>1004</v>
      </c>
      <c r="C862" s="1210"/>
      <c r="D862" s="1203" t="s">
        <v>285</v>
      </c>
      <c r="E862" s="1203"/>
      <c r="F862" s="1203"/>
      <c r="G862" s="1202" t="s">
        <v>4389</v>
      </c>
      <c r="H862" s="1204" t="s">
        <v>4387</v>
      </c>
      <c r="I862" s="4"/>
      <c r="J862" s="260"/>
      <c r="K862" s="819"/>
      <c r="L862" s="1329"/>
      <c r="M862" s="799"/>
      <c r="N862" s="850"/>
      <c r="O862" s="802"/>
      <c r="P862" s="1081"/>
      <c r="Q862" s="1081"/>
      <c r="R862" s="790"/>
      <c r="S862" s="790"/>
      <c r="T862" s="790"/>
      <c r="U862" s="790"/>
      <c r="V862" s="790"/>
      <c r="W862" s="790"/>
      <c r="X862" s="1303"/>
      <c r="Y862" s="1522"/>
      <c r="Z862" s="1586"/>
      <c r="AB862" s="790"/>
      <c r="AC862" s="790"/>
      <c r="AD862" s="790"/>
      <c r="AE862" s="790"/>
      <c r="AF862" s="790"/>
      <c r="AG862" s="790"/>
      <c r="AH862" s="790"/>
      <c r="AI862" s="790"/>
      <c r="AJ862" s="790"/>
      <c r="AK862" s="790"/>
      <c r="AL862" s="790"/>
      <c r="AM862" s="790"/>
      <c r="AN862" s="790"/>
      <c r="AO862" s="790"/>
      <c r="AP862" s="790"/>
      <c r="AQ862" s="790"/>
      <c r="AR862" s="790"/>
      <c r="AS862" s="790"/>
      <c r="AT862" s="790"/>
      <c r="AU862" s="790"/>
      <c r="AV862" s="790"/>
      <c r="AW862" s="790"/>
      <c r="AX862" s="790"/>
      <c r="AY862" s="790"/>
      <c r="AZ862" s="790"/>
      <c r="BA862" s="790"/>
      <c r="BB862" s="790"/>
      <c r="BC862" s="790"/>
      <c r="BD862" s="790"/>
      <c r="BE862" s="790"/>
      <c r="BF862" s="790"/>
      <c r="BG862" s="790"/>
      <c r="BH862" s="790"/>
      <c r="BI862" s="790"/>
      <c r="BJ862" s="1184" t="s">
        <v>4763</v>
      </c>
    </row>
    <row r="863" spans="1:62" x14ac:dyDescent="0.3">
      <c r="A863" s="1200">
        <v>7</v>
      </c>
      <c r="B863" s="1210" t="s">
        <v>1004</v>
      </c>
      <c r="C863" s="1210"/>
      <c r="D863" s="1203" t="s">
        <v>291</v>
      </c>
      <c r="E863" s="1203"/>
      <c r="F863" s="1203"/>
      <c r="G863" s="1202" t="s">
        <v>4389</v>
      </c>
      <c r="H863" s="1204" t="s">
        <v>4387</v>
      </c>
      <c r="I863" s="4"/>
      <c r="J863" s="614" t="s">
        <v>291</v>
      </c>
      <c r="K863" s="812"/>
      <c r="L863" s="1305" t="s">
        <v>1010</v>
      </c>
      <c r="M863" s="799"/>
      <c r="N863" s="850"/>
      <c r="O863" s="802"/>
      <c r="P863" s="1081"/>
      <c r="Q863" s="1081"/>
      <c r="R863" s="790"/>
      <c r="S863" s="790"/>
      <c r="T863" s="790"/>
      <c r="U863" s="790"/>
      <c r="V863" s="790"/>
      <c r="W863" s="790"/>
      <c r="X863" s="1303"/>
      <c r="Y863" s="1522" t="str">
        <f>IF(LEN('Ch7'!X100)=0,"None",'Ch7'!X100)</f>
        <v>None</v>
      </c>
      <c r="Z863" s="1586"/>
      <c r="AB863" s="790"/>
      <c r="AC863" s="790"/>
      <c r="AD863" s="790"/>
      <c r="AE863" s="790"/>
      <c r="AF863" s="790"/>
      <c r="AG863" s="790"/>
      <c r="AH863" s="790"/>
      <c r="AI863" s="790"/>
      <c r="AJ863" s="790"/>
      <c r="AK863" s="790"/>
      <c r="AL863" s="790"/>
      <c r="AM863" s="790"/>
      <c r="AN863" s="790"/>
      <c r="AO863" s="790"/>
      <c r="AP863" s="790"/>
      <c r="AQ863" s="790"/>
      <c r="AR863" s="311" t="str">
        <f>SUBSTITUTE(SUBSTITUTE(SUBSTITUTE("vnt"&amp;$B863&amp;$C863&amp;$D863&amp;$E863&amp;$F863,".","_"),"(","_"),")","")</f>
        <v>vnt701_4_3_2_1_5</v>
      </c>
      <c r="AS863" s="311">
        <f>X863</f>
        <v>0</v>
      </c>
      <c r="AT863" s="790"/>
      <c r="AU863" s="790"/>
      <c r="AV863" s="790"/>
      <c r="AW863" s="790"/>
      <c r="AX863" s="790"/>
      <c r="AY863" s="790"/>
      <c r="AZ863" s="790"/>
      <c r="BA863" s="790"/>
      <c r="BB863" s="790"/>
      <c r="BC863" s="790"/>
      <c r="BD863" s="790"/>
      <c r="BE863" s="790"/>
      <c r="BF863" s="790"/>
      <c r="BG863" s="790"/>
      <c r="BH863" s="790"/>
      <c r="BI863" s="790"/>
      <c r="BJ863" s="1184" t="s">
        <v>4763</v>
      </c>
    </row>
    <row r="864" spans="1:62" x14ac:dyDescent="0.3">
      <c r="A864" s="1200">
        <v>7</v>
      </c>
      <c r="B864" s="1210" t="s">
        <v>1004</v>
      </c>
      <c r="C864" s="1210"/>
      <c r="D864" s="1203" t="s">
        <v>291</v>
      </c>
      <c r="E864" s="1203"/>
      <c r="F864" s="1203"/>
      <c r="G864" s="1202" t="s">
        <v>4389</v>
      </c>
      <c r="H864" s="1204" t="s">
        <v>4387</v>
      </c>
      <c r="I864" s="4"/>
      <c r="J864" s="626"/>
      <c r="K864" s="813"/>
      <c r="L864" s="1306"/>
      <c r="M864" s="799"/>
      <c r="N864" s="850"/>
      <c r="O864" s="802"/>
      <c r="P864" s="1081"/>
      <c r="Q864" s="1081"/>
      <c r="R864" s="790"/>
      <c r="S864" s="790"/>
      <c r="T864" s="790"/>
      <c r="U864" s="790"/>
      <c r="V864" s="790"/>
      <c r="W864" s="790"/>
      <c r="X864" s="1303"/>
      <c r="Y864" s="1522"/>
      <c r="Z864" s="1586"/>
      <c r="AB864" s="790"/>
      <c r="AC864" s="790"/>
      <c r="AD864" s="790"/>
      <c r="AE864" s="790"/>
      <c r="AF864" s="790"/>
      <c r="AG864" s="790"/>
      <c r="AH864" s="790"/>
      <c r="AI864" s="790"/>
      <c r="AJ864" s="790"/>
      <c r="AK864" s="790"/>
      <c r="AL864" s="790"/>
      <c r="AM864" s="790"/>
      <c r="AN864" s="790"/>
      <c r="AO864" s="790"/>
      <c r="AP864" s="790"/>
      <c r="AQ864" s="790"/>
      <c r="AR864" s="790"/>
      <c r="AS864" s="790"/>
      <c r="AT864" s="790"/>
      <c r="AU864" s="790"/>
      <c r="AV864" s="790"/>
      <c r="AW864" s="790"/>
      <c r="AX864" s="790"/>
      <c r="AY864" s="790"/>
      <c r="AZ864" s="790"/>
      <c r="BA864" s="790"/>
      <c r="BB864" s="790"/>
      <c r="BC864" s="790"/>
      <c r="BD864" s="790"/>
      <c r="BE864" s="790"/>
      <c r="BF864" s="790"/>
      <c r="BG864" s="790"/>
      <c r="BH864" s="790"/>
      <c r="BI864" s="790"/>
      <c r="BJ864" s="1184" t="s">
        <v>4763</v>
      </c>
    </row>
    <row r="865" spans="1:62" x14ac:dyDescent="0.3">
      <c r="A865" s="1200">
        <v>7</v>
      </c>
      <c r="B865" s="1210" t="s">
        <v>1004</v>
      </c>
      <c r="C865" s="1210"/>
      <c r="D865" s="1203" t="s">
        <v>293</v>
      </c>
      <c r="E865" s="1203"/>
      <c r="F865" s="1203"/>
      <c r="G865" s="1202" t="s">
        <v>4389</v>
      </c>
      <c r="H865" s="1204" t="s">
        <v>4387</v>
      </c>
      <c r="I865" s="4"/>
      <c r="J865" s="649" t="s">
        <v>293</v>
      </c>
      <c r="K865" s="823"/>
      <c r="L865" s="1356" t="s">
        <v>1011</v>
      </c>
      <c r="M865" s="799"/>
      <c r="N865" s="850"/>
      <c r="O865" s="802"/>
      <c r="P865" s="1081"/>
      <c r="Q865" s="1081"/>
      <c r="R865" s="790"/>
      <c r="S865" s="790"/>
      <c r="T865" s="790"/>
      <c r="U865" s="790"/>
      <c r="V865" s="790"/>
      <c r="W865" s="790"/>
      <c r="X865" s="1303"/>
      <c r="Y865" s="1522" t="str">
        <f>IF(LEN('Ch7'!X102)=0,"None",'Ch7'!X102)</f>
        <v>None</v>
      </c>
      <c r="Z865" s="1586"/>
      <c r="AB865" s="790"/>
      <c r="AC865" s="790"/>
      <c r="AD865" s="790"/>
      <c r="AE865" s="790"/>
      <c r="AF865" s="790"/>
      <c r="AG865" s="790"/>
      <c r="AH865" s="790"/>
      <c r="AI865" s="790"/>
      <c r="AJ865" s="790"/>
      <c r="AK865" s="790"/>
      <c r="AL865" s="790"/>
      <c r="AM865" s="790"/>
      <c r="AN865" s="790"/>
      <c r="AO865" s="790"/>
      <c r="AP865" s="790"/>
      <c r="AQ865" s="790"/>
      <c r="AR865" s="311" t="str">
        <f>SUBSTITUTE(SUBSTITUTE(SUBSTITUTE("vnt"&amp;$B865&amp;$C865&amp;$D865&amp;$E865&amp;$F865,".","_"),"(","_"),")","")</f>
        <v>vnt701_4_3_2_1_6</v>
      </c>
      <c r="AS865" s="311">
        <f>X865</f>
        <v>0</v>
      </c>
      <c r="AT865" s="790"/>
      <c r="AU865" s="790"/>
      <c r="AV865" s="790"/>
      <c r="AW865" s="790"/>
      <c r="AX865" s="790"/>
      <c r="AY865" s="790"/>
      <c r="AZ865" s="790"/>
      <c r="BA865" s="790"/>
      <c r="BB865" s="790"/>
      <c r="BC865" s="790"/>
      <c r="BD865" s="790"/>
      <c r="BE865" s="790"/>
      <c r="BF865" s="790"/>
      <c r="BG865" s="790"/>
      <c r="BH865" s="790"/>
      <c r="BI865" s="790"/>
      <c r="BJ865" s="1184" t="s">
        <v>4763</v>
      </c>
    </row>
    <row r="866" spans="1:62" x14ac:dyDescent="0.3">
      <c r="A866" s="1200">
        <v>7</v>
      </c>
      <c r="B866" s="1210" t="s">
        <v>1004</v>
      </c>
      <c r="C866" s="1210"/>
      <c r="D866" s="1203" t="s">
        <v>293</v>
      </c>
      <c r="E866" s="1203"/>
      <c r="F866" s="1203"/>
      <c r="G866" s="1202" t="s">
        <v>4389</v>
      </c>
      <c r="H866" s="1204" t="s">
        <v>4387</v>
      </c>
      <c r="I866" s="4"/>
      <c r="J866" s="614"/>
      <c r="K866" s="812"/>
      <c r="L866" s="1305"/>
      <c r="M866" s="799"/>
      <c r="N866" s="850"/>
      <c r="O866" s="802"/>
      <c r="P866" s="1081"/>
      <c r="Q866" s="1081"/>
      <c r="R866" s="790"/>
      <c r="S866" s="790"/>
      <c r="T866" s="790"/>
      <c r="U866" s="790"/>
      <c r="V866" s="790"/>
      <c r="W866" s="790"/>
      <c r="X866" s="1303"/>
      <c r="Y866" s="1522"/>
      <c r="Z866" s="1586"/>
      <c r="AB866" s="790"/>
      <c r="AC866" s="790"/>
      <c r="AD866" s="790"/>
      <c r="AE866" s="790"/>
      <c r="AF866" s="790"/>
      <c r="AG866" s="790"/>
      <c r="AH866" s="790"/>
      <c r="AI866" s="790"/>
      <c r="AJ866" s="790"/>
      <c r="AK866" s="790"/>
      <c r="AL866" s="790"/>
      <c r="AM866" s="790"/>
      <c r="AN866" s="790"/>
      <c r="AO866" s="790"/>
      <c r="AP866" s="790"/>
      <c r="AQ866" s="790"/>
      <c r="AR866" s="790"/>
      <c r="AS866" s="790"/>
      <c r="AT866" s="790"/>
      <c r="AU866" s="790"/>
      <c r="AV866" s="790"/>
      <c r="AW866" s="790"/>
      <c r="AX866" s="790"/>
      <c r="AY866" s="790"/>
      <c r="AZ866" s="790"/>
      <c r="BA866" s="790"/>
      <c r="BB866" s="790"/>
      <c r="BC866" s="790"/>
      <c r="BD866" s="790"/>
      <c r="BE866" s="790"/>
      <c r="BF866" s="790"/>
      <c r="BG866" s="790"/>
      <c r="BH866" s="790"/>
      <c r="BI866" s="790"/>
      <c r="BJ866" s="1184" t="s">
        <v>4763</v>
      </c>
    </row>
    <row r="867" spans="1:62" x14ac:dyDescent="0.3">
      <c r="A867" s="1200">
        <v>7</v>
      </c>
      <c r="B867" s="1210" t="s">
        <v>1004</v>
      </c>
      <c r="C867" s="1210"/>
      <c r="D867" s="1203" t="s">
        <v>293</v>
      </c>
      <c r="E867" s="1203"/>
      <c r="F867" s="1203"/>
      <c r="G867" s="1202" t="s">
        <v>4389</v>
      </c>
      <c r="H867" s="1204" t="s">
        <v>4387</v>
      </c>
      <c r="I867" s="4"/>
      <c r="J867" s="626"/>
      <c r="K867" s="813"/>
      <c r="L867" s="1306"/>
      <c r="M867" s="799"/>
      <c r="N867" s="850"/>
      <c r="O867" s="802"/>
      <c r="P867" s="1081"/>
      <c r="Q867" s="1081"/>
      <c r="R867" s="790"/>
      <c r="S867" s="790"/>
      <c r="T867" s="790"/>
      <c r="U867" s="790"/>
      <c r="V867" s="790"/>
      <c r="W867" s="790"/>
      <c r="X867" s="1303"/>
      <c r="Y867" s="1522"/>
      <c r="Z867" s="1586"/>
      <c r="AB867" s="790"/>
      <c r="AC867" s="790"/>
      <c r="AD867" s="790"/>
      <c r="AE867" s="790"/>
      <c r="AF867" s="790"/>
      <c r="AG867" s="790"/>
      <c r="AH867" s="790"/>
      <c r="AI867" s="790"/>
      <c r="AJ867" s="790"/>
      <c r="AK867" s="790"/>
      <c r="AL867" s="790"/>
      <c r="AM867" s="790"/>
      <c r="AN867" s="790"/>
      <c r="AO867" s="790"/>
      <c r="AP867" s="790"/>
      <c r="AQ867" s="790"/>
      <c r="AR867" s="790"/>
      <c r="AS867" s="790"/>
      <c r="AT867" s="790"/>
      <c r="AU867" s="790"/>
      <c r="AV867" s="790"/>
      <c r="AW867" s="790"/>
      <c r="AX867" s="790"/>
      <c r="AY867" s="790"/>
      <c r="AZ867" s="790"/>
      <c r="BA867" s="790"/>
      <c r="BB867" s="790"/>
      <c r="BC867" s="790"/>
      <c r="BD867" s="790"/>
      <c r="BE867" s="790"/>
      <c r="BF867" s="790"/>
      <c r="BG867" s="790"/>
      <c r="BH867" s="790"/>
      <c r="BI867" s="790"/>
      <c r="BJ867" s="1184" t="s">
        <v>4763</v>
      </c>
    </row>
    <row r="868" spans="1:62" x14ac:dyDescent="0.3">
      <c r="A868" s="1200">
        <v>7</v>
      </c>
      <c r="B868" s="1210" t="s">
        <v>1004</v>
      </c>
      <c r="C868" s="1210"/>
      <c r="D868" s="1203" t="s">
        <v>405</v>
      </c>
      <c r="E868" s="1203"/>
      <c r="F868" s="1203"/>
      <c r="G868" s="1202" t="s">
        <v>4389</v>
      </c>
      <c r="H868" s="1204" t="s">
        <v>4387</v>
      </c>
      <c r="I868" s="4"/>
      <c r="J868" s="649" t="s">
        <v>405</v>
      </c>
      <c r="K868" s="823"/>
      <c r="L868" s="1356" t="s">
        <v>1012</v>
      </c>
      <c r="M868" s="799"/>
      <c r="N868" s="850"/>
      <c r="O868" s="802"/>
      <c r="P868" s="1081"/>
      <c r="Q868" s="1081"/>
      <c r="R868" s="790"/>
      <c r="S868" s="790"/>
      <c r="T868" s="790"/>
      <c r="U868" s="790"/>
      <c r="V868" s="790"/>
      <c r="W868" s="790"/>
      <c r="X868" s="1303"/>
      <c r="Y868" s="1522" t="str">
        <f>IF(LEN('Ch7'!X105)=0,"None",'Ch7'!X105)</f>
        <v>None</v>
      </c>
      <c r="Z868" s="1586"/>
      <c r="AB868" s="790"/>
      <c r="AC868" s="790"/>
      <c r="AD868" s="790"/>
      <c r="AE868" s="790"/>
      <c r="AF868" s="790"/>
      <c r="AG868" s="790"/>
      <c r="AH868" s="790"/>
      <c r="AI868" s="790"/>
      <c r="AJ868" s="790"/>
      <c r="AK868" s="790"/>
      <c r="AL868" s="790"/>
      <c r="AM868" s="790"/>
      <c r="AN868" s="790"/>
      <c r="AO868" s="790"/>
      <c r="AP868" s="790"/>
      <c r="AQ868" s="790"/>
      <c r="AR868" s="311" t="str">
        <f>SUBSTITUTE(SUBSTITUTE(SUBSTITUTE("vnt"&amp;$B868&amp;$C868&amp;$D868&amp;$E868&amp;$F868,".","_"),"(","_"),")","")</f>
        <v>vnt701_4_3_2_1_7</v>
      </c>
      <c r="AS868" s="311">
        <f>X868</f>
        <v>0</v>
      </c>
      <c r="AT868" s="790"/>
      <c r="AU868" s="790"/>
      <c r="AV868" s="790"/>
      <c r="AW868" s="790"/>
      <c r="AX868" s="790"/>
      <c r="AY868" s="790"/>
      <c r="AZ868" s="790"/>
      <c r="BA868" s="790"/>
      <c r="BB868" s="790"/>
      <c r="BC868" s="790"/>
      <c r="BD868" s="790"/>
      <c r="BE868" s="790"/>
      <c r="BF868" s="790"/>
      <c r="BG868" s="790"/>
      <c r="BH868" s="790"/>
      <c r="BI868" s="790"/>
      <c r="BJ868" s="1184" t="s">
        <v>4763</v>
      </c>
    </row>
    <row r="869" spans="1:62" x14ac:dyDescent="0.3">
      <c r="A869" s="1200">
        <v>7</v>
      </c>
      <c r="B869" s="1210" t="s">
        <v>1004</v>
      </c>
      <c r="C869" s="1210"/>
      <c r="D869" s="1203" t="s">
        <v>405</v>
      </c>
      <c r="E869" s="1203"/>
      <c r="F869" s="1203"/>
      <c r="G869" s="1202" t="s">
        <v>4389</v>
      </c>
      <c r="H869" s="1204" t="s">
        <v>4387</v>
      </c>
      <c r="I869" s="4"/>
      <c r="J869" s="626"/>
      <c r="K869" s="813"/>
      <c r="L869" s="1306"/>
      <c r="M869" s="799"/>
      <c r="N869" s="850"/>
      <c r="O869" s="802"/>
      <c r="P869" s="1081"/>
      <c r="Q869" s="1081"/>
      <c r="R869" s="790"/>
      <c r="S869" s="790"/>
      <c r="T869" s="790"/>
      <c r="U869" s="790"/>
      <c r="V869" s="790"/>
      <c r="W869" s="790"/>
      <c r="X869" s="1303"/>
      <c r="Y869" s="1522"/>
      <c r="Z869" s="1586"/>
      <c r="AB869" s="790"/>
      <c r="AC869" s="790"/>
      <c r="AD869" s="790"/>
      <c r="AE869" s="790"/>
      <c r="AF869" s="790"/>
      <c r="AG869" s="790"/>
      <c r="AH869" s="790"/>
      <c r="AI869" s="790"/>
      <c r="AJ869" s="790"/>
      <c r="AK869" s="790"/>
      <c r="AL869" s="790"/>
      <c r="AM869" s="790"/>
      <c r="AN869" s="790"/>
      <c r="AO869" s="790"/>
      <c r="AP869" s="790"/>
      <c r="AQ869" s="790"/>
      <c r="AR869" s="790"/>
      <c r="AS869" s="790"/>
      <c r="AT869" s="790"/>
      <c r="AU869" s="790"/>
      <c r="AV869" s="790"/>
      <c r="AW869" s="790"/>
      <c r="AX869" s="790"/>
      <c r="AY869" s="790"/>
      <c r="AZ869" s="790"/>
      <c r="BA869" s="790"/>
      <c r="BB869" s="790"/>
      <c r="BC869" s="790"/>
      <c r="BD869" s="790"/>
      <c r="BE869" s="790"/>
      <c r="BF869" s="790"/>
      <c r="BG869" s="790"/>
      <c r="BH869" s="790"/>
      <c r="BI869" s="790"/>
      <c r="BJ869" s="1184" t="s">
        <v>4763</v>
      </c>
    </row>
    <row r="870" spans="1:62" ht="15" customHeight="1" x14ac:dyDescent="0.3">
      <c r="A870" s="1200">
        <v>7</v>
      </c>
      <c r="B870" s="1210" t="s">
        <v>1004</v>
      </c>
      <c r="C870" s="1210"/>
      <c r="D870" s="1203" t="s">
        <v>456</v>
      </c>
      <c r="E870" s="1203"/>
      <c r="F870" s="1203"/>
      <c r="G870" s="1202" t="s">
        <v>4389</v>
      </c>
      <c r="H870" s="1204" t="s">
        <v>4387</v>
      </c>
      <c r="I870" s="4"/>
      <c r="J870" s="650" t="s">
        <v>456</v>
      </c>
      <c r="K870" s="365"/>
      <c r="L870" s="365" t="s">
        <v>1013</v>
      </c>
      <c r="M870" s="799"/>
      <c r="N870" s="850"/>
      <c r="O870" s="802"/>
      <c r="P870" s="1081"/>
      <c r="Q870" s="1081"/>
      <c r="R870" s="790"/>
      <c r="S870" s="790"/>
      <c r="T870" s="790"/>
      <c r="U870" s="790"/>
      <c r="V870" s="790"/>
      <c r="W870" s="790"/>
      <c r="X870" s="809"/>
      <c r="Y870" s="841" t="str">
        <f>IF(LEN('Ch7'!X107)=0,"None",'Ch7'!X107)</f>
        <v>None</v>
      </c>
      <c r="Z870" s="1169"/>
      <c r="AB870" s="790"/>
      <c r="AC870" s="790"/>
      <c r="AD870" s="790"/>
      <c r="AE870" s="790"/>
      <c r="AF870" s="790"/>
      <c r="AG870" s="790"/>
      <c r="AH870" s="790"/>
      <c r="AI870" s="790"/>
      <c r="AJ870" s="790"/>
      <c r="AK870" s="790"/>
      <c r="AL870" s="790"/>
      <c r="AM870" s="790"/>
      <c r="AN870" s="790"/>
      <c r="AO870" s="790"/>
      <c r="AP870" s="790"/>
      <c r="AQ870" s="790"/>
      <c r="AR870" s="311" t="str">
        <f t="shared" ref="AR870:AR872" si="247">SUBSTITUTE(SUBSTITUTE(SUBSTITUTE("vnt"&amp;$B870&amp;$C870&amp;$D870&amp;$E870&amp;$F870,".","_"),"(","_"),")","")</f>
        <v>vnt701_4_3_2_1_8</v>
      </c>
      <c r="AS870" s="311">
        <f>X870</f>
        <v>0</v>
      </c>
      <c r="AT870" s="790"/>
      <c r="AU870" s="790"/>
      <c r="AV870" s="790"/>
      <c r="AW870" s="790"/>
      <c r="AX870" s="790"/>
      <c r="AY870" s="790"/>
      <c r="AZ870" s="790"/>
      <c r="BA870" s="790"/>
      <c r="BB870" s="790"/>
      <c r="BC870" s="790"/>
      <c r="BD870" s="790"/>
      <c r="BE870" s="790"/>
      <c r="BF870" s="790"/>
      <c r="BG870" s="790"/>
      <c r="BH870" s="790"/>
      <c r="BI870" s="790"/>
      <c r="BJ870" s="1184" t="s">
        <v>4763</v>
      </c>
    </row>
    <row r="871" spans="1:62" x14ac:dyDescent="0.3">
      <c r="A871" s="1200">
        <v>7</v>
      </c>
      <c r="B871" s="1210" t="s">
        <v>1004</v>
      </c>
      <c r="C871" s="1210"/>
      <c r="D871" s="1203" t="s">
        <v>458</v>
      </c>
      <c r="E871" s="1203"/>
      <c r="F871" s="1203"/>
      <c r="G871" s="1202" t="s">
        <v>4389</v>
      </c>
      <c r="H871" s="1204" t="s">
        <v>4387</v>
      </c>
      <c r="I871" s="4"/>
      <c r="J871" s="650" t="s">
        <v>458</v>
      </c>
      <c r="K871" s="365"/>
      <c r="L871" s="365" t="s">
        <v>1014</v>
      </c>
      <c r="M871" s="799"/>
      <c r="N871" s="850"/>
      <c r="O871" s="802"/>
      <c r="P871" s="1081"/>
      <c r="Q871" s="1081"/>
      <c r="R871" s="790"/>
      <c r="S871" s="790"/>
      <c r="T871" s="790"/>
      <c r="U871" s="790"/>
      <c r="V871" s="790"/>
      <c r="W871" s="790"/>
      <c r="X871" s="809"/>
      <c r="Y871" s="841" t="str">
        <f>IF(LEN('Ch7'!X108)=0,"None",'Ch7'!X108)</f>
        <v>None</v>
      </c>
      <c r="Z871" s="1169"/>
      <c r="AB871" s="790"/>
      <c r="AC871" s="790"/>
      <c r="AD871" s="790"/>
      <c r="AE871" s="790"/>
      <c r="AF871" s="790"/>
      <c r="AG871" s="790"/>
      <c r="AH871" s="790"/>
      <c r="AI871" s="790"/>
      <c r="AJ871" s="790"/>
      <c r="AK871" s="790"/>
      <c r="AL871" s="790"/>
      <c r="AM871" s="790"/>
      <c r="AN871" s="790"/>
      <c r="AO871" s="790"/>
      <c r="AP871" s="790"/>
      <c r="AQ871" s="790"/>
      <c r="AR871" s="311" t="str">
        <f t="shared" si="247"/>
        <v>vnt701_4_3_2_1_9</v>
      </c>
      <c r="AS871" s="311">
        <f>X871</f>
        <v>0</v>
      </c>
      <c r="AT871" s="790"/>
      <c r="AU871" s="790"/>
      <c r="AV871" s="790"/>
      <c r="AW871" s="790"/>
      <c r="AX871" s="790"/>
      <c r="AY871" s="790"/>
      <c r="AZ871" s="790"/>
      <c r="BA871" s="790"/>
      <c r="BB871" s="790"/>
      <c r="BC871" s="790"/>
      <c r="BD871" s="790"/>
      <c r="BE871" s="790"/>
      <c r="BF871" s="790"/>
      <c r="BG871" s="790"/>
      <c r="BH871" s="790"/>
      <c r="BI871" s="790"/>
      <c r="BJ871" s="1184" t="s">
        <v>4763</v>
      </c>
    </row>
    <row r="872" spans="1:62" ht="15" customHeight="1" x14ac:dyDescent="0.3">
      <c r="A872" s="1200">
        <v>7</v>
      </c>
      <c r="B872" s="1210" t="s">
        <v>1004</v>
      </c>
      <c r="C872" s="1210"/>
      <c r="D872" s="1203" t="s">
        <v>460</v>
      </c>
      <c r="E872" s="1203"/>
      <c r="F872" s="1203"/>
      <c r="G872" s="1202" t="s">
        <v>4389</v>
      </c>
      <c r="H872" s="1204" t="s">
        <v>4387</v>
      </c>
      <c r="I872" s="4"/>
      <c r="J872" s="649" t="s">
        <v>460</v>
      </c>
      <c r="K872" s="823"/>
      <c r="L872" s="1356" t="s">
        <v>1015</v>
      </c>
      <c r="M872" s="799"/>
      <c r="N872" s="850"/>
      <c r="O872" s="802"/>
      <c r="P872" s="1081"/>
      <c r="Q872" s="1081"/>
      <c r="R872" s="790"/>
      <c r="S872" s="790"/>
      <c r="T872" s="790"/>
      <c r="U872" s="790"/>
      <c r="V872" s="790"/>
      <c r="W872" s="790"/>
      <c r="X872" s="1303"/>
      <c r="Y872" s="1522" t="str">
        <f>IF(LEN('Ch7'!X109)=0,"None",'Ch7'!X109)</f>
        <v>None</v>
      </c>
      <c r="Z872" s="1586"/>
      <c r="AB872" s="790"/>
      <c r="AC872" s="790"/>
      <c r="AD872" s="790"/>
      <c r="AE872" s="790"/>
      <c r="AF872" s="790"/>
      <c r="AG872" s="790"/>
      <c r="AH872" s="790"/>
      <c r="AI872" s="790"/>
      <c r="AJ872" s="790"/>
      <c r="AK872" s="790"/>
      <c r="AL872" s="790"/>
      <c r="AM872" s="790"/>
      <c r="AN872" s="790"/>
      <c r="AO872" s="790"/>
      <c r="AP872" s="790"/>
      <c r="AQ872" s="790"/>
      <c r="AR872" s="311" t="str">
        <f t="shared" si="247"/>
        <v>vnt701_4_3_2_1_10</v>
      </c>
      <c r="AS872" s="311">
        <f>X872</f>
        <v>0</v>
      </c>
      <c r="AT872" s="790"/>
      <c r="AU872" s="790"/>
      <c r="AV872" s="790"/>
      <c r="AW872" s="790"/>
      <c r="AX872" s="790"/>
      <c r="AY872" s="790"/>
      <c r="AZ872" s="790"/>
      <c r="BA872" s="790"/>
      <c r="BB872" s="790"/>
      <c r="BC872" s="790"/>
      <c r="BD872" s="790"/>
      <c r="BE872" s="790"/>
      <c r="BF872" s="790"/>
      <c r="BG872" s="790"/>
      <c r="BH872" s="790"/>
      <c r="BI872" s="790"/>
      <c r="BJ872" s="1184" t="s">
        <v>4763</v>
      </c>
    </row>
    <row r="873" spans="1:62" x14ac:dyDescent="0.3">
      <c r="A873" s="1200">
        <v>7</v>
      </c>
      <c r="B873" s="1210" t="s">
        <v>1004</v>
      </c>
      <c r="C873" s="1210"/>
      <c r="D873" s="1203" t="s">
        <v>460</v>
      </c>
      <c r="E873" s="1203"/>
      <c r="F873" s="1203"/>
      <c r="G873" s="1202" t="s">
        <v>4389</v>
      </c>
      <c r="H873" s="1204" t="s">
        <v>4387</v>
      </c>
      <c r="I873" s="4"/>
      <c r="J873" s="614"/>
      <c r="K873" s="812"/>
      <c r="L873" s="1305"/>
      <c r="M873" s="799"/>
      <c r="N873" s="850"/>
      <c r="O873" s="802"/>
      <c r="P873" s="1081"/>
      <c r="Q873" s="1081"/>
      <c r="R873" s="790"/>
      <c r="S873" s="790"/>
      <c r="T873" s="790"/>
      <c r="U873" s="790"/>
      <c r="V873" s="790"/>
      <c r="W873" s="790"/>
      <c r="X873" s="1303"/>
      <c r="Y873" s="1522"/>
      <c r="Z873" s="1586"/>
      <c r="AB873" s="790"/>
      <c r="AC873" s="790"/>
      <c r="AD873" s="790"/>
      <c r="AE873" s="790"/>
      <c r="AF873" s="790"/>
      <c r="AG873" s="790"/>
      <c r="AH873" s="790"/>
      <c r="AI873" s="790"/>
      <c r="AJ873" s="790"/>
      <c r="AK873" s="790"/>
      <c r="AL873" s="790"/>
      <c r="AM873" s="790"/>
      <c r="AN873" s="790"/>
      <c r="AO873" s="790"/>
      <c r="AP873" s="790"/>
      <c r="AQ873" s="790"/>
      <c r="AR873" s="790"/>
      <c r="AS873" s="790"/>
      <c r="AT873" s="790"/>
      <c r="AU873" s="790"/>
      <c r="AV873" s="790"/>
      <c r="AW873" s="790"/>
      <c r="AX873" s="790"/>
      <c r="AY873" s="790"/>
      <c r="AZ873" s="790"/>
      <c r="BA873" s="790"/>
      <c r="BB873" s="790"/>
      <c r="BC873" s="790"/>
      <c r="BD873" s="790"/>
      <c r="BE873" s="790"/>
      <c r="BF873" s="790"/>
      <c r="BG873" s="790"/>
      <c r="BH873" s="790"/>
      <c r="BI873" s="790"/>
      <c r="BJ873" s="1184" t="s">
        <v>4763</v>
      </c>
    </row>
    <row r="874" spans="1:62" x14ac:dyDescent="0.3">
      <c r="A874" s="1200">
        <v>7</v>
      </c>
      <c r="B874" s="1210" t="s">
        <v>1004</v>
      </c>
      <c r="C874" s="1210"/>
      <c r="D874" s="1203" t="s">
        <v>460</v>
      </c>
      <c r="E874" s="1203"/>
      <c r="F874" s="1203"/>
      <c r="G874" s="1202" t="s">
        <v>4389</v>
      </c>
      <c r="H874" s="1204" t="s">
        <v>4387</v>
      </c>
      <c r="I874" s="4"/>
      <c r="J874" s="626"/>
      <c r="K874" s="813"/>
      <c r="L874" s="1306"/>
      <c r="M874" s="799"/>
      <c r="N874" s="850"/>
      <c r="O874" s="802"/>
      <c r="P874" s="1081"/>
      <c r="Q874" s="1081"/>
      <c r="R874" s="790"/>
      <c r="S874" s="790"/>
      <c r="T874" s="790"/>
      <c r="U874" s="790"/>
      <c r="V874" s="790"/>
      <c r="W874" s="790"/>
      <c r="X874" s="1303"/>
      <c r="Y874" s="1522"/>
      <c r="Z874" s="1586"/>
      <c r="AB874" s="790"/>
      <c r="AC874" s="790"/>
      <c r="AD874" s="790"/>
      <c r="AE874" s="790"/>
      <c r="AF874" s="790"/>
      <c r="AG874" s="790"/>
      <c r="AH874" s="790"/>
      <c r="AI874" s="790"/>
      <c r="AJ874" s="790"/>
      <c r="AK874" s="790"/>
      <c r="AL874" s="790"/>
      <c r="AM874" s="790"/>
      <c r="AN874" s="790"/>
      <c r="AO874" s="790"/>
      <c r="AP874" s="790"/>
      <c r="AQ874" s="790"/>
      <c r="AR874" s="790"/>
      <c r="AS874" s="790"/>
      <c r="AT874" s="790"/>
      <c r="AU874" s="790"/>
      <c r="AV874" s="790"/>
      <c r="AW874" s="790"/>
      <c r="AX874" s="790"/>
      <c r="AY874" s="790"/>
      <c r="AZ874" s="790"/>
      <c r="BA874" s="790"/>
      <c r="BB874" s="790"/>
      <c r="BC874" s="790"/>
      <c r="BD874" s="790"/>
      <c r="BE874" s="790"/>
      <c r="BF874" s="790"/>
      <c r="BG874" s="790"/>
      <c r="BH874" s="790"/>
      <c r="BI874" s="790"/>
      <c r="BJ874" s="1184" t="s">
        <v>4763</v>
      </c>
    </row>
    <row r="875" spans="1:62" ht="15" customHeight="1" x14ac:dyDescent="0.3">
      <c r="A875" s="1200">
        <v>7</v>
      </c>
      <c r="B875" s="1210" t="s">
        <v>1004</v>
      </c>
      <c r="C875" s="1210"/>
      <c r="D875" s="1203" t="s">
        <v>462</v>
      </c>
      <c r="E875" s="1203"/>
      <c r="F875" s="1203"/>
      <c r="G875" s="1202" t="s">
        <v>4389</v>
      </c>
      <c r="H875" s="1204" t="s">
        <v>4387</v>
      </c>
      <c r="I875" s="140"/>
      <c r="J875" s="614" t="s">
        <v>462</v>
      </c>
      <c r="K875" s="812"/>
      <c r="L875" s="1305" t="s">
        <v>1016</v>
      </c>
      <c r="M875" s="795"/>
      <c r="N875" s="854"/>
      <c r="O875" s="803"/>
      <c r="P875" s="97"/>
      <c r="Q875" s="97"/>
      <c r="R875" s="97"/>
      <c r="S875" s="97"/>
      <c r="T875" s="97"/>
      <c r="U875" s="97"/>
      <c r="V875" s="97"/>
      <c r="W875" s="97"/>
      <c r="X875" s="1295"/>
      <c r="Y875" s="1522" t="str">
        <f>IF(LEN('Ch7'!X112)=0,"None",'Ch7'!X112)</f>
        <v>None</v>
      </c>
      <c r="Z875" s="1586"/>
      <c r="AB875" s="790"/>
      <c r="AC875" s="790"/>
      <c r="AD875" s="790"/>
      <c r="AE875" s="790"/>
      <c r="AF875" s="790"/>
      <c r="AG875" s="790"/>
      <c r="AH875" s="790"/>
      <c r="AI875" s="790"/>
      <c r="AJ875" s="790"/>
      <c r="AK875" s="790"/>
      <c r="AL875" s="790"/>
      <c r="AM875" s="790"/>
      <c r="AN875" s="790"/>
      <c r="AO875" s="790"/>
      <c r="AP875" s="790"/>
      <c r="AQ875" s="790"/>
      <c r="AR875" s="311" t="str">
        <f>SUBSTITUTE(SUBSTITUTE(SUBSTITUTE("vnt"&amp;$B875&amp;$C875&amp;$D875&amp;$E875&amp;$F875,".","_"),"(","_"),")","")</f>
        <v>vnt701_4_3_2_1_11</v>
      </c>
      <c r="AS875" s="311">
        <f>X875</f>
        <v>0</v>
      </c>
      <c r="AT875" s="790"/>
      <c r="AU875" s="790"/>
      <c r="AV875" s="790"/>
      <c r="AW875" s="790"/>
      <c r="AX875" s="790"/>
      <c r="AY875" s="790"/>
      <c r="AZ875" s="790"/>
      <c r="BA875" s="790"/>
      <c r="BB875" s="790"/>
      <c r="BC875" s="790"/>
      <c r="BD875" s="790"/>
      <c r="BE875" s="790"/>
      <c r="BF875" s="790"/>
      <c r="BG875" s="790"/>
      <c r="BH875" s="790"/>
      <c r="BI875" s="790"/>
      <c r="BJ875" s="1184" t="s">
        <v>4763</v>
      </c>
    </row>
    <row r="876" spans="1:62" x14ac:dyDescent="0.3">
      <c r="A876" s="1200">
        <v>7</v>
      </c>
      <c r="B876" s="1210" t="s">
        <v>1004</v>
      </c>
      <c r="C876" s="1210"/>
      <c r="D876" s="1203" t="s">
        <v>462</v>
      </c>
      <c r="E876" s="1203"/>
      <c r="F876" s="1203"/>
      <c r="G876" s="1202" t="s">
        <v>4389</v>
      </c>
      <c r="H876" s="1204" t="s">
        <v>4387</v>
      </c>
      <c r="I876" s="140"/>
      <c r="J876" s="614"/>
      <c r="K876" s="812"/>
      <c r="L876" s="1305"/>
      <c r="M876" s="795"/>
      <c r="N876" s="854"/>
      <c r="O876" s="803"/>
      <c r="P876" s="97"/>
      <c r="Q876" s="97"/>
      <c r="R876" s="97"/>
      <c r="S876" s="97"/>
      <c r="T876" s="97"/>
      <c r="U876" s="97"/>
      <c r="V876" s="97"/>
      <c r="W876" s="97"/>
      <c r="X876" s="1295"/>
      <c r="Y876" s="1522"/>
      <c r="Z876" s="1586"/>
      <c r="AB876" s="790"/>
      <c r="AC876" s="790"/>
      <c r="AD876" s="790"/>
      <c r="AE876" s="790"/>
      <c r="AF876" s="790"/>
      <c r="AG876" s="790"/>
      <c r="AH876" s="790"/>
      <c r="AI876" s="790"/>
      <c r="AJ876" s="790"/>
      <c r="AK876" s="790"/>
      <c r="AL876" s="790"/>
      <c r="AM876" s="790"/>
      <c r="AN876" s="790"/>
      <c r="AO876" s="790"/>
      <c r="AP876" s="790"/>
      <c r="AQ876" s="790"/>
      <c r="AR876" s="790"/>
      <c r="AS876" s="790"/>
      <c r="AT876" s="790"/>
      <c r="AU876" s="790"/>
      <c r="AV876" s="790"/>
      <c r="AW876" s="790"/>
      <c r="AX876" s="790"/>
      <c r="AY876" s="790"/>
      <c r="AZ876" s="790"/>
      <c r="BA876" s="790"/>
      <c r="BB876" s="790"/>
      <c r="BC876" s="790"/>
      <c r="BD876" s="790"/>
      <c r="BE876" s="790"/>
      <c r="BF876" s="790"/>
      <c r="BG876" s="790"/>
      <c r="BH876" s="790"/>
      <c r="BI876" s="790"/>
      <c r="BJ876" s="1184" t="s">
        <v>4763</v>
      </c>
    </row>
    <row r="877" spans="1:62" x14ac:dyDescent="0.3">
      <c r="A877" s="1200">
        <v>7</v>
      </c>
      <c r="B877" s="1210" t="s">
        <v>1004</v>
      </c>
      <c r="C877" s="1210"/>
      <c r="D877" s="1203" t="s">
        <v>462</v>
      </c>
      <c r="E877" s="1203"/>
      <c r="F877" s="1203"/>
      <c r="G877" s="1202" t="s">
        <v>4389</v>
      </c>
      <c r="H877" s="1204" t="s">
        <v>4387</v>
      </c>
      <c r="I877" s="238"/>
      <c r="J877" s="626"/>
      <c r="K877" s="813"/>
      <c r="L877" s="1306"/>
      <c r="M877" s="796"/>
      <c r="N877" s="855"/>
      <c r="O877" s="804"/>
      <c r="P877" s="196"/>
      <c r="Q877" s="196"/>
      <c r="R877" s="196"/>
      <c r="S877" s="196"/>
      <c r="T877" s="196"/>
      <c r="U877" s="196"/>
      <c r="V877" s="196"/>
      <c r="W877" s="196"/>
      <c r="X877" s="1295"/>
      <c r="Y877" s="1522"/>
      <c r="Z877" s="1586"/>
      <c r="AB877" s="790"/>
      <c r="AC877" s="790"/>
      <c r="AD877" s="790"/>
      <c r="AE877" s="790"/>
      <c r="AF877" s="790"/>
      <c r="AG877" s="790"/>
      <c r="AH877" s="790"/>
      <c r="AI877" s="790"/>
      <c r="AJ877" s="790"/>
      <c r="AK877" s="790"/>
      <c r="AL877" s="790"/>
      <c r="AM877" s="790"/>
      <c r="AN877" s="790"/>
      <c r="AO877" s="790"/>
      <c r="AP877" s="790"/>
      <c r="AQ877" s="790"/>
      <c r="AR877" s="790"/>
      <c r="AS877" s="790"/>
      <c r="AT877" s="790"/>
      <c r="AU877" s="790"/>
      <c r="AV877" s="790"/>
      <c r="AW877" s="790"/>
      <c r="AX877" s="790"/>
      <c r="AY877" s="790"/>
      <c r="AZ877" s="790"/>
      <c r="BA877" s="790"/>
      <c r="BB877" s="790"/>
      <c r="BC877" s="790"/>
      <c r="BD877" s="790"/>
      <c r="BE877" s="790"/>
      <c r="BF877" s="790"/>
      <c r="BG877" s="790"/>
      <c r="BH877" s="790"/>
      <c r="BI877" s="790"/>
      <c r="BJ877" s="1184" t="s">
        <v>4763</v>
      </c>
    </row>
    <row r="878" spans="1:62" x14ac:dyDescent="0.3">
      <c r="A878" s="1200">
        <v>7</v>
      </c>
      <c r="B878" s="1210" t="s">
        <v>1017</v>
      </c>
      <c r="C878" s="1210"/>
      <c r="D878" s="1203"/>
      <c r="E878" s="1203"/>
      <c r="F878" s="1203"/>
      <c r="G878" s="1202" t="s">
        <v>4389</v>
      </c>
      <c r="H878" s="1200" t="s">
        <v>4387</v>
      </c>
      <c r="I878" s="215" t="s">
        <v>1018</v>
      </c>
      <c r="J878" s="823"/>
      <c r="K878" s="823"/>
      <c r="L878" s="1364" t="s">
        <v>1019</v>
      </c>
      <c r="M878" s="811"/>
      <c r="N878" s="864"/>
      <c r="O878" s="810"/>
      <c r="P878" s="218"/>
      <c r="Q878" s="218"/>
      <c r="R878" s="218"/>
      <c r="S878" s="218"/>
      <c r="T878" s="218"/>
      <c r="U878" s="218"/>
      <c r="V878" s="218"/>
      <c r="W878" s="218" t="s">
        <v>3758</v>
      </c>
      <c r="X878" s="1295"/>
      <c r="Y878" s="1522" t="str">
        <f>IF(LEN('Ch7'!X115)=0,"None",'Ch7'!X115)</f>
        <v>None</v>
      </c>
      <c r="Z878" s="1586"/>
      <c r="AB878" s="790"/>
      <c r="AC878" s="790"/>
      <c r="AD878" s="790"/>
      <c r="AE878" s="790"/>
      <c r="AF878" s="790"/>
      <c r="AG878" s="790"/>
      <c r="AH878" s="790"/>
      <c r="AI878" s="790"/>
      <c r="AJ878" s="790"/>
      <c r="AK878" s="790"/>
      <c r="AL878" s="790"/>
      <c r="AM878" s="790"/>
      <c r="AN878" s="790"/>
      <c r="AO878" s="790"/>
      <c r="AP878" s="790"/>
      <c r="AQ878" s="790"/>
      <c r="AR878" s="311" t="str">
        <f>SUBSTITUTE(SUBSTITUTE(SUBSTITUTE("vnt"&amp;$B878&amp;$C878&amp;$D878&amp;$E878&amp;$F878,".","_"),"(","_"),")","")</f>
        <v>vnt701_4_3_3_3</v>
      </c>
      <c r="AS878" s="311">
        <f>X878</f>
        <v>0</v>
      </c>
      <c r="AT878" s="790"/>
      <c r="AU878" s="790"/>
      <c r="AV878" s="790"/>
      <c r="AW878" s="790"/>
      <c r="AX878" s="790"/>
      <c r="AY878" s="790"/>
      <c r="AZ878" s="790"/>
      <c r="BA878" s="790"/>
      <c r="BB878" s="790"/>
      <c r="BC878" s="790"/>
      <c r="BD878" s="790"/>
      <c r="BE878" s="790"/>
      <c r="BF878" s="790"/>
      <c r="BG878" s="790"/>
      <c r="BH878" s="790"/>
      <c r="BI878" s="790"/>
      <c r="BJ878" s="1184" t="s">
        <v>4763</v>
      </c>
    </row>
    <row r="879" spans="1:62" x14ac:dyDescent="0.3">
      <c r="A879" s="1200">
        <v>7</v>
      </c>
      <c r="B879" s="1210" t="s">
        <v>1017</v>
      </c>
      <c r="C879" s="1210"/>
      <c r="D879" s="1203"/>
      <c r="E879" s="1203"/>
      <c r="F879" s="1203"/>
      <c r="G879" s="1202" t="s">
        <v>4389</v>
      </c>
      <c r="H879" s="1200" t="s">
        <v>4387</v>
      </c>
      <c r="I879" s="141"/>
      <c r="J879" s="812"/>
      <c r="K879" s="812"/>
      <c r="L879" s="1313"/>
      <c r="M879" s="795"/>
      <c r="N879" s="854"/>
      <c r="O879" s="803"/>
      <c r="P879" s="97"/>
      <c r="Q879" s="97"/>
      <c r="R879" s="97"/>
      <c r="S879" s="97"/>
      <c r="T879" s="97"/>
      <c r="U879" s="97"/>
      <c r="V879" s="97"/>
      <c r="W879" s="97"/>
      <c r="X879" s="1295"/>
      <c r="Y879" s="1522"/>
      <c r="Z879" s="1586"/>
      <c r="AB879" s="790"/>
      <c r="AC879" s="790"/>
      <c r="AD879" s="790"/>
      <c r="AE879" s="790"/>
      <c r="AF879" s="790"/>
      <c r="AG879" s="790"/>
      <c r="AH879" s="790"/>
      <c r="AI879" s="790"/>
      <c r="AJ879" s="790"/>
      <c r="AK879" s="790"/>
      <c r="AL879" s="790"/>
      <c r="AM879" s="790"/>
      <c r="AN879" s="790"/>
      <c r="AO879" s="790"/>
      <c r="AP879" s="790"/>
      <c r="AQ879" s="790"/>
      <c r="AR879" s="790"/>
      <c r="AS879" s="790"/>
      <c r="AT879" s="790"/>
      <c r="AU879" s="790"/>
      <c r="AV879" s="790"/>
      <c r="AW879" s="790"/>
      <c r="AX879" s="790"/>
      <c r="AY879" s="790"/>
      <c r="AZ879" s="790"/>
      <c r="BA879" s="790"/>
      <c r="BB879" s="790"/>
      <c r="BC879" s="790"/>
      <c r="BD879" s="790"/>
      <c r="BE879" s="790"/>
      <c r="BF879" s="790"/>
      <c r="BG879" s="790"/>
      <c r="BH879" s="790"/>
      <c r="BI879" s="790"/>
      <c r="BJ879" s="1184" t="s">
        <v>4763</v>
      </c>
    </row>
    <row r="880" spans="1:62" x14ac:dyDescent="0.3">
      <c r="A880" s="1200">
        <v>7</v>
      </c>
      <c r="B880" s="1210" t="s">
        <v>1017</v>
      </c>
      <c r="C880" s="1210"/>
      <c r="D880" s="1203"/>
      <c r="E880" s="1203"/>
      <c r="F880" s="1203"/>
      <c r="G880" s="1202" t="s">
        <v>4389</v>
      </c>
      <c r="H880" s="1200" t="s">
        <v>4387</v>
      </c>
      <c r="I880" s="244"/>
      <c r="J880" s="813"/>
      <c r="K880" s="813"/>
      <c r="L880" s="1350"/>
      <c r="M880" s="796"/>
      <c r="N880" s="855"/>
      <c r="O880" s="804"/>
      <c r="P880" s="196"/>
      <c r="Q880" s="196"/>
      <c r="R880" s="196"/>
      <c r="S880" s="196"/>
      <c r="T880" s="196"/>
      <c r="U880" s="196"/>
      <c r="V880" s="196"/>
      <c r="W880" s="196"/>
      <c r="X880" s="1295"/>
      <c r="Y880" s="1522"/>
      <c r="Z880" s="1586"/>
      <c r="AB880" s="790"/>
      <c r="AC880" s="790"/>
      <c r="AD880" s="790"/>
      <c r="AE880" s="790"/>
      <c r="AF880" s="790"/>
      <c r="AG880" s="790"/>
      <c r="AH880" s="790"/>
      <c r="AI880" s="790"/>
      <c r="AJ880" s="790"/>
      <c r="AK880" s="790"/>
      <c r="AL880" s="790"/>
      <c r="AM880" s="790"/>
      <c r="AN880" s="790"/>
      <c r="AO880" s="790"/>
      <c r="AP880" s="790"/>
      <c r="AQ880" s="790"/>
      <c r="AR880" s="790"/>
      <c r="AS880" s="790"/>
      <c r="AT880" s="790"/>
      <c r="AU880" s="790"/>
      <c r="AV880" s="790"/>
      <c r="AW880" s="790"/>
      <c r="AX880" s="790"/>
      <c r="AY880" s="790"/>
      <c r="AZ880" s="790"/>
      <c r="BA880" s="790"/>
      <c r="BB880" s="790"/>
      <c r="BC880" s="790"/>
      <c r="BD880" s="790"/>
      <c r="BE880" s="790"/>
      <c r="BF880" s="790"/>
      <c r="BG880" s="790"/>
      <c r="BH880" s="790"/>
      <c r="BI880" s="790"/>
      <c r="BJ880" s="1184" t="s">
        <v>4763</v>
      </c>
    </row>
    <row r="881" spans="1:62" x14ac:dyDescent="0.3">
      <c r="A881" s="1200">
        <v>7</v>
      </c>
      <c r="B881" s="1210" t="s">
        <v>1020</v>
      </c>
      <c r="C881" s="1210"/>
      <c r="D881" s="1203"/>
      <c r="E881" s="1203"/>
      <c r="F881" s="1203"/>
      <c r="G881" s="1202" t="s">
        <v>4389</v>
      </c>
      <c r="H881" s="1200" t="s">
        <v>4387</v>
      </c>
      <c r="I881" s="215" t="s">
        <v>1021</v>
      </c>
      <c r="J881" s="823"/>
      <c r="K881" s="823"/>
      <c r="L881" s="1364" t="s">
        <v>1022</v>
      </c>
      <c r="M881" s="1388" t="str">
        <f ca="1">IF(R881,"Mandatory","N/A")</f>
        <v>Mandatory</v>
      </c>
      <c r="N881" s="864"/>
      <c r="O881" s="810"/>
      <c r="P881" s="97" t="b">
        <v>1</v>
      </c>
      <c r="Q881" s="97" t="b">
        <v>1</v>
      </c>
      <c r="R881" s="218" t="b">
        <f ca="1">S881</f>
        <v>1</v>
      </c>
      <c r="S881" s="218" t="b">
        <f ca="1">NOT(S776=4)</f>
        <v>1</v>
      </c>
      <c r="T881" s="218" t="b">
        <f ca="1">AND(NOT(S881),W881=TRUE)</f>
        <v>0</v>
      </c>
      <c r="U881" s="218"/>
      <c r="V881" s="218"/>
      <c r="W881" s="25"/>
      <c r="X881" s="1295"/>
      <c r="Y881" s="1522" t="str">
        <f>IF(LEN('Ch7'!X118)=0,"None",'Ch7'!X118)</f>
        <v>None</v>
      </c>
      <c r="Z881" s="1586"/>
      <c r="AB881" s="790"/>
      <c r="AC881" s="790" t="b">
        <f ca="1">OR(AD881:AE881)</f>
        <v>1</v>
      </c>
      <c r="AD881" s="790" t="b">
        <f ca="1">T881</f>
        <v>0</v>
      </c>
      <c r="AE881" s="790" t="b">
        <f ca="1">AND(R881,NOT(W881))</f>
        <v>1</v>
      </c>
      <c r="AF881" s="1182" t="b">
        <f ca="1">AND(AE881,NOT(Q881))</f>
        <v>0</v>
      </c>
      <c r="AG881" s="790"/>
      <c r="AH881" s="790"/>
      <c r="AI881" s="790"/>
      <c r="AJ881" s="790"/>
      <c r="AK881" s="790"/>
      <c r="AL881" s="311" t="str">
        <f t="shared" ref="AL881" si="248">SUBSTITUTE(SUBSTITUTE(SUBSTITUTE("vpa"&amp;$B881&amp;$C881&amp;$D881&amp;$E881&amp;$F881,".","_"),"(","_"),")","")</f>
        <v>vpa701_4_3_3_4</v>
      </c>
      <c r="AM881" s="311" t="str">
        <f ca="1">M881</f>
        <v>Mandatory</v>
      </c>
      <c r="AN881" s="790"/>
      <c r="AO881" s="790"/>
      <c r="AP881" s="311" t="str">
        <f>SUBSTITUTE(SUBSTITUTE(SUBSTITUTE("vch"&amp;$B881&amp;$C881&amp;$D881&amp;$E881&amp;$F881,".","_"),"(","_"),")","")</f>
        <v>vch701_4_3_3_4</v>
      </c>
      <c r="AQ881" s="311">
        <f>W881</f>
        <v>0</v>
      </c>
      <c r="AR881" s="311" t="str">
        <f>SUBSTITUTE(SUBSTITUTE(SUBSTITUTE("vnt"&amp;$B881&amp;$C881&amp;$D881&amp;$E881&amp;$F881,".","_"),"(","_"),")","")</f>
        <v>vnt701_4_3_3_4</v>
      </c>
      <c r="AS881" s="311">
        <f>X881</f>
        <v>0</v>
      </c>
      <c r="AT881" s="790"/>
      <c r="AU881" s="790"/>
      <c r="AV881" s="790"/>
      <c r="AW881" s="790"/>
      <c r="AX881" s="790"/>
      <c r="AY881" s="790"/>
      <c r="AZ881" s="790"/>
      <c r="BA881" s="790"/>
      <c r="BB881" s="790"/>
      <c r="BC881" s="790"/>
      <c r="BD881" s="790"/>
      <c r="BE881" s="790"/>
      <c r="BF881" s="790"/>
      <c r="BG881" s="790"/>
      <c r="BH881" s="790"/>
      <c r="BI881" s="790"/>
      <c r="BJ881" s="1184" t="s">
        <v>4763</v>
      </c>
    </row>
    <row r="882" spans="1:62" x14ac:dyDescent="0.3">
      <c r="A882" s="1200">
        <v>7</v>
      </c>
      <c r="B882" s="1210" t="s">
        <v>1020</v>
      </c>
      <c r="C882" s="1210"/>
      <c r="D882" s="1203"/>
      <c r="E882" s="1203"/>
      <c r="F882" s="1203"/>
      <c r="G882" s="1202" t="s">
        <v>4389</v>
      </c>
      <c r="H882" s="1200" t="s">
        <v>4387</v>
      </c>
      <c r="I882" s="140"/>
      <c r="J882" s="812"/>
      <c r="K882" s="812"/>
      <c r="L882" s="1313"/>
      <c r="M882" s="1351"/>
      <c r="N882" s="854"/>
      <c r="O882" s="803"/>
      <c r="P882" s="97"/>
      <c r="Q882" s="97"/>
      <c r="R882" s="97"/>
      <c r="S882" s="97"/>
      <c r="T882" s="97"/>
      <c r="U882" s="97"/>
      <c r="V882" s="97"/>
      <c r="W882" s="97"/>
      <c r="X882" s="1295"/>
      <c r="Y882" s="1522"/>
      <c r="Z882" s="1586"/>
      <c r="AB882" s="790"/>
      <c r="AC882" s="790"/>
      <c r="AD882" s="790"/>
      <c r="AE882" s="790"/>
      <c r="AF882" s="790"/>
      <c r="AG882" s="790"/>
      <c r="AH882" s="790"/>
      <c r="AI882" s="790"/>
      <c r="AJ882" s="790"/>
      <c r="AK882" s="790"/>
      <c r="AL882" s="790"/>
      <c r="AM882" s="790"/>
      <c r="AN882" s="790"/>
      <c r="AO882" s="790"/>
      <c r="AP882" s="790"/>
      <c r="AQ882" s="790"/>
      <c r="AR882" s="790"/>
      <c r="AS882" s="790"/>
      <c r="AT882" s="790"/>
      <c r="AU882" s="790"/>
      <c r="AV882" s="790"/>
      <c r="AW882" s="790"/>
      <c r="AX882" s="790"/>
      <c r="AY882" s="790"/>
      <c r="AZ882" s="790"/>
      <c r="BA882" s="790"/>
      <c r="BB882" s="790"/>
      <c r="BC882" s="790"/>
      <c r="BD882" s="790"/>
      <c r="BE882" s="790"/>
      <c r="BF882" s="790"/>
      <c r="BG882" s="790"/>
      <c r="BH882" s="790"/>
      <c r="BI882" s="790"/>
      <c r="BJ882" s="1184" t="s">
        <v>4763</v>
      </c>
    </row>
    <row r="883" spans="1:62" x14ac:dyDescent="0.3">
      <c r="A883" s="1200">
        <v>7</v>
      </c>
      <c r="B883" s="1210" t="s">
        <v>1020</v>
      </c>
      <c r="C883" s="1210"/>
      <c r="D883" s="1203"/>
      <c r="E883" s="1203"/>
      <c r="F883" s="1203"/>
      <c r="G883" s="1202" t="s">
        <v>4389</v>
      </c>
      <c r="H883" s="1200" t="s">
        <v>4387</v>
      </c>
      <c r="I883" s="140"/>
      <c r="J883" s="812"/>
      <c r="K883" s="812"/>
      <c r="L883" s="1313"/>
      <c r="M883" s="1351"/>
      <c r="N883" s="854"/>
      <c r="O883" s="803"/>
      <c r="P883" s="97"/>
      <c r="Q883" s="97"/>
      <c r="R883" s="97"/>
      <c r="S883" s="97"/>
      <c r="T883" s="97"/>
      <c r="U883" s="97"/>
      <c r="V883" s="97"/>
      <c r="W883" s="97"/>
      <c r="X883" s="1295"/>
      <c r="Y883" s="1522"/>
      <c r="Z883" s="1586"/>
      <c r="AB883" s="790"/>
      <c r="AC883" s="790"/>
      <c r="AD883" s="790"/>
      <c r="AE883" s="790"/>
      <c r="AF883" s="790"/>
      <c r="AG883" s="790"/>
      <c r="AH883" s="790"/>
      <c r="AI883" s="790"/>
      <c r="AJ883" s="790"/>
      <c r="AK883" s="790"/>
      <c r="AL883" s="790"/>
      <c r="AM883" s="790"/>
      <c r="AN883" s="790"/>
      <c r="AO883" s="790"/>
      <c r="AP883" s="790"/>
      <c r="AQ883" s="790"/>
      <c r="AR883" s="790"/>
      <c r="AS883" s="790"/>
      <c r="AT883" s="790"/>
      <c r="AU883" s="790"/>
      <c r="AV883" s="790"/>
      <c r="AW883" s="790"/>
      <c r="AX883" s="790"/>
      <c r="AY883" s="790"/>
      <c r="AZ883" s="790"/>
      <c r="BA883" s="790"/>
      <c r="BB883" s="790"/>
      <c r="BC883" s="790"/>
      <c r="BD883" s="790"/>
      <c r="BE883" s="790"/>
      <c r="BF883" s="790"/>
      <c r="BG883" s="790"/>
      <c r="BH883" s="790"/>
      <c r="BI883" s="790"/>
      <c r="BJ883" s="1184" t="s">
        <v>4763</v>
      </c>
    </row>
    <row r="884" spans="1:62" x14ac:dyDescent="0.3">
      <c r="A884" s="1200">
        <v>7</v>
      </c>
      <c r="B884" s="1210" t="s">
        <v>1020</v>
      </c>
      <c r="C884" s="1210"/>
      <c r="D884" s="1203"/>
      <c r="E884" s="1203"/>
      <c r="F884" s="1203"/>
      <c r="G884" s="1202" t="s">
        <v>4389</v>
      </c>
      <c r="H884" s="1200" t="s">
        <v>4387</v>
      </c>
      <c r="I884" s="140"/>
      <c r="J884" s="812"/>
      <c r="K884" s="812"/>
      <c r="L884" s="1313"/>
      <c r="M884" s="1351"/>
      <c r="N884" s="854"/>
      <c r="O884" s="803"/>
      <c r="P884" s="97"/>
      <c r="Q884" s="97"/>
      <c r="R884" s="97"/>
      <c r="S884" s="97"/>
      <c r="T884" s="97"/>
      <c r="U884" s="97"/>
      <c r="V884" s="97"/>
      <c r="W884" s="97"/>
      <c r="X884" s="1295"/>
      <c r="Y884" s="1522"/>
      <c r="Z884" s="1586"/>
      <c r="AB884" s="790"/>
      <c r="AC884" s="790"/>
      <c r="AD884" s="790"/>
      <c r="AE884" s="790"/>
      <c r="AF884" s="790"/>
      <c r="AG884" s="790"/>
      <c r="AH884" s="790"/>
      <c r="AI884" s="790"/>
      <c r="AJ884" s="790"/>
      <c r="AK884" s="790"/>
      <c r="AL884" s="790"/>
      <c r="AM884" s="790"/>
      <c r="AN884" s="790"/>
      <c r="AO884" s="790"/>
      <c r="AP884" s="790"/>
      <c r="AQ884" s="790"/>
      <c r="AR884" s="790"/>
      <c r="AS884" s="790"/>
      <c r="AT884" s="790"/>
      <c r="AU884" s="790"/>
      <c r="AV884" s="790"/>
      <c r="AW884" s="790"/>
      <c r="AX884" s="790"/>
      <c r="AY884" s="790"/>
      <c r="AZ884" s="790"/>
      <c r="BA884" s="790"/>
      <c r="BB884" s="790"/>
      <c r="BC884" s="790"/>
      <c r="BD884" s="790"/>
      <c r="BE884" s="790"/>
      <c r="BF884" s="790"/>
      <c r="BG884" s="790"/>
      <c r="BH884" s="790"/>
      <c r="BI884" s="790"/>
      <c r="BJ884" s="1184" t="s">
        <v>4763</v>
      </c>
    </row>
    <row r="885" spans="1:62" x14ac:dyDescent="0.3">
      <c r="A885" s="1200">
        <v>7</v>
      </c>
      <c r="B885" s="1210" t="s">
        <v>1020</v>
      </c>
      <c r="C885" s="1210"/>
      <c r="D885" s="1203"/>
      <c r="E885" s="1203"/>
      <c r="F885" s="1203"/>
      <c r="G885" s="1202" t="s">
        <v>4389</v>
      </c>
      <c r="H885" s="1200" t="s">
        <v>4387</v>
      </c>
      <c r="I885" s="140"/>
      <c r="J885" s="812"/>
      <c r="K885" s="812"/>
      <c r="L885" s="1313"/>
      <c r="M885" s="1351"/>
      <c r="N885" s="854"/>
      <c r="O885" s="803"/>
      <c r="P885" s="97"/>
      <c r="Q885" s="97"/>
      <c r="R885" s="97"/>
      <c r="S885" s="97"/>
      <c r="T885" s="97"/>
      <c r="U885" s="97"/>
      <c r="V885" s="97"/>
      <c r="W885" s="97"/>
      <c r="X885" s="1295"/>
      <c r="Y885" s="1522"/>
      <c r="Z885" s="1586"/>
      <c r="AB885" s="790"/>
      <c r="AC885" s="790"/>
      <c r="AD885" s="790"/>
      <c r="AE885" s="790"/>
      <c r="AF885" s="790"/>
      <c r="AG885" s="790"/>
      <c r="AH885" s="790"/>
      <c r="AI885" s="790"/>
      <c r="AJ885" s="790"/>
      <c r="AK885" s="790"/>
      <c r="AL885" s="790"/>
      <c r="AM885" s="790"/>
      <c r="AN885" s="790"/>
      <c r="AO885" s="790"/>
      <c r="AP885" s="790"/>
      <c r="AQ885" s="790"/>
      <c r="AR885" s="790"/>
      <c r="AS885" s="790"/>
      <c r="AT885" s="790"/>
      <c r="AU885" s="790"/>
      <c r="AV885" s="790"/>
      <c r="AW885" s="790"/>
      <c r="AX885" s="790"/>
      <c r="AY885" s="790"/>
      <c r="AZ885" s="790"/>
      <c r="BA885" s="790"/>
      <c r="BB885" s="790"/>
      <c r="BC885" s="790"/>
      <c r="BD885" s="790"/>
      <c r="BE885" s="790"/>
      <c r="BF885" s="790"/>
      <c r="BG885" s="790"/>
      <c r="BH885" s="790"/>
      <c r="BI885" s="790"/>
      <c r="BJ885" s="1184" t="s">
        <v>4763</v>
      </c>
    </row>
    <row r="886" spans="1:62" x14ac:dyDescent="0.3">
      <c r="A886" s="1200">
        <v>7</v>
      </c>
      <c r="B886" s="1210" t="s">
        <v>1020</v>
      </c>
      <c r="C886" s="1210"/>
      <c r="D886" s="1203"/>
      <c r="E886" s="1203"/>
      <c r="F886" s="1203"/>
      <c r="G886" s="1202" t="s">
        <v>4389</v>
      </c>
      <c r="H886" s="1200" t="s">
        <v>4387</v>
      </c>
      <c r="I886" s="238"/>
      <c r="J886" s="813"/>
      <c r="K886" s="813"/>
      <c r="L886" s="1350"/>
      <c r="M886" s="1352"/>
      <c r="N886" s="855"/>
      <c r="O886" s="804"/>
      <c r="P886" s="196"/>
      <c r="Q886" s="196"/>
      <c r="R886" s="196"/>
      <c r="S886" s="196"/>
      <c r="T886" s="196"/>
      <c r="U886" s="196"/>
      <c r="V886" s="196"/>
      <c r="W886" s="196"/>
      <c r="X886" s="1295"/>
      <c r="Y886" s="1522"/>
      <c r="Z886" s="1586"/>
      <c r="AB886" s="790"/>
      <c r="AC886" s="790"/>
      <c r="AD886" s="790"/>
      <c r="AE886" s="790"/>
      <c r="AF886" s="790"/>
      <c r="AG886" s="790"/>
      <c r="AH886" s="790"/>
      <c r="AI886" s="790"/>
      <c r="AJ886" s="790"/>
      <c r="AK886" s="790"/>
      <c r="AL886" s="790"/>
      <c r="AM886" s="790"/>
      <c r="AN886" s="790"/>
      <c r="AO886" s="790"/>
      <c r="AP886" s="790"/>
      <c r="AQ886" s="790"/>
      <c r="AR886" s="790"/>
      <c r="AS886" s="790"/>
      <c r="AT886" s="790"/>
      <c r="AU886" s="790"/>
      <c r="AV886" s="790"/>
      <c r="AW886" s="790"/>
      <c r="AX886" s="790"/>
      <c r="AY886" s="790"/>
      <c r="AZ886" s="790"/>
      <c r="BA886" s="790"/>
      <c r="BB886" s="790"/>
      <c r="BC886" s="790"/>
      <c r="BD886" s="790"/>
      <c r="BE886" s="790"/>
      <c r="BF886" s="790"/>
      <c r="BG886" s="790"/>
      <c r="BH886" s="790"/>
      <c r="BI886" s="790"/>
      <c r="BJ886" s="1184" t="s">
        <v>4763</v>
      </c>
    </row>
    <row r="887" spans="1:62" x14ac:dyDescent="0.3">
      <c r="A887" s="1200">
        <v>7</v>
      </c>
      <c r="B887" s="1210" t="s">
        <v>1023</v>
      </c>
      <c r="C887" s="1210"/>
      <c r="D887" s="1203"/>
      <c r="E887" s="1203"/>
      <c r="F887" s="1203"/>
      <c r="G887" s="1202" t="s">
        <v>4389</v>
      </c>
      <c r="H887" s="1200" t="s">
        <v>4388</v>
      </c>
      <c r="I887" s="215" t="s">
        <v>1024</v>
      </c>
      <c r="J887" s="823"/>
      <c r="K887" s="823"/>
      <c r="L887" s="1364" t="s">
        <v>1025</v>
      </c>
      <c r="M887" s="1388" t="str">
        <f ca="1">IF(R887,"Mandatory","N/A")</f>
        <v>Mandatory</v>
      </c>
      <c r="N887" s="864"/>
      <c r="O887" s="810"/>
      <c r="P887" s="97" t="b">
        <v>0</v>
      </c>
      <c r="Q887" s="97" t="b">
        <v>1</v>
      </c>
      <c r="R887" s="218" t="b">
        <f ca="1">S887</f>
        <v>1</v>
      </c>
      <c r="S887" s="218" t="b">
        <f ca="1">NOT(S776=4)</f>
        <v>1</v>
      </c>
      <c r="T887" s="218" t="b">
        <f ca="1">AND(NOT(S887),LEN(W887)&gt;0)</f>
        <v>0</v>
      </c>
      <c r="U887" s="218" t="str">
        <f>SUBSTITUTE(SUBSTITUTE(SUBSTITUTE("dd"&amp;B887&amp;C887&amp;D887&amp;E887&amp;F887,".","_"),"(","_"),")","")</f>
        <v>dd701_4_3_3_5</v>
      </c>
      <c r="V887" s="218"/>
      <c r="W887" s="12"/>
      <c r="X887" s="1295"/>
      <c r="Y887" s="1522" t="str">
        <f>IF(LEN('Ch7'!X124)=0,"None",'Ch7'!X124)</f>
        <v>None</v>
      </c>
      <c r="Z887" s="1586"/>
      <c r="AB887" s="790"/>
      <c r="AC887" s="790" t="b">
        <f ca="1">OR(AD887:AE887)</f>
        <v>1</v>
      </c>
      <c r="AD887" s="790" t="b">
        <f ca="1">T887</f>
        <v>0</v>
      </c>
      <c r="AE887" s="790" t="b">
        <f ca="1">AND(R887,OR(W887="Not Met",W887=""))</f>
        <v>1</v>
      </c>
      <c r="AF887" s="1182" t="b">
        <f ca="1">AND(AE887,NOT(Q887))</f>
        <v>0</v>
      </c>
      <c r="AG887" s="790"/>
      <c r="AH887" s="790"/>
      <c r="AI887" s="790"/>
      <c r="AJ887" s="790"/>
      <c r="AK887" s="790"/>
      <c r="AL887" s="311" t="str">
        <f t="shared" ref="AL887" si="249">SUBSTITUTE(SUBSTITUTE(SUBSTITUTE("vpa"&amp;$B887&amp;$C887&amp;$D887&amp;$E887&amp;$F887,".","_"),"(","_"),")","")</f>
        <v>vpa701_4_3_3_5</v>
      </c>
      <c r="AM887" s="311" t="str">
        <f ca="1">M887</f>
        <v>Mandatory</v>
      </c>
      <c r="AN887" s="790"/>
      <c r="AO887" s="790"/>
      <c r="AP887" s="311" t="str">
        <f>SUBSTITUTE(SUBSTITUTE(SUBSTITUTE("vch"&amp;$B887&amp;$C887&amp;$D887&amp;$E887&amp;$F887,".","_"),"(","_"),")","")</f>
        <v>vch701_4_3_3_5</v>
      </c>
      <c r="AQ887" s="311">
        <f>W887</f>
        <v>0</v>
      </c>
      <c r="AR887" s="311" t="str">
        <f>SUBSTITUTE(SUBSTITUTE(SUBSTITUTE("vnt"&amp;$B887&amp;$C887&amp;$D887&amp;$E887&amp;$F887,".","_"),"(","_"),")","")</f>
        <v>vnt701_4_3_3_5</v>
      </c>
      <c r="AS887" s="311">
        <f>X887</f>
        <v>0</v>
      </c>
      <c r="AT887" s="790"/>
      <c r="AU887" s="790"/>
      <c r="AV887" s="790"/>
      <c r="AW887" s="790"/>
      <c r="AX887" s="790"/>
      <c r="AY887" s="790"/>
      <c r="AZ887" s="790"/>
      <c r="BA887" s="790"/>
      <c r="BB887" s="790"/>
      <c r="BC887" s="790"/>
      <c r="BD887" s="790"/>
      <c r="BE887" s="790"/>
      <c r="BF887" s="790"/>
      <c r="BG887" s="790"/>
      <c r="BH887" s="790"/>
      <c r="BI887" s="790"/>
      <c r="BJ887" s="1184" t="s">
        <v>4763</v>
      </c>
    </row>
    <row r="888" spans="1:62" x14ac:dyDescent="0.3">
      <c r="A888" s="1200">
        <v>7</v>
      </c>
      <c r="B888" s="1210" t="s">
        <v>1023</v>
      </c>
      <c r="C888" s="1210"/>
      <c r="D888" s="1203"/>
      <c r="E888" s="1203"/>
      <c r="F888" s="1203"/>
      <c r="G888" s="1202" t="s">
        <v>4389</v>
      </c>
      <c r="H888" s="1200" t="s">
        <v>4387</v>
      </c>
      <c r="I888" s="140"/>
      <c r="J888" s="812"/>
      <c r="K888" s="812"/>
      <c r="L888" s="1313"/>
      <c r="M888" s="1351"/>
      <c r="N888" s="854"/>
      <c r="O888" s="803"/>
      <c r="P888" s="97"/>
      <c r="Q888" s="97"/>
      <c r="R888" s="97"/>
      <c r="S888" s="97"/>
      <c r="T888" s="97"/>
      <c r="U888" s="97"/>
      <c r="V888" s="97"/>
      <c r="W888" s="97"/>
      <c r="X888" s="1295"/>
      <c r="Y888" s="1522"/>
      <c r="Z888" s="1586"/>
      <c r="AB888" s="790"/>
      <c r="AC888" s="790"/>
      <c r="AD888" s="790"/>
      <c r="AE888" s="790"/>
      <c r="AF888" s="790"/>
      <c r="AG888" s="790"/>
      <c r="AH888" s="790"/>
      <c r="AI888" s="790"/>
      <c r="AJ888" s="790"/>
      <c r="AK888" s="790"/>
      <c r="AL888" s="790"/>
      <c r="AM888" s="790"/>
      <c r="AN888" s="790"/>
      <c r="AO888" s="790"/>
      <c r="AP888" s="790"/>
      <c r="AQ888" s="790"/>
      <c r="AR888" s="790"/>
      <c r="AS888" s="790"/>
      <c r="AT888" s="790"/>
      <c r="AU888" s="790"/>
      <c r="AV888" s="790"/>
      <c r="AW888" s="790"/>
      <c r="AX888" s="790"/>
      <c r="AY888" s="790"/>
      <c r="AZ888" s="790"/>
      <c r="BA888" s="790"/>
      <c r="BB888" s="790"/>
      <c r="BC888" s="790"/>
      <c r="BD888" s="790"/>
      <c r="BE888" s="790"/>
      <c r="BF888" s="790"/>
      <c r="BG888" s="790"/>
      <c r="BH888" s="790"/>
      <c r="BI888" s="790"/>
      <c r="BJ888" s="1184" t="s">
        <v>4763</v>
      </c>
    </row>
    <row r="889" spans="1:62" x14ac:dyDescent="0.3">
      <c r="A889" s="1200">
        <v>7</v>
      </c>
      <c r="B889" s="1210" t="s">
        <v>1023</v>
      </c>
      <c r="C889" s="1210"/>
      <c r="D889" s="1203"/>
      <c r="E889" s="1203"/>
      <c r="F889" s="1203"/>
      <c r="G889" s="1202" t="s">
        <v>4389</v>
      </c>
      <c r="H889" s="1200" t="s">
        <v>4387</v>
      </c>
      <c r="I889" s="140"/>
      <c r="J889" s="812"/>
      <c r="K889" s="812"/>
      <c r="L889" s="1313"/>
      <c r="M889" s="1351"/>
      <c r="N889" s="854"/>
      <c r="O889" s="803"/>
      <c r="P889" s="97"/>
      <c r="Q889" s="97"/>
      <c r="R889" s="97"/>
      <c r="S889" s="97"/>
      <c r="T889" s="97"/>
      <c r="U889" s="97"/>
      <c r="V889" s="97"/>
      <c r="W889" s="97"/>
      <c r="X889" s="1295"/>
      <c r="Y889" s="1522"/>
      <c r="Z889" s="1586"/>
      <c r="AB889" s="790"/>
      <c r="AC889" s="790"/>
      <c r="AD889" s="790"/>
      <c r="AE889" s="790"/>
      <c r="AF889" s="790"/>
      <c r="AG889" s="790"/>
      <c r="AH889" s="790"/>
      <c r="AI889" s="790"/>
      <c r="AJ889" s="790"/>
      <c r="AK889" s="790"/>
      <c r="AL889" s="790"/>
      <c r="AM889" s="790"/>
      <c r="AN889" s="790"/>
      <c r="AO889" s="790"/>
      <c r="AP889" s="790"/>
      <c r="AQ889" s="790"/>
      <c r="AR889" s="790"/>
      <c r="AS889" s="790"/>
      <c r="AT889" s="790"/>
      <c r="AU889" s="790"/>
      <c r="AV889" s="790"/>
      <c r="AW889" s="790"/>
      <c r="AX889" s="790"/>
      <c r="AY889" s="790"/>
      <c r="AZ889" s="790"/>
      <c r="BA889" s="790"/>
      <c r="BB889" s="790"/>
      <c r="BC889" s="790"/>
      <c r="BD889" s="790"/>
      <c r="BE889" s="790"/>
      <c r="BF889" s="790"/>
      <c r="BG889" s="790"/>
      <c r="BH889" s="790"/>
      <c r="BI889" s="790"/>
      <c r="BJ889" s="1184" t="s">
        <v>4763</v>
      </c>
    </row>
    <row r="890" spans="1:62" x14ac:dyDescent="0.3">
      <c r="A890" s="1200">
        <v>7</v>
      </c>
      <c r="B890" s="1210" t="s">
        <v>1023</v>
      </c>
      <c r="C890" s="1210"/>
      <c r="D890" s="1203"/>
      <c r="E890" s="1203"/>
      <c r="F890" s="1203"/>
      <c r="G890" s="1202" t="s">
        <v>4389</v>
      </c>
      <c r="H890" s="1200" t="s">
        <v>4387</v>
      </c>
      <c r="I890" s="140"/>
      <c r="J890" s="812"/>
      <c r="K890" s="812"/>
      <c r="L890" s="1313"/>
      <c r="M890" s="1351"/>
      <c r="N890" s="854"/>
      <c r="O890" s="803"/>
      <c r="P890" s="97"/>
      <c r="Q890" s="97"/>
      <c r="R890" s="97"/>
      <c r="S890" s="97"/>
      <c r="T890" s="97"/>
      <c r="U890" s="97"/>
      <c r="V890" s="97"/>
      <c r="W890" s="97"/>
      <c r="X890" s="1295"/>
      <c r="Y890" s="1522"/>
      <c r="Z890" s="1586"/>
      <c r="AB890" s="790"/>
      <c r="AC890" s="790"/>
      <c r="AD890" s="790"/>
      <c r="AE890" s="790"/>
      <c r="AF890" s="790"/>
      <c r="AG890" s="790"/>
      <c r="AH890" s="790"/>
      <c r="AI890" s="790"/>
      <c r="AJ890" s="790"/>
      <c r="AK890" s="790"/>
      <c r="AL890" s="790"/>
      <c r="AM890" s="790"/>
      <c r="AN890" s="790"/>
      <c r="AO890" s="790"/>
      <c r="AP890" s="790"/>
      <c r="AQ890" s="790"/>
      <c r="AR890" s="790"/>
      <c r="AS890" s="790"/>
      <c r="AT890" s="790"/>
      <c r="AU890" s="790"/>
      <c r="AV890" s="790"/>
      <c r="AW890" s="790"/>
      <c r="AX890" s="790"/>
      <c r="AY890" s="790"/>
      <c r="AZ890" s="790"/>
      <c r="BA890" s="790"/>
      <c r="BB890" s="790"/>
      <c r="BC890" s="790"/>
      <c r="BD890" s="790"/>
      <c r="BE890" s="790"/>
      <c r="BF890" s="790"/>
      <c r="BG890" s="790"/>
      <c r="BH890" s="790"/>
      <c r="BI890" s="790"/>
      <c r="BJ890" s="1184" t="s">
        <v>4763</v>
      </c>
    </row>
    <row r="891" spans="1:62" x14ac:dyDescent="0.3">
      <c r="A891" s="1200">
        <v>7</v>
      </c>
      <c r="B891" s="1210" t="s">
        <v>1023</v>
      </c>
      <c r="C891" s="1210"/>
      <c r="D891" s="1203"/>
      <c r="E891" s="1203"/>
      <c r="F891" s="1203"/>
      <c r="G891" s="1202" t="s">
        <v>4389</v>
      </c>
      <c r="H891" s="1200" t="s">
        <v>4387</v>
      </c>
      <c r="I891" s="140"/>
      <c r="J891" s="812"/>
      <c r="K891" s="812"/>
      <c r="L891" s="1313"/>
      <c r="M891" s="1351"/>
      <c r="N891" s="854"/>
      <c r="O891" s="803"/>
      <c r="P891" s="97"/>
      <c r="Q891" s="97"/>
      <c r="R891" s="97"/>
      <c r="S891" s="97"/>
      <c r="T891" s="97"/>
      <c r="U891" s="97"/>
      <c r="V891" s="97"/>
      <c r="W891" s="97"/>
      <c r="X891" s="1295"/>
      <c r="Y891" s="1522"/>
      <c r="Z891" s="1586"/>
      <c r="AB891" s="790"/>
      <c r="AC891" s="790"/>
      <c r="AD891" s="790"/>
      <c r="AE891" s="790"/>
      <c r="AF891" s="790"/>
      <c r="AG891" s="790"/>
      <c r="AH891" s="790"/>
      <c r="AI891" s="790"/>
      <c r="AJ891" s="790"/>
      <c r="AK891" s="790"/>
      <c r="AL891" s="790"/>
      <c r="AM891" s="790"/>
      <c r="AN891" s="790"/>
      <c r="AO891" s="790"/>
      <c r="AP891" s="790"/>
      <c r="AQ891" s="790"/>
      <c r="AR891" s="790"/>
      <c r="AS891" s="790"/>
      <c r="AT891" s="790"/>
      <c r="AU891" s="790"/>
      <c r="AV891" s="790"/>
      <c r="AW891" s="790"/>
      <c r="AX891" s="790"/>
      <c r="AY891" s="790"/>
      <c r="AZ891" s="790"/>
      <c r="BA891" s="790"/>
      <c r="BB891" s="790"/>
      <c r="BC891" s="790"/>
      <c r="BD891" s="790"/>
      <c r="BE891" s="790"/>
      <c r="BF891" s="790"/>
      <c r="BG891" s="790"/>
      <c r="BH891" s="790"/>
      <c r="BI891" s="790"/>
      <c r="BJ891" s="1184" t="s">
        <v>4763</v>
      </c>
    </row>
    <row r="892" spans="1:62" x14ac:dyDescent="0.3">
      <c r="A892" s="1200">
        <v>7</v>
      </c>
      <c r="B892" s="1210" t="s">
        <v>1023</v>
      </c>
      <c r="C892" s="1210"/>
      <c r="D892" s="1203"/>
      <c r="E892" s="1203"/>
      <c r="F892" s="1203"/>
      <c r="G892" s="1202" t="s">
        <v>4389</v>
      </c>
      <c r="H892" s="1200" t="s">
        <v>4387</v>
      </c>
      <c r="I892" s="238"/>
      <c r="J892" s="813"/>
      <c r="K892" s="813"/>
      <c r="L892" s="1350"/>
      <c r="M892" s="1352"/>
      <c r="N892" s="855"/>
      <c r="O892" s="804"/>
      <c r="P892" s="196"/>
      <c r="Q892" s="196"/>
      <c r="R892" s="196"/>
      <c r="S892" s="196"/>
      <c r="T892" s="196"/>
      <c r="U892" s="196"/>
      <c r="V892" s="196"/>
      <c r="W892" s="196"/>
      <c r="X892" s="1295"/>
      <c r="Y892" s="1522"/>
      <c r="Z892" s="1586"/>
      <c r="AB892" s="790"/>
      <c r="AC892" s="790"/>
      <c r="AD892" s="790"/>
      <c r="AE892" s="790"/>
      <c r="AF892" s="790"/>
      <c r="AG892" s="790"/>
      <c r="AH892" s="790"/>
      <c r="AI892" s="790"/>
      <c r="AJ892" s="790"/>
      <c r="AK892" s="790"/>
      <c r="AL892" s="790"/>
      <c r="AM892" s="790"/>
      <c r="AN892" s="790"/>
      <c r="AO892" s="790"/>
      <c r="AP892" s="790"/>
      <c r="AQ892" s="790"/>
      <c r="AR892" s="790"/>
      <c r="AS892" s="790"/>
      <c r="AT892" s="790"/>
      <c r="AU892" s="790"/>
      <c r="AV892" s="790"/>
      <c r="AW892" s="790"/>
      <c r="AX892" s="790"/>
      <c r="AY892" s="790"/>
      <c r="AZ892" s="790"/>
      <c r="BA892" s="790"/>
      <c r="BB892" s="790"/>
      <c r="BC892" s="790"/>
      <c r="BD892" s="790"/>
      <c r="BE892" s="790"/>
      <c r="BF892" s="790"/>
      <c r="BG892" s="790"/>
      <c r="BH892" s="790"/>
      <c r="BI892" s="790"/>
      <c r="BJ892" s="1184" t="s">
        <v>4763</v>
      </c>
    </row>
    <row r="893" spans="1:62" x14ac:dyDescent="0.3">
      <c r="A893" s="1200">
        <v>7</v>
      </c>
      <c r="B893" s="1210" t="s">
        <v>1026</v>
      </c>
      <c r="C893" s="1215"/>
      <c r="D893" s="1203"/>
      <c r="E893" s="1203"/>
      <c r="F893" s="1203"/>
      <c r="G893" s="1202" t="s">
        <v>4389</v>
      </c>
      <c r="H893" s="1200" t="s">
        <v>4386</v>
      </c>
      <c r="I893" s="66" t="s">
        <v>1026</v>
      </c>
      <c r="J893" s="819"/>
      <c r="K893" s="819"/>
      <c r="L893" s="1292" t="s">
        <v>1027</v>
      </c>
      <c r="M893" s="1351" t="str">
        <f ca="1">IF(S895,"Mandatory","N/A")</f>
        <v>Mandatory</v>
      </c>
      <c r="N893" s="850"/>
      <c r="O893" s="802"/>
      <c r="P893" s="1081"/>
      <c r="Q893" s="1081"/>
      <c r="R893" s="790"/>
      <c r="S893" s="790"/>
      <c r="T893" s="790"/>
      <c r="U893" s="790"/>
      <c r="V893" s="790"/>
      <c r="W893" s="790"/>
      <c r="X893" s="790"/>
      <c r="Y893" s="790"/>
      <c r="Z893" s="1055"/>
      <c r="AB893" s="790"/>
      <c r="AC893" s="790"/>
      <c r="AD893" s="790"/>
      <c r="AE893" s="790"/>
      <c r="AF893" s="790"/>
      <c r="AG893" s="790"/>
      <c r="AH893" s="790"/>
      <c r="AI893" s="790"/>
      <c r="AJ893" s="790"/>
      <c r="AK893" s="790"/>
      <c r="AL893" s="311" t="str">
        <f t="shared" ref="AL893" si="250">SUBSTITUTE(SUBSTITUTE(SUBSTITUTE("vpa"&amp;$B893&amp;$C893&amp;$D893&amp;$E893&amp;$F893,".","_"),"(","_"),")","")</f>
        <v>vpa701_4_4</v>
      </c>
      <c r="AM893" s="311" t="str">
        <f ca="1">M893</f>
        <v>Mandatory</v>
      </c>
      <c r="AN893" s="790"/>
      <c r="AO893" s="790"/>
      <c r="AP893" s="790"/>
      <c r="AQ893" s="790"/>
      <c r="AR893" s="790"/>
      <c r="AS893" s="790"/>
      <c r="AT893" s="790"/>
      <c r="AU893" s="790"/>
      <c r="AV893" s="790"/>
      <c r="AW893" s="790"/>
      <c r="AX893" s="790"/>
      <c r="AY893" s="790"/>
      <c r="AZ893" s="790"/>
      <c r="BA893" s="790"/>
      <c r="BB893" s="790"/>
      <c r="BC893" s="790"/>
      <c r="BD893" s="790"/>
      <c r="BE893" s="790"/>
      <c r="BF893" s="790"/>
      <c r="BG893" s="790"/>
      <c r="BH893" s="790"/>
      <c r="BI893" s="790"/>
      <c r="BJ893" s="1184" t="s">
        <v>4763</v>
      </c>
    </row>
    <row r="894" spans="1:62" x14ac:dyDescent="0.3">
      <c r="A894" s="1200">
        <v>7</v>
      </c>
      <c r="B894" s="1210" t="s">
        <v>1026</v>
      </c>
      <c r="C894" s="1215"/>
      <c r="D894" s="1203"/>
      <c r="E894" s="1203"/>
      <c r="F894" s="1203"/>
      <c r="G894" s="1202" t="s">
        <v>4389</v>
      </c>
      <c r="H894" s="1200" t="s">
        <v>4386</v>
      </c>
      <c r="I894" s="4"/>
      <c r="J894" s="819"/>
      <c r="K894" s="819"/>
      <c r="L894" s="1292"/>
      <c r="M894" s="1351"/>
      <c r="N894" s="850"/>
      <c r="O894" s="802"/>
      <c r="P894" s="1081"/>
      <c r="Q894" s="1081"/>
      <c r="R894" s="790"/>
      <c r="S894" s="790"/>
      <c r="T894" s="790"/>
      <c r="U894" s="790"/>
      <c r="V894" s="790"/>
      <c r="W894" s="790"/>
      <c r="X894" s="790"/>
      <c r="Y894" s="790"/>
      <c r="Z894" s="1055"/>
      <c r="AB894" s="790"/>
      <c r="AC894" s="790"/>
      <c r="AD894" s="790"/>
      <c r="AE894" s="790"/>
      <c r="AF894" s="790"/>
      <c r="AG894" s="790"/>
      <c r="AH894" s="790"/>
      <c r="AI894" s="790"/>
      <c r="AJ894" s="790"/>
      <c r="AK894" s="790"/>
      <c r="AL894" s="790"/>
      <c r="AM894" s="790"/>
      <c r="AN894" s="790"/>
      <c r="AO894" s="790"/>
      <c r="AP894" s="790"/>
      <c r="AQ894" s="790"/>
      <c r="AR894" s="790"/>
      <c r="AS894" s="790"/>
      <c r="AT894" s="790"/>
      <c r="AU894" s="790"/>
      <c r="AV894" s="790"/>
      <c r="AW894" s="790"/>
      <c r="AX894" s="790"/>
      <c r="AY894" s="790"/>
      <c r="AZ894" s="790"/>
      <c r="BA894" s="790"/>
      <c r="BB894" s="790"/>
      <c r="BC894" s="790"/>
      <c r="BD894" s="790"/>
      <c r="BE894" s="790"/>
      <c r="BF894" s="790"/>
      <c r="BG894" s="790"/>
      <c r="BH894" s="790"/>
      <c r="BI894" s="790"/>
      <c r="BJ894" s="1184" t="s">
        <v>4763</v>
      </c>
    </row>
    <row r="895" spans="1:62" x14ac:dyDescent="0.3">
      <c r="A895" s="1200">
        <v>7</v>
      </c>
      <c r="B895" s="1210" t="s">
        <v>1026</v>
      </c>
      <c r="C895" s="1215"/>
      <c r="D895" s="1216" t="s">
        <v>271</v>
      </c>
      <c r="E895" s="1203"/>
      <c r="F895" s="1203"/>
      <c r="G895" s="1202" t="s">
        <v>4389</v>
      </c>
      <c r="H895" s="1200" t="s">
        <v>4386</v>
      </c>
      <c r="I895" s="4"/>
      <c r="J895" s="614" t="s">
        <v>271</v>
      </c>
      <c r="K895" s="812"/>
      <c r="L895" s="1305" t="s">
        <v>1028</v>
      </c>
      <c r="M895" s="799"/>
      <c r="N895" s="850"/>
      <c r="O895" s="802"/>
      <c r="P895" s="97" t="b">
        <v>1</v>
      </c>
      <c r="Q895" s="97" t="b">
        <v>1</v>
      </c>
      <c r="R895" s="790" t="b">
        <f ca="1">AND(S895,NOT(W897))</f>
        <v>1</v>
      </c>
      <c r="S895" s="790" t="b">
        <f ca="1">NOT(S776=4)</f>
        <v>1</v>
      </c>
      <c r="T895" s="97" t="b">
        <f ca="1">AND(NOT(S895),W895=TRUE)</f>
        <v>0</v>
      </c>
      <c r="U895" s="790"/>
      <c r="V895" s="790"/>
      <c r="W895" s="25"/>
      <c r="X895" s="1303"/>
      <c r="Y895" s="1522" t="str">
        <f>IF(LEN('Ch7'!X132)=0,"None",'Ch7'!X132)</f>
        <v>None</v>
      </c>
      <c r="Z895" s="1586"/>
      <c r="AB895" s="790"/>
      <c r="AC895" s="790" t="b">
        <f ca="1">OR(AD895:AE895)</f>
        <v>1</v>
      </c>
      <c r="AD895" s="790" t="b">
        <f ca="1">T895</f>
        <v>0</v>
      </c>
      <c r="AE895" s="790" t="b">
        <f ca="1">AND(R895,NOT(W895))</f>
        <v>1</v>
      </c>
      <c r="AF895" s="1182" t="b">
        <f ca="1">AND(AE895,NOT(Q895))</f>
        <v>0</v>
      </c>
      <c r="AG895" s="790"/>
      <c r="AH895" s="790"/>
      <c r="AI895" s="790"/>
      <c r="AJ895" s="790"/>
      <c r="AK895" s="790"/>
      <c r="AL895" s="790"/>
      <c r="AM895" s="790"/>
      <c r="AN895" s="790"/>
      <c r="AO895" s="790"/>
      <c r="AP895" s="311" t="str">
        <f>SUBSTITUTE(SUBSTITUTE(SUBSTITUTE("vch"&amp;$B895&amp;$C895&amp;$D895&amp;$E895&amp;$F895,".","_"),"(","_"),")","")</f>
        <v>vch701_4_4_1</v>
      </c>
      <c r="AQ895" s="311">
        <f>W895</f>
        <v>0</v>
      </c>
      <c r="AR895" s="311" t="str">
        <f>SUBSTITUTE(SUBSTITUTE(SUBSTITUTE("vnt"&amp;$B895&amp;$C895&amp;$D895&amp;$E895&amp;$F895,".","_"),"(","_"),")","")</f>
        <v>vnt701_4_4_1</v>
      </c>
      <c r="AS895" s="311">
        <f>X895</f>
        <v>0</v>
      </c>
      <c r="AT895" s="790"/>
      <c r="AU895" s="790"/>
      <c r="AV895" s="790"/>
      <c r="AW895" s="790"/>
      <c r="AX895" s="790"/>
      <c r="AY895" s="790"/>
      <c r="AZ895" s="790"/>
      <c r="BA895" s="790"/>
      <c r="BB895" s="790"/>
      <c r="BC895" s="790"/>
      <c r="BD895" s="790"/>
      <c r="BE895" s="790"/>
      <c r="BF895" s="790"/>
      <c r="BG895" s="790"/>
      <c r="BH895" s="790"/>
      <c r="BI895" s="790"/>
      <c r="BJ895" s="1184" t="s">
        <v>4763</v>
      </c>
    </row>
    <row r="896" spans="1:62" x14ac:dyDescent="0.3">
      <c r="A896" s="1200">
        <v>7</v>
      </c>
      <c r="B896" s="1210" t="s">
        <v>1026</v>
      </c>
      <c r="C896" s="1215"/>
      <c r="D896" s="1216" t="s">
        <v>271</v>
      </c>
      <c r="E896" s="1203"/>
      <c r="F896" s="1203"/>
      <c r="G896" s="1202" t="s">
        <v>4389</v>
      </c>
      <c r="H896" s="1200" t="s">
        <v>4386</v>
      </c>
      <c r="I896" s="4"/>
      <c r="J896" s="626"/>
      <c r="K896" s="813"/>
      <c r="L896" s="1306"/>
      <c r="M896" s="799"/>
      <c r="N896" s="850"/>
      <c r="O896" s="802"/>
      <c r="P896" s="1081"/>
      <c r="Q896" s="1081"/>
      <c r="R896" s="790"/>
      <c r="S896" s="790"/>
      <c r="T896" s="790"/>
      <c r="U896" s="790"/>
      <c r="V896" s="790"/>
      <c r="W896" s="790"/>
      <c r="X896" s="1303"/>
      <c r="Y896" s="1522"/>
      <c r="Z896" s="1586"/>
      <c r="AB896" s="790"/>
      <c r="AC896" s="790"/>
      <c r="AD896" s="790"/>
      <c r="AE896" s="790"/>
      <c r="AF896" s="790"/>
      <c r="AG896" s="790"/>
      <c r="AH896" s="790"/>
      <c r="AI896" s="790"/>
      <c r="AJ896" s="790"/>
      <c r="AK896" s="790"/>
      <c r="AL896" s="790"/>
      <c r="AM896" s="790"/>
      <c r="AN896" s="790"/>
      <c r="AO896" s="790"/>
      <c r="AP896" s="790"/>
      <c r="AQ896" s="790"/>
      <c r="AR896" s="790"/>
      <c r="AS896" s="790"/>
      <c r="AT896" s="790"/>
      <c r="AU896" s="790"/>
      <c r="AV896" s="790"/>
      <c r="AW896" s="790"/>
      <c r="AX896" s="790"/>
      <c r="AY896" s="790"/>
      <c r="AZ896" s="790"/>
      <c r="BA896" s="790"/>
      <c r="BB896" s="790"/>
      <c r="BC896" s="790"/>
      <c r="BD896" s="790"/>
      <c r="BE896" s="790"/>
      <c r="BF896" s="790"/>
      <c r="BG896" s="790"/>
      <c r="BH896" s="790"/>
      <c r="BI896" s="790"/>
      <c r="BJ896" s="1184" t="s">
        <v>4763</v>
      </c>
    </row>
    <row r="897" spans="1:62" x14ac:dyDescent="0.3">
      <c r="A897" s="1200">
        <v>7</v>
      </c>
      <c r="B897" s="1210" t="s">
        <v>1026</v>
      </c>
      <c r="C897" s="1215"/>
      <c r="D897" s="1216" t="s">
        <v>273</v>
      </c>
      <c r="E897" s="1203"/>
      <c r="F897" s="1203"/>
      <c r="G897" s="1202" t="s">
        <v>4389</v>
      </c>
      <c r="H897" s="1200" t="s">
        <v>4386</v>
      </c>
      <c r="I897" s="238"/>
      <c r="J897" s="626" t="s">
        <v>273</v>
      </c>
      <c r="K897" s="813"/>
      <c r="L897" s="813" t="s">
        <v>1029</v>
      </c>
      <c r="M897" s="796"/>
      <c r="N897" s="855"/>
      <c r="O897" s="804"/>
      <c r="P897" s="97" t="b">
        <v>1</v>
      </c>
      <c r="Q897" s="97" t="b">
        <v>1</v>
      </c>
      <c r="R897" s="196" t="b">
        <f ca="1">AND(S897,NOT(W895))</f>
        <v>1</v>
      </c>
      <c r="S897" s="196" t="b">
        <f ca="1">NOT(S776=4)</f>
        <v>1</v>
      </c>
      <c r="T897" s="196" t="b">
        <f ca="1">AND(NOT(S897),W897=TRUE)</f>
        <v>0</v>
      </c>
      <c r="U897" s="196"/>
      <c r="V897" s="196"/>
      <c r="W897" s="25"/>
      <c r="X897" s="793"/>
      <c r="Y897" s="841" t="str">
        <f>IF(LEN('Ch7'!X134)=0,"None",'Ch7'!X134)</f>
        <v>None</v>
      </c>
      <c r="Z897" s="1169"/>
      <c r="AB897" s="790"/>
      <c r="AC897" s="790" t="b">
        <f ca="1">OR(AD897:AE897)</f>
        <v>1</v>
      </c>
      <c r="AD897" s="790" t="b">
        <f ca="1">T897</f>
        <v>0</v>
      </c>
      <c r="AE897" s="790" t="b">
        <f ca="1">AND(R897,NOT(W897))</f>
        <v>1</v>
      </c>
      <c r="AF897" s="1182" t="b">
        <f ca="1">AND(AE897,NOT(Q897))</f>
        <v>0</v>
      </c>
      <c r="AG897" s="790"/>
      <c r="AH897" s="790"/>
      <c r="AI897" s="790"/>
      <c r="AJ897" s="790"/>
      <c r="AK897" s="790"/>
      <c r="AL897" s="790"/>
      <c r="AM897" s="790"/>
      <c r="AN897" s="790"/>
      <c r="AO897" s="790"/>
      <c r="AP897" s="311" t="str">
        <f t="shared" ref="AP897:AP898" si="251">SUBSTITUTE(SUBSTITUTE(SUBSTITUTE("vch"&amp;$B897&amp;$C897&amp;$D897&amp;$E897&amp;$F897,".","_"),"(","_"),")","")</f>
        <v>vch701_4_4_2</v>
      </c>
      <c r="AQ897" s="311">
        <f>W897</f>
        <v>0</v>
      </c>
      <c r="AR897" s="311" t="str">
        <f t="shared" ref="AR897:AR898" si="252">SUBSTITUTE(SUBSTITUTE(SUBSTITUTE("vnt"&amp;$B897&amp;$C897&amp;$D897&amp;$E897&amp;$F897,".","_"),"(","_"),")","")</f>
        <v>vnt701_4_4_2</v>
      </c>
      <c r="AS897" s="311">
        <f>X897</f>
        <v>0</v>
      </c>
      <c r="AT897" s="790"/>
      <c r="AU897" s="790"/>
      <c r="AV897" s="790"/>
      <c r="AW897" s="790"/>
      <c r="AX897" s="790"/>
      <c r="AY897" s="790"/>
      <c r="AZ897" s="790"/>
      <c r="BA897" s="790"/>
      <c r="BB897" s="790"/>
      <c r="BC897" s="790"/>
      <c r="BD897" s="790"/>
      <c r="BE897" s="790"/>
      <c r="BF897" s="790"/>
      <c r="BG897" s="790"/>
      <c r="BH897" s="790"/>
      <c r="BI897" s="790"/>
      <c r="BJ897" s="1184" t="s">
        <v>4763</v>
      </c>
    </row>
    <row r="898" spans="1:62" x14ac:dyDescent="0.3">
      <c r="A898" s="1200">
        <v>7</v>
      </c>
      <c r="B898" s="1210" t="s">
        <v>1030</v>
      </c>
      <c r="C898" s="1215"/>
      <c r="D898" s="1203"/>
      <c r="E898" s="1203"/>
      <c r="F898" s="1203"/>
      <c r="G898" s="1202" t="s">
        <v>4389</v>
      </c>
      <c r="H898" s="1200" t="s">
        <v>4387</v>
      </c>
      <c r="I898" s="66" t="s">
        <v>1030</v>
      </c>
      <c r="J898" s="819"/>
      <c r="K898" s="819"/>
      <c r="L898" s="829" t="s">
        <v>1031</v>
      </c>
      <c r="M898" s="1091" t="str">
        <f ca="1">IF(R898,"Mandatory","N/A")</f>
        <v>N/A</v>
      </c>
      <c r="N898" s="850"/>
      <c r="O898" s="802"/>
      <c r="P898" s="97" t="b">
        <v>1</v>
      </c>
      <c r="Q898" s="97" t="b">
        <v>0</v>
      </c>
      <c r="R898" s="790" t="b">
        <f ca="1">S898</f>
        <v>0</v>
      </c>
      <c r="S898" s="790" t="b">
        <f ca="1">AND(NOT(S776=4),OR(AY795=INDEX(INDIRECT('Overview (Design)'!$E$29),2),AY796=INDEX(INDIRECT('Overview (Design)'!$E$29),2),AY797=INDEX(INDIRECT('Overview (Design)'!$E$29),2)))</f>
        <v>0</v>
      </c>
      <c r="T898" s="97" t="b">
        <f ca="1">AND(NOT(S898),W898=TRUE)</f>
        <v>0</v>
      </c>
      <c r="U898" s="790"/>
      <c r="V898" s="790"/>
      <c r="W898" s="25"/>
      <c r="X898" s="805"/>
      <c r="Y898" s="841" t="str">
        <f>IF(LEN('Ch7'!X135)=0,"None",'Ch7'!X135)</f>
        <v>None</v>
      </c>
      <c r="Z898" s="1169"/>
      <c r="AB898" s="790"/>
      <c r="AC898" s="790"/>
      <c r="AD898" s="790"/>
      <c r="AE898" s="790"/>
      <c r="AF898" s="790"/>
      <c r="AG898" s="790"/>
      <c r="AH898" s="790"/>
      <c r="AI898" s="790"/>
      <c r="AJ898" s="790"/>
      <c r="AK898" s="790"/>
      <c r="AL898" s="311" t="str">
        <f t="shared" ref="AL898" si="253">SUBSTITUTE(SUBSTITUTE(SUBSTITUTE("vpa"&amp;$B898&amp;$C898&amp;$D898&amp;$E898&amp;$F898,".","_"),"(","_"),")","")</f>
        <v>vpa701_4_5</v>
      </c>
      <c r="AM898" s="311" t="str">
        <f ca="1">M898</f>
        <v>N/A</v>
      </c>
      <c r="AN898" s="790"/>
      <c r="AO898" s="790"/>
      <c r="AP898" s="311" t="str">
        <f t="shared" si="251"/>
        <v>vch701_4_5</v>
      </c>
      <c r="AQ898" s="311">
        <f>W898</f>
        <v>0</v>
      </c>
      <c r="AR898" s="311" t="str">
        <f t="shared" si="252"/>
        <v>vnt701_4_5</v>
      </c>
      <c r="AS898" s="311">
        <f>X898</f>
        <v>0</v>
      </c>
      <c r="AT898" s="790"/>
      <c r="AU898" s="790"/>
      <c r="AV898" s="790"/>
      <c r="AW898" s="790"/>
      <c r="AX898" s="790"/>
      <c r="AY898" s="790"/>
      <c r="AZ898" s="790"/>
      <c r="BA898" s="790"/>
      <c r="BB898" s="790"/>
      <c r="BC898" s="790"/>
      <c r="BD898" s="790"/>
      <c r="BE898" s="790"/>
      <c r="BF898" s="790"/>
      <c r="BG898" s="790"/>
      <c r="BH898" s="790"/>
      <c r="BI898" s="790"/>
      <c r="BJ898" s="1184" t="s">
        <v>4763</v>
      </c>
    </row>
    <row r="899" spans="1:62" ht="18" x14ac:dyDescent="0.35">
      <c r="A899" s="1200">
        <v>7</v>
      </c>
      <c r="B899" s="1210">
        <v>702</v>
      </c>
      <c r="C899" s="1215"/>
      <c r="D899" s="1203"/>
      <c r="E899" s="1203"/>
      <c r="F899" s="1203"/>
      <c r="G899" s="1202" t="s">
        <v>4389</v>
      </c>
      <c r="H899" s="1200" t="s">
        <v>4386</v>
      </c>
      <c r="I899" s="14" t="s">
        <v>1032</v>
      </c>
      <c r="J899" s="87"/>
      <c r="K899" s="87"/>
      <c r="L899" s="87"/>
      <c r="M899" s="484"/>
      <c r="N899" s="594"/>
      <c r="O899" s="594"/>
      <c r="P899" s="23"/>
      <c r="Q899" s="23"/>
      <c r="R899" s="23"/>
      <c r="S899" s="23"/>
      <c r="T899" s="23"/>
      <c r="U899" s="23"/>
      <c r="V899" s="23"/>
      <c r="W899" s="23"/>
      <c r="X899" s="23"/>
      <c r="Y899" s="790"/>
      <c r="Z899" s="1055"/>
      <c r="AB899" s="790"/>
      <c r="AC899" s="790"/>
      <c r="AD899" s="790"/>
      <c r="AE899" s="790"/>
      <c r="AF899" s="790"/>
      <c r="AG899" s="790"/>
      <c r="AH899" s="790"/>
      <c r="AI899" s="790"/>
      <c r="AJ899" s="790"/>
      <c r="AK899" s="790"/>
      <c r="AL899" s="790"/>
      <c r="AM899" s="790"/>
      <c r="AN899" s="790"/>
      <c r="AO899" s="790"/>
      <c r="AP899" s="790"/>
      <c r="AQ899" s="790"/>
      <c r="AR899" s="790"/>
      <c r="AS899" s="790"/>
      <c r="AT899" s="790"/>
      <c r="AU899" s="790"/>
      <c r="AV899" s="790"/>
      <c r="AW899" s="790"/>
      <c r="AX899" s="790"/>
      <c r="AY899" s="790"/>
      <c r="AZ899" s="790"/>
      <c r="BA899" s="790"/>
      <c r="BB899" s="790"/>
      <c r="BC899" s="790"/>
      <c r="BD899" s="790"/>
      <c r="BE899" s="790"/>
      <c r="BF899" s="790"/>
      <c r="BG899" s="790"/>
      <c r="BH899" s="790"/>
      <c r="BI899" s="790"/>
      <c r="BJ899" s="1184" t="s">
        <v>4763</v>
      </c>
    </row>
    <row r="900" spans="1:62" x14ac:dyDescent="0.3">
      <c r="A900" s="1200">
        <v>7</v>
      </c>
      <c r="B900" s="1210">
        <v>702.1</v>
      </c>
      <c r="C900" s="1215"/>
      <c r="D900" s="1203"/>
      <c r="E900" s="1203"/>
      <c r="F900" s="1203"/>
      <c r="G900" s="1200"/>
      <c r="H900" s="1200"/>
      <c r="I900" s="141">
        <v>702.1</v>
      </c>
      <c r="J900" s="812"/>
      <c r="K900" s="812"/>
      <c r="L900" s="1313" t="s">
        <v>1033</v>
      </c>
      <c r="M900" s="816"/>
      <c r="N900" s="854"/>
      <c r="O900" s="803"/>
      <c r="P900" s="97"/>
      <c r="Q900" s="97"/>
      <c r="R900" s="97"/>
      <c r="S900" s="97"/>
      <c r="T900" s="97"/>
      <c r="U900" s="97"/>
      <c r="V900" s="97"/>
      <c r="W900" s="97"/>
      <c r="X900" s="97"/>
      <c r="Y900" s="790"/>
      <c r="Z900" s="1055"/>
      <c r="AB900" s="790"/>
      <c r="AC900" s="790"/>
      <c r="AD900" s="790"/>
      <c r="AE900" s="790"/>
      <c r="AF900" s="790"/>
      <c r="AG900" s="790"/>
      <c r="AH900" s="790"/>
      <c r="AI900" s="790"/>
      <c r="AJ900" s="790"/>
      <c r="AK900" s="790"/>
      <c r="AL900" s="790"/>
      <c r="AM900" s="790"/>
      <c r="AN900" s="790"/>
      <c r="AO900" s="790"/>
      <c r="AP900" s="790"/>
      <c r="AQ900" s="790"/>
      <c r="AR900" s="790"/>
      <c r="AS900" s="790"/>
      <c r="AT900" s="790"/>
      <c r="AU900" s="790"/>
      <c r="AV900" s="790"/>
      <c r="AW900" s="790"/>
      <c r="AX900" s="790"/>
      <c r="AY900" s="790"/>
      <c r="AZ900" s="790"/>
      <c r="BA900" s="790"/>
      <c r="BB900" s="790"/>
      <c r="BC900" s="790"/>
      <c r="BD900" s="790"/>
      <c r="BE900" s="790"/>
      <c r="BF900" s="790"/>
      <c r="BG900" s="790"/>
      <c r="BH900" s="790"/>
      <c r="BI900" s="790"/>
      <c r="BJ900" s="1184" t="s">
        <v>4763</v>
      </c>
    </row>
    <row r="901" spans="1:62" ht="15" thickBot="1" x14ac:dyDescent="0.35">
      <c r="A901" s="1200">
        <v>7</v>
      </c>
      <c r="B901" s="1210">
        <v>702.1</v>
      </c>
      <c r="C901" s="1215"/>
      <c r="D901" s="1203"/>
      <c r="E901" s="1203"/>
      <c r="F901" s="1203"/>
      <c r="G901" s="1200"/>
      <c r="H901" s="1200"/>
      <c r="I901" s="270"/>
      <c r="J901" s="824"/>
      <c r="K901" s="824"/>
      <c r="L901" s="1332"/>
      <c r="M901" s="618"/>
      <c r="N901" s="858"/>
      <c r="O901" s="801"/>
      <c r="P901" s="104"/>
      <c r="Q901" s="104"/>
      <c r="R901" s="104"/>
      <c r="S901" s="104"/>
      <c r="T901" s="104"/>
      <c r="U901" s="104"/>
      <c r="V901" s="104"/>
      <c r="W901" s="104"/>
      <c r="X901" s="104"/>
      <c r="Y901" s="104"/>
      <c r="Z901" s="1172"/>
      <c r="AB901" s="790"/>
      <c r="AC901" s="790"/>
      <c r="AD901" s="790"/>
      <c r="AE901" s="790"/>
      <c r="AF901" s="790"/>
      <c r="AG901" s="790"/>
      <c r="AH901" s="790"/>
      <c r="AI901" s="790"/>
      <c r="AJ901" s="790"/>
      <c r="AK901" s="790"/>
      <c r="AL901" s="790"/>
      <c r="AM901" s="790"/>
      <c r="AN901" s="790"/>
      <c r="AO901" s="790"/>
      <c r="AP901" s="790"/>
      <c r="AQ901" s="790"/>
      <c r="AR901" s="790"/>
      <c r="AS901" s="790"/>
      <c r="AT901" s="790"/>
      <c r="AU901" s="790"/>
      <c r="AV901" s="790"/>
      <c r="AW901" s="790"/>
      <c r="AX901" s="790"/>
      <c r="AY901" s="790"/>
      <c r="AZ901" s="790"/>
      <c r="BA901" s="790"/>
      <c r="BB901" s="790"/>
      <c r="BC901" s="790"/>
      <c r="BD901" s="790"/>
      <c r="BE901" s="790"/>
      <c r="BF901" s="790"/>
      <c r="BG901" s="790"/>
      <c r="BH901" s="790"/>
      <c r="BI901" s="790"/>
      <c r="BJ901" s="1184" t="s">
        <v>4763</v>
      </c>
    </row>
    <row r="902" spans="1:62" ht="15" thickTop="1" x14ac:dyDescent="0.3">
      <c r="A902" s="1200">
        <v>7</v>
      </c>
      <c r="B902" s="1210">
        <v>702.2</v>
      </c>
      <c r="C902" s="1215"/>
      <c r="D902" s="1203"/>
      <c r="E902" s="1203"/>
      <c r="F902" s="1203"/>
      <c r="G902" s="1202" t="s">
        <v>4389</v>
      </c>
      <c r="H902" s="1200" t="s">
        <v>4388</v>
      </c>
      <c r="I902" s="200">
        <v>702.2</v>
      </c>
      <c r="J902" s="616"/>
      <c r="K902" s="616"/>
      <c r="L902" s="836" t="s">
        <v>1034</v>
      </c>
      <c r="M902" s="797"/>
      <c r="N902" s="859"/>
      <c r="O902" s="800"/>
      <c r="P902" s="110"/>
      <c r="Q902" s="110"/>
      <c r="R902" s="110"/>
      <c r="S902" s="110"/>
      <c r="T902" s="110"/>
      <c r="U902" s="110"/>
      <c r="V902" s="110"/>
      <c r="W902" s="110"/>
      <c r="X902" s="110"/>
      <c r="Y902" s="790"/>
      <c r="Z902" s="1055"/>
      <c r="AB902" s="790"/>
      <c r="AC902" s="790"/>
      <c r="AD902" s="790"/>
      <c r="AE902" s="790"/>
      <c r="AF902" s="790"/>
      <c r="AG902" s="790"/>
      <c r="AH902" s="790"/>
      <c r="AI902" s="790"/>
      <c r="AJ902" s="790"/>
      <c r="AK902" s="790"/>
      <c r="AL902" s="790"/>
      <c r="AM902" s="790"/>
      <c r="AN902" s="790"/>
      <c r="AO902" s="790"/>
      <c r="AP902" s="790"/>
      <c r="AQ902" s="790"/>
      <c r="AR902" s="790"/>
      <c r="AS902" s="790"/>
      <c r="AT902" s="790"/>
      <c r="AU902" s="790"/>
      <c r="AV902" s="790"/>
      <c r="AW902" s="790"/>
      <c r="AX902" s="790"/>
      <c r="AY902" s="790"/>
      <c r="AZ902" s="790"/>
      <c r="BA902" s="790"/>
      <c r="BB902" s="790"/>
      <c r="BC902" s="790"/>
      <c r="BD902" s="790"/>
      <c r="BE902" s="790"/>
      <c r="BF902" s="790"/>
      <c r="BG902" s="790"/>
      <c r="BH902" s="790"/>
      <c r="BI902" s="790"/>
      <c r="BJ902" s="1184" t="s">
        <v>4763</v>
      </c>
    </row>
    <row r="903" spans="1:62" x14ac:dyDescent="0.3">
      <c r="A903" s="1200">
        <v>7</v>
      </c>
      <c r="B903" s="1210" t="s">
        <v>1035</v>
      </c>
      <c r="C903" s="1215"/>
      <c r="D903" s="1203"/>
      <c r="E903" s="1203"/>
      <c r="F903" s="1203"/>
      <c r="G903" s="1202" t="s">
        <v>4389</v>
      </c>
      <c r="H903" s="1200" t="s">
        <v>4388</v>
      </c>
      <c r="I903" s="606" t="s">
        <v>1035</v>
      </c>
      <c r="J903" s="812"/>
      <c r="K903" s="812"/>
      <c r="L903" s="1313" t="s">
        <v>1036</v>
      </c>
      <c r="M903" s="1351" t="str">
        <f ca="1">IF(R903,"Mandatory","N/A")</f>
        <v>N/A</v>
      </c>
      <c r="N903" s="854"/>
      <c r="O903" s="803"/>
      <c r="P903" s="97" t="b">
        <v>0</v>
      </c>
      <c r="Q903" s="97" t="b">
        <v>1</v>
      </c>
      <c r="R903" s="97" t="b">
        <f ca="1">S903</f>
        <v>0</v>
      </c>
      <c r="S903" s="97" t="b">
        <f ca="1">(S776=1)</f>
        <v>0</v>
      </c>
      <c r="T903" s="97" t="b">
        <f ca="1">AND(NOT(S903),W903=TRUE)</f>
        <v>0</v>
      </c>
      <c r="U903" s="97"/>
      <c r="V903" s="97"/>
      <c r="W903" s="25"/>
      <c r="X903" s="1295"/>
      <c r="Y903" s="1522" t="str">
        <f>IF(LEN('Ch7'!X140)=0,"None",'Ch7'!X140)</f>
        <v>None</v>
      </c>
      <c r="Z903" s="1586"/>
      <c r="AB903" s="790"/>
      <c r="AC903" s="790" t="b">
        <f ca="1">OR(AD903:AE903)</f>
        <v>0</v>
      </c>
      <c r="AD903" s="790" t="b">
        <f ca="1">T903</f>
        <v>0</v>
      </c>
      <c r="AE903" s="790" t="b">
        <f ca="1">AND(R903,NOT(W903))</f>
        <v>0</v>
      </c>
      <c r="AF903" s="1182" t="b">
        <f ca="1">AND(AE903,NOT(Q903))</f>
        <v>0</v>
      </c>
      <c r="AG903" s="790"/>
      <c r="AH903" s="790"/>
      <c r="AI903" s="790"/>
      <c r="AJ903" s="790"/>
      <c r="AK903" s="790"/>
      <c r="AL903" s="311" t="str">
        <f t="shared" ref="AL903" si="254">SUBSTITUTE(SUBSTITUTE(SUBSTITUTE("vpa"&amp;$B903&amp;$C903&amp;$D903&amp;$E903&amp;$F903,".","_"),"(","_"),")","")</f>
        <v>vpa702_2_1</v>
      </c>
      <c r="AM903" s="311" t="str">
        <f ca="1">M903</f>
        <v>N/A</v>
      </c>
      <c r="AN903" s="790"/>
      <c r="AO903" s="790"/>
      <c r="AP903" s="311" t="str">
        <f>SUBSTITUTE(SUBSTITUTE(SUBSTITUTE("vch"&amp;$B903&amp;$C903&amp;$D903&amp;$E903&amp;$F903,".","_"),"(","_"),")","")</f>
        <v>vch702_2_1</v>
      </c>
      <c r="AQ903" s="311">
        <f>W903</f>
        <v>0</v>
      </c>
      <c r="AR903" s="311" t="str">
        <f>SUBSTITUTE(SUBSTITUTE(SUBSTITUTE("vnt"&amp;$B903&amp;$C903&amp;$D903&amp;$E903&amp;$F903,".","_"),"(","_"),")","")</f>
        <v>vnt702_2_1</v>
      </c>
      <c r="AS903" s="311">
        <f>X903</f>
        <v>0</v>
      </c>
      <c r="AT903" s="790"/>
      <c r="AU903" s="790"/>
      <c r="AV903" s="790"/>
      <c r="AW903" s="790"/>
      <c r="AX903" s="790"/>
      <c r="AY903" s="790"/>
      <c r="AZ903" s="790"/>
      <c r="BA903" s="790"/>
      <c r="BB903" s="790"/>
      <c r="BC903" s="790"/>
      <c r="BD903" s="790"/>
      <c r="BE903" s="790"/>
      <c r="BF903" s="790"/>
      <c r="BG903" s="790"/>
      <c r="BH903" s="790"/>
      <c r="BI903" s="790"/>
      <c r="BJ903" s="1184" t="s">
        <v>4763</v>
      </c>
    </row>
    <row r="904" spans="1:62" x14ac:dyDescent="0.3">
      <c r="A904" s="1200">
        <v>7</v>
      </c>
      <c r="B904" s="1210" t="s">
        <v>1035</v>
      </c>
      <c r="C904" s="1215"/>
      <c r="D904" s="1203"/>
      <c r="E904" s="1203"/>
      <c r="F904" s="1203"/>
      <c r="G904" s="1202" t="s">
        <v>4389</v>
      </c>
      <c r="H904" s="1200" t="s">
        <v>4388</v>
      </c>
      <c r="I904" s="140"/>
      <c r="J904" s="812"/>
      <c r="K904" s="812"/>
      <c r="L904" s="1313"/>
      <c r="M904" s="1351"/>
      <c r="N904" s="854"/>
      <c r="O904" s="803"/>
      <c r="P904" s="97"/>
      <c r="Q904" s="97"/>
      <c r="R904" s="97"/>
      <c r="S904" s="97"/>
      <c r="T904" s="97"/>
      <c r="U904" s="97"/>
      <c r="V904" s="97"/>
      <c r="W904" s="97"/>
      <c r="X904" s="1295"/>
      <c r="Y904" s="1522"/>
      <c r="Z904" s="1586"/>
      <c r="AB904" s="790"/>
      <c r="AC904" s="790"/>
      <c r="AD904" s="790"/>
      <c r="AE904" s="790"/>
      <c r="AF904" s="790"/>
      <c r="AG904" s="790"/>
      <c r="AH904" s="790"/>
      <c r="AI904" s="790"/>
      <c r="AJ904" s="790"/>
      <c r="AK904" s="790"/>
      <c r="AL904" s="790"/>
      <c r="AM904" s="790"/>
      <c r="AN904" s="790"/>
      <c r="AO904" s="790"/>
      <c r="AP904" s="790"/>
      <c r="AQ904" s="790"/>
      <c r="AR904" s="790"/>
      <c r="AS904" s="790"/>
      <c r="AT904" s="790"/>
      <c r="AU904" s="790"/>
      <c r="AV904" s="790"/>
      <c r="AW904" s="790"/>
      <c r="AX904" s="790"/>
      <c r="AY904" s="790"/>
      <c r="AZ904" s="790"/>
      <c r="BA904" s="790"/>
      <c r="BB904" s="790"/>
      <c r="BC904" s="790"/>
      <c r="BD904" s="790"/>
      <c r="BE904" s="790"/>
      <c r="BF904" s="790"/>
      <c r="BG904" s="790"/>
      <c r="BH904" s="790"/>
      <c r="BI904" s="790"/>
      <c r="BJ904" s="1184" t="s">
        <v>4763</v>
      </c>
    </row>
    <row r="905" spans="1:62" x14ac:dyDescent="0.3">
      <c r="A905" s="1200">
        <v>7</v>
      </c>
      <c r="B905" s="1210" t="s">
        <v>1035</v>
      </c>
      <c r="C905" s="1215"/>
      <c r="D905" s="1203"/>
      <c r="E905" s="1203"/>
      <c r="F905" s="1203"/>
      <c r="G905" s="1202" t="s">
        <v>4389</v>
      </c>
      <c r="H905" s="1200" t="s">
        <v>4388</v>
      </c>
      <c r="I905" s="140"/>
      <c r="J905" s="812"/>
      <c r="K905" s="812"/>
      <c r="L905" s="1313"/>
      <c r="M905" s="1351"/>
      <c r="N905" s="854"/>
      <c r="O905" s="803"/>
      <c r="P905" s="97"/>
      <c r="Q905" s="97"/>
      <c r="R905" s="97"/>
      <c r="S905" s="97"/>
      <c r="T905" s="97"/>
      <c r="U905" s="97"/>
      <c r="V905" s="97"/>
      <c r="W905" s="97"/>
      <c r="X905" s="1295"/>
      <c r="Y905" s="1522"/>
      <c r="Z905" s="1586"/>
      <c r="AB905" s="790"/>
      <c r="AC905" s="790"/>
      <c r="AD905" s="790"/>
      <c r="AE905" s="790"/>
      <c r="AF905" s="790"/>
      <c r="AG905" s="790"/>
      <c r="AH905" s="790"/>
      <c r="AI905" s="790"/>
      <c r="AJ905" s="790"/>
      <c r="AK905" s="790"/>
      <c r="AL905" s="790"/>
      <c r="AM905" s="790"/>
      <c r="AN905" s="790"/>
      <c r="AO905" s="790"/>
      <c r="AP905" s="790"/>
      <c r="AQ905" s="790"/>
      <c r="AR905" s="790"/>
      <c r="AS905" s="790"/>
      <c r="AT905" s="790"/>
      <c r="AU905" s="790"/>
      <c r="AV905" s="790"/>
      <c r="AW905" s="790"/>
      <c r="AX905" s="790"/>
      <c r="AY905" s="790"/>
      <c r="AZ905" s="790"/>
      <c r="BA905" s="790"/>
      <c r="BB905" s="790"/>
      <c r="BC905" s="790"/>
      <c r="BD905" s="790"/>
      <c r="BE905" s="790"/>
      <c r="BF905" s="790"/>
      <c r="BG905" s="790"/>
      <c r="BH905" s="790"/>
      <c r="BI905" s="790"/>
      <c r="BJ905" s="1184" t="s">
        <v>4763</v>
      </c>
    </row>
    <row r="906" spans="1:62" x14ac:dyDescent="0.3">
      <c r="A906" s="1200">
        <v>7</v>
      </c>
      <c r="B906" s="1210" t="s">
        <v>1035</v>
      </c>
      <c r="C906" s="1215"/>
      <c r="D906" s="1203"/>
      <c r="E906" s="1203"/>
      <c r="F906" s="1203"/>
      <c r="G906" s="1202" t="s">
        <v>4389</v>
      </c>
      <c r="H906" s="1200" t="s">
        <v>4388</v>
      </c>
      <c r="I906" s="238"/>
      <c r="J906" s="813"/>
      <c r="K906" s="813"/>
      <c r="L906" s="1350"/>
      <c r="M906" s="1352"/>
      <c r="N906" s="855"/>
      <c r="O906" s="804"/>
      <c r="P906" s="196"/>
      <c r="Q906" s="196"/>
      <c r="R906" s="196"/>
      <c r="S906" s="196"/>
      <c r="T906" s="196"/>
      <c r="U906" s="196"/>
      <c r="V906" s="196"/>
      <c r="W906" s="196"/>
      <c r="X906" s="1295"/>
      <c r="Y906" s="1522"/>
      <c r="Z906" s="1586"/>
      <c r="AB906" s="790"/>
      <c r="AC906" s="790"/>
      <c r="AD906" s="790"/>
      <c r="AE906" s="790"/>
      <c r="AF906" s="790"/>
      <c r="AG906" s="790"/>
      <c r="AH906" s="790"/>
      <c r="AI906" s="790"/>
      <c r="AJ906" s="790"/>
      <c r="AK906" s="790"/>
      <c r="AL906" s="790"/>
      <c r="AM906" s="790"/>
      <c r="AN906" s="790"/>
      <c r="AO906" s="790"/>
      <c r="AP906" s="790"/>
      <c r="AQ906" s="790"/>
      <c r="AR906" s="790"/>
      <c r="AS906" s="790"/>
      <c r="AT906" s="790"/>
      <c r="AU906" s="790"/>
      <c r="AV906" s="790"/>
      <c r="AW906" s="790"/>
      <c r="AX906" s="790"/>
      <c r="AY906" s="790"/>
      <c r="AZ906" s="790"/>
      <c r="BA906" s="790"/>
      <c r="BB906" s="790"/>
      <c r="BC906" s="790"/>
      <c r="BD906" s="790"/>
      <c r="BE906" s="790"/>
      <c r="BF906" s="790"/>
      <c r="BG906" s="790"/>
      <c r="BH906" s="790"/>
      <c r="BI906" s="790"/>
      <c r="BJ906" s="1184" t="s">
        <v>4763</v>
      </c>
    </row>
    <row r="907" spans="1:62" x14ac:dyDescent="0.3">
      <c r="A907" s="1200">
        <v>7</v>
      </c>
      <c r="B907" s="1210" t="s">
        <v>1037</v>
      </c>
      <c r="C907" s="1215"/>
      <c r="D907" s="1203"/>
      <c r="E907" s="1203"/>
      <c r="F907" s="1203"/>
      <c r="G907" s="1202" t="str">
        <f ca="1">IF(N907&gt;0,"P","")</f>
        <v/>
      </c>
      <c r="H907" s="1200" t="s">
        <v>4388</v>
      </c>
      <c r="I907" s="68" t="s">
        <v>1037</v>
      </c>
      <c r="J907" s="819"/>
      <c r="K907" s="819"/>
      <c r="L907" s="1292" t="s">
        <v>1038</v>
      </c>
      <c r="M907" s="1375" t="s">
        <v>3725</v>
      </c>
      <c r="N907" s="1310">
        <f ca="1">'Ch7'!O144</f>
        <v>0</v>
      </c>
      <c r="O907" s="1310">
        <f ca="1">ROUNDDOWN(S909*IF(NOT(W909=""),30+(W909*200),0),0)</f>
        <v>0</v>
      </c>
      <c r="P907" s="1081"/>
      <c r="Q907" s="1081"/>
      <c r="R907" s="790"/>
      <c r="S907" s="790"/>
      <c r="T907" s="790"/>
      <c r="U907" s="790"/>
      <c r="V907" s="790"/>
      <c r="W907" s="1242" t="s">
        <v>3726</v>
      </c>
      <c r="X907" s="1304"/>
      <c r="Y907" s="1522" t="str">
        <f>IF(LEN('Ch7'!X144)=0,"None",'Ch7'!X144)</f>
        <v>None</v>
      </c>
      <c r="Z907" s="1586"/>
      <c r="AB907" s="790"/>
      <c r="AC907" s="790"/>
      <c r="AD907" s="790"/>
      <c r="AE907" s="790"/>
      <c r="AF907" s="790"/>
      <c r="AG907" s="790"/>
      <c r="AH907" s="790"/>
      <c r="AI907" s="790"/>
      <c r="AJ907" s="790"/>
      <c r="AK907" s="790"/>
      <c r="AL907" s="311" t="str">
        <f t="shared" ref="AL907" si="255">SUBSTITUTE(SUBSTITUTE(SUBSTITUTE("vpa"&amp;$B907&amp;$C907&amp;$D907&amp;$E907&amp;$F907,".","_"),"(","_"),")","")</f>
        <v>vpa702_2_2</v>
      </c>
      <c r="AM907" s="311" t="str">
        <f>M907</f>
        <v>Points per formula</v>
      </c>
      <c r="AN907" s="311" t="str">
        <f>SUBSTITUTE(SUBSTITUTE(SUBSTITUTE("vpc"&amp;$B907&amp;$C907&amp;$D907&amp;$E907&amp;$F907,".","_"),"(","_"),")","")</f>
        <v>vpc702_2_2</v>
      </c>
      <c r="AO907" s="311">
        <f ca="1">O907</f>
        <v>0</v>
      </c>
      <c r="AP907" s="790"/>
      <c r="AQ907" s="790"/>
      <c r="AR907" s="311" t="str">
        <f>SUBSTITUTE(SUBSTITUTE(SUBSTITUTE("vnt"&amp;$B907&amp;$C907&amp;$D907&amp;$E907&amp;$F907,".","_"),"(","_"),")","")</f>
        <v>vnt702_2_2</v>
      </c>
      <c r="AS907" s="311">
        <f>X907</f>
        <v>0</v>
      </c>
      <c r="AT907" s="790"/>
      <c r="AU907" s="790"/>
      <c r="AV907" s="790"/>
      <c r="AW907" s="790"/>
      <c r="AX907" s="790"/>
      <c r="AY907" s="790"/>
      <c r="AZ907" s="790"/>
      <c r="BA907" s="790"/>
      <c r="BB907" s="790"/>
      <c r="BC907" s="790"/>
      <c r="BD907" s="790"/>
      <c r="BE907" s="790"/>
      <c r="BF907" s="790"/>
      <c r="BG907" s="790"/>
      <c r="BH907" s="790"/>
      <c r="BI907" s="790"/>
      <c r="BJ907" s="1184" t="s">
        <v>4763</v>
      </c>
    </row>
    <row r="908" spans="1:62" x14ac:dyDescent="0.3">
      <c r="A908" s="1200">
        <v>7</v>
      </c>
      <c r="B908" s="1210" t="s">
        <v>1037</v>
      </c>
      <c r="C908" s="1215"/>
      <c r="D908" s="1203"/>
      <c r="E908" s="1203"/>
      <c r="F908" s="1203"/>
      <c r="G908" s="1202" t="str">
        <f t="shared" ref="G908:G917" ca="1" si="256">G907</f>
        <v/>
      </c>
      <c r="H908" s="1200" t="s">
        <v>4388</v>
      </c>
      <c r="I908" s="4"/>
      <c r="J908" s="819"/>
      <c r="K908" s="819"/>
      <c r="L908" s="1292"/>
      <c r="M908" s="1375"/>
      <c r="N908" s="1310"/>
      <c r="O908" s="1310"/>
      <c r="P908" s="1081"/>
      <c r="Q908" s="1081"/>
      <c r="R908" s="790"/>
      <c r="S908" s="790"/>
      <c r="T908" s="790"/>
      <c r="U908" s="790"/>
      <c r="V908" s="790"/>
      <c r="W908" s="1242"/>
      <c r="X908" s="1303"/>
      <c r="Y908" s="1522"/>
      <c r="Z908" s="1586"/>
      <c r="AB908" s="790"/>
      <c r="AC908" s="790"/>
      <c r="AD908" s="790"/>
      <c r="AE908" s="790"/>
      <c r="AF908" s="790"/>
      <c r="AG908" s="790"/>
      <c r="AH908" s="790"/>
      <c r="AI908" s="790"/>
      <c r="AJ908" s="790"/>
      <c r="AK908" s="790"/>
      <c r="AL908" s="790"/>
      <c r="AM908" s="790"/>
      <c r="AN908" s="790"/>
      <c r="AO908" s="790"/>
      <c r="AP908" s="790"/>
      <c r="AQ908" s="790"/>
      <c r="AR908" s="790"/>
      <c r="AS908" s="790"/>
      <c r="AT908" s="790"/>
      <c r="AU908" s="790"/>
      <c r="AV908" s="790"/>
      <c r="AW908" s="790"/>
      <c r="AX908" s="790"/>
      <c r="AY908" s="790"/>
      <c r="AZ908" s="790"/>
      <c r="BA908" s="790"/>
      <c r="BB908" s="790"/>
      <c r="BC908" s="790"/>
      <c r="BD908" s="790"/>
      <c r="BE908" s="790"/>
      <c r="BF908" s="790"/>
      <c r="BG908" s="790"/>
      <c r="BH908" s="790"/>
      <c r="BI908" s="790"/>
      <c r="BJ908" s="1184" t="s">
        <v>4763</v>
      </c>
    </row>
    <row r="909" spans="1:62" x14ac:dyDescent="0.3">
      <c r="A909" s="1200">
        <v>7</v>
      </c>
      <c r="B909" s="1210" t="s">
        <v>1037</v>
      </c>
      <c r="C909" s="1215"/>
      <c r="D909" s="1203"/>
      <c r="E909" s="1203"/>
      <c r="F909" s="1203"/>
      <c r="G909" s="1202" t="str">
        <f t="shared" ca="1" si="256"/>
        <v/>
      </c>
      <c r="H909" s="1200" t="s">
        <v>4388</v>
      </c>
      <c r="I909" s="4"/>
      <c r="J909" s="819"/>
      <c r="K909" s="819"/>
      <c r="L909" s="1292"/>
      <c r="M909" s="1375"/>
      <c r="N909" s="1310"/>
      <c r="O909" s="1310"/>
      <c r="P909" s="97" t="b">
        <v>0</v>
      </c>
      <c r="Q909" s="97" t="b">
        <v>1</v>
      </c>
      <c r="R909" s="790" t="b">
        <f ca="1">S909</f>
        <v>0</v>
      </c>
      <c r="S909" s="790" t="b">
        <f ca="1">(S776=1)</f>
        <v>0</v>
      </c>
      <c r="T909" s="97" t="b">
        <f ca="1">AND(NOT(S909),LEN(W909)&gt;0)</f>
        <v>0</v>
      </c>
      <c r="U909" s="790"/>
      <c r="V909" s="790"/>
      <c r="W909" s="407"/>
      <c r="X909" s="1303"/>
      <c r="Y909" s="1522"/>
      <c r="Z909" s="1586"/>
      <c r="AB909" s="790"/>
      <c r="AC909" s="790" t="b">
        <f ca="1">OR(AD909:AE909)</f>
        <v>0</v>
      </c>
      <c r="AD909" s="790" t="b">
        <f ca="1">T909</f>
        <v>0</v>
      </c>
      <c r="AE909" s="790" t="b">
        <f ca="1">AND(R909,ISBLANK(W909))</f>
        <v>0</v>
      </c>
      <c r="AF909" s="1182" t="b">
        <f ca="1">AND(AE909,NOT(Q909))</f>
        <v>0</v>
      </c>
      <c r="AG909" s="790"/>
      <c r="AH909" s="790"/>
      <c r="AI909" s="790"/>
      <c r="AJ909" s="790"/>
      <c r="AK909" s="790"/>
      <c r="AL909" s="790"/>
      <c r="AM909" s="790"/>
      <c r="AN909" s="790"/>
      <c r="AO909" s="790"/>
      <c r="AP909" s="311" t="str">
        <f>SUBSTITUTE(SUBSTITUTE(SUBSTITUTE("vch"&amp;$B909&amp;$C909&amp;$D909&amp;$E909&amp;$F909,".","_"),"(","_"),")","")</f>
        <v>vch702_2_2</v>
      </c>
      <c r="AQ909" s="311">
        <f>W909</f>
        <v>0</v>
      </c>
      <c r="AR909" s="790"/>
      <c r="AS909" s="790"/>
      <c r="AT909" s="790"/>
      <c r="AU909" s="790"/>
      <c r="AV909" s="790"/>
      <c r="AW909" s="790"/>
      <c r="AX909" s="790"/>
      <c r="AY909" s="790"/>
      <c r="AZ909" s="790"/>
      <c r="BA909" s="790"/>
      <c r="BB909" s="790"/>
      <c r="BC909" s="790"/>
      <c r="BD909" s="790"/>
      <c r="BE909" s="790"/>
      <c r="BF909" s="790"/>
      <c r="BG909" s="790"/>
      <c r="BH909" s="790"/>
      <c r="BI909" s="790"/>
      <c r="BJ909" s="1184" t="s">
        <v>4763</v>
      </c>
    </row>
    <row r="910" spans="1:62" x14ac:dyDescent="0.3">
      <c r="A910" s="1200">
        <v>7</v>
      </c>
      <c r="B910" s="1210" t="s">
        <v>1037</v>
      </c>
      <c r="C910" s="1215"/>
      <c r="D910" s="1203"/>
      <c r="E910" s="1203"/>
      <c r="F910" s="1203"/>
      <c r="G910" s="1202" t="str">
        <f t="shared" ca="1" si="256"/>
        <v/>
      </c>
      <c r="H910" s="1200" t="s">
        <v>4388</v>
      </c>
      <c r="I910" s="4"/>
      <c r="J910" s="819"/>
      <c r="K910" s="819"/>
      <c r="L910" s="1292"/>
      <c r="M910" s="1375"/>
      <c r="N910" s="1310"/>
      <c r="O910" s="1310"/>
      <c r="P910" s="1081"/>
      <c r="Q910" s="1081"/>
      <c r="R910" s="790"/>
      <c r="S910" s="790"/>
      <c r="T910" s="790"/>
      <c r="U910" s="790"/>
      <c r="V910" s="790"/>
      <c r="W910" s="790"/>
      <c r="X910" s="1303"/>
      <c r="Y910" s="1522"/>
      <c r="Z910" s="1586"/>
      <c r="AB910" s="790"/>
      <c r="AC910" s="790"/>
      <c r="AD910" s="790"/>
      <c r="AE910" s="790"/>
      <c r="AF910" s="790"/>
      <c r="AG910" s="790"/>
      <c r="AH910" s="790"/>
      <c r="AI910" s="790"/>
      <c r="AJ910" s="790"/>
      <c r="AK910" s="790"/>
      <c r="AL910" s="790"/>
      <c r="AM910" s="790"/>
      <c r="AN910" s="790"/>
      <c r="AO910" s="790"/>
      <c r="AP910" s="790"/>
      <c r="AQ910" s="790"/>
      <c r="AR910" s="790"/>
      <c r="AS910" s="790"/>
      <c r="AT910" s="790"/>
      <c r="AU910" s="790"/>
      <c r="AV910" s="790"/>
      <c r="AW910" s="790"/>
      <c r="AX910" s="790"/>
      <c r="AY910" s="790"/>
      <c r="AZ910" s="790"/>
      <c r="BA910" s="790"/>
      <c r="BB910" s="790"/>
      <c r="BC910" s="790"/>
      <c r="BD910" s="790"/>
      <c r="BE910" s="790"/>
      <c r="BF910" s="790"/>
      <c r="BG910" s="790"/>
      <c r="BH910" s="790"/>
      <c r="BI910" s="790"/>
      <c r="BJ910" s="1184" t="s">
        <v>4763</v>
      </c>
    </row>
    <row r="911" spans="1:62" x14ac:dyDescent="0.3">
      <c r="A911" s="1200">
        <v>7</v>
      </c>
      <c r="B911" s="1210" t="s">
        <v>1037</v>
      </c>
      <c r="C911" s="1215"/>
      <c r="D911" s="1203"/>
      <c r="E911" s="1203"/>
      <c r="F911" s="1203"/>
      <c r="G911" s="1202" t="str">
        <f t="shared" ca="1" si="256"/>
        <v/>
      </c>
      <c r="H911" s="1200" t="s">
        <v>4388</v>
      </c>
      <c r="I911" s="4"/>
      <c r="J911" s="819"/>
      <c r="K911" s="819"/>
      <c r="L911" s="1292"/>
      <c r="M911" s="1375"/>
      <c r="N911" s="1310"/>
      <c r="O911" s="1310"/>
      <c r="P911" s="1081"/>
      <c r="Q911" s="1081"/>
      <c r="R911" s="790"/>
      <c r="S911" s="790"/>
      <c r="T911" s="790"/>
      <c r="U911" s="790"/>
      <c r="V911" s="790"/>
      <c r="W911" s="790"/>
      <c r="X911" s="1303"/>
      <c r="Y911" s="1522"/>
      <c r="Z911" s="1586"/>
      <c r="AB911" s="790"/>
      <c r="AC911" s="790"/>
      <c r="AD911" s="790"/>
      <c r="AE911" s="790"/>
      <c r="AF911" s="790"/>
      <c r="AG911" s="790"/>
      <c r="AH911" s="790"/>
      <c r="AI911" s="790"/>
      <c r="AJ911" s="790"/>
      <c r="AK911" s="790"/>
      <c r="AL911" s="790"/>
      <c r="AM911" s="790"/>
      <c r="AN911" s="790"/>
      <c r="AO911" s="790"/>
      <c r="AP911" s="790"/>
      <c r="AQ911" s="790"/>
      <c r="AR911" s="790"/>
      <c r="AS911" s="790"/>
      <c r="AT911" s="790"/>
      <c r="AU911" s="790"/>
      <c r="AV911" s="790"/>
      <c r="AW911" s="790"/>
      <c r="AX911" s="790"/>
      <c r="AY911" s="790"/>
      <c r="AZ911" s="790"/>
      <c r="BA911" s="790"/>
      <c r="BB911" s="790"/>
      <c r="BC911" s="790"/>
      <c r="BD911" s="790"/>
      <c r="BE911" s="790"/>
      <c r="BF911" s="790"/>
      <c r="BG911" s="790"/>
      <c r="BH911" s="790"/>
      <c r="BI911" s="790"/>
      <c r="BJ911" s="1184" t="s">
        <v>4763</v>
      </c>
    </row>
    <row r="912" spans="1:62" x14ac:dyDescent="0.3">
      <c r="A912" s="1200">
        <v>7</v>
      </c>
      <c r="B912" s="1210" t="s">
        <v>1037</v>
      </c>
      <c r="C912" s="1215"/>
      <c r="D912" s="1203"/>
      <c r="E912" s="1203"/>
      <c r="F912" s="1203"/>
      <c r="G912" s="1202" t="str">
        <f t="shared" ca="1" si="256"/>
        <v/>
      </c>
      <c r="H912" s="1200" t="s">
        <v>4388</v>
      </c>
      <c r="I912" s="4"/>
      <c r="J912" s="819"/>
      <c r="K912" s="819"/>
      <c r="L912" s="829" t="s">
        <v>1039</v>
      </c>
      <c r="M912" s="799"/>
      <c r="N912" s="850"/>
      <c r="O912" s="802"/>
      <c r="P912" s="1081"/>
      <c r="Q912" s="1081"/>
      <c r="R912" s="790"/>
      <c r="S912" s="790"/>
      <c r="T912" s="790"/>
      <c r="U912" s="790"/>
      <c r="V912" s="790"/>
      <c r="W912" s="790"/>
      <c r="X912" s="1303"/>
      <c r="Y912" s="1522"/>
      <c r="Z912" s="1586"/>
      <c r="AB912" s="790"/>
      <c r="AC912" s="790"/>
      <c r="AD912" s="790"/>
      <c r="AE912" s="790"/>
      <c r="AF912" s="790"/>
      <c r="AG912" s="790"/>
      <c r="AH912" s="790"/>
      <c r="AI912" s="790"/>
      <c r="AJ912" s="790"/>
      <c r="AK912" s="790"/>
      <c r="AL912" s="790"/>
      <c r="AM912" s="790"/>
      <c r="AN912" s="790"/>
      <c r="AO912" s="790"/>
      <c r="AP912" s="790"/>
      <c r="AQ912" s="790"/>
      <c r="AR912" s="790"/>
      <c r="AS912" s="790"/>
      <c r="AT912" s="790"/>
      <c r="AU912" s="790"/>
      <c r="AV912" s="790"/>
      <c r="AW912" s="790"/>
      <c r="AX912" s="790"/>
      <c r="AY912" s="790"/>
      <c r="AZ912" s="790"/>
      <c r="BA912" s="790"/>
      <c r="BB912" s="790"/>
      <c r="BC912" s="790"/>
      <c r="BD912" s="790"/>
      <c r="BE912" s="790"/>
      <c r="BF912" s="790"/>
      <c r="BG912" s="790"/>
      <c r="BH912" s="790"/>
      <c r="BI912" s="790"/>
      <c r="BJ912" s="1184" t="s">
        <v>4763</v>
      </c>
    </row>
    <row r="913" spans="1:62" x14ac:dyDescent="0.3">
      <c r="A913" s="1200">
        <v>7</v>
      </c>
      <c r="B913" s="1210" t="s">
        <v>1037</v>
      </c>
      <c r="C913" s="1215"/>
      <c r="D913" s="1203"/>
      <c r="E913" s="1203" t="s">
        <v>4384</v>
      </c>
      <c r="F913" s="1203"/>
      <c r="G913" s="1202" t="str">
        <f t="shared" ca="1" si="256"/>
        <v/>
      </c>
      <c r="H913" s="1200" t="s">
        <v>4388</v>
      </c>
      <c r="I913" s="140"/>
      <c r="J913" s="812"/>
      <c r="K913" s="812"/>
      <c r="L913" s="1369" t="s">
        <v>3201</v>
      </c>
      <c r="M913" s="795"/>
      <c r="N913" s="854"/>
      <c r="O913" s="803"/>
      <c r="P913" s="97"/>
      <c r="Q913" s="97"/>
      <c r="R913" s="97"/>
      <c r="S913" s="97"/>
      <c r="T913" s="97"/>
      <c r="U913" s="97"/>
      <c r="V913" s="97"/>
      <c r="W913" s="97"/>
      <c r="X913" s="1295"/>
      <c r="Y913" s="1522" t="str">
        <f>IF(LEN('Ch7'!X150)=0,"None",'Ch7'!X150)</f>
        <v>None</v>
      </c>
      <c r="Z913" s="1586"/>
      <c r="AB913" s="790"/>
      <c r="AC913" s="790"/>
      <c r="AD913" s="790"/>
      <c r="AE913" s="790"/>
      <c r="AF913" s="790"/>
      <c r="AG913" s="790"/>
      <c r="AH913" s="790"/>
      <c r="AI913" s="790"/>
      <c r="AJ913" s="790"/>
      <c r="AK913" s="790"/>
      <c r="AL913" s="790"/>
      <c r="AM913" s="790"/>
      <c r="AN913" s="790"/>
      <c r="AO913" s="790"/>
      <c r="AP913" s="790"/>
      <c r="AQ913" s="790"/>
      <c r="AR913" s="311" t="str">
        <f>SUBSTITUTE(SUBSTITUTE(SUBSTITUTE("vnt"&amp;$B913&amp;$C913&amp;$D913&amp;$E913&amp;$F913,".","_"),"(","_"),")","")</f>
        <v>vnt702_2_2_m</v>
      </c>
      <c r="AS913" s="311">
        <f>X913</f>
        <v>0</v>
      </c>
      <c r="AT913" s="790"/>
      <c r="AU913" s="790"/>
      <c r="AV913" s="790"/>
      <c r="AW913" s="790"/>
      <c r="AX913" s="790"/>
      <c r="AY913" s="790"/>
      <c r="AZ913" s="790"/>
      <c r="BA913" s="790"/>
      <c r="BB913" s="790"/>
      <c r="BC913" s="790"/>
      <c r="BD913" s="790"/>
      <c r="BE913" s="790"/>
      <c r="BF913" s="790"/>
      <c r="BG913" s="790"/>
      <c r="BH913" s="790"/>
      <c r="BI913" s="790"/>
      <c r="BJ913" s="1184" t="s">
        <v>4763</v>
      </c>
    </row>
    <row r="914" spans="1:62" x14ac:dyDescent="0.3">
      <c r="A914" s="1200">
        <v>7</v>
      </c>
      <c r="B914" s="1210" t="s">
        <v>1037</v>
      </c>
      <c r="C914" s="1215"/>
      <c r="D914" s="1203"/>
      <c r="E914" s="1203"/>
      <c r="F914" s="1203"/>
      <c r="G914" s="1202" t="str">
        <f t="shared" ca="1" si="256"/>
        <v/>
      </c>
      <c r="H914" s="1200" t="s">
        <v>4388</v>
      </c>
      <c r="I914" s="140"/>
      <c r="J914" s="812"/>
      <c r="K914" s="812"/>
      <c r="L914" s="1369"/>
      <c r="M914" s="795"/>
      <c r="N914" s="854"/>
      <c r="O914" s="803"/>
      <c r="P914" s="97"/>
      <c r="Q914" s="97"/>
      <c r="R914" s="97"/>
      <c r="S914" s="97"/>
      <c r="T914" s="97"/>
      <c r="U914" s="97"/>
      <c r="V914" s="97"/>
      <c r="W914" s="97"/>
      <c r="X914" s="1295"/>
      <c r="Y914" s="1522"/>
      <c r="Z914" s="1586"/>
      <c r="AB914" s="790"/>
      <c r="AC914" s="790"/>
      <c r="AD914" s="790"/>
      <c r="AE914" s="790"/>
      <c r="AF914" s="790"/>
      <c r="AG914" s="790"/>
      <c r="AH914" s="790"/>
      <c r="AI914" s="790"/>
      <c r="AJ914" s="790"/>
      <c r="AK914" s="790"/>
      <c r="AL914" s="790"/>
      <c r="AM914" s="790"/>
      <c r="AN914" s="790"/>
      <c r="AO914" s="790"/>
      <c r="AP914" s="790"/>
      <c r="AQ914" s="790"/>
      <c r="AR914" s="790"/>
      <c r="AS914" s="790"/>
      <c r="AT914" s="790"/>
      <c r="AU914" s="790"/>
      <c r="AV914" s="790"/>
      <c r="AW914" s="790"/>
      <c r="AX914" s="790"/>
      <c r="AY914" s="790"/>
      <c r="AZ914" s="790"/>
      <c r="BA914" s="790"/>
      <c r="BB914" s="790"/>
      <c r="BC914" s="790"/>
      <c r="BD914" s="790"/>
      <c r="BE914" s="790"/>
      <c r="BF914" s="790"/>
      <c r="BG914" s="790"/>
      <c r="BH914" s="790"/>
      <c r="BI914" s="790"/>
      <c r="BJ914" s="1184" t="s">
        <v>4763</v>
      </c>
    </row>
    <row r="915" spans="1:62" x14ac:dyDescent="0.3">
      <c r="A915" s="1200">
        <v>7</v>
      </c>
      <c r="B915" s="1210" t="s">
        <v>1037</v>
      </c>
      <c r="C915" s="1215"/>
      <c r="D915" s="1203"/>
      <c r="E915" s="1203"/>
      <c r="F915" s="1203"/>
      <c r="G915" s="1202" t="str">
        <f t="shared" ca="1" si="256"/>
        <v/>
      </c>
      <c r="H915" s="1200" t="s">
        <v>4388</v>
      </c>
      <c r="I915" s="238"/>
      <c r="J915" s="813"/>
      <c r="K915" s="813"/>
      <c r="L915" s="1370"/>
      <c r="M915" s="635"/>
      <c r="N915" s="854"/>
      <c r="O915" s="803"/>
      <c r="P915" s="97"/>
      <c r="Q915" s="97"/>
      <c r="R915" s="97"/>
      <c r="S915" s="97"/>
      <c r="T915" s="97"/>
      <c r="U915" s="97"/>
      <c r="V915" s="97"/>
      <c r="W915" s="118"/>
      <c r="X915" s="1295"/>
      <c r="Y915" s="1522"/>
      <c r="Z915" s="1586"/>
      <c r="AB915" s="790"/>
      <c r="AC915" s="790"/>
      <c r="AD915" s="790"/>
      <c r="AE915" s="790"/>
      <c r="AF915" s="790"/>
      <c r="AG915" s="790"/>
      <c r="AH915" s="790"/>
      <c r="AI915" s="790"/>
      <c r="AJ915" s="790"/>
      <c r="AK915" s="790"/>
      <c r="AL915" s="790"/>
      <c r="AM915" s="790"/>
      <c r="AN915" s="790"/>
      <c r="AO915" s="790"/>
      <c r="AP915" s="790"/>
      <c r="AQ915" s="790"/>
      <c r="AR915" s="790"/>
      <c r="AS915" s="790"/>
      <c r="AT915" s="790"/>
      <c r="AU915" s="790"/>
      <c r="AV915" s="790"/>
      <c r="AW915" s="790"/>
      <c r="AX915" s="790"/>
      <c r="AY915" s="790"/>
      <c r="AZ915" s="790"/>
      <c r="BA915" s="790"/>
      <c r="BB915" s="790"/>
      <c r="BC915" s="790"/>
      <c r="BD915" s="790"/>
      <c r="BE915" s="790"/>
      <c r="BF915" s="790"/>
      <c r="BG915" s="790"/>
      <c r="BH915" s="790"/>
      <c r="BI915" s="790"/>
      <c r="BJ915" s="1184" t="s">
        <v>4763</v>
      </c>
    </row>
    <row r="916" spans="1:62" x14ac:dyDescent="0.3">
      <c r="A916" s="1200">
        <v>7</v>
      </c>
      <c r="B916" s="1210" t="s">
        <v>1040</v>
      </c>
      <c r="C916" s="1215"/>
      <c r="D916" s="1203"/>
      <c r="E916" s="1203"/>
      <c r="F916" s="1203"/>
      <c r="G916" s="1202" t="str">
        <f t="shared" ca="1" si="256"/>
        <v/>
      </c>
      <c r="H916" s="1200" t="s">
        <v>4388</v>
      </c>
      <c r="I916" s="68" t="s">
        <v>1040</v>
      </c>
      <c r="J916" s="819"/>
      <c r="K916" s="819"/>
      <c r="L916" s="1292" t="s">
        <v>1041</v>
      </c>
      <c r="M916" s="799"/>
      <c r="N916" s="850"/>
      <c r="O916" s="802"/>
      <c r="P916" s="1081"/>
      <c r="Q916" s="1081"/>
      <c r="R916" s="790"/>
      <c r="S916" s="790"/>
      <c r="T916" s="790"/>
      <c r="U916" s="790"/>
      <c r="V916" s="790"/>
      <c r="W916" s="790"/>
      <c r="X916" s="1304"/>
      <c r="Y916" s="1522" t="str">
        <f>IF(LEN('Ch7'!X153)=0,"None",'Ch7'!X153)</f>
        <v>None</v>
      </c>
      <c r="Z916" s="1586"/>
      <c r="AB916" s="790"/>
      <c r="AC916" s="790"/>
      <c r="AD916" s="790"/>
      <c r="AE916" s="790"/>
      <c r="AF916" s="790"/>
      <c r="AG916" s="790"/>
      <c r="AH916" s="790"/>
      <c r="AI916" s="790"/>
      <c r="AJ916" s="790"/>
      <c r="AK916" s="790"/>
      <c r="AL916" s="790"/>
      <c r="AM916" s="790"/>
      <c r="AN916" s="790"/>
      <c r="AO916" s="790"/>
      <c r="AP916" s="790"/>
      <c r="AQ916" s="790"/>
      <c r="AR916" s="311" t="str">
        <f>SUBSTITUTE(SUBSTITUTE(SUBSTITUTE("vnt"&amp;$B916&amp;$C916&amp;$D916&amp;$E916&amp;$F916,".","_"),"(","_"),")","")</f>
        <v>vnt702_2_3</v>
      </c>
      <c r="AS916" s="311">
        <f>X916</f>
        <v>0</v>
      </c>
      <c r="AT916" s="790"/>
      <c r="AU916" s="790"/>
      <c r="AV916" s="790"/>
      <c r="AW916" s="790"/>
      <c r="AX916" s="790"/>
      <c r="AY916" s="790"/>
      <c r="AZ916" s="790"/>
      <c r="BA916" s="790"/>
      <c r="BB916" s="790"/>
      <c r="BC916" s="790"/>
      <c r="BD916" s="790"/>
      <c r="BE916" s="790"/>
      <c r="BF916" s="790"/>
      <c r="BG916" s="790"/>
      <c r="BH916" s="790"/>
      <c r="BI916" s="790"/>
      <c r="BJ916" s="1184" t="s">
        <v>4763</v>
      </c>
    </row>
    <row r="917" spans="1:62" x14ac:dyDescent="0.3">
      <c r="A917" s="1200">
        <v>7</v>
      </c>
      <c r="B917" s="1210" t="s">
        <v>1040</v>
      </c>
      <c r="C917" s="1215"/>
      <c r="D917" s="1203"/>
      <c r="E917" s="1203"/>
      <c r="F917" s="1203"/>
      <c r="G917" s="1202" t="str">
        <f t="shared" ca="1" si="256"/>
        <v/>
      </c>
      <c r="H917" s="1200" t="s">
        <v>4388</v>
      </c>
      <c r="I917" s="4"/>
      <c r="J917" s="819"/>
      <c r="K917" s="819"/>
      <c r="L917" s="1292"/>
      <c r="M917" s="799"/>
      <c r="N917" s="850"/>
      <c r="O917" s="802"/>
      <c r="P917" s="1081"/>
      <c r="Q917" s="1081"/>
      <c r="R917" s="790"/>
      <c r="S917" s="790"/>
      <c r="T917" s="790"/>
      <c r="U917" s="790"/>
      <c r="V917" s="790"/>
      <c r="W917" s="790"/>
      <c r="X917" s="1303"/>
      <c r="Y917" s="1522"/>
      <c r="Z917" s="1586"/>
      <c r="AB917" s="790"/>
      <c r="AC917" s="790"/>
      <c r="AD917" s="790"/>
      <c r="AE917" s="790"/>
      <c r="AF917" s="790"/>
      <c r="AG917" s="790"/>
      <c r="AH917" s="790"/>
      <c r="AI917" s="790"/>
      <c r="AJ917" s="790"/>
      <c r="AK917" s="790"/>
      <c r="AL917" s="790"/>
      <c r="AM917" s="790"/>
      <c r="AN917" s="790"/>
      <c r="AO917" s="790"/>
      <c r="AP917" s="790"/>
      <c r="AQ917" s="790"/>
      <c r="AR917" s="790"/>
      <c r="AS917" s="790"/>
      <c r="AT917" s="790"/>
      <c r="AU917" s="790"/>
      <c r="AV917" s="790"/>
      <c r="AW917" s="790"/>
      <c r="AX917" s="790"/>
      <c r="AY917" s="790"/>
      <c r="AZ917" s="790"/>
      <c r="BA917" s="790"/>
      <c r="BB917" s="790"/>
      <c r="BC917" s="790"/>
      <c r="BD917" s="790"/>
      <c r="BE917" s="790"/>
      <c r="BF917" s="790"/>
      <c r="BG917" s="790"/>
      <c r="BH917" s="790"/>
      <c r="BI917" s="790"/>
      <c r="BJ917" s="1184" t="s">
        <v>4763</v>
      </c>
    </row>
    <row r="918" spans="1:62" ht="18" x14ac:dyDescent="0.35">
      <c r="A918" s="1200">
        <v>7</v>
      </c>
      <c r="B918" s="1210">
        <v>703</v>
      </c>
      <c r="C918" s="1215"/>
      <c r="D918" s="1203"/>
      <c r="E918" s="1203"/>
      <c r="F918" s="1203"/>
      <c r="G918" s="1202" t="s">
        <v>4389</v>
      </c>
      <c r="H918" s="1200" t="s">
        <v>4386</v>
      </c>
      <c r="I918" s="14" t="s">
        <v>1042</v>
      </c>
      <c r="J918" s="87"/>
      <c r="K918" s="87"/>
      <c r="L918" s="87"/>
      <c r="M918" s="484"/>
      <c r="N918" s="594"/>
      <c r="O918" s="594"/>
      <c r="P918" s="23"/>
      <c r="Q918" s="23"/>
      <c r="R918" s="23"/>
      <c r="S918" s="23"/>
      <c r="T918" s="23"/>
      <c r="U918" s="23"/>
      <c r="V918" s="23"/>
      <c r="W918" s="23"/>
      <c r="X918" s="23"/>
      <c r="Y918" s="790"/>
      <c r="Z918" s="1055"/>
      <c r="AB918" s="790"/>
      <c r="AC918" s="790"/>
      <c r="AD918" s="790"/>
      <c r="AE918" s="790"/>
      <c r="AF918" s="790"/>
      <c r="AG918" s="790"/>
      <c r="AH918" s="790"/>
      <c r="AI918" s="790"/>
      <c r="AJ918" s="790"/>
      <c r="AK918" s="790"/>
      <c r="AL918" s="790"/>
      <c r="AM918" s="790"/>
      <c r="AN918" s="790"/>
      <c r="AO918" s="790"/>
      <c r="AP918" s="790"/>
      <c r="AQ918" s="790"/>
      <c r="AR918" s="790"/>
      <c r="AS918" s="790"/>
      <c r="AT918" s="790"/>
      <c r="AU918" s="790"/>
      <c r="AV918" s="790"/>
      <c r="AW918" s="790"/>
      <c r="AX918" s="790"/>
      <c r="AY918" s="790"/>
      <c r="AZ918" s="790"/>
      <c r="BA918" s="790"/>
      <c r="BB918" s="790"/>
      <c r="BC918" s="790"/>
      <c r="BD918" s="790"/>
      <c r="BE918" s="790"/>
      <c r="BF918" s="790"/>
      <c r="BG918" s="790"/>
      <c r="BH918" s="790"/>
      <c r="BI918" s="790"/>
      <c r="BJ918" s="1184" t="s">
        <v>4763</v>
      </c>
    </row>
    <row r="919" spans="1:62" x14ac:dyDescent="0.3">
      <c r="A919" s="1200">
        <v>7</v>
      </c>
      <c r="B919" s="1210">
        <v>703.1</v>
      </c>
      <c r="C919" s="1215"/>
      <c r="D919" s="1203"/>
      <c r="E919" s="1203"/>
      <c r="F919" s="1203"/>
      <c r="G919" s="1202" t="s">
        <v>4389</v>
      </c>
      <c r="H919" s="1200" t="s">
        <v>4388</v>
      </c>
      <c r="I919" s="66">
        <v>703.1</v>
      </c>
      <c r="J919" s="819"/>
      <c r="K919" s="819"/>
      <c r="L919" s="829" t="s">
        <v>1043</v>
      </c>
      <c r="M919" s="799">
        <v>30</v>
      </c>
      <c r="N919" s="850">
        <f ca="1">'Ch7'!O156</f>
        <v>0</v>
      </c>
      <c r="O919" s="850">
        <f ca="1">30*OR(AND(R920=FALSE,R933=FALSE,R936=FALSE),AND(OR(W933=TRUE,R933=FALSE),W936=TRUE,OR(W920=TRUE,R920=FALSE)))*S920</f>
        <v>0</v>
      </c>
      <c r="P919" s="1081"/>
      <c r="Q919" s="1081"/>
      <c r="R919" s="790"/>
      <c r="S919" s="790"/>
      <c r="T919" s="790"/>
      <c r="U919" s="790"/>
      <c r="V919" s="790"/>
      <c r="W919" s="790"/>
      <c r="X919" s="790"/>
      <c r="Y919" s="790"/>
      <c r="Z919" s="1055"/>
      <c r="AB919" s="790"/>
      <c r="AC919" s="790"/>
      <c r="AD919" s="790"/>
      <c r="AE919" s="790"/>
      <c r="AF919" s="790"/>
      <c r="AG919" s="790"/>
      <c r="AH919" s="790"/>
      <c r="AI919" s="790"/>
      <c r="AJ919" s="790"/>
      <c r="AK919" s="790"/>
      <c r="AL919" s="311" t="str">
        <f t="shared" ref="AL919:AL920" si="257">SUBSTITUTE(SUBSTITUTE(SUBSTITUTE("vpa"&amp;$B919&amp;$C919&amp;$D919&amp;$E919&amp;$F919,".","_"),"(","_"),")","")</f>
        <v>vpa703_1</v>
      </c>
      <c r="AM919" s="311">
        <f>M919</f>
        <v>30</v>
      </c>
      <c r="AN919" s="311" t="str">
        <f>SUBSTITUTE(SUBSTITUTE(SUBSTITUTE("vpc"&amp;$B919&amp;$C919&amp;$D919&amp;$E919&amp;$F919,".","_"),"(","_"),")","")</f>
        <v>vpc703_1</v>
      </c>
      <c r="AO919" s="311">
        <f ca="1">O919</f>
        <v>0</v>
      </c>
      <c r="AP919" s="790"/>
      <c r="AQ919" s="790"/>
      <c r="AR919" s="790"/>
      <c r="AS919" s="790"/>
      <c r="AT919" s="790"/>
      <c r="AU919" s="790"/>
      <c r="AV919" s="790"/>
      <c r="AW919" s="790"/>
      <c r="AX919" s="790"/>
      <c r="AY919" s="790"/>
      <c r="AZ919" s="790"/>
      <c r="BA919" s="790"/>
      <c r="BB919" s="790"/>
      <c r="BC919" s="790"/>
      <c r="BD919" s="790"/>
      <c r="BE919" s="790"/>
      <c r="BF919" s="790"/>
      <c r="BG919" s="790"/>
      <c r="BH919" s="790"/>
      <c r="BI919" s="790"/>
      <c r="BJ919" s="1184" t="s">
        <v>4763</v>
      </c>
    </row>
    <row r="920" spans="1:62" x14ac:dyDescent="0.3">
      <c r="A920" s="1200">
        <v>7</v>
      </c>
      <c r="B920" s="1210" t="s">
        <v>1044</v>
      </c>
      <c r="C920" s="1215"/>
      <c r="D920" s="1203"/>
      <c r="E920" s="1203"/>
      <c r="F920" s="1203"/>
      <c r="G920" s="1202" t="s">
        <v>4389</v>
      </c>
      <c r="H920" s="1200" t="s">
        <v>4388</v>
      </c>
      <c r="I920" s="68" t="s">
        <v>1044</v>
      </c>
      <c r="J920" s="819"/>
      <c r="K920" s="819"/>
      <c r="L920" s="1292" t="s">
        <v>1045</v>
      </c>
      <c r="M920" s="1351" t="str">
        <f ca="1">IF(R920,"Mandatory","N/A")</f>
        <v>N/A</v>
      </c>
      <c r="N920" s="850"/>
      <c r="O920" s="802"/>
      <c r="P920" s="97" t="b">
        <v>0</v>
      </c>
      <c r="Q920" s="97" t="b">
        <v>1</v>
      </c>
      <c r="R920" s="790" t="b">
        <f ca="1">AND(S920,NOT(BI779="Tropical"))</f>
        <v>0</v>
      </c>
      <c r="S920" s="790" t="b">
        <f ca="1">(S776=2)</f>
        <v>0</v>
      </c>
      <c r="T920" s="97" t="b">
        <f ca="1">AND(NOT(S920),W920=TRUE)</f>
        <v>0</v>
      </c>
      <c r="U920" s="790"/>
      <c r="V920" s="790"/>
      <c r="W920" s="25"/>
      <c r="X920" s="1303"/>
      <c r="Y920" s="1522" t="str">
        <f>IF(LEN('Ch7'!X157)=0,"None",'Ch7'!X157)</f>
        <v>None</v>
      </c>
      <c r="Z920" s="1586"/>
      <c r="AB920" s="790"/>
      <c r="AC920" s="790" t="b">
        <f ca="1">OR(AD920:AE920)</f>
        <v>0</v>
      </c>
      <c r="AD920" s="790" t="b">
        <f ca="1">T920</f>
        <v>0</v>
      </c>
      <c r="AE920" s="790" t="b">
        <f ca="1">AND(R920,NOT(W920))</f>
        <v>0</v>
      </c>
      <c r="AF920" s="1182" t="b">
        <f ca="1">AND(AE920,NOT(Q920))</f>
        <v>0</v>
      </c>
      <c r="AG920" s="790"/>
      <c r="AH920" s="790"/>
      <c r="AI920" s="790"/>
      <c r="AJ920" s="790"/>
      <c r="AK920" s="790"/>
      <c r="AL920" s="311" t="str">
        <f t="shared" si="257"/>
        <v>vpa703_1_1</v>
      </c>
      <c r="AM920" s="311" t="str">
        <f ca="1">M920</f>
        <v>N/A</v>
      </c>
      <c r="AN920" s="790"/>
      <c r="AO920" s="790"/>
      <c r="AP920" s="311" t="str">
        <f>SUBSTITUTE(SUBSTITUTE(SUBSTITUTE("vch"&amp;$B920&amp;$C920&amp;$D920&amp;$E920&amp;$F920,".","_"),"(","_"),")","")</f>
        <v>vch703_1_1</v>
      </c>
      <c r="AQ920" s="311">
        <f>W920</f>
        <v>0</v>
      </c>
      <c r="AR920" s="311" t="str">
        <f>SUBSTITUTE(SUBSTITUTE(SUBSTITUTE("vnt"&amp;$B920&amp;$C920&amp;$D920&amp;$E920&amp;$F920,".","_"),"(","_"),")","")</f>
        <v>vnt703_1_1</v>
      </c>
      <c r="AS920" s="311">
        <f>X920</f>
        <v>0</v>
      </c>
      <c r="AT920" s="790"/>
      <c r="AU920" s="790"/>
      <c r="AV920" s="790"/>
      <c r="AW920" s="790"/>
      <c r="AX920" s="790"/>
      <c r="AY920" s="790"/>
      <c r="AZ920" s="790"/>
      <c r="BA920" s="790"/>
      <c r="BB920" s="790"/>
      <c r="BC920" s="790"/>
      <c r="BD920" s="790"/>
      <c r="BE920" s="790"/>
      <c r="BF920" s="790"/>
      <c r="BG920" s="790"/>
      <c r="BH920" s="790"/>
      <c r="BI920" s="790"/>
      <c r="BJ920" s="1184" t="s">
        <v>4763</v>
      </c>
    </row>
    <row r="921" spans="1:62" x14ac:dyDescent="0.3">
      <c r="A921" s="1200">
        <v>7</v>
      </c>
      <c r="B921" s="1210" t="s">
        <v>1044</v>
      </c>
      <c r="C921" s="1215"/>
      <c r="D921" s="1203"/>
      <c r="E921" s="1203"/>
      <c r="F921" s="1203"/>
      <c r="G921" s="1202" t="s">
        <v>4389</v>
      </c>
      <c r="H921" s="1200" t="s">
        <v>4388</v>
      </c>
      <c r="I921" s="4"/>
      <c r="J921" s="819"/>
      <c r="K921" s="819"/>
      <c r="L921" s="1292"/>
      <c r="M921" s="1351"/>
      <c r="N921" s="850"/>
      <c r="O921" s="802"/>
      <c r="P921" s="1081"/>
      <c r="Q921" s="1081"/>
      <c r="R921" s="790"/>
      <c r="S921" s="790"/>
      <c r="T921" s="790"/>
      <c r="U921" s="790"/>
      <c r="V921" s="790"/>
      <c r="W921" s="790"/>
      <c r="X921" s="1303"/>
      <c r="Y921" s="1522"/>
      <c r="Z921" s="1586"/>
      <c r="AB921" s="790"/>
      <c r="AC921" s="790"/>
      <c r="AD921" s="790"/>
      <c r="AE921" s="790"/>
      <c r="AF921" s="790"/>
      <c r="AG921" s="790"/>
      <c r="AH921" s="790"/>
      <c r="AI921" s="790"/>
      <c r="AJ921" s="790"/>
      <c r="AK921" s="790"/>
      <c r="AL921" s="790"/>
      <c r="AM921" s="790"/>
      <c r="AN921" s="790"/>
      <c r="AO921" s="790"/>
      <c r="AP921" s="790"/>
      <c r="AQ921" s="790"/>
      <c r="AR921" s="790"/>
      <c r="AS921" s="790"/>
      <c r="AT921" s="790"/>
      <c r="AU921" s="790"/>
      <c r="AV921" s="790"/>
      <c r="AW921" s="790"/>
      <c r="AX921" s="790"/>
      <c r="AY921" s="790"/>
      <c r="AZ921" s="790"/>
      <c r="BA921" s="790"/>
      <c r="BB921" s="790"/>
      <c r="BC921" s="790"/>
      <c r="BD921" s="790"/>
      <c r="BE921" s="790"/>
      <c r="BF921" s="790"/>
      <c r="BG921" s="790"/>
      <c r="BH921" s="790"/>
      <c r="BI921" s="790"/>
      <c r="BJ921" s="1184" t="s">
        <v>4763</v>
      </c>
    </row>
    <row r="922" spans="1:62" x14ac:dyDescent="0.3">
      <c r="A922" s="1200">
        <v>7</v>
      </c>
      <c r="B922" s="1210" t="s">
        <v>1044</v>
      </c>
      <c r="C922" s="1215"/>
      <c r="D922" s="1203"/>
      <c r="E922" s="1203"/>
      <c r="F922" s="1203"/>
      <c r="G922" s="1202" t="s">
        <v>4389</v>
      </c>
      <c r="H922" s="1200" t="s">
        <v>4388</v>
      </c>
      <c r="I922" s="238"/>
      <c r="J922" s="813"/>
      <c r="K922" s="813"/>
      <c r="L922" s="821" t="s">
        <v>3202</v>
      </c>
      <c r="M922" s="799"/>
      <c r="N922" s="850"/>
      <c r="O922" s="802"/>
      <c r="P922" s="1081"/>
      <c r="Q922" s="1081"/>
      <c r="R922" s="790"/>
      <c r="S922" s="790"/>
      <c r="T922" s="790"/>
      <c r="U922" s="790"/>
      <c r="V922" s="790"/>
      <c r="W922" s="790"/>
      <c r="X922" s="1303"/>
      <c r="Y922" s="1522"/>
      <c r="Z922" s="1586"/>
      <c r="AB922" s="790"/>
      <c r="AC922" s="790"/>
      <c r="AD922" s="790"/>
      <c r="AE922" s="790"/>
      <c r="AF922" s="790"/>
      <c r="AG922" s="790"/>
      <c r="AH922" s="790"/>
      <c r="AI922" s="790"/>
      <c r="AJ922" s="790"/>
      <c r="AK922" s="790"/>
      <c r="AL922" s="790"/>
      <c r="AM922" s="790"/>
      <c r="AN922" s="790"/>
      <c r="AO922" s="790"/>
      <c r="AP922" s="790"/>
      <c r="AQ922" s="790"/>
      <c r="AR922" s="790"/>
      <c r="AS922" s="790"/>
      <c r="AT922" s="790"/>
      <c r="AU922" s="790"/>
      <c r="AV922" s="790"/>
      <c r="AW922" s="790"/>
      <c r="AX922" s="790"/>
      <c r="AY922" s="790"/>
      <c r="AZ922" s="790"/>
      <c r="BA922" s="790"/>
      <c r="BB922" s="790"/>
      <c r="BC922" s="790"/>
      <c r="BD922" s="790"/>
      <c r="BE922" s="790"/>
      <c r="BF922" s="790"/>
      <c r="BG922" s="790"/>
      <c r="BH922" s="790"/>
      <c r="BI922" s="790"/>
      <c r="BJ922" s="1184" t="s">
        <v>4763</v>
      </c>
    </row>
    <row r="923" spans="1:62" x14ac:dyDescent="0.3">
      <c r="A923" s="1200">
        <v>7</v>
      </c>
      <c r="B923" s="1210" t="s">
        <v>1046</v>
      </c>
      <c r="C923" s="1210"/>
      <c r="D923" s="1203"/>
      <c r="E923" s="1203"/>
      <c r="F923" s="1203"/>
      <c r="G923" s="1202" t="s">
        <v>4389</v>
      </c>
      <c r="H923" s="1200" t="s">
        <v>4388</v>
      </c>
      <c r="I923" s="630" t="s">
        <v>1047</v>
      </c>
      <c r="J923" s="823"/>
      <c r="K923" s="823"/>
      <c r="L923" s="1364" t="s">
        <v>1048</v>
      </c>
      <c r="M923" s="799"/>
      <c r="N923" s="850"/>
      <c r="O923" s="802"/>
      <c r="P923" s="1081"/>
      <c r="Q923" s="1081"/>
      <c r="R923" s="790"/>
      <c r="S923" s="790"/>
      <c r="T923" s="790"/>
      <c r="U923" s="790"/>
      <c r="V923" s="790"/>
      <c r="W923" s="790"/>
      <c r="X923" s="1303"/>
      <c r="Y923" s="1522"/>
      <c r="Z923" s="1586"/>
      <c r="AB923" s="790"/>
      <c r="AC923" s="790"/>
      <c r="AD923" s="790"/>
      <c r="AE923" s="790"/>
      <c r="AF923" s="790"/>
      <c r="AG923" s="790"/>
      <c r="AH923" s="790"/>
      <c r="AI923" s="790"/>
      <c r="AJ923" s="790"/>
      <c r="AK923" s="790"/>
      <c r="AL923" s="790"/>
      <c r="AM923" s="790"/>
      <c r="AN923" s="790"/>
      <c r="AO923" s="790"/>
      <c r="AP923" s="790"/>
      <c r="AQ923" s="790"/>
      <c r="AR923" s="790"/>
      <c r="AS923" s="790"/>
      <c r="AT923" s="790"/>
      <c r="AU923" s="790"/>
      <c r="AV923" s="790"/>
      <c r="AW923" s="790"/>
      <c r="AX923" s="790"/>
      <c r="AY923" s="790"/>
      <c r="AZ923" s="790"/>
      <c r="BA923" s="790"/>
      <c r="BB923" s="790"/>
      <c r="BC923" s="790"/>
      <c r="BD923" s="790"/>
      <c r="BE923" s="790"/>
      <c r="BF923" s="790"/>
      <c r="BG923" s="790"/>
      <c r="BH923" s="790"/>
      <c r="BI923" s="790"/>
      <c r="BJ923" s="1184" t="s">
        <v>4763</v>
      </c>
    </row>
    <row r="924" spans="1:62" x14ac:dyDescent="0.3">
      <c r="A924" s="1200">
        <v>7</v>
      </c>
      <c r="B924" s="1210" t="s">
        <v>1046</v>
      </c>
      <c r="C924" s="1210"/>
      <c r="D924" s="1203"/>
      <c r="E924" s="1203"/>
      <c r="F924" s="1203"/>
      <c r="G924" s="1202" t="s">
        <v>4389</v>
      </c>
      <c r="H924" s="1200" t="s">
        <v>4388</v>
      </c>
      <c r="I924" s="140"/>
      <c r="J924" s="812"/>
      <c r="K924" s="812"/>
      <c r="L924" s="1313"/>
      <c r="M924" s="799"/>
      <c r="N924" s="850"/>
      <c r="O924" s="802"/>
      <c r="P924" s="1081"/>
      <c r="Q924" s="1081"/>
      <c r="R924" s="790"/>
      <c r="S924" s="790"/>
      <c r="T924" s="790"/>
      <c r="U924" s="790"/>
      <c r="V924" s="790"/>
      <c r="W924" s="790"/>
      <c r="X924" s="1303"/>
      <c r="Y924" s="1522"/>
      <c r="Z924" s="1586"/>
      <c r="AB924" s="790"/>
      <c r="AC924" s="790"/>
      <c r="AD924" s="790"/>
      <c r="AE924" s="790"/>
      <c r="AF924" s="790"/>
      <c r="AG924" s="790"/>
      <c r="AH924" s="790"/>
      <c r="AI924" s="790"/>
      <c r="AJ924" s="790"/>
      <c r="AK924" s="790"/>
      <c r="AL924" s="790"/>
      <c r="AM924" s="790"/>
      <c r="AN924" s="790"/>
      <c r="AO924" s="790"/>
      <c r="AP924" s="790"/>
      <c r="AQ924" s="790"/>
      <c r="AR924" s="790"/>
      <c r="AS924" s="790"/>
      <c r="AT924" s="790"/>
      <c r="AU924" s="790"/>
      <c r="AV924" s="790"/>
      <c r="AW924" s="790"/>
      <c r="AX924" s="790"/>
      <c r="AY924" s="790"/>
      <c r="AZ924" s="790"/>
      <c r="BA924" s="790"/>
      <c r="BB924" s="790"/>
      <c r="BC924" s="790"/>
      <c r="BD924" s="790"/>
      <c r="BE924" s="790"/>
      <c r="BF924" s="790"/>
      <c r="BG924" s="790"/>
      <c r="BH924" s="790"/>
      <c r="BI924" s="790"/>
      <c r="BJ924" s="1184" t="s">
        <v>4763</v>
      </c>
    </row>
    <row r="925" spans="1:62" x14ac:dyDescent="0.3">
      <c r="A925" s="1200">
        <v>7</v>
      </c>
      <c r="B925" s="1210" t="s">
        <v>1046</v>
      </c>
      <c r="C925" s="1210"/>
      <c r="D925" s="1203"/>
      <c r="E925" s="1203"/>
      <c r="F925" s="1203"/>
      <c r="G925" s="1202" t="s">
        <v>4389</v>
      </c>
      <c r="H925" s="1200" t="s">
        <v>4388</v>
      </c>
      <c r="I925" s="140"/>
      <c r="J925" s="812"/>
      <c r="K925" s="812"/>
      <c r="L925" s="1313"/>
      <c r="M925" s="799"/>
      <c r="N925" s="850"/>
      <c r="O925" s="802"/>
      <c r="P925" s="1081"/>
      <c r="Q925" s="1081"/>
      <c r="R925" s="790"/>
      <c r="S925" s="790"/>
      <c r="T925" s="790"/>
      <c r="U925" s="790"/>
      <c r="V925" s="790"/>
      <c r="W925" s="790"/>
      <c r="X925" s="1303"/>
      <c r="Y925" s="1522"/>
      <c r="Z925" s="1586"/>
      <c r="AB925" s="790"/>
      <c r="AC925" s="790"/>
      <c r="AD925" s="790"/>
      <c r="AE925" s="790"/>
      <c r="AF925" s="790"/>
      <c r="AG925" s="790"/>
      <c r="AH925" s="790"/>
      <c r="AI925" s="790"/>
      <c r="AJ925" s="790"/>
      <c r="AK925" s="790"/>
      <c r="AL925" s="790"/>
      <c r="AM925" s="790"/>
      <c r="AN925" s="790"/>
      <c r="AO925" s="790"/>
      <c r="AP925" s="790"/>
      <c r="AQ925" s="790"/>
      <c r="AR925" s="790"/>
      <c r="AS925" s="790"/>
      <c r="AT925" s="790"/>
      <c r="AU925" s="790"/>
      <c r="AV925" s="790"/>
      <c r="AW925" s="790"/>
      <c r="AX925" s="790"/>
      <c r="AY925" s="790"/>
      <c r="AZ925" s="790"/>
      <c r="BA925" s="790"/>
      <c r="BB925" s="790"/>
      <c r="BC925" s="790"/>
      <c r="BD925" s="790"/>
      <c r="BE925" s="790"/>
      <c r="BF925" s="790"/>
      <c r="BG925" s="790"/>
      <c r="BH925" s="790"/>
      <c r="BI925" s="790"/>
      <c r="BJ925" s="1184" t="s">
        <v>4763</v>
      </c>
    </row>
    <row r="926" spans="1:62" x14ac:dyDescent="0.3">
      <c r="A926" s="1200">
        <v>7</v>
      </c>
      <c r="B926" s="1210" t="s">
        <v>1046</v>
      </c>
      <c r="C926" s="1210"/>
      <c r="D926" s="1203"/>
      <c r="E926" s="1203"/>
      <c r="F926" s="1203"/>
      <c r="G926" s="1202" t="s">
        <v>4389</v>
      </c>
      <c r="H926" s="1200" t="s">
        <v>4388</v>
      </c>
      <c r="I926" s="140"/>
      <c r="J926" s="812"/>
      <c r="K926" s="812"/>
      <c r="L926" s="1313"/>
      <c r="M926" s="799"/>
      <c r="N926" s="850"/>
      <c r="O926" s="802"/>
      <c r="P926" s="1081"/>
      <c r="Q926" s="1081"/>
      <c r="R926" s="790"/>
      <c r="S926" s="790"/>
      <c r="T926" s="790"/>
      <c r="U926" s="790"/>
      <c r="V926" s="790"/>
      <c r="W926" s="790"/>
      <c r="X926" s="1303"/>
      <c r="Y926" s="1522"/>
      <c r="Z926" s="1586"/>
      <c r="AB926" s="790"/>
      <c r="AC926" s="790"/>
      <c r="AD926" s="790"/>
      <c r="AE926" s="790"/>
      <c r="AF926" s="790"/>
      <c r="AG926" s="790"/>
      <c r="AH926" s="790"/>
      <c r="AI926" s="790"/>
      <c r="AJ926" s="790"/>
      <c r="AK926" s="790"/>
      <c r="AL926" s="790"/>
      <c r="AM926" s="790"/>
      <c r="AN926" s="790"/>
      <c r="AO926" s="790"/>
      <c r="AP926" s="790"/>
      <c r="AQ926" s="790"/>
      <c r="AR926" s="790"/>
      <c r="AS926" s="790"/>
      <c r="AT926" s="790"/>
      <c r="AU926" s="790"/>
      <c r="AV926" s="790"/>
      <c r="AW926" s="790"/>
      <c r="AX926" s="790"/>
      <c r="AY926" s="790"/>
      <c r="AZ926" s="790"/>
      <c r="BA926" s="790"/>
      <c r="BB926" s="790"/>
      <c r="BC926" s="790"/>
      <c r="BD926" s="790"/>
      <c r="BE926" s="790"/>
      <c r="BF926" s="790"/>
      <c r="BG926" s="790"/>
      <c r="BH926" s="790"/>
      <c r="BI926" s="790"/>
      <c r="BJ926" s="1184" t="s">
        <v>4763</v>
      </c>
    </row>
    <row r="927" spans="1:62" x14ac:dyDescent="0.3">
      <c r="A927" s="1200">
        <v>7</v>
      </c>
      <c r="B927" s="1210" t="s">
        <v>1046</v>
      </c>
      <c r="C927" s="1210"/>
      <c r="D927" s="1203"/>
      <c r="E927" s="1203"/>
      <c r="F927" s="1203"/>
      <c r="G927" s="1202" t="s">
        <v>4389</v>
      </c>
      <c r="H927" s="1200" t="s">
        <v>4388</v>
      </c>
      <c r="I927" s="140"/>
      <c r="J927" s="812"/>
      <c r="K927" s="812"/>
      <c r="L927" s="1313"/>
      <c r="M927" s="799"/>
      <c r="N927" s="850"/>
      <c r="O927" s="802"/>
      <c r="P927" s="1081"/>
      <c r="Q927" s="1081"/>
      <c r="R927" s="790"/>
      <c r="S927" s="790"/>
      <c r="T927" s="790"/>
      <c r="U927" s="790"/>
      <c r="V927" s="790"/>
      <c r="W927" s="790"/>
      <c r="X927" s="1303"/>
      <c r="Y927" s="1522"/>
      <c r="Z927" s="1586"/>
      <c r="AB927" s="790"/>
      <c r="AC927" s="790"/>
      <c r="AD927" s="790"/>
      <c r="AE927" s="790"/>
      <c r="AF927" s="790"/>
      <c r="AG927" s="790"/>
      <c r="AH927" s="790"/>
      <c r="AI927" s="790"/>
      <c r="AJ927" s="790"/>
      <c r="AK927" s="790"/>
      <c r="AL927" s="790"/>
      <c r="AM927" s="790"/>
      <c r="AN927" s="790"/>
      <c r="AO927" s="790"/>
      <c r="AP927" s="790"/>
      <c r="AQ927" s="790"/>
      <c r="AR927" s="790"/>
      <c r="AS927" s="790"/>
      <c r="AT927" s="790"/>
      <c r="AU927" s="790"/>
      <c r="AV927" s="790"/>
      <c r="AW927" s="790"/>
      <c r="AX927" s="790"/>
      <c r="AY927" s="790"/>
      <c r="AZ927" s="790"/>
      <c r="BA927" s="790"/>
      <c r="BB927" s="790"/>
      <c r="BC927" s="790"/>
      <c r="BD927" s="790"/>
      <c r="BE927" s="790"/>
      <c r="BF927" s="790"/>
      <c r="BG927" s="790"/>
      <c r="BH927" s="790"/>
      <c r="BI927" s="790"/>
      <c r="BJ927" s="1184" t="s">
        <v>4763</v>
      </c>
    </row>
    <row r="928" spans="1:62" x14ac:dyDescent="0.3">
      <c r="A928" s="1200">
        <v>7</v>
      </c>
      <c r="B928" s="1210" t="s">
        <v>1046</v>
      </c>
      <c r="C928" s="1210"/>
      <c r="D928" s="1203"/>
      <c r="E928" s="1203"/>
      <c r="F928" s="1203"/>
      <c r="G928" s="1202" t="s">
        <v>4389</v>
      </c>
      <c r="H928" s="1200" t="s">
        <v>4388</v>
      </c>
      <c r="I928" s="238"/>
      <c r="J928" s="813"/>
      <c r="K928" s="813"/>
      <c r="L928" s="1350"/>
      <c r="M928" s="799"/>
      <c r="N928" s="850"/>
      <c r="O928" s="802"/>
      <c r="P928" s="1081"/>
      <c r="Q928" s="1081"/>
      <c r="R928" s="790"/>
      <c r="S928" s="790"/>
      <c r="T928" s="790"/>
      <c r="U928" s="790"/>
      <c r="V928" s="790"/>
      <c r="W928" s="790"/>
      <c r="X928" s="1303"/>
      <c r="Y928" s="1522"/>
      <c r="Z928" s="1586"/>
      <c r="AB928" s="790"/>
      <c r="AC928" s="790"/>
      <c r="AD928" s="790"/>
      <c r="AE928" s="790"/>
      <c r="AF928" s="790"/>
      <c r="AG928" s="790"/>
      <c r="AH928" s="790"/>
      <c r="AI928" s="790"/>
      <c r="AJ928" s="790"/>
      <c r="AK928" s="790"/>
      <c r="AL928" s="790"/>
      <c r="AM928" s="790"/>
      <c r="AN928" s="790"/>
      <c r="AO928" s="790"/>
      <c r="AP928" s="790"/>
      <c r="AQ928" s="790"/>
      <c r="AR928" s="790"/>
      <c r="AS928" s="790"/>
      <c r="AT928" s="790"/>
      <c r="AU928" s="790"/>
      <c r="AV928" s="790"/>
      <c r="AW928" s="790"/>
      <c r="AX928" s="790"/>
      <c r="AY928" s="790"/>
      <c r="AZ928" s="790"/>
      <c r="BA928" s="790"/>
      <c r="BB928" s="790"/>
      <c r="BC928" s="790"/>
      <c r="BD928" s="790"/>
      <c r="BE928" s="790"/>
      <c r="BF928" s="790"/>
      <c r="BG928" s="790"/>
      <c r="BH928" s="790"/>
      <c r="BI928" s="790"/>
      <c r="BJ928" s="1184" t="s">
        <v>4763</v>
      </c>
    </row>
    <row r="929" spans="1:62" x14ac:dyDescent="0.3">
      <c r="A929" s="1200">
        <v>7</v>
      </c>
      <c r="B929" s="1210" t="s">
        <v>1049</v>
      </c>
      <c r="C929" s="1210"/>
      <c r="D929" s="1203"/>
      <c r="E929" s="1203"/>
      <c r="F929" s="1203"/>
      <c r="G929" s="1202" t="s">
        <v>4389</v>
      </c>
      <c r="H929" s="1200" t="s">
        <v>4388</v>
      </c>
      <c r="I929" s="630" t="s">
        <v>1050</v>
      </c>
      <c r="J929" s="823"/>
      <c r="K929" s="823"/>
      <c r="L929" s="1364" t="s">
        <v>1051</v>
      </c>
      <c r="M929" s="799"/>
      <c r="N929" s="850"/>
      <c r="O929" s="802"/>
      <c r="P929" s="1081"/>
      <c r="Q929" s="1081"/>
      <c r="R929" s="790"/>
      <c r="S929" s="790"/>
      <c r="T929" s="790"/>
      <c r="U929" s="790"/>
      <c r="V929" s="790"/>
      <c r="W929" s="790"/>
      <c r="X929" s="1303"/>
      <c r="Y929" s="1522"/>
      <c r="Z929" s="1586"/>
      <c r="AB929" s="790"/>
      <c r="AC929" s="790"/>
      <c r="AD929" s="790"/>
      <c r="AE929" s="790"/>
      <c r="AF929" s="790"/>
      <c r="AG929" s="790"/>
      <c r="AH929" s="790"/>
      <c r="AI929" s="790"/>
      <c r="AJ929" s="790"/>
      <c r="AK929" s="790"/>
      <c r="AL929" s="790"/>
      <c r="AM929" s="790"/>
      <c r="AN929" s="790"/>
      <c r="AO929" s="790"/>
      <c r="AP929" s="790"/>
      <c r="AQ929" s="790"/>
      <c r="AR929" s="790"/>
      <c r="AS929" s="790"/>
      <c r="AT929" s="790"/>
      <c r="AU929" s="790"/>
      <c r="AV929" s="790"/>
      <c r="AW929" s="790"/>
      <c r="AX929" s="790"/>
      <c r="AY929" s="790"/>
      <c r="AZ929" s="790"/>
      <c r="BA929" s="790"/>
      <c r="BB929" s="790"/>
      <c r="BC929" s="790"/>
      <c r="BD929" s="790"/>
      <c r="BE929" s="790"/>
      <c r="BF929" s="790"/>
      <c r="BG929" s="790"/>
      <c r="BH929" s="790"/>
      <c r="BI929" s="790"/>
      <c r="BJ929" s="1184" t="s">
        <v>4763</v>
      </c>
    </row>
    <row r="930" spans="1:62" x14ac:dyDescent="0.3">
      <c r="A930" s="1200">
        <v>7</v>
      </c>
      <c r="B930" s="1210" t="s">
        <v>1049</v>
      </c>
      <c r="C930" s="1210"/>
      <c r="D930" s="1203"/>
      <c r="E930" s="1203"/>
      <c r="F930" s="1203"/>
      <c r="G930" s="1202" t="s">
        <v>4389</v>
      </c>
      <c r="H930" s="1200" t="s">
        <v>4388</v>
      </c>
      <c r="I930" s="140"/>
      <c r="J930" s="812"/>
      <c r="K930" s="812"/>
      <c r="L930" s="1313"/>
      <c r="M930" s="799"/>
      <c r="N930" s="850"/>
      <c r="O930" s="802"/>
      <c r="P930" s="1081"/>
      <c r="Q930" s="1081"/>
      <c r="R930" s="790"/>
      <c r="S930" s="790"/>
      <c r="T930" s="790"/>
      <c r="U930" s="790"/>
      <c r="V930" s="790"/>
      <c r="W930" s="790"/>
      <c r="X930" s="1303"/>
      <c r="Y930" s="1522"/>
      <c r="Z930" s="1586"/>
      <c r="AB930" s="790"/>
      <c r="AC930" s="790"/>
      <c r="AD930" s="790"/>
      <c r="AE930" s="790"/>
      <c r="AF930" s="790"/>
      <c r="AG930" s="790"/>
      <c r="AH930" s="790"/>
      <c r="AI930" s="790"/>
      <c r="AJ930" s="790"/>
      <c r="AK930" s="790"/>
      <c r="AL930" s="790"/>
      <c r="AM930" s="790"/>
      <c r="AN930" s="790"/>
      <c r="AO930" s="790"/>
      <c r="AP930" s="790"/>
      <c r="AQ930" s="790"/>
      <c r="AR930" s="790"/>
      <c r="AS930" s="790"/>
      <c r="AT930" s="790"/>
      <c r="AU930" s="790"/>
      <c r="AV930" s="790"/>
      <c r="AW930" s="790"/>
      <c r="AX930" s="790"/>
      <c r="AY930" s="790"/>
      <c r="AZ930" s="790"/>
      <c r="BA930" s="790"/>
      <c r="BB930" s="790"/>
      <c r="BC930" s="790"/>
      <c r="BD930" s="790"/>
      <c r="BE930" s="790"/>
      <c r="BF930" s="790"/>
      <c r="BG930" s="790"/>
      <c r="BH930" s="790"/>
      <c r="BI930" s="790"/>
      <c r="BJ930" s="1184" t="s">
        <v>4763</v>
      </c>
    </row>
    <row r="931" spans="1:62" x14ac:dyDescent="0.3">
      <c r="A931" s="1200">
        <v>7</v>
      </c>
      <c r="B931" s="1210" t="s">
        <v>1049</v>
      </c>
      <c r="C931" s="1210"/>
      <c r="D931" s="1203"/>
      <c r="E931" s="1203"/>
      <c r="F931" s="1203"/>
      <c r="G931" s="1202" t="s">
        <v>4389</v>
      </c>
      <c r="H931" s="1200" t="s">
        <v>4388</v>
      </c>
      <c r="I931" s="140"/>
      <c r="J931" s="812"/>
      <c r="K931" s="812"/>
      <c r="L931" s="1313"/>
      <c r="M931" s="799"/>
      <c r="N931" s="850"/>
      <c r="O931" s="802"/>
      <c r="P931" s="1081"/>
      <c r="Q931" s="1081"/>
      <c r="R931" s="790"/>
      <c r="S931" s="790"/>
      <c r="T931" s="790"/>
      <c r="U931" s="790"/>
      <c r="V931" s="790"/>
      <c r="W931" s="790"/>
      <c r="X931" s="1303"/>
      <c r="Y931" s="1522"/>
      <c r="Z931" s="1586"/>
      <c r="AB931" s="790"/>
      <c r="AC931" s="790"/>
      <c r="AD931" s="790"/>
      <c r="AE931" s="790"/>
      <c r="AF931" s="790"/>
      <c r="AG931" s="790"/>
      <c r="AH931" s="790"/>
      <c r="AI931" s="790"/>
      <c r="AJ931" s="790"/>
      <c r="AK931" s="790"/>
      <c r="AL931" s="790"/>
      <c r="AM931" s="790"/>
      <c r="AN931" s="790"/>
      <c r="AO931" s="790"/>
      <c r="AP931" s="790"/>
      <c r="AQ931" s="790"/>
      <c r="AR931" s="790"/>
      <c r="AS931" s="790"/>
      <c r="AT931" s="790"/>
      <c r="AU931" s="790"/>
      <c r="AV931" s="790"/>
      <c r="AW931" s="790"/>
      <c r="AX931" s="790"/>
      <c r="AY931" s="790"/>
      <c r="AZ931" s="790"/>
      <c r="BA931" s="790"/>
      <c r="BB931" s="790"/>
      <c r="BC931" s="790"/>
      <c r="BD931" s="790"/>
      <c r="BE931" s="790"/>
      <c r="BF931" s="790"/>
      <c r="BG931" s="790"/>
      <c r="BH931" s="790"/>
      <c r="BI931" s="790"/>
      <c r="BJ931" s="1184" t="s">
        <v>4763</v>
      </c>
    </row>
    <row r="932" spans="1:62" x14ac:dyDescent="0.3">
      <c r="A932" s="1200">
        <v>7</v>
      </c>
      <c r="B932" s="1210" t="s">
        <v>1049</v>
      </c>
      <c r="C932" s="1210"/>
      <c r="D932" s="1203"/>
      <c r="E932" s="1203"/>
      <c r="F932" s="1203"/>
      <c r="G932" s="1202" t="s">
        <v>4389</v>
      </c>
      <c r="H932" s="1200" t="s">
        <v>4388</v>
      </c>
      <c r="I932" s="238"/>
      <c r="J932" s="813"/>
      <c r="K932" s="813"/>
      <c r="L932" s="1350"/>
      <c r="M932" s="796"/>
      <c r="N932" s="850"/>
      <c r="O932" s="802"/>
      <c r="P932" s="1081"/>
      <c r="Q932" s="1081"/>
      <c r="R932" s="790"/>
      <c r="S932" s="790"/>
      <c r="T932" s="790"/>
      <c r="U932" s="790"/>
      <c r="V932" s="790"/>
      <c r="W932" s="790"/>
      <c r="X932" s="1303"/>
      <c r="Y932" s="1522"/>
      <c r="Z932" s="1586"/>
      <c r="AB932" s="790"/>
      <c r="AC932" s="790"/>
      <c r="AD932" s="790"/>
      <c r="AE932" s="790"/>
      <c r="AF932" s="790"/>
      <c r="AG932" s="790"/>
      <c r="AH932" s="790"/>
      <c r="AI932" s="790"/>
      <c r="AJ932" s="790"/>
      <c r="AK932" s="790"/>
      <c r="AL932" s="790"/>
      <c r="AM932" s="790"/>
      <c r="AN932" s="790"/>
      <c r="AO932" s="790"/>
      <c r="AP932" s="790"/>
      <c r="AQ932" s="790"/>
      <c r="AR932" s="790"/>
      <c r="AS932" s="790"/>
      <c r="AT932" s="790"/>
      <c r="AU932" s="790"/>
      <c r="AV932" s="790"/>
      <c r="AW932" s="790"/>
      <c r="AX932" s="790"/>
      <c r="AY932" s="790"/>
      <c r="AZ932" s="790"/>
      <c r="BA932" s="790"/>
      <c r="BB932" s="790"/>
      <c r="BC932" s="790"/>
      <c r="BD932" s="790"/>
      <c r="BE932" s="790"/>
      <c r="BF932" s="790"/>
      <c r="BG932" s="790"/>
      <c r="BH932" s="790"/>
      <c r="BI932" s="790"/>
      <c r="BJ932" s="1184" t="s">
        <v>4763</v>
      </c>
    </row>
    <row r="933" spans="1:62" x14ac:dyDescent="0.3">
      <c r="A933" s="1200">
        <v>7</v>
      </c>
      <c r="B933" s="1210" t="s">
        <v>1052</v>
      </c>
      <c r="C933" s="1215"/>
      <c r="D933" s="1203"/>
      <c r="E933" s="1203"/>
      <c r="F933" s="1203"/>
      <c r="G933" s="1202" t="s">
        <v>4389</v>
      </c>
      <c r="H933" s="1200" t="s">
        <v>4388</v>
      </c>
      <c r="I933" s="68" t="s">
        <v>1052</v>
      </c>
      <c r="J933" s="819"/>
      <c r="K933" s="819"/>
      <c r="L933" s="1292" t="s">
        <v>1053</v>
      </c>
      <c r="M933" s="1351" t="str">
        <f ca="1">IF(R933,"Mandatory","N/A")</f>
        <v>N/A</v>
      </c>
      <c r="N933" s="850"/>
      <c r="O933" s="802"/>
      <c r="P933" s="97" t="b">
        <v>0</v>
      </c>
      <c r="Q933" s="97" t="b">
        <v>1</v>
      </c>
      <c r="R933" s="790" t="b">
        <f ca="1">AND(S933,NOT(BI779="Tropical"))</f>
        <v>0</v>
      </c>
      <c r="S933" s="790" t="b">
        <f ca="1">(S776=2)</f>
        <v>0</v>
      </c>
      <c r="T933" s="97" t="b">
        <f ca="1">AND(NOT(S933),W933=TRUE)</f>
        <v>0</v>
      </c>
      <c r="U933" s="790"/>
      <c r="V933" s="790"/>
      <c r="W933" s="25"/>
      <c r="X933" s="1303"/>
      <c r="Y933" s="1522" t="str">
        <f>IF(LEN('Ch7'!X170)=0,"None",'Ch7'!X170)</f>
        <v>None</v>
      </c>
      <c r="Z933" s="1586"/>
      <c r="AB933" s="790"/>
      <c r="AC933" s="790" t="b">
        <f ca="1">OR(AD933:AE933)</f>
        <v>0</v>
      </c>
      <c r="AD933" s="790" t="b">
        <f ca="1">T933</f>
        <v>0</v>
      </c>
      <c r="AE933" s="790" t="b">
        <f ca="1">AND(R933,NOT(W933))</f>
        <v>0</v>
      </c>
      <c r="AF933" s="1182" t="b">
        <f ca="1">AND(AE933,NOT(Q933))</f>
        <v>0</v>
      </c>
      <c r="AG933" s="790"/>
      <c r="AH933" s="790"/>
      <c r="AI933" s="790"/>
      <c r="AJ933" s="790"/>
      <c r="AK933" s="790"/>
      <c r="AL933" s="311" t="str">
        <f t="shared" ref="AL933" si="258">SUBSTITUTE(SUBSTITUTE(SUBSTITUTE("vpa"&amp;$B933&amp;$C933&amp;$D933&amp;$E933&amp;$F933,".","_"),"(","_"),")","")</f>
        <v>vpa703_1_2</v>
      </c>
      <c r="AM933" s="311" t="str">
        <f ca="1">M933</f>
        <v>N/A</v>
      </c>
      <c r="AN933" s="790"/>
      <c r="AO933" s="790"/>
      <c r="AP933" s="311" t="str">
        <f>SUBSTITUTE(SUBSTITUTE(SUBSTITUTE("vch"&amp;$B933&amp;$C933&amp;$D933&amp;$E933&amp;$F933,".","_"),"(","_"),")","")</f>
        <v>vch703_1_2</v>
      </c>
      <c r="AQ933" s="311">
        <f>W933</f>
        <v>0</v>
      </c>
      <c r="AR933" s="311" t="str">
        <f>SUBSTITUTE(SUBSTITUTE(SUBSTITUTE("vnt"&amp;$B933&amp;$C933&amp;$D933&amp;$E933&amp;$F933,".","_"),"(","_"),")","")</f>
        <v>vnt703_1_2</v>
      </c>
      <c r="AS933" s="311">
        <f>X933</f>
        <v>0</v>
      </c>
      <c r="AT933" s="790"/>
      <c r="AU933" s="790"/>
      <c r="AV933" s="790"/>
      <c r="AW933" s="790"/>
      <c r="AX933" s="790"/>
      <c r="AY933" s="790"/>
      <c r="AZ933" s="790"/>
      <c r="BA933" s="790"/>
      <c r="BB933" s="790"/>
      <c r="BC933" s="790"/>
      <c r="BD933" s="790"/>
      <c r="BE933" s="790"/>
      <c r="BF933" s="790"/>
      <c r="BG933" s="790"/>
      <c r="BH933" s="790"/>
      <c r="BI933" s="790"/>
      <c r="BJ933" s="1184" t="s">
        <v>4763</v>
      </c>
    </row>
    <row r="934" spans="1:62" x14ac:dyDescent="0.3">
      <c r="A934" s="1200">
        <v>7</v>
      </c>
      <c r="B934" s="1210" t="s">
        <v>1052</v>
      </c>
      <c r="C934" s="1215"/>
      <c r="D934" s="1203"/>
      <c r="E934" s="1203"/>
      <c r="F934" s="1203"/>
      <c r="G934" s="1202" t="s">
        <v>4389</v>
      </c>
      <c r="H934" s="1200" t="s">
        <v>4388</v>
      </c>
      <c r="I934" s="4"/>
      <c r="J934" s="819"/>
      <c r="K934" s="819"/>
      <c r="L934" s="1292"/>
      <c r="M934" s="1351"/>
      <c r="N934" s="850"/>
      <c r="O934" s="802"/>
      <c r="P934" s="1081"/>
      <c r="Q934" s="1081"/>
      <c r="R934" s="790"/>
      <c r="S934" s="790"/>
      <c r="T934" s="1189" t="b">
        <f ca="1">IF(S933,IF(AND(AND('Overview (Design)'!L9&gt;=1,'Overview (Design)'!L9 &lt;=3),AND(W835&gt;=1,W835&lt;=5)),TRUE,IF(AND(AND('Overview (Design)'!L9&gt;=4,'Overview (Design)'!L9&lt;=8),AND(W835&gt;=1,W835&lt;=3)), TRUE,FALSE)))</f>
        <v>0</v>
      </c>
      <c r="U934" s="790"/>
      <c r="V934" s="790"/>
      <c r="W934" s="1579" t="s">
        <v>4772</v>
      </c>
      <c r="X934" s="1303"/>
      <c r="Y934" s="1522"/>
      <c r="Z934" s="1586"/>
      <c r="AB934" s="790"/>
      <c r="AC934" s="790"/>
      <c r="AD934" s="790" t="b">
        <f ca="1">IF( AND(S933,T934=FALSE), TRUE,FALSE)</f>
        <v>0</v>
      </c>
      <c r="AE934" s="790"/>
      <c r="AF934" s="790"/>
      <c r="AG934" s="790"/>
      <c r="AH934" s="790"/>
      <c r="AI934" s="790"/>
      <c r="AJ934" s="790"/>
      <c r="AK934" s="790"/>
      <c r="AL934" s="790"/>
      <c r="AM934" s="790"/>
      <c r="AN934" s="790"/>
      <c r="AO934" s="790"/>
      <c r="AP934" s="790"/>
      <c r="AQ934" s="790"/>
      <c r="AR934" s="790"/>
      <c r="AS934" s="790"/>
      <c r="AT934" s="790"/>
      <c r="AU934" s="790"/>
      <c r="AV934" s="790"/>
      <c r="AW934" s="790"/>
      <c r="AX934" s="790"/>
      <c r="AY934" s="790"/>
      <c r="AZ934" s="790"/>
      <c r="BA934" s="790"/>
      <c r="BB934" s="790"/>
      <c r="BC934" s="790"/>
      <c r="BD934" s="790"/>
      <c r="BE934" s="790"/>
      <c r="BF934" s="790"/>
      <c r="BG934" s="790"/>
      <c r="BH934" s="790"/>
      <c r="BI934" s="790"/>
      <c r="BJ934" s="1184" t="s">
        <v>4763</v>
      </c>
    </row>
    <row r="935" spans="1:62" x14ac:dyDescent="0.3">
      <c r="A935" s="1200">
        <v>7</v>
      </c>
      <c r="B935" s="1210" t="s">
        <v>1052</v>
      </c>
      <c r="C935" s="1215"/>
      <c r="D935" s="1203"/>
      <c r="E935" s="1203"/>
      <c r="F935" s="1203"/>
      <c r="G935" s="1202" t="s">
        <v>4389</v>
      </c>
      <c r="H935" s="1200" t="s">
        <v>4388</v>
      </c>
      <c r="I935" s="238"/>
      <c r="J935" s="813"/>
      <c r="K935" s="813"/>
      <c r="L935" s="826" t="s">
        <v>3759</v>
      </c>
      <c r="M935" s="796"/>
      <c r="N935" s="850"/>
      <c r="O935" s="802"/>
      <c r="P935" s="1081"/>
      <c r="Q935" s="1081"/>
      <c r="R935" s="790"/>
      <c r="S935" s="790"/>
      <c r="T935" s="790"/>
      <c r="U935" s="790"/>
      <c r="V935" s="790"/>
      <c r="W935" s="1579"/>
      <c r="X935" s="1303"/>
      <c r="Y935" s="1522"/>
      <c r="Z935" s="1586"/>
      <c r="AB935" s="790"/>
      <c r="AC935" s="790"/>
      <c r="AD935" s="790"/>
      <c r="AE935" s="790"/>
      <c r="AF935" s="790"/>
      <c r="AG935" s="790"/>
      <c r="AH935" s="790"/>
      <c r="AI935" s="790"/>
      <c r="AJ935" s="790"/>
      <c r="AK935" s="790"/>
      <c r="AL935" s="790"/>
      <c r="AM935" s="790"/>
      <c r="AN935" s="790"/>
      <c r="AO935" s="790"/>
      <c r="AP935" s="790"/>
      <c r="AQ935" s="790"/>
      <c r="AR935" s="790"/>
      <c r="AS935" s="790"/>
      <c r="AT935" s="790"/>
      <c r="AU935" s="790"/>
      <c r="AV935" s="790"/>
      <c r="AW935" s="790"/>
      <c r="AX935" s="790"/>
      <c r="AY935" s="790"/>
      <c r="AZ935" s="790"/>
      <c r="BA935" s="790"/>
      <c r="BB935" s="790"/>
      <c r="BC935" s="790"/>
      <c r="BD935" s="790"/>
      <c r="BE935" s="790"/>
      <c r="BF935" s="790"/>
      <c r="BG935" s="790"/>
      <c r="BH935" s="790"/>
      <c r="BI935" s="790"/>
      <c r="BJ935" s="1184" t="s">
        <v>4763</v>
      </c>
    </row>
    <row r="936" spans="1:62" x14ac:dyDescent="0.3">
      <c r="A936" s="1200">
        <v>7</v>
      </c>
      <c r="B936" s="1210" t="s">
        <v>1054</v>
      </c>
      <c r="C936" s="1215"/>
      <c r="D936" s="1203"/>
      <c r="E936" s="1203"/>
      <c r="F936" s="1203"/>
      <c r="G936" s="1202" t="s">
        <v>4389</v>
      </c>
      <c r="H936" s="1200" t="s">
        <v>4386</v>
      </c>
      <c r="I936" s="606" t="s">
        <v>1054</v>
      </c>
      <c r="J936" s="812"/>
      <c r="K936" s="812"/>
      <c r="L936" s="1313" t="s">
        <v>1055</v>
      </c>
      <c r="M936" s="1351" t="str">
        <f ca="1">IF(R936,"Mandatory","N/A")</f>
        <v>N/A</v>
      </c>
      <c r="N936" s="854"/>
      <c r="O936" s="803"/>
      <c r="P936" s="97" t="b">
        <v>1</v>
      </c>
      <c r="Q936" s="97" t="b">
        <v>1</v>
      </c>
      <c r="R936" s="97" t="b">
        <f ca="1">S936</f>
        <v>0</v>
      </c>
      <c r="S936" s="97" t="b">
        <f ca="1">AND(S776=2,NOT(AND(AY799=INDEX(INDIRECT('Overview (Design)'!$E$33),3),AY803=INDEX(INDIRECT('Overview (Design)'!$E$37),3))))</f>
        <v>0</v>
      </c>
      <c r="T936" s="97" t="b">
        <f ca="1">AND(NOT(S936),W936=TRUE)</f>
        <v>0</v>
      </c>
      <c r="U936" s="97"/>
      <c r="V936" s="97"/>
      <c r="W936" s="25"/>
      <c r="X936" s="1295"/>
      <c r="Y936" s="1523" t="str">
        <f>IF(LEN('Ch7'!X173)=0,"None",'Ch7'!X173)</f>
        <v>None</v>
      </c>
      <c r="Z936" s="1583"/>
      <c r="AB936" s="790"/>
      <c r="AC936" s="790" t="b">
        <f ca="1">OR(AD936:AE936)</f>
        <v>0</v>
      </c>
      <c r="AD936" s="790" t="b">
        <f ca="1">T936</f>
        <v>0</v>
      </c>
      <c r="AE936" s="790" t="b">
        <f ca="1">AND(R936,NOT(W936))</f>
        <v>0</v>
      </c>
      <c r="AF936" s="1182" t="b">
        <f ca="1">AND(AE936,NOT(Q936))</f>
        <v>0</v>
      </c>
      <c r="AG936" s="790"/>
      <c r="AH936" s="790"/>
      <c r="AI936" s="790"/>
      <c r="AJ936" s="790"/>
      <c r="AK936" s="790"/>
      <c r="AL936" s="311" t="str">
        <f t="shared" ref="AL936" si="259">SUBSTITUTE(SUBSTITUTE(SUBSTITUTE("vpa"&amp;$B936&amp;$C936&amp;$D936&amp;$E936&amp;$F936,".","_"),"(","_"),")","")</f>
        <v>vpa703_1_3</v>
      </c>
      <c r="AM936" s="311" t="str">
        <f ca="1">M936</f>
        <v>N/A</v>
      </c>
      <c r="AN936" s="790"/>
      <c r="AO936" s="790"/>
      <c r="AP936" s="311" t="str">
        <f>SUBSTITUTE(SUBSTITUTE(SUBSTITUTE("vch"&amp;$B936&amp;$C936&amp;$D936&amp;$E936&amp;$F936,".","_"),"(","_"),")","")</f>
        <v>vch703_1_3</v>
      </c>
      <c r="AQ936" s="311">
        <f>W936</f>
        <v>0</v>
      </c>
      <c r="AR936" s="311" t="str">
        <f>SUBSTITUTE(SUBSTITUTE(SUBSTITUTE("vnt"&amp;$B936&amp;$C936&amp;$D936&amp;$E936&amp;$F936,".","_"),"(","_"),")","")</f>
        <v>vnt703_1_3</v>
      </c>
      <c r="AS936" s="311">
        <f>X936</f>
        <v>0</v>
      </c>
      <c r="AT936" s="790"/>
      <c r="AU936" s="790"/>
      <c r="AV936" s="790"/>
      <c r="AW936" s="790"/>
      <c r="AX936" s="790"/>
      <c r="AY936" s="790"/>
      <c r="AZ936" s="790"/>
      <c r="BA936" s="790"/>
      <c r="BB936" s="790"/>
      <c r="BC936" s="790"/>
      <c r="BD936" s="790"/>
      <c r="BE936" s="790"/>
      <c r="BF936" s="790"/>
      <c r="BG936" s="790"/>
      <c r="BH936" s="790"/>
      <c r="BI936" s="790"/>
      <c r="BJ936" s="1184" t="s">
        <v>4763</v>
      </c>
    </row>
    <row r="937" spans="1:62" ht="15" thickBot="1" x14ac:dyDescent="0.35">
      <c r="A937" s="1200">
        <v>7</v>
      </c>
      <c r="B937" s="1210" t="s">
        <v>1054</v>
      </c>
      <c r="C937" s="1215"/>
      <c r="D937" s="1203"/>
      <c r="E937" s="1203"/>
      <c r="F937" s="1203"/>
      <c r="G937" s="1202" t="s">
        <v>4389</v>
      </c>
      <c r="H937" s="1200" t="s">
        <v>4388</v>
      </c>
      <c r="I937" s="270"/>
      <c r="J937" s="824"/>
      <c r="K937" s="824"/>
      <c r="L937" s="1332"/>
      <c r="M937" s="1410"/>
      <c r="N937" s="858"/>
      <c r="O937" s="801"/>
      <c r="P937" s="104"/>
      <c r="Q937" s="104"/>
      <c r="R937" s="104"/>
      <c r="S937" s="104"/>
      <c r="T937" s="104"/>
      <c r="U937" s="104"/>
      <c r="V937" s="104"/>
      <c r="W937" s="104"/>
      <c r="X937" s="1296"/>
      <c r="Y937" s="1524"/>
      <c r="Z937" s="1584"/>
      <c r="AB937" s="790"/>
      <c r="AC937" s="790"/>
      <c r="AD937" s="790"/>
      <c r="AE937" s="790"/>
      <c r="AF937" s="790"/>
      <c r="AG937" s="790"/>
      <c r="AH937" s="790"/>
      <c r="AI937" s="790"/>
      <c r="AJ937" s="790"/>
      <c r="AK937" s="790"/>
      <c r="AL937" s="790"/>
      <c r="AM937" s="790"/>
      <c r="AN937" s="790"/>
      <c r="AO937" s="790"/>
      <c r="AP937" s="790"/>
      <c r="AQ937" s="790"/>
      <c r="AR937" s="790"/>
      <c r="AS937" s="790"/>
      <c r="AT937" s="790"/>
      <c r="AU937" s="790"/>
      <c r="AV937" s="790"/>
      <c r="AW937" s="790"/>
      <c r="AX937" s="790"/>
      <c r="AY937" s="790"/>
      <c r="AZ937" s="790"/>
      <c r="BA937" s="790"/>
      <c r="BB937" s="790"/>
      <c r="BC937" s="790"/>
      <c r="BD937" s="790"/>
      <c r="BE937" s="790"/>
      <c r="BF937" s="790"/>
      <c r="BG937" s="790"/>
      <c r="BH937" s="790"/>
      <c r="BI937" s="790"/>
      <c r="BJ937" s="1184" t="s">
        <v>4763</v>
      </c>
    </row>
    <row r="938" spans="1:62" ht="15" thickTop="1" x14ac:dyDescent="0.3">
      <c r="A938" s="1200">
        <v>7</v>
      </c>
      <c r="B938" s="1210">
        <v>703.2</v>
      </c>
      <c r="C938" s="1215"/>
      <c r="D938" s="1203"/>
      <c r="E938" s="1203"/>
      <c r="F938" s="1203"/>
      <c r="G938" s="1196" t="str">
        <f ca="1">IF(COUNTIF(G939:G970,"P")&gt;0,"P","")</f>
        <v/>
      </c>
      <c r="H938" s="1200" t="s">
        <v>4386</v>
      </c>
      <c r="I938" s="66">
        <v>703.2</v>
      </c>
      <c r="J938" s="819"/>
      <c r="K938" s="819"/>
      <c r="L938" s="829" t="s">
        <v>1056</v>
      </c>
      <c r="M938" s="799"/>
      <c r="N938" s="850"/>
      <c r="O938" s="802"/>
      <c r="P938" s="1081"/>
      <c r="Q938" s="1081"/>
      <c r="R938" s="790"/>
      <c r="S938" s="790"/>
      <c r="T938" s="790"/>
      <c r="U938" s="790"/>
      <c r="V938" s="790"/>
      <c r="W938" s="790"/>
      <c r="X938" s="790"/>
      <c r="Y938" s="790"/>
      <c r="Z938" s="1055"/>
      <c r="AB938" s="790"/>
      <c r="AC938" s="790"/>
      <c r="AD938" s="790"/>
      <c r="AE938" s="790"/>
      <c r="AF938" s="790"/>
      <c r="AG938" s="790"/>
      <c r="AH938" s="790"/>
      <c r="AI938" s="790"/>
      <c r="AJ938" s="790"/>
      <c r="AK938" s="790"/>
      <c r="AL938" s="790"/>
      <c r="AM938" s="790"/>
      <c r="AN938" s="790"/>
      <c r="AO938" s="790"/>
      <c r="AP938" s="790"/>
      <c r="AQ938" s="790"/>
      <c r="AR938" s="790"/>
      <c r="AS938" s="790"/>
      <c r="AT938" s="790"/>
      <c r="AU938" s="790"/>
      <c r="AV938" s="790"/>
      <c r="AW938" s="790"/>
      <c r="AX938" s="790"/>
      <c r="AY938" s="790"/>
      <c r="AZ938" s="790"/>
      <c r="BA938" s="790"/>
      <c r="BB938" s="790"/>
      <c r="BC938" s="790"/>
      <c r="BD938" s="790"/>
      <c r="BE938" s="790"/>
      <c r="BF938" s="790"/>
      <c r="BG938" s="790"/>
      <c r="BH938" s="790"/>
      <c r="BI938" s="790"/>
      <c r="BJ938" s="1184" t="s">
        <v>4763</v>
      </c>
    </row>
    <row r="939" spans="1:62" x14ac:dyDescent="0.3">
      <c r="A939" s="1200">
        <v>7</v>
      </c>
      <c r="B939" s="1210" t="s">
        <v>1057</v>
      </c>
      <c r="C939" s="1215"/>
      <c r="D939" s="1203"/>
      <c r="E939" s="1203"/>
      <c r="F939" s="1203"/>
      <c r="G939" s="1202" t="str">
        <f>IF(N939&gt;0,"P","")</f>
        <v/>
      </c>
      <c r="H939" s="1200" t="s">
        <v>4388</v>
      </c>
      <c r="I939" s="66" t="s">
        <v>1057</v>
      </c>
      <c r="J939" s="819"/>
      <c r="K939" s="819"/>
      <c r="L939" s="1292" t="s">
        <v>1058</v>
      </c>
      <c r="M939" s="1411" t="s">
        <v>1059</v>
      </c>
      <c r="N939" s="1310">
        <f>'Ch7'!O176</f>
        <v>0</v>
      </c>
      <c r="O939" s="1310">
        <f>W939*IFERROR(Formulas!$C$19,0)</f>
        <v>0</v>
      </c>
      <c r="P939" s="97" t="b">
        <v>0</v>
      </c>
      <c r="Q939" s="97" t="b">
        <v>1</v>
      </c>
      <c r="R939" s="790" t="b">
        <v>0</v>
      </c>
      <c r="S939" s="790" t="b">
        <f ca="1">(S776=2)</f>
        <v>0</v>
      </c>
      <c r="T939" s="97" t="b">
        <f ca="1">AND(NOT(S939),W939=TRUE)</f>
        <v>0</v>
      </c>
      <c r="U939" s="790"/>
      <c r="V939" s="790"/>
      <c r="W939" s="25"/>
      <c r="X939" s="1303"/>
      <c r="Y939" s="1522" t="str">
        <f>IF(LEN('Ch7'!X176)=0,"None",'Ch7'!X176)</f>
        <v>None</v>
      </c>
      <c r="Z939" s="1586"/>
      <c r="AB939" s="790"/>
      <c r="AC939" s="790" t="b">
        <f ca="1">OR(AD939:AE939)</f>
        <v>0</v>
      </c>
      <c r="AD939" s="790" t="b">
        <f ca="1">T939</f>
        <v>0</v>
      </c>
      <c r="AE939" s="790" t="b">
        <f>AND(R939,NOT(W939))</f>
        <v>0</v>
      </c>
      <c r="AF939" s="1182" t="b">
        <f>AND(AE939,NOT(Q939))</f>
        <v>0</v>
      </c>
      <c r="AG939" s="790"/>
      <c r="AH939" s="790"/>
      <c r="AI939" s="790"/>
      <c r="AJ939" s="790"/>
      <c r="AK939" s="790"/>
      <c r="AL939" s="311" t="str">
        <f t="shared" ref="AL939" si="260">SUBSTITUTE(SUBSTITUTE(SUBSTITUTE("vpa"&amp;$B939&amp;$C939&amp;$D939&amp;$E939&amp;$F939,".","_"),"(","_"),")","")</f>
        <v>vpa703_2_1</v>
      </c>
      <c r="AM939" s="311" t="str">
        <f>M939</f>
        <v>Per Table 703.2.1(b)</v>
      </c>
      <c r="AN939" s="311" t="str">
        <f>SUBSTITUTE(SUBSTITUTE(SUBSTITUTE("vpc"&amp;$B939&amp;$C939&amp;$D939&amp;$E939&amp;$F939,".","_"),"(","_"),")","")</f>
        <v>vpc703_2_1</v>
      </c>
      <c r="AO939" s="311">
        <f>O939</f>
        <v>0</v>
      </c>
      <c r="AP939" s="311" t="str">
        <f>SUBSTITUTE(SUBSTITUTE(SUBSTITUTE("vch"&amp;$B939&amp;$C939&amp;$D939&amp;$E939&amp;$F939,".","_"),"(","_"),")","")</f>
        <v>vch703_2_1</v>
      </c>
      <c r="AQ939" s="311">
        <f>W939</f>
        <v>0</v>
      </c>
      <c r="AR939" s="311" t="str">
        <f>SUBSTITUTE(SUBSTITUTE(SUBSTITUTE("vnt"&amp;$B939&amp;$C939&amp;$D939&amp;$E939&amp;$F939,".","_"),"(","_"),")","")</f>
        <v>vnt703_2_1</v>
      </c>
      <c r="AS939" s="311">
        <f>X939</f>
        <v>0</v>
      </c>
      <c r="AT939" s="790"/>
      <c r="AU939" s="790"/>
      <c r="AV939" s="790"/>
      <c r="AW939" s="790"/>
      <c r="AX939" s="790"/>
      <c r="AY939" s="790"/>
      <c r="AZ939" s="790"/>
      <c r="BA939" s="790"/>
      <c r="BB939" s="790"/>
      <c r="BC939" s="790"/>
      <c r="BD939" s="790"/>
      <c r="BE939" s="790"/>
      <c r="BF939" s="790"/>
      <c r="BG939" s="790"/>
      <c r="BH939" s="790"/>
      <c r="BI939" s="790"/>
      <c r="BJ939" s="1184" t="s">
        <v>4763</v>
      </c>
    </row>
    <row r="940" spans="1:62" x14ac:dyDescent="0.3">
      <c r="A940" s="1200">
        <v>7</v>
      </c>
      <c r="B940" s="1210" t="s">
        <v>1057</v>
      </c>
      <c r="C940" s="1215"/>
      <c r="D940" s="1203"/>
      <c r="E940" s="1203"/>
      <c r="F940" s="1203"/>
      <c r="G940" s="1202" t="str">
        <f t="shared" ref="G940:G945" si="261">G939</f>
        <v/>
      </c>
      <c r="H940" s="1200" t="s">
        <v>4388</v>
      </c>
      <c r="I940" s="4"/>
      <c r="J940" s="819"/>
      <c r="K940" s="819"/>
      <c r="L940" s="1292"/>
      <c r="M940" s="1411"/>
      <c r="N940" s="1310"/>
      <c r="O940" s="1310"/>
      <c r="P940" s="1081"/>
      <c r="Q940" s="1081"/>
      <c r="R940" s="790"/>
      <c r="S940" s="790"/>
      <c r="T940" s="790"/>
      <c r="U940" s="790"/>
      <c r="V940" s="790"/>
      <c r="W940" s="790" t="s">
        <v>3762</v>
      </c>
      <c r="X940" s="1303"/>
      <c r="Y940" s="1522"/>
      <c r="Z940" s="1586"/>
      <c r="AB940" s="790"/>
      <c r="AC940" s="790"/>
      <c r="AD940" s="790"/>
      <c r="AE940" s="790"/>
      <c r="AF940" s="790"/>
      <c r="AG940" s="790"/>
      <c r="AH940" s="790"/>
      <c r="AI940" s="790"/>
      <c r="AJ940" s="790"/>
      <c r="AK940" s="790"/>
      <c r="AL940" s="790"/>
      <c r="AM940" s="790"/>
      <c r="AN940" s="790"/>
      <c r="AO940" s="790"/>
      <c r="AP940" s="790"/>
      <c r="AQ940" s="790"/>
      <c r="AR940" s="790"/>
      <c r="AS940" s="790"/>
      <c r="AT940" s="790"/>
      <c r="AU940" s="790"/>
      <c r="AV940" s="790"/>
      <c r="AW940" s="790"/>
      <c r="AX940" s="790"/>
      <c r="AY940" s="790"/>
      <c r="AZ940" s="790"/>
      <c r="BA940" s="790"/>
      <c r="BB940" s="790"/>
      <c r="BC940" s="790"/>
      <c r="BD940" s="790"/>
      <c r="BE940" s="790"/>
      <c r="BF940" s="790"/>
      <c r="BG940" s="790"/>
      <c r="BH940" s="790"/>
      <c r="BI940" s="790"/>
      <c r="BJ940" s="1184" t="s">
        <v>4763</v>
      </c>
    </row>
    <row r="941" spans="1:62" x14ac:dyDescent="0.3">
      <c r="A941" s="1200">
        <v>7</v>
      </c>
      <c r="B941" s="1210" t="s">
        <v>1057</v>
      </c>
      <c r="C941" s="1215"/>
      <c r="D941" s="1216" t="s">
        <v>273</v>
      </c>
      <c r="E941" s="1203"/>
      <c r="F941" s="1203"/>
      <c r="G941" s="1202" t="str">
        <f t="shared" si="261"/>
        <v/>
      </c>
      <c r="H941" s="1200" t="s">
        <v>4388</v>
      </c>
      <c r="I941" s="4"/>
      <c r="J941" s="819"/>
      <c r="K941" s="819"/>
      <c r="L941" s="1292"/>
      <c r="M941" s="1411"/>
      <c r="N941" s="1310"/>
      <c r="O941" s="1310"/>
      <c r="P941" s="97" t="b">
        <v>0</v>
      </c>
      <c r="Q941" s="97" t="b">
        <v>1</v>
      </c>
      <c r="R941" s="790" t="b">
        <v>0</v>
      </c>
      <c r="S941" s="790" t="b">
        <f ca="1">(S776=2)</f>
        <v>0</v>
      </c>
      <c r="T941" s="97" t="b">
        <f ca="1">AND(NOT(S941),LEN(W941)&gt;0)</f>
        <v>0</v>
      </c>
      <c r="U941" s="790"/>
      <c r="V941" s="790"/>
      <c r="W941" s="407"/>
      <c r="X941" s="1303"/>
      <c r="Y941" s="1522"/>
      <c r="Z941" s="1586"/>
      <c r="AB941" s="790"/>
      <c r="AC941" s="790" t="b">
        <f ca="1">OR(AD941:AE941)</f>
        <v>0</v>
      </c>
      <c r="AD941" s="790" t="b">
        <f ca="1">T941</f>
        <v>0</v>
      </c>
      <c r="AE941" s="790" t="b">
        <f>AND(R941,ISBLANK(W941))</f>
        <v>0</v>
      </c>
      <c r="AF941" s="1182" t="b">
        <f>AND(AE941,NOT(Q941))</f>
        <v>0</v>
      </c>
      <c r="AG941" s="790"/>
      <c r="AH941" s="790"/>
      <c r="AI941" s="790"/>
      <c r="AJ941" s="790"/>
      <c r="AK941" s="790"/>
      <c r="AL941" s="790"/>
      <c r="AM941" s="790"/>
      <c r="AN941" s="790"/>
      <c r="AO941" s="790"/>
      <c r="AP941" s="311" t="str">
        <f>SUBSTITUTE(SUBSTITUTE(SUBSTITUTE("vch"&amp;$B941&amp;$C941&amp;$D941&amp;$E941&amp;$F941,".","_"),"(","_"),")","")</f>
        <v>vch703_2_1_2</v>
      </c>
      <c r="AQ941" s="311">
        <f>W941</f>
        <v>0</v>
      </c>
      <c r="AR941" s="790"/>
      <c r="AS941" s="790"/>
      <c r="AT941" s="790"/>
      <c r="AU941" s="790"/>
      <c r="AV941" s="790"/>
      <c r="AW941" s="790"/>
      <c r="AX941" s="790"/>
      <c r="AY941" s="790"/>
      <c r="AZ941" s="790"/>
      <c r="BA941" s="790"/>
      <c r="BB941" s="790"/>
      <c r="BC941" s="790"/>
      <c r="BD941" s="790"/>
      <c r="BE941" s="790"/>
      <c r="BF941" s="790"/>
      <c r="BG941" s="790"/>
      <c r="BH941" s="790"/>
      <c r="BI941" s="790"/>
      <c r="BJ941" s="1184" t="s">
        <v>4763</v>
      </c>
    </row>
    <row r="942" spans="1:62" x14ac:dyDescent="0.3">
      <c r="A942" s="1200">
        <v>7</v>
      </c>
      <c r="B942" s="1210" t="s">
        <v>1057</v>
      </c>
      <c r="C942" s="1215"/>
      <c r="D942" s="1203"/>
      <c r="E942" s="1203"/>
      <c r="F942" s="1203"/>
      <c r="G942" s="1202" t="str">
        <f t="shared" si="261"/>
        <v/>
      </c>
      <c r="H942" s="1200" t="s">
        <v>4388</v>
      </c>
      <c r="I942" s="4"/>
      <c r="J942" s="819"/>
      <c r="K942" s="819"/>
      <c r="L942" s="1292"/>
      <c r="M942" s="1411"/>
      <c r="N942" s="1310"/>
      <c r="O942" s="1310"/>
      <c r="P942" s="1081"/>
      <c r="Q942" s="1081"/>
      <c r="R942" s="790"/>
      <c r="S942" s="790"/>
      <c r="T942" s="790"/>
      <c r="U942" s="790"/>
      <c r="V942" s="790"/>
      <c r="W942" s="790"/>
      <c r="X942" s="1303"/>
      <c r="Y942" s="1522"/>
      <c r="Z942" s="1586"/>
      <c r="AB942" s="790"/>
      <c r="AC942" s="790"/>
      <c r="AD942" s="790"/>
      <c r="AE942" s="790"/>
      <c r="AF942" s="790"/>
      <c r="AG942" s="790"/>
      <c r="AH942" s="790"/>
      <c r="AI942" s="790"/>
      <c r="AJ942" s="790"/>
      <c r="AK942" s="790"/>
      <c r="AL942" s="790"/>
      <c r="AM942" s="790"/>
      <c r="AN942" s="790"/>
      <c r="AO942" s="790"/>
      <c r="AP942" s="790"/>
      <c r="AQ942" s="790"/>
      <c r="AR942" s="790"/>
      <c r="AS942" s="790"/>
      <c r="AT942" s="790"/>
      <c r="AU942" s="790"/>
      <c r="AV942" s="790"/>
      <c r="AW942" s="790"/>
      <c r="AX942" s="790"/>
      <c r="AY942" s="790"/>
      <c r="AZ942" s="790"/>
      <c r="BA942" s="790"/>
      <c r="BB942" s="790"/>
      <c r="BC942" s="790"/>
      <c r="BD942" s="790"/>
      <c r="BE942" s="790"/>
      <c r="BF942" s="790"/>
      <c r="BG942" s="790"/>
      <c r="BH942" s="790"/>
      <c r="BI942" s="790"/>
      <c r="BJ942" s="1184" t="s">
        <v>4763</v>
      </c>
    </row>
    <row r="943" spans="1:62" x14ac:dyDescent="0.3">
      <c r="A943" s="1200">
        <v>7</v>
      </c>
      <c r="B943" s="1210" t="s">
        <v>1057</v>
      </c>
      <c r="C943" s="1215"/>
      <c r="D943" s="1203"/>
      <c r="E943" s="1203"/>
      <c r="F943" s="1203"/>
      <c r="G943" s="1202" t="str">
        <f t="shared" si="261"/>
        <v/>
      </c>
      <c r="H943" s="1200" t="s">
        <v>4388</v>
      </c>
      <c r="I943" s="4"/>
      <c r="J943" s="819"/>
      <c r="K943" s="819"/>
      <c r="L943" s="1292"/>
      <c r="M943" s="1411"/>
      <c r="N943" s="1310"/>
      <c r="O943" s="1310"/>
      <c r="P943" s="1081"/>
      <c r="Q943" s="1081"/>
      <c r="R943" s="790"/>
      <c r="S943" s="790"/>
      <c r="T943" s="790"/>
      <c r="U943" s="790"/>
      <c r="V943" s="790"/>
      <c r="W943" s="790"/>
      <c r="X943" s="1303"/>
      <c r="Y943" s="1522"/>
      <c r="Z943" s="1586"/>
      <c r="AB943" s="790"/>
      <c r="AC943" s="790"/>
      <c r="AD943" s="790"/>
      <c r="AE943" s="790"/>
      <c r="AF943" s="790"/>
      <c r="AG943" s="790"/>
      <c r="AH943" s="790"/>
      <c r="AI943" s="790"/>
      <c r="AJ943" s="790"/>
      <c r="AK943" s="790"/>
      <c r="AL943" s="790"/>
      <c r="AM943" s="790"/>
      <c r="AN943" s="790"/>
      <c r="AO943" s="790"/>
      <c r="AP943" s="790"/>
      <c r="AQ943" s="790"/>
      <c r="AR943" s="790"/>
      <c r="AS943" s="790"/>
      <c r="AT943" s="790"/>
      <c r="AU943" s="790"/>
      <c r="AV943" s="790"/>
      <c r="AW943" s="790"/>
      <c r="AX943" s="790"/>
      <c r="AY943" s="790"/>
      <c r="AZ943" s="790"/>
      <c r="BA943" s="790"/>
      <c r="BB943" s="790"/>
      <c r="BC943" s="790"/>
      <c r="BD943" s="790"/>
      <c r="BE943" s="790"/>
      <c r="BF943" s="790"/>
      <c r="BG943" s="790"/>
      <c r="BH943" s="790"/>
      <c r="BI943" s="790"/>
      <c r="BJ943" s="1184" t="s">
        <v>4763</v>
      </c>
    </row>
    <row r="944" spans="1:62" x14ac:dyDescent="0.3">
      <c r="A944" s="1200">
        <v>7</v>
      </c>
      <c r="B944" s="1210" t="s">
        <v>1057</v>
      </c>
      <c r="C944" s="1215"/>
      <c r="D944" s="1203"/>
      <c r="E944" s="1203"/>
      <c r="F944" s="1203"/>
      <c r="G944" s="1202" t="str">
        <f t="shared" si="261"/>
        <v/>
      </c>
      <c r="H944" s="1200" t="s">
        <v>4388</v>
      </c>
      <c r="I944" s="4"/>
      <c r="J944" s="819"/>
      <c r="K944" s="819"/>
      <c r="L944" s="1292"/>
      <c r="M944" s="1411"/>
      <c r="N944" s="1310"/>
      <c r="O944" s="1310"/>
      <c r="P944" s="1081"/>
      <c r="Q944" s="1081"/>
      <c r="R944" s="790"/>
      <c r="S944" s="790"/>
      <c r="T944" s="790"/>
      <c r="U944" s="790"/>
      <c r="V944" s="790"/>
      <c r="W944" s="790"/>
      <c r="X944" s="1303"/>
      <c r="Y944" s="1522"/>
      <c r="Z944" s="1586"/>
      <c r="AB944" s="790"/>
      <c r="AC944" s="790"/>
      <c r="AD944" s="790"/>
      <c r="AE944" s="790"/>
      <c r="AF944" s="790"/>
      <c r="AG944" s="790"/>
      <c r="AH944" s="790"/>
      <c r="AI944" s="790"/>
      <c r="AJ944" s="790"/>
      <c r="AK944" s="790"/>
      <c r="AL944" s="790"/>
      <c r="AM944" s="790"/>
      <c r="AN944" s="790"/>
      <c r="AO944" s="790"/>
      <c r="AP944" s="790"/>
      <c r="AQ944" s="790"/>
      <c r="AR944" s="790"/>
      <c r="AS944" s="790"/>
      <c r="AT944" s="790"/>
      <c r="AU944" s="790"/>
      <c r="AV944" s="790"/>
      <c r="AW944" s="790"/>
      <c r="AX944" s="790"/>
      <c r="AY944" s="790"/>
      <c r="AZ944" s="790"/>
      <c r="BA944" s="790"/>
      <c r="BB944" s="790"/>
      <c r="BC944" s="790"/>
      <c r="BD944" s="790"/>
      <c r="BE944" s="790"/>
      <c r="BF944" s="790"/>
      <c r="BG944" s="790"/>
      <c r="BH944" s="790"/>
      <c r="BI944" s="790"/>
      <c r="BJ944" s="1184" t="s">
        <v>4763</v>
      </c>
    </row>
    <row r="945" spans="1:62" x14ac:dyDescent="0.3">
      <c r="A945" s="1200">
        <v>7</v>
      </c>
      <c r="B945" s="1210" t="s">
        <v>1057</v>
      </c>
      <c r="C945" s="1215"/>
      <c r="D945" s="1203"/>
      <c r="E945" s="1203"/>
      <c r="F945" s="1203"/>
      <c r="G945" s="1202" t="str">
        <f t="shared" si="261"/>
        <v/>
      </c>
      <c r="H945" s="1200" t="s">
        <v>4388</v>
      </c>
      <c r="I945" s="238"/>
      <c r="J945" s="813"/>
      <c r="K945" s="813"/>
      <c r="L945" s="623" t="s">
        <v>3760</v>
      </c>
      <c r="M945" s="822"/>
      <c r="N945" s="855"/>
      <c r="O945" s="804"/>
      <c r="P945" s="196"/>
      <c r="Q945" s="196"/>
      <c r="R945" s="196"/>
      <c r="S945" s="196"/>
      <c r="T945" s="196"/>
      <c r="U945" s="196"/>
      <c r="V945" s="196"/>
      <c r="W945" s="636"/>
      <c r="X945" s="1303"/>
      <c r="Y945" s="1522"/>
      <c r="Z945" s="1586"/>
      <c r="AB945" s="790"/>
      <c r="AC945" s="790"/>
      <c r="AD945" s="790"/>
      <c r="AE945" s="790"/>
      <c r="AF945" s="790"/>
      <c r="AG945" s="790"/>
      <c r="AH945" s="790"/>
      <c r="AI945" s="790"/>
      <c r="AJ945" s="790"/>
      <c r="AK945" s="790"/>
      <c r="AL945" s="790"/>
      <c r="AM945" s="790"/>
      <c r="AN945" s="790"/>
      <c r="AO945" s="790"/>
      <c r="AP945" s="790"/>
      <c r="AQ945" s="790"/>
      <c r="AR945" s="790"/>
      <c r="AS945" s="790"/>
      <c r="AT945" s="790"/>
      <c r="AU945" s="790"/>
      <c r="AV945" s="790"/>
      <c r="AW945" s="790"/>
      <c r="AX945" s="790"/>
      <c r="AY945" s="790"/>
      <c r="AZ945" s="790"/>
      <c r="BA945" s="790"/>
      <c r="BB945" s="790"/>
      <c r="BC945" s="790"/>
      <c r="BD945" s="790"/>
      <c r="BE945" s="790"/>
      <c r="BF945" s="790"/>
      <c r="BG945" s="790"/>
      <c r="BH945" s="790"/>
      <c r="BI945" s="790"/>
      <c r="BJ945" s="1184" t="s">
        <v>4763</v>
      </c>
    </row>
    <row r="946" spans="1:62" x14ac:dyDescent="0.3">
      <c r="A946" s="1200">
        <v>7</v>
      </c>
      <c r="B946" s="1210" t="s">
        <v>1060</v>
      </c>
      <c r="C946" s="1215"/>
      <c r="D946" s="1203"/>
      <c r="E946" s="1203"/>
      <c r="F946" s="1203"/>
      <c r="G946" s="1202" t="str">
        <f>IF(N946&gt;0,"P","")</f>
        <v/>
      </c>
      <c r="H946" s="1200" t="s">
        <v>4386</v>
      </c>
      <c r="I946" s="215" t="s">
        <v>1060</v>
      </c>
      <c r="J946" s="823"/>
      <c r="K946" s="823"/>
      <c r="L946" s="1364" t="s">
        <v>1061</v>
      </c>
      <c r="M946" s="1413" t="s">
        <v>1062</v>
      </c>
      <c r="N946" s="1324">
        <f>'Ch7'!O183</f>
        <v>0</v>
      </c>
      <c r="O946" s="1324">
        <f>IF(ROUND(W947,0)&gt;=6,INDEX({3,3,3,3,2,2,0,0},BF779),IF(ROUND(W947,0)&gt;=3,INDEX({1,1,1,1,0,0,0,0},BF779),0))</f>
        <v>0</v>
      </c>
      <c r="P946" s="218"/>
      <c r="Q946" s="218"/>
      <c r="R946" s="218"/>
      <c r="S946" s="218"/>
      <c r="T946" s="218"/>
      <c r="U946" s="218"/>
      <c r="V946" s="218"/>
      <c r="W946" s="637" t="s">
        <v>3769</v>
      </c>
      <c r="X946" s="1303"/>
      <c r="Y946" s="1522" t="str">
        <f>IF(LEN('Ch7'!X183)=0,"None",'Ch7'!X183)</f>
        <v>None</v>
      </c>
      <c r="Z946" s="1586"/>
      <c r="AB946" s="790"/>
      <c r="AC946" s="790"/>
      <c r="AD946" s="790"/>
      <c r="AE946" s="790"/>
      <c r="AF946" s="790"/>
      <c r="AG946" s="790"/>
      <c r="AH946" s="790"/>
      <c r="AI946" s="790"/>
      <c r="AJ946" s="790"/>
      <c r="AK946" s="790"/>
      <c r="AL946" s="311" t="str">
        <f t="shared" ref="AL946" si="262">SUBSTITUTE(SUBSTITUTE(SUBSTITUTE("vpa"&amp;$B946&amp;$C946&amp;$D946&amp;$E946&amp;$F946,".","_"),"(","_"),")","")</f>
        <v>vpa703_2_2</v>
      </c>
      <c r="AM946" s="311" t="str">
        <f>M946</f>
        <v>Per Table 703.2.2</v>
      </c>
      <c r="AN946" s="311" t="str">
        <f>SUBSTITUTE(SUBSTITUTE(SUBSTITUTE("vpc"&amp;$B946&amp;$C946&amp;$D946&amp;$E946&amp;$F946,".","_"),"(","_"),")","")</f>
        <v>vpc703_2_2</v>
      </c>
      <c r="AO946" s="311">
        <f>O946</f>
        <v>0</v>
      </c>
      <c r="AP946" s="790"/>
      <c r="AQ946" s="790"/>
      <c r="AR946" s="311" t="str">
        <f>SUBSTITUTE(SUBSTITUTE(SUBSTITUTE("vnt"&amp;$B946&amp;$C946&amp;$D946&amp;$E946&amp;$F946,".","_"),"(","_"),")","")</f>
        <v>vnt703_2_2</v>
      </c>
      <c r="AS946" s="311">
        <f>X946</f>
        <v>0</v>
      </c>
      <c r="AT946" s="790"/>
      <c r="AU946" s="790"/>
      <c r="AV946" s="790"/>
      <c r="AW946" s="790"/>
      <c r="AX946" s="790"/>
      <c r="AY946" s="790"/>
      <c r="AZ946" s="790"/>
      <c r="BA946" s="790"/>
      <c r="BB946" s="790"/>
      <c r="BC946" s="790"/>
      <c r="BD946" s="790"/>
      <c r="BE946" s="790"/>
      <c r="BF946" s="790"/>
      <c r="BG946" s="790"/>
      <c r="BH946" s="790"/>
      <c r="BI946" s="790"/>
      <c r="BJ946" s="1184" t="s">
        <v>4763</v>
      </c>
    </row>
    <row r="947" spans="1:62" x14ac:dyDescent="0.3">
      <c r="A947" s="1200">
        <v>7</v>
      </c>
      <c r="B947" s="1210" t="s">
        <v>1060</v>
      </c>
      <c r="C947" s="1215"/>
      <c r="D947" s="1203"/>
      <c r="E947" s="1203"/>
      <c r="F947" s="1203"/>
      <c r="G947" s="1202" t="str">
        <f t="shared" ref="G947" si="263">G946</f>
        <v/>
      </c>
      <c r="H947" s="1200" t="s">
        <v>4386</v>
      </c>
      <c r="I947" s="238"/>
      <c r="J947" s="813"/>
      <c r="K947" s="813"/>
      <c r="L947" s="1350"/>
      <c r="M947" s="1414"/>
      <c r="N947" s="1309"/>
      <c r="O947" s="1309"/>
      <c r="P947" s="97" t="b">
        <v>1</v>
      </c>
      <c r="Q947" s="97" t="b">
        <v>1</v>
      </c>
      <c r="R947" s="196" t="b">
        <v>0</v>
      </c>
      <c r="S947" s="196" t="b">
        <f ca="1">(S776=2)</f>
        <v>0</v>
      </c>
      <c r="T947" s="196" t="b">
        <f ca="1">AND(NOT(S947),LEN(W947)&gt;0)</f>
        <v>0</v>
      </c>
      <c r="U947" s="196"/>
      <c r="V947" s="196"/>
      <c r="W947" s="424"/>
      <c r="X947" s="1303"/>
      <c r="Y947" s="1522"/>
      <c r="Z947" s="1586"/>
      <c r="AB947" s="790"/>
      <c r="AC947" s="790" t="b">
        <f ca="1">OR(AD947:AE947)</f>
        <v>0</v>
      </c>
      <c r="AD947" s="790" t="b">
        <f ca="1">T947</f>
        <v>0</v>
      </c>
      <c r="AE947" s="790" t="b">
        <f>AND(R947,ISBLANK(W947))</f>
        <v>0</v>
      </c>
      <c r="AF947" s="1182" t="b">
        <f>AND(AE947,NOT(Q947))</f>
        <v>0</v>
      </c>
      <c r="AG947" s="790"/>
      <c r="AH947" s="790"/>
      <c r="AI947" s="790"/>
      <c r="AJ947" s="790"/>
      <c r="AK947" s="790"/>
      <c r="AL947" s="790"/>
      <c r="AM947" s="790"/>
      <c r="AN947" s="790"/>
      <c r="AO947" s="790"/>
      <c r="AP947" s="311" t="str">
        <f t="shared" ref="AP947:AP948" si="264">SUBSTITUTE(SUBSTITUTE(SUBSTITUTE("vch"&amp;$B947&amp;$C947&amp;$D947&amp;$E947&amp;$F947,".","_"),"(","_"),")","")</f>
        <v>vch703_2_2</v>
      </c>
      <c r="AQ947" s="311">
        <f>W947</f>
        <v>0</v>
      </c>
      <c r="AR947" s="790"/>
      <c r="AS947" s="790"/>
      <c r="AT947" s="790"/>
      <c r="AU947" s="790"/>
      <c r="AV947" s="790"/>
      <c r="AW947" s="790"/>
      <c r="AX947" s="790"/>
      <c r="AY947" s="790"/>
      <c r="AZ947" s="790"/>
      <c r="BA947" s="790"/>
      <c r="BB947" s="790"/>
      <c r="BC947" s="790"/>
      <c r="BD947" s="790"/>
      <c r="BE947" s="790"/>
      <c r="BF947" s="790"/>
      <c r="BG947" s="790"/>
      <c r="BH947" s="790"/>
      <c r="BI947" s="790"/>
      <c r="BJ947" s="1184" t="s">
        <v>4763</v>
      </c>
    </row>
    <row r="948" spans="1:62" x14ac:dyDescent="0.3">
      <c r="A948" s="1200">
        <v>7</v>
      </c>
      <c r="B948" s="1210" t="s">
        <v>1063</v>
      </c>
      <c r="C948" s="1215"/>
      <c r="D948" s="1203"/>
      <c r="E948" s="1203"/>
      <c r="F948" s="1203"/>
      <c r="G948" s="1202" t="str">
        <f ca="1">IF(N948&gt;0,"P","")</f>
        <v/>
      </c>
      <c r="H948" s="1200" t="s">
        <v>4386</v>
      </c>
      <c r="I948" s="215" t="s">
        <v>1063</v>
      </c>
      <c r="J948" s="823"/>
      <c r="K948" s="823"/>
      <c r="L948" s="1364" t="s">
        <v>1064</v>
      </c>
      <c r="M948" s="1415">
        <f>IFERROR(MIN(IF(AND(AY782=INDEX(ddSingleOrMulti,2),AY788&gt;3,BF779&lt;4),1,3),IF(BI779="Tropical",3,INDEX({2,3,3,1,1,0,0},BF779))),0)</f>
        <v>0</v>
      </c>
      <c r="N948" s="1324">
        <f ca="1">'Ch7'!O185</f>
        <v>0</v>
      </c>
      <c r="O948" s="1324">
        <f ca="1">M948*S948*W948</f>
        <v>0</v>
      </c>
      <c r="P948" s="97" t="b">
        <v>1</v>
      </c>
      <c r="Q948" s="97" t="b">
        <v>1</v>
      </c>
      <c r="R948" s="218" t="b">
        <v>0</v>
      </c>
      <c r="S948" s="218" t="b">
        <f ca="1">(S776=2)</f>
        <v>0</v>
      </c>
      <c r="T948" s="218" t="b">
        <f ca="1">AND(NOT(S948),W948=TRUE)</f>
        <v>0</v>
      </c>
      <c r="U948" s="218"/>
      <c r="V948" s="218"/>
      <c r="W948" s="25"/>
      <c r="X948" s="1303"/>
      <c r="Y948" s="1522" t="str">
        <f>IF(LEN('Ch7'!X185)=0,"None",'Ch7'!X185)</f>
        <v>None</v>
      </c>
      <c r="Z948" s="1586"/>
      <c r="AB948" s="790"/>
      <c r="AC948" s="790" t="b">
        <f ca="1">OR(AD948:AE948)</f>
        <v>0</v>
      </c>
      <c r="AD948" s="790" t="b">
        <f ca="1">T948</f>
        <v>0</v>
      </c>
      <c r="AE948" s="790" t="b">
        <f>AND(R948,NOT(W948))</f>
        <v>0</v>
      </c>
      <c r="AF948" s="1182" t="b">
        <f>AND(AE948,NOT(Q948))</f>
        <v>0</v>
      </c>
      <c r="AG948" s="790"/>
      <c r="AH948" s="790"/>
      <c r="AI948" s="790"/>
      <c r="AJ948" s="790"/>
      <c r="AK948" s="790"/>
      <c r="AL948" s="311" t="str">
        <f t="shared" ref="AL948" si="265">SUBSTITUTE(SUBSTITUTE(SUBSTITUTE("vpa"&amp;$B948&amp;$C948&amp;$D948&amp;$E948&amp;$F948,".","_"),"(","_"),")","")</f>
        <v>vpa703_2_3</v>
      </c>
      <c r="AM948" s="311">
        <f>M948</f>
        <v>0</v>
      </c>
      <c r="AN948" s="311" t="str">
        <f>SUBSTITUTE(SUBSTITUTE(SUBSTITUTE("vpc"&amp;$B948&amp;$C948&amp;$D948&amp;$E948&amp;$F948,".","_"),"(","_"),")","")</f>
        <v>vpc703_2_3</v>
      </c>
      <c r="AO948" s="311">
        <f ca="1">O948</f>
        <v>0</v>
      </c>
      <c r="AP948" s="311" t="str">
        <f t="shared" si="264"/>
        <v>vch703_2_3</v>
      </c>
      <c r="AQ948" s="311">
        <f>W948</f>
        <v>0</v>
      </c>
      <c r="AR948" s="311" t="str">
        <f>SUBSTITUTE(SUBSTITUTE(SUBSTITUTE("vnt"&amp;$B948&amp;$C948&amp;$D948&amp;$E948&amp;$F948,".","_"),"(","_"),")","")</f>
        <v>vnt703_2_3</v>
      </c>
      <c r="AS948" s="311">
        <f>X948</f>
        <v>0</v>
      </c>
      <c r="AT948" s="790"/>
      <c r="AU948" s="790"/>
      <c r="AV948" s="790"/>
      <c r="AW948" s="790"/>
      <c r="AX948" s="790"/>
      <c r="AY948" s="790"/>
      <c r="AZ948" s="790"/>
      <c r="BA948" s="790"/>
      <c r="BB948" s="790"/>
      <c r="BC948" s="790"/>
      <c r="BD948" s="790"/>
      <c r="BE948" s="790"/>
      <c r="BF948" s="790"/>
      <c r="BG948" s="790"/>
      <c r="BH948" s="790"/>
      <c r="BI948" s="790"/>
      <c r="BJ948" s="1184" t="s">
        <v>4763</v>
      </c>
    </row>
    <row r="949" spans="1:62" x14ac:dyDescent="0.3">
      <c r="A949" s="1200">
        <v>7</v>
      </c>
      <c r="B949" s="1210" t="s">
        <v>1063</v>
      </c>
      <c r="C949" s="1215"/>
      <c r="D949" s="1203"/>
      <c r="E949" s="1203"/>
      <c r="F949" s="1203"/>
      <c r="G949" s="1202" t="str">
        <f t="shared" ref="G949:G950" ca="1" si="266">G948</f>
        <v/>
      </c>
      <c r="H949" s="1200" t="s">
        <v>4386</v>
      </c>
      <c r="I949" s="140"/>
      <c r="J949" s="812"/>
      <c r="K949" s="812"/>
      <c r="L949" s="1313"/>
      <c r="M949" s="1360"/>
      <c r="N949" s="1308"/>
      <c r="O949" s="1308"/>
      <c r="P949" s="97"/>
      <c r="Q949" s="97"/>
      <c r="R949" s="97"/>
      <c r="S949" s="97"/>
      <c r="T949" s="97"/>
      <c r="U949" s="97"/>
      <c r="V949" s="97"/>
      <c r="W949" s="118"/>
      <c r="X949" s="1303"/>
      <c r="Y949" s="1522"/>
      <c r="Z949" s="1586"/>
      <c r="AB949" s="790"/>
      <c r="AC949" s="790"/>
      <c r="AD949" s="790"/>
      <c r="AE949" s="790"/>
      <c r="AF949" s="790"/>
      <c r="AG949" s="790"/>
      <c r="AH949" s="790"/>
      <c r="AI949" s="790"/>
      <c r="AJ949" s="790"/>
      <c r="AK949" s="790"/>
      <c r="AL949" s="790"/>
      <c r="AM949" s="790"/>
      <c r="AN949" s="790"/>
      <c r="AO949" s="790"/>
      <c r="AP949" s="790"/>
      <c r="AQ949" s="790"/>
      <c r="AR949" s="790"/>
      <c r="AS949" s="790"/>
      <c r="AT949" s="790"/>
      <c r="AU949" s="790"/>
      <c r="AV949" s="790"/>
      <c r="AW949" s="790"/>
      <c r="AX949" s="790"/>
      <c r="AY949" s="790"/>
      <c r="AZ949" s="790"/>
      <c r="BA949" s="790"/>
      <c r="BB949" s="790"/>
      <c r="BC949" s="790"/>
      <c r="BD949" s="790"/>
      <c r="BE949" s="790"/>
      <c r="BF949" s="790"/>
      <c r="BG949" s="790"/>
      <c r="BH949" s="790"/>
      <c r="BI949" s="790"/>
      <c r="BJ949" s="1184" t="s">
        <v>4763</v>
      </c>
    </row>
    <row r="950" spans="1:62" x14ac:dyDescent="0.3">
      <c r="A950" s="1200">
        <v>7</v>
      </c>
      <c r="B950" s="1210" t="s">
        <v>1063</v>
      </c>
      <c r="C950" s="1215"/>
      <c r="D950" s="1203"/>
      <c r="E950" s="1203"/>
      <c r="F950" s="1203"/>
      <c r="G950" s="1202" t="str">
        <f t="shared" ca="1" si="266"/>
        <v/>
      </c>
      <c r="H950" s="1200" t="s">
        <v>4386</v>
      </c>
      <c r="I950" s="238"/>
      <c r="J950" s="813"/>
      <c r="K950" s="813"/>
      <c r="L950" s="1350"/>
      <c r="M950" s="1363"/>
      <c r="N950" s="1309"/>
      <c r="O950" s="1309"/>
      <c r="P950" s="196"/>
      <c r="Q950" s="196"/>
      <c r="R950" s="196"/>
      <c r="S950" s="196"/>
      <c r="T950" s="196"/>
      <c r="U950" s="196"/>
      <c r="V950" s="196"/>
      <c r="W950" s="636"/>
      <c r="X950" s="1303"/>
      <c r="Y950" s="1522"/>
      <c r="Z950" s="1586"/>
      <c r="AB950" s="790"/>
      <c r="AC950" s="790"/>
      <c r="AD950" s="790"/>
      <c r="AE950" s="790"/>
      <c r="AF950" s="790"/>
      <c r="AG950" s="790"/>
      <c r="AH950" s="790"/>
      <c r="AI950" s="790"/>
      <c r="AJ950" s="790"/>
      <c r="AK950" s="790"/>
      <c r="AL950" s="790"/>
      <c r="AM950" s="790"/>
      <c r="AN950" s="790"/>
      <c r="AO950" s="790"/>
      <c r="AP950" s="790"/>
      <c r="AQ950" s="790"/>
      <c r="AR950" s="790"/>
      <c r="AS950" s="790"/>
      <c r="AT950" s="790"/>
      <c r="AU950" s="790"/>
      <c r="AV950" s="790"/>
      <c r="AW950" s="790"/>
      <c r="AX950" s="790"/>
      <c r="AY950" s="790"/>
      <c r="AZ950" s="790"/>
      <c r="BA950" s="790"/>
      <c r="BB950" s="790"/>
      <c r="BC950" s="790"/>
      <c r="BD950" s="790"/>
      <c r="BE950" s="790"/>
      <c r="BF950" s="790"/>
      <c r="BG950" s="790"/>
      <c r="BH950" s="790"/>
      <c r="BI950" s="790"/>
      <c r="BJ950" s="1184" t="s">
        <v>4763</v>
      </c>
    </row>
    <row r="951" spans="1:62" x14ac:dyDescent="0.3">
      <c r="A951" s="1200">
        <v>7</v>
      </c>
      <c r="B951" s="1210" t="s">
        <v>1065</v>
      </c>
      <c r="C951" s="1215"/>
      <c r="D951" s="1203"/>
      <c r="E951" s="1203"/>
      <c r="F951" s="1203"/>
      <c r="G951" s="1202" t="str">
        <f ca="1">IF(N951&gt;0,"P","")</f>
        <v/>
      </c>
      <c r="H951" s="1200" t="s">
        <v>4386</v>
      </c>
      <c r="I951" s="215" t="s">
        <v>1065</v>
      </c>
      <c r="J951" s="823"/>
      <c r="K951" s="823"/>
      <c r="L951" s="1364" t="s">
        <v>1066</v>
      </c>
      <c r="M951" s="1413" t="s">
        <v>1067</v>
      </c>
      <c r="N951" s="1324">
        <f ca="1">'Ch7'!O188</f>
        <v>0</v>
      </c>
      <c r="O951" s="1324">
        <f ca="1">MAX(S953:T953)*S952</f>
        <v>0</v>
      </c>
      <c r="P951" s="1081"/>
      <c r="Q951" s="1081"/>
      <c r="R951" s="790"/>
      <c r="S951" s="790"/>
      <c r="T951" s="790"/>
      <c r="U951" s="790"/>
      <c r="V951" s="790"/>
      <c r="W951" s="1083" t="str">
        <f>IF(S953&gt;=T953,"ACH50:","ELR50:")</f>
        <v>ACH50:</v>
      </c>
      <c r="X951" s="1303"/>
      <c r="Y951" s="1522" t="str">
        <f>IF(LEN('Ch7'!X188)=0,"None",'Ch7'!X188)</f>
        <v>None</v>
      </c>
      <c r="Z951" s="1586"/>
      <c r="AB951" s="790"/>
      <c r="AC951" s="790"/>
      <c r="AD951" s="790"/>
      <c r="AE951" s="790"/>
      <c r="AF951" s="790"/>
      <c r="AG951" s="790"/>
      <c r="AH951" s="790"/>
      <c r="AI951" s="790"/>
      <c r="AJ951" s="790"/>
      <c r="AK951" s="790"/>
      <c r="AL951" s="311" t="str">
        <f t="shared" ref="AL951" si="267">SUBSTITUTE(SUBSTITUTE(SUBSTITUTE("vpa"&amp;$B951&amp;$C951&amp;$D951&amp;$E951&amp;$F951,".","_"),"(","_"),")","")</f>
        <v>vpa703_2_4</v>
      </c>
      <c r="AM951" s="311" t="str">
        <f>M951</f>
        <v>Per Table 703.2.4</v>
      </c>
      <c r="AN951" s="311" t="str">
        <f>SUBSTITUTE(SUBSTITUTE(SUBSTITUTE("vpc"&amp;$B951&amp;$C951&amp;$D951&amp;$E951&amp;$F951,".","_"),"(","_"),")","")</f>
        <v>vpc703_2_4</v>
      </c>
      <c r="AO951" s="311">
        <f ca="1">O951</f>
        <v>0</v>
      </c>
      <c r="AP951" s="790"/>
      <c r="AQ951" s="790"/>
      <c r="AR951" s="311" t="str">
        <f>SUBSTITUTE(SUBSTITUTE(SUBSTITUTE("vnt"&amp;$B951&amp;$C951&amp;$D951&amp;$E951&amp;$F951,".","_"),"(","_"),")","")</f>
        <v>vnt703_2_4</v>
      </c>
      <c r="AS951" s="311">
        <f>X951</f>
        <v>0</v>
      </c>
      <c r="AT951" s="790"/>
      <c r="AU951" s="790"/>
      <c r="AV951" s="790"/>
      <c r="AW951" s="790"/>
      <c r="AX951" s="790"/>
      <c r="AY951" s="790"/>
      <c r="AZ951" s="790"/>
      <c r="BA951" s="790"/>
      <c r="BB951" s="790"/>
      <c r="BC951" s="790"/>
      <c r="BD951" s="790"/>
      <c r="BE951" s="790"/>
      <c r="BF951" s="790"/>
      <c r="BG951" s="790"/>
      <c r="BH951" s="790"/>
      <c r="BI951" s="790"/>
      <c r="BJ951" s="1184" t="s">
        <v>4763</v>
      </c>
    </row>
    <row r="952" spans="1:62" x14ac:dyDescent="0.3">
      <c r="A952" s="1200">
        <v>7</v>
      </c>
      <c r="B952" s="1210" t="s">
        <v>1065</v>
      </c>
      <c r="C952" s="1215"/>
      <c r="D952" s="1203"/>
      <c r="E952" s="1203"/>
      <c r="F952" s="1203"/>
      <c r="G952" s="1202" t="str">
        <f t="shared" ref="G952:G953" ca="1" si="268">G951</f>
        <v/>
      </c>
      <c r="H952" s="1200" t="s">
        <v>4386</v>
      </c>
      <c r="I952" s="140"/>
      <c r="J952" s="812"/>
      <c r="K952" s="812"/>
      <c r="L952" s="1313"/>
      <c r="M952" s="1416"/>
      <c r="N952" s="1308"/>
      <c r="O952" s="1308"/>
      <c r="P952" s="1081"/>
      <c r="Q952" s="1081"/>
      <c r="R952" s="790" t="b">
        <v>0</v>
      </c>
      <c r="S952" s="790" t="b">
        <f ca="1">(S776=2)</f>
        <v>0</v>
      </c>
      <c r="T952" s="790" t="b">
        <v>0</v>
      </c>
      <c r="U952" s="790"/>
      <c r="V952" s="790"/>
      <c r="W952" s="533">
        <f>IF(S953&gt;=T953,W835,W838)</f>
        <v>0</v>
      </c>
      <c r="X952" s="1303"/>
      <c r="Y952" s="1522"/>
      <c r="Z952" s="1586"/>
      <c r="AB952" s="790"/>
      <c r="AC952" s="790"/>
      <c r="AD952" s="790"/>
      <c r="AE952" s="790"/>
      <c r="AF952" s="790"/>
      <c r="AG952" s="790"/>
      <c r="AH952" s="790"/>
      <c r="AI952" s="790"/>
      <c r="AJ952" s="790"/>
      <c r="AK952" s="790"/>
      <c r="AL952" s="790"/>
      <c r="AM952" s="790"/>
      <c r="AN952" s="790"/>
      <c r="AO952" s="790"/>
      <c r="AP952" s="790"/>
      <c r="AQ952" s="790"/>
      <c r="AR952" s="790"/>
      <c r="AS952" s="790"/>
      <c r="AT952" s="790"/>
      <c r="AU952" s="790"/>
      <c r="AV952" s="790"/>
      <c r="AW952" s="790"/>
      <c r="AX952" s="790"/>
      <c r="AY952" s="790"/>
      <c r="AZ952" s="790"/>
      <c r="BA952" s="790"/>
      <c r="BB952" s="790"/>
      <c r="BC952" s="790"/>
      <c r="BD952" s="790"/>
      <c r="BE952" s="790"/>
      <c r="BF952" s="790"/>
      <c r="BG952" s="790"/>
      <c r="BH952" s="790"/>
      <c r="BI952" s="790"/>
      <c r="BJ952" s="1184" t="s">
        <v>4763</v>
      </c>
    </row>
    <row r="953" spans="1:62" x14ac:dyDescent="0.3">
      <c r="A953" s="1200">
        <v>7</v>
      </c>
      <c r="B953" s="1210" t="s">
        <v>1065</v>
      </c>
      <c r="C953" s="1215"/>
      <c r="D953" s="1203"/>
      <c r="E953" s="1203"/>
      <c r="F953" s="1203"/>
      <c r="G953" s="1202" t="str">
        <f t="shared" ca="1" si="268"/>
        <v/>
      </c>
      <c r="H953" s="1200" t="s">
        <v>4386</v>
      </c>
      <c r="I953" s="238"/>
      <c r="J953" s="813"/>
      <c r="K953" s="813"/>
      <c r="L953" s="1350"/>
      <c r="M953" s="1414"/>
      <c r="N953" s="1309"/>
      <c r="O953" s="1309"/>
      <c r="P953" s="1081"/>
      <c r="Q953" s="1081"/>
      <c r="R953" s="1" t="s">
        <v>4693</v>
      </c>
      <c r="S953" s="1">
        <f>Formulas!N$38</f>
        <v>0</v>
      </c>
      <c r="T953" s="1">
        <f>Formulas!O$38</f>
        <v>0</v>
      </c>
      <c r="U953" s="790"/>
      <c r="V953" s="790"/>
      <c r="W953" s="790"/>
      <c r="X953" s="1303"/>
      <c r="Y953" s="1522"/>
      <c r="Z953" s="1586"/>
      <c r="AB953" s="790"/>
      <c r="AC953" s="790"/>
      <c r="AD953" s="790"/>
      <c r="AE953" s="790"/>
      <c r="AF953" s="790"/>
      <c r="AG953" s="790"/>
      <c r="AH953" s="790"/>
      <c r="AI953" s="790"/>
      <c r="AJ953" s="790"/>
      <c r="AK953" s="790"/>
      <c r="AL953" s="790"/>
      <c r="AM953" s="790"/>
      <c r="AN953" s="790"/>
      <c r="AO953" s="790"/>
      <c r="AP953" s="790"/>
      <c r="AQ953" s="790"/>
      <c r="AR953" s="790"/>
      <c r="AS953" s="790"/>
      <c r="AT953" s="790"/>
      <c r="AU953" s="790"/>
      <c r="AV953" s="790"/>
      <c r="AW953" s="790"/>
      <c r="AX953" s="790"/>
      <c r="AY953" s="790"/>
      <c r="AZ953" s="790"/>
      <c r="BA953" s="790"/>
      <c r="BB953" s="790"/>
      <c r="BC953" s="790"/>
      <c r="BD953" s="790"/>
      <c r="BE953" s="790"/>
      <c r="BF953" s="790"/>
      <c r="BG953" s="790"/>
      <c r="BH953" s="790"/>
      <c r="BI953" s="790"/>
      <c r="BJ953" s="1184" t="s">
        <v>4763</v>
      </c>
    </row>
    <row r="954" spans="1:62" x14ac:dyDescent="0.3">
      <c r="A954" s="1200">
        <v>7</v>
      </c>
      <c r="B954" s="1215" t="s">
        <v>1068</v>
      </c>
      <c r="C954" s="1215"/>
      <c r="D954" s="1203"/>
      <c r="E954" s="1203"/>
      <c r="F954" s="1203"/>
      <c r="G954" s="1196" t="str">
        <f ca="1">IF(COUNTIF(G955:G970,"P")&gt;0,"P","")</f>
        <v/>
      </c>
      <c r="H954" s="1200" t="s">
        <v>4386</v>
      </c>
      <c r="I954" s="68" t="s">
        <v>1068</v>
      </c>
      <c r="J954" s="819"/>
      <c r="K954" s="819"/>
      <c r="L954" s="829" t="s">
        <v>1069</v>
      </c>
      <c r="M954" s="799"/>
      <c r="N954" s="850"/>
      <c r="O954" s="802"/>
      <c r="P954" s="1081"/>
      <c r="Q954" s="1081"/>
      <c r="R954" s="790"/>
      <c r="S954" s="790"/>
      <c r="T954" s="790"/>
      <c r="U954" s="790"/>
      <c r="V954" s="790"/>
      <c r="W954" s="790"/>
      <c r="X954" s="790"/>
      <c r="Y954" s="790"/>
      <c r="Z954" s="1055"/>
      <c r="AB954" s="790"/>
      <c r="AC954" s="790"/>
      <c r="AD954" s="790"/>
      <c r="AE954" s="790"/>
      <c r="AF954" s="790"/>
      <c r="AG954" s="790"/>
      <c r="AH954" s="790"/>
      <c r="AI954" s="790"/>
      <c r="AJ954" s="790"/>
      <c r="AK954" s="790"/>
      <c r="AL954" s="790"/>
      <c r="AM954" s="790"/>
      <c r="AN954" s="790"/>
      <c r="AO954" s="790"/>
      <c r="AP954" s="790"/>
      <c r="AQ954" s="790"/>
      <c r="AR954" s="790"/>
      <c r="AS954" s="790"/>
      <c r="AT954" s="790"/>
      <c r="AU954" s="790"/>
      <c r="AV954" s="790"/>
      <c r="AW954" s="790"/>
      <c r="AX954" s="790"/>
      <c r="AY954" s="790"/>
      <c r="AZ954" s="790"/>
      <c r="BA954" s="790"/>
      <c r="BB954" s="790"/>
      <c r="BC954" s="790"/>
      <c r="BD954" s="790"/>
      <c r="BE954" s="790"/>
      <c r="BF954" s="790"/>
      <c r="BG954" s="790"/>
      <c r="BH954" s="790"/>
      <c r="BI954" s="790"/>
      <c r="BJ954" s="1184" t="s">
        <v>4763</v>
      </c>
    </row>
    <row r="955" spans="1:62" x14ac:dyDescent="0.3">
      <c r="A955" s="1200">
        <v>7</v>
      </c>
      <c r="B955" s="1210" t="s">
        <v>1070</v>
      </c>
      <c r="C955" s="1215"/>
      <c r="D955" s="1203"/>
      <c r="E955" s="1203"/>
      <c r="F955" s="1203"/>
      <c r="G955" s="1202" t="str">
        <f ca="1">IF(M955="Mandatory","M","")</f>
        <v/>
      </c>
      <c r="H955" s="1200" t="s">
        <v>4386</v>
      </c>
      <c r="I955" s="606" t="s">
        <v>1070</v>
      </c>
      <c r="J955" s="812"/>
      <c r="K955" s="812"/>
      <c r="L955" s="1305" t="s">
        <v>1071</v>
      </c>
      <c r="M955" s="1351" t="str">
        <f ca="1">IF(R955,"Mandatory","N/A")</f>
        <v>N/A</v>
      </c>
      <c r="N955" s="850"/>
      <c r="O955" s="802"/>
      <c r="P955" s="97" t="b">
        <v>1</v>
      </c>
      <c r="Q955" s="97" t="b">
        <v>1</v>
      </c>
      <c r="R955" s="790" t="b">
        <f ca="1">S955</f>
        <v>0</v>
      </c>
      <c r="S955" s="790" t="b">
        <f ca="1">(S776=2)</f>
        <v>0</v>
      </c>
      <c r="T955" s="97" t="b">
        <f ca="1">AND(NOT(S955),W955=TRUE)</f>
        <v>0</v>
      </c>
      <c r="U955" s="790"/>
      <c r="V955" s="790"/>
      <c r="W955" s="25"/>
      <c r="X955" s="1303"/>
      <c r="Y955" s="1522" t="str">
        <f>IF(LEN('Ch7'!X192)=0,"None",'Ch7'!X192)</f>
        <v>None</v>
      </c>
      <c r="Z955" s="1586"/>
      <c r="AB955" s="790"/>
      <c r="AC955" s="790" t="b">
        <f ca="1">OR(AD955:AE955)</f>
        <v>0</v>
      </c>
      <c r="AD955" s="790" t="b">
        <f ca="1">T955</f>
        <v>0</v>
      </c>
      <c r="AE955" s="790" t="b">
        <f ca="1">AND(R955,NOT(W955))</f>
        <v>0</v>
      </c>
      <c r="AF955" s="1182" t="b">
        <f ca="1">AND(AE955,NOT(Q955))</f>
        <v>0</v>
      </c>
      <c r="AG955" s="790"/>
      <c r="AH955" s="790"/>
      <c r="AI955" s="790"/>
      <c r="AJ955" s="790"/>
      <c r="AK955" s="790"/>
      <c r="AL955" s="311" t="str">
        <f t="shared" ref="AL955" si="269">SUBSTITUTE(SUBSTITUTE(SUBSTITUTE("vpa"&amp;$B955&amp;$C955&amp;$D955&amp;$E955&amp;$F955,".","_"),"(","_"),")","")</f>
        <v>vpa703_2_5_1</v>
      </c>
      <c r="AM955" s="311" t="str">
        <f ca="1">M955</f>
        <v>N/A</v>
      </c>
      <c r="AN955" s="790"/>
      <c r="AO955" s="790"/>
      <c r="AP955" s="311" t="str">
        <f>SUBSTITUTE(SUBSTITUTE(SUBSTITUTE("vch"&amp;$B955&amp;$C955&amp;$D955&amp;$E955&amp;$F955,".","_"),"(","_"),")","")</f>
        <v>vch703_2_5_1</v>
      </c>
      <c r="AQ955" s="311">
        <f>W955</f>
        <v>0</v>
      </c>
      <c r="AR955" s="311" t="str">
        <f>SUBSTITUTE(SUBSTITUTE(SUBSTITUTE("vnt"&amp;$B955&amp;$C955&amp;$D955&amp;$E955&amp;$F955,".","_"),"(","_"),")","")</f>
        <v>vnt703_2_5_1</v>
      </c>
      <c r="AS955" s="311">
        <f>X955</f>
        <v>0</v>
      </c>
      <c r="AT955" s="790"/>
      <c r="AU955" s="790"/>
      <c r="AV955" s="790"/>
      <c r="AW955" s="790"/>
      <c r="AX955" s="790"/>
      <c r="AY955" s="790"/>
      <c r="AZ955" s="790"/>
      <c r="BA955" s="790"/>
      <c r="BB955" s="790"/>
      <c r="BC955" s="790"/>
      <c r="BD955" s="790"/>
      <c r="BE955" s="790"/>
      <c r="BF955" s="790"/>
      <c r="BG955" s="790"/>
      <c r="BH955" s="790"/>
      <c r="BI955" s="790"/>
      <c r="BJ955" s="1184" t="s">
        <v>4763</v>
      </c>
    </row>
    <row r="956" spans="1:62" x14ac:dyDescent="0.3">
      <c r="A956" s="1200">
        <v>7</v>
      </c>
      <c r="B956" s="1210" t="s">
        <v>1070</v>
      </c>
      <c r="C956" s="1215"/>
      <c r="D956" s="1203"/>
      <c r="E956" s="1203"/>
      <c r="F956" s="1203"/>
      <c r="G956" s="1202" t="str">
        <f t="shared" ref="G956:G969" ca="1" si="270">G955</f>
        <v/>
      </c>
      <c r="H956" s="1200" t="s">
        <v>4386</v>
      </c>
      <c r="I956" s="140"/>
      <c r="J956" s="812"/>
      <c r="K956" s="812"/>
      <c r="L956" s="1305"/>
      <c r="M956" s="1351"/>
      <c r="N956" s="850"/>
      <c r="O956" s="802"/>
      <c r="P956" s="1081"/>
      <c r="Q956" s="1081"/>
      <c r="R956" s="790"/>
      <c r="S956" s="790"/>
      <c r="T956" s="790"/>
      <c r="U956" s="790"/>
      <c r="V956" s="790"/>
      <c r="W956" s="790"/>
      <c r="X956" s="1303"/>
      <c r="Y956" s="1522"/>
      <c r="Z956" s="1586"/>
      <c r="AB956" s="790"/>
      <c r="AC956" s="790"/>
      <c r="AD956" s="790"/>
      <c r="AE956" s="790"/>
      <c r="AF956" s="790"/>
      <c r="AG956" s="790"/>
      <c r="AH956" s="790"/>
      <c r="AI956" s="790"/>
      <c r="AJ956" s="790"/>
      <c r="AK956" s="790"/>
      <c r="AL956" s="790"/>
      <c r="AM956" s="790"/>
      <c r="AN956" s="790"/>
      <c r="AO956" s="790"/>
      <c r="AP956" s="790"/>
      <c r="AQ956" s="790"/>
      <c r="AR956" s="790"/>
      <c r="AS956" s="790"/>
      <c r="AT956" s="790"/>
      <c r="AU956" s="790"/>
      <c r="AV956" s="790"/>
      <c r="AW956" s="790"/>
      <c r="AX956" s="790"/>
      <c r="AY956" s="790"/>
      <c r="AZ956" s="790"/>
      <c r="BA956" s="790"/>
      <c r="BB956" s="790"/>
      <c r="BC956" s="790"/>
      <c r="BD956" s="790"/>
      <c r="BE956" s="790"/>
      <c r="BF956" s="790"/>
      <c r="BG956" s="790"/>
      <c r="BH956" s="790"/>
      <c r="BI956" s="790"/>
      <c r="BJ956" s="1184" t="s">
        <v>4763</v>
      </c>
    </row>
    <row r="957" spans="1:62" x14ac:dyDescent="0.3">
      <c r="A957" s="1200">
        <v>7</v>
      </c>
      <c r="B957" s="1210" t="s">
        <v>1070</v>
      </c>
      <c r="C957" s="1215"/>
      <c r="D957" s="1203"/>
      <c r="E957" s="1203"/>
      <c r="F957" s="1203"/>
      <c r="G957" s="1202" t="str">
        <f t="shared" ca="1" si="270"/>
        <v/>
      </c>
      <c r="H957" s="1200" t="s">
        <v>4386</v>
      </c>
      <c r="I957" s="140"/>
      <c r="J957" s="812"/>
      <c r="K957" s="812"/>
      <c r="L957" s="1305"/>
      <c r="M957" s="1351"/>
      <c r="N957" s="850"/>
      <c r="O957" s="802"/>
      <c r="P957" s="1081"/>
      <c r="Q957" s="1081"/>
      <c r="R957" s="790"/>
      <c r="S957" s="790"/>
      <c r="T957" s="790"/>
      <c r="U957" s="790"/>
      <c r="V957" s="790"/>
      <c r="W957" s="790"/>
      <c r="X957" s="1303"/>
      <c r="Y957" s="1522"/>
      <c r="Z957" s="1586"/>
      <c r="AB957" s="790"/>
      <c r="AC957" s="790"/>
      <c r="AD957" s="790"/>
      <c r="AE957" s="790"/>
      <c r="AF957" s="790"/>
      <c r="AG957" s="790"/>
      <c r="AH957" s="790"/>
      <c r="AI957" s="790"/>
      <c r="AJ957" s="790"/>
      <c r="AK957" s="790"/>
      <c r="AL957" s="790"/>
      <c r="AM957" s="790"/>
      <c r="AN957" s="790"/>
      <c r="AO957" s="790"/>
      <c r="AP957" s="790"/>
      <c r="AQ957" s="790"/>
      <c r="AR957" s="790"/>
      <c r="AS957" s="790"/>
      <c r="AT957" s="790"/>
      <c r="AU957" s="790"/>
      <c r="AV957" s="790"/>
      <c r="AW957" s="790"/>
      <c r="AX957" s="790"/>
      <c r="AY957" s="790"/>
      <c r="AZ957" s="790"/>
      <c r="BA957" s="790"/>
      <c r="BB957" s="790"/>
      <c r="BC957" s="790"/>
      <c r="BD957" s="790"/>
      <c r="BE957" s="790"/>
      <c r="BF957" s="790"/>
      <c r="BG957" s="790"/>
      <c r="BH957" s="790"/>
      <c r="BI957" s="790"/>
      <c r="BJ957" s="1184" t="s">
        <v>4763</v>
      </c>
    </row>
    <row r="958" spans="1:62" x14ac:dyDescent="0.3">
      <c r="A958" s="1200">
        <v>7</v>
      </c>
      <c r="B958" s="1210" t="s">
        <v>1070</v>
      </c>
      <c r="C958" s="1215"/>
      <c r="D958" s="1203"/>
      <c r="E958" s="1203"/>
      <c r="F958" s="1203"/>
      <c r="G958" s="1202" t="str">
        <f t="shared" ca="1" si="270"/>
        <v/>
      </c>
      <c r="H958" s="1200" t="s">
        <v>4386</v>
      </c>
      <c r="I958" s="140"/>
      <c r="J958" s="812"/>
      <c r="K958" s="812"/>
      <c r="L958" s="1305"/>
      <c r="M958" s="1351"/>
      <c r="N958" s="850"/>
      <c r="O958" s="802"/>
      <c r="P958" s="1081"/>
      <c r="Q958" s="1081"/>
      <c r="R958" s="790"/>
      <c r="S958" s="790"/>
      <c r="T958" s="790"/>
      <c r="U958" s="790"/>
      <c r="V958" s="790"/>
      <c r="W958" s="790"/>
      <c r="X958" s="1303"/>
      <c r="Y958" s="1522"/>
      <c r="Z958" s="1586"/>
      <c r="AB958" s="790"/>
      <c r="AC958" s="790"/>
      <c r="AD958" s="790"/>
      <c r="AE958" s="790"/>
      <c r="AF958" s="790"/>
      <c r="AG958" s="790"/>
      <c r="AH958" s="790"/>
      <c r="AI958" s="790"/>
      <c r="AJ958" s="790"/>
      <c r="AK958" s="790"/>
      <c r="AL958" s="790"/>
      <c r="AM958" s="790"/>
      <c r="AN958" s="790"/>
      <c r="AO958" s="790"/>
      <c r="AP958" s="790"/>
      <c r="AQ958" s="790"/>
      <c r="AR958" s="790"/>
      <c r="AS958" s="790"/>
      <c r="AT958" s="790"/>
      <c r="AU958" s="790"/>
      <c r="AV958" s="790"/>
      <c r="AW958" s="790"/>
      <c r="AX958" s="790"/>
      <c r="AY958" s="790"/>
      <c r="AZ958" s="790"/>
      <c r="BA958" s="790"/>
      <c r="BB958" s="790"/>
      <c r="BC958" s="790"/>
      <c r="BD958" s="790"/>
      <c r="BE958" s="790"/>
      <c r="BF958" s="790"/>
      <c r="BG958" s="790"/>
      <c r="BH958" s="790"/>
      <c r="BI958" s="790"/>
      <c r="BJ958" s="1184" t="s">
        <v>4763</v>
      </c>
    </row>
    <row r="959" spans="1:62" x14ac:dyDescent="0.3">
      <c r="A959" s="1200">
        <v>7</v>
      </c>
      <c r="B959" s="1210" t="s">
        <v>1070</v>
      </c>
      <c r="C959" s="1215"/>
      <c r="D959" s="1203"/>
      <c r="E959" s="1203"/>
      <c r="F959" s="1203"/>
      <c r="G959" s="1202" t="str">
        <f t="shared" ca="1" si="270"/>
        <v/>
      </c>
      <c r="H959" s="1200" t="s">
        <v>4386</v>
      </c>
      <c r="I959" s="140"/>
      <c r="J959" s="812"/>
      <c r="K959" s="812"/>
      <c r="L959" s="1305"/>
      <c r="M959" s="1351"/>
      <c r="N959" s="850"/>
      <c r="O959" s="802"/>
      <c r="P959" s="1081"/>
      <c r="Q959" s="1081"/>
      <c r="R959" s="790"/>
      <c r="S959" s="790"/>
      <c r="T959" s="790"/>
      <c r="U959" s="790"/>
      <c r="V959" s="790"/>
      <c r="W959" s="790"/>
      <c r="X959" s="1303"/>
      <c r="Y959" s="1522"/>
      <c r="Z959" s="1586"/>
      <c r="AB959" s="790"/>
      <c r="AC959" s="790"/>
      <c r="AD959" s="790"/>
      <c r="AE959" s="790"/>
      <c r="AF959" s="790"/>
      <c r="AG959" s="790"/>
      <c r="AH959" s="790"/>
      <c r="AI959" s="790"/>
      <c r="AJ959" s="790"/>
      <c r="AK959" s="790"/>
      <c r="AL959" s="790"/>
      <c r="AM959" s="790"/>
      <c r="AN959" s="790"/>
      <c r="AO959" s="790"/>
      <c r="AP959" s="790"/>
      <c r="AQ959" s="790"/>
      <c r="AR959" s="790"/>
      <c r="AS959" s="790"/>
      <c r="AT959" s="790"/>
      <c r="AU959" s="790"/>
      <c r="AV959" s="790"/>
      <c r="AW959" s="790"/>
      <c r="AX959" s="790"/>
      <c r="AY959" s="790"/>
      <c r="AZ959" s="790"/>
      <c r="BA959" s="790"/>
      <c r="BB959" s="790"/>
      <c r="BC959" s="790"/>
      <c r="BD959" s="790"/>
      <c r="BE959" s="790"/>
      <c r="BF959" s="790"/>
      <c r="BG959" s="790"/>
      <c r="BH959" s="790"/>
      <c r="BI959" s="790"/>
      <c r="BJ959" s="1184" t="s">
        <v>4763</v>
      </c>
    </row>
    <row r="960" spans="1:62" x14ac:dyDescent="0.3">
      <c r="A960" s="1200">
        <v>7</v>
      </c>
      <c r="B960" s="1210" t="s">
        <v>1070</v>
      </c>
      <c r="C960" s="1215"/>
      <c r="D960" s="1203"/>
      <c r="E960" s="1203"/>
      <c r="F960" s="1203"/>
      <c r="G960" s="1202" t="str">
        <f t="shared" ca="1" si="270"/>
        <v/>
      </c>
      <c r="H960" s="1200" t="s">
        <v>4386</v>
      </c>
      <c r="I960" s="140"/>
      <c r="J960" s="812"/>
      <c r="K960" s="812"/>
      <c r="L960" s="1305"/>
      <c r="M960" s="1351"/>
      <c r="N960" s="850"/>
      <c r="O960" s="802"/>
      <c r="P960" s="1081"/>
      <c r="Q960" s="1081"/>
      <c r="R960" s="790"/>
      <c r="S960" s="790"/>
      <c r="T960" s="790"/>
      <c r="U960" s="790"/>
      <c r="V960" s="790"/>
      <c r="W960" s="790"/>
      <c r="X960" s="1303"/>
      <c r="Y960" s="1522"/>
      <c r="Z960" s="1586"/>
      <c r="AB960" s="790"/>
      <c r="AC960" s="790"/>
      <c r="AD960" s="790"/>
      <c r="AE960" s="790"/>
      <c r="AF960" s="790"/>
      <c r="AG960" s="790"/>
      <c r="AH960" s="790"/>
      <c r="AI960" s="790"/>
      <c r="AJ960" s="790"/>
      <c r="AK960" s="790"/>
      <c r="AL960" s="790"/>
      <c r="AM960" s="790"/>
      <c r="AN960" s="790"/>
      <c r="AO960" s="790"/>
      <c r="AP960" s="790"/>
      <c r="AQ960" s="790"/>
      <c r="AR960" s="790"/>
      <c r="AS960" s="790"/>
      <c r="AT960" s="790"/>
      <c r="AU960" s="790"/>
      <c r="AV960" s="790"/>
      <c r="AW960" s="790"/>
      <c r="AX960" s="790"/>
      <c r="AY960" s="790"/>
      <c r="AZ960" s="790"/>
      <c r="BA960" s="790"/>
      <c r="BB960" s="790"/>
      <c r="BC960" s="790"/>
      <c r="BD960" s="790"/>
      <c r="BE960" s="790"/>
      <c r="BF960" s="790"/>
      <c r="BG960" s="790"/>
      <c r="BH960" s="790"/>
      <c r="BI960" s="790"/>
      <c r="BJ960" s="1184" t="s">
        <v>4763</v>
      </c>
    </row>
    <row r="961" spans="1:62" x14ac:dyDescent="0.3">
      <c r="A961" s="1200">
        <v>7</v>
      </c>
      <c r="B961" s="1210" t="s">
        <v>1070</v>
      </c>
      <c r="C961" s="1215"/>
      <c r="D961" s="1203"/>
      <c r="E961" s="1203"/>
      <c r="F961" s="1203"/>
      <c r="G961" s="1202" t="str">
        <f t="shared" ca="1" si="270"/>
        <v/>
      </c>
      <c r="H961" s="1200" t="s">
        <v>4386</v>
      </c>
      <c r="I961" s="238"/>
      <c r="J961" s="813"/>
      <c r="K961" s="813"/>
      <c r="L961" s="623" t="s">
        <v>4047</v>
      </c>
      <c r="M961" s="816"/>
      <c r="N961" s="850"/>
      <c r="O961" s="802"/>
      <c r="P961" s="1081"/>
      <c r="Q961" s="1081"/>
      <c r="R961" s="790"/>
      <c r="S961" s="790"/>
      <c r="T961" s="790"/>
      <c r="U961" s="790"/>
      <c r="V961" s="790"/>
      <c r="W961" s="790"/>
      <c r="X961" s="1303"/>
      <c r="Y961" s="1522"/>
      <c r="Z961" s="1586"/>
      <c r="AB961" s="790"/>
      <c r="AC961" s="790"/>
      <c r="AD961" s="790"/>
      <c r="AE961" s="790"/>
      <c r="AF961" s="790"/>
      <c r="AG961" s="790"/>
      <c r="AH961" s="790"/>
      <c r="AI961" s="790"/>
      <c r="AJ961" s="790"/>
      <c r="AK961" s="790"/>
      <c r="AL961" s="790"/>
      <c r="AM961" s="790"/>
      <c r="AN961" s="790"/>
      <c r="AO961" s="790"/>
      <c r="AP961" s="790"/>
      <c r="AQ961" s="790"/>
      <c r="AR961" s="790"/>
      <c r="AS961" s="790"/>
      <c r="AT961" s="790"/>
      <c r="AU961" s="790"/>
      <c r="AV961" s="790"/>
      <c r="AW961" s="790"/>
      <c r="AX961" s="790"/>
      <c r="AY961" s="790"/>
      <c r="AZ961" s="790"/>
      <c r="BA961" s="790"/>
      <c r="BB961" s="790"/>
      <c r="BC961" s="790"/>
      <c r="BD961" s="790"/>
      <c r="BE961" s="790"/>
      <c r="BF961" s="790"/>
      <c r="BG961" s="790"/>
      <c r="BH961" s="790"/>
      <c r="BI961" s="790"/>
      <c r="BJ961" s="1184" t="s">
        <v>4763</v>
      </c>
    </row>
    <row r="962" spans="1:62" x14ac:dyDescent="0.3">
      <c r="A962" s="1200">
        <v>7</v>
      </c>
      <c r="B962" s="1210" t="s">
        <v>1072</v>
      </c>
      <c r="C962" s="1215"/>
      <c r="D962" s="1203"/>
      <c r="E962" s="1203"/>
      <c r="F962" s="1203"/>
      <c r="G962" s="1202" t="str">
        <f t="shared" ca="1" si="270"/>
        <v/>
      </c>
      <c r="H962" s="1200" t="s">
        <v>4386</v>
      </c>
      <c r="I962" s="630" t="s">
        <v>1072</v>
      </c>
      <c r="J962" s="823"/>
      <c r="K962" s="823"/>
      <c r="L962" s="1364" t="s">
        <v>1073</v>
      </c>
      <c r="M962" s="799"/>
      <c r="N962" s="850"/>
      <c r="O962" s="802"/>
      <c r="P962" s="97" t="b">
        <v>1</v>
      </c>
      <c r="Q962" s="97" t="b">
        <v>1</v>
      </c>
      <c r="R962" s="790" t="b">
        <f ca="1">S962</f>
        <v>0</v>
      </c>
      <c r="S962" s="790" t="b">
        <f ca="1">(S776=2)</f>
        <v>0</v>
      </c>
      <c r="T962" s="97" t="b">
        <f ca="1">AND(NOT(S962),LEN(W962)&gt;0)</f>
        <v>0</v>
      </c>
      <c r="U962" s="97" t="str">
        <f>SUBSTITUTE(SUBSTITUTE(SUBSTITUTE("dd"&amp;B962&amp;C962&amp;D962&amp;E962&amp;F962,".","_"),"(","_"),")","")</f>
        <v>dd703_2_5_1_1</v>
      </c>
      <c r="V962" s="790"/>
      <c r="W962" s="12"/>
      <c r="X962" s="1303"/>
      <c r="Y962" s="1522" t="str">
        <f>IF(LEN('Ch7'!X199)=0,"None",'Ch7'!X199)</f>
        <v>None</v>
      </c>
      <c r="Z962" s="1586"/>
      <c r="AB962" s="790"/>
      <c r="AC962" s="790" t="b">
        <f ca="1">OR(AD962:AE962)</f>
        <v>0</v>
      </c>
      <c r="AD962" s="790" t="b">
        <f ca="1">T962</f>
        <v>0</v>
      </c>
      <c r="AE962" s="790" t="b">
        <f ca="1">AND(R962,OR(W962="Not Met",W962=""))</f>
        <v>0</v>
      </c>
      <c r="AF962" s="1182" t="b">
        <f ca="1">AND(AE962,NOT(Q962))</f>
        <v>0</v>
      </c>
      <c r="AG962" s="790"/>
      <c r="AH962" s="790"/>
      <c r="AI962" s="790"/>
      <c r="AJ962" s="790"/>
      <c r="AK962" s="790"/>
      <c r="AL962" s="790"/>
      <c r="AM962" s="790"/>
      <c r="AN962" s="790"/>
      <c r="AO962" s="790"/>
      <c r="AP962" s="311" t="str">
        <f>SUBSTITUTE(SUBSTITUTE(SUBSTITUTE("vch"&amp;$B962&amp;$C962&amp;$D962&amp;$E962&amp;$F962,".","_"),"(","_"),")","")</f>
        <v>vch703_2_5_1_1</v>
      </c>
      <c r="AQ962" s="311">
        <f>W962</f>
        <v>0</v>
      </c>
      <c r="AR962" s="311" t="str">
        <f>SUBSTITUTE(SUBSTITUTE(SUBSTITUTE("vnt"&amp;$B962&amp;$C962&amp;$D962&amp;$E962&amp;$F962,".","_"),"(","_"),")","")</f>
        <v>vnt703_2_5_1_1</v>
      </c>
      <c r="AS962" s="311">
        <f>X962</f>
        <v>0</v>
      </c>
      <c r="AT962" s="790"/>
      <c r="AU962" s="790"/>
      <c r="AV962" s="790"/>
      <c r="AW962" s="790"/>
      <c r="AX962" s="790"/>
      <c r="AY962" s="790"/>
      <c r="AZ962" s="790"/>
      <c r="BA962" s="790"/>
      <c r="BB962" s="790"/>
      <c r="BC962" s="790"/>
      <c r="BD962" s="790"/>
      <c r="BE962" s="790"/>
      <c r="BF962" s="790"/>
      <c r="BG962" s="790"/>
      <c r="BH962" s="790"/>
      <c r="BI962" s="790"/>
      <c r="BJ962" s="1184" t="s">
        <v>4763</v>
      </c>
    </row>
    <row r="963" spans="1:62" x14ac:dyDescent="0.3">
      <c r="A963" s="1200">
        <v>7</v>
      </c>
      <c r="B963" s="1210" t="s">
        <v>1072</v>
      </c>
      <c r="C963" s="1215"/>
      <c r="D963" s="1203"/>
      <c r="E963" s="1203"/>
      <c r="F963" s="1203"/>
      <c r="G963" s="1202" t="str">
        <f t="shared" ca="1" si="270"/>
        <v/>
      </c>
      <c r="H963" s="1200" t="s">
        <v>4386</v>
      </c>
      <c r="I963" s="140"/>
      <c r="J963" s="812"/>
      <c r="K963" s="812"/>
      <c r="L963" s="1313"/>
      <c r="M963" s="799"/>
      <c r="N963" s="850"/>
      <c r="O963" s="802"/>
      <c r="P963" s="1081"/>
      <c r="Q963" s="1081"/>
      <c r="R963" s="790"/>
      <c r="S963" s="790"/>
      <c r="T963" s="790"/>
      <c r="U963" s="790"/>
      <c r="V963" s="790"/>
      <c r="W963" s="790"/>
      <c r="X963" s="1303"/>
      <c r="Y963" s="1522"/>
      <c r="Z963" s="1586"/>
      <c r="AB963" s="790"/>
      <c r="AC963" s="790"/>
      <c r="AD963" s="790"/>
      <c r="AE963" s="790"/>
      <c r="AF963" s="790"/>
      <c r="AG963" s="790"/>
      <c r="AH963" s="790"/>
      <c r="AI963" s="790"/>
      <c r="AJ963" s="790"/>
      <c r="AK963" s="790"/>
      <c r="AL963" s="790"/>
      <c r="AM963" s="790"/>
      <c r="AN963" s="790"/>
      <c r="AO963" s="790"/>
      <c r="AP963" s="790"/>
      <c r="AQ963" s="790"/>
      <c r="AR963" s="790"/>
      <c r="AS963" s="790"/>
      <c r="AT963" s="790"/>
      <c r="AU963" s="790"/>
      <c r="AV963" s="790"/>
      <c r="AW963" s="790"/>
      <c r="AX963" s="790"/>
      <c r="AY963" s="790"/>
      <c r="AZ963" s="790"/>
      <c r="BA963" s="790"/>
      <c r="BB963" s="790"/>
      <c r="BC963" s="790"/>
      <c r="BD963" s="790"/>
      <c r="BE963" s="790"/>
      <c r="BF963" s="790"/>
      <c r="BG963" s="790"/>
      <c r="BH963" s="790"/>
      <c r="BI963" s="790"/>
      <c r="BJ963" s="1184" t="s">
        <v>4763</v>
      </c>
    </row>
    <row r="964" spans="1:62" x14ac:dyDescent="0.3">
      <c r="A964" s="1200">
        <v>7</v>
      </c>
      <c r="B964" s="1210" t="s">
        <v>1072</v>
      </c>
      <c r="C964" s="1215"/>
      <c r="D964" s="1203"/>
      <c r="E964" s="1203"/>
      <c r="F964" s="1203"/>
      <c r="G964" s="1202" t="str">
        <f t="shared" ca="1" si="270"/>
        <v/>
      </c>
      <c r="H964" s="1200" t="s">
        <v>4386</v>
      </c>
      <c r="I964" s="140"/>
      <c r="J964" s="812"/>
      <c r="K964" s="812"/>
      <c r="L964" s="1313"/>
      <c r="M964" s="799"/>
      <c r="N964" s="850"/>
      <c r="O964" s="802"/>
      <c r="P964" s="1081"/>
      <c r="Q964" s="1081"/>
      <c r="R964" s="790"/>
      <c r="S964" s="790"/>
      <c r="T964" s="790"/>
      <c r="U964" s="790"/>
      <c r="V964" s="790"/>
      <c r="W964" s="790"/>
      <c r="X964" s="1303"/>
      <c r="Y964" s="1522"/>
      <c r="Z964" s="1586"/>
      <c r="AB964" s="790"/>
      <c r="AC964" s="790"/>
      <c r="AD964" s="790"/>
      <c r="AE964" s="790"/>
      <c r="AF964" s="790"/>
      <c r="AG964" s="790"/>
      <c r="AH964" s="790"/>
      <c r="AI964" s="790"/>
      <c r="AJ964" s="790"/>
      <c r="AK964" s="790"/>
      <c r="AL964" s="790"/>
      <c r="AM964" s="790"/>
      <c r="AN964" s="790"/>
      <c r="AO964" s="790"/>
      <c r="AP964" s="790"/>
      <c r="AQ964" s="790"/>
      <c r="AR964" s="790"/>
      <c r="AS964" s="790"/>
      <c r="AT964" s="790"/>
      <c r="AU964" s="790"/>
      <c r="AV964" s="790"/>
      <c r="AW964" s="790"/>
      <c r="AX964" s="790"/>
      <c r="AY964" s="790"/>
      <c r="AZ964" s="790"/>
      <c r="BA964" s="790"/>
      <c r="BB964" s="790"/>
      <c r="BC964" s="790"/>
      <c r="BD964" s="790"/>
      <c r="BE964" s="790"/>
      <c r="BF964" s="790"/>
      <c r="BG964" s="790"/>
      <c r="BH964" s="790"/>
      <c r="BI964" s="790"/>
      <c r="BJ964" s="1184" t="s">
        <v>4763</v>
      </c>
    </row>
    <row r="965" spans="1:62" x14ac:dyDescent="0.3">
      <c r="A965" s="1200">
        <v>7</v>
      </c>
      <c r="B965" s="1210" t="s">
        <v>1072</v>
      </c>
      <c r="C965" s="1215"/>
      <c r="D965" s="1203"/>
      <c r="E965" s="1203"/>
      <c r="F965" s="1203"/>
      <c r="G965" s="1202" t="str">
        <f t="shared" ca="1" si="270"/>
        <v/>
      </c>
      <c r="H965" s="1200" t="s">
        <v>4386</v>
      </c>
      <c r="I965" s="140"/>
      <c r="J965" s="812"/>
      <c r="K965" s="812"/>
      <c r="L965" s="1313"/>
      <c r="M965" s="799"/>
      <c r="N965" s="850"/>
      <c r="O965" s="802"/>
      <c r="P965" s="1081"/>
      <c r="Q965" s="1081"/>
      <c r="R965" s="790"/>
      <c r="S965" s="790"/>
      <c r="T965" s="790"/>
      <c r="U965" s="790"/>
      <c r="V965" s="790"/>
      <c r="W965" s="790"/>
      <c r="X965" s="1303"/>
      <c r="Y965" s="1522"/>
      <c r="Z965" s="1586"/>
      <c r="AB965" s="790"/>
      <c r="AC965" s="790"/>
      <c r="AD965" s="790"/>
      <c r="AE965" s="790"/>
      <c r="AF965" s="790"/>
      <c r="AG965" s="790"/>
      <c r="AH965" s="790"/>
      <c r="AI965" s="790"/>
      <c r="AJ965" s="790"/>
      <c r="AK965" s="790"/>
      <c r="AL965" s="790"/>
      <c r="AM965" s="790"/>
      <c r="AN965" s="790"/>
      <c r="AO965" s="790"/>
      <c r="AP965" s="790"/>
      <c r="AQ965" s="790"/>
      <c r="AR965" s="790"/>
      <c r="AS965" s="790"/>
      <c r="AT965" s="790"/>
      <c r="AU965" s="790"/>
      <c r="AV965" s="790"/>
      <c r="AW965" s="790"/>
      <c r="AX965" s="790"/>
      <c r="AY965" s="790"/>
      <c r="AZ965" s="790"/>
      <c r="BA965" s="790"/>
      <c r="BB965" s="790"/>
      <c r="BC965" s="790"/>
      <c r="BD965" s="790"/>
      <c r="BE965" s="790"/>
      <c r="BF965" s="790"/>
      <c r="BG965" s="790"/>
      <c r="BH965" s="790"/>
      <c r="BI965" s="790"/>
      <c r="BJ965" s="1184" t="s">
        <v>4763</v>
      </c>
    </row>
    <row r="966" spans="1:62" x14ac:dyDescent="0.3">
      <c r="A966" s="1200">
        <v>7</v>
      </c>
      <c r="B966" s="1210" t="s">
        <v>1072</v>
      </c>
      <c r="C966" s="1215"/>
      <c r="D966" s="1203"/>
      <c r="E966" s="1203"/>
      <c r="F966" s="1203"/>
      <c r="G966" s="1202" t="str">
        <f t="shared" ca="1" si="270"/>
        <v/>
      </c>
      <c r="H966" s="1200" t="s">
        <v>4386</v>
      </c>
      <c r="I966" s="140"/>
      <c r="J966" s="812"/>
      <c r="K966" s="812"/>
      <c r="L966" s="1313"/>
      <c r="M966" s="799"/>
      <c r="N966" s="850"/>
      <c r="O966" s="802"/>
      <c r="P966" s="1081"/>
      <c r="Q966" s="1081"/>
      <c r="R966" s="790"/>
      <c r="S966" s="790"/>
      <c r="T966" s="790"/>
      <c r="U966" s="790"/>
      <c r="V966" s="790"/>
      <c r="W966" s="790"/>
      <c r="X966" s="1303"/>
      <c r="Y966" s="1522"/>
      <c r="Z966" s="1586"/>
      <c r="AB966" s="790"/>
      <c r="AC966" s="790"/>
      <c r="AD966" s="790"/>
      <c r="AE966" s="790"/>
      <c r="AF966" s="790"/>
      <c r="AG966" s="790"/>
      <c r="AH966" s="790"/>
      <c r="AI966" s="790"/>
      <c r="AJ966" s="790"/>
      <c r="AK966" s="790"/>
      <c r="AL966" s="790"/>
      <c r="AM966" s="790"/>
      <c r="AN966" s="790"/>
      <c r="AO966" s="790"/>
      <c r="AP966" s="790"/>
      <c r="AQ966" s="790"/>
      <c r="AR966" s="790"/>
      <c r="AS966" s="790"/>
      <c r="AT966" s="790"/>
      <c r="AU966" s="790"/>
      <c r="AV966" s="790"/>
      <c r="AW966" s="790"/>
      <c r="AX966" s="790"/>
      <c r="AY966" s="790"/>
      <c r="AZ966" s="790"/>
      <c r="BA966" s="790"/>
      <c r="BB966" s="790"/>
      <c r="BC966" s="790"/>
      <c r="BD966" s="790"/>
      <c r="BE966" s="790"/>
      <c r="BF966" s="790"/>
      <c r="BG966" s="790"/>
      <c r="BH966" s="790"/>
      <c r="BI966" s="790"/>
      <c r="BJ966" s="1184" t="s">
        <v>4763</v>
      </c>
    </row>
    <row r="967" spans="1:62" x14ac:dyDescent="0.3">
      <c r="A967" s="1200">
        <v>7</v>
      </c>
      <c r="B967" s="1210" t="s">
        <v>1072</v>
      </c>
      <c r="C967" s="1215"/>
      <c r="D967" s="1203"/>
      <c r="E967" s="1203"/>
      <c r="F967" s="1203"/>
      <c r="G967" s="1202" t="str">
        <f t="shared" ca="1" si="270"/>
        <v/>
      </c>
      <c r="H967" s="1200" t="s">
        <v>4386</v>
      </c>
      <c r="I967" s="140"/>
      <c r="J967" s="812"/>
      <c r="K967" s="812"/>
      <c r="L967" s="1313"/>
      <c r="M967" s="799"/>
      <c r="N967" s="850"/>
      <c r="O967" s="802"/>
      <c r="P967" s="1081"/>
      <c r="Q967" s="1081"/>
      <c r="R967" s="790"/>
      <c r="S967" s="790"/>
      <c r="T967" s="790"/>
      <c r="U967" s="790"/>
      <c r="V967" s="790"/>
      <c r="W967" s="790"/>
      <c r="X967" s="1303"/>
      <c r="Y967" s="1522"/>
      <c r="Z967" s="1586"/>
      <c r="AB967" s="790"/>
      <c r="AC967" s="790"/>
      <c r="AD967" s="790"/>
      <c r="AE967" s="790"/>
      <c r="AF967" s="790"/>
      <c r="AG967" s="790"/>
      <c r="AH967" s="790"/>
      <c r="AI967" s="790"/>
      <c r="AJ967" s="790"/>
      <c r="AK967" s="790"/>
      <c r="AL967" s="790"/>
      <c r="AM967" s="790"/>
      <c r="AN967" s="790"/>
      <c r="AO967" s="790"/>
      <c r="AP967" s="790"/>
      <c r="AQ967" s="790"/>
      <c r="AR967" s="790"/>
      <c r="AS967" s="790"/>
      <c r="AT967" s="790"/>
      <c r="AU967" s="790"/>
      <c r="AV967" s="790"/>
      <c r="AW967" s="790"/>
      <c r="AX967" s="790"/>
      <c r="AY967" s="790"/>
      <c r="AZ967" s="790"/>
      <c r="BA967" s="790"/>
      <c r="BB967" s="790"/>
      <c r="BC967" s="790"/>
      <c r="BD967" s="790"/>
      <c r="BE967" s="790"/>
      <c r="BF967" s="790"/>
      <c r="BG967" s="790"/>
      <c r="BH967" s="790"/>
      <c r="BI967" s="790"/>
      <c r="BJ967" s="1184" t="s">
        <v>4763</v>
      </c>
    </row>
    <row r="968" spans="1:62" x14ac:dyDescent="0.3">
      <c r="A968" s="1200">
        <v>7</v>
      </c>
      <c r="B968" s="1210" t="s">
        <v>1072</v>
      </c>
      <c r="C968" s="1215"/>
      <c r="D968" s="1203"/>
      <c r="E968" s="1203"/>
      <c r="F968" s="1203"/>
      <c r="G968" s="1202" t="str">
        <f t="shared" ca="1" si="270"/>
        <v/>
      </c>
      <c r="H968" s="1200" t="s">
        <v>4386</v>
      </c>
      <c r="I968" s="140"/>
      <c r="J968" s="812"/>
      <c r="K968" s="812"/>
      <c r="L968" s="1313"/>
      <c r="M968" s="799"/>
      <c r="N968" s="850"/>
      <c r="O968" s="802"/>
      <c r="P968" s="1081"/>
      <c r="Q968" s="1081"/>
      <c r="R968" s="790"/>
      <c r="S968" s="790"/>
      <c r="T968" s="790"/>
      <c r="U968" s="790"/>
      <c r="V968" s="790"/>
      <c r="W968" s="790"/>
      <c r="X968" s="1303"/>
      <c r="Y968" s="1522"/>
      <c r="Z968" s="1586"/>
      <c r="AB968" s="790"/>
      <c r="AC968" s="790"/>
      <c r="AD968" s="790"/>
      <c r="AE968" s="790"/>
      <c r="AF968" s="790"/>
      <c r="AG968" s="790"/>
      <c r="AH968" s="790"/>
      <c r="AI968" s="790"/>
      <c r="AJ968" s="790"/>
      <c r="AK968" s="790"/>
      <c r="AL968" s="790"/>
      <c r="AM968" s="790"/>
      <c r="AN968" s="790"/>
      <c r="AO968" s="790"/>
      <c r="AP968" s="790"/>
      <c r="AQ968" s="790"/>
      <c r="AR968" s="790"/>
      <c r="AS968" s="790"/>
      <c r="AT968" s="790"/>
      <c r="AU968" s="790"/>
      <c r="AV968" s="790"/>
      <c r="AW968" s="790"/>
      <c r="AX968" s="790"/>
      <c r="AY968" s="790"/>
      <c r="AZ968" s="790"/>
      <c r="BA968" s="790"/>
      <c r="BB968" s="790"/>
      <c r="BC968" s="790"/>
      <c r="BD968" s="790"/>
      <c r="BE968" s="790"/>
      <c r="BF968" s="790"/>
      <c r="BG968" s="790"/>
      <c r="BH968" s="790"/>
      <c r="BI968" s="790"/>
      <c r="BJ968" s="1184" t="s">
        <v>4763</v>
      </c>
    </row>
    <row r="969" spans="1:62" x14ac:dyDescent="0.3">
      <c r="A969" s="1200">
        <v>7</v>
      </c>
      <c r="B969" s="1210" t="s">
        <v>1072</v>
      </c>
      <c r="C969" s="1215"/>
      <c r="D969" s="1203"/>
      <c r="E969" s="1203"/>
      <c r="F969" s="1203"/>
      <c r="G969" s="1202" t="str">
        <f t="shared" ca="1" si="270"/>
        <v/>
      </c>
      <c r="H969" s="1200" t="s">
        <v>4386</v>
      </c>
      <c r="I969" s="238"/>
      <c r="J969" s="813"/>
      <c r="K969" s="813"/>
      <c r="L969" s="1350"/>
      <c r="M969" s="796"/>
      <c r="N969" s="850"/>
      <c r="O969" s="802"/>
      <c r="P969" s="1081"/>
      <c r="Q969" s="1081"/>
      <c r="R969" s="790"/>
      <c r="S969" s="790"/>
      <c r="T969" s="790"/>
      <c r="U969" s="790"/>
      <c r="V969" s="790"/>
      <c r="W969" s="790"/>
      <c r="X969" s="1303"/>
      <c r="Y969" s="1522"/>
      <c r="Z969" s="1586"/>
      <c r="AB969" s="790"/>
      <c r="AC969" s="790"/>
      <c r="AD969" s="790"/>
      <c r="AE969" s="790"/>
      <c r="AF969" s="790"/>
      <c r="AG969" s="790"/>
      <c r="AH969" s="790"/>
      <c r="AI969" s="790"/>
      <c r="AJ969" s="790"/>
      <c r="AK969" s="790"/>
      <c r="AL969" s="790"/>
      <c r="AM969" s="790"/>
      <c r="AN969" s="790"/>
      <c r="AO969" s="790"/>
      <c r="AP969" s="790"/>
      <c r="AQ969" s="790"/>
      <c r="AR969" s="790"/>
      <c r="AS969" s="790"/>
      <c r="AT969" s="790"/>
      <c r="AU969" s="790"/>
      <c r="AV969" s="790"/>
      <c r="AW969" s="790"/>
      <c r="AX969" s="790"/>
      <c r="AY969" s="790"/>
      <c r="AZ969" s="790"/>
      <c r="BA969" s="790"/>
      <c r="BB969" s="790"/>
      <c r="BC969" s="790"/>
      <c r="BD969" s="790"/>
      <c r="BE969" s="790"/>
      <c r="BF969" s="790"/>
      <c r="BG969" s="790"/>
      <c r="BH969" s="790"/>
      <c r="BI969" s="790"/>
      <c r="BJ969" s="1184" t="s">
        <v>4763</v>
      </c>
    </row>
    <row r="970" spans="1:62" x14ac:dyDescent="0.3">
      <c r="A970" s="1200">
        <v>7</v>
      </c>
      <c r="B970" s="1210" t="s">
        <v>1074</v>
      </c>
      <c r="C970" s="1215"/>
      <c r="D970" s="1203"/>
      <c r="E970" s="1203"/>
      <c r="F970" s="1203"/>
      <c r="G970" s="1202" t="str">
        <f ca="1">IF(N970&gt;0,"P","")</f>
        <v/>
      </c>
      <c r="H970" s="1200" t="s">
        <v>4386</v>
      </c>
      <c r="I970" s="68" t="s">
        <v>1074</v>
      </c>
      <c r="J970" s="819"/>
      <c r="K970" s="819"/>
      <c r="L970" s="1292" t="s">
        <v>1075</v>
      </c>
      <c r="M970" s="1411" t="s">
        <v>4049</v>
      </c>
      <c r="N970" s="1310">
        <f ca="1">'Ch7'!O207</f>
        <v>0</v>
      </c>
      <c r="O970" s="1310">
        <f ca="1">IFERROR(INDEX(M975:M977,MATCH(W970,INDIRECT(U970),0)),0)*S970</f>
        <v>0</v>
      </c>
      <c r="P970" s="97" t="b">
        <v>1</v>
      </c>
      <c r="Q970" s="97" t="b">
        <v>1</v>
      </c>
      <c r="R970" s="790" t="b">
        <v>0</v>
      </c>
      <c r="S970" s="790" t="b">
        <f ca="1">AND(S776=2,OR(W978="Met",W978="N/A"))</f>
        <v>0</v>
      </c>
      <c r="T970" s="97" t="b">
        <f ca="1">AND(NOT(S970),LEN(W970)&gt;0)</f>
        <v>0</v>
      </c>
      <c r="U970" s="97" t="str">
        <f>SUBSTITUTE(SUBSTITUTE(SUBSTITUTE("dd"&amp;B970&amp;C970&amp;D970&amp;E970&amp;F970,".","_"),"(","_"),")","")</f>
        <v>dd703_2_5_2</v>
      </c>
      <c r="V970" s="790"/>
      <c r="W970" s="12"/>
      <c r="X970" s="1303"/>
      <c r="Y970" s="1522" t="str">
        <f>IF(LEN('Ch7'!X207)=0,"None",'Ch7'!X207)</f>
        <v>None</v>
      </c>
      <c r="Z970" s="1586"/>
      <c r="AB970" s="790"/>
      <c r="AC970" s="790" t="b">
        <f ca="1">OR(AD970:AE970)</f>
        <v>0</v>
      </c>
      <c r="AD970" s="790" t="b">
        <f ca="1">T970</f>
        <v>0</v>
      </c>
      <c r="AE970" s="790" t="b">
        <f>AND(R970,OR(W970="Not Met",W970=""))</f>
        <v>0</v>
      </c>
      <c r="AF970" s="1182" t="b">
        <f>AND(AE970,NOT(Q970))</f>
        <v>0</v>
      </c>
      <c r="AG970" s="790"/>
      <c r="AH970" s="790"/>
      <c r="AI970" s="790"/>
      <c r="AJ970" s="790"/>
      <c r="AK970" s="790"/>
      <c r="AL970" s="311" t="str">
        <f t="shared" ref="AL970" si="271">SUBSTITUTE(SUBSTITUTE(SUBSTITUTE("vpa"&amp;$B970&amp;$C970&amp;$D970&amp;$E970&amp;$F970,".","_"),"(","_"),")","")</f>
        <v>vpa703_2_5_2</v>
      </c>
      <c r="AM970" s="311" t="str">
        <f>M970</f>
        <v>Per Table 703.2.5.2(a) or
703.2.5.2(b) or 
703.2.5.2(c)</v>
      </c>
      <c r="AN970" s="311" t="str">
        <f>SUBSTITUTE(SUBSTITUTE(SUBSTITUTE("vpc"&amp;$B970&amp;$C970&amp;$D970&amp;$E970&amp;$F970,".","_"),"(","_"),")","")</f>
        <v>vpc703_2_5_2</v>
      </c>
      <c r="AO970" s="311">
        <f ca="1">O970</f>
        <v>0</v>
      </c>
      <c r="AP970" s="311" t="str">
        <f>SUBSTITUTE(SUBSTITUTE(SUBSTITUTE("vch"&amp;$B970&amp;$C970&amp;$D970&amp;$E970&amp;$F970,".","_"),"(","_"),")","")</f>
        <v>vch703_2_5_2</v>
      </c>
      <c r="AQ970" s="311">
        <f>W970</f>
        <v>0</v>
      </c>
      <c r="AR970" s="311" t="str">
        <f>SUBSTITUTE(SUBSTITUTE(SUBSTITUTE("vnt"&amp;$B970&amp;$C970&amp;$D970&amp;$E970&amp;$F970,".","_"),"(","_"),")","")</f>
        <v>vnt703_2_5_2</v>
      </c>
      <c r="AS970" s="311">
        <f>X970</f>
        <v>0</v>
      </c>
      <c r="AT970" s="790"/>
      <c r="AU970" s="790"/>
      <c r="AV970" s="790"/>
      <c r="AW970" s="790"/>
      <c r="AX970" s="790"/>
      <c r="AY970" s="790"/>
      <c r="AZ970" s="790"/>
      <c r="BA970" s="790"/>
      <c r="BB970" s="790"/>
      <c r="BC970" s="790"/>
      <c r="BD970" s="790"/>
      <c r="BE970" s="790"/>
      <c r="BF970" s="790"/>
      <c r="BG970" s="790"/>
      <c r="BH970" s="790"/>
      <c r="BI970" s="790"/>
      <c r="BJ970" s="1184" t="s">
        <v>4763</v>
      </c>
    </row>
    <row r="971" spans="1:62" x14ac:dyDescent="0.3">
      <c r="A971" s="1200">
        <v>7</v>
      </c>
      <c r="B971" s="1210" t="s">
        <v>1074</v>
      </c>
      <c r="C971" s="1215"/>
      <c r="D971" s="1203"/>
      <c r="E971" s="1203"/>
      <c r="F971" s="1203"/>
      <c r="G971" s="1202" t="str">
        <f t="shared" ref="G971:G985" ca="1" si="272">G970</f>
        <v/>
      </c>
      <c r="H971" s="1200" t="s">
        <v>4386</v>
      </c>
      <c r="I971" s="4"/>
      <c r="J971" s="819"/>
      <c r="K971" s="819"/>
      <c r="L971" s="1292"/>
      <c r="M971" s="1411"/>
      <c r="N971" s="1310"/>
      <c r="O971" s="1310"/>
      <c r="P971" s="1081"/>
      <c r="Q971" s="1081"/>
      <c r="R971" s="790"/>
      <c r="S971" s="790"/>
      <c r="T971" s="790"/>
      <c r="U971" s="790"/>
      <c r="V971" s="790"/>
      <c r="W971" s="790"/>
      <c r="X971" s="1303"/>
      <c r="Y971" s="1522"/>
      <c r="Z971" s="1586"/>
      <c r="AB971" s="790"/>
      <c r="AC971" s="790"/>
      <c r="AD971" s="790"/>
      <c r="AE971" s="790"/>
      <c r="AF971" s="790"/>
      <c r="AG971" s="790"/>
      <c r="AH971" s="790"/>
      <c r="AI971" s="790"/>
      <c r="AJ971" s="790"/>
      <c r="AK971" s="790"/>
      <c r="AL971" s="790"/>
      <c r="AM971" s="790"/>
      <c r="AN971" s="790"/>
      <c r="AO971" s="790"/>
      <c r="AP971" s="790"/>
      <c r="AQ971" s="790"/>
      <c r="AR971" s="790"/>
      <c r="AS971" s="790"/>
      <c r="AT971" s="790"/>
      <c r="AU971" s="790"/>
      <c r="AV971" s="790"/>
      <c r="AW971" s="790"/>
      <c r="AX971" s="790"/>
      <c r="AY971" s="790"/>
      <c r="AZ971" s="790"/>
      <c r="BA971" s="790"/>
      <c r="BB971" s="790"/>
      <c r="BC971" s="790"/>
      <c r="BD971" s="790"/>
      <c r="BE971" s="790"/>
      <c r="BF971" s="790"/>
      <c r="BG971" s="790"/>
      <c r="BH971" s="790"/>
      <c r="BI971" s="790"/>
      <c r="BJ971" s="1184" t="s">
        <v>4763</v>
      </c>
    </row>
    <row r="972" spans="1:62" x14ac:dyDescent="0.3">
      <c r="A972" s="1200">
        <v>7</v>
      </c>
      <c r="B972" s="1210" t="s">
        <v>1074</v>
      </c>
      <c r="C972" s="1215"/>
      <c r="D972" s="1203"/>
      <c r="E972" s="1203"/>
      <c r="F972" s="1203"/>
      <c r="G972" s="1202" t="str">
        <f t="shared" ca="1" si="272"/>
        <v/>
      </c>
      <c r="H972" s="1200" t="s">
        <v>4386</v>
      </c>
      <c r="I972" s="4"/>
      <c r="J972" s="819"/>
      <c r="K972" s="819"/>
      <c r="L972" s="1292"/>
      <c r="M972" s="1411"/>
      <c r="N972" s="1310"/>
      <c r="O972" s="1310"/>
      <c r="P972" s="1081"/>
      <c r="Q972" s="1081"/>
      <c r="R972" s="790"/>
      <c r="S972" s="790"/>
      <c r="T972" s="790"/>
      <c r="U972" s="790"/>
      <c r="V972" s="790"/>
      <c r="W972" s="790"/>
      <c r="X972" s="1303"/>
      <c r="Y972" s="1522"/>
      <c r="Z972" s="1586"/>
      <c r="AB972" s="790"/>
      <c r="AC972" s="790"/>
      <c r="AD972" s="790"/>
      <c r="AE972" s="790"/>
      <c r="AF972" s="790"/>
      <c r="AG972" s="790"/>
      <c r="AH972" s="790"/>
      <c r="AI972" s="790"/>
      <c r="AJ972" s="790"/>
      <c r="AK972" s="790"/>
      <c r="AL972" s="790"/>
      <c r="AM972" s="790"/>
      <c r="AN972" s="790"/>
      <c r="AO972" s="790"/>
      <c r="AP972" s="790"/>
      <c r="AQ972" s="790"/>
      <c r="AR972" s="790"/>
      <c r="AS972" s="790"/>
      <c r="AT972" s="790"/>
      <c r="AU972" s="790"/>
      <c r="AV972" s="790"/>
      <c r="AW972" s="790"/>
      <c r="AX972" s="790"/>
      <c r="AY972" s="790"/>
      <c r="AZ972" s="790"/>
      <c r="BA972" s="790"/>
      <c r="BB972" s="790"/>
      <c r="BC972" s="790"/>
      <c r="BD972" s="790"/>
      <c r="BE972" s="790"/>
      <c r="BF972" s="790"/>
      <c r="BG972" s="790"/>
      <c r="BH972" s="790"/>
      <c r="BI972" s="790"/>
      <c r="BJ972" s="1184" t="s">
        <v>4763</v>
      </c>
    </row>
    <row r="973" spans="1:62" x14ac:dyDescent="0.3">
      <c r="A973" s="1200">
        <v>7</v>
      </c>
      <c r="B973" s="1210" t="s">
        <v>1074</v>
      </c>
      <c r="C973" s="1215"/>
      <c r="D973" s="1203"/>
      <c r="E973" s="1203"/>
      <c r="F973" s="1203"/>
      <c r="G973" s="1202" t="str">
        <f t="shared" ca="1" si="272"/>
        <v/>
      </c>
      <c r="H973" s="1200" t="s">
        <v>4386</v>
      </c>
      <c r="I973" s="4"/>
      <c r="J973" s="819"/>
      <c r="K973" s="819"/>
      <c r="L973" s="1292"/>
      <c r="M973" s="1411"/>
      <c r="N973" s="1310"/>
      <c r="O973" s="1310"/>
      <c r="P973" s="1081"/>
      <c r="Q973" s="1081"/>
      <c r="R973" s="790"/>
      <c r="S973" s="790"/>
      <c r="T973" s="790"/>
      <c r="U973" s="790"/>
      <c r="V973" s="790"/>
      <c r="W973" s="790"/>
      <c r="X973" s="1303"/>
      <c r="Y973" s="1522"/>
      <c r="Z973" s="1586"/>
      <c r="AB973" s="790"/>
      <c r="AC973" s="790"/>
      <c r="AD973" s="790"/>
      <c r="AE973" s="790"/>
      <c r="AF973" s="790"/>
      <c r="AG973" s="790"/>
      <c r="AH973" s="790"/>
      <c r="AI973" s="790"/>
      <c r="AJ973" s="790"/>
      <c r="AK973" s="790"/>
      <c r="AL973" s="790"/>
      <c r="AM973" s="790"/>
      <c r="AN973" s="790"/>
      <c r="AO973" s="790"/>
      <c r="AP973" s="790"/>
      <c r="AQ973" s="790"/>
      <c r="AR973" s="790"/>
      <c r="AS973" s="790"/>
      <c r="AT973" s="790"/>
      <c r="AU973" s="790"/>
      <c r="AV973" s="790"/>
      <c r="AW973" s="790"/>
      <c r="AX973" s="790"/>
      <c r="AY973" s="790"/>
      <c r="AZ973" s="790"/>
      <c r="BA973" s="790"/>
      <c r="BB973" s="790"/>
      <c r="BC973" s="790"/>
      <c r="BD973" s="790"/>
      <c r="BE973" s="790"/>
      <c r="BF973" s="790"/>
      <c r="BG973" s="790"/>
      <c r="BH973" s="790"/>
      <c r="BI973" s="790"/>
      <c r="BJ973" s="1184" t="s">
        <v>4763</v>
      </c>
    </row>
    <row r="974" spans="1:62" x14ac:dyDescent="0.3">
      <c r="A974" s="1200">
        <v>7</v>
      </c>
      <c r="B974" s="1210" t="s">
        <v>1074</v>
      </c>
      <c r="C974" s="1215"/>
      <c r="D974" s="1203"/>
      <c r="E974" s="1203"/>
      <c r="F974" s="1203"/>
      <c r="G974" s="1202" t="str">
        <f t="shared" ca="1" si="272"/>
        <v/>
      </c>
      <c r="H974" s="1200" t="s">
        <v>4386</v>
      </c>
      <c r="I974" s="4"/>
      <c r="J974" s="819"/>
      <c r="K974" s="819"/>
      <c r="L974" s="1292"/>
      <c r="M974" s="1411"/>
      <c r="N974" s="1310"/>
      <c r="O974" s="1310"/>
      <c r="P974" s="1081"/>
      <c r="Q974" s="1081"/>
      <c r="R974" s="790"/>
      <c r="S974" s="790"/>
      <c r="T974" s="790"/>
      <c r="U974" s="790"/>
      <c r="V974" s="790"/>
      <c r="W974" s="790"/>
      <c r="X974" s="1303"/>
      <c r="Y974" s="1522"/>
      <c r="Z974" s="1586"/>
      <c r="AB974" s="790"/>
      <c r="AC974" s="790"/>
      <c r="AD974" s="790"/>
      <c r="AE974" s="790"/>
      <c r="AF974" s="790"/>
      <c r="AG974" s="790"/>
      <c r="AH974" s="790"/>
      <c r="AI974" s="790"/>
      <c r="AJ974" s="790"/>
      <c r="AK974" s="790"/>
      <c r="AL974" s="790"/>
      <c r="AM974" s="790"/>
      <c r="AN974" s="790"/>
      <c r="AO974" s="790"/>
      <c r="AP974" s="790"/>
      <c r="AQ974" s="790"/>
      <c r="AR974" s="790"/>
      <c r="AS974" s="790"/>
      <c r="AT974" s="790"/>
      <c r="AU974" s="790"/>
      <c r="AV974" s="790"/>
      <c r="AW974" s="790"/>
      <c r="AX974" s="790"/>
      <c r="AY974" s="790"/>
      <c r="AZ974" s="790"/>
      <c r="BA974" s="790"/>
      <c r="BB974" s="790"/>
      <c r="BC974" s="790"/>
      <c r="BD974" s="790"/>
      <c r="BE974" s="790"/>
      <c r="BF974" s="790"/>
      <c r="BG974" s="790"/>
      <c r="BH974" s="790"/>
      <c r="BI974" s="790"/>
      <c r="BJ974" s="1184" t="s">
        <v>4763</v>
      </c>
    </row>
    <row r="975" spans="1:62" x14ac:dyDescent="0.3">
      <c r="A975" s="1200">
        <v>7</v>
      </c>
      <c r="B975" s="1210" t="s">
        <v>1074</v>
      </c>
      <c r="C975" s="1215"/>
      <c r="D975" s="1203"/>
      <c r="E975" s="1203" t="s">
        <v>121</v>
      </c>
      <c r="F975" s="1203"/>
      <c r="G975" s="1202" t="str">
        <f t="shared" ca="1" si="272"/>
        <v/>
      </c>
      <c r="H975" s="1200" t="s">
        <v>4386</v>
      </c>
      <c r="I975" s="4"/>
      <c r="J975" s="819"/>
      <c r="K975" s="626" t="s">
        <v>121</v>
      </c>
      <c r="L975" s="807" t="s">
        <v>3705</v>
      </c>
      <c r="M975" s="844">
        <f>IFERROR(INDEX({1,1,2,3,3,4,4,4},T1002),0)</f>
        <v>0</v>
      </c>
      <c r="N975" s="850"/>
      <c r="O975" s="802"/>
      <c r="P975" s="1081"/>
      <c r="Q975" s="1081"/>
      <c r="R975" s="790"/>
      <c r="S975" s="790"/>
      <c r="T975" s="790"/>
      <c r="U975" s="790"/>
      <c r="V975" s="790"/>
      <c r="W975" s="790"/>
      <c r="X975" s="1303"/>
      <c r="Y975" s="1522"/>
      <c r="Z975" s="1586"/>
      <c r="AB975" s="790"/>
      <c r="AC975" s="790"/>
      <c r="AD975" s="790"/>
      <c r="AE975" s="790"/>
      <c r="AF975" s="790"/>
      <c r="AG975" s="790"/>
      <c r="AH975" s="790"/>
      <c r="AI975" s="790"/>
      <c r="AJ975" s="790"/>
      <c r="AK975" s="790"/>
      <c r="AL975" s="311" t="str">
        <f t="shared" ref="AL975:AL977" si="273">SUBSTITUTE(SUBSTITUTE(SUBSTITUTE("vpa"&amp;$B975&amp;$C975&amp;$D975&amp;$E975&amp;$F975,".","_"),"(","_"),")","")</f>
        <v>vpa703_2_5_2_a</v>
      </c>
      <c r="AM975" s="311">
        <f>M975</f>
        <v>0</v>
      </c>
      <c r="AN975" s="790"/>
      <c r="AO975" s="790"/>
      <c r="AP975" s="790"/>
      <c r="AQ975" s="790"/>
      <c r="AR975" s="790"/>
      <c r="AS975" s="790"/>
      <c r="AT975" s="790"/>
      <c r="AU975" s="790"/>
      <c r="AV975" s="790"/>
      <c r="AW975" s="790"/>
      <c r="AX975" s="790"/>
      <c r="AY975" s="790"/>
      <c r="AZ975" s="790"/>
      <c r="BA975" s="790"/>
      <c r="BB975" s="790"/>
      <c r="BC975" s="790"/>
      <c r="BD975" s="790"/>
      <c r="BE975" s="790"/>
      <c r="BF975" s="790"/>
      <c r="BG975" s="790"/>
      <c r="BH975" s="790"/>
      <c r="BI975" s="790"/>
      <c r="BJ975" s="1184" t="s">
        <v>4763</v>
      </c>
    </row>
    <row r="976" spans="1:62" x14ac:dyDescent="0.3">
      <c r="A976" s="1200">
        <v>7</v>
      </c>
      <c r="B976" s="1210" t="s">
        <v>1074</v>
      </c>
      <c r="C976" s="1215"/>
      <c r="D976" s="1203"/>
      <c r="E976" s="1203" t="s">
        <v>122</v>
      </c>
      <c r="F976" s="1203"/>
      <c r="G976" s="1202" t="str">
        <f t="shared" ca="1" si="272"/>
        <v/>
      </c>
      <c r="H976" s="1200" t="s">
        <v>4386</v>
      </c>
      <c r="I976" s="4"/>
      <c r="J976" s="819"/>
      <c r="K976" s="626" t="s">
        <v>122</v>
      </c>
      <c r="L976" s="807" t="s">
        <v>3702</v>
      </c>
      <c r="M976" s="844">
        <f>IFERROR(INDEX({2,3,4,4,4,5,5,4},T1002),0)</f>
        <v>0</v>
      </c>
      <c r="N976" s="850"/>
      <c r="O976" s="802"/>
      <c r="P976" s="1081"/>
      <c r="Q976" s="1081"/>
      <c r="R976" s="790"/>
      <c r="S976" s="790"/>
      <c r="T976" s="790"/>
      <c r="U976" s="790"/>
      <c r="V976" s="790"/>
      <c r="W976" s="790"/>
      <c r="X976" s="1303"/>
      <c r="Y976" s="1522"/>
      <c r="Z976" s="1586"/>
      <c r="AB976" s="790"/>
      <c r="AC976" s="790"/>
      <c r="AD976" s="790"/>
      <c r="AE976" s="790"/>
      <c r="AF976" s="790"/>
      <c r="AG976" s="790"/>
      <c r="AH976" s="790"/>
      <c r="AI976" s="790"/>
      <c r="AJ976" s="790"/>
      <c r="AK976" s="790"/>
      <c r="AL976" s="311" t="str">
        <f t="shared" si="273"/>
        <v>vpa703_2_5_2_b</v>
      </c>
      <c r="AM976" s="311">
        <f>M976</f>
        <v>0</v>
      </c>
      <c r="AN976" s="790"/>
      <c r="AO976" s="790"/>
      <c r="AP976" s="790"/>
      <c r="AQ976" s="790"/>
      <c r="AR976" s="790"/>
      <c r="AS976" s="790"/>
      <c r="AT976" s="790"/>
      <c r="AU976" s="790"/>
      <c r="AV976" s="790"/>
      <c r="AW976" s="790"/>
      <c r="AX976" s="790"/>
      <c r="AY976" s="790"/>
      <c r="AZ976" s="790"/>
      <c r="BA976" s="790"/>
      <c r="BB976" s="790"/>
      <c r="BC976" s="790"/>
      <c r="BD976" s="790"/>
      <c r="BE976" s="790"/>
      <c r="BF976" s="790"/>
      <c r="BG976" s="790"/>
      <c r="BH976" s="790"/>
      <c r="BI976" s="790"/>
      <c r="BJ976" s="1184" t="s">
        <v>4763</v>
      </c>
    </row>
    <row r="977" spans="1:62" x14ac:dyDescent="0.3">
      <c r="A977" s="1200">
        <v>7</v>
      </c>
      <c r="B977" s="1210" t="s">
        <v>1074</v>
      </c>
      <c r="C977" s="1215"/>
      <c r="D977" s="1203"/>
      <c r="E977" s="1203" t="s">
        <v>123</v>
      </c>
      <c r="F977" s="1203"/>
      <c r="G977" s="1202" t="str">
        <f t="shared" ca="1" si="272"/>
        <v/>
      </c>
      <c r="H977" s="1200" t="s">
        <v>4386</v>
      </c>
      <c r="I977" s="238"/>
      <c r="J977" s="813"/>
      <c r="K977" s="651" t="s">
        <v>123</v>
      </c>
      <c r="L977" s="364" t="s">
        <v>3701</v>
      </c>
      <c r="M977" s="157">
        <f>IF(T1003,3,1)*IFERROR(INDEX({0,0,0,6,6,6,6,6},T1002),0)</f>
        <v>0</v>
      </c>
      <c r="N977" s="850"/>
      <c r="O977" s="802"/>
      <c r="P977" s="1081"/>
      <c r="Q977" s="1081"/>
      <c r="R977" s="790"/>
      <c r="S977" s="790"/>
      <c r="T977" s="790"/>
      <c r="U977" s="790"/>
      <c r="V977" s="790"/>
      <c r="W977" s="790"/>
      <c r="X977" s="1303"/>
      <c r="Y977" s="1522"/>
      <c r="Z977" s="1586"/>
      <c r="AB977" s="790"/>
      <c r="AC977" s="790"/>
      <c r="AD977" s="790"/>
      <c r="AE977" s="790"/>
      <c r="AF977" s="790"/>
      <c r="AG977" s="790"/>
      <c r="AH977" s="790"/>
      <c r="AI977" s="790"/>
      <c r="AJ977" s="790"/>
      <c r="AK977" s="790"/>
      <c r="AL977" s="311" t="str">
        <f t="shared" si="273"/>
        <v>vpa703_2_5_2_c</v>
      </c>
      <c r="AM977" s="311">
        <f>M977</f>
        <v>0</v>
      </c>
      <c r="AN977" s="790"/>
      <c r="AO977" s="790"/>
      <c r="AP977" s="790"/>
      <c r="AQ977" s="790"/>
      <c r="AR977" s="790"/>
      <c r="AS977" s="790"/>
      <c r="AT977" s="790"/>
      <c r="AU977" s="790"/>
      <c r="AV977" s="790"/>
      <c r="AW977" s="790"/>
      <c r="AX977" s="790"/>
      <c r="AY977" s="790"/>
      <c r="AZ977" s="790"/>
      <c r="BA977" s="790"/>
      <c r="BB977" s="790"/>
      <c r="BC977" s="790"/>
      <c r="BD977" s="790"/>
      <c r="BE977" s="790"/>
      <c r="BF977" s="790"/>
      <c r="BG977" s="790"/>
      <c r="BH977" s="790"/>
      <c r="BI977" s="790"/>
      <c r="BJ977" s="1184" t="s">
        <v>4763</v>
      </c>
    </row>
    <row r="978" spans="1:62" x14ac:dyDescent="0.3">
      <c r="A978" s="1200">
        <v>7</v>
      </c>
      <c r="B978" s="1210" t="s">
        <v>1076</v>
      </c>
      <c r="C978" s="1215"/>
      <c r="D978" s="1203"/>
      <c r="E978" s="1203"/>
      <c r="F978" s="1203"/>
      <c r="G978" s="1202" t="str">
        <f t="shared" ca="1" si="272"/>
        <v/>
      </c>
      <c r="H978" s="1200" t="s">
        <v>4386</v>
      </c>
      <c r="I978" s="606" t="s">
        <v>1076</v>
      </c>
      <c r="J978" s="812"/>
      <c r="K978" s="97"/>
      <c r="L978" s="1313" t="s">
        <v>1077</v>
      </c>
      <c r="M978" s="817"/>
      <c r="N978" s="854"/>
      <c r="O978" s="803"/>
      <c r="P978" s="97" t="b">
        <v>1</v>
      </c>
      <c r="Q978" s="97" t="b">
        <v>1</v>
      </c>
      <c r="R978" s="97" t="b">
        <v>0</v>
      </c>
      <c r="S978" s="97" t="b">
        <f ca="1">(S776=2)</f>
        <v>0</v>
      </c>
      <c r="T978" s="97" t="b">
        <f ca="1">AND(NOT(S978),LEN(W978)&gt;0)</f>
        <v>0</v>
      </c>
      <c r="U978" s="97" t="str">
        <f>SUBSTITUTE(SUBSTITUTE(SUBSTITUTE("dd"&amp;B978&amp;C978&amp;D978&amp;E978&amp;F978,".","_"),"(","_"),")","")</f>
        <v>dd703_2_5_2_1</v>
      </c>
      <c r="V978" s="97"/>
      <c r="W978" s="12"/>
      <c r="X978" s="1295"/>
      <c r="Y978" s="1523" t="str">
        <f>IF(LEN('Ch7'!X215)=0,"None",'Ch7'!X215)</f>
        <v>None</v>
      </c>
      <c r="Z978" s="1583"/>
      <c r="AB978" s="790"/>
      <c r="AC978" s="790" t="b">
        <f ca="1">OR(AD978:AE978)</f>
        <v>0</v>
      </c>
      <c r="AD978" s="790" t="b">
        <f ca="1">T978</f>
        <v>0</v>
      </c>
      <c r="AE978" s="790" t="b">
        <f>AND(R978,OR(W978="Not Met",W978=""))</f>
        <v>0</v>
      </c>
      <c r="AF978" s="1182" t="b">
        <f>AND(AE978,NOT(Q978))</f>
        <v>0</v>
      </c>
      <c r="AG978" s="790"/>
      <c r="AH978" s="790"/>
      <c r="AI978" s="790"/>
      <c r="AJ978" s="790"/>
      <c r="AK978" s="790"/>
      <c r="AL978" s="790"/>
      <c r="AM978" s="790"/>
      <c r="AN978" s="790"/>
      <c r="AO978" s="790"/>
      <c r="AP978" s="311" t="str">
        <f>SUBSTITUTE(SUBSTITUTE(SUBSTITUTE("vch"&amp;$B978&amp;$C978&amp;$D978&amp;$E978&amp;$F978,".","_"),"(","_"),")","")</f>
        <v>vch703_2_5_2_1</v>
      </c>
      <c r="AQ978" s="311">
        <f>W978</f>
        <v>0</v>
      </c>
      <c r="AR978" s="311" t="str">
        <f>SUBSTITUTE(SUBSTITUTE(SUBSTITUTE("vnt"&amp;$B978&amp;$C978&amp;$D978&amp;$E978&amp;$F978,".","_"),"(","_"),")","")</f>
        <v>vnt703_2_5_2_1</v>
      </c>
      <c r="AS978" s="311">
        <f>X978</f>
        <v>0</v>
      </c>
      <c r="AT978" s="790"/>
      <c r="AU978" s="790"/>
      <c r="AV978" s="790"/>
      <c r="AW978" s="790"/>
      <c r="AX978" s="790"/>
      <c r="AY978" s="790"/>
      <c r="AZ978" s="790"/>
      <c r="BA978" s="790"/>
      <c r="BB978" s="790"/>
      <c r="BC978" s="790"/>
      <c r="BD978" s="790"/>
      <c r="BE978" s="790"/>
      <c r="BF978" s="790"/>
      <c r="BG978" s="790"/>
      <c r="BH978" s="790"/>
      <c r="BI978" s="790"/>
      <c r="BJ978" s="1184" t="s">
        <v>4763</v>
      </c>
    </row>
    <row r="979" spans="1:62" x14ac:dyDescent="0.3">
      <c r="A979" s="1200">
        <v>7</v>
      </c>
      <c r="B979" s="1210" t="s">
        <v>1076</v>
      </c>
      <c r="C979" s="1215"/>
      <c r="D979" s="1203"/>
      <c r="E979" s="1203"/>
      <c r="F979" s="1203"/>
      <c r="G979" s="1202" t="str">
        <f t="shared" ca="1" si="272"/>
        <v/>
      </c>
      <c r="H979" s="1200" t="s">
        <v>4386</v>
      </c>
      <c r="I979" s="140"/>
      <c r="J979" s="812"/>
      <c r="K979" s="812"/>
      <c r="L979" s="1313"/>
      <c r="M979" s="817"/>
      <c r="N979" s="854"/>
      <c r="O979" s="803"/>
      <c r="P979" s="97"/>
      <c r="Q979" s="97"/>
      <c r="R979" s="97"/>
      <c r="S979" s="97"/>
      <c r="T979" s="97"/>
      <c r="U979" s="97"/>
      <c r="V979" s="97"/>
      <c r="W979" s="97"/>
      <c r="X979" s="1295"/>
      <c r="Y979" s="1523"/>
      <c r="Z979" s="1583"/>
      <c r="AB979" s="790"/>
      <c r="AC979" s="790"/>
      <c r="AD979" s="790"/>
      <c r="AE979" s="790"/>
      <c r="AF979" s="790"/>
      <c r="AG979" s="790"/>
      <c r="AH979" s="790"/>
      <c r="AI979" s="790"/>
      <c r="AJ979" s="790"/>
      <c r="AK979" s="790"/>
      <c r="AL979" s="790"/>
      <c r="AM979" s="790"/>
      <c r="AN979" s="790"/>
      <c r="AO979" s="790"/>
      <c r="AP979" s="790"/>
      <c r="AQ979" s="790"/>
      <c r="AR979" s="790"/>
      <c r="AS979" s="790"/>
      <c r="AT979" s="790"/>
      <c r="AU979" s="790"/>
      <c r="AV979" s="790"/>
      <c r="AW979" s="790"/>
      <c r="AX979" s="790"/>
      <c r="AY979" s="790"/>
      <c r="AZ979" s="790"/>
      <c r="BA979" s="790"/>
      <c r="BB979" s="790"/>
      <c r="BC979" s="790"/>
      <c r="BD979" s="790"/>
      <c r="BE979" s="790"/>
      <c r="BF979" s="790"/>
      <c r="BG979" s="790"/>
      <c r="BH979" s="790"/>
      <c r="BI979" s="790"/>
      <c r="BJ979" s="1184" t="s">
        <v>4763</v>
      </c>
    </row>
    <row r="980" spans="1:62" x14ac:dyDescent="0.3">
      <c r="A980" s="1200">
        <v>7</v>
      </c>
      <c r="B980" s="1210" t="s">
        <v>1076</v>
      </c>
      <c r="C980" s="1215"/>
      <c r="D980" s="1203"/>
      <c r="E980" s="1203"/>
      <c r="F980" s="1203"/>
      <c r="G980" s="1202" t="str">
        <f t="shared" ca="1" si="272"/>
        <v/>
      </c>
      <c r="H980" s="1200" t="s">
        <v>4386</v>
      </c>
      <c r="I980" s="140"/>
      <c r="J980" s="812"/>
      <c r="K980" s="812"/>
      <c r="L980" s="1313"/>
      <c r="M980" s="817"/>
      <c r="N980" s="854"/>
      <c r="O980" s="803"/>
      <c r="P980" s="97"/>
      <c r="Q980" s="97"/>
      <c r="R980" s="97"/>
      <c r="S980" s="97"/>
      <c r="T980" s="97"/>
      <c r="U980" s="97"/>
      <c r="V980" s="97"/>
      <c r="W980" s="97"/>
      <c r="X980" s="1295"/>
      <c r="Y980" s="1523"/>
      <c r="Z980" s="1583"/>
      <c r="AB980" s="790"/>
      <c r="AC980" s="790"/>
      <c r="AD980" s="790"/>
      <c r="AE980" s="790"/>
      <c r="AF980" s="790"/>
      <c r="AG980" s="790"/>
      <c r="AH980" s="790"/>
      <c r="AI980" s="790"/>
      <c r="AJ980" s="790"/>
      <c r="AK980" s="790"/>
      <c r="AL980" s="790"/>
      <c r="AM980" s="790"/>
      <c r="AN980" s="790"/>
      <c r="AO980" s="790"/>
      <c r="AP980" s="790"/>
      <c r="AQ980" s="790"/>
      <c r="AR980" s="790"/>
      <c r="AS980" s="790"/>
      <c r="AT980" s="790"/>
      <c r="AU980" s="790"/>
      <c r="AV980" s="790"/>
      <c r="AW980" s="790"/>
      <c r="AX980" s="790"/>
      <c r="AY980" s="790"/>
      <c r="AZ980" s="790"/>
      <c r="BA980" s="790"/>
      <c r="BB980" s="790"/>
      <c r="BC980" s="790"/>
      <c r="BD980" s="790"/>
      <c r="BE980" s="790"/>
      <c r="BF980" s="790"/>
      <c r="BG980" s="790"/>
      <c r="BH980" s="790"/>
      <c r="BI980" s="790"/>
      <c r="BJ980" s="1184" t="s">
        <v>4763</v>
      </c>
    </row>
    <row r="981" spans="1:62" x14ac:dyDescent="0.3">
      <c r="A981" s="1200">
        <v>7</v>
      </c>
      <c r="B981" s="1210" t="s">
        <v>1076</v>
      </c>
      <c r="C981" s="1215"/>
      <c r="D981" s="1203"/>
      <c r="E981" s="1203"/>
      <c r="F981" s="1203"/>
      <c r="G981" s="1202" t="str">
        <f t="shared" ca="1" si="272"/>
        <v/>
      </c>
      <c r="H981" s="1200" t="s">
        <v>4386</v>
      </c>
      <c r="I981" s="140"/>
      <c r="J981" s="812"/>
      <c r="K981" s="812"/>
      <c r="L981" s="1313"/>
      <c r="M981" s="817"/>
      <c r="N981" s="854"/>
      <c r="O981" s="803"/>
      <c r="P981" s="97"/>
      <c r="Q981" s="97"/>
      <c r="R981" s="97"/>
      <c r="S981" s="97"/>
      <c r="T981" s="97"/>
      <c r="U981" s="97"/>
      <c r="V981" s="97"/>
      <c r="W981" s="97"/>
      <c r="X981" s="1295"/>
      <c r="Y981" s="1523"/>
      <c r="Z981" s="1583"/>
      <c r="AB981" s="790"/>
      <c r="AC981" s="790"/>
      <c r="AD981" s="790"/>
      <c r="AE981" s="790"/>
      <c r="AF981" s="790"/>
      <c r="AG981" s="790"/>
      <c r="AH981" s="790"/>
      <c r="AI981" s="790"/>
      <c r="AJ981" s="790"/>
      <c r="AK981" s="790"/>
      <c r="AL981" s="790"/>
      <c r="AM981" s="790"/>
      <c r="AN981" s="790"/>
      <c r="AO981" s="790"/>
      <c r="AP981" s="790"/>
      <c r="AQ981" s="790"/>
      <c r="AR981" s="790"/>
      <c r="AS981" s="790"/>
      <c r="AT981" s="790"/>
      <c r="AU981" s="790"/>
      <c r="AV981" s="790"/>
      <c r="AW981" s="790"/>
      <c r="AX981" s="790"/>
      <c r="AY981" s="790"/>
      <c r="AZ981" s="790"/>
      <c r="BA981" s="790"/>
      <c r="BB981" s="790"/>
      <c r="BC981" s="790"/>
      <c r="BD981" s="790"/>
      <c r="BE981" s="790"/>
      <c r="BF981" s="790"/>
      <c r="BG981" s="790"/>
      <c r="BH981" s="790"/>
      <c r="BI981" s="790"/>
      <c r="BJ981" s="1184" t="s">
        <v>4763</v>
      </c>
    </row>
    <row r="982" spans="1:62" x14ac:dyDescent="0.3">
      <c r="A982" s="1200">
        <v>7</v>
      </c>
      <c r="B982" s="1210" t="s">
        <v>1076</v>
      </c>
      <c r="C982" s="1215"/>
      <c r="D982" s="1203"/>
      <c r="E982" s="1203"/>
      <c r="F982" s="1203"/>
      <c r="G982" s="1202" t="str">
        <f t="shared" ca="1" si="272"/>
        <v/>
      </c>
      <c r="H982" s="1200" t="s">
        <v>4386</v>
      </c>
      <c r="I982" s="140"/>
      <c r="J982" s="812"/>
      <c r="K982" s="812"/>
      <c r="L982" s="1313"/>
      <c r="M982" s="817"/>
      <c r="N982" s="854"/>
      <c r="O982" s="803"/>
      <c r="P982" s="97"/>
      <c r="Q982" s="97"/>
      <c r="R982" s="97"/>
      <c r="S982" s="97"/>
      <c r="T982" s="97"/>
      <c r="U982" s="97"/>
      <c r="V982" s="97"/>
      <c r="W982" s="97"/>
      <c r="X982" s="1295"/>
      <c r="Y982" s="1523"/>
      <c r="Z982" s="1583"/>
      <c r="AB982" s="790"/>
      <c r="AC982" s="790"/>
      <c r="AD982" s="790"/>
      <c r="AE982" s="790"/>
      <c r="AF982" s="790"/>
      <c r="AG982" s="790"/>
      <c r="AH982" s="790"/>
      <c r="AI982" s="790"/>
      <c r="AJ982" s="790"/>
      <c r="AK982" s="790"/>
      <c r="AL982" s="790"/>
      <c r="AM982" s="790"/>
      <c r="AN982" s="790"/>
      <c r="AO982" s="790"/>
      <c r="AP982" s="790"/>
      <c r="AQ982" s="790"/>
      <c r="AR982" s="790"/>
      <c r="AS982" s="790"/>
      <c r="AT982" s="790"/>
      <c r="AU982" s="790"/>
      <c r="AV982" s="790"/>
      <c r="AW982" s="790"/>
      <c r="AX982" s="790"/>
      <c r="AY982" s="790"/>
      <c r="AZ982" s="790"/>
      <c r="BA982" s="790"/>
      <c r="BB982" s="790"/>
      <c r="BC982" s="790"/>
      <c r="BD982" s="790"/>
      <c r="BE982" s="790"/>
      <c r="BF982" s="790"/>
      <c r="BG982" s="790"/>
      <c r="BH982" s="790"/>
      <c r="BI982" s="790"/>
      <c r="BJ982" s="1184" t="s">
        <v>4763</v>
      </c>
    </row>
    <row r="983" spans="1:62" x14ac:dyDescent="0.3">
      <c r="A983" s="1200">
        <v>7</v>
      </c>
      <c r="B983" s="1210" t="s">
        <v>1076</v>
      </c>
      <c r="C983" s="1215"/>
      <c r="D983" s="1203"/>
      <c r="E983" s="1203"/>
      <c r="F983" s="1203"/>
      <c r="G983" s="1202" t="str">
        <f t="shared" ca="1" si="272"/>
        <v/>
      </c>
      <c r="H983" s="1200" t="s">
        <v>4386</v>
      </c>
      <c r="I983" s="140"/>
      <c r="J983" s="812"/>
      <c r="K983" s="812"/>
      <c r="L983" s="1313"/>
      <c r="M983" s="817"/>
      <c r="N983" s="854"/>
      <c r="O983" s="803"/>
      <c r="P983" s="97"/>
      <c r="Q983" s="97"/>
      <c r="R983" s="97"/>
      <c r="S983" s="97"/>
      <c r="T983" s="97"/>
      <c r="U983" s="97"/>
      <c r="V983" s="97"/>
      <c r="W983" s="97"/>
      <c r="X983" s="1295"/>
      <c r="Y983" s="1523"/>
      <c r="Z983" s="1583"/>
      <c r="AB983" s="790"/>
      <c r="AC983" s="790"/>
      <c r="AD983" s="790"/>
      <c r="AE983" s="790"/>
      <c r="AF983" s="790"/>
      <c r="AG983" s="790"/>
      <c r="AH983" s="790"/>
      <c r="AI983" s="790"/>
      <c r="AJ983" s="790"/>
      <c r="AK983" s="790"/>
      <c r="AL983" s="790"/>
      <c r="AM983" s="790"/>
      <c r="AN983" s="790"/>
      <c r="AO983" s="790"/>
      <c r="AP983" s="790"/>
      <c r="AQ983" s="790"/>
      <c r="AR983" s="790"/>
      <c r="AS983" s="790"/>
      <c r="AT983" s="790"/>
      <c r="AU983" s="790"/>
      <c r="AV983" s="790"/>
      <c r="AW983" s="790"/>
      <c r="AX983" s="790"/>
      <c r="AY983" s="790"/>
      <c r="AZ983" s="790"/>
      <c r="BA983" s="790"/>
      <c r="BB983" s="790"/>
      <c r="BC983" s="790"/>
      <c r="BD983" s="790"/>
      <c r="BE983" s="790"/>
      <c r="BF983" s="790"/>
      <c r="BG983" s="790"/>
      <c r="BH983" s="790"/>
      <c r="BI983" s="790"/>
      <c r="BJ983" s="1184" t="s">
        <v>4763</v>
      </c>
    </row>
    <row r="984" spans="1:62" x14ac:dyDescent="0.3">
      <c r="A984" s="1200">
        <v>7</v>
      </c>
      <c r="B984" s="1210" t="s">
        <v>1076</v>
      </c>
      <c r="C984" s="1215"/>
      <c r="D984" s="1203"/>
      <c r="E984" s="1203"/>
      <c r="F984" s="1203"/>
      <c r="G984" s="1202" t="str">
        <f t="shared" ca="1" si="272"/>
        <v/>
      </c>
      <c r="H984" s="1200" t="s">
        <v>4386</v>
      </c>
      <c r="I984" s="140"/>
      <c r="J984" s="812"/>
      <c r="K984" s="812"/>
      <c r="L984" s="1313"/>
      <c r="M984" s="817"/>
      <c r="N984" s="854"/>
      <c r="O984" s="803"/>
      <c r="P984" s="97"/>
      <c r="Q984" s="97"/>
      <c r="R984" s="97"/>
      <c r="S984" s="97"/>
      <c r="T984" s="97"/>
      <c r="U984" s="97"/>
      <c r="V984" s="97"/>
      <c r="W984" s="97"/>
      <c r="X984" s="1295"/>
      <c r="Y984" s="1523"/>
      <c r="Z984" s="1583"/>
      <c r="AB984" s="790"/>
      <c r="AC984" s="790"/>
      <c r="AD984" s="790"/>
      <c r="AE984" s="790"/>
      <c r="AF984" s="790"/>
      <c r="AG984" s="790"/>
      <c r="AH984" s="790"/>
      <c r="AI984" s="790"/>
      <c r="AJ984" s="790"/>
      <c r="AK984" s="790"/>
      <c r="AL984" s="790"/>
      <c r="AM984" s="790"/>
      <c r="AN984" s="790"/>
      <c r="AO984" s="790"/>
      <c r="AP984" s="790"/>
      <c r="AQ984" s="790"/>
      <c r="AR984" s="790"/>
      <c r="AS984" s="790"/>
      <c r="AT984" s="790"/>
      <c r="AU984" s="790"/>
      <c r="AV984" s="790"/>
      <c r="AW984" s="790"/>
      <c r="AX984" s="790"/>
      <c r="AY984" s="790"/>
      <c r="AZ984" s="790"/>
      <c r="BA984" s="790"/>
      <c r="BB984" s="790"/>
      <c r="BC984" s="790"/>
      <c r="BD984" s="790"/>
      <c r="BE984" s="790"/>
      <c r="BF984" s="790"/>
      <c r="BG984" s="790"/>
      <c r="BH984" s="790"/>
      <c r="BI984" s="790"/>
      <c r="BJ984" s="1184" t="s">
        <v>4763</v>
      </c>
    </row>
    <row r="985" spans="1:62" ht="15" thickBot="1" x14ac:dyDescent="0.35">
      <c r="A985" s="1200">
        <v>7</v>
      </c>
      <c r="B985" s="1210" t="s">
        <v>1076</v>
      </c>
      <c r="C985" s="1215"/>
      <c r="D985" s="1203"/>
      <c r="E985" s="1203"/>
      <c r="F985" s="1203"/>
      <c r="G985" s="1202" t="str">
        <f t="shared" ca="1" si="272"/>
        <v/>
      </c>
      <c r="H985" s="1200" t="s">
        <v>4386</v>
      </c>
      <c r="I985" s="270"/>
      <c r="J985" s="824"/>
      <c r="K985" s="824"/>
      <c r="L985" s="1332"/>
      <c r="M985" s="618"/>
      <c r="N985" s="858"/>
      <c r="O985" s="801"/>
      <c r="P985" s="104"/>
      <c r="Q985" s="104"/>
      <c r="R985" s="104"/>
      <c r="S985" s="104"/>
      <c r="T985" s="104"/>
      <c r="U985" s="104"/>
      <c r="V985" s="104"/>
      <c r="W985" s="104"/>
      <c r="X985" s="1296"/>
      <c r="Y985" s="1524"/>
      <c r="Z985" s="1584"/>
      <c r="AB985" s="790"/>
      <c r="AC985" s="790"/>
      <c r="AD985" s="790"/>
      <c r="AE985" s="790"/>
      <c r="AF985" s="790"/>
      <c r="AG985" s="790"/>
      <c r="AH985" s="790"/>
      <c r="AI985" s="790"/>
      <c r="AJ985" s="790"/>
      <c r="AK985" s="790"/>
      <c r="AL985" s="790"/>
      <c r="AM985" s="790"/>
      <c r="AN985" s="790"/>
      <c r="AO985" s="790"/>
      <c r="AP985" s="790"/>
      <c r="AQ985" s="790"/>
      <c r="AR985" s="790"/>
      <c r="AS985" s="790"/>
      <c r="AT985" s="790"/>
      <c r="AU985" s="790"/>
      <c r="AV985" s="790"/>
      <c r="AW985" s="790"/>
      <c r="AX985" s="790"/>
      <c r="AY985" s="790"/>
      <c r="AZ985" s="790"/>
      <c r="BA985" s="790"/>
      <c r="BB985" s="790"/>
      <c r="BC985" s="790"/>
      <c r="BD985" s="790"/>
      <c r="BE985" s="790"/>
      <c r="BF985" s="790"/>
      <c r="BG985" s="790"/>
      <c r="BH985" s="790"/>
      <c r="BI985" s="790"/>
      <c r="BJ985" s="1184" t="s">
        <v>4763</v>
      </c>
    </row>
    <row r="986" spans="1:62" ht="15" thickTop="1" x14ac:dyDescent="0.3">
      <c r="A986" s="1200">
        <v>7</v>
      </c>
      <c r="B986" s="1210" t="s">
        <v>1078</v>
      </c>
      <c r="C986" s="1215"/>
      <c r="D986" s="1203"/>
      <c r="E986" s="1203"/>
      <c r="F986" s="1203"/>
      <c r="G986" s="1202" t="s">
        <v>4389</v>
      </c>
      <c r="H986" s="1200" t="s">
        <v>4386</v>
      </c>
      <c r="I986" s="27">
        <v>703.3</v>
      </c>
      <c r="J986" s="819"/>
      <c r="K986" s="819"/>
      <c r="L986" s="829" t="s">
        <v>1079</v>
      </c>
      <c r="M986" s="799"/>
      <c r="N986" s="850"/>
      <c r="O986" s="802"/>
      <c r="P986" s="1081"/>
      <c r="Q986" s="1081"/>
      <c r="R986" s="790"/>
      <c r="S986" s="790"/>
      <c r="T986" s="790"/>
      <c r="U986" s="790"/>
      <c r="V986" s="790"/>
      <c r="W986" s="790"/>
      <c r="X986" s="790"/>
      <c r="Y986" s="790"/>
      <c r="Z986" s="1055"/>
      <c r="AB986" s="790"/>
      <c r="AC986" s="790"/>
      <c r="AD986" s="790"/>
      <c r="AE986" s="790"/>
      <c r="AF986" s="790"/>
      <c r="AG986" s="790"/>
      <c r="AH986" s="790"/>
      <c r="AI986" s="790"/>
      <c r="AJ986" s="790"/>
      <c r="AK986" s="790"/>
      <c r="AL986" s="790"/>
      <c r="AM986" s="790"/>
      <c r="AN986" s="790"/>
      <c r="AO986" s="790"/>
      <c r="AP986" s="790"/>
      <c r="AQ986" s="790"/>
      <c r="AR986" s="790"/>
      <c r="AS986" s="790"/>
      <c r="AT986" s="790"/>
      <c r="AU986" s="790"/>
      <c r="AV986" s="790"/>
      <c r="AW986" s="790"/>
      <c r="AX986" s="790"/>
      <c r="AY986" s="790"/>
      <c r="AZ986" s="790"/>
      <c r="BA986" s="790"/>
      <c r="BB986" s="790"/>
      <c r="BC986" s="790"/>
      <c r="BD986" s="790"/>
      <c r="BE986" s="790"/>
      <c r="BF986" s="790"/>
      <c r="BG986" s="790"/>
      <c r="BH986" s="790"/>
      <c r="BI986" s="790"/>
      <c r="BJ986" s="1184" t="s">
        <v>4763</v>
      </c>
    </row>
    <row r="987" spans="1:62" x14ac:dyDescent="0.3">
      <c r="A987" s="1200">
        <v>7</v>
      </c>
      <c r="B987" s="1210" t="s">
        <v>1078</v>
      </c>
      <c r="C987" s="1215"/>
      <c r="D987" s="1203" t="s">
        <v>271</v>
      </c>
      <c r="E987" s="1203"/>
      <c r="F987" s="1203"/>
      <c r="G987" s="1202" t="s">
        <v>4389</v>
      </c>
      <c r="H987" s="1200" t="s">
        <v>4386</v>
      </c>
      <c r="I987" s="68" t="s">
        <v>1078</v>
      </c>
      <c r="J987" s="819"/>
      <c r="K987" s="819"/>
      <c r="L987" s="1292" t="s">
        <v>1080</v>
      </c>
      <c r="M987" s="799"/>
      <c r="N987" s="850"/>
      <c r="O987" s="802"/>
      <c r="P987" s="1081"/>
      <c r="Q987" s="1081"/>
      <c r="R987" s="790"/>
      <c r="S987" s="790"/>
      <c r="T987" s="790"/>
      <c r="U987" s="790"/>
      <c r="V987" s="790"/>
      <c r="W987" s="790" t="s">
        <v>4036</v>
      </c>
      <c r="X987" s="1303"/>
      <c r="Y987" s="1522" t="str">
        <f>IF(LEN('Ch7'!X224)=0,"None",'Ch7'!X224)</f>
        <v>None</v>
      </c>
      <c r="Z987" s="1586"/>
      <c r="AB987" s="790"/>
      <c r="AC987" s="790"/>
      <c r="AD987" s="790"/>
      <c r="AE987" s="790"/>
      <c r="AF987" s="790"/>
      <c r="AG987" s="790"/>
      <c r="AH987" s="790"/>
      <c r="AI987" s="790"/>
      <c r="AJ987" s="790"/>
      <c r="AK987" s="790"/>
      <c r="AL987" s="790"/>
      <c r="AM987" s="790"/>
      <c r="AN987" s="790"/>
      <c r="AO987" s="790"/>
      <c r="AP987" s="790"/>
      <c r="AQ987" s="790"/>
      <c r="AR987" s="311" t="str">
        <f>SUBSTITUTE(SUBSTITUTE(SUBSTITUTE("vnt"&amp;$B987&amp;$C987&amp;$D987&amp;$E987&amp;$F987,".","_"),"(","_"),")","")</f>
        <v>vnt703_3_0_1</v>
      </c>
      <c r="AS987" s="311">
        <f>X987</f>
        <v>0</v>
      </c>
      <c r="AT987" s="790"/>
      <c r="AU987" s="790"/>
      <c r="AV987" s="790"/>
      <c r="AW987" s="790"/>
      <c r="AX987" s="790"/>
      <c r="AY987" s="790"/>
      <c r="AZ987" s="790"/>
      <c r="BA987" s="790"/>
      <c r="BB987" s="790"/>
      <c r="BC987" s="790"/>
      <c r="BD987" s="790"/>
      <c r="BE987" s="790"/>
      <c r="BF987" s="790"/>
      <c r="BG987" s="790"/>
      <c r="BH987" s="790"/>
      <c r="BI987" s="790"/>
      <c r="BJ987" s="1184" t="s">
        <v>4763</v>
      </c>
    </row>
    <row r="988" spans="1:62" x14ac:dyDescent="0.3">
      <c r="A988" s="1200">
        <v>7</v>
      </c>
      <c r="B988" s="1210" t="s">
        <v>1078</v>
      </c>
      <c r="C988" s="1215"/>
      <c r="D988" s="1203" t="s">
        <v>271</v>
      </c>
      <c r="E988" s="1203"/>
      <c r="F988" s="1203"/>
      <c r="G988" s="1202" t="s">
        <v>4389</v>
      </c>
      <c r="H988" s="1200" t="s">
        <v>4386</v>
      </c>
      <c r="I988" s="4"/>
      <c r="J988" s="819"/>
      <c r="K988" s="819"/>
      <c r="L988" s="1292"/>
      <c r="M988" s="799"/>
      <c r="N988" s="850"/>
      <c r="O988" s="802"/>
      <c r="P988" s="97" t="b">
        <v>1</v>
      </c>
      <c r="Q988" s="97" t="b">
        <v>1</v>
      </c>
      <c r="R988" s="790" t="b">
        <v>0</v>
      </c>
      <c r="S988" s="790" t="b">
        <f ca="1">(S776=2)</f>
        <v>0</v>
      </c>
      <c r="T988" s="97" t="b">
        <f ca="1">AND(NOT(S988),LEN(W988)&gt;0)</f>
        <v>0</v>
      </c>
      <c r="U988" s="97" t="str">
        <f>SUBSTITUTE(SUBSTITUTE(SUBSTITUTE("dd"&amp;B988&amp;C988&amp;D988&amp;E988&amp;F988,".","_"),"(","_"),")","")</f>
        <v>dd703_3_0_1</v>
      </c>
      <c r="V988" s="790"/>
      <c r="W988" s="12"/>
      <c r="X988" s="1303"/>
      <c r="Y988" s="1522"/>
      <c r="Z988" s="1586"/>
      <c r="AB988" s="790"/>
      <c r="AC988" s="790" t="b">
        <f ca="1">OR(AD988:AE988)</f>
        <v>0</v>
      </c>
      <c r="AD988" s="790" t="b">
        <f ca="1">T988</f>
        <v>0</v>
      </c>
      <c r="AE988" s="790" t="b">
        <f ca="1">AND(W988=INDEX(INDIRECT(U988),1),LEN(X987)=0)</f>
        <v>0</v>
      </c>
      <c r="AF988" s="1182" t="b">
        <f ca="1">AND(AE988,NOT(Q988))</f>
        <v>0</v>
      </c>
      <c r="AG988" s="790"/>
      <c r="AH988" s="790"/>
      <c r="AI988" s="790"/>
      <c r="AJ988" s="790"/>
      <c r="AK988" s="790"/>
      <c r="AL988" s="790"/>
      <c r="AM988" s="790"/>
      <c r="AN988" s="790"/>
      <c r="AO988" s="790"/>
      <c r="AP988" s="311" t="str">
        <f>SUBSTITUTE(SUBSTITUTE(SUBSTITUTE("vch"&amp;$B988&amp;$C988&amp;$D988&amp;$E988&amp;$F988,".","_"),"(","_"),")","")</f>
        <v>vch703_3_0_1</v>
      </c>
      <c r="AQ988" s="311">
        <f>W988</f>
        <v>0</v>
      </c>
      <c r="AR988" s="790"/>
      <c r="AS988" s="790"/>
      <c r="AT988" s="790"/>
      <c r="AU988" s="790"/>
      <c r="AV988" s="790"/>
      <c r="AW988" s="790"/>
      <c r="AX988" s="790"/>
      <c r="AY988" s="790"/>
      <c r="AZ988" s="790"/>
      <c r="BA988" s="790"/>
      <c r="BB988" s="790"/>
      <c r="BC988" s="790"/>
      <c r="BD988" s="790"/>
      <c r="BE988" s="790"/>
      <c r="BF988" s="790"/>
      <c r="BG988" s="790"/>
      <c r="BH988" s="790"/>
      <c r="BI988" s="790"/>
      <c r="BJ988" s="1184" t="s">
        <v>4763</v>
      </c>
    </row>
    <row r="989" spans="1:62" x14ac:dyDescent="0.3">
      <c r="A989" s="1200">
        <v>7</v>
      </c>
      <c r="B989" s="1210" t="s">
        <v>1078</v>
      </c>
      <c r="C989" s="1215"/>
      <c r="D989" s="1203"/>
      <c r="E989" s="1203"/>
      <c r="F989" s="1203"/>
      <c r="G989" s="1202" t="s">
        <v>4389</v>
      </c>
      <c r="H989" s="1200" t="s">
        <v>4386</v>
      </c>
      <c r="I989" s="4"/>
      <c r="J989" s="819"/>
      <c r="K989" s="819"/>
      <c r="L989" s="1292"/>
      <c r="M989" s="799"/>
      <c r="N989" s="850"/>
      <c r="O989" s="802"/>
      <c r="P989" s="1081"/>
      <c r="Q989" s="1081"/>
      <c r="R989" s="790"/>
      <c r="S989" s="790"/>
      <c r="T989" s="790"/>
      <c r="U989" s="790"/>
      <c r="V989" s="790"/>
      <c r="W989" s="790"/>
      <c r="X989" s="1303"/>
      <c r="Y989" s="1522"/>
      <c r="Z989" s="1586"/>
      <c r="AB989" s="790"/>
      <c r="AC989" s="790"/>
      <c r="AD989" s="790"/>
      <c r="AE989" s="790"/>
      <c r="AF989" s="790"/>
      <c r="AG989" s="790"/>
      <c r="AH989" s="790"/>
      <c r="AI989" s="790"/>
      <c r="AJ989" s="790"/>
      <c r="AK989" s="790"/>
      <c r="AL989" s="790"/>
      <c r="AM989" s="790"/>
      <c r="AN989" s="790"/>
      <c r="AO989" s="790"/>
      <c r="AP989" s="790"/>
      <c r="AQ989" s="790"/>
      <c r="AR989" s="790"/>
      <c r="AS989" s="790"/>
      <c r="AT989" s="790"/>
      <c r="AU989" s="790"/>
      <c r="AV989" s="790"/>
      <c r="AW989" s="790"/>
      <c r="AX989" s="790"/>
      <c r="AY989" s="790"/>
      <c r="AZ989" s="790"/>
      <c r="BA989" s="790"/>
      <c r="BB989" s="790"/>
      <c r="BC989" s="790"/>
      <c r="BD989" s="790"/>
      <c r="BE989" s="790"/>
      <c r="BF989" s="790"/>
      <c r="BG989" s="790"/>
      <c r="BH989" s="790"/>
      <c r="BI989" s="790"/>
      <c r="BJ989" s="1184" t="s">
        <v>4763</v>
      </c>
    </row>
    <row r="990" spans="1:62" x14ac:dyDescent="0.3">
      <c r="A990" s="1200">
        <v>7</v>
      </c>
      <c r="B990" s="1210" t="s">
        <v>1078</v>
      </c>
      <c r="C990" s="1215"/>
      <c r="D990" s="1203"/>
      <c r="E990" s="1203"/>
      <c r="F990" s="1203"/>
      <c r="G990" s="1202" t="s">
        <v>4389</v>
      </c>
      <c r="H990" s="1200" t="s">
        <v>4386</v>
      </c>
      <c r="I990" s="4"/>
      <c r="J990" s="819"/>
      <c r="K990" s="819"/>
      <c r="L990" s="1292"/>
      <c r="M990" s="799"/>
      <c r="N990" s="850"/>
      <c r="O990" s="802"/>
      <c r="P990" s="1081"/>
      <c r="Q990" s="1081"/>
      <c r="R990" s="790"/>
      <c r="S990" s="790"/>
      <c r="T990" s="790"/>
      <c r="U990" s="790"/>
      <c r="V990" s="790"/>
      <c r="W990" s="790"/>
      <c r="X990" s="1303"/>
      <c r="Y990" s="1522"/>
      <c r="Z990" s="1586"/>
      <c r="AB990" s="790"/>
      <c r="AC990" s="790"/>
      <c r="AD990" s="790"/>
      <c r="AE990" s="790"/>
      <c r="AF990" s="790"/>
      <c r="AG990" s="790"/>
      <c r="AH990" s="790"/>
      <c r="AI990" s="790"/>
      <c r="AJ990" s="790"/>
      <c r="AK990" s="790"/>
      <c r="AL990" s="790"/>
      <c r="AM990" s="790"/>
      <c r="AN990" s="790"/>
      <c r="AO990" s="790"/>
      <c r="AP990" s="790"/>
      <c r="AQ990" s="790"/>
      <c r="AR990" s="790"/>
      <c r="AS990" s="790"/>
      <c r="AT990" s="790"/>
      <c r="AU990" s="790"/>
      <c r="AV990" s="790"/>
      <c r="AW990" s="790"/>
      <c r="AX990" s="790"/>
      <c r="AY990" s="790"/>
      <c r="AZ990" s="790"/>
      <c r="BA990" s="790"/>
      <c r="BB990" s="790"/>
      <c r="BC990" s="790"/>
      <c r="BD990" s="790"/>
      <c r="BE990" s="790"/>
      <c r="BF990" s="790"/>
      <c r="BG990" s="790"/>
      <c r="BH990" s="790"/>
      <c r="BI990" s="790"/>
      <c r="BJ990" s="1184" t="s">
        <v>4763</v>
      </c>
    </row>
    <row r="991" spans="1:62" x14ac:dyDescent="0.3">
      <c r="A991" s="1200">
        <v>7</v>
      </c>
      <c r="B991" s="1210" t="s">
        <v>1078</v>
      </c>
      <c r="C991" s="1215"/>
      <c r="D991" s="1203"/>
      <c r="E991" s="1203"/>
      <c r="F991" s="1203"/>
      <c r="G991" s="1202" t="s">
        <v>4389</v>
      </c>
      <c r="H991" s="1200" t="s">
        <v>4386</v>
      </c>
      <c r="I991" s="4"/>
      <c r="J991" s="819"/>
      <c r="K991" s="819"/>
      <c r="L991" s="1292"/>
      <c r="M991" s="799"/>
      <c r="N991" s="850"/>
      <c r="O991" s="802"/>
      <c r="P991" s="1081"/>
      <c r="Q991" s="1081"/>
      <c r="R991" s="790"/>
      <c r="S991" s="790"/>
      <c r="T991" s="790"/>
      <c r="U991" s="790"/>
      <c r="V991" s="790"/>
      <c r="W991" s="790"/>
      <c r="X991" s="1303"/>
      <c r="Y991" s="1522"/>
      <c r="Z991" s="1586"/>
      <c r="AB991" s="790"/>
      <c r="AC991" s="790"/>
      <c r="AD991" s="790"/>
      <c r="AE991" s="790"/>
      <c r="AF991" s="790"/>
      <c r="AG991" s="790"/>
      <c r="AH991" s="790"/>
      <c r="AI991" s="790"/>
      <c r="AJ991" s="790"/>
      <c r="AK991" s="790"/>
      <c r="AL991" s="790"/>
      <c r="AM991" s="790"/>
      <c r="AN991" s="790"/>
      <c r="AO991" s="790"/>
      <c r="AP991" s="790"/>
      <c r="AQ991" s="790"/>
      <c r="AR991" s="790"/>
      <c r="AS991" s="790"/>
      <c r="AT991" s="790"/>
      <c r="AU991" s="790"/>
      <c r="AV991" s="790"/>
      <c r="AW991" s="790"/>
      <c r="AX991" s="790"/>
      <c r="AY991" s="790"/>
      <c r="AZ991" s="790"/>
      <c r="BA991" s="790"/>
      <c r="BB991" s="790"/>
      <c r="BC991" s="790"/>
      <c r="BD991" s="790"/>
      <c r="BE991" s="790"/>
      <c r="BF991" s="790"/>
      <c r="BG991" s="790"/>
      <c r="BH991" s="790"/>
      <c r="BI991" s="790"/>
      <c r="BJ991" s="1184" t="s">
        <v>4763</v>
      </c>
    </row>
    <row r="992" spans="1:62" x14ac:dyDescent="0.3">
      <c r="A992" s="1200">
        <v>7</v>
      </c>
      <c r="B992" s="1210" t="s">
        <v>1078</v>
      </c>
      <c r="C992" s="1215"/>
      <c r="D992" s="1203"/>
      <c r="E992" s="1203"/>
      <c r="F992" s="1203"/>
      <c r="G992" s="1202" t="s">
        <v>4389</v>
      </c>
      <c r="H992" s="1200" t="s">
        <v>4386</v>
      </c>
      <c r="I992" s="4"/>
      <c r="J992" s="819"/>
      <c r="K992" s="819"/>
      <c r="L992" s="1292"/>
      <c r="M992" s="799"/>
      <c r="N992" s="850"/>
      <c r="O992" s="802"/>
      <c r="P992" s="1081"/>
      <c r="Q992" s="1081"/>
      <c r="R992" s="790"/>
      <c r="S992" s="790"/>
      <c r="T992" s="790"/>
      <c r="U992" s="790"/>
      <c r="V992" s="790"/>
      <c r="W992" s="790"/>
      <c r="X992" s="1303"/>
      <c r="Y992" s="1522"/>
      <c r="Z992" s="1586"/>
      <c r="AB992" s="790"/>
      <c r="AC992" s="790"/>
      <c r="AD992" s="790"/>
      <c r="AE992" s="790"/>
      <c r="AF992" s="790"/>
      <c r="AG992" s="790"/>
      <c r="AH992" s="790"/>
      <c r="AI992" s="790"/>
      <c r="AJ992" s="790"/>
      <c r="AK992" s="790"/>
      <c r="AL992" s="790"/>
      <c r="AM992" s="790"/>
      <c r="AN992" s="790"/>
      <c r="AO992" s="790"/>
      <c r="AP992" s="790"/>
      <c r="AQ992" s="790"/>
      <c r="AR992" s="790"/>
      <c r="AS992" s="790"/>
      <c r="AT992" s="790"/>
      <c r="AU992" s="790"/>
      <c r="AV992" s="790"/>
      <c r="AW992" s="790"/>
      <c r="AX992" s="790"/>
      <c r="AY992" s="790"/>
      <c r="AZ992" s="790"/>
      <c r="BA992" s="790"/>
      <c r="BB992" s="790"/>
      <c r="BC992" s="790"/>
      <c r="BD992" s="790"/>
      <c r="BE992" s="790"/>
      <c r="BF992" s="790"/>
      <c r="BG992" s="790"/>
      <c r="BH992" s="790"/>
      <c r="BI992" s="790"/>
      <c r="BJ992" s="1184" t="s">
        <v>4763</v>
      </c>
    </row>
    <row r="993" spans="1:62" x14ac:dyDescent="0.3">
      <c r="A993" s="1200">
        <v>7</v>
      </c>
      <c r="B993" s="1210" t="s">
        <v>1078</v>
      </c>
      <c r="C993" s="1215"/>
      <c r="D993" s="1203" t="s">
        <v>273</v>
      </c>
      <c r="E993" s="1203"/>
      <c r="F993" s="1203"/>
      <c r="G993" s="1202" t="s">
        <v>4389</v>
      </c>
      <c r="H993" s="1200" t="s">
        <v>4386</v>
      </c>
      <c r="I993" s="4"/>
      <c r="J993" s="819"/>
      <c r="K993" s="819"/>
      <c r="L993" s="1292"/>
      <c r="M993" s="799"/>
      <c r="N993" s="850"/>
      <c r="O993" s="802"/>
      <c r="P993" s="1081"/>
      <c r="Q993" s="1081"/>
      <c r="R993" s="790"/>
      <c r="S993" s="790"/>
      <c r="T993" s="790"/>
      <c r="U993" s="790"/>
      <c r="V993" s="790"/>
      <c r="W993" s="790" t="s">
        <v>4037</v>
      </c>
      <c r="X993" s="1303"/>
      <c r="Y993" s="1522" t="str">
        <f>IF(LEN('Ch7'!X230)=0,"None",'Ch7'!X230)</f>
        <v>None</v>
      </c>
      <c r="Z993" s="1586"/>
      <c r="AB993" s="790"/>
      <c r="AC993" s="790"/>
      <c r="AD993" s="790"/>
      <c r="AE993" s="790"/>
      <c r="AF993" s="790"/>
      <c r="AG993" s="790"/>
      <c r="AH993" s="790"/>
      <c r="AI993" s="790"/>
      <c r="AJ993" s="790"/>
      <c r="AK993" s="790"/>
      <c r="AL993" s="790"/>
      <c r="AM993" s="790"/>
      <c r="AN993" s="790"/>
      <c r="AO993" s="790"/>
      <c r="AP993" s="790"/>
      <c r="AQ993" s="790"/>
      <c r="AR993" s="311" t="str">
        <f>SUBSTITUTE(SUBSTITUTE(SUBSTITUTE("vnt"&amp;$B993&amp;$C993&amp;$D993&amp;$E993&amp;$F993,".","_"),"(","_"),")","")</f>
        <v>vnt703_3_0_2</v>
      </c>
      <c r="AS993" s="311">
        <f>X993</f>
        <v>0</v>
      </c>
      <c r="AT993" s="790"/>
      <c r="AU993" s="790"/>
      <c r="AV993" s="790"/>
      <c r="AW993" s="790"/>
      <c r="AX993" s="790"/>
      <c r="AY993" s="790"/>
      <c r="AZ993" s="790"/>
      <c r="BA993" s="790"/>
      <c r="BB993" s="790"/>
      <c r="BC993" s="790"/>
      <c r="BD993" s="790"/>
      <c r="BE993" s="790"/>
      <c r="BF993" s="790"/>
      <c r="BG993" s="790"/>
      <c r="BH993" s="790"/>
      <c r="BI993" s="790"/>
      <c r="BJ993" s="1184" t="s">
        <v>4763</v>
      </c>
    </row>
    <row r="994" spans="1:62" x14ac:dyDescent="0.3">
      <c r="A994" s="1200">
        <v>7</v>
      </c>
      <c r="B994" s="1210" t="s">
        <v>1078</v>
      </c>
      <c r="C994" s="1215"/>
      <c r="D994" s="1203" t="s">
        <v>273</v>
      </c>
      <c r="E994" s="1203"/>
      <c r="F994" s="1203"/>
      <c r="G994" s="1202" t="s">
        <v>4389</v>
      </c>
      <c r="H994" s="1200" t="s">
        <v>4386</v>
      </c>
      <c r="I994" s="4"/>
      <c r="J994" s="819"/>
      <c r="K994" s="819"/>
      <c r="L994" s="1292"/>
      <c r="M994" s="799"/>
      <c r="N994" s="850"/>
      <c r="O994" s="802"/>
      <c r="P994" s="97" t="b">
        <v>1</v>
      </c>
      <c r="Q994" s="97" t="b">
        <v>1</v>
      </c>
      <c r="R994" s="790" t="b">
        <v>0</v>
      </c>
      <c r="S994" s="790" t="b">
        <f ca="1">(S776=2)</f>
        <v>0</v>
      </c>
      <c r="T994" s="97" t="b">
        <f ca="1">AND(NOT(S994),LEN(W994)&gt;0)</f>
        <v>0</v>
      </c>
      <c r="U994" s="97" t="str">
        <f>SUBSTITUTE(SUBSTITUTE(SUBSTITUTE("dd"&amp;B994&amp;C994&amp;D994&amp;E994&amp;F994,".","_"),"(","_"),")","")</f>
        <v>dd703_3_0_2</v>
      </c>
      <c r="V994" s="790"/>
      <c r="W994" s="12"/>
      <c r="X994" s="1303"/>
      <c r="Y994" s="1522"/>
      <c r="Z994" s="1586"/>
      <c r="AB994" s="790"/>
      <c r="AC994" s="790" t="b">
        <f ca="1">OR(AD994:AE994)</f>
        <v>0</v>
      </c>
      <c r="AD994" s="790" t="b">
        <f ca="1">T994</f>
        <v>0</v>
      </c>
      <c r="AE994" s="790" t="b">
        <f ca="1">AND(W994=INDEX(INDIRECT(U994),1),LEN(X993)=0)</f>
        <v>0</v>
      </c>
      <c r="AF994" s="1182" t="b">
        <f ca="1">AND(AE994,NOT(Q994))</f>
        <v>0</v>
      </c>
      <c r="AG994" s="790"/>
      <c r="AH994" s="790"/>
      <c r="AI994" s="790"/>
      <c r="AJ994" s="790"/>
      <c r="AK994" s="790"/>
      <c r="AL994" s="790"/>
      <c r="AM994" s="790"/>
      <c r="AN994" s="790"/>
      <c r="AO994" s="790"/>
      <c r="AP994" s="311" t="str">
        <f>SUBSTITUTE(SUBSTITUTE(SUBSTITUTE("vch"&amp;$B994&amp;$C994&amp;$D994&amp;$E994&amp;$F994,".","_"),"(","_"),")","")</f>
        <v>vch703_3_0_2</v>
      </c>
      <c r="AQ994" s="311">
        <f>W994</f>
        <v>0</v>
      </c>
      <c r="AR994" s="790"/>
      <c r="AS994" s="790"/>
      <c r="AT994" s="790"/>
      <c r="AU994" s="790"/>
      <c r="AV994" s="790"/>
      <c r="AW994" s="790"/>
      <c r="AX994" s="790"/>
      <c r="AY994" s="790"/>
      <c r="AZ994" s="790"/>
      <c r="BA994" s="790"/>
      <c r="BB994" s="790"/>
      <c r="BC994" s="790"/>
      <c r="BD994" s="790"/>
      <c r="BE994" s="790"/>
      <c r="BF994" s="790"/>
      <c r="BG994" s="790"/>
      <c r="BH994" s="790"/>
      <c r="BI994" s="790"/>
      <c r="BJ994" s="1184" t="s">
        <v>4763</v>
      </c>
    </row>
    <row r="995" spans="1:62" x14ac:dyDescent="0.3">
      <c r="A995" s="1200">
        <v>7</v>
      </c>
      <c r="B995" s="1210" t="s">
        <v>1078</v>
      </c>
      <c r="C995" s="1215"/>
      <c r="D995" s="1203"/>
      <c r="E995" s="1203"/>
      <c r="F995" s="1203"/>
      <c r="G995" s="1202" t="s">
        <v>4389</v>
      </c>
      <c r="H995" s="1200" t="s">
        <v>4386</v>
      </c>
      <c r="I995" s="4"/>
      <c r="J995" s="819"/>
      <c r="K995" s="819"/>
      <c r="L995" s="1399" t="s">
        <v>1300</v>
      </c>
      <c r="M995" s="799"/>
      <c r="N995" s="850"/>
      <c r="O995" s="802"/>
      <c r="P995" s="1081"/>
      <c r="Q995" s="1081"/>
      <c r="R995" s="790"/>
      <c r="S995" s="790"/>
      <c r="T995" s="790"/>
      <c r="U995" s="790"/>
      <c r="V995" s="790"/>
      <c r="W995" s="790"/>
      <c r="X995" s="1303"/>
      <c r="Y995" s="1522"/>
      <c r="Z995" s="1586"/>
      <c r="AB995" s="790"/>
      <c r="AC995" s="790"/>
      <c r="AD995" s="790"/>
      <c r="AE995" s="790"/>
      <c r="AF995" s="790"/>
      <c r="AG995" s="790"/>
      <c r="AH995" s="790"/>
      <c r="AI995" s="790"/>
      <c r="AJ995" s="790"/>
      <c r="AK995" s="790"/>
      <c r="AL995" s="790"/>
      <c r="AM995" s="790"/>
      <c r="AN995" s="790"/>
      <c r="AO995" s="790"/>
      <c r="AP995" s="790"/>
      <c r="AQ995" s="790"/>
      <c r="AR995" s="790"/>
      <c r="AS995" s="790"/>
      <c r="AT995" s="790"/>
      <c r="AU995" s="790"/>
      <c r="AV995" s="790"/>
      <c r="AW995" s="790"/>
      <c r="AX995" s="790"/>
      <c r="AY995" s="790"/>
      <c r="AZ995" s="790"/>
      <c r="BA995" s="790"/>
      <c r="BB995" s="790"/>
      <c r="BC995" s="790"/>
      <c r="BD995" s="790"/>
      <c r="BE995" s="790"/>
      <c r="BF995" s="790"/>
      <c r="BG995" s="790"/>
      <c r="BH995" s="790"/>
      <c r="BI995" s="790"/>
      <c r="BJ995" s="1184" t="s">
        <v>4763</v>
      </c>
    </row>
    <row r="996" spans="1:62" x14ac:dyDescent="0.3">
      <c r="A996" s="1200">
        <v>7</v>
      </c>
      <c r="B996" s="1210" t="s">
        <v>1078</v>
      </c>
      <c r="C996" s="1215"/>
      <c r="D996" s="1203"/>
      <c r="E996" s="1203"/>
      <c r="F996" s="1203"/>
      <c r="G996" s="1202" t="s">
        <v>4389</v>
      </c>
      <c r="H996" s="1200" t="s">
        <v>4386</v>
      </c>
      <c r="I996" s="4"/>
      <c r="J996" s="819"/>
      <c r="K996" s="819"/>
      <c r="L996" s="1399"/>
      <c r="M996" s="799"/>
      <c r="N996" s="850"/>
      <c r="O996" s="802"/>
      <c r="P996" s="1081"/>
      <c r="Q996" s="1081"/>
      <c r="R996" s="790"/>
      <c r="S996" s="790"/>
      <c r="T996" s="790"/>
      <c r="U996" s="790"/>
      <c r="V996" s="790"/>
      <c r="W996" s="790"/>
      <c r="X996" s="1303"/>
      <c r="Y996" s="1522"/>
      <c r="Z996" s="1586"/>
      <c r="AB996" s="790"/>
      <c r="AC996" s="790"/>
      <c r="AD996" s="790"/>
      <c r="AE996" s="790"/>
      <c r="AF996" s="790"/>
      <c r="AG996" s="790"/>
      <c r="AH996" s="790"/>
      <c r="AI996" s="790"/>
      <c r="AJ996" s="790"/>
      <c r="AK996" s="790"/>
      <c r="AL996" s="790"/>
      <c r="AM996" s="790"/>
      <c r="AN996" s="790"/>
      <c r="AO996" s="790"/>
      <c r="AP996" s="790"/>
      <c r="AQ996" s="790"/>
      <c r="AR996" s="790"/>
      <c r="AS996" s="790"/>
      <c r="AT996" s="790"/>
      <c r="AU996" s="790"/>
      <c r="AV996" s="790"/>
      <c r="AW996" s="790"/>
      <c r="AX996" s="790"/>
      <c r="AY996" s="790"/>
      <c r="AZ996" s="790"/>
      <c r="BA996" s="790"/>
      <c r="BB996" s="790"/>
      <c r="BC996" s="790"/>
      <c r="BD996" s="790"/>
      <c r="BE996" s="790"/>
      <c r="BF996" s="790"/>
      <c r="BG996" s="790"/>
      <c r="BH996" s="790"/>
      <c r="BI996" s="790"/>
      <c r="BJ996" s="1184" t="s">
        <v>4763</v>
      </c>
    </row>
    <row r="997" spans="1:62" x14ac:dyDescent="0.3">
      <c r="A997" s="1200">
        <v>7</v>
      </c>
      <c r="B997" s="1210" t="s">
        <v>1078</v>
      </c>
      <c r="C997" s="1215"/>
      <c r="D997" s="1203"/>
      <c r="E997" s="1203"/>
      <c r="F997" s="1203"/>
      <c r="G997" s="1202" t="s">
        <v>4389</v>
      </c>
      <c r="H997" s="1200" t="s">
        <v>4386</v>
      </c>
      <c r="I997" s="4"/>
      <c r="J997" s="819"/>
      <c r="K997" s="819"/>
      <c r="L997" s="827" t="s">
        <v>1081</v>
      </c>
      <c r="M997" s="799"/>
      <c r="N997" s="850"/>
      <c r="O997" s="802"/>
      <c r="P997" s="1081"/>
      <c r="Q997" s="1081"/>
      <c r="R997" s="790"/>
      <c r="S997" s="790"/>
      <c r="T997" s="790"/>
      <c r="U997" s="790"/>
      <c r="V997" s="790"/>
      <c r="W997" s="790"/>
      <c r="X997" s="1303"/>
      <c r="Y997" s="1522"/>
      <c r="Z997" s="1586"/>
      <c r="AB997" s="790"/>
      <c r="AC997" s="790"/>
      <c r="AD997" s="790"/>
      <c r="AE997" s="790"/>
      <c r="AF997" s="790"/>
      <c r="AG997" s="790"/>
      <c r="AH997" s="790"/>
      <c r="AI997" s="790"/>
      <c r="AJ997" s="790"/>
      <c r="AK997" s="790"/>
      <c r="AL997" s="790"/>
      <c r="AM997" s="790"/>
      <c r="AN997" s="790"/>
      <c r="AO997" s="790"/>
      <c r="AP997" s="790"/>
      <c r="AQ997" s="790"/>
      <c r="AR997" s="790"/>
      <c r="AS997" s="790"/>
      <c r="AT997" s="790"/>
      <c r="AU997" s="790"/>
      <c r="AV997" s="790"/>
      <c r="AW997" s="790"/>
      <c r="AX997" s="790"/>
      <c r="AY997" s="790"/>
      <c r="AZ997" s="790"/>
      <c r="BA997" s="790"/>
      <c r="BB997" s="790"/>
      <c r="BC997" s="790"/>
      <c r="BD997" s="790"/>
      <c r="BE997" s="790"/>
      <c r="BF997" s="790"/>
      <c r="BG997" s="790"/>
      <c r="BH997" s="790"/>
      <c r="BI997" s="790"/>
      <c r="BJ997" s="1184" t="s">
        <v>4763</v>
      </c>
    </row>
    <row r="998" spans="1:62" x14ac:dyDescent="0.3">
      <c r="A998" s="1200">
        <v>7</v>
      </c>
      <c r="B998" s="1210" t="s">
        <v>1078</v>
      </c>
      <c r="C998" s="1215"/>
      <c r="D998" s="1203"/>
      <c r="E998" s="1203"/>
      <c r="F998" s="1203"/>
      <c r="G998" s="1202" t="s">
        <v>4389</v>
      </c>
      <c r="H998" s="1200" t="s">
        <v>4386</v>
      </c>
      <c r="I998" s="140"/>
      <c r="J998" s="812"/>
      <c r="K998" s="812"/>
      <c r="L998" s="638" t="s">
        <v>1082</v>
      </c>
      <c r="M998" s="799"/>
      <c r="N998" s="850"/>
      <c r="O998" s="802"/>
      <c r="P998" s="1081"/>
      <c r="Q998" s="1081"/>
      <c r="R998" s="790"/>
      <c r="S998" s="790"/>
      <c r="T998" s="790"/>
      <c r="U998" s="790"/>
      <c r="V998" s="790"/>
      <c r="W998" s="790"/>
      <c r="X998" s="1303"/>
      <c r="Y998" s="1522"/>
      <c r="Z998" s="1586"/>
      <c r="AB998" s="790"/>
      <c r="AC998" s="790"/>
      <c r="AD998" s="790"/>
      <c r="AE998" s="790"/>
      <c r="AF998" s="790"/>
      <c r="AG998" s="790"/>
      <c r="AH998" s="790"/>
      <c r="AI998" s="790"/>
      <c r="AJ998" s="790"/>
      <c r="AK998" s="790"/>
      <c r="AL998" s="790"/>
      <c r="AM998" s="790"/>
      <c r="AN998" s="790"/>
      <c r="AO998" s="790"/>
      <c r="AP998" s="790"/>
      <c r="AQ998" s="790"/>
      <c r="AR998" s="790"/>
      <c r="AS998" s="790"/>
      <c r="AT998" s="790"/>
      <c r="AU998" s="790"/>
      <c r="AV998" s="790"/>
      <c r="AW998" s="790"/>
      <c r="AX998" s="790"/>
      <c r="AY998" s="790"/>
      <c r="AZ998" s="790"/>
      <c r="BA998" s="790"/>
      <c r="BB998" s="790"/>
      <c r="BC998" s="790"/>
      <c r="BD998" s="790"/>
      <c r="BE998" s="790"/>
      <c r="BF998" s="790"/>
      <c r="BG998" s="790"/>
      <c r="BH998" s="790"/>
      <c r="BI998" s="790"/>
      <c r="BJ998" s="1184" t="s">
        <v>4763</v>
      </c>
    </row>
    <row r="999" spans="1:62" x14ac:dyDescent="0.3">
      <c r="A999" s="1200">
        <v>7</v>
      </c>
      <c r="B999" s="1210" t="s">
        <v>1078</v>
      </c>
      <c r="C999" s="1215"/>
      <c r="D999" s="1203"/>
      <c r="E999" s="1203"/>
      <c r="F999" s="1203"/>
      <c r="G999" s="1202" t="s">
        <v>4389</v>
      </c>
      <c r="H999" s="1200" t="s">
        <v>4386</v>
      </c>
      <c r="I999" s="238"/>
      <c r="J999" s="813"/>
      <c r="K999" s="813"/>
      <c r="L999" s="639" t="s">
        <v>1083</v>
      </c>
      <c r="M999" s="799"/>
      <c r="N999" s="850"/>
      <c r="O999" s="802"/>
      <c r="P999" s="1081"/>
      <c r="Q999" s="1081"/>
      <c r="R999" s="790"/>
      <c r="S999" s="790"/>
      <c r="T999" s="790"/>
      <c r="U999" s="790"/>
      <c r="V999" s="790"/>
      <c r="W999" s="790"/>
      <c r="X999" s="1303"/>
      <c r="Y999" s="1522"/>
      <c r="Z999" s="1586"/>
      <c r="AB999" s="790"/>
      <c r="AC999" s="790"/>
      <c r="AD999" s="790"/>
      <c r="AE999" s="790"/>
      <c r="AF999" s="790"/>
      <c r="AG999" s="790"/>
      <c r="AH999" s="790"/>
      <c r="AI999" s="790"/>
      <c r="AJ999" s="790"/>
      <c r="AK999" s="790"/>
      <c r="AL999" s="790"/>
      <c r="AM999" s="790"/>
      <c r="AN999" s="790"/>
      <c r="AO999" s="790"/>
      <c r="AP999" s="790"/>
      <c r="AQ999" s="790"/>
      <c r="AR999" s="790"/>
      <c r="AS999" s="790"/>
      <c r="AT999" s="790"/>
      <c r="AU999" s="790"/>
      <c r="AV999" s="790"/>
      <c r="AW999" s="790"/>
      <c r="AX999" s="790"/>
      <c r="AY999" s="790"/>
      <c r="AZ999" s="790"/>
      <c r="BA999" s="790"/>
      <c r="BB999" s="790"/>
      <c r="BC999" s="790"/>
      <c r="BD999" s="790"/>
      <c r="BE999" s="790"/>
      <c r="BF999" s="790"/>
      <c r="BG999" s="790"/>
      <c r="BH999" s="790"/>
      <c r="BI999" s="790"/>
      <c r="BJ999" s="1184" t="s">
        <v>4763</v>
      </c>
    </row>
    <row r="1000" spans="1:62" x14ac:dyDescent="0.3">
      <c r="A1000" s="1200">
        <v>7</v>
      </c>
      <c r="B1000" s="1210" t="s">
        <v>1084</v>
      </c>
      <c r="C1000" s="1215"/>
      <c r="D1000" s="1203"/>
      <c r="E1000" s="1203"/>
      <c r="F1000" s="1203"/>
      <c r="G1000" s="1202" t="str">
        <f ca="1">IF(N1000&gt;0,"P","")</f>
        <v/>
      </c>
      <c r="H1000" s="1200" t="s">
        <v>4386</v>
      </c>
      <c r="I1000" s="606" t="s">
        <v>1084</v>
      </c>
      <c r="J1000" s="812"/>
      <c r="K1000" s="812"/>
      <c r="L1000" s="1313" t="s">
        <v>1085</v>
      </c>
      <c r="M1000" s="1360">
        <v>4</v>
      </c>
      <c r="N1000" s="1308">
        <f ca="1">'Ch7'!O237</f>
        <v>0</v>
      </c>
      <c r="O1000" s="1308">
        <f ca="1">M1000*S1000*W1000</f>
        <v>0</v>
      </c>
      <c r="P1000" s="97" t="b">
        <v>1</v>
      </c>
      <c r="Q1000" s="97" t="b">
        <v>1</v>
      </c>
      <c r="R1000" s="790" t="b">
        <v>0</v>
      </c>
      <c r="S1000" s="790" t="b">
        <f ca="1">(S776=2)</f>
        <v>0</v>
      </c>
      <c r="T1000" s="97" t="b">
        <f ca="1">AND(NOT(S1000),W1000=TRUE)</f>
        <v>0</v>
      </c>
      <c r="U1000" s="790"/>
      <c r="V1000" s="790"/>
      <c r="W1000" s="25"/>
      <c r="X1000" s="1303"/>
      <c r="Y1000" s="1522" t="str">
        <f>IF(LEN('Ch7'!X237)=0,"None",'Ch7'!X237)</f>
        <v>None</v>
      </c>
      <c r="Z1000" s="1586"/>
      <c r="AB1000" s="790"/>
      <c r="AC1000" s="790" t="b">
        <f ca="1">OR(AD1000:AE1000)</f>
        <v>0</v>
      </c>
      <c r="AD1000" s="790" t="b">
        <f ca="1">T1000</f>
        <v>0</v>
      </c>
      <c r="AE1000" s="790" t="b">
        <f>AND(R1000,NOT(W1000))</f>
        <v>0</v>
      </c>
      <c r="AF1000" s="1182" t="b">
        <f>AND(AE1000,NOT(Q1000))</f>
        <v>0</v>
      </c>
      <c r="AG1000" s="790"/>
      <c r="AH1000" s="790"/>
      <c r="AI1000" s="790"/>
      <c r="AJ1000" s="790"/>
      <c r="AK1000" s="790"/>
      <c r="AL1000" s="311" t="str">
        <f t="shared" ref="AL1000" si="274">SUBSTITUTE(SUBSTITUTE(SUBSTITUTE("vpa"&amp;$B1000&amp;$C1000&amp;$D1000&amp;$E1000&amp;$F1000,".","_"),"(","_"),")","")</f>
        <v>vpa703_3_1</v>
      </c>
      <c r="AM1000" s="311">
        <f>M1000</f>
        <v>4</v>
      </c>
      <c r="AN1000" s="311" t="str">
        <f>SUBSTITUTE(SUBSTITUTE(SUBSTITUTE("vpc"&amp;$B1000&amp;$C1000&amp;$D1000&amp;$E1000&amp;$F1000,".","_"),"(","_"),")","")</f>
        <v>vpc703_3_1</v>
      </c>
      <c r="AO1000" s="311">
        <f ca="1">O1000</f>
        <v>0</v>
      </c>
      <c r="AP1000" s="311" t="str">
        <f>SUBSTITUTE(SUBSTITUTE(SUBSTITUTE("vch"&amp;$B1000&amp;$C1000&amp;$D1000&amp;$E1000&amp;$F1000,".","_"),"(","_"),")","")</f>
        <v>vch703_3_1</v>
      </c>
      <c r="AQ1000" s="311">
        <f>W1000</f>
        <v>0</v>
      </c>
      <c r="AR1000" s="311" t="str">
        <f>SUBSTITUTE(SUBSTITUTE(SUBSTITUTE("vnt"&amp;$B1000&amp;$C1000&amp;$D1000&amp;$E1000&amp;$F1000,".","_"),"(","_"),")","")</f>
        <v>vnt703_3_1</v>
      </c>
      <c r="AS1000" s="311">
        <f>X1000</f>
        <v>0</v>
      </c>
      <c r="AT1000" s="790"/>
      <c r="AU1000" s="790"/>
      <c r="AV1000" s="790"/>
      <c r="AW1000" s="790"/>
      <c r="AX1000" s="790"/>
      <c r="AY1000" s="790"/>
      <c r="AZ1000" s="790"/>
      <c r="BA1000" s="790"/>
      <c r="BB1000" s="790"/>
      <c r="BC1000" s="790"/>
      <c r="BD1000" s="790"/>
      <c r="BE1000" s="790"/>
      <c r="BF1000" s="790"/>
      <c r="BG1000" s="790"/>
      <c r="BH1000" s="790"/>
      <c r="BI1000" s="790"/>
      <c r="BJ1000" s="1184" t="s">
        <v>4763</v>
      </c>
    </row>
    <row r="1001" spans="1:62" x14ac:dyDescent="0.3">
      <c r="A1001" s="1200">
        <v>7</v>
      </c>
      <c r="B1001" s="1210" t="s">
        <v>1084</v>
      </c>
      <c r="C1001" s="1215"/>
      <c r="D1001" s="1203"/>
      <c r="E1001" s="1203"/>
      <c r="F1001" s="1203"/>
      <c r="G1001" s="1202" t="str">
        <f t="shared" ref="G1001:G1004" ca="1" si="275">G1000</f>
        <v/>
      </c>
      <c r="H1001" s="1200" t="s">
        <v>4386</v>
      </c>
      <c r="I1001" s="140"/>
      <c r="J1001" s="812"/>
      <c r="K1001" s="812"/>
      <c r="L1001" s="1313"/>
      <c r="M1001" s="1360"/>
      <c r="N1001" s="1308"/>
      <c r="O1001" s="1308"/>
      <c r="P1001" s="1081"/>
      <c r="Q1001" s="1081"/>
      <c r="R1001" s="790"/>
      <c r="S1001" s="790"/>
      <c r="T1001" s="790"/>
      <c r="U1001" s="790"/>
      <c r="V1001" s="790"/>
      <c r="W1001" s="790"/>
      <c r="X1001" s="1303"/>
      <c r="Y1001" s="1522"/>
      <c r="Z1001" s="1586"/>
      <c r="AB1001" s="790"/>
      <c r="AC1001" s="790"/>
      <c r="AD1001" s="790"/>
      <c r="AE1001" s="790"/>
      <c r="AF1001" s="790"/>
      <c r="AG1001" s="790"/>
      <c r="AH1001" s="790"/>
      <c r="AI1001" s="790"/>
      <c r="AJ1001" s="790"/>
      <c r="AK1001" s="790"/>
      <c r="AL1001" s="790"/>
      <c r="AM1001" s="790"/>
      <c r="AN1001" s="790"/>
      <c r="AO1001" s="790"/>
      <c r="AP1001" s="790"/>
      <c r="AQ1001" s="790"/>
      <c r="AR1001" s="790"/>
      <c r="AS1001" s="790"/>
      <c r="AT1001" s="790"/>
      <c r="AU1001" s="790"/>
      <c r="AV1001" s="790"/>
      <c r="AW1001" s="790"/>
      <c r="AX1001" s="790"/>
      <c r="AY1001" s="790"/>
      <c r="AZ1001" s="790"/>
      <c r="BA1001" s="790"/>
      <c r="BB1001" s="790"/>
      <c r="BC1001" s="790"/>
      <c r="BD1001" s="790"/>
      <c r="BE1001" s="790"/>
      <c r="BF1001" s="790"/>
      <c r="BG1001" s="790"/>
      <c r="BH1001" s="790"/>
      <c r="BI1001" s="790"/>
      <c r="BJ1001" s="1184" t="s">
        <v>4763</v>
      </c>
    </row>
    <row r="1002" spans="1:62" x14ac:dyDescent="0.3">
      <c r="A1002" s="1200">
        <v>7</v>
      </c>
      <c r="B1002" s="1210" t="s">
        <v>1084</v>
      </c>
      <c r="C1002" s="1215"/>
      <c r="D1002" s="1203"/>
      <c r="E1002" s="1203"/>
      <c r="F1002" s="1203"/>
      <c r="G1002" s="1202" t="str">
        <f t="shared" ca="1" si="275"/>
        <v/>
      </c>
      <c r="H1002" s="1200" t="s">
        <v>4386</v>
      </c>
      <c r="I1002" s="140"/>
      <c r="J1002" s="812"/>
      <c r="K1002" s="812"/>
      <c r="L1002" s="1313"/>
      <c r="M1002" s="1360"/>
      <c r="N1002" s="1308"/>
      <c r="O1002" s="1308"/>
      <c r="P1002" s="1081"/>
      <c r="Q1002" s="1081"/>
      <c r="R1002" s="790"/>
      <c r="S1002" s="479" t="s">
        <v>4044</v>
      </c>
      <c r="T1002" s="1" t="str">
        <f>BF779</f>
        <v>!!</v>
      </c>
      <c r="U1002" s="790"/>
      <c r="V1002" s="790"/>
      <c r="W1002" s="790"/>
      <c r="X1002" s="1303"/>
      <c r="Y1002" s="1522"/>
      <c r="Z1002" s="1586"/>
      <c r="AB1002" s="790"/>
      <c r="AC1002" s="790"/>
      <c r="AD1002" s="790"/>
      <c r="AE1002" s="790"/>
      <c r="AF1002" s="790"/>
      <c r="AG1002" s="790"/>
      <c r="AH1002" s="790"/>
      <c r="AI1002" s="790"/>
      <c r="AJ1002" s="790"/>
      <c r="AK1002" s="790"/>
      <c r="AL1002" s="790"/>
      <c r="AM1002" s="790"/>
      <c r="AN1002" s="790"/>
      <c r="AO1002" s="790"/>
      <c r="AP1002" s="790"/>
      <c r="AQ1002" s="790"/>
      <c r="AR1002" s="790"/>
      <c r="AS1002" s="790"/>
      <c r="AT1002" s="790"/>
      <c r="AU1002" s="790"/>
      <c r="AV1002" s="790"/>
      <c r="AW1002" s="790"/>
      <c r="AX1002" s="790"/>
      <c r="AY1002" s="790"/>
      <c r="AZ1002" s="790"/>
      <c r="BA1002" s="790"/>
      <c r="BB1002" s="790"/>
      <c r="BC1002" s="790"/>
      <c r="BD1002" s="790"/>
      <c r="BE1002" s="790"/>
      <c r="BF1002" s="790"/>
      <c r="BG1002" s="790"/>
      <c r="BH1002" s="790"/>
      <c r="BI1002" s="790"/>
      <c r="BJ1002" s="1184" t="s">
        <v>4763</v>
      </c>
    </row>
    <row r="1003" spans="1:62" x14ac:dyDescent="0.3">
      <c r="A1003" s="1200">
        <v>7</v>
      </c>
      <c r="B1003" s="1210" t="s">
        <v>1084</v>
      </c>
      <c r="C1003" s="1215"/>
      <c r="D1003" s="1203"/>
      <c r="E1003" s="1203"/>
      <c r="F1003" s="1203"/>
      <c r="G1003" s="1202" t="str">
        <f t="shared" ca="1" si="275"/>
        <v/>
      </c>
      <c r="H1003" s="1200" t="s">
        <v>4386</v>
      </c>
      <c r="I1003" s="140"/>
      <c r="J1003" s="812"/>
      <c r="K1003" s="812"/>
      <c r="L1003" s="1313"/>
      <c r="M1003" s="1360"/>
      <c r="N1003" s="1308"/>
      <c r="O1003" s="1308"/>
      <c r="P1003" s="1081"/>
      <c r="Q1003" s="1081"/>
      <c r="R1003" s="1"/>
      <c r="S1003" s="479" t="s">
        <v>3911</v>
      </c>
      <c r="T1003" s="1" t="b">
        <f>AND(AY788&gt;4,AY782=INDEX(ddSingleOrMulti,2))</f>
        <v>0</v>
      </c>
      <c r="U1003" s="790"/>
      <c r="V1003" s="790"/>
      <c r="W1003" s="790"/>
      <c r="X1003" s="1303"/>
      <c r="Y1003" s="1522"/>
      <c r="Z1003" s="1586"/>
      <c r="AB1003" s="790"/>
      <c r="AC1003" s="790"/>
      <c r="AD1003" s="790"/>
      <c r="AE1003" s="790"/>
      <c r="AF1003" s="790"/>
      <c r="AG1003" s="790"/>
      <c r="AH1003" s="790"/>
      <c r="AI1003" s="790"/>
      <c r="AJ1003" s="790"/>
      <c r="AK1003" s="790"/>
      <c r="AL1003" s="790"/>
      <c r="AM1003" s="790"/>
      <c r="AN1003" s="790"/>
      <c r="AO1003" s="790"/>
      <c r="AP1003" s="790"/>
      <c r="AQ1003" s="790"/>
      <c r="AR1003" s="790"/>
      <c r="AS1003" s="790"/>
      <c r="AT1003" s="790"/>
      <c r="AU1003" s="790"/>
      <c r="AV1003" s="790"/>
      <c r="AW1003" s="790"/>
      <c r="AX1003" s="790"/>
      <c r="AY1003" s="790"/>
      <c r="AZ1003" s="790"/>
      <c r="BA1003" s="790"/>
      <c r="BB1003" s="790"/>
      <c r="BC1003" s="790"/>
      <c r="BD1003" s="790"/>
      <c r="BE1003" s="790"/>
      <c r="BF1003" s="790"/>
      <c r="BG1003" s="790"/>
      <c r="BH1003" s="790"/>
      <c r="BI1003" s="790"/>
      <c r="BJ1003" s="1184" t="s">
        <v>4763</v>
      </c>
    </row>
    <row r="1004" spans="1:62" x14ac:dyDescent="0.3">
      <c r="A1004" s="1200">
        <v>7</v>
      </c>
      <c r="B1004" s="1210" t="s">
        <v>1084</v>
      </c>
      <c r="C1004" s="1215"/>
      <c r="D1004" s="1203"/>
      <c r="E1004" s="1203"/>
      <c r="F1004" s="1203"/>
      <c r="G1004" s="1202" t="str">
        <f t="shared" ca="1" si="275"/>
        <v/>
      </c>
      <c r="H1004" s="1200" t="s">
        <v>4386</v>
      </c>
      <c r="I1004" s="238"/>
      <c r="J1004" s="813"/>
      <c r="K1004" s="813"/>
      <c r="L1004" s="1350"/>
      <c r="M1004" s="1363"/>
      <c r="N1004" s="1309"/>
      <c r="O1004" s="1309"/>
      <c r="P1004" s="1081"/>
      <c r="Q1004" s="1081"/>
      <c r="R1004" s="790"/>
      <c r="S1004" s="790"/>
      <c r="T1004" s="790"/>
      <c r="U1004" s="790"/>
      <c r="V1004" s="790"/>
      <c r="W1004" s="790"/>
      <c r="X1004" s="1303"/>
      <c r="Y1004" s="1522"/>
      <c r="Z1004" s="1586"/>
      <c r="AB1004" s="790"/>
      <c r="AC1004" s="790"/>
      <c r="AD1004" s="790"/>
      <c r="AE1004" s="790"/>
      <c r="AF1004" s="790"/>
      <c r="AG1004" s="790"/>
      <c r="AH1004" s="790"/>
      <c r="AI1004" s="790"/>
      <c r="AJ1004" s="790"/>
      <c r="AK1004" s="790"/>
      <c r="AL1004" s="790"/>
      <c r="AM1004" s="790"/>
      <c r="AN1004" s="790"/>
      <c r="AO1004" s="790"/>
      <c r="AP1004" s="790"/>
      <c r="AQ1004" s="790"/>
      <c r="AR1004" s="790"/>
      <c r="AS1004" s="790"/>
      <c r="AT1004" s="790"/>
      <c r="AU1004" s="790"/>
      <c r="AV1004" s="790"/>
      <c r="AW1004" s="790"/>
      <c r="AX1004" s="790"/>
      <c r="AY1004" s="790"/>
      <c r="AZ1004" s="790"/>
      <c r="BA1004" s="790"/>
      <c r="BB1004" s="790"/>
      <c r="BC1004" s="790"/>
      <c r="BD1004" s="790"/>
      <c r="BE1004" s="790"/>
      <c r="BF1004" s="790"/>
      <c r="BG1004" s="790"/>
      <c r="BH1004" s="790"/>
      <c r="BI1004" s="790"/>
      <c r="BJ1004" s="1184" t="s">
        <v>4763</v>
      </c>
    </row>
    <row r="1005" spans="1:62" x14ac:dyDescent="0.3">
      <c r="A1005" s="1200">
        <v>7</v>
      </c>
      <c r="B1005" s="1210" t="s">
        <v>1086</v>
      </c>
      <c r="C1005" s="1215"/>
      <c r="D1005" s="1203"/>
      <c r="E1005" s="1203"/>
      <c r="F1005" s="1203"/>
      <c r="G1005" s="1196" t="str">
        <f ca="1">IF(COUNTIF(G1006:G1020,"P")&gt;0,"P","")</f>
        <v/>
      </c>
      <c r="H1005" s="1200" t="s">
        <v>4386</v>
      </c>
      <c r="I1005" s="68" t="s">
        <v>1086</v>
      </c>
      <c r="J1005" s="819"/>
      <c r="K1005" s="819"/>
      <c r="L1005" s="829" t="s">
        <v>1087</v>
      </c>
      <c r="M1005" s="815"/>
      <c r="N1005" s="850"/>
      <c r="O1005" s="802"/>
      <c r="P1005" s="1081"/>
      <c r="Q1005" s="1081"/>
      <c r="R1005" s="790"/>
      <c r="S1005" s="790"/>
      <c r="T1005" s="790"/>
      <c r="U1005" s="790"/>
      <c r="V1005" s="790"/>
      <c r="W1005" s="790"/>
      <c r="X1005" s="790"/>
      <c r="Y1005" s="790"/>
      <c r="Z1005" s="1055"/>
      <c r="AB1005" s="790"/>
      <c r="AC1005" s="790"/>
      <c r="AD1005" s="790"/>
      <c r="AE1005" s="790"/>
      <c r="AF1005" s="790"/>
      <c r="AG1005" s="790"/>
      <c r="AH1005" s="790"/>
      <c r="AI1005" s="790"/>
      <c r="AJ1005" s="790"/>
      <c r="AK1005" s="790"/>
      <c r="AL1005" s="790"/>
      <c r="AM1005" s="790"/>
      <c r="AN1005" s="790"/>
      <c r="AO1005" s="790"/>
      <c r="AP1005" s="790"/>
      <c r="AQ1005" s="790"/>
      <c r="AR1005" s="790"/>
      <c r="AS1005" s="790"/>
      <c r="AT1005" s="790"/>
      <c r="AU1005" s="790"/>
      <c r="AV1005" s="790"/>
      <c r="AW1005" s="790"/>
      <c r="AX1005" s="790"/>
      <c r="AY1005" s="790"/>
      <c r="AZ1005" s="790"/>
      <c r="BA1005" s="790"/>
      <c r="BB1005" s="790"/>
      <c r="BC1005" s="790"/>
      <c r="BD1005" s="790"/>
      <c r="BE1005" s="790"/>
      <c r="BF1005" s="790"/>
      <c r="BG1005" s="790"/>
      <c r="BH1005" s="790"/>
      <c r="BI1005" s="790"/>
      <c r="BJ1005" s="1184" t="s">
        <v>4763</v>
      </c>
    </row>
    <row r="1006" spans="1:62" x14ac:dyDescent="0.3">
      <c r="A1006" s="1200">
        <v>7</v>
      </c>
      <c r="B1006" s="1210" t="s">
        <v>1086</v>
      </c>
      <c r="C1006" s="1215"/>
      <c r="D1006" s="1203" t="s">
        <v>271</v>
      </c>
      <c r="E1006" s="1203"/>
      <c r="F1006" s="1203"/>
      <c r="G1006" s="1202" t="str">
        <f ca="1">IF(N1006&gt;0,"P","")</f>
        <v/>
      </c>
      <c r="H1006" s="1200" t="s">
        <v>4386</v>
      </c>
      <c r="I1006" s="4"/>
      <c r="J1006" s="260" t="s">
        <v>271</v>
      </c>
      <c r="K1006" s="819"/>
      <c r="L1006" s="819" t="s">
        <v>1088</v>
      </c>
      <c r="M1006" s="799"/>
      <c r="N1006" s="850">
        <f ca="1">'Ch7'!O243</f>
        <v>0</v>
      </c>
      <c r="O1006" s="802">
        <f ca="1">IFERROR(INDEX(M1007:M1011,MATCH(W1007,{0.9,0.92,0.94,0.96,0.98},1)),0)*S1007</f>
        <v>0</v>
      </c>
      <c r="P1006" s="1081"/>
      <c r="Q1006" s="1081"/>
      <c r="R1006" s="790"/>
      <c r="S1006" s="790"/>
      <c r="T1006" s="790"/>
      <c r="U1006" s="790"/>
      <c r="V1006" s="790"/>
      <c r="W1006" s="790" t="s">
        <v>4053</v>
      </c>
      <c r="X1006" s="1303"/>
      <c r="Y1006" s="1522" t="str">
        <f>IF(LEN('Ch7'!X243)=0,"None",'Ch7'!X243)</f>
        <v>None</v>
      </c>
      <c r="Z1006" s="1586"/>
      <c r="AB1006" s="790"/>
      <c r="AC1006" s="790"/>
      <c r="AD1006" s="790"/>
      <c r="AE1006" s="790"/>
      <c r="AF1006" s="790"/>
      <c r="AG1006" s="790"/>
      <c r="AH1006" s="790"/>
      <c r="AI1006" s="790"/>
      <c r="AJ1006" s="790"/>
      <c r="AK1006" s="790"/>
      <c r="AL1006" s="790"/>
      <c r="AM1006" s="790"/>
      <c r="AN1006" s="311" t="str">
        <f>SUBSTITUTE(SUBSTITUTE(SUBSTITUTE("vpc"&amp;$B1006&amp;$C1006&amp;$D1006&amp;$E1006&amp;$F1006,".","_"),"(","_"),")","")</f>
        <v>vpc703_3_2 _1</v>
      </c>
      <c r="AO1006" s="311">
        <f ca="1">O1006</f>
        <v>0</v>
      </c>
      <c r="AP1006" s="790"/>
      <c r="AQ1006" s="790"/>
      <c r="AR1006" s="311" t="str">
        <f>SUBSTITUTE(SUBSTITUTE(SUBSTITUTE("vnt"&amp;$B1006&amp;$C1006&amp;$D1006&amp;$E1006&amp;$F1006,".","_"),"(","_"),")","")</f>
        <v>vnt703_3_2 _1</v>
      </c>
      <c r="AS1006" s="311">
        <f>X1006</f>
        <v>0</v>
      </c>
      <c r="AT1006" s="790"/>
      <c r="AU1006" s="790"/>
      <c r="AV1006" s="790"/>
      <c r="AW1006" s="790"/>
      <c r="AX1006" s="790"/>
      <c r="AY1006" s="790"/>
      <c r="AZ1006" s="790"/>
      <c r="BA1006" s="790"/>
      <c r="BB1006" s="790"/>
      <c r="BC1006" s="790"/>
      <c r="BD1006" s="790"/>
      <c r="BE1006" s="790"/>
      <c r="BF1006" s="790"/>
      <c r="BG1006" s="790"/>
      <c r="BH1006" s="790"/>
      <c r="BI1006" s="790"/>
      <c r="BJ1006" s="1184" t="s">
        <v>4763</v>
      </c>
    </row>
    <row r="1007" spans="1:62" x14ac:dyDescent="0.3">
      <c r="A1007" s="1200">
        <v>7</v>
      </c>
      <c r="B1007" s="1210" t="s">
        <v>1086</v>
      </c>
      <c r="C1007" s="1215"/>
      <c r="D1007" s="1203" t="s">
        <v>271</v>
      </c>
      <c r="E1007" s="1203" t="s">
        <v>271</v>
      </c>
      <c r="F1007" s="1203"/>
      <c r="G1007" s="1202" t="str">
        <f t="shared" ref="G1007:G1011" ca="1" si="276">G1006</f>
        <v/>
      </c>
      <c r="H1007" s="1200" t="s">
        <v>4386</v>
      </c>
      <c r="I1007" s="4"/>
      <c r="J1007" s="260"/>
      <c r="K1007" s="819"/>
      <c r="L1007" s="819" t="s">
        <v>4038</v>
      </c>
      <c r="M1007" s="799">
        <f>IF(T1003,IFERROR(INDEX({0,4,4,8,8,10,11,13},T1002),0),IFERROR(INDEX({0,2,3,6,6,9,10,12},T1002),0))</f>
        <v>0</v>
      </c>
      <c r="N1007" s="850"/>
      <c r="O1007" s="802"/>
      <c r="P1007" s="97" t="b">
        <v>1</v>
      </c>
      <c r="Q1007" s="97" t="b">
        <v>1</v>
      </c>
      <c r="R1007" s="790" t="b">
        <v>0</v>
      </c>
      <c r="S1007" s="790" t="b">
        <f ca="1">AND(S776=2,LEN(W1013)=0,LEN(W1016)=0,LEN(W1021)=0,LEN(W1027)=0,LEN(W1031)=0,NOT(W1043=TRUE),LEN(W1048)=0)</f>
        <v>0</v>
      </c>
      <c r="T1007" s="97" t="b">
        <f ca="1">AND(NOT(S1007),LEN(W1007)&gt;0)</f>
        <v>0</v>
      </c>
      <c r="U1007" s="790"/>
      <c r="V1007" s="790"/>
      <c r="W1007" s="583"/>
      <c r="X1007" s="1303"/>
      <c r="Y1007" s="1522"/>
      <c r="Z1007" s="1586"/>
      <c r="AB1007" s="790"/>
      <c r="AC1007" s="790" t="b">
        <f ca="1">OR(AD1007:AE1007)</f>
        <v>0</v>
      </c>
      <c r="AD1007" s="790" t="b">
        <f ca="1">T1007</f>
        <v>0</v>
      </c>
      <c r="AE1007" s="790" t="b">
        <f>AND(R1007,OR(W1007="Not Met",W1007=""))</f>
        <v>0</v>
      </c>
      <c r="AF1007" s="1182" t="b">
        <f>AND(AE1007,NOT(Q1007))</f>
        <v>0</v>
      </c>
      <c r="AG1007" s="790"/>
      <c r="AH1007" s="790"/>
      <c r="AI1007" s="790"/>
      <c r="AJ1007" s="790"/>
      <c r="AK1007" s="790"/>
      <c r="AL1007" s="311" t="str">
        <f t="shared" ref="AL1007:AL1011" si="277">SUBSTITUTE(SUBSTITUTE(SUBSTITUTE("vpa"&amp;$B1007&amp;$C1007&amp;$D1007&amp;$E1007&amp;$F1007,".","_"),"(","_"),")","")</f>
        <v>vpa703_3_2 _1_1</v>
      </c>
      <c r="AM1007" s="311">
        <f>M1007</f>
        <v>0</v>
      </c>
      <c r="AN1007" s="790"/>
      <c r="AO1007" s="790"/>
      <c r="AP1007" s="311" t="str">
        <f>SUBSTITUTE(SUBSTITUTE(SUBSTITUTE("vch"&amp;$B1007&amp;$C1007&amp;$D1007&amp;$E1007&amp;$F1007,".","_"),"(","_"),")","")</f>
        <v>vch703_3_2 _1_1</v>
      </c>
      <c r="AQ1007" s="311">
        <f>W1007</f>
        <v>0</v>
      </c>
      <c r="AR1007" s="790"/>
      <c r="AS1007" s="790"/>
      <c r="AT1007" s="790"/>
      <c r="AU1007" s="790"/>
      <c r="AV1007" s="790"/>
      <c r="AW1007" s="790"/>
      <c r="AX1007" s="790"/>
      <c r="AY1007" s="790"/>
      <c r="AZ1007" s="790"/>
      <c r="BA1007" s="790"/>
      <c r="BB1007" s="790"/>
      <c r="BC1007" s="790"/>
      <c r="BD1007" s="790"/>
      <c r="BE1007" s="790"/>
      <c r="BF1007" s="790"/>
      <c r="BG1007" s="790"/>
      <c r="BH1007" s="790"/>
      <c r="BI1007" s="790"/>
      <c r="BJ1007" s="1184" t="s">
        <v>4763</v>
      </c>
    </row>
    <row r="1008" spans="1:62" x14ac:dyDescent="0.3">
      <c r="A1008" s="1200">
        <v>7</v>
      </c>
      <c r="B1008" s="1210" t="s">
        <v>1086</v>
      </c>
      <c r="C1008" s="1215"/>
      <c r="D1008" s="1203" t="s">
        <v>271</v>
      </c>
      <c r="E1008" s="1203" t="s">
        <v>273</v>
      </c>
      <c r="F1008" s="1203"/>
      <c r="G1008" s="1202" t="str">
        <f t="shared" ca="1" si="276"/>
        <v/>
      </c>
      <c r="H1008" s="1200" t="s">
        <v>4386</v>
      </c>
      <c r="I1008" s="4"/>
      <c r="J1008" s="260"/>
      <c r="K1008" s="819"/>
      <c r="L1008" s="819" t="s">
        <v>4039</v>
      </c>
      <c r="M1008" s="799">
        <f>IF(T1003,IFERROR(INDEX({0,4,4,9,10,11,12,14},T1002),0),IFERROR(INDEX({0,2,4,7,8,10,12,14},T1002),0))</f>
        <v>0</v>
      </c>
      <c r="N1008" s="850"/>
      <c r="O1008" s="802"/>
      <c r="P1008" s="1081"/>
      <c r="Q1008" s="1081"/>
      <c r="R1008" s="790"/>
      <c r="S1008" s="790"/>
      <c r="T1008" s="790"/>
      <c r="U1008" s="790"/>
      <c r="V1008" s="790"/>
      <c r="W1008" s="790"/>
      <c r="X1008" s="1303"/>
      <c r="Y1008" s="1522"/>
      <c r="Z1008" s="1586"/>
      <c r="AB1008" s="790"/>
      <c r="AC1008" s="790"/>
      <c r="AD1008" s="790"/>
      <c r="AE1008" s="790"/>
      <c r="AF1008" s="790"/>
      <c r="AG1008" s="790"/>
      <c r="AH1008" s="790"/>
      <c r="AI1008" s="790"/>
      <c r="AJ1008" s="790"/>
      <c r="AK1008" s="790"/>
      <c r="AL1008" s="311" t="str">
        <f t="shared" si="277"/>
        <v>vpa703_3_2 _1_2</v>
      </c>
      <c r="AM1008" s="311">
        <f>M1008</f>
        <v>0</v>
      </c>
      <c r="AN1008" s="790"/>
      <c r="AO1008" s="790"/>
      <c r="AP1008" s="790"/>
      <c r="AQ1008" s="790"/>
      <c r="AR1008" s="790"/>
      <c r="AS1008" s="790"/>
      <c r="AT1008" s="790"/>
      <c r="AU1008" s="790"/>
      <c r="AV1008" s="790"/>
      <c r="AW1008" s="790"/>
      <c r="AX1008" s="790"/>
      <c r="AY1008" s="790"/>
      <c r="AZ1008" s="790"/>
      <c r="BA1008" s="790"/>
      <c r="BB1008" s="790"/>
      <c r="BC1008" s="790"/>
      <c r="BD1008" s="790"/>
      <c r="BE1008" s="790"/>
      <c r="BF1008" s="790"/>
      <c r="BG1008" s="790"/>
      <c r="BH1008" s="790"/>
      <c r="BI1008" s="790"/>
      <c r="BJ1008" s="1184" t="s">
        <v>4763</v>
      </c>
    </row>
    <row r="1009" spans="1:62" x14ac:dyDescent="0.3">
      <c r="A1009" s="1200">
        <v>7</v>
      </c>
      <c r="B1009" s="1210" t="s">
        <v>1086</v>
      </c>
      <c r="C1009" s="1215"/>
      <c r="D1009" s="1203" t="s">
        <v>271</v>
      </c>
      <c r="E1009" s="1203" t="s">
        <v>275</v>
      </c>
      <c r="F1009" s="1203"/>
      <c r="G1009" s="1202" t="str">
        <f t="shared" ca="1" si="276"/>
        <v/>
      </c>
      <c r="H1009" s="1200" t="s">
        <v>4386</v>
      </c>
      <c r="I1009" s="4"/>
      <c r="J1009" s="260"/>
      <c r="K1009" s="819"/>
      <c r="L1009" s="819" t="s">
        <v>4040</v>
      </c>
      <c r="M1009" s="799">
        <f>IF(T1003,IFERROR(INDEX({0,5,5,10,11,12,14,16},T1002),0),IFERROR(INDEX({0,3,4,9,9,12,14,16},T1002),0))</f>
        <v>0</v>
      </c>
      <c r="N1009" s="850"/>
      <c r="O1009" s="802"/>
      <c r="P1009" s="1081"/>
      <c r="Q1009" s="1081"/>
      <c r="R1009" s="790"/>
      <c r="S1009" s="790"/>
      <c r="T1009" s="790"/>
      <c r="U1009" s="790"/>
      <c r="V1009" s="790"/>
      <c r="W1009" s="790"/>
      <c r="X1009" s="1303"/>
      <c r="Y1009" s="1522"/>
      <c r="Z1009" s="1586"/>
      <c r="AB1009" s="790"/>
      <c r="AC1009" s="790"/>
      <c r="AD1009" s="790"/>
      <c r="AE1009" s="790"/>
      <c r="AF1009" s="790"/>
      <c r="AG1009" s="790"/>
      <c r="AH1009" s="790"/>
      <c r="AI1009" s="790"/>
      <c r="AJ1009" s="790"/>
      <c r="AK1009" s="790"/>
      <c r="AL1009" s="311" t="str">
        <f t="shared" si="277"/>
        <v>vpa703_3_2 _1_3</v>
      </c>
      <c r="AM1009" s="311">
        <f>M1009</f>
        <v>0</v>
      </c>
      <c r="AN1009" s="790"/>
      <c r="AO1009" s="790"/>
      <c r="AP1009" s="790"/>
      <c r="AQ1009" s="790"/>
      <c r="AR1009" s="790"/>
      <c r="AS1009" s="790"/>
      <c r="AT1009" s="790"/>
      <c r="AU1009" s="790"/>
      <c r="AV1009" s="790"/>
      <c r="AW1009" s="790"/>
      <c r="AX1009" s="790"/>
      <c r="AY1009" s="790"/>
      <c r="AZ1009" s="790"/>
      <c r="BA1009" s="790"/>
      <c r="BB1009" s="790"/>
      <c r="BC1009" s="790"/>
      <c r="BD1009" s="790"/>
      <c r="BE1009" s="790"/>
      <c r="BF1009" s="790"/>
      <c r="BG1009" s="790"/>
      <c r="BH1009" s="790"/>
      <c r="BI1009" s="790"/>
      <c r="BJ1009" s="1184" t="s">
        <v>4763</v>
      </c>
    </row>
    <row r="1010" spans="1:62" x14ac:dyDescent="0.3">
      <c r="A1010" s="1200">
        <v>7</v>
      </c>
      <c r="B1010" s="1210" t="s">
        <v>1086</v>
      </c>
      <c r="C1010" s="1215"/>
      <c r="D1010" s="1203" t="s">
        <v>271</v>
      </c>
      <c r="E1010" s="1203" t="s">
        <v>285</v>
      </c>
      <c r="F1010" s="1203"/>
      <c r="G1010" s="1202" t="str">
        <f t="shared" ca="1" si="276"/>
        <v/>
      </c>
      <c r="H1010" s="1200" t="s">
        <v>4386</v>
      </c>
      <c r="I1010" s="4"/>
      <c r="J1010" s="260"/>
      <c r="K1010" s="819"/>
      <c r="L1010" s="819" t="s">
        <v>4041</v>
      </c>
      <c r="M1010" s="799">
        <f>IF(T1003,IFERROR(INDEX({0,5,5,12,12,13,15,17},T1002),0),IFERROR(INDEX({1,3,5,10,10,14,16,19},T1002),0))</f>
        <v>0</v>
      </c>
      <c r="N1010" s="850"/>
      <c r="O1010" s="802"/>
      <c r="P1010" s="1081"/>
      <c r="Q1010" s="1081"/>
      <c r="R1010" s="790"/>
      <c r="S1010" s="790"/>
      <c r="T1010" s="790"/>
      <c r="U1010" s="790"/>
      <c r="V1010" s="790"/>
      <c r="W1010" s="790"/>
      <c r="X1010" s="1303"/>
      <c r="Y1010" s="1522"/>
      <c r="Z1010" s="1586"/>
      <c r="AB1010" s="790"/>
      <c r="AC1010" s="790"/>
      <c r="AD1010" s="790"/>
      <c r="AE1010" s="790"/>
      <c r="AF1010" s="790"/>
      <c r="AG1010" s="790"/>
      <c r="AH1010" s="790"/>
      <c r="AI1010" s="790"/>
      <c r="AJ1010" s="790"/>
      <c r="AK1010" s="790"/>
      <c r="AL1010" s="311" t="str">
        <f t="shared" si="277"/>
        <v>vpa703_3_2 _1_4</v>
      </c>
      <c r="AM1010" s="311">
        <f>M1010</f>
        <v>0</v>
      </c>
      <c r="AN1010" s="790"/>
      <c r="AO1010" s="790"/>
      <c r="AP1010" s="790"/>
      <c r="AQ1010" s="790"/>
      <c r="AR1010" s="790"/>
      <c r="AS1010" s="790"/>
      <c r="AT1010" s="790"/>
      <c r="AU1010" s="790"/>
      <c r="AV1010" s="790"/>
      <c r="AW1010" s="790"/>
      <c r="AX1010" s="790"/>
      <c r="AY1010" s="790"/>
      <c r="AZ1010" s="790"/>
      <c r="BA1010" s="790"/>
      <c r="BB1010" s="790"/>
      <c r="BC1010" s="790"/>
      <c r="BD1010" s="790"/>
      <c r="BE1010" s="790"/>
      <c r="BF1010" s="790"/>
      <c r="BG1010" s="790"/>
      <c r="BH1010" s="790"/>
      <c r="BI1010" s="790"/>
      <c r="BJ1010" s="1184" t="s">
        <v>4763</v>
      </c>
    </row>
    <row r="1011" spans="1:62" x14ac:dyDescent="0.3">
      <c r="A1011" s="1200">
        <v>7</v>
      </c>
      <c r="B1011" s="1210" t="s">
        <v>1086</v>
      </c>
      <c r="C1011" s="1215"/>
      <c r="D1011" s="1203" t="s">
        <v>271</v>
      </c>
      <c r="E1011" s="1203" t="s">
        <v>291</v>
      </c>
      <c r="F1011" s="1203"/>
      <c r="G1011" s="1202" t="str">
        <f t="shared" ca="1" si="276"/>
        <v/>
      </c>
      <c r="H1011" s="1200" t="s">
        <v>4386</v>
      </c>
      <c r="I1011" s="4"/>
      <c r="J1011" s="813"/>
      <c r="K1011" s="813"/>
      <c r="L1011" s="813" t="s">
        <v>4042</v>
      </c>
      <c r="M1011" s="796">
        <f>IF(T1003,IFERROR(INDEX({0,6,6,13,13,14,16,18},T1002),0),IFERROR(INDEX({1,3,6,11,12,16,18,21},T1002),0))</f>
        <v>0</v>
      </c>
      <c r="N1011" s="855"/>
      <c r="O1011" s="804"/>
      <c r="P1011" s="1081"/>
      <c r="Q1011" s="1081"/>
      <c r="R1011" s="790"/>
      <c r="S1011" s="790"/>
      <c r="T1011" s="790"/>
      <c r="U1011" s="790"/>
      <c r="V1011" s="790"/>
      <c r="W1011" s="790"/>
      <c r="X1011" s="1303"/>
      <c r="Y1011" s="1522"/>
      <c r="Z1011" s="1586"/>
      <c r="AB1011" s="790"/>
      <c r="AC1011" s="790"/>
      <c r="AD1011" s="790"/>
      <c r="AE1011" s="790"/>
      <c r="AF1011" s="790"/>
      <c r="AG1011" s="790"/>
      <c r="AH1011" s="790"/>
      <c r="AI1011" s="790"/>
      <c r="AJ1011" s="790"/>
      <c r="AK1011" s="790"/>
      <c r="AL1011" s="311" t="str">
        <f t="shared" si="277"/>
        <v>vpa703_3_2 _1_5</v>
      </c>
      <c r="AM1011" s="311">
        <f>M1011</f>
        <v>0</v>
      </c>
      <c r="AN1011" s="790"/>
      <c r="AO1011" s="790"/>
      <c r="AP1011" s="790"/>
      <c r="AQ1011" s="790"/>
      <c r="AR1011" s="790"/>
      <c r="AS1011" s="790"/>
      <c r="AT1011" s="790"/>
      <c r="AU1011" s="790"/>
      <c r="AV1011" s="790"/>
      <c r="AW1011" s="790"/>
      <c r="AX1011" s="790"/>
      <c r="AY1011" s="790"/>
      <c r="AZ1011" s="790"/>
      <c r="BA1011" s="790"/>
      <c r="BB1011" s="790"/>
      <c r="BC1011" s="790"/>
      <c r="BD1011" s="790"/>
      <c r="BE1011" s="790"/>
      <c r="BF1011" s="790"/>
      <c r="BG1011" s="790"/>
      <c r="BH1011" s="790"/>
      <c r="BI1011" s="790"/>
      <c r="BJ1011" s="1184" t="s">
        <v>4763</v>
      </c>
    </row>
    <row r="1012" spans="1:62" x14ac:dyDescent="0.3">
      <c r="A1012" s="1200">
        <v>7</v>
      </c>
      <c r="B1012" s="1210" t="s">
        <v>1086</v>
      </c>
      <c r="C1012" s="1215"/>
      <c r="D1012" s="1203" t="s">
        <v>273</v>
      </c>
      <c r="E1012" s="1203"/>
      <c r="F1012" s="1203"/>
      <c r="G1012" s="1202" t="str">
        <f ca="1">IF(N1012&gt;0,"P","")</f>
        <v/>
      </c>
      <c r="H1012" s="1200" t="s">
        <v>4386</v>
      </c>
      <c r="I1012" s="4"/>
      <c r="J1012" s="260" t="s">
        <v>273</v>
      </c>
      <c r="K1012" s="819"/>
      <c r="L1012" s="819" t="s">
        <v>1089</v>
      </c>
      <c r="M1012" s="799"/>
      <c r="N1012" s="850">
        <f ca="1">'Ch7'!O249</f>
        <v>0</v>
      </c>
      <c r="O1012" s="802">
        <f ca="1">IFERROR(INDEX(M1013:M1014,MATCH(W1013,{0.85,0.9},1)),0)*S1013</f>
        <v>0</v>
      </c>
      <c r="P1012" s="1081"/>
      <c r="Q1012" s="1081"/>
      <c r="R1012" s="790"/>
      <c r="S1012" s="790"/>
      <c r="T1012" s="790"/>
      <c r="U1012" s="790"/>
      <c r="V1012" s="790"/>
      <c r="W1012" s="790" t="s">
        <v>4053</v>
      </c>
      <c r="X1012" s="1303"/>
      <c r="Y1012" s="1522" t="str">
        <f>IF(LEN('Ch7'!X249)=0,"None",'Ch7'!X249)</f>
        <v>None</v>
      </c>
      <c r="Z1012" s="1586"/>
      <c r="AB1012" s="790"/>
      <c r="AC1012" s="790"/>
      <c r="AD1012" s="790"/>
      <c r="AE1012" s="790"/>
      <c r="AF1012" s="790"/>
      <c r="AG1012" s="790"/>
      <c r="AH1012" s="790"/>
      <c r="AI1012" s="790"/>
      <c r="AJ1012" s="790"/>
      <c r="AK1012" s="790"/>
      <c r="AL1012" s="790"/>
      <c r="AM1012" s="790"/>
      <c r="AN1012" s="311" t="str">
        <f>SUBSTITUTE(SUBSTITUTE(SUBSTITUTE("vpc"&amp;$B1012&amp;$C1012&amp;$D1012&amp;$E1012&amp;$F1012,".","_"),"(","_"),")","")</f>
        <v>vpc703_3_2 _2</v>
      </c>
      <c r="AO1012" s="311">
        <f ca="1">O1012</f>
        <v>0</v>
      </c>
      <c r="AP1012" s="790"/>
      <c r="AQ1012" s="790"/>
      <c r="AR1012" s="311" t="str">
        <f>SUBSTITUTE(SUBSTITUTE(SUBSTITUTE("vnt"&amp;$B1012&amp;$C1012&amp;$D1012&amp;$E1012&amp;$F1012,".","_"),"(","_"),")","")</f>
        <v>vnt703_3_2 _2</v>
      </c>
      <c r="AS1012" s="311">
        <f>X1012</f>
        <v>0</v>
      </c>
      <c r="AT1012" s="790"/>
      <c r="AU1012" s="790"/>
      <c r="AV1012" s="790"/>
      <c r="AW1012" s="790"/>
      <c r="AX1012" s="790"/>
      <c r="AY1012" s="790"/>
      <c r="AZ1012" s="790"/>
      <c r="BA1012" s="790"/>
      <c r="BB1012" s="790"/>
      <c r="BC1012" s="790"/>
      <c r="BD1012" s="790"/>
      <c r="BE1012" s="790"/>
      <c r="BF1012" s="790"/>
      <c r="BG1012" s="790"/>
      <c r="BH1012" s="790"/>
      <c r="BI1012" s="790"/>
      <c r="BJ1012" s="1184" t="s">
        <v>4763</v>
      </c>
    </row>
    <row r="1013" spans="1:62" x14ac:dyDescent="0.3">
      <c r="A1013" s="1200">
        <v>7</v>
      </c>
      <c r="B1013" s="1210" t="s">
        <v>1086</v>
      </c>
      <c r="C1013" s="1215"/>
      <c r="D1013" s="1203" t="s">
        <v>273</v>
      </c>
      <c r="E1013" s="1203" t="s">
        <v>271</v>
      </c>
      <c r="F1013" s="1203"/>
      <c r="G1013" s="1202" t="str">
        <f t="shared" ref="G1013:G1014" ca="1" si="278">G1012</f>
        <v/>
      </c>
      <c r="H1013" s="1200" t="s">
        <v>4386</v>
      </c>
      <c r="I1013" s="4"/>
      <c r="J1013" s="260"/>
      <c r="K1013" s="819"/>
      <c r="L1013" s="819" t="s">
        <v>4043</v>
      </c>
      <c r="M1013" s="799">
        <f>IFERROR(INDEX({0,1,2,3,3,4,5,6},T1002),0)</f>
        <v>0</v>
      </c>
      <c r="N1013" s="850"/>
      <c r="O1013" s="802"/>
      <c r="P1013" s="97" t="b">
        <v>1</v>
      </c>
      <c r="Q1013" s="97" t="b">
        <v>1</v>
      </c>
      <c r="R1013" s="790" t="b">
        <v>0</v>
      </c>
      <c r="S1013" s="790" t="b">
        <f ca="1">AND(S776=2,LEN(W1007)=0,LEN(W1016)=0,LEN(W1021)=0,LEN(W1027)=0,LEN(W1031)=0,NOT(W1043=TRUE),LEN(W1048)=0)</f>
        <v>0</v>
      </c>
      <c r="T1013" s="97" t="b">
        <f ca="1">AND(NOT(S1013),LEN(W1013)&gt;0)</f>
        <v>0</v>
      </c>
      <c r="U1013" s="790"/>
      <c r="V1013" s="790"/>
      <c r="W1013" s="583"/>
      <c r="X1013" s="1303"/>
      <c r="Y1013" s="1522"/>
      <c r="Z1013" s="1586"/>
      <c r="AB1013" s="790"/>
      <c r="AC1013" s="790" t="b">
        <f ca="1">OR(AD1013:AE1013)</f>
        <v>0</v>
      </c>
      <c r="AD1013" s="790" t="b">
        <f ca="1">T1013</f>
        <v>0</v>
      </c>
      <c r="AE1013" s="790" t="b">
        <f>AND(R1013,OR(W1013="Not Met",W1013=""))</f>
        <v>0</v>
      </c>
      <c r="AF1013" s="1182" t="b">
        <f>AND(AE1013,NOT(Q1013))</f>
        <v>0</v>
      </c>
      <c r="AG1013" s="790"/>
      <c r="AH1013" s="790"/>
      <c r="AI1013" s="790"/>
      <c r="AJ1013" s="790"/>
      <c r="AK1013" s="790"/>
      <c r="AL1013" s="311" t="str">
        <f t="shared" ref="AL1013:AL1014" si="279">SUBSTITUTE(SUBSTITUTE(SUBSTITUTE("vpa"&amp;$B1013&amp;$C1013&amp;$D1013&amp;$E1013&amp;$F1013,".","_"),"(","_"),")","")</f>
        <v>vpa703_3_2 _2_1</v>
      </c>
      <c r="AM1013" s="311">
        <f>M1013</f>
        <v>0</v>
      </c>
      <c r="AN1013" s="790"/>
      <c r="AO1013" s="790"/>
      <c r="AP1013" s="311" t="str">
        <f>SUBSTITUTE(SUBSTITUTE(SUBSTITUTE("vch"&amp;$B1013&amp;$C1013&amp;$D1013&amp;$E1013&amp;$F1013,".","_"),"(","_"),")","")</f>
        <v>vch703_3_2 _2_1</v>
      </c>
      <c r="AQ1013" s="311">
        <f>W1013</f>
        <v>0</v>
      </c>
      <c r="AR1013" s="790"/>
      <c r="AS1013" s="790"/>
      <c r="AT1013" s="790"/>
      <c r="AU1013" s="790"/>
      <c r="AV1013" s="790"/>
      <c r="AW1013" s="790"/>
      <c r="AX1013" s="790"/>
      <c r="AY1013" s="790"/>
      <c r="AZ1013" s="790"/>
      <c r="BA1013" s="790"/>
      <c r="BB1013" s="790"/>
      <c r="BC1013" s="790"/>
      <c r="BD1013" s="790"/>
      <c r="BE1013" s="790"/>
      <c r="BF1013" s="790"/>
      <c r="BG1013" s="790"/>
      <c r="BH1013" s="790"/>
      <c r="BI1013" s="790"/>
      <c r="BJ1013" s="1184" t="s">
        <v>4763</v>
      </c>
    </row>
    <row r="1014" spans="1:62" x14ac:dyDescent="0.3">
      <c r="A1014" s="1200">
        <v>7</v>
      </c>
      <c r="B1014" s="1210" t="s">
        <v>1086</v>
      </c>
      <c r="C1014" s="1215"/>
      <c r="D1014" s="1203" t="s">
        <v>273</v>
      </c>
      <c r="E1014" s="1203" t="s">
        <v>273</v>
      </c>
      <c r="F1014" s="1203"/>
      <c r="G1014" s="1202" t="str">
        <f t="shared" ca="1" si="278"/>
        <v/>
      </c>
      <c r="H1014" s="1200" t="s">
        <v>4386</v>
      </c>
      <c r="I1014" s="4"/>
      <c r="J1014" s="813"/>
      <c r="K1014" s="813"/>
      <c r="L1014" s="813" t="s">
        <v>4038</v>
      </c>
      <c r="M1014" s="796">
        <f>IFERROR(INDEX({0,2,3,6,6,9,10,12},T1002),0)</f>
        <v>0</v>
      </c>
      <c r="N1014" s="855"/>
      <c r="O1014" s="804"/>
      <c r="P1014" s="1081"/>
      <c r="Q1014" s="1081"/>
      <c r="R1014" s="790"/>
      <c r="S1014" s="790"/>
      <c r="T1014" s="790"/>
      <c r="U1014" s="790"/>
      <c r="V1014" s="790"/>
      <c r="W1014" s="790"/>
      <c r="X1014" s="1303"/>
      <c r="Y1014" s="1522"/>
      <c r="Z1014" s="1586"/>
      <c r="AB1014" s="790"/>
      <c r="AC1014" s="790"/>
      <c r="AD1014" s="790"/>
      <c r="AE1014" s="790"/>
      <c r="AF1014" s="790"/>
      <c r="AG1014" s="790"/>
      <c r="AH1014" s="790"/>
      <c r="AI1014" s="790"/>
      <c r="AJ1014" s="790"/>
      <c r="AK1014" s="790"/>
      <c r="AL1014" s="311" t="str">
        <f t="shared" si="279"/>
        <v>vpa703_3_2 _2_2</v>
      </c>
      <c r="AM1014" s="311">
        <f>M1014</f>
        <v>0</v>
      </c>
      <c r="AN1014" s="790"/>
      <c r="AO1014" s="790"/>
      <c r="AP1014" s="790"/>
      <c r="AQ1014" s="790"/>
      <c r="AR1014" s="790"/>
      <c r="AS1014" s="790"/>
      <c r="AT1014" s="790"/>
      <c r="AU1014" s="790"/>
      <c r="AV1014" s="790"/>
      <c r="AW1014" s="790"/>
      <c r="AX1014" s="790"/>
      <c r="AY1014" s="790"/>
      <c r="AZ1014" s="790"/>
      <c r="BA1014" s="790"/>
      <c r="BB1014" s="790"/>
      <c r="BC1014" s="790"/>
      <c r="BD1014" s="790"/>
      <c r="BE1014" s="790"/>
      <c r="BF1014" s="790"/>
      <c r="BG1014" s="790"/>
      <c r="BH1014" s="790"/>
      <c r="BI1014" s="790"/>
      <c r="BJ1014" s="1184" t="s">
        <v>4763</v>
      </c>
    </row>
    <row r="1015" spans="1:62" x14ac:dyDescent="0.3">
      <c r="A1015" s="1200">
        <v>7</v>
      </c>
      <c r="B1015" s="1210" t="s">
        <v>1086</v>
      </c>
      <c r="C1015" s="1215"/>
      <c r="D1015" s="1203" t="s">
        <v>275</v>
      </c>
      <c r="E1015" s="1203"/>
      <c r="F1015" s="1203"/>
      <c r="G1015" s="1202" t="str">
        <f ca="1">IF(N1015&gt;0,"P","")</f>
        <v/>
      </c>
      <c r="H1015" s="1200" t="s">
        <v>4386</v>
      </c>
      <c r="I1015" s="4"/>
      <c r="J1015" s="260" t="s">
        <v>275</v>
      </c>
      <c r="K1015" s="819"/>
      <c r="L1015" s="819" t="s">
        <v>1090</v>
      </c>
      <c r="M1015" s="799"/>
      <c r="N1015" s="850">
        <f ca="1">'Ch7'!O252</f>
        <v>0</v>
      </c>
      <c r="O1015" s="802">
        <f ca="1">IFERROR(INDEX(M1016:M1019,MATCH(W1016,{0.85,0.9,0.94,0.96},1)),0)*S1016</f>
        <v>0</v>
      </c>
      <c r="P1015" s="1081"/>
      <c r="Q1015" s="1081"/>
      <c r="R1015" s="790"/>
      <c r="S1015" s="790"/>
      <c r="T1015" s="790"/>
      <c r="U1015" s="790"/>
      <c r="V1015" s="790"/>
      <c r="W1015" s="790" t="s">
        <v>4053</v>
      </c>
      <c r="X1015" s="1303"/>
      <c r="Y1015" s="1522" t="str">
        <f>IF(LEN('Ch7'!X252)=0,"None",'Ch7'!X252)</f>
        <v>None</v>
      </c>
      <c r="Z1015" s="1586"/>
      <c r="AB1015" s="790"/>
      <c r="AC1015" s="790"/>
      <c r="AD1015" s="790"/>
      <c r="AE1015" s="790"/>
      <c r="AF1015" s="790"/>
      <c r="AG1015" s="790"/>
      <c r="AH1015" s="790"/>
      <c r="AI1015" s="790"/>
      <c r="AJ1015" s="790"/>
      <c r="AK1015" s="790"/>
      <c r="AL1015" s="790"/>
      <c r="AM1015" s="790"/>
      <c r="AN1015" s="311" t="str">
        <f>SUBSTITUTE(SUBSTITUTE(SUBSTITUTE("vpc"&amp;$B1015&amp;$C1015&amp;$D1015&amp;$E1015&amp;$F1015,".","_"),"(","_"),")","")</f>
        <v>vpc703_3_2 _3</v>
      </c>
      <c r="AO1015" s="311">
        <f ca="1">O1015</f>
        <v>0</v>
      </c>
      <c r="AP1015" s="790"/>
      <c r="AQ1015" s="790"/>
      <c r="AR1015" s="311" t="str">
        <f>SUBSTITUTE(SUBSTITUTE(SUBSTITUTE("vnt"&amp;$B1015&amp;$C1015&amp;$D1015&amp;$E1015&amp;$F1015,".","_"),"(","_"),")","")</f>
        <v>vnt703_3_2 _3</v>
      </c>
      <c r="AS1015" s="311">
        <f>X1015</f>
        <v>0</v>
      </c>
      <c r="AT1015" s="790"/>
      <c r="AU1015" s="790"/>
      <c r="AV1015" s="790"/>
      <c r="AW1015" s="790"/>
      <c r="AX1015" s="790"/>
      <c r="AY1015" s="790"/>
      <c r="AZ1015" s="790"/>
      <c r="BA1015" s="790"/>
      <c r="BB1015" s="790"/>
      <c r="BC1015" s="790"/>
      <c r="BD1015" s="790"/>
      <c r="BE1015" s="790"/>
      <c r="BF1015" s="790"/>
      <c r="BG1015" s="790"/>
      <c r="BH1015" s="790"/>
      <c r="BI1015" s="790"/>
      <c r="BJ1015" s="1184" t="s">
        <v>4763</v>
      </c>
    </row>
    <row r="1016" spans="1:62" x14ac:dyDescent="0.3">
      <c r="A1016" s="1200">
        <v>7</v>
      </c>
      <c r="B1016" s="1210" t="s">
        <v>1086</v>
      </c>
      <c r="C1016" s="1215"/>
      <c r="D1016" s="1203" t="s">
        <v>275</v>
      </c>
      <c r="E1016" s="1203" t="s">
        <v>271</v>
      </c>
      <c r="F1016" s="1203"/>
      <c r="G1016" s="1202" t="str">
        <f t="shared" ref="G1016:G1019" ca="1" si="280">G1015</f>
        <v/>
      </c>
      <c r="H1016" s="1200" t="s">
        <v>4386</v>
      </c>
      <c r="I1016" s="4"/>
      <c r="J1016" s="260"/>
      <c r="K1016" s="819"/>
      <c r="L1016" s="819" t="s">
        <v>4043</v>
      </c>
      <c r="M1016" s="799">
        <f>IFERROR(INDEX({0,1,1,2,3,4,4,4},T1002),0)</f>
        <v>0</v>
      </c>
      <c r="N1016" s="850"/>
      <c r="O1016" s="802"/>
      <c r="P1016" s="97" t="b">
        <v>1</v>
      </c>
      <c r="Q1016" s="97" t="b">
        <v>1</v>
      </c>
      <c r="R1016" s="790" t="b">
        <v>0</v>
      </c>
      <c r="S1016" s="790" t="b">
        <f ca="1">AND(S776=2,LEN(W1007)=0,LEN(W1013)=0,LEN(W1021)=0,LEN(W1027)=0,LEN(W1031)=0,NOT(W1043=TRUE),LEN(W1048)=0)</f>
        <v>0</v>
      </c>
      <c r="T1016" s="97" t="b">
        <f ca="1">AND(NOT(S1016),LEN(W1016)&gt;0)</f>
        <v>0</v>
      </c>
      <c r="U1016" s="790"/>
      <c r="V1016" s="790"/>
      <c r="W1016" s="583"/>
      <c r="X1016" s="1303"/>
      <c r="Y1016" s="1522"/>
      <c r="Z1016" s="1586"/>
      <c r="AB1016" s="790"/>
      <c r="AC1016" s="790" t="b">
        <f ca="1">OR(AD1016:AE1016)</f>
        <v>0</v>
      </c>
      <c r="AD1016" s="790" t="b">
        <f ca="1">T1016</f>
        <v>0</v>
      </c>
      <c r="AE1016" s="790" t="b">
        <f>AND(R1016,OR(W1016="Not Met",W1016=""))</f>
        <v>0</v>
      </c>
      <c r="AF1016" s="1182" t="b">
        <f>AND(AE1016,NOT(Q1016))</f>
        <v>0</v>
      </c>
      <c r="AG1016" s="790"/>
      <c r="AH1016" s="790"/>
      <c r="AI1016" s="790"/>
      <c r="AJ1016" s="790"/>
      <c r="AK1016" s="790"/>
      <c r="AL1016" s="311" t="str">
        <f t="shared" ref="AL1016:AL1019" si="281">SUBSTITUTE(SUBSTITUTE(SUBSTITUTE("vpa"&amp;$B1016&amp;$C1016&amp;$D1016&amp;$E1016&amp;$F1016,".","_"),"(","_"),")","")</f>
        <v>vpa703_3_2 _3_1</v>
      </c>
      <c r="AM1016" s="311">
        <f>M1016</f>
        <v>0</v>
      </c>
      <c r="AN1016" s="790"/>
      <c r="AO1016" s="790"/>
      <c r="AP1016" s="311" t="str">
        <f>SUBSTITUTE(SUBSTITUTE(SUBSTITUTE("vch"&amp;$B1016&amp;$C1016&amp;$D1016&amp;$E1016&amp;$F1016,".","_"),"(","_"),")","")</f>
        <v>vch703_3_2 _3_1</v>
      </c>
      <c r="AQ1016" s="311">
        <f>W1016</f>
        <v>0</v>
      </c>
      <c r="AR1016" s="790"/>
      <c r="AS1016" s="790"/>
      <c r="AT1016" s="790"/>
      <c r="AU1016" s="790"/>
      <c r="AV1016" s="790"/>
      <c r="AW1016" s="790"/>
      <c r="AX1016" s="790"/>
      <c r="AY1016" s="790"/>
      <c r="AZ1016" s="790"/>
      <c r="BA1016" s="790"/>
      <c r="BB1016" s="790"/>
      <c r="BC1016" s="790"/>
      <c r="BD1016" s="790"/>
      <c r="BE1016" s="790"/>
      <c r="BF1016" s="790"/>
      <c r="BG1016" s="790"/>
      <c r="BH1016" s="790"/>
      <c r="BI1016" s="790"/>
      <c r="BJ1016" s="1184" t="s">
        <v>4763</v>
      </c>
    </row>
    <row r="1017" spans="1:62" x14ac:dyDescent="0.3">
      <c r="A1017" s="1200">
        <v>7</v>
      </c>
      <c r="B1017" s="1210" t="s">
        <v>1086</v>
      </c>
      <c r="C1017" s="1215"/>
      <c r="D1017" s="1203" t="s">
        <v>275</v>
      </c>
      <c r="E1017" s="1203" t="s">
        <v>273</v>
      </c>
      <c r="F1017" s="1203"/>
      <c r="G1017" s="1202" t="str">
        <f t="shared" ca="1" si="280"/>
        <v/>
      </c>
      <c r="H1017" s="1200" t="s">
        <v>4386</v>
      </c>
      <c r="I1017" s="4"/>
      <c r="J1017" s="260"/>
      <c r="K1017" s="819"/>
      <c r="L1017" s="819" t="s">
        <v>4038</v>
      </c>
      <c r="M1017" s="799">
        <f>IFERROR(INDEX({0,1,2,4,6,7,8,6},T1002),0)</f>
        <v>0</v>
      </c>
      <c r="N1017" s="850"/>
      <c r="O1017" s="802"/>
      <c r="P1017" s="1081"/>
      <c r="Q1017" s="1081"/>
      <c r="R1017" s="790"/>
      <c r="S1017" s="790"/>
      <c r="T1017" s="790"/>
      <c r="U1017" s="790"/>
      <c r="V1017" s="790"/>
      <c r="W1017" s="790"/>
      <c r="X1017" s="1303"/>
      <c r="Y1017" s="1522"/>
      <c r="Z1017" s="1586"/>
      <c r="AB1017" s="790"/>
      <c r="AC1017" s="790"/>
      <c r="AD1017" s="790"/>
      <c r="AE1017" s="790"/>
      <c r="AF1017" s="790"/>
      <c r="AG1017" s="790"/>
      <c r="AH1017" s="790"/>
      <c r="AI1017" s="790"/>
      <c r="AJ1017" s="790"/>
      <c r="AK1017" s="790"/>
      <c r="AL1017" s="311" t="str">
        <f t="shared" si="281"/>
        <v>vpa703_3_2 _3_2</v>
      </c>
      <c r="AM1017" s="311">
        <f>M1017</f>
        <v>0</v>
      </c>
      <c r="AN1017" s="790"/>
      <c r="AO1017" s="790"/>
      <c r="AP1017" s="790"/>
      <c r="AQ1017" s="790"/>
      <c r="AR1017" s="790"/>
      <c r="AS1017" s="790"/>
      <c r="AT1017" s="790"/>
      <c r="AU1017" s="790"/>
      <c r="AV1017" s="790"/>
      <c r="AW1017" s="790"/>
      <c r="AX1017" s="790"/>
      <c r="AY1017" s="790"/>
      <c r="AZ1017" s="790"/>
      <c r="BA1017" s="790"/>
      <c r="BB1017" s="790"/>
      <c r="BC1017" s="790"/>
      <c r="BD1017" s="790"/>
      <c r="BE1017" s="790"/>
      <c r="BF1017" s="790"/>
      <c r="BG1017" s="790"/>
      <c r="BH1017" s="790"/>
      <c r="BI1017" s="790"/>
      <c r="BJ1017" s="1184" t="s">
        <v>4763</v>
      </c>
    </row>
    <row r="1018" spans="1:62" x14ac:dyDescent="0.3">
      <c r="A1018" s="1200">
        <v>7</v>
      </c>
      <c r="B1018" s="1210" t="s">
        <v>1086</v>
      </c>
      <c r="C1018" s="1215"/>
      <c r="D1018" s="1203" t="s">
        <v>275</v>
      </c>
      <c r="E1018" s="1203" t="s">
        <v>275</v>
      </c>
      <c r="F1018" s="1203"/>
      <c r="G1018" s="1202" t="str">
        <f t="shared" ca="1" si="280"/>
        <v/>
      </c>
      <c r="H1018" s="1200" t="s">
        <v>4386</v>
      </c>
      <c r="I1018" s="4"/>
      <c r="J1018" s="260"/>
      <c r="K1018" s="819"/>
      <c r="L1018" s="819" t="s">
        <v>4040</v>
      </c>
      <c r="M1018" s="799">
        <f>IFERROR(INDEX({0,2,3,5,8,9,10,8},T1002),0)</f>
        <v>0</v>
      </c>
      <c r="N1018" s="850"/>
      <c r="O1018" s="802"/>
      <c r="P1018" s="1081"/>
      <c r="Q1018" s="1081"/>
      <c r="R1018" s="790"/>
      <c r="S1018" s="790"/>
      <c r="T1018" s="790"/>
      <c r="U1018" s="790"/>
      <c r="V1018" s="790"/>
      <c r="W1018" s="790"/>
      <c r="X1018" s="1303"/>
      <c r="Y1018" s="1522"/>
      <c r="Z1018" s="1586"/>
      <c r="AB1018" s="790"/>
      <c r="AC1018" s="790"/>
      <c r="AD1018" s="790"/>
      <c r="AE1018" s="790"/>
      <c r="AF1018" s="790"/>
      <c r="AG1018" s="790"/>
      <c r="AH1018" s="790"/>
      <c r="AI1018" s="790"/>
      <c r="AJ1018" s="790"/>
      <c r="AK1018" s="790"/>
      <c r="AL1018" s="311" t="str">
        <f t="shared" si="281"/>
        <v>vpa703_3_2 _3_3</v>
      </c>
      <c r="AM1018" s="311">
        <f>M1018</f>
        <v>0</v>
      </c>
      <c r="AN1018" s="790"/>
      <c r="AO1018" s="790"/>
      <c r="AP1018" s="790"/>
      <c r="AQ1018" s="790"/>
      <c r="AR1018" s="790"/>
      <c r="AS1018" s="790"/>
      <c r="AT1018" s="790"/>
      <c r="AU1018" s="790"/>
      <c r="AV1018" s="790"/>
      <c r="AW1018" s="790"/>
      <c r="AX1018" s="790"/>
      <c r="AY1018" s="790"/>
      <c r="AZ1018" s="790"/>
      <c r="BA1018" s="790"/>
      <c r="BB1018" s="790"/>
      <c r="BC1018" s="790"/>
      <c r="BD1018" s="790"/>
      <c r="BE1018" s="790"/>
      <c r="BF1018" s="790"/>
      <c r="BG1018" s="790"/>
      <c r="BH1018" s="790"/>
      <c r="BI1018" s="790"/>
      <c r="BJ1018" s="1184" t="s">
        <v>4763</v>
      </c>
    </row>
    <row r="1019" spans="1:62" x14ac:dyDescent="0.3">
      <c r="A1019" s="1200">
        <v>7</v>
      </c>
      <c r="B1019" s="1210" t="s">
        <v>1086</v>
      </c>
      <c r="C1019" s="1215"/>
      <c r="D1019" s="1203" t="s">
        <v>275</v>
      </c>
      <c r="E1019" s="1203" t="s">
        <v>285</v>
      </c>
      <c r="F1019" s="1203"/>
      <c r="G1019" s="1202" t="str">
        <f t="shared" ca="1" si="280"/>
        <v/>
      </c>
      <c r="H1019" s="1200" t="s">
        <v>4386</v>
      </c>
      <c r="I1019" s="4"/>
      <c r="J1019" s="813"/>
      <c r="K1019" s="813"/>
      <c r="L1019" s="813" t="s">
        <v>4041</v>
      </c>
      <c r="M1019" s="796">
        <f>IFERROR(INDEX({0,2,4,6,9,11,12,10},T1002),0)</f>
        <v>0</v>
      </c>
      <c r="N1019" s="855"/>
      <c r="O1019" s="804"/>
      <c r="P1019" s="1081"/>
      <c r="Q1019" s="1081"/>
      <c r="R1019" s="790"/>
      <c r="S1019" s="790"/>
      <c r="T1019" s="790"/>
      <c r="U1019" s="790"/>
      <c r="V1019" s="790"/>
      <c r="W1019" s="790"/>
      <c r="X1019" s="1303"/>
      <c r="Y1019" s="1522"/>
      <c r="Z1019" s="1586"/>
      <c r="AB1019" s="790"/>
      <c r="AC1019" s="790"/>
      <c r="AD1019" s="790"/>
      <c r="AE1019" s="790"/>
      <c r="AF1019" s="790"/>
      <c r="AG1019" s="790"/>
      <c r="AH1019" s="790"/>
      <c r="AI1019" s="790"/>
      <c r="AJ1019" s="790"/>
      <c r="AK1019" s="790"/>
      <c r="AL1019" s="311" t="str">
        <f t="shared" si="281"/>
        <v>vpa703_3_2 _3_4</v>
      </c>
      <c r="AM1019" s="311">
        <f>M1019</f>
        <v>0</v>
      </c>
      <c r="AN1019" s="790"/>
      <c r="AO1019" s="790"/>
      <c r="AP1019" s="790"/>
      <c r="AQ1019" s="790"/>
      <c r="AR1019" s="790"/>
      <c r="AS1019" s="790"/>
      <c r="AT1019" s="790"/>
      <c r="AU1019" s="790"/>
      <c r="AV1019" s="790"/>
      <c r="AW1019" s="790"/>
      <c r="AX1019" s="790"/>
      <c r="AY1019" s="790"/>
      <c r="AZ1019" s="790"/>
      <c r="BA1019" s="790"/>
      <c r="BB1019" s="790"/>
      <c r="BC1019" s="790"/>
      <c r="BD1019" s="790"/>
      <c r="BE1019" s="790"/>
      <c r="BF1019" s="790"/>
      <c r="BG1019" s="790"/>
      <c r="BH1019" s="790"/>
      <c r="BI1019" s="790"/>
      <c r="BJ1019" s="1184" t="s">
        <v>4763</v>
      </c>
    </row>
    <row r="1020" spans="1:62" x14ac:dyDescent="0.3">
      <c r="A1020" s="1200">
        <v>7</v>
      </c>
      <c r="B1020" s="1210" t="s">
        <v>1086</v>
      </c>
      <c r="C1020" s="1215"/>
      <c r="D1020" s="1203" t="s">
        <v>285</v>
      </c>
      <c r="E1020" s="1203"/>
      <c r="F1020" s="1203"/>
      <c r="G1020" s="1202" t="str">
        <f ca="1">IF(N1020&gt;0,"P","")</f>
        <v/>
      </c>
      <c r="H1020" s="1200" t="s">
        <v>4386</v>
      </c>
      <c r="I1020" s="4"/>
      <c r="J1020" s="260" t="s">
        <v>285</v>
      </c>
      <c r="K1020" s="819"/>
      <c r="L1020" s="819" t="s">
        <v>1091</v>
      </c>
      <c r="M1020" s="799"/>
      <c r="N1020" s="850">
        <f ca="1">'Ch7'!O257</f>
        <v>0</v>
      </c>
      <c r="O1020" s="802">
        <f ca="1">IFERROR(INDEX(M1021:M1022,MATCH(W1021,{0.85,0.9},1)),0)*S1021</f>
        <v>0</v>
      </c>
      <c r="P1020" s="1081"/>
      <c r="Q1020" s="1081"/>
      <c r="R1020" s="790"/>
      <c r="S1020" s="790"/>
      <c r="T1020" s="790"/>
      <c r="U1020" s="790"/>
      <c r="V1020" s="790"/>
      <c r="W1020" s="790" t="s">
        <v>4053</v>
      </c>
      <c r="X1020" s="1303"/>
      <c r="Y1020" s="1522" t="str">
        <f>IF(LEN('Ch7'!X257)=0,"None",'Ch7'!X257)</f>
        <v>None</v>
      </c>
      <c r="Z1020" s="1586"/>
      <c r="AB1020" s="790"/>
      <c r="AC1020" s="790"/>
      <c r="AD1020" s="790"/>
      <c r="AE1020" s="790"/>
      <c r="AF1020" s="790"/>
      <c r="AG1020" s="790"/>
      <c r="AH1020" s="790"/>
      <c r="AI1020" s="790"/>
      <c r="AJ1020" s="790"/>
      <c r="AK1020" s="790"/>
      <c r="AL1020" s="790"/>
      <c r="AM1020" s="790"/>
      <c r="AN1020" s="311" t="str">
        <f>SUBSTITUTE(SUBSTITUTE(SUBSTITUTE("vpc"&amp;$B1020&amp;$C1020&amp;$D1020&amp;$E1020&amp;$F1020,".","_"),"(","_"),")","")</f>
        <v>vpc703_3_2 _4</v>
      </c>
      <c r="AO1020" s="311">
        <f ca="1">O1020</f>
        <v>0</v>
      </c>
      <c r="AP1020" s="790"/>
      <c r="AQ1020" s="790"/>
      <c r="AR1020" s="311" t="str">
        <f>SUBSTITUTE(SUBSTITUTE(SUBSTITUTE("vnt"&amp;$B1020&amp;$C1020&amp;$D1020&amp;$E1020&amp;$F1020,".","_"),"(","_"),")","")</f>
        <v>vnt703_3_2 _4</v>
      </c>
      <c r="AS1020" s="311">
        <f>X1020</f>
        <v>0</v>
      </c>
      <c r="AT1020" s="790"/>
      <c r="AU1020" s="790"/>
      <c r="AV1020" s="790"/>
      <c r="AW1020" s="790"/>
      <c r="AX1020" s="790"/>
      <c r="AY1020" s="790"/>
      <c r="AZ1020" s="790"/>
      <c r="BA1020" s="790"/>
      <c r="BB1020" s="790"/>
      <c r="BC1020" s="790"/>
      <c r="BD1020" s="790"/>
      <c r="BE1020" s="790"/>
      <c r="BF1020" s="790"/>
      <c r="BG1020" s="790"/>
      <c r="BH1020" s="790"/>
      <c r="BI1020" s="790"/>
      <c r="BJ1020" s="1184" t="s">
        <v>4763</v>
      </c>
    </row>
    <row r="1021" spans="1:62" x14ac:dyDescent="0.3">
      <c r="A1021" s="1200">
        <v>7</v>
      </c>
      <c r="B1021" s="1210" t="s">
        <v>1086</v>
      </c>
      <c r="C1021" s="1215"/>
      <c r="D1021" s="1203" t="s">
        <v>285</v>
      </c>
      <c r="E1021" s="1203" t="s">
        <v>271</v>
      </c>
      <c r="F1021" s="1203"/>
      <c r="G1021" s="1202" t="str">
        <f t="shared" ref="G1021:G1022" ca="1" si="282">G1020</f>
        <v/>
      </c>
      <c r="H1021" s="1200" t="s">
        <v>4386</v>
      </c>
      <c r="I1021" s="4"/>
      <c r="J1021" s="260"/>
      <c r="K1021" s="819"/>
      <c r="L1021" s="819" t="s">
        <v>4043</v>
      </c>
      <c r="M1021" s="799">
        <f>IFERROR(INDEX({0,1,1,3,3,4,4,5},T1002),0)</f>
        <v>0</v>
      </c>
      <c r="N1021" s="850"/>
      <c r="O1021" s="802"/>
      <c r="P1021" s="97" t="b">
        <v>1</v>
      </c>
      <c r="Q1021" s="97" t="b">
        <v>1</v>
      </c>
      <c r="R1021" s="790" t="b">
        <v>0</v>
      </c>
      <c r="S1021" s="790" t="b">
        <f ca="1">AND(S776=2,LEN(W1007)=0,LEN(W1013)=0,LEN(W1016)=0,LEN(W1027)=0,LEN(W1031)=0,NOT(W1043=TRUE),LEN(W1048)=0)</f>
        <v>0</v>
      </c>
      <c r="T1021" s="97" t="b">
        <f ca="1">AND(NOT(S1021),LEN(W1021)&gt;0)</f>
        <v>0</v>
      </c>
      <c r="U1021" s="790"/>
      <c r="V1021" s="790"/>
      <c r="W1021" s="583"/>
      <c r="X1021" s="1303"/>
      <c r="Y1021" s="1522"/>
      <c r="Z1021" s="1586"/>
      <c r="AB1021" s="790"/>
      <c r="AC1021" s="790" t="b">
        <f ca="1">OR(AD1021:AE1021)</f>
        <v>0</v>
      </c>
      <c r="AD1021" s="790" t="b">
        <f ca="1">T1021</f>
        <v>0</v>
      </c>
      <c r="AE1021" s="790" t="b">
        <f>AND(R1021,OR(W1021="Not Met",W1021=""))</f>
        <v>0</v>
      </c>
      <c r="AF1021" s="1182" t="b">
        <f>AND(AE1021,NOT(Q1021))</f>
        <v>0</v>
      </c>
      <c r="AG1021" s="790"/>
      <c r="AH1021" s="790"/>
      <c r="AI1021" s="790"/>
      <c r="AJ1021" s="790"/>
      <c r="AK1021" s="790"/>
      <c r="AL1021" s="311" t="str">
        <f t="shared" ref="AL1021:AL1022" si="283">SUBSTITUTE(SUBSTITUTE(SUBSTITUTE("vpa"&amp;$B1021&amp;$C1021&amp;$D1021&amp;$E1021&amp;$F1021,".","_"),"(","_"),")","")</f>
        <v>vpa703_3_2 _4_1</v>
      </c>
      <c r="AM1021" s="311">
        <f>M1021</f>
        <v>0</v>
      </c>
      <c r="AN1021" s="790"/>
      <c r="AO1021" s="790"/>
      <c r="AP1021" s="311" t="str">
        <f>SUBSTITUTE(SUBSTITUTE(SUBSTITUTE("vch"&amp;$B1021&amp;$C1021&amp;$D1021&amp;$E1021&amp;$F1021,".","_"),"(","_"),")","")</f>
        <v>vch703_3_2 _4_1</v>
      </c>
      <c r="AQ1021" s="311">
        <f>W1021</f>
        <v>0</v>
      </c>
      <c r="AR1021" s="790"/>
      <c r="AS1021" s="790"/>
      <c r="AT1021" s="790"/>
      <c r="AU1021" s="790"/>
      <c r="AV1021" s="790"/>
      <c r="AW1021" s="790"/>
      <c r="AX1021" s="790"/>
      <c r="AY1021" s="790"/>
      <c r="AZ1021" s="790"/>
      <c r="BA1021" s="790"/>
      <c r="BB1021" s="790"/>
      <c r="BC1021" s="790"/>
      <c r="BD1021" s="790"/>
      <c r="BE1021" s="790"/>
      <c r="BF1021" s="790"/>
      <c r="BG1021" s="790"/>
      <c r="BH1021" s="790"/>
      <c r="BI1021" s="790"/>
      <c r="BJ1021" s="1184" t="s">
        <v>4763</v>
      </c>
    </row>
    <row r="1022" spans="1:62" x14ac:dyDescent="0.3">
      <c r="A1022" s="1200">
        <v>7</v>
      </c>
      <c r="B1022" s="1210" t="s">
        <v>1086</v>
      </c>
      <c r="C1022" s="1215"/>
      <c r="D1022" s="1203" t="s">
        <v>285</v>
      </c>
      <c r="E1022" s="1203" t="s">
        <v>273</v>
      </c>
      <c r="F1022" s="1203"/>
      <c r="G1022" s="1202" t="str">
        <f t="shared" ca="1" si="282"/>
        <v/>
      </c>
      <c r="H1022" s="1200" t="s">
        <v>4386</v>
      </c>
      <c r="I1022" s="238"/>
      <c r="J1022" s="813"/>
      <c r="K1022" s="813"/>
      <c r="L1022" s="813" t="s">
        <v>4038</v>
      </c>
      <c r="M1022" s="796">
        <f>IFERROR(INDEX({1,2,3,5,6,7,9,10},T1002),0)</f>
        <v>0</v>
      </c>
      <c r="N1022" s="850"/>
      <c r="O1022" s="802"/>
      <c r="P1022" s="1081"/>
      <c r="Q1022" s="1081"/>
      <c r="R1022" s="790"/>
      <c r="S1022" s="790"/>
      <c r="T1022" s="790"/>
      <c r="U1022" s="790"/>
      <c r="V1022" s="790"/>
      <c r="W1022" s="790"/>
      <c r="X1022" s="1303"/>
      <c r="Y1022" s="1522"/>
      <c r="Z1022" s="1586"/>
      <c r="AB1022" s="790"/>
      <c r="AC1022" s="790"/>
      <c r="AD1022" s="790"/>
      <c r="AE1022" s="790"/>
      <c r="AF1022" s="790"/>
      <c r="AG1022" s="790"/>
      <c r="AH1022" s="790"/>
      <c r="AI1022" s="790"/>
      <c r="AJ1022" s="790"/>
      <c r="AK1022" s="790"/>
      <c r="AL1022" s="311" t="str">
        <f t="shared" si="283"/>
        <v>vpa703_3_2 _4_2</v>
      </c>
      <c r="AM1022" s="311">
        <f>M1022</f>
        <v>0</v>
      </c>
      <c r="AN1022" s="790"/>
      <c r="AO1022" s="790"/>
      <c r="AP1022" s="790"/>
      <c r="AQ1022" s="790"/>
      <c r="AR1022" s="790"/>
      <c r="AS1022" s="790"/>
      <c r="AT1022" s="790"/>
      <c r="AU1022" s="790"/>
      <c r="AV1022" s="790"/>
      <c r="AW1022" s="790"/>
      <c r="AX1022" s="790"/>
      <c r="AY1022" s="790"/>
      <c r="AZ1022" s="790"/>
      <c r="BA1022" s="790"/>
      <c r="BB1022" s="790"/>
      <c r="BC1022" s="790"/>
      <c r="BD1022" s="790"/>
      <c r="BE1022" s="790"/>
      <c r="BF1022" s="790"/>
      <c r="BG1022" s="790"/>
      <c r="BH1022" s="790"/>
      <c r="BI1022" s="790"/>
      <c r="BJ1022" s="1184" t="s">
        <v>4763</v>
      </c>
    </row>
    <row r="1023" spans="1:62" x14ac:dyDescent="0.3">
      <c r="A1023" s="1200">
        <v>7</v>
      </c>
      <c r="B1023" s="1215" t="s">
        <v>1092</v>
      </c>
      <c r="C1023" s="1215"/>
      <c r="D1023" s="1203"/>
      <c r="E1023" s="1203"/>
      <c r="F1023" s="1203"/>
      <c r="G1023" s="1196" t="str">
        <f ca="1">IF(COUNTIF(G1026:G1031,"P")&gt;0,"P","")</f>
        <v/>
      </c>
      <c r="H1023" s="1200" t="s">
        <v>4386</v>
      </c>
      <c r="I1023" s="68" t="s">
        <v>1092</v>
      </c>
      <c r="J1023" s="819"/>
      <c r="K1023" s="819"/>
      <c r="L1023" s="1292" t="s">
        <v>1093</v>
      </c>
      <c r="M1023" s="799"/>
      <c r="N1023" s="850"/>
      <c r="O1023" s="802"/>
      <c r="P1023" s="1081"/>
      <c r="Q1023" s="1081"/>
      <c r="R1023" s="790"/>
      <c r="S1023" s="790"/>
      <c r="T1023" s="790"/>
      <c r="U1023" s="790"/>
      <c r="V1023" s="790"/>
      <c r="W1023" s="790"/>
      <c r="X1023" s="790"/>
      <c r="Y1023" s="790"/>
      <c r="Z1023" s="1055"/>
      <c r="AB1023" s="790"/>
      <c r="AC1023" s="790"/>
      <c r="AD1023" s="790"/>
      <c r="AE1023" s="790"/>
      <c r="AF1023" s="790"/>
      <c r="AG1023" s="790"/>
      <c r="AH1023" s="790"/>
      <c r="AI1023" s="790"/>
      <c r="AJ1023" s="790"/>
      <c r="AK1023" s="790"/>
      <c r="AL1023" s="790"/>
      <c r="AM1023" s="790"/>
      <c r="AN1023" s="790"/>
      <c r="AO1023" s="790"/>
      <c r="AP1023" s="790"/>
      <c r="AQ1023" s="790"/>
      <c r="AR1023" s="790"/>
      <c r="AS1023" s="790"/>
      <c r="AT1023" s="790"/>
      <c r="AU1023" s="790"/>
      <c r="AV1023" s="790"/>
      <c r="AW1023" s="790"/>
      <c r="AX1023" s="790"/>
      <c r="AY1023" s="790"/>
      <c r="AZ1023" s="790"/>
      <c r="BA1023" s="790"/>
      <c r="BB1023" s="790"/>
      <c r="BC1023" s="790"/>
      <c r="BD1023" s="790"/>
      <c r="BE1023" s="790"/>
      <c r="BF1023" s="790"/>
      <c r="BG1023" s="790"/>
      <c r="BH1023" s="790"/>
      <c r="BI1023" s="790"/>
      <c r="BJ1023" s="1184" t="s">
        <v>4763</v>
      </c>
    </row>
    <row r="1024" spans="1:62" x14ac:dyDescent="0.3">
      <c r="A1024" s="1200">
        <v>7</v>
      </c>
      <c r="B1024" s="1215" t="s">
        <v>1092</v>
      </c>
      <c r="C1024" s="1215"/>
      <c r="D1024" s="1203"/>
      <c r="E1024" s="1203"/>
      <c r="F1024" s="1203"/>
      <c r="G1024" s="1202" t="str">
        <f t="shared" ref="G1024:G1025" ca="1" si="284">G1023</f>
        <v/>
      </c>
      <c r="H1024" s="1200" t="s">
        <v>4386</v>
      </c>
      <c r="I1024" s="4"/>
      <c r="J1024" s="819"/>
      <c r="K1024" s="819"/>
      <c r="L1024" s="1292"/>
      <c r="M1024" s="799"/>
      <c r="N1024" s="850"/>
      <c r="O1024" s="802"/>
      <c r="P1024" s="1081"/>
      <c r="Q1024" s="1081"/>
      <c r="R1024" s="790"/>
      <c r="S1024" s="790"/>
      <c r="T1024" s="790"/>
      <c r="U1024" s="790"/>
      <c r="V1024" s="790"/>
      <c r="W1024" s="790"/>
      <c r="X1024" s="790"/>
      <c r="Y1024" s="790"/>
      <c r="Z1024" s="1055"/>
      <c r="AB1024" s="790"/>
      <c r="AC1024" s="790"/>
      <c r="AD1024" s="790"/>
      <c r="AE1024" s="790"/>
      <c r="AF1024" s="790"/>
      <c r="AG1024" s="790"/>
      <c r="AH1024" s="790"/>
      <c r="AI1024" s="790"/>
      <c r="AJ1024" s="790"/>
      <c r="AK1024" s="790"/>
      <c r="AL1024" s="790"/>
      <c r="AM1024" s="790"/>
      <c r="AN1024" s="790"/>
      <c r="AO1024" s="790"/>
      <c r="AP1024" s="790"/>
      <c r="AQ1024" s="790"/>
      <c r="AR1024" s="790"/>
      <c r="AS1024" s="790"/>
      <c r="AT1024" s="790"/>
      <c r="AU1024" s="790"/>
      <c r="AV1024" s="790"/>
      <c r="AW1024" s="790"/>
      <c r="AX1024" s="790"/>
      <c r="AY1024" s="790"/>
      <c r="AZ1024" s="790"/>
      <c r="BA1024" s="790"/>
      <c r="BB1024" s="790"/>
      <c r="BC1024" s="790"/>
      <c r="BD1024" s="790"/>
      <c r="BE1024" s="790"/>
      <c r="BF1024" s="790"/>
      <c r="BG1024" s="790"/>
      <c r="BH1024" s="790"/>
      <c r="BI1024" s="790"/>
      <c r="BJ1024" s="1184" t="s">
        <v>4763</v>
      </c>
    </row>
    <row r="1025" spans="1:62" x14ac:dyDescent="0.3">
      <c r="A1025" s="1200">
        <v>7</v>
      </c>
      <c r="B1025" s="1215" t="s">
        <v>1092</v>
      </c>
      <c r="C1025" s="1215"/>
      <c r="D1025" s="1203"/>
      <c r="E1025" s="1203"/>
      <c r="F1025" s="1203"/>
      <c r="G1025" s="1202" t="str">
        <f t="shared" ca="1" si="284"/>
        <v/>
      </c>
      <c r="H1025" s="1200" t="s">
        <v>4386</v>
      </c>
      <c r="I1025" s="4"/>
      <c r="J1025" s="819"/>
      <c r="K1025" s="819"/>
      <c r="L1025" s="1292"/>
      <c r="M1025" s="799"/>
      <c r="N1025" s="850"/>
      <c r="O1025" s="802"/>
      <c r="P1025" s="1081"/>
      <c r="Q1025" s="1081"/>
      <c r="R1025" s="790"/>
      <c r="S1025" s="790"/>
      <c r="T1025" s="790"/>
      <c r="U1025" s="790"/>
      <c r="V1025" s="790"/>
      <c r="W1025" s="790"/>
      <c r="X1025" s="790"/>
      <c r="Y1025" s="790"/>
      <c r="Z1025" s="1055"/>
      <c r="AB1025" s="790"/>
      <c r="AC1025" s="790"/>
      <c r="AD1025" s="790"/>
      <c r="AE1025" s="790"/>
      <c r="AF1025" s="790"/>
      <c r="AG1025" s="790"/>
      <c r="AH1025" s="790"/>
      <c r="AI1025" s="790"/>
      <c r="AJ1025" s="790"/>
      <c r="AK1025" s="790"/>
      <c r="AL1025" s="790"/>
      <c r="AM1025" s="790"/>
      <c r="AN1025" s="790"/>
      <c r="AO1025" s="790"/>
      <c r="AP1025" s="790"/>
      <c r="AQ1025" s="790"/>
      <c r="AR1025" s="790"/>
      <c r="AS1025" s="790"/>
      <c r="AT1025" s="790"/>
      <c r="AU1025" s="790"/>
      <c r="AV1025" s="790"/>
      <c r="AW1025" s="790"/>
      <c r="AX1025" s="790"/>
      <c r="AY1025" s="790"/>
      <c r="AZ1025" s="790"/>
      <c r="BA1025" s="790"/>
      <c r="BB1025" s="790"/>
      <c r="BC1025" s="790"/>
      <c r="BD1025" s="790"/>
      <c r="BE1025" s="790"/>
      <c r="BF1025" s="790"/>
      <c r="BG1025" s="790"/>
      <c r="BH1025" s="790"/>
      <c r="BI1025" s="790"/>
      <c r="BJ1025" s="1184" t="s">
        <v>4763</v>
      </c>
    </row>
    <row r="1026" spans="1:62" x14ac:dyDescent="0.3">
      <c r="A1026" s="1200">
        <v>7</v>
      </c>
      <c r="B1026" s="1215" t="s">
        <v>1092</v>
      </c>
      <c r="C1026" s="1215"/>
      <c r="D1026" s="1203" t="s">
        <v>271</v>
      </c>
      <c r="E1026" s="1203"/>
      <c r="F1026" s="1203"/>
      <c r="G1026" s="1202" t="str">
        <f ca="1">IF(N1026&gt;0,"P","")</f>
        <v/>
      </c>
      <c r="H1026" s="1200" t="s">
        <v>4386</v>
      </c>
      <c r="I1026" s="4"/>
      <c r="J1026" s="260" t="s">
        <v>271</v>
      </c>
      <c r="K1026" s="819"/>
      <c r="L1026" s="808" t="s">
        <v>3706</v>
      </c>
      <c r="M1026" s="799"/>
      <c r="N1026" s="850">
        <f ca="1">'Ch7'!O263</f>
        <v>0</v>
      </c>
      <c r="O1026" s="802">
        <f ca="1">IFERROR(INDEX(M1027:M1030,MATCH(W1027,{8.5,9,9.5,10},1)),0)*S1027</f>
        <v>0</v>
      </c>
      <c r="P1026" s="1081"/>
      <c r="Q1026" s="1081"/>
      <c r="R1026" s="790"/>
      <c r="S1026" s="790"/>
      <c r="T1026" s="790"/>
      <c r="U1026" s="790"/>
      <c r="V1026" s="790"/>
      <c r="W1026" s="790" t="s">
        <v>4060</v>
      </c>
      <c r="X1026" s="1303"/>
      <c r="Y1026" s="1522" t="str">
        <f>IF(LEN('Ch7'!X263)=0,"None",'Ch7'!X263)</f>
        <v>None</v>
      </c>
      <c r="Z1026" s="1586"/>
      <c r="AB1026" s="790"/>
      <c r="AC1026" s="790"/>
      <c r="AD1026" s="790"/>
      <c r="AE1026" s="790"/>
      <c r="AF1026" s="790"/>
      <c r="AG1026" s="790"/>
      <c r="AH1026" s="790"/>
      <c r="AI1026" s="790"/>
      <c r="AJ1026" s="790"/>
      <c r="AK1026" s="790"/>
      <c r="AL1026" s="790"/>
      <c r="AM1026" s="790"/>
      <c r="AN1026" s="311" t="str">
        <f>SUBSTITUTE(SUBSTITUTE(SUBSTITUTE("vpc"&amp;$B1026&amp;$C1026&amp;$D1026&amp;$E1026&amp;$F1026,".","_"),"(","_"),")","")</f>
        <v>vpc703_3_3 _1</v>
      </c>
      <c r="AO1026" s="311">
        <f ca="1">O1026</f>
        <v>0</v>
      </c>
      <c r="AP1026" s="790"/>
      <c r="AQ1026" s="790"/>
      <c r="AR1026" s="311" t="str">
        <f>SUBSTITUTE(SUBSTITUTE(SUBSTITUTE("vnt"&amp;$B1026&amp;$C1026&amp;$D1026&amp;$E1026&amp;$F1026,".","_"),"(","_"),")","")</f>
        <v>vnt703_3_3 _1</v>
      </c>
      <c r="AS1026" s="311">
        <f>X1026</f>
        <v>0</v>
      </c>
      <c r="AT1026" s="790"/>
      <c r="AU1026" s="790"/>
      <c r="AV1026" s="790"/>
      <c r="AW1026" s="790"/>
      <c r="AX1026" s="790"/>
      <c r="AY1026" s="790"/>
      <c r="AZ1026" s="790"/>
      <c r="BA1026" s="790"/>
      <c r="BB1026" s="790"/>
      <c r="BC1026" s="790"/>
      <c r="BD1026" s="790"/>
      <c r="BE1026" s="790"/>
      <c r="BF1026" s="790"/>
      <c r="BG1026" s="790"/>
      <c r="BH1026" s="790"/>
      <c r="BI1026" s="790"/>
      <c r="BJ1026" s="1184" t="s">
        <v>4763</v>
      </c>
    </row>
    <row r="1027" spans="1:62" x14ac:dyDescent="0.3">
      <c r="A1027" s="1200">
        <v>7</v>
      </c>
      <c r="B1027" s="1215" t="s">
        <v>1092</v>
      </c>
      <c r="C1027" s="1215"/>
      <c r="D1027" s="1203" t="s">
        <v>271</v>
      </c>
      <c r="E1027" s="1203" t="s">
        <v>271</v>
      </c>
      <c r="F1027" s="1203"/>
      <c r="G1027" s="1202" t="str">
        <f t="shared" ref="G1027:G1030" ca="1" si="285">G1026</f>
        <v/>
      </c>
      <c r="H1027" s="1200" t="s">
        <v>4386</v>
      </c>
      <c r="I1027" s="4"/>
      <c r="J1027" s="260"/>
      <c r="K1027" s="819"/>
      <c r="L1027" s="819" t="s">
        <v>4054</v>
      </c>
      <c r="M1027" s="799">
        <f>IF(T1003,IFERROR(INDEX({0,3,4,8,11,13,13,13},T1002),0),IFERROR(INDEX({0,1,1,2,2,2,2,2},T1002),0))</f>
        <v>0</v>
      </c>
      <c r="N1027" s="850"/>
      <c r="O1027" s="802"/>
      <c r="P1027" s="97" t="b">
        <v>1</v>
      </c>
      <c r="Q1027" s="97" t="b">
        <v>1</v>
      </c>
      <c r="R1027" s="790" t="b">
        <v>0</v>
      </c>
      <c r="S1027" s="790" t="b">
        <f ca="1">AND(S776=2,LEN(W1007)=0,LEN(W1013)=0,LEN(W1016)=0,LEN(W1021)=0,LEN(W1031)=0,NOT(W1043=TRUE),LEN(W1048)=0)</f>
        <v>0</v>
      </c>
      <c r="T1027" s="97" t="b">
        <f ca="1">AND(NOT(S1027),LEN(W1027)&gt;0)</f>
        <v>0</v>
      </c>
      <c r="U1027" s="790"/>
      <c r="V1027" s="790"/>
      <c r="W1027" s="584"/>
      <c r="X1027" s="1303"/>
      <c r="Y1027" s="1522"/>
      <c r="Z1027" s="1586"/>
      <c r="AB1027" s="790"/>
      <c r="AC1027" s="790" t="b">
        <f ca="1">OR(AD1027:AE1027)</f>
        <v>0</v>
      </c>
      <c r="AD1027" s="790" t="b">
        <f ca="1">T1027</f>
        <v>0</v>
      </c>
      <c r="AE1027" s="790" t="b">
        <f>AND(R1027,OR(W1027="Not Met",W1027=""))</f>
        <v>0</v>
      </c>
      <c r="AF1027" s="1182" t="b">
        <f>AND(AE1027,NOT(Q1027))</f>
        <v>0</v>
      </c>
      <c r="AG1027" s="790"/>
      <c r="AH1027" s="790"/>
      <c r="AI1027" s="790"/>
      <c r="AJ1027" s="790"/>
      <c r="AK1027" s="790"/>
      <c r="AL1027" s="311" t="str">
        <f t="shared" ref="AL1027:AL1031" si="286">SUBSTITUTE(SUBSTITUTE(SUBSTITUTE("vpa"&amp;$B1027&amp;$C1027&amp;$D1027&amp;$E1027&amp;$F1027,".","_"),"(","_"),")","")</f>
        <v>vpa703_3_3 _1_1</v>
      </c>
      <c r="AM1027" s="311">
        <f>M1027</f>
        <v>0</v>
      </c>
      <c r="AN1027" s="790"/>
      <c r="AO1027" s="790"/>
      <c r="AP1027" s="311" t="str">
        <f>SUBSTITUTE(SUBSTITUTE(SUBSTITUTE("vch"&amp;$B1027&amp;$C1027&amp;$D1027&amp;$E1027&amp;$F1027,".","_"),"(","_"),")","")</f>
        <v>vch703_3_3 _1_1</v>
      </c>
      <c r="AQ1027" s="311">
        <f>W1027</f>
        <v>0</v>
      </c>
      <c r="AR1027" s="790"/>
      <c r="AS1027" s="790"/>
      <c r="AT1027" s="790"/>
      <c r="AU1027" s="790"/>
      <c r="AV1027" s="790"/>
      <c r="AW1027" s="790"/>
      <c r="AX1027" s="790"/>
      <c r="AY1027" s="790"/>
      <c r="AZ1027" s="790"/>
      <c r="BA1027" s="790"/>
      <c r="BB1027" s="790"/>
      <c r="BC1027" s="790"/>
      <c r="BD1027" s="790"/>
      <c r="BE1027" s="790"/>
      <c r="BF1027" s="790"/>
      <c r="BG1027" s="790"/>
      <c r="BH1027" s="790"/>
      <c r="BI1027" s="790"/>
      <c r="BJ1027" s="1184" t="s">
        <v>4763</v>
      </c>
    </row>
    <row r="1028" spans="1:62" x14ac:dyDescent="0.3">
      <c r="A1028" s="1200">
        <v>7</v>
      </c>
      <c r="B1028" s="1215" t="s">
        <v>1092</v>
      </c>
      <c r="C1028" s="1215"/>
      <c r="D1028" s="1203" t="s">
        <v>271</v>
      </c>
      <c r="E1028" s="1203" t="s">
        <v>273</v>
      </c>
      <c r="F1028" s="1203"/>
      <c r="G1028" s="1202" t="str">
        <f t="shared" ca="1" si="285"/>
        <v/>
      </c>
      <c r="H1028" s="1200" t="s">
        <v>4386</v>
      </c>
      <c r="I1028" s="4"/>
      <c r="J1028" s="260"/>
      <c r="K1028" s="819"/>
      <c r="L1028" s="819" t="s">
        <v>4055</v>
      </c>
      <c r="M1028" s="799">
        <f>IF(T1003,IFERROR(INDEX({0,3,4,8,11,13,13,13},T1002),0),IFERROR(INDEX({0,2,4,5,6,10,10,10},T1002),0))</f>
        <v>0</v>
      </c>
      <c r="N1028" s="850"/>
      <c r="O1028" s="802"/>
      <c r="P1028" s="1081"/>
      <c r="Q1028" s="1081"/>
      <c r="R1028" s="790"/>
      <c r="S1028" s="790"/>
      <c r="T1028" s="790"/>
      <c r="U1028" s="790"/>
      <c r="V1028" s="790"/>
      <c r="W1028" s="790"/>
      <c r="X1028" s="1303"/>
      <c r="Y1028" s="1522"/>
      <c r="Z1028" s="1586"/>
      <c r="AB1028" s="790"/>
      <c r="AC1028" s="790"/>
      <c r="AD1028" s="790"/>
      <c r="AE1028" s="790"/>
      <c r="AF1028" s="790"/>
      <c r="AG1028" s="790"/>
      <c r="AH1028" s="790"/>
      <c r="AI1028" s="790"/>
      <c r="AJ1028" s="790"/>
      <c r="AK1028" s="790"/>
      <c r="AL1028" s="311" t="str">
        <f t="shared" si="286"/>
        <v>vpa703_3_3 _1_2</v>
      </c>
      <c r="AM1028" s="311">
        <f>M1028</f>
        <v>0</v>
      </c>
      <c r="AN1028" s="790"/>
      <c r="AO1028" s="790"/>
      <c r="AP1028" s="790"/>
      <c r="AQ1028" s="790"/>
      <c r="AR1028" s="790"/>
      <c r="AS1028" s="790"/>
      <c r="AT1028" s="790"/>
      <c r="AU1028" s="790"/>
      <c r="AV1028" s="790"/>
      <c r="AW1028" s="790"/>
      <c r="AX1028" s="790"/>
      <c r="AY1028" s="790"/>
      <c r="AZ1028" s="790"/>
      <c r="BA1028" s="790"/>
      <c r="BB1028" s="790"/>
      <c r="BC1028" s="790"/>
      <c r="BD1028" s="790"/>
      <c r="BE1028" s="790"/>
      <c r="BF1028" s="790"/>
      <c r="BG1028" s="790"/>
      <c r="BH1028" s="790"/>
      <c r="BI1028" s="790"/>
      <c r="BJ1028" s="1184" t="s">
        <v>4763</v>
      </c>
    </row>
    <row r="1029" spans="1:62" x14ac:dyDescent="0.3">
      <c r="A1029" s="1200">
        <v>7</v>
      </c>
      <c r="B1029" s="1215" t="s">
        <v>1092</v>
      </c>
      <c r="C1029" s="1215"/>
      <c r="D1029" s="1203" t="s">
        <v>271</v>
      </c>
      <c r="E1029" s="1203" t="s">
        <v>275</v>
      </c>
      <c r="F1029" s="1203"/>
      <c r="G1029" s="1202" t="str">
        <f t="shared" ca="1" si="285"/>
        <v/>
      </c>
      <c r="H1029" s="1200" t="s">
        <v>4386</v>
      </c>
      <c r="I1029" s="4"/>
      <c r="J1029" s="260"/>
      <c r="K1029" s="819"/>
      <c r="L1029" s="819" t="s">
        <v>4056</v>
      </c>
      <c r="M1029" s="799">
        <f>IF(T1003,IFERROR(INDEX({0,3,4,8,11,13,13,13},T1002),0),IFERROR(INDEX({0,3,7,7,11,18,18,18},T1002),0))</f>
        <v>0</v>
      </c>
      <c r="N1029" s="850"/>
      <c r="O1029" s="802"/>
      <c r="P1029" s="1081"/>
      <c r="Q1029" s="1081"/>
      <c r="R1029" s="790"/>
      <c r="S1029" s="790"/>
      <c r="T1029" s="790"/>
      <c r="U1029" s="790"/>
      <c r="V1029" s="790"/>
      <c r="W1029" s="790"/>
      <c r="X1029" s="1303"/>
      <c r="Y1029" s="1522"/>
      <c r="Z1029" s="1586"/>
      <c r="AB1029" s="790"/>
      <c r="AC1029" s="790"/>
      <c r="AD1029" s="790"/>
      <c r="AE1029" s="790"/>
      <c r="AF1029" s="790"/>
      <c r="AG1029" s="790"/>
      <c r="AH1029" s="790"/>
      <c r="AI1029" s="790"/>
      <c r="AJ1029" s="790"/>
      <c r="AK1029" s="790"/>
      <c r="AL1029" s="311" t="str">
        <f t="shared" si="286"/>
        <v>vpa703_3_3 _1_3</v>
      </c>
      <c r="AM1029" s="311">
        <f>M1029</f>
        <v>0</v>
      </c>
      <c r="AN1029" s="790"/>
      <c r="AO1029" s="790"/>
      <c r="AP1029" s="790"/>
      <c r="AQ1029" s="790"/>
      <c r="AR1029" s="790"/>
      <c r="AS1029" s="790"/>
      <c r="AT1029" s="790"/>
      <c r="AU1029" s="790"/>
      <c r="AV1029" s="790"/>
      <c r="AW1029" s="790"/>
      <c r="AX1029" s="790"/>
      <c r="AY1029" s="790"/>
      <c r="AZ1029" s="790"/>
      <c r="BA1029" s="790"/>
      <c r="BB1029" s="790"/>
      <c r="BC1029" s="790"/>
      <c r="BD1029" s="790"/>
      <c r="BE1029" s="790"/>
      <c r="BF1029" s="790"/>
      <c r="BG1029" s="790"/>
      <c r="BH1029" s="790"/>
      <c r="BI1029" s="790"/>
      <c r="BJ1029" s="1184" t="s">
        <v>4763</v>
      </c>
    </row>
    <row r="1030" spans="1:62" x14ac:dyDescent="0.3">
      <c r="A1030" s="1200">
        <v>7</v>
      </c>
      <c r="B1030" s="1215" t="s">
        <v>1092</v>
      </c>
      <c r="C1030" s="1215"/>
      <c r="D1030" s="1203" t="s">
        <v>271</v>
      </c>
      <c r="E1030" s="1203" t="s">
        <v>285</v>
      </c>
      <c r="F1030" s="1203"/>
      <c r="G1030" s="1202" t="str">
        <f t="shared" ca="1" si="285"/>
        <v/>
      </c>
      <c r="H1030" s="1200" t="s">
        <v>4386</v>
      </c>
      <c r="I1030" s="4"/>
      <c r="J1030" s="626"/>
      <c r="K1030" s="813"/>
      <c r="L1030" s="813" t="s">
        <v>4057</v>
      </c>
      <c r="M1030" s="796">
        <f>IF(T1003,IFERROR(INDEX({0,3,4,8,11,13,13,13},T1002),0),IFERROR(INDEX({1,5,10,10,15,26,26,26},T1002),0))</f>
        <v>0</v>
      </c>
      <c r="N1030" s="855"/>
      <c r="O1030" s="804"/>
      <c r="P1030" s="1081"/>
      <c r="Q1030" s="1081"/>
      <c r="R1030" s="790"/>
      <c r="S1030" s="790"/>
      <c r="T1030" s="790"/>
      <c r="U1030" s="790"/>
      <c r="V1030" s="790"/>
      <c r="W1030" s="790" t="s">
        <v>4059</v>
      </c>
      <c r="X1030" s="1303"/>
      <c r="Y1030" s="1522"/>
      <c r="Z1030" s="1586"/>
      <c r="AB1030" s="790"/>
      <c r="AC1030" s="790"/>
      <c r="AD1030" s="790"/>
      <c r="AE1030" s="790"/>
      <c r="AF1030" s="790"/>
      <c r="AG1030" s="790"/>
      <c r="AH1030" s="790"/>
      <c r="AI1030" s="790"/>
      <c r="AJ1030" s="790"/>
      <c r="AK1030" s="790"/>
      <c r="AL1030" s="311" t="str">
        <f t="shared" si="286"/>
        <v>vpa703_3_3 _1_4</v>
      </c>
      <c r="AM1030" s="311">
        <f>M1030</f>
        <v>0</v>
      </c>
      <c r="AN1030" s="790"/>
      <c r="AO1030" s="790"/>
      <c r="AP1030" s="790"/>
      <c r="AQ1030" s="790"/>
      <c r="AR1030" s="790"/>
      <c r="AS1030" s="790"/>
      <c r="AT1030" s="790"/>
      <c r="AU1030" s="790"/>
      <c r="AV1030" s="790"/>
      <c r="AW1030" s="790"/>
      <c r="AX1030" s="790"/>
      <c r="AY1030" s="790"/>
      <c r="AZ1030" s="790"/>
      <c r="BA1030" s="790"/>
      <c r="BB1030" s="790"/>
      <c r="BC1030" s="790"/>
      <c r="BD1030" s="790"/>
      <c r="BE1030" s="790"/>
      <c r="BF1030" s="790"/>
      <c r="BG1030" s="790"/>
      <c r="BH1030" s="790"/>
      <c r="BI1030" s="790"/>
      <c r="BJ1030" s="1184" t="s">
        <v>4763</v>
      </c>
    </row>
    <row r="1031" spans="1:62" x14ac:dyDescent="0.3">
      <c r="A1031" s="1200">
        <v>7</v>
      </c>
      <c r="B1031" s="1215" t="s">
        <v>1092</v>
      </c>
      <c r="C1031" s="1215"/>
      <c r="D1031" s="1203" t="s">
        <v>275</v>
      </c>
      <c r="E1031" s="1203"/>
      <c r="F1031" s="1203"/>
      <c r="G1031" s="1202" t="str">
        <f ca="1">IF(N1031&gt;0,"P","")</f>
        <v/>
      </c>
      <c r="H1031" s="1200" t="s">
        <v>4386</v>
      </c>
      <c r="I1031" s="238"/>
      <c r="J1031" s="626" t="s">
        <v>275</v>
      </c>
      <c r="K1031" s="813"/>
      <c r="L1031" s="807" t="s">
        <v>4058</v>
      </c>
      <c r="M1031" s="796">
        <f>IFERROR(INDEX({2,7,11,14,16,18,18,18},T1002),0)</f>
        <v>0</v>
      </c>
      <c r="N1031" s="855">
        <f ca="1">'Ch7'!O268</f>
        <v>0</v>
      </c>
      <c r="O1031" s="804">
        <f ca="1">IF(AND(S1031,W1031&gt;=1.3),M1031,0)</f>
        <v>0</v>
      </c>
      <c r="P1031" s="97" t="b">
        <v>1</v>
      </c>
      <c r="Q1031" s="97" t="b">
        <v>1</v>
      </c>
      <c r="R1031" s="196" t="b">
        <v>0</v>
      </c>
      <c r="S1031" s="196" t="b">
        <f ca="1">AND(S776=2,LEN(W1007)=0,LEN(W1013)=0,LEN(W1016)=0,LEN(W1021)=0,LEN(W1027)=0,NOT(W1043=TRUE),LEN(W1048)=0)</f>
        <v>0</v>
      </c>
      <c r="T1031" s="196" t="b">
        <f ca="1">AND(NOT(S1031),LEN(W1031)&gt;0)</f>
        <v>0</v>
      </c>
      <c r="U1031" s="196"/>
      <c r="V1031" s="196"/>
      <c r="W1031" s="584"/>
      <c r="X1031" s="809"/>
      <c r="Y1031" s="841" t="str">
        <f>IF(LEN('Ch7'!X268)=0,"None",'Ch7'!X268)</f>
        <v>None</v>
      </c>
      <c r="Z1031" s="1169"/>
      <c r="AB1031" s="790"/>
      <c r="AC1031" s="790" t="b">
        <f ca="1">OR(AD1031:AE1031)</f>
        <v>0</v>
      </c>
      <c r="AD1031" s="790" t="b">
        <f ca="1">T1031</f>
        <v>0</v>
      </c>
      <c r="AE1031" s="790" t="b">
        <f>AND(R1031,OR(W1031="Not Met",W1031=""))</f>
        <v>0</v>
      </c>
      <c r="AF1031" s="1182" t="b">
        <f>AND(AE1031,NOT(Q1031))</f>
        <v>0</v>
      </c>
      <c r="AG1031" s="790"/>
      <c r="AH1031" s="790"/>
      <c r="AI1031" s="790"/>
      <c r="AJ1031" s="790"/>
      <c r="AK1031" s="790"/>
      <c r="AL1031" s="311" t="str">
        <f t="shared" si="286"/>
        <v>vpa703_3_3 _3</v>
      </c>
      <c r="AM1031" s="311">
        <f>M1031</f>
        <v>0</v>
      </c>
      <c r="AN1031" s="311" t="str">
        <f>SUBSTITUTE(SUBSTITUTE(SUBSTITUTE("vpc"&amp;$B1031&amp;$C1031&amp;$D1031&amp;$E1031&amp;$F1031,".","_"),"(","_"),")","")</f>
        <v>vpc703_3_3 _3</v>
      </c>
      <c r="AO1031" s="311">
        <f ca="1">O1031</f>
        <v>0</v>
      </c>
      <c r="AP1031" s="311" t="str">
        <f>SUBSTITUTE(SUBSTITUTE(SUBSTITUTE("vch"&amp;$B1031&amp;$C1031&amp;$D1031&amp;$E1031&amp;$F1031,".","_"),"(","_"),")","")</f>
        <v>vch703_3_3 _3</v>
      </c>
      <c r="AQ1031" s="311">
        <f>W1031</f>
        <v>0</v>
      </c>
      <c r="AR1031" s="311" t="str">
        <f>SUBSTITUTE(SUBSTITUTE(SUBSTITUTE("vnt"&amp;$B1031&amp;$C1031&amp;$D1031&amp;$E1031&amp;$F1031,".","_"),"(","_"),")","")</f>
        <v>vnt703_3_3 _3</v>
      </c>
      <c r="AS1031" s="311">
        <f>X1031</f>
        <v>0</v>
      </c>
      <c r="AT1031" s="790"/>
      <c r="AU1031" s="790"/>
      <c r="AV1031" s="790"/>
      <c r="AW1031" s="790"/>
      <c r="AX1031" s="790"/>
      <c r="AY1031" s="790"/>
      <c r="AZ1031" s="790"/>
      <c r="BA1031" s="790"/>
      <c r="BB1031" s="790"/>
      <c r="BC1031" s="790"/>
      <c r="BD1031" s="790"/>
      <c r="BE1031" s="790"/>
      <c r="BF1031" s="790"/>
      <c r="BG1031" s="790"/>
      <c r="BH1031" s="790"/>
      <c r="BI1031" s="790"/>
      <c r="BJ1031" s="1184" t="s">
        <v>4763</v>
      </c>
    </row>
    <row r="1032" spans="1:62" x14ac:dyDescent="0.3">
      <c r="A1032" s="1200">
        <v>7</v>
      </c>
      <c r="B1032" s="1215" t="s">
        <v>1094</v>
      </c>
      <c r="C1032" s="1215"/>
      <c r="D1032" s="1203"/>
      <c r="E1032" s="1203"/>
      <c r="F1032" s="1203"/>
      <c r="G1032" s="1196" t="str">
        <f ca="1">IF(COUNTIF(G1035:G1042,"P")&gt;0,"P","")</f>
        <v/>
      </c>
      <c r="H1032" s="1200" t="s">
        <v>4386</v>
      </c>
      <c r="I1032" s="68" t="s">
        <v>1094</v>
      </c>
      <c r="J1032" s="819"/>
      <c r="K1032" s="819"/>
      <c r="L1032" s="1389" t="s">
        <v>1095</v>
      </c>
      <c r="M1032" s="799"/>
      <c r="N1032" s="850"/>
      <c r="O1032" s="802"/>
      <c r="P1032" s="1081"/>
      <c r="Q1032" s="1081"/>
      <c r="R1032" s="790"/>
      <c r="S1032" s="790"/>
      <c r="T1032" s="790"/>
      <c r="U1032" s="790"/>
      <c r="V1032" s="790"/>
      <c r="W1032" s="790"/>
      <c r="X1032" s="790"/>
      <c r="Y1032" s="790"/>
      <c r="Z1032" s="1055"/>
      <c r="AB1032" s="790"/>
      <c r="AC1032" s="790"/>
      <c r="AD1032" s="790"/>
      <c r="AE1032" s="790"/>
      <c r="AF1032" s="790"/>
      <c r="AG1032" s="790"/>
      <c r="AH1032" s="790"/>
      <c r="AI1032" s="790"/>
      <c r="AJ1032" s="790"/>
      <c r="AK1032" s="790"/>
      <c r="AL1032" s="790"/>
      <c r="AM1032" s="790"/>
      <c r="AN1032" s="790"/>
      <c r="AO1032" s="790"/>
      <c r="AP1032" s="790"/>
      <c r="AQ1032" s="790"/>
      <c r="AR1032" s="790"/>
      <c r="AS1032" s="790"/>
      <c r="AT1032" s="790"/>
      <c r="AU1032" s="790"/>
      <c r="AV1032" s="790"/>
      <c r="AW1032" s="790"/>
      <c r="AX1032" s="790"/>
      <c r="AY1032" s="790"/>
      <c r="AZ1032" s="790"/>
      <c r="BA1032" s="790"/>
      <c r="BB1032" s="790"/>
      <c r="BC1032" s="790"/>
      <c r="BD1032" s="790"/>
      <c r="BE1032" s="790"/>
      <c r="BF1032" s="790"/>
      <c r="BG1032" s="790"/>
      <c r="BH1032" s="790"/>
      <c r="BI1032" s="790"/>
      <c r="BJ1032" s="1184" t="s">
        <v>4763</v>
      </c>
    </row>
    <row r="1033" spans="1:62" x14ac:dyDescent="0.3">
      <c r="A1033" s="1200">
        <v>7</v>
      </c>
      <c r="B1033" s="1215" t="s">
        <v>1094</v>
      </c>
      <c r="C1033" s="1215"/>
      <c r="D1033" s="1203"/>
      <c r="E1033" s="1203"/>
      <c r="F1033" s="1203"/>
      <c r="G1033" s="1202" t="str">
        <f t="shared" ref="G1033:G1034" ca="1" si="287">G1032</f>
        <v/>
      </c>
      <c r="H1033" s="1200" t="s">
        <v>4386</v>
      </c>
      <c r="I1033" s="4"/>
      <c r="J1033" s="819"/>
      <c r="K1033" s="819"/>
      <c r="L1033" s="1389"/>
      <c r="M1033" s="799"/>
      <c r="N1033" s="850"/>
      <c r="O1033" s="802"/>
      <c r="P1033" s="1081"/>
      <c r="Q1033" s="1081"/>
      <c r="R1033" s="790"/>
      <c r="S1033" s="790"/>
      <c r="T1033" s="790"/>
      <c r="U1033" s="790"/>
      <c r="V1033" s="790"/>
      <c r="W1033" s="790"/>
      <c r="X1033" s="790"/>
      <c r="Y1033" s="790"/>
      <c r="Z1033" s="1055"/>
      <c r="AB1033" s="790"/>
      <c r="AC1033" s="790"/>
      <c r="AD1033" s="790"/>
      <c r="AE1033" s="790"/>
      <c r="AF1033" s="790"/>
      <c r="AG1033" s="790"/>
      <c r="AH1033" s="790"/>
      <c r="AI1033" s="790"/>
      <c r="AJ1033" s="790"/>
      <c r="AK1033" s="790"/>
      <c r="AL1033" s="790"/>
      <c r="AM1033" s="790"/>
      <c r="AN1033" s="790"/>
      <c r="AO1033" s="790"/>
      <c r="AP1033" s="790"/>
      <c r="AQ1033" s="790"/>
      <c r="AR1033" s="790"/>
      <c r="AS1033" s="790"/>
      <c r="AT1033" s="790"/>
      <c r="AU1033" s="790"/>
      <c r="AV1033" s="790"/>
      <c r="AW1033" s="790"/>
      <c r="AX1033" s="790"/>
      <c r="AY1033" s="790"/>
      <c r="AZ1033" s="790"/>
      <c r="BA1033" s="790"/>
      <c r="BB1033" s="790"/>
      <c r="BC1033" s="790"/>
      <c r="BD1033" s="790"/>
      <c r="BE1033" s="790"/>
      <c r="BF1033" s="790"/>
      <c r="BG1033" s="790"/>
      <c r="BH1033" s="790"/>
      <c r="BI1033" s="790"/>
      <c r="BJ1033" s="1184" t="s">
        <v>4763</v>
      </c>
    </row>
    <row r="1034" spans="1:62" x14ac:dyDescent="0.3">
      <c r="A1034" s="1200">
        <v>7</v>
      </c>
      <c r="B1034" s="1215" t="s">
        <v>1094</v>
      </c>
      <c r="C1034" s="1215"/>
      <c r="D1034" s="1203"/>
      <c r="E1034" s="1203"/>
      <c r="F1034" s="1203"/>
      <c r="G1034" s="1202" t="str">
        <f t="shared" ca="1" si="287"/>
        <v/>
      </c>
      <c r="H1034" s="1200" t="s">
        <v>4386</v>
      </c>
      <c r="I1034" s="4"/>
      <c r="J1034" s="819"/>
      <c r="K1034" s="819"/>
      <c r="L1034" s="1389"/>
      <c r="M1034" s="799"/>
      <c r="N1034" s="850"/>
      <c r="O1034" s="802"/>
      <c r="P1034" s="1081"/>
      <c r="Q1034" s="1081"/>
      <c r="R1034" s="790"/>
      <c r="S1034" s="790"/>
      <c r="T1034" s="790"/>
      <c r="U1034" s="790"/>
      <c r="V1034" s="790"/>
      <c r="W1034" s="790"/>
      <c r="X1034" s="790"/>
      <c r="Y1034" s="790"/>
      <c r="Z1034" s="1055"/>
      <c r="AB1034" s="790"/>
      <c r="AC1034" s="790"/>
      <c r="AD1034" s="790"/>
      <c r="AE1034" s="790"/>
      <c r="AF1034" s="790"/>
      <c r="AG1034" s="790"/>
      <c r="AH1034" s="790"/>
      <c r="AI1034" s="790"/>
      <c r="AJ1034" s="790"/>
      <c r="AK1034" s="790"/>
      <c r="AL1034" s="790"/>
      <c r="AM1034" s="790"/>
      <c r="AN1034" s="790"/>
      <c r="AO1034" s="790"/>
      <c r="AP1034" s="790"/>
      <c r="AQ1034" s="790"/>
      <c r="AR1034" s="790"/>
      <c r="AS1034" s="790"/>
      <c r="AT1034" s="790"/>
      <c r="AU1034" s="790"/>
      <c r="AV1034" s="790"/>
      <c r="AW1034" s="790"/>
      <c r="AX1034" s="790"/>
      <c r="AY1034" s="790"/>
      <c r="AZ1034" s="790"/>
      <c r="BA1034" s="790"/>
      <c r="BB1034" s="790"/>
      <c r="BC1034" s="790"/>
      <c r="BD1034" s="790"/>
      <c r="BE1034" s="790"/>
      <c r="BF1034" s="790"/>
      <c r="BG1034" s="790"/>
      <c r="BH1034" s="790"/>
      <c r="BI1034" s="790"/>
      <c r="BJ1034" s="1184" t="s">
        <v>4763</v>
      </c>
    </row>
    <row r="1035" spans="1:62" x14ac:dyDescent="0.3">
      <c r="A1035" s="1200">
        <v>7</v>
      </c>
      <c r="B1035" s="1215" t="s">
        <v>1094</v>
      </c>
      <c r="C1035" s="1215"/>
      <c r="D1035" s="1203" t="s">
        <v>271</v>
      </c>
      <c r="E1035" s="1203"/>
      <c r="F1035" s="1203"/>
      <c r="G1035" s="1202" t="str">
        <f ca="1">IF(N1035&gt;0,"P","")</f>
        <v/>
      </c>
      <c r="H1035" s="1200" t="s">
        <v>4386</v>
      </c>
      <c r="I1035" s="4"/>
      <c r="J1035" s="260" t="s">
        <v>271</v>
      </c>
      <c r="K1035" s="819"/>
      <c r="L1035" s="808" t="s">
        <v>4067</v>
      </c>
      <c r="M1035" s="799"/>
      <c r="N1035" s="850">
        <f ca="1">'Ch7'!O272</f>
        <v>0</v>
      </c>
      <c r="O1035" s="802">
        <f ca="1">IFERROR(INDEX(M1036:M1039,MATCH(W1036,{15,17,19,21},1)),0)*S1036</f>
        <v>0</v>
      </c>
      <c r="P1035" s="1081"/>
      <c r="Q1035" s="1081"/>
      <c r="R1035" s="790"/>
      <c r="S1035" s="790"/>
      <c r="T1035" s="790"/>
      <c r="U1035" s="790"/>
      <c r="V1035" s="790"/>
      <c r="W1035" s="790" t="s">
        <v>4069</v>
      </c>
      <c r="X1035" s="1303"/>
      <c r="Y1035" s="1522" t="str">
        <f>IF(LEN('Ch7'!X272)=0,"None",'Ch7'!X272)</f>
        <v>None</v>
      </c>
      <c r="Z1035" s="1586"/>
      <c r="AB1035" s="790"/>
      <c r="AC1035" s="790"/>
      <c r="AD1035" s="790"/>
      <c r="AE1035" s="790"/>
      <c r="AF1035" s="790"/>
      <c r="AG1035" s="790"/>
      <c r="AH1035" s="790"/>
      <c r="AI1035" s="790"/>
      <c r="AJ1035" s="790"/>
      <c r="AK1035" s="790"/>
      <c r="AL1035" s="790"/>
      <c r="AM1035" s="790"/>
      <c r="AN1035" s="311" t="str">
        <f>SUBSTITUTE(SUBSTITUTE(SUBSTITUTE("vpc"&amp;$B1035&amp;$C1035&amp;$D1035&amp;$E1035&amp;$F1035,".","_"),"(","_"),")","")</f>
        <v>vpc703_3_4_1</v>
      </c>
      <c r="AO1035" s="311">
        <f ca="1">O1035</f>
        <v>0</v>
      </c>
      <c r="AP1035" s="790"/>
      <c r="AQ1035" s="790"/>
      <c r="AR1035" s="311" t="str">
        <f>SUBSTITUTE(SUBSTITUTE(SUBSTITUTE("vnt"&amp;$B1035&amp;$C1035&amp;$D1035&amp;$E1035&amp;$F1035,".","_"),"(","_"),")","")</f>
        <v>vnt703_3_4_1</v>
      </c>
      <c r="AS1035" s="311">
        <f>X1035</f>
        <v>0</v>
      </c>
      <c r="AT1035" s="790"/>
      <c r="AU1035" s="790"/>
      <c r="AV1035" s="790"/>
      <c r="AW1035" s="790"/>
      <c r="AX1035" s="790"/>
      <c r="AY1035" s="790"/>
      <c r="AZ1035" s="790"/>
      <c r="BA1035" s="790"/>
      <c r="BB1035" s="790"/>
      <c r="BC1035" s="790"/>
      <c r="BD1035" s="790"/>
      <c r="BE1035" s="790"/>
      <c r="BF1035" s="790"/>
      <c r="BG1035" s="790"/>
      <c r="BH1035" s="790"/>
      <c r="BI1035" s="790"/>
      <c r="BJ1035" s="1184" t="s">
        <v>4763</v>
      </c>
    </row>
    <row r="1036" spans="1:62" x14ac:dyDescent="0.3">
      <c r="A1036" s="1200">
        <v>7</v>
      </c>
      <c r="B1036" s="1215" t="s">
        <v>1094</v>
      </c>
      <c r="C1036" s="1215"/>
      <c r="D1036" s="1203" t="s">
        <v>271</v>
      </c>
      <c r="E1036" s="1203" t="s">
        <v>271</v>
      </c>
      <c r="F1036" s="1203"/>
      <c r="G1036" s="1202" t="str">
        <f t="shared" ref="G1036:G1039" ca="1" si="288">G1035</f>
        <v/>
      </c>
      <c r="H1036" s="1200" t="s">
        <v>4386</v>
      </c>
      <c r="I1036" s="4"/>
      <c r="J1036" s="260"/>
      <c r="K1036" s="819"/>
      <c r="L1036" s="819" t="s">
        <v>4061</v>
      </c>
      <c r="M1036" s="799">
        <f>IFERROR(INDEX({9,6,3,1,1,1,1,0},T1002),0)</f>
        <v>0</v>
      </c>
      <c r="N1036" s="850"/>
      <c r="O1036" s="802"/>
      <c r="P1036" s="97" t="b">
        <v>1</v>
      </c>
      <c r="Q1036" s="97" t="b">
        <v>1</v>
      </c>
      <c r="R1036" s="790" t="b">
        <v>0</v>
      </c>
      <c r="S1036" s="790" t="b">
        <f ca="1">AND(S776=2,NOT(W1040=TRUE),LEN(W1042)=0,NOT(W1043=TRUE),LEN(W1048)=0)</f>
        <v>0</v>
      </c>
      <c r="T1036" s="97" t="b">
        <f ca="1">AND(NOT(S1036),LEN(W1036)&gt;0)</f>
        <v>0</v>
      </c>
      <c r="U1036" s="790"/>
      <c r="V1036" s="790"/>
      <c r="W1036" s="584"/>
      <c r="X1036" s="1303"/>
      <c r="Y1036" s="1522"/>
      <c r="Z1036" s="1586"/>
      <c r="AB1036" s="790"/>
      <c r="AC1036" s="790" t="b">
        <f ca="1">OR(AD1036:AE1036)</f>
        <v>0</v>
      </c>
      <c r="AD1036" s="790" t="b">
        <f ca="1">T1036</f>
        <v>0</v>
      </c>
      <c r="AE1036" s="790" t="b">
        <f>AND(R1036,OR(W1036="Not Met",W1036=""))</f>
        <v>0</v>
      </c>
      <c r="AF1036" s="1182" t="b">
        <f>AND(AE1036,NOT(Q1036))</f>
        <v>0</v>
      </c>
      <c r="AG1036" s="790"/>
      <c r="AH1036" s="790"/>
      <c r="AI1036" s="790"/>
      <c r="AJ1036" s="790"/>
      <c r="AK1036" s="790"/>
      <c r="AL1036" s="311" t="str">
        <f t="shared" ref="AL1036:AL1043" si="289">SUBSTITUTE(SUBSTITUTE(SUBSTITUTE("vpa"&amp;$B1036&amp;$C1036&amp;$D1036&amp;$E1036&amp;$F1036,".","_"),"(","_"),")","")</f>
        <v>vpa703_3_4_1_1</v>
      </c>
      <c r="AM1036" s="311">
        <f t="shared" ref="AM1036:AM1043" si="290">M1036</f>
        <v>0</v>
      </c>
      <c r="AN1036" s="790"/>
      <c r="AO1036" s="790"/>
      <c r="AP1036" s="311" t="str">
        <f>SUBSTITUTE(SUBSTITUTE(SUBSTITUTE("vch"&amp;$B1036&amp;$C1036&amp;$D1036&amp;$E1036&amp;$F1036,".","_"),"(","_"),")","")</f>
        <v>vch703_3_4_1_1</v>
      </c>
      <c r="AQ1036" s="311">
        <f>W1036</f>
        <v>0</v>
      </c>
      <c r="AR1036" s="790"/>
      <c r="AS1036" s="790"/>
      <c r="AT1036" s="790"/>
      <c r="AU1036" s="790"/>
      <c r="AV1036" s="790"/>
      <c r="AW1036" s="790"/>
      <c r="AX1036" s="790"/>
      <c r="AY1036" s="790"/>
      <c r="AZ1036" s="790"/>
      <c r="BA1036" s="790"/>
      <c r="BB1036" s="790"/>
      <c r="BC1036" s="790"/>
      <c r="BD1036" s="790"/>
      <c r="BE1036" s="790"/>
      <c r="BF1036" s="790"/>
      <c r="BG1036" s="790"/>
      <c r="BH1036" s="790"/>
      <c r="BI1036" s="790"/>
      <c r="BJ1036" s="1184" t="s">
        <v>4763</v>
      </c>
    </row>
    <row r="1037" spans="1:62" x14ac:dyDescent="0.3">
      <c r="A1037" s="1200">
        <v>7</v>
      </c>
      <c r="B1037" s="1215" t="s">
        <v>1094</v>
      </c>
      <c r="C1037" s="1215"/>
      <c r="D1037" s="1203" t="s">
        <v>271</v>
      </c>
      <c r="E1037" s="1203" t="s">
        <v>273</v>
      </c>
      <c r="F1037" s="1203"/>
      <c r="G1037" s="1202" t="str">
        <f t="shared" ca="1" si="288"/>
        <v/>
      </c>
      <c r="H1037" s="1200" t="s">
        <v>4386</v>
      </c>
      <c r="I1037" s="4"/>
      <c r="J1037" s="260"/>
      <c r="K1037" s="819"/>
      <c r="L1037" s="819" t="s">
        <v>4062</v>
      </c>
      <c r="M1037" s="799">
        <f>IFERROR(INDEX({11,9,7,3,3,2,2,0},T1002),0)</f>
        <v>0</v>
      </c>
      <c r="N1037" s="850"/>
      <c r="O1037" s="802"/>
      <c r="P1037" s="1081"/>
      <c r="Q1037" s="1081"/>
      <c r="R1037" s="790"/>
      <c r="S1037" s="790"/>
      <c r="T1037" s="790"/>
      <c r="U1037" s="790"/>
      <c r="V1037" s="790"/>
      <c r="W1037" s="790"/>
      <c r="X1037" s="1303"/>
      <c r="Y1037" s="1522"/>
      <c r="Z1037" s="1586"/>
      <c r="AB1037" s="790"/>
      <c r="AC1037" s="790"/>
      <c r="AD1037" s="790"/>
      <c r="AE1037" s="790"/>
      <c r="AF1037" s="790"/>
      <c r="AG1037" s="790"/>
      <c r="AH1037" s="790"/>
      <c r="AI1037" s="790"/>
      <c r="AJ1037" s="790"/>
      <c r="AK1037" s="790"/>
      <c r="AL1037" s="311" t="str">
        <f t="shared" si="289"/>
        <v>vpa703_3_4_1_2</v>
      </c>
      <c r="AM1037" s="311">
        <f t="shared" si="290"/>
        <v>0</v>
      </c>
      <c r="AN1037" s="790"/>
      <c r="AO1037" s="790"/>
      <c r="AP1037" s="790"/>
      <c r="AQ1037" s="790"/>
      <c r="AR1037" s="790"/>
      <c r="AS1037" s="790"/>
      <c r="AT1037" s="790"/>
      <c r="AU1037" s="790"/>
      <c r="AV1037" s="790"/>
      <c r="AW1037" s="790"/>
      <c r="AX1037" s="790"/>
      <c r="AY1037" s="790"/>
      <c r="AZ1037" s="790"/>
      <c r="BA1037" s="790"/>
      <c r="BB1037" s="790"/>
      <c r="BC1037" s="790"/>
      <c r="BD1037" s="790"/>
      <c r="BE1037" s="790"/>
      <c r="BF1037" s="790"/>
      <c r="BG1037" s="790"/>
      <c r="BH1037" s="790"/>
      <c r="BI1037" s="790"/>
      <c r="BJ1037" s="1184" t="s">
        <v>4763</v>
      </c>
    </row>
    <row r="1038" spans="1:62" x14ac:dyDescent="0.3">
      <c r="A1038" s="1200">
        <v>7</v>
      </c>
      <c r="B1038" s="1215" t="s">
        <v>1094</v>
      </c>
      <c r="C1038" s="1215"/>
      <c r="D1038" s="1203" t="s">
        <v>271</v>
      </c>
      <c r="E1038" s="1203" t="s">
        <v>275</v>
      </c>
      <c r="F1038" s="1203"/>
      <c r="G1038" s="1202" t="str">
        <f t="shared" ca="1" si="288"/>
        <v/>
      </c>
      <c r="H1038" s="1200" t="s">
        <v>4386</v>
      </c>
      <c r="I1038" s="4"/>
      <c r="J1038" s="260"/>
      <c r="K1038" s="819"/>
      <c r="L1038" s="819" t="s">
        <v>4063</v>
      </c>
      <c r="M1038" s="799">
        <f>IFERROR(INDEX({19,12,10,6,4,4,4,0},T1002),0)</f>
        <v>0</v>
      </c>
      <c r="N1038" s="850"/>
      <c r="O1038" s="802"/>
      <c r="P1038" s="1081"/>
      <c r="Q1038" s="1081"/>
      <c r="R1038" s="790"/>
      <c r="S1038" s="790"/>
      <c r="T1038" s="790"/>
      <c r="U1038" s="790"/>
      <c r="V1038" s="790"/>
      <c r="W1038" s="790"/>
      <c r="X1038" s="1303"/>
      <c r="Y1038" s="1522"/>
      <c r="Z1038" s="1586"/>
      <c r="AB1038" s="790"/>
      <c r="AC1038" s="790"/>
      <c r="AD1038" s="790"/>
      <c r="AE1038" s="790"/>
      <c r="AF1038" s="790"/>
      <c r="AG1038" s="790"/>
      <c r="AH1038" s="790"/>
      <c r="AI1038" s="790"/>
      <c r="AJ1038" s="790"/>
      <c r="AK1038" s="790"/>
      <c r="AL1038" s="311" t="str">
        <f t="shared" si="289"/>
        <v>vpa703_3_4_1_3</v>
      </c>
      <c r="AM1038" s="311">
        <f t="shared" si="290"/>
        <v>0</v>
      </c>
      <c r="AN1038" s="790"/>
      <c r="AO1038" s="790"/>
      <c r="AP1038" s="790"/>
      <c r="AQ1038" s="790"/>
      <c r="AR1038" s="790"/>
      <c r="AS1038" s="790"/>
      <c r="AT1038" s="790"/>
      <c r="AU1038" s="790"/>
      <c r="AV1038" s="790"/>
      <c r="AW1038" s="790"/>
      <c r="AX1038" s="790"/>
      <c r="AY1038" s="790"/>
      <c r="AZ1038" s="790"/>
      <c r="BA1038" s="790"/>
      <c r="BB1038" s="790"/>
      <c r="BC1038" s="790"/>
      <c r="BD1038" s="790"/>
      <c r="BE1038" s="790"/>
      <c r="BF1038" s="790"/>
      <c r="BG1038" s="790"/>
      <c r="BH1038" s="790"/>
      <c r="BI1038" s="790"/>
      <c r="BJ1038" s="1184" t="s">
        <v>4763</v>
      </c>
    </row>
    <row r="1039" spans="1:62" x14ac:dyDescent="0.3">
      <c r="A1039" s="1200">
        <v>7</v>
      </c>
      <c r="B1039" s="1215" t="s">
        <v>1094</v>
      </c>
      <c r="C1039" s="1215"/>
      <c r="D1039" s="1203" t="s">
        <v>271</v>
      </c>
      <c r="E1039" s="1203" t="s">
        <v>285</v>
      </c>
      <c r="F1039" s="1203"/>
      <c r="G1039" s="1202" t="str">
        <f t="shared" ca="1" si="288"/>
        <v/>
      </c>
      <c r="H1039" s="1200" t="s">
        <v>4386</v>
      </c>
      <c r="I1039" s="4"/>
      <c r="J1039" s="260"/>
      <c r="K1039" s="819"/>
      <c r="L1039" s="819" t="s">
        <v>4064</v>
      </c>
      <c r="M1039" s="799">
        <f>IFERROR(INDEX({26,15,14,8,6,6,5,0},T1002),0)</f>
        <v>0</v>
      </c>
      <c r="N1039" s="850"/>
      <c r="O1039" s="802"/>
      <c r="P1039" s="1081"/>
      <c r="Q1039" s="1081"/>
      <c r="R1039" s="790"/>
      <c r="S1039" s="790"/>
      <c r="T1039" s="790"/>
      <c r="U1039" s="790"/>
      <c r="V1039" s="790"/>
      <c r="W1039" s="790"/>
      <c r="X1039" s="1303"/>
      <c r="Y1039" s="1522"/>
      <c r="Z1039" s="1586"/>
      <c r="AB1039" s="790"/>
      <c r="AC1039" s="790"/>
      <c r="AD1039" s="790"/>
      <c r="AE1039" s="790"/>
      <c r="AF1039" s="790"/>
      <c r="AG1039" s="790"/>
      <c r="AH1039" s="790"/>
      <c r="AI1039" s="790"/>
      <c r="AJ1039" s="790"/>
      <c r="AK1039" s="790"/>
      <c r="AL1039" s="311" t="str">
        <f t="shared" si="289"/>
        <v>vpa703_3_4_1_4</v>
      </c>
      <c r="AM1039" s="311">
        <f t="shared" si="290"/>
        <v>0</v>
      </c>
      <c r="AN1039" s="790"/>
      <c r="AO1039" s="790"/>
      <c r="AP1039" s="790"/>
      <c r="AQ1039" s="790"/>
      <c r="AR1039" s="790"/>
      <c r="AS1039" s="790"/>
      <c r="AT1039" s="790"/>
      <c r="AU1039" s="790"/>
      <c r="AV1039" s="790"/>
      <c r="AW1039" s="790"/>
      <c r="AX1039" s="790"/>
      <c r="AY1039" s="790"/>
      <c r="AZ1039" s="790"/>
      <c r="BA1039" s="790"/>
      <c r="BB1039" s="790"/>
      <c r="BC1039" s="790"/>
      <c r="BD1039" s="790"/>
      <c r="BE1039" s="790"/>
      <c r="BF1039" s="790"/>
      <c r="BG1039" s="790"/>
      <c r="BH1039" s="790"/>
      <c r="BI1039" s="790"/>
      <c r="BJ1039" s="1184" t="s">
        <v>4763</v>
      </c>
    </row>
    <row r="1040" spans="1:62" x14ac:dyDescent="0.3">
      <c r="A1040" s="1200">
        <v>7</v>
      </c>
      <c r="B1040" s="1215" t="s">
        <v>1094</v>
      </c>
      <c r="C1040" s="1215"/>
      <c r="D1040" s="1203" t="s">
        <v>271</v>
      </c>
      <c r="E1040" s="1205" t="s">
        <v>291</v>
      </c>
      <c r="F1040" s="1203"/>
      <c r="G1040" s="1202" t="str">
        <f ca="1">IF(N1040&gt;0,"P","")</f>
        <v/>
      </c>
      <c r="H1040" s="1200" t="s">
        <v>4386</v>
      </c>
      <c r="I1040" s="4"/>
      <c r="J1040" s="97"/>
      <c r="K1040" s="614" t="s">
        <v>4066</v>
      </c>
      <c r="L1040" s="1293" t="s">
        <v>4065</v>
      </c>
      <c r="M1040" s="1318">
        <v>20</v>
      </c>
      <c r="N1040" s="1308">
        <f ca="1">'Ch7'!O277</f>
        <v>0</v>
      </c>
      <c r="O1040" s="1308">
        <f ca="1">M1040*S1040*W1040</f>
        <v>0</v>
      </c>
      <c r="P1040" s="97" t="b">
        <v>1</v>
      </c>
      <c r="Q1040" s="97" t="b">
        <v>1</v>
      </c>
      <c r="R1040" s="790" t="b">
        <v>0</v>
      </c>
      <c r="S1040" s="422" t="b">
        <f ca="1">AND(S776=2,BI779="Tropical",LEN(W1036)=0,LEN(W1042)=0,NOT(W1043=TRUE),LEN(W1048)=0)</f>
        <v>0</v>
      </c>
      <c r="T1040" s="97" t="b">
        <f ca="1">AND(NOT(S1040),W1040=TRUE)</f>
        <v>0</v>
      </c>
      <c r="U1040" s="790"/>
      <c r="V1040" s="790"/>
      <c r="W1040" s="25"/>
      <c r="X1040" s="1303"/>
      <c r="Y1040" s="1522" t="str">
        <f>IF(LEN('Ch7'!X277)=0,"None",'Ch7'!X277)</f>
        <v>None</v>
      </c>
      <c r="Z1040" s="1586"/>
      <c r="AB1040" s="790"/>
      <c r="AC1040" s="790" t="b">
        <f ca="1">OR(AD1040:AE1040)</f>
        <v>0</v>
      </c>
      <c r="AD1040" s="790" t="b">
        <f ca="1">T1040</f>
        <v>0</v>
      </c>
      <c r="AE1040" s="790" t="b">
        <f>AND(R1040,NOT(W1040))</f>
        <v>0</v>
      </c>
      <c r="AF1040" s="1182" t="b">
        <f>AND(AE1040,NOT(Q1040))</f>
        <v>0</v>
      </c>
      <c r="AG1040" s="790"/>
      <c r="AH1040" s="790"/>
      <c r="AI1040" s="790"/>
      <c r="AJ1040" s="790"/>
      <c r="AK1040" s="790"/>
      <c r="AL1040" s="311" t="str">
        <f t="shared" si="289"/>
        <v>vpa703_3_4_1_5</v>
      </c>
      <c r="AM1040" s="311">
        <f t="shared" si="290"/>
        <v>20</v>
      </c>
      <c r="AN1040" s="311" t="str">
        <f>SUBSTITUTE(SUBSTITUTE(SUBSTITUTE("vpc"&amp;$B1040&amp;$C1040&amp;$D1040&amp;$E1040&amp;$F1040,".","_"),"(","_"),")","")</f>
        <v>vpc703_3_4_1_5</v>
      </c>
      <c r="AO1040" s="311">
        <f ca="1">O1040</f>
        <v>0</v>
      </c>
      <c r="AP1040" s="311" t="str">
        <f>SUBSTITUTE(SUBSTITUTE(SUBSTITUTE("vch"&amp;$B1040&amp;$C1040&amp;$D1040&amp;$E1040&amp;$F1040,".","_"),"(","_"),")","")</f>
        <v>vch703_3_4_1_5</v>
      </c>
      <c r="AQ1040" s="311">
        <f>W1040</f>
        <v>0</v>
      </c>
      <c r="AR1040" s="311" t="str">
        <f>SUBSTITUTE(SUBSTITUTE(SUBSTITUTE("vnt"&amp;$B1040&amp;$C1040&amp;$D1040&amp;$E1040&amp;$F1040,".","_"),"(","_"),")","")</f>
        <v>vnt703_3_4_1_5</v>
      </c>
      <c r="AS1040" s="311">
        <f>X1040</f>
        <v>0</v>
      </c>
      <c r="AT1040" s="790"/>
      <c r="AU1040" s="790"/>
      <c r="AV1040" s="790"/>
      <c r="AW1040" s="790"/>
      <c r="AX1040" s="790"/>
      <c r="AY1040" s="790"/>
      <c r="AZ1040" s="790"/>
      <c r="BA1040" s="790"/>
      <c r="BB1040" s="790"/>
      <c r="BC1040" s="790"/>
      <c r="BD1040" s="790"/>
      <c r="BE1040" s="790"/>
      <c r="BF1040" s="790"/>
      <c r="BG1040" s="790"/>
      <c r="BH1040" s="790"/>
      <c r="BI1040" s="790"/>
      <c r="BJ1040" s="1184" t="s">
        <v>4763</v>
      </c>
    </row>
    <row r="1041" spans="1:62" x14ac:dyDescent="0.3">
      <c r="A1041" s="1200">
        <v>7</v>
      </c>
      <c r="B1041" s="1215" t="s">
        <v>1094</v>
      </c>
      <c r="C1041" s="1215"/>
      <c r="D1041" s="1203" t="s">
        <v>271</v>
      </c>
      <c r="E1041" s="1203"/>
      <c r="F1041" s="1203"/>
      <c r="G1041" s="1202" t="str">
        <f t="shared" ref="G1041" ca="1" si="291">G1040</f>
        <v/>
      </c>
      <c r="H1041" s="1200" t="s">
        <v>4386</v>
      </c>
      <c r="I1041" s="4"/>
      <c r="J1041" s="626"/>
      <c r="K1041" s="813"/>
      <c r="L1041" s="1294"/>
      <c r="M1041" s="1319"/>
      <c r="N1041" s="1309"/>
      <c r="O1041" s="1309"/>
      <c r="P1041" s="1081"/>
      <c r="Q1041" s="1081"/>
      <c r="R1041" s="790"/>
      <c r="S1041" s="790"/>
      <c r="T1041" s="790"/>
      <c r="U1041" s="790"/>
      <c r="V1041" s="790"/>
      <c r="W1041" s="790" t="s">
        <v>4059</v>
      </c>
      <c r="X1041" s="1303"/>
      <c r="Y1041" s="1522"/>
      <c r="Z1041" s="1586"/>
      <c r="AB1041" s="790"/>
      <c r="AC1041" s="790"/>
      <c r="AD1041" s="790"/>
      <c r="AE1041" s="790"/>
      <c r="AF1041" s="790"/>
      <c r="AG1041" s="790"/>
      <c r="AH1041" s="790"/>
      <c r="AI1041" s="790"/>
      <c r="AJ1041" s="790"/>
      <c r="AK1041" s="790"/>
      <c r="AL1041" s="311" t="str">
        <f t="shared" si="289"/>
        <v>vpa703_3_4_1</v>
      </c>
      <c r="AM1041" s="311">
        <f t="shared" si="290"/>
        <v>0</v>
      </c>
      <c r="AN1041" s="790"/>
      <c r="AO1041" s="790"/>
      <c r="AP1041" s="790"/>
      <c r="AQ1041" s="790"/>
      <c r="AR1041" s="790"/>
      <c r="AS1041" s="790"/>
      <c r="AT1041" s="790"/>
      <c r="AU1041" s="790"/>
      <c r="AV1041" s="790"/>
      <c r="AW1041" s="790"/>
      <c r="AX1041" s="790"/>
      <c r="AY1041" s="790"/>
      <c r="AZ1041" s="790"/>
      <c r="BA1041" s="790"/>
      <c r="BB1041" s="790"/>
      <c r="BC1041" s="790"/>
      <c r="BD1041" s="790"/>
      <c r="BE1041" s="790"/>
      <c r="BF1041" s="790"/>
      <c r="BG1041" s="790"/>
      <c r="BH1041" s="790"/>
      <c r="BI1041" s="790"/>
      <c r="BJ1041" s="1184" t="s">
        <v>4763</v>
      </c>
    </row>
    <row r="1042" spans="1:62" x14ac:dyDescent="0.3">
      <c r="A1042" s="1200">
        <v>7</v>
      </c>
      <c r="B1042" s="1215" t="s">
        <v>1094</v>
      </c>
      <c r="C1042" s="1215"/>
      <c r="D1042" s="1203" t="s">
        <v>273</v>
      </c>
      <c r="E1042" s="1203"/>
      <c r="F1042" s="1203"/>
      <c r="G1042" s="1202" t="str">
        <f ca="1">IF(N1042&gt;0,"P","")</f>
        <v/>
      </c>
      <c r="H1042" s="1200" t="s">
        <v>4386</v>
      </c>
      <c r="I1042" s="238"/>
      <c r="J1042" s="626" t="s">
        <v>273</v>
      </c>
      <c r="K1042" s="813"/>
      <c r="L1042" s="807" t="s">
        <v>4068</v>
      </c>
      <c r="M1042" s="796">
        <f>IFERROR(INDEX({3,6,3,1,1,0,0,0},T1002),0)</f>
        <v>0</v>
      </c>
      <c r="N1042" s="855">
        <f ca="1">'Ch7'!O279</f>
        <v>0</v>
      </c>
      <c r="O1042" s="804">
        <f ca="1">IF(AND(S1042,W1042&gt;=1.2),M1042,0)</f>
        <v>0</v>
      </c>
      <c r="P1042" s="97" t="b">
        <v>1</v>
      </c>
      <c r="Q1042" s="97" t="b">
        <v>1</v>
      </c>
      <c r="R1042" s="790" t="b">
        <v>0</v>
      </c>
      <c r="S1042" s="790" t="b">
        <f ca="1">AND(S776=2,LEN(W1036)=0,NOT(W1040=TRUE),NOT(W1043=TRUE),LEN(W1048)=0)</f>
        <v>0</v>
      </c>
      <c r="T1042" s="97" t="b">
        <f ca="1">AND(NOT(S1042),LEN(W1042)&gt;0)</f>
        <v>0</v>
      </c>
      <c r="U1042" s="790"/>
      <c r="V1042" s="790"/>
      <c r="W1042" s="584"/>
      <c r="X1042" s="809"/>
      <c r="Y1042" s="841" t="str">
        <f>IF(LEN('Ch7'!X279)=0,"None",'Ch7'!X279)</f>
        <v>None</v>
      </c>
      <c r="Z1042" s="1169"/>
      <c r="AB1042" s="790"/>
      <c r="AC1042" s="790" t="b">
        <f ca="1">OR(AD1042:AE1042)</f>
        <v>0</v>
      </c>
      <c r="AD1042" s="790" t="b">
        <f ca="1">T1042</f>
        <v>0</v>
      </c>
      <c r="AE1042" s="790" t="b">
        <f>AND(R1042,OR(W1042="Not Met",W1042=""))</f>
        <v>0</v>
      </c>
      <c r="AF1042" s="1182" t="b">
        <f>AND(AE1042,NOT(Q1042))</f>
        <v>0</v>
      </c>
      <c r="AG1042" s="790"/>
      <c r="AH1042" s="790"/>
      <c r="AI1042" s="790"/>
      <c r="AJ1042" s="790"/>
      <c r="AK1042" s="790"/>
      <c r="AL1042" s="311" t="str">
        <f t="shared" si="289"/>
        <v>vpa703_3_4_2</v>
      </c>
      <c r="AM1042" s="311">
        <f t="shared" si="290"/>
        <v>0</v>
      </c>
      <c r="AN1042" s="311" t="str">
        <f t="shared" ref="AN1042:AN1043" si="292">SUBSTITUTE(SUBSTITUTE(SUBSTITUTE("vpc"&amp;$B1042&amp;$C1042&amp;$D1042&amp;$E1042&amp;$F1042,".","_"),"(","_"),")","")</f>
        <v>vpc703_3_4_2</v>
      </c>
      <c r="AO1042" s="311">
        <f ca="1">O1042</f>
        <v>0</v>
      </c>
      <c r="AP1042" s="311" t="str">
        <f>SUBSTITUTE(SUBSTITUTE(SUBSTITUTE("vch"&amp;$B1042&amp;$C1042&amp;$D1042&amp;$E1042&amp;$F1042,".","_"),"(","_"),")","")</f>
        <v>vch703_3_4_2</v>
      </c>
      <c r="AQ1042" s="311">
        <f>W1042</f>
        <v>0</v>
      </c>
      <c r="AR1042" s="311" t="str">
        <f t="shared" ref="AR1042:AR1043" si="293">SUBSTITUTE(SUBSTITUTE(SUBSTITUTE("vnt"&amp;$B1042&amp;$C1042&amp;$D1042&amp;$E1042&amp;$F1042,".","_"),"(","_"),")","")</f>
        <v>vnt703_3_4_2</v>
      </c>
      <c r="AS1042" s="311">
        <f>X1042</f>
        <v>0</v>
      </c>
      <c r="AT1042" s="790"/>
      <c r="AU1042" s="790"/>
      <c r="AV1042" s="790"/>
      <c r="AW1042" s="790"/>
      <c r="AX1042" s="790"/>
      <c r="AY1042" s="790"/>
      <c r="AZ1042" s="790"/>
      <c r="BA1042" s="790"/>
      <c r="BB1042" s="790"/>
      <c r="BC1042" s="790"/>
      <c r="BD1042" s="790"/>
      <c r="BE1042" s="790"/>
      <c r="BF1042" s="790"/>
      <c r="BG1042" s="790"/>
      <c r="BH1042" s="790"/>
      <c r="BI1042" s="790"/>
      <c r="BJ1042" s="1184" t="s">
        <v>4763</v>
      </c>
    </row>
    <row r="1043" spans="1:62" x14ac:dyDescent="0.3">
      <c r="A1043" s="1200">
        <v>7</v>
      </c>
      <c r="B1043" s="1215" t="s">
        <v>1096</v>
      </c>
      <c r="C1043" s="1215"/>
      <c r="D1043" s="1203"/>
      <c r="E1043" s="1203"/>
      <c r="F1043" s="1203"/>
      <c r="G1043" s="1202" t="str">
        <f ca="1">IF(N1043&gt;0,"P","")</f>
        <v/>
      </c>
      <c r="H1043" s="1200" t="s">
        <v>4386</v>
      </c>
      <c r="I1043" s="630" t="s">
        <v>1096</v>
      </c>
      <c r="J1043" s="823"/>
      <c r="K1043" s="823"/>
      <c r="L1043" s="1364" t="s">
        <v>1097</v>
      </c>
      <c r="M1043" s="1323">
        <f>IFERROR(INDEX({14,18,22,30,37,37,37,37},T1002),0)</f>
        <v>0</v>
      </c>
      <c r="N1043" s="1324">
        <f ca="1">'Ch7'!O280</f>
        <v>0</v>
      </c>
      <c r="O1043" s="1324">
        <f ca="1">M1043*S1043*W1043</f>
        <v>0</v>
      </c>
      <c r="P1043" s="97" t="b">
        <v>1</v>
      </c>
      <c r="Q1043" s="97" t="b">
        <v>1</v>
      </c>
      <c r="R1043" s="790" t="b">
        <v>0</v>
      </c>
      <c r="S1043" s="790" t="b">
        <f ca="1">AND(S776=2,LEN(W1007)=0,LEN(W1013)=0,LEN(W1016)=0,LEN(W1021)=0,LEN(W1027)=0,LEN(W1031)=0,LEN(W1036)=0,NOT(W1040=TRUE),LEN(W1042)=0,LEN(W1048)=0)</f>
        <v>0</v>
      </c>
      <c r="T1043" s="97" t="b">
        <f ca="1">AND(NOT(S1043),W1043=TRUE)</f>
        <v>0</v>
      </c>
      <c r="U1043" s="790"/>
      <c r="V1043" s="790"/>
      <c r="W1043" s="25"/>
      <c r="X1043" s="1303"/>
      <c r="Y1043" s="1522" t="str">
        <f>IF(LEN('Ch7'!X280)=0,"None",'Ch7'!X280)</f>
        <v>None</v>
      </c>
      <c r="Z1043" s="1586"/>
      <c r="AB1043" s="790"/>
      <c r="AC1043" s="790" t="b">
        <f ca="1">OR(AD1043:AE1043)</f>
        <v>0</v>
      </c>
      <c r="AD1043" s="790" t="b">
        <f ca="1">T1043</f>
        <v>0</v>
      </c>
      <c r="AE1043" s="790" t="b">
        <f>AND(R1043,NOT(W1043))</f>
        <v>0</v>
      </c>
      <c r="AF1043" s="1182" t="b">
        <f>AND(AE1043,NOT(Q1043))</f>
        <v>0</v>
      </c>
      <c r="AG1043" s="790"/>
      <c r="AH1043" s="790"/>
      <c r="AI1043" s="790"/>
      <c r="AJ1043" s="790"/>
      <c r="AK1043" s="790"/>
      <c r="AL1043" s="311" t="str">
        <f t="shared" si="289"/>
        <v>vpa703_3_5</v>
      </c>
      <c r="AM1043" s="311">
        <f t="shared" si="290"/>
        <v>0</v>
      </c>
      <c r="AN1043" s="311" t="str">
        <f t="shared" si="292"/>
        <v>vpc703_3_5</v>
      </c>
      <c r="AO1043" s="311">
        <f ca="1">O1043</f>
        <v>0</v>
      </c>
      <c r="AP1043" s="311" t="str">
        <f>SUBSTITUTE(SUBSTITUTE(SUBSTITUTE("vch"&amp;$B1043&amp;$C1043&amp;$D1043&amp;$E1043&amp;$F1043,".","_"),"(","_"),")","")</f>
        <v>vch703_3_5</v>
      </c>
      <c r="AQ1043" s="311">
        <f>W1043</f>
        <v>0</v>
      </c>
      <c r="AR1043" s="311" t="str">
        <f t="shared" si="293"/>
        <v>vnt703_3_5</v>
      </c>
      <c r="AS1043" s="311">
        <f>X1043</f>
        <v>0</v>
      </c>
      <c r="AT1043" s="790"/>
      <c r="AU1043" s="790"/>
      <c r="AV1043" s="790"/>
      <c r="AW1043" s="790"/>
      <c r="AX1043" s="790"/>
      <c r="AY1043" s="790"/>
      <c r="AZ1043" s="790"/>
      <c r="BA1043" s="790"/>
      <c r="BB1043" s="790"/>
      <c r="BC1043" s="790"/>
      <c r="BD1043" s="790"/>
      <c r="BE1043" s="790"/>
      <c r="BF1043" s="790"/>
      <c r="BG1043" s="790"/>
      <c r="BH1043" s="790"/>
      <c r="BI1043" s="790"/>
      <c r="BJ1043" s="1184" t="s">
        <v>4763</v>
      </c>
    </row>
    <row r="1044" spans="1:62" x14ac:dyDescent="0.3">
      <c r="A1044" s="1200">
        <v>7</v>
      </c>
      <c r="B1044" s="1215" t="s">
        <v>1096</v>
      </c>
      <c r="C1044" s="1215"/>
      <c r="D1044" s="1203"/>
      <c r="E1044" s="1203"/>
      <c r="F1044" s="1203"/>
      <c r="G1044" s="1202" t="str">
        <f t="shared" ref="G1044:G1046" ca="1" si="294">G1043</f>
        <v/>
      </c>
      <c r="H1044" s="1200" t="s">
        <v>4386</v>
      </c>
      <c r="I1044" s="140"/>
      <c r="J1044" s="812"/>
      <c r="K1044" s="812"/>
      <c r="L1044" s="1313"/>
      <c r="M1044" s="1318"/>
      <c r="N1044" s="1308"/>
      <c r="O1044" s="1308"/>
      <c r="P1044" s="1081"/>
      <c r="Q1044" s="1081"/>
      <c r="R1044" s="790"/>
      <c r="S1044" s="790"/>
      <c r="T1044" s="790"/>
      <c r="U1044" s="790"/>
      <c r="V1044" s="790"/>
      <c r="W1044" s="790"/>
      <c r="X1044" s="1303"/>
      <c r="Y1044" s="1522"/>
      <c r="Z1044" s="1586"/>
      <c r="AB1044" s="790"/>
      <c r="AC1044" s="790"/>
      <c r="AD1044" s="790"/>
      <c r="AE1044" s="790"/>
      <c r="AF1044" s="790"/>
      <c r="AG1044" s="790"/>
      <c r="AH1044" s="790"/>
      <c r="AI1044" s="790"/>
      <c r="AJ1044" s="790"/>
      <c r="AK1044" s="790"/>
      <c r="AL1044" s="790"/>
      <c r="AM1044" s="790"/>
      <c r="AN1044" s="790"/>
      <c r="AO1044" s="790"/>
      <c r="AP1044" s="790"/>
      <c r="AQ1044" s="790"/>
      <c r="AR1044" s="790"/>
      <c r="AS1044" s="790"/>
      <c r="AT1044" s="790"/>
      <c r="AU1044" s="790"/>
      <c r="AV1044" s="790"/>
      <c r="AW1044" s="790"/>
      <c r="AX1044" s="790"/>
      <c r="AY1044" s="790"/>
      <c r="AZ1044" s="790"/>
      <c r="BA1044" s="790"/>
      <c r="BB1044" s="790"/>
      <c r="BC1044" s="790"/>
      <c r="BD1044" s="790"/>
      <c r="BE1044" s="790"/>
      <c r="BF1044" s="790"/>
      <c r="BG1044" s="790"/>
      <c r="BH1044" s="790"/>
      <c r="BI1044" s="790"/>
      <c r="BJ1044" s="1184" t="s">
        <v>4763</v>
      </c>
    </row>
    <row r="1045" spans="1:62" x14ac:dyDescent="0.3">
      <c r="A1045" s="1200">
        <v>7</v>
      </c>
      <c r="B1045" s="1215" t="s">
        <v>1096</v>
      </c>
      <c r="C1045" s="1215"/>
      <c r="D1045" s="1203"/>
      <c r="E1045" s="1203"/>
      <c r="F1045" s="1203"/>
      <c r="G1045" s="1202" t="str">
        <f t="shared" ca="1" si="294"/>
        <v/>
      </c>
      <c r="H1045" s="1200" t="s">
        <v>4386</v>
      </c>
      <c r="I1045" s="140"/>
      <c r="J1045" s="812"/>
      <c r="K1045" s="812"/>
      <c r="L1045" s="1313"/>
      <c r="M1045" s="1318"/>
      <c r="N1045" s="1308"/>
      <c r="O1045" s="1308"/>
      <c r="P1045" s="1081"/>
      <c r="Q1045" s="1081"/>
      <c r="R1045" s="790"/>
      <c r="S1045" s="790"/>
      <c r="T1045" s="790"/>
      <c r="U1045" s="790"/>
      <c r="V1045" s="790"/>
      <c r="W1045" s="790"/>
      <c r="X1045" s="1303"/>
      <c r="Y1045" s="1522"/>
      <c r="Z1045" s="1586"/>
      <c r="AB1045" s="790"/>
      <c r="AC1045" s="790"/>
      <c r="AD1045" s="790"/>
      <c r="AE1045" s="790"/>
      <c r="AF1045" s="790"/>
      <c r="AG1045" s="790"/>
      <c r="AH1045" s="790"/>
      <c r="AI1045" s="790"/>
      <c r="AJ1045" s="790"/>
      <c r="AK1045" s="790"/>
      <c r="AL1045" s="790"/>
      <c r="AM1045" s="790"/>
      <c r="AN1045" s="790"/>
      <c r="AO1045" s="790"/>
      <c r="AP1045" s="790"/>
      <c r="AQ1045" s="790"/>
      <c r="AR1045" s="790"/>
      <c r="AS1045" s="790"/>
      <c r="AT1045" s="790"/>
      <c r="AU1045" s="790"/>
      <c r="AV1045" s="790"/>
      <c r="AW1045" s="790"/>
      <c r="AX1045" s="790"/>
      <c r="AY1045" s="790"/>
      <c r="AZ1045" s="790"/>
      <c r="BA1045" s="790"/>
      <c r="BB1045" s="790"/>
      <c r="BC1045" s="790"/>
      <c r="BD1045" s="790"/>
      <c r="BE1045" s="790"/>
      <c r="BF1045" s="790"/>
      <c r="BG1045" s="790"/>
      <c r="BH1045" s="790"/>
      <c r="BI1045" s="790"/>
      <c r="BJ1045" s="1184" t="s">
        <v>4763</v>
      </c>
    </row>
    <row r="1046" spans="1:62" x14ac:dyDescent="0.3">
      <c r="A1046" s="1200">
        <v>7</v>
      </c>
      <c r="B1046" s="1215" t="s">
        <v>1096</v>
      </c>
      <c r="C1046" s="1215"/>
      <c r="D1046" s="1203"/>
      <c r="E1046" s="1203"/>
      <c r="F1046" s="1203"/>
      <c r="G1046" s="1202" t="str">
        <f t="shared" ca="1" si="294"/>
        <v/>
      </c>
      <c r="H1046" s="1200" t="s">
        <v>4386</v>
      </c>
      <c r="I1046" s="238"/>
      <c r="J1046" s="813"/>
      <c r="K1046" s="813"/>
      <c r="L1046" s="813" t="s">
        <v>4070</v>
      </c>
      <c r="M1046" s="1319"/>
      <c r="N1046" s="1309"/>
      <c r="O1046" s="1309"/>
      <c r="P1046" s="1081"/>
      <c r="Q1046" s="1081"/>
      <c r="R1046" s="790"/>
      <c r="S1046" s="790"/>
      <c r="T1046" s="790"/>
      <c r="U1046" s="790"/>
      <c r="V1046" s="790"/>
      <c r="W1046" s="790"/>
      <c r="X1046" s="1303"/>
      <c r="Y1046" s="1522"/>
      <c r="Z1046" s="1586"/>
      <c r="AB1046" s="790"/>
      <c r="AC1046" s="790"/>
      <c r="AD1046" s="790"/>
      <c r="AE1046" s="790"/>
      <c r="AF1046" s="790"/>
      <c r="AG1046" s="790"/>
      <c r="AH1046" s="790"/>
      <c r="AI1046" s="790"/>
      <c r="AJ1046" s="790"/>
      <c r="AK1046" s="790"/>
      <c r="AL1046" s="790"/>
      <c r="AM1046" s="790"/>
      <c r="AN1046" s="790"/>
      <c r="AO1046" s="790"/>
      <c r="AP1046" s="790"/>
      <c r="AQ1046" s="790"/>
      <c r="AR1046" s="790"/>
      <c r="AS1046" s="790"/>
      <c r="AT1046" s="790"/>
      <c r="AU1046" s="790"/>
      <c r="AV1046" s="790"/>
      <c r="AW1046" s="790"/>
      <c r="AX1046" s="790"/>
      <c r="AY1046" s="790"/>
      <c r="AZ1046" s="790"/>
      <c r="BA1046" s="790"/>
      <c r="BB1046" s="790"/>
      <c r="BC1046" s="790"/>
      <c r="BD1046" s="790"/>
      <c r="BE1046" s="790"/>
      <c r="BF1046" s="790"/>
      <c r="BG1046" s="790"/>
      <c r="BH1046" s="790"/>
      <c r="BI1046" s="790"/>
      <c r="BJ1046" s="1184" t="s">
        <v>4763</v>
      </c>
    </row>
    <row r="1047" spans="1:62" x14ac:dyDescent="0.3">
      <c r="A1047" s="1200">
        <v>7</v>
      </c>
      <c r="B1047" s="1215" t="s">
        <v>1098</v>
      </c>
      <c r="C1047" s="1215"/>
      <c r="D1047" s="1203"/>
      <c r="E1047" s="1203"/>
      <c r="F1047" s="1203"/>
      <c r="G1047" s="1202" t="str">
        <f ca="1">IF(N1047&gt;0,"P","")</f>
        <v/>
      </c>
      <c r="H1047" s="1200" t="s">
        <v>4386</v>
      </c>
      <c r="I1047" s="68" t="s">
        <v>1098</v>
      </c>
      <c r="J1047" s="819"/>
      <c r="K1047" s="819"/>
      <c r="L1047" s="1389" t="s">
        <v>4105</v>
      </c>
      <c r="M1047" s="799"/>
      <c r="N1047" s="1310">
        <f ca="1">'Ch7'!O284</f>
        <v>0</v>
      </c>
      <c r="O1047" s="1310">
        <f ca="1">IFERROR(INDEX(M1050:M1052,MATCH(W1048,{16,24,28},1)),0)*S1048</f>
        <v>0</v>
      </c>
      <c r="P1047" s="1081"/>
      <c r="Q1047" s="1081"/>
      <c r="R1047" s="790"/>
      <c r="S1047" s="790"/>
      <c r="T1047" s="790"/>
      <c r="U1047" s="790"/>
      <c r="V1047" s="790"/>
      <c r="W1047" s="790" t="s">
        <v>4074</v>
      </c>
      <c r="X1047" s="1303"/>
      <c r="Y1047" s="1522" t="str">
        <f>IF(LEN('Ch7'!X284)=0,"None",'Ch7'!X284)</f>
        <v>None</v>
      </c>
      <c r="Z1047" s="1586"/>
      <c r="AB1047" s="790"/>
      <c r="AC1047" s="790"/>
      <c r="AD1047" s="790"/>
      <c r="AE1047" s="790"/>
      <c r="AF1047" s="790"/>
      <c r="AG1047" s="790"/>
      <c r="AH1047" s="790"/>
      <c r="AI1047" s="790"/>
      <c r="AJ1047" s="790"/>
      <c r="AK1047" s="790"/>
      <c r="AL1047" s="790"/>
      <c r="AM1047" s="790"/>
      <c r="AN1047" s="311" t="str">
        <f>SUBSTITUTE(SUBSTITUTE(SUBSTITUTE("vpc"&amp;$B1047&amp;$C1047&amp;$D1047&amp;$E1047&amp;$F1047,".","_"),"(","_"),")","")</f>
        <v>vpc703_3_6</v>
      </c>
      <c r="AO1047" s="311">
        <f ca="1">O1047</f>
        <v>0</v>
      </c>
      <c r="AP1047" s="790"/>
      <c r="AQ1047" s="790"/>
      <c r="AR1047" s="311" t="str">
        <f>SUBSTITUTE(SUBSTITUTE(SUBSTITUTE("vnt"&amp;$B1047&amp;$C1047&amp;$D1047&amp;$E1047&amp;$F1047,".","_"),"(","_"),")","")</f>
        <v>vnt703_3_6</v>
      </c>
      <c r="AS1047" s="311">
        <f>X1047</f>
        <v>0</v>
      </c>
      <c r="AT1047" s="790"/>
      <c r="AU1047" s="790"/>
      <c r="AV1047" s="790"/>
      <c r="AW1047" s="790"/>
      <c r="AX1047" s="790"/>
      <c r="AY1047" s="790"/>
      <c r="AZ1047" s="790"/>
      <c r="BA1047" s="790"/>
      <c r="BB1047" s="790"/>
      <c r="BC1047" s="790"/>
      <c r="BD1047" s="790"/>
      <c r="BE1047" s="790"/>
      <c r="BF1047" s="790"/>
      <c r="BG1047" s="790"/>
      <c r="BH1047" s="790"/>
      <c r="BI1047" s="790"/>
      <c r="BJ1047" s="1184" t="s">
        <v>4763</v>
      </c>
    </row>
    <row r="1048" spans="1:62" x14ac:dyDescent="0.3">
      <c r="A1048" s="1200">
        <v>7</v>
      </c>
      <c r="B1048" s="1215" t="s">
        <v>1098</v>
      </c>
      <c r="C1048" s="1215"/>
      <c r="D1048" s="1203"/>
      <c r="E1048" s="1203"/>
      <c r="F1048" s="1203"/>
      <c r="G1048" s="1202" t="str">
        <f t="shared" ref="G1048:G1052" ca="1" si="295">G1047</f>
        <v/>
      </c>
      <c r="H1048" s="1200" t="s">
        <v>4386</v>
      </c>
      <c r="I1048" s="4"/>
      <c r="J1048" s="819"/>
      <c r="K1048" s="819"/>
      <c r="L1048" s="1389"/>
      <c r="M1048" s="799"/>
      <c r="N1048" s="1310"/>
      <c r="O1048" s="1310"/>
      <c r="P1048" s="97" t="b">
        <v>1</v>
      </c>
      <c r="Q1048" s="97" t="b">
        <v>1</v>
      </c>
      <c r="R1048" s="790" t="b">
        <v>0</v>
      </c>
      <c r="S1048" s="790" t="b">
        <f ca="1">AND(S776=2,LEN(W1007)=0,LEN(W1013)=0,LEN(W1016)=0,LEN(W1021)=0,LEN(W1027)=0,LEN(W1031)=0,LEN(W1036)=0,NOT(W1040=TRUE),LEN(W1042)=0,NOT(W1043=TRUE))</f>
        <v>0</v>
      </c>
      <c r="T1048" s="97" t="b">
        <f ca="1">AND(NOT(S1048),LEN(W1048)&gt;0)</f>
        <v>0</v>
      </c>
      <c r="U1048" s="790"/>
      <c r="V1048" s="790"/>
      <c r="W1048" s="584"/>
      <c r="X1048" s="1303"/>
      <c r="Y1048" s="1522"/>
      <c r="Z1048" s="1586"/>
      <c r="AB1048" s="790"/>
      <c r="AC1048" s="790" t="b">
        <f ca="1">OR(AD1048:AE1048)</f>
        <v>0</v>
      </c>
      <c r="AD1048" s="790" t="b">
        <f ca="1">T1048</f>
        <v>0</v>
      </c>
      <c r="AE1048" s="790" t="b">
        <f>AND(R1048,OR(W1048="Not Met",W1048=""))</f>
        <v>0</v>
      </c>
      <c r="AF1048" s="1182" t="b">
        <f>AND(AE1048,NOT(Q1048))</f>
        <v>0</v>
      </c>
      <c r="AG1048" s="790"/>
      <c r="AH1048" s="790"/>
      <c r="AI1048" s="790"/>
      <c r="AJ1048" s="790"/>
      <c r="AK1048" s="790"/>
      <c r="AL1048" s="790"/>
      <c r="AM1048" s="790"/>
      <c r="AN1048" s="790"/>
      <c r="AO1048" s="790"/>
      <c r="AP1048" s="311" t="str">
        <f>SUBSTITUTE(SUBSTITUTE(SUBSTITUTE("vch"&amp;$B1048&amp;$C1048&amp;$D1048&amp;$E1048&amp;$F1048,".","_"),"(","_"),")","")</f>
        <v>vch703_3_6</v>
      </c>
      <c r="AQ1048" s="311">
        <f>W1048</f>
        <v>0</v>
      </c>
      <c r="AR1048" s="790"/>
      <c r="AS1048" s="790"/>
      <c r="AT1048" s="790"/>
      <c r="AU1048" s="790"/>
      <c r="AV1048" s="790"/>
      <c r="AW1048" s="790"/>
      <c r="AX1048" s="790"/>
      <c r="AY1048" s="790"/>
      <c r="AZ1048" s="790"/>
      <c r="BA1048" s="790"/>
      <c r="BB1048" s="790"/>
      <c r="BC1048" s="790"/>
      <c r="BD1048" s="790"/>
      <c r="BE1048" s="790"/>
      <c r="BF1048" s="790"/>
      <c r="BG1048" s="790"/>
      <c r="BH1048" s="790"/>
      <c r="BI1048" s="790"/>
      <c r="BJ1048" s="1184" t="s">
        <v>4763</v>
      </c>
    </row>
    <row r="1049" spans="1:62" x14ac:dyDescent="0.3">
      <c r="A1049" s="1200">
        <v>7</v>
      </c>
      <c r="B1049" s="1215" t="s">
        <v>1098</v>
      </c>
      <c r="C1049" s="1215"/>
      <c r="D1049" s="1203"/>
      <c r="E1049" s="1203"/>
      <c r="F1049" s="1203"/>
      <c r="G1049" s="1202" t="str">
        <f t="shared" ca="1" si="295"/>
        <v/>
      </c>
      <c r="H1049" s="1200" t="s">
        <v>4386</v>
      </c>
      <c r="I1049" s="4"/>
      <c r="J1049" s="819"/>
      <c r="K1049" s="819"/>
      <c r="L1049" s="1389"/>
      <c r="M1049" s="799"/>
      <c r="N1049" s="1310"/>
      <c r="O1049" s="1310"/>
      <c r="P1049" s="1081"/>
      <c r="Q1049" s="1081"/>
      <c r="R1049" s="790"/>
      <c r="S1049" s="790"/>
      <c r="T1049" s="790"/>
      <c r="U1049" s="790"/>
      <c r="V1049" s="790"/>
      <c r="W1049" s="790"/>
      <c r="X1049" s="1303"/>
      <c r="Y1049" s="1522"/>
      <c r="Z1049" s="1586"/>
      <c r="AB1049" s="790"/>
      <c r="AC1049" s="790"/>
      <c r="AD1049" s="790"/>
      <c r="AE1049" s="790"/>
      <c r="AF1049" s="790"/>
      <c r="AG1049" s="790"/>
      <c r="AH1049" s="790"/>
      <c r="AI1049" s="790"/>
      <c r="AJ1049" s="790"/>
      <c r="AK1049" s="790"/>
      <c r="AL1049" s="790"/>
      <c r="AM1049" s="790"/>
      <c r="AN1049" s="790"/>
      <c r="AO1049" s="790"/>
      <c r="AP1049" s="790"/>
      <c r="AQ1049" s="790"/>
      <c r="AR1049" s="790"/>
      <c r="AS1049" s="790"/>
      <c r="AT1049" s="790"/>
      <c r="AU1049" s="790"/>
      <c r="AV1049" s="790"/>
      <c r="AW1049" s="790"/>
      <c r="AX1049" s="790"/>
      <c r="AY1049" s="790"/>
      <c r="AZ1049" s="790"/>
      <c r="BA1049" s="790"/>
      <c r="BB1049" s="790"/>
      <c r="BC1049" s="790"/>
      <c r="BD1049" s="790"/>
      <c r="BE1049" s="790"/>
      <c r="BF1049" s="790"/>
      <c r="BG1049" s="790"/>
      <c r="BH1049" s="790"/>
      <c r="BI1049" s="790"/>
      <c r="BJ1049" s="1184" t="s">
        <v>4763</v>
      </c>
    </row>
    <row r="1050" spans="1:62" x14ac:dyDescent="0.3">
      <c r="A1050" s="1200">
        <v>7</v>
      </c>
      <c r="B1050" s="1215" t="s">
        <v>1098</v>
      </c>
      <c r="C1050" s="1215"/>
      <c r="D1050" s="1203"/>
      <c r="E1050" s="1203" t="s">
        <v>271</v>
      </c>
      <c r="F1050" s="1203"/>
      <c r="G1050" s="1202" t="str">
        <f t="shared" ca="1" si="295"/>
        <v/>
      </c>
      <c r="H1050" s="1200" t="s">
        <v>4386</v>
      </c>
      <c r="I1050" s="4"/>
      <c r="J1050" s="819"/>
      <c r="K1050" s="819"/>
      <c r="L1050" s="819" t="s">
        <v>4071</v>
      </c>
      <c r="M1050" s="799">
        <f>IFERROR(INDEX({1,1,2,16,22,22,0,0},T1002),0)</f>
        <v>0</v>
      </c>
      <c r="N1050" s="850"/>
      <c r="O1050" s="802"/>
      <c r="P1050" s="1081"/>
      <c r="Q1050" s="1081"/>
      <c r="R1050" s="790"/>
      <c r="S1050" s="790"/>
      <c r="T1050" s="790"/>
      <c r="U1050" s="790"/>
      <c r="V1050" s="790"/>
      <c r="W1050" s="790"/>
      <c r="X1050" s="1303"/>
      <c r="Y1050" s="1522"/>
      <c r="Z1050" s="1586"/>
      <c r="AB1050" s="790"/>
      <c r="AC1050" s="790"/>
      <c r="AD1050" s="790"/>
      <c r="AE1050" s="790"/>
      <c r="AF1050" s="790"/>
      <c r="AG1050" s="790"/>
      <c r="AH1050" s="790"/>
      <c r="AI1050" s="790"/>
      <c r="AJ1050" s="790"/>
      <c r="AK1050" s="790"/>
      <c r="AL1050" s="311" t="str">
        <f t="shared" ref="AL1050:AL1053" si="296">SUBSTITUTE(SUBSTITUTE(SUBSTITUTE("vpa"&amp;$B1050&amp;$C1050&amp;$D1050&amp;$E1050&amp;$F1050,".","_"),"(","_"),")","")</f>
        <v>vpa703_3_6_1</v>
      </c>
      <c r="AM1050" s="311">
        <f>M1050</f>
        <v>0</v>
      </c>
      <c r="AN1050" s="790"/>
      <c r="AO1050" s="790"/>
      <c r="AP1050" s="790"/>
      <c r="AQ1050" s="790"/>
      <c r="AR1050" s="790"/>
      <c r="AS1050" s="790"/>
      <c r="AT1050" s="790"/>
      <c r="AU1050" s="790"/>
      <c r="AV1050" s="790"/>
      <c r="AW1050" s="790"/>
      <c r="AX1050" s="790"/>
      <c r="AY1050" s="790"/>
      <c r="AZ1050" s="790"/>
      <c r="BA1050" s="790"/>
      <c r="BB1050" s="790"/>
      <c r="BC1050" s="790"/>
      <c r="BD1050" s="790"/>
      <c r="BE1050" s="790"/>
      <c r="BF1050" s="790"/>
      <c r="BG1050" s="790"/>
      <c r="BH1050" s="790"/>
      <c r="BI1050" s="790"/>
      <c r="BJ1050" s="1184" t="s">
        <v>4763</v>
      </c>
    </row>
    <row r="1051" spans="1:62" x14ac:dyDescent="0.3">
      <c r="A1051" s="1200">
        <v>7</v>
      </c>
      <c r="B1051" s="1215" t="s">
        <v>1098</v>
      </c>
      <c r="C1051" s="1215"/>
      <c r="D1051" s="1203"/>
      <c r="E1051" s="1203" t="s">
        <v>273</v>
      </c>
      <c r="F1051" s="1203"/>
      <c r="G1051" s="1202" t="str">
        <f t="shared" ca="1" si="295"/>
        <v/>
      </c>
      <c r="H1051" s="1200" t="s">
        <v>4386</v>
      </c>
      <c r="I1051" s="4"/>
      <c r="J1051" s="819"/>
      <c r="K1051" s="819"/>
      <c r="L1051" s="819" t="s">
        <v>4072</v>
      </c>
      <c r="M1051" s="799">
        <f>IFERROR(INDEX({24,29,22,31,35,35,0,0},T1002),0)</f>
        <v>0</v>
      </c>
      <c r="N1051" s="850"/>
      <c r="O1051" s="802"/>
      <c r="P1051" s="1081"/>
      <c r="Q1051" s="1081"/>
      <c r="R1051" s="790"/>
      <c r="S1051" s="790"/>
      <c r="T1051" s="790"/>
      <c r="U1051" s="790"/>
      <c r="V1051" s="790"/>
      <c r="W1051" s="790"/>
      <c r="X1051" s="1303"/>
      <c r="Y1051" s="1522"/>
      <c r="Z1051" s="1586"/>
      <c r="AB1051" s="790"/>
      <c r="AC1051" s="790"/>
      <c r="AD1051" s="790"/>
      <c r="AE1051" s="790"/>
      <c r="AF1051" s="790"/>
      <c r="AG1051" s="790"/>
      <c r="AH1051" s="790"/>
      <c r="AI1051" s="790"/>
      <c r="AJ1051" s="790"/>
      <c r="AK1051" s="790"/>
      <c r="AL1051" s="311" t="str">
        <f t="shared" si="296"/>
        <v>vpa703_3_6_2</v>
      </c>
      <c r="AM1051" s="311">
        <f>M1051</f>
        <v>0</v>
      </c>
      <c r="AN1051" s="790"/>
      <c r="AO1051" s="790"/>
      <c r="AP1051" s="790"/>
      <c r="AQ1051" s="790"/>
      <c r="AR1051" s="790"/>
      <c r="AS1051" s="790"/>
      <c r="AT1051" s="790"/>
      <c r="AU1051" s="790"/>
      <c r="AV1051" s="790"/>
      <c r="AW1051" s="790"/>
      <c r="AX1051" s="790"/>
      <c r="AY1051" s="790"/>
      <c r="AZ1051" s="790"/>
      <c r="BA1051" s="790"/>
      <c r="BB1051" s="790"/>
      <c r="BC1051" s="790"/>
      <c r="BD1051" s="790"/>
      <c r="BE1051" s="790"/>
      <c r="BF1051" s="790"/>
      <c r="BG1051" s="790"/>
      <c r="BH1051" s="790"/>
      <c r="BI1051" s="790"/>
      <c r="BJ1051" s="1184" t="s">
        <v>4763</v>
      </c>
    </row>
    <row r="1052" spans="1:62" x14ac:dyDescent="0.3">
      <c r="A1052" s="1200">
        <v>7</v>
      </c>
      <c r="B1052" s="1215" t="s">
        <v>1098</v>
      </c>
      <c r="C1052" s="1215"/>
      <c r="D1052" s="1203"/>
      <c r="E1052" s="1203" t="s">
        <v>275</v>
      </c>
      <c r="F1052" s="1203"/>
      <c r="G1052" s="1202" t="str">
        <f t="shared" ca="1" si="295"/>
        <v/>
      </c>
      <c r="H1052" s="1200" t="s">
        <v>4386</v>
      </c>
      <c r="I1052" s="238"/>
      <c r="J1052" s="813"/>
      <c r="K1052" s="813"/>
      <c r="L1052" s="813" t="s">
        <v>4073</v>
      </c>
      <c r="M1052" s="796">
        <f>IFERROR(INDEX({42,46,35,42,44,44,0,0},T1002),0)</f>
        <v>0</v>
      </c>
      <c r="N1052" s="855"/>
      <c r="O1052" s="804"/>
      <c r="P1052" s="1081"/>
      <c r="Q1052" s="1081"/>
      <c r="R1052" s="790"/>
      <c r="S1052" s="790"/>
      <c r="T1052" s="790"/>
      <c r="U1052" s="790"/>
      <c r="V1052" s="790"/>
      <c r="W1052" s="790"/>
      <c r="X1052" s="1303"/>
      <c r="Y1052" s="1522"/>
      <c r="Z1052" s="1586"/>
      <c r="AB1052" s="790"/>
      <c r="AC1052" s="790"/>
      <c r="AD1052" s="790"/>
      <c r="AE1052" s="790"/>
      <c r="AF1052" s="790"/>
      <c r="AG1052" s="790"/>
      <c r="AH1052" s="790"/>
      <c r="AI1052" s="790"/>
      <c r="AJ1052" s="790"/>
      <c r="AK1052" s="790"/>
      <c r="AL1052" s="311" t="str">
        <f t="shared" si="296"/>
        <v>vpa703_3_6_3</v>
      </c>
      <c r="AM1052" s="311">
        <f>M1052</f>
        <v>0</v>
      </c>
      <c r="AN1052" s="790"/>
      <c r="AO1052" s="790"/>
      <c r="AP1052" s="790"/>
      <c r="AQ1052" s="790"/>
      <c r="AR1052" s="790"/>
      <c r="AS1052" s="790"/>
      <c r="AT1052" s="790"/>
      <c r="AU1052" s="790"/>
      <c r="AV1052" s="790"/>
      <c r="AW1052" s="790"/>
      <c r="AX1052" s="790"/>
      <c r="AY1052" s="790"/>
      <c r="AZ1052" s="790"/>
      <c r="BA1052" s="790"/>
      <c r="BB1052" s="790"/>
      <c r="BC1052" s="790"/>
      <c r="BD1052" s="790"/>
      <c r="BE1052" s="790"/>
      <c r="BF1052" s="790"/>
      <c r="BG1052" s="790"/>
      <c r="BH1052" s="790"/>
      <c r="BI1052" s="790"/>
      <c r="BJ1052" s="1184" t="s">
        <v>4763</v>
      </c>
    </row>
    <row r="1053" spans="1:62" x14ac:dyDescent="0.3">
      <c r="A1053" s="1200">
        <v>7</v>
      </c>
      <c r="B1053" s="1215" t="s">
        <v>1099</v>
      </c>
      <c r="C1053" s="1215"/>
      <c r="D1053" s="1203"/>
      <c r="E1053" s="1203" t="s">
        <v>271</v>
      </c>
      <c r="F1053" s="1203"/>
      <c r="G1053" s="1202" t="str">
        <f ca="1">IF(N1053&gt;0,"P","")</f>
        <v/>
      </c>
      <c r="H1053" s="1200" t="s">
        <v>4388</v>
      </c>
      <c r="I1053" s="68" t="s">
        <v>1099</v>
      </c>
      <c r="J1053" s="819"/>
      <c r="K1053" s="819"/>
      <c r="L1053" s="829" t="s">
        <v>1100</v>
      </c>
      <c r="M1053" s="799">
        <v>1</v>
      </c>
      <c r="N1053" s="850">
        <f ca="1">'Ch7'!O290</f>
        <v>0</v>
      </c>
      <c r="O1053" s="802">
        <f ca="1">IF(AND(S1055,W1055&gt;0),MIN(8,W1055),M1053*S1053*W1053)</f>
        <v>0</v>
      </c>
      <c r="P1053" s="97" t="b">
        <v>0</v>
      </c>
      <c r="Q1053" s="97" t="b">
        <v>1</v>
      </c>
      <c r="R1053" s="790" t="b">
        <v>0</v>
      </c>
      <c r="S1053" s="790" t="b">
        <f ca="1">AND(S776=2,NOT(W1060))</f>
        <v>0</v>
      </c>
      <c r="T1053" s="97" t="b">
        <f ca="1">AND(NOT(S1053),W1053=TRUE)</f>
        <v>0</v>
      </c>
      <c r="U1053" s="790"/>
      <c r="V1053" s="790"/>
      <c r="W1053" s="25"/>
      <c r="X1053" s="1303"/>
      <c r="Y1053" s="1522" t="str">
        <f>IF(LEN('Ch7'!X290)=0,"None",'Ch7'!X290)</f>
        <v>None</v>
      </c>
      <c r="Z1053" s="1586"/>
      <c r="AB1053" s="790"/>
      <c r="AC1053" s="790" t="b">
        <f ca="1">OR(AD1053:AE1053)</f>
        <v>0</v>
      </c>
      <c r="AD1053" s="790" t="b">
        <f ca="1">T1053</f>
        <v>0</v>
      </c>
      <c r="AE1053" s="790" t="b">
        <f>AND(R1053,NOT(W1053))</f>
        <v>0</v>
      </c>
      <c r="AF1053" s="1182" t="b">
        <f>AND(AE1053,NOT(Q1053))</f>
        <v>0</v>
      </c>
      <c r="AG1053" s="790"/>
      <c r="AH1053" s="790"/>
      <c r="AI1053" s="790"/>
      <c r="AJ1053" s="790"/>
      <c r="AK1053" s="790"/>
      <c r="AL1053" s="311" t="str">
        <f t="shared" si="296"/>
        <v>vpa703_3_7_1</v>
      </c>
      <c r="AM1053" s="311">
        <f>M1053</f>
        <v>1</v>
      </c>
      <c r="AN1053" s="311" t="str">
        <f>SUBSTITUTE(SUBSTITUTE(SUBSTITUTE("vpc"&amp;$B1053&amp;$C1053&amp;$D1053&amp;$E1053&amp;$F1053,".","_"),"(","_"),")","")</f>
        <v>vpc703_3_7_1</v>
      </c>
      <c r="AO1053" s="311">
        <f ca="1">O1053</f>
        <v>0</v>
      </c>
      <c r="AP1053" s="311" t="str">
        <f>SUBSTITUTE(SUBSTITUTE(SUBSTITUTE("vch"&amp;$B1053&amp;$C1053&amp;$D1053&amp;$E1053&amp;$F1053,".","_"),"(","_"),")","")</f>
        <v>vch703_3_7_1</v>
      </c>
      <c r="AQ1053" s="311">
        <f>W1053</f>
        <v>0</v>
      </c>
      <c r="AR1053" s="311" t="str">
        <f>SUBSTITUTE(SUBSTITUTE(SUBSTITUTE("vnt"&amp;$B1053&amp;$C1053&amp;$D1053&amp;$E1053&amp;$F1053,".","_"),"(","_"),")","")</f>
        <v>vnt703_3_7_1</v>
      </c>
      <c r="AS1053" s="311">
        <f>X1053</f>
        <v>0</v>
      </c>
      <c r="AT1053" s="790"/>
      <c r="AU1053" s="790"/>
      <c r="AV1053" s="790"/>
      <c r="AW1053" s="790"/>
      <c r="AX1053" s="790"/>
      <c r="AY1053" s="790"/>
      <c r="AZ1053" s="790"/>
      <c r="BA1053" s="790"/>
      <c r="BB1053" s="790"/>
      <c r="BC1053" s="790"/>
      <c r="BD1053" s="790"/>
      <c r="BE1053" s="790"/>
      <c r="BF1053" s="790"/>
      <c r="BG1053" s="790"/>
      <c r="BH1053" s="790"/>
      <c r="BI1053" s="790"/>
      <c r="BJ1053" s="1184" t="s">
        <v>4763</v>
      </c>
    </row>
    <row r="1054" spans="1:62" x14ac:dyDescent="0.3">
      <c r="A1054" s="1200">
        <v>7</v>
      </c>
      <c r="B1054" s="1215" t="s">
        <v>1099</v>
      </c>
      <c r="C1054" s="1215"/>
      <c r="D1054" s="1203"/>
      <c r="E1054" s="1203"/>
      <c r="F1054" s="1203"/>
      <c r="G1054" s="1202" t="str">
        <f t="shared" ref="G1054:G1058" ca="1" si="297">G1053</f>
        <v/>
      </c>
      <c r="H1054" s="1200" t="s">
        <v>4388</v>
      </c>
      <c r="I1054" s="4"/>
      <c r="J1054" s="819"/>
      <c r="K1054" s="819"/>
      <c r="L1054" s="835" t="s">
        <v>1101</v>
      </c>
      <c r="M1054" s="799"/>
      <c r="N1054" s="850"/>
      <c r="O1054" s="802"/>
      <c r="P1054" s="1081"/>
      <c r="Q1054" s="1081"/>
      <c r="R1054" s="790"/>
      <c r="S1054" s="790"/>
      <c r="T1054" s="790"/>
      <c r="U1054" s="790"/>
      <c r="V1054" s="790"/>
      <c r="W1054" s="790" t="s">
        <v>4029</v>
      </c>
      <c r="X1054" s="1303"/>
      <c r="Y1054" s="1522"/>
      <c r="Z1054" s="1586"/>
      <c r="AB1054" s="790"/>
      <c r="AC1054" s="790"/>
      <c r="AD1054" s="790"/>
      <c r="AE1054" s="790"/>
      <c r="AF1054" s="790"/>
      <c r="AG1054" s="790"/>
      <c r="AH1054" s="790"/>
      <c r="AI1054" s="790"/>
      <c r="AJ1054" s="790"/>
      <c r="AK1054" s="790"/>
      <c r="AL1054" s="790"/>
      <c r="AM1054" s="790"/>
      <c r="AN1054" s="790"/>
      <c r="AO1054" s="790"/>
      <c r="AP1054" s="790"/>
      <c r="AQ1054" s="790"/>
      <c r="AR1054" s="790"/>
      <c r="AS1054" s="790"/>
      <c r="AT1054" s="790"/>
      <c r="AU1054" s="790"/>
      <c r="AV1054" s="790"/>
      <c r="AW1054" s="790"/>
      <c r="AX1054" s="790"/>
      <c r="AY1054" s="790"/>
      <c r="AZ1054" s="790"/>
      <c r="BA1054" s="790"/>
      <c r="BB1054" s="790"/>
      <c r="BC1054" s="790"/>
      <c r="BD1054" s="790"/>
      <c r="BE1054" s="790"/>
      <c r="BF1054" s="790"/>
      <c r="BG1054" s="790"/>
      <c r="BH1054" s="790"/>
      <c r="BI1054" s="790"/>
      <c r="BJ1054" s="1184" t="s">
        <v>4763</v>
      </c>
    </row>
    <row r="1055" spans="1:62" x14ac:dyDescent="0.3">
      <c r="A1055" s="1200">
        <v>7</v>
      </c>
      <c r="B1055" s="1215" t="s">
        <v>1099</v>
      </c>
      <c r="C1055" s="1215"/>
      <c r="D1055" s="1203"/>
      <c r="E1055" s="1203" t="s">
        <v>273</v>
      </c>
      <c r="F1055" s="1203"/>
      <c r="G1055" s="1202" t="str">
        <f t="shared" ca="1" si="297"/>
        <v/>
      </c>
      <c r="H1055" s="1200" t="s">
        <v>4388</v>
      </c>
      <c r="I1055" s="4"/>
      <c r="J1055" s="819"/>
      <c r="K1055" s="819"/>
      <c r="L1055" s="1389" t="s">
        <v>1102</v>
      </c>
      <c r="M1055" s="799"/>
      <c r="N1055" s="850"/>
      <c r="O1055" s="802"/>
      <c r="P1055" s="97" t="b">
        <v>0</v>
      </c>
      <c r="Q1055" s="97" t="b">
        <v>1</v>
      </c>
      <c r="R1055" s="790" t="b">
        <v>0</v>
      </c>
      <c r="S1055" s="790" t="b">
        <f ca="1">AND(S776=2,NOT(W1060),W1053=TRUE,OR(BI779="Tropical",AND(BG779="Dry",OR(BF779=2,BF779=3,BF779=4))))</f>
        <v>0</v>
      </c>
      <c r="T1055" s="97" t="b">
        <f ca="1">AND(NOT(S1055),LEN(W1055)&gt;0)</f>
        <v>0</v>
      </c>
      <c r="U1055" s="790"/>
      <c r="V1055" s="790"/>
      <c r="W1055" s="609"/>
      <c r="X1055" s="1303"/>
      <c r="Y1055" s="1522"/>
      <c r="Z1055" s="1586"/>
      <c r="AB1055" s="790"/>
      <c r="AC1055" s="790" t="b">
        <f ca="1">OR(AD1055:AE1055)</f>
        <v>0</v>
      </c>
      <c r="AD1055" s="790" t="b">
        <f ca="1">T1055</f>
        <v>0</v>
      </c>
      <c r="AE1055" s="790" t="b">
        <f>AND(R1055,OR(W1055="Not Met",W1055=""))</f>
        <v>0</v>
      </c>
      <c r="AF1055" s="1182" t="b">
        <f>AND(AE1055,NOT(Q1055))</f>
        <v>0</v>
      </c>
      <c r="AG1055" s="790"/>
      <c r="AH1055" s="790"/>
      <c r="AI1055" s="790"/>
      <c r="AJ1055" s="790"/>
      <c r="AK1055" s="790"/>
      <c r="AL1055" s="790"/>
      <c r="AM1055" s="790"/>
      <c r="AN1055" s="790"/>
      <c r="AO1055" s="790"/>
      <c r="AP1055" s="311" t="str">
        <f>SUBSTITUTE(SUBSTITUTE(SUBSTITUTE("vch"&amp;$B1055&amp;$C1055&amp;$D1055&amp;$E1055&amp;$F1055,".","_"),"(","_"),")","")</f>
        <v>vch703_3_7_2</v>
      </c>
      <c r="AQ1055" s="311">
        <f>W1055</f>
        <v>0</v>
      </c>
      <c r="AR1055" s="790"/>
      <c r="AS1055" s="790"/>
      <c r="AT1055" s="790"/>
      <c r="AU1055" s="790"/>
      <c r="AV1055" s="790"/>
      <c r="AW1055" s="790"/>
      <c r="AX1055" s="790"/>
      <c r="AY1055" s="790"/>
      <c r="AZ1055" s="790"/>
      <c r="BA1055" s="790"/>
      <c r="BB1055" s="790"/>
      <c r="BC1055" s="790"/>
      <c r="BD1055" s="790"/>
      <c r="BE1055" s="790"/>
      <c r="BF1055" s="790"/>
      <c r="BG1055" s="790"/>
      <c r="BH1055" s="790"/>
      <c r="BI1055" s="790"/>
      <c r="BJ1055" s="1184" t="s">
        <v>4763</v>
      </c>
    </row>
    <row r="1056" spans="1:62" x14ac:dyDescent="0.3">
      <c r="A1056" s="1200">
        <v>7</v>
      </c>
      <c r="B1056" s="1215" t="s">
        <v>1099</v>
      </c>
      <c r="C1056" s="1215"/>
      <c r="D1056" s="1203"/>
      <c r="E1056" s="1203"/>
      <c r="F1056" s="1203"/>
      <c r="G1056" s="1202" t="str">
        <f t="shared" ca="1" si="297"/>
        <v/>
      </c>
      <c r="H1056" s="1200" t="s">
        <v>4388</v>
      </c>
      <c r="I1056" s="4"/>
      <c r="J1056" s="819"/>
      <c r="K1056" s="819"/>
      <c r="L1056" s="1389"/>
      <c r="M1056" s="799"/>
      <c r="N1056" s="850"/>
      <c r="O1056" s="802"/>
      <c r="P1056" s="1081"/>
      <c r="Q1056" s="1081"/>
      <c r="R1056" s="790"/>
      <c r="S1056" s="790"/>
      <c r="T1056" s="790"/>
      <c r="U1056" s="790"/>
      <c r="V1056" s="790"/>
      <c r="W1056" s="790"/>
      <c r="X1056" s="1303"/>
      <c r="Y1056" s="1522"/>
      <c r="Z1056" s="1586"/>
      <c r="AB1056" s="790"/>
      <c r="AC1056" s="790"/>
      <c r="AD1056" s="790"/>
      <c r="AE1056" s="790"/>
      <c r="AF1056" s="790"/>
      <c r="AG1056" s="790"/>
      <c r="AH1056" s="790"/>
      <c r="AI1056" s="790"/>
      <c r="AJ1056" s="790"/>
      <c r="AK1056" s="790"/>
      <c r="AL1056" s="790"/>
      <c r="AM1056" s="790"/>
      <c r="AN1056" s="790"/>
      <c r="AO1056" s="790"/>
      <c r="AP1056" s="790"/>
      <c r="AQ1056" s="790"/>
      <c r="AR1056" s="790"/>
      <c r="AS1056" s="790"/>
      <c r="AT1056" s="790"/>
      <c r="AU1056" s="790"/>
      <c r="AV1056" s="790"/>
      <c r="AW1056" s="790"/>
      <c r="AX1056" s="790"/>
      <c r="AY1056" s="790"/>
      <c r="AZ1056" s="790"/>
      <c r="BA1056" s="790"/>
      <c r="BB1056" s="790"/>
      <c r="BC1056" s="790"/>
      <c r="BD1056" s="790"/>
      <c r="BE1056" s="790"/>
      <c r="BF1056" s="790"/>
      <c r="BG1056" s="790"/>
      <c r="BH1056" s="790"/>
      <c r="BI1056" s="790"/>
      <c r="BJ1056" s="1184" t="s">
        <v>4763</v>
      </c>
    </row>
    <row r="1057" spans="1:62" x14ac:dyDescent="0.3">
      <c r="A1057" s="1200">
        <v>7</v>
      </c>
      <c r="B1057" s="1215" t="s">
        <v>1099</v>
      </c>
      <c r="C1057" s="1215"/>
      <c r="D1057" s="1203"/>
      <c r="E1057" s="1203"/>
      <c r="F1057" s="1203"/>
      <c r="G1057" s="1202" t="str">
        <f t="shared" ca="1" si="297"/>
        <v/>
      </c>
      <c r="H1057" s="1200" t="s">
        <v>4388</v>
      </c>
      <c r="I1057" s="4"/>
      <c r="J1057" s="819"/>
      <c r="K1057" s="819"/>
      <c r="L1057" s="1389"/>
      <c r="M1057" s="799"/>
      <c r="N1057" s="850"/>
      <c r="O1057" s="802"/>
      <c r="P1057" s="1081"/>
      <c r="Q1057" s="1081"/>
      <c r="R1057" s="790"/>
      <c r="S1057" s="790"/>
      <c r="T1057" s="790"/>
      <c r="U1057" s="790"/>
      <c r="V1057" s="790"/>
      <c r="W1057" s="790"/>
      <c r="X1057" s="1303"/>
      <c r="Y1057" s="1522"/>
      <c r="Z1057" s="1586"/>
      <c r="AB1057" s="790"/>
      <c r="AC1057" s="790"/>
      <c r="AD1057" s="790"/>
      <c r="AE1057" s="790"/>
      <c r="AF1057" s="790"/>
      <c r="AG1057" s="790"/>
      <c r="AH1057" s="790"/>
      <c r="AI1057" s="790"/>
      <c r="AJ1057" s="790"/>
      <c r="AK1057" s="790"/>
      <c r="AL1057" s="790"/>
      <c r="AM1057" s="790"/>
      <c r="AN1057" s="790"/>
      <c r="AO1057" s="790"/>
      <c r="AP1057" s="790"/>
      <c r="AQ1057" s="790"/>
      <c r="AR1057" s="790"/>
      <c r="AS1057" s="790"/>
      <c r="AT1057" s="790"/>
      <c r="AU1057" s="790"/>
      <c r="AV1057" s="790"/>
      <c r="AW1057" s="790"/>
      <c r="AX1057" s="790"/>
      <c r="AY1057" s="790"/>
      <c r="AZ1057" s="790"/>
      <c r="BA1057" s="790"/>
      <c r="BB1057" s="790"/>
      <c r="BC1057" s="790"/>
      <c r="BD1057" s="790"/>
      <c r="BE1057" s="790"/>
      <c r="BF1057" s="790"/>
      <c r="BG1057" s="790"/>
      <c r="BH1057" s="790"/>
      <c r="BI1057" s="790"/>
      <c r="BJ1057" s="1184" t="s">
        <v>4763</v>
      </c>
    </row>
    <row r="1058" spans="1:62" x14ac:dyDescent="0.3">
      <c r="A1058" s="1200">
        <v>7</v>
      </c>
      <c r="B1058" s="1215" t="s">
        <v>1099</v>
      </c>
      <c r="C1058" s="1215"/>
      <c r="D1058" s="1203"/>
      <c r="E1058" s="1203"/>
      <c r="F1058" s="1203"/>
      <c r="G1058" s="1202" t="str">
        <f t="shared" ca="1" si="297"/>
        <v/>
      </c>
      <c r="H1058" s="1200" t="s">
        <v>4388</v>
      </c>
      <c r="I1058" s="4"/>
      <c r="J1058" s="819"/>
      <c r="K1058" s="819"/>
      <c r="L1058" s="1389"/>
      <c r="M1058" s="799"/>
      <c r="N1058" s="850"/>
      <c r="O1058" s="802"/>
      <c r="P1058" s="1081"/>
      <c r="Q1058" s="1081"/>
      <c r="R1058" s="790"/>
      <c r="S1058" s="790"/>
      <c r="T1058" s="790"/>
      <c r="U1058" s="790"/>
      <c r="V1058" s="790"/>
      <c r="W1058" s="790"/>
      <c r="X1058" s="1303"/>
      <c r="Y1058" s="1522"/>
      <c r="Z1058" s="1586"/>
      <c r="AB1058" s="790"/>
      <c r="AC1058" s="790"/>
      <c r="AD1058" s="790"/>
      <c r="AE1058" s="790"/>
      <c r="AF1058" s="790"/>
      <c r="AG1058" s="790"/>
      <c r="AH1058" s="790"/>
      <c r="AI1058" s="790"/>
      <c r="AJ1058" s="790"/>
      <c r="AK1058" s="790"/>
      <c r="AL1058" s="790"/>
      <c r="AM1058" s="790"/>
      <c r="AN1058" s="790"/>
      <c r="AO1058" s="790"/>
      <c r="AP1058" s="790"/>
      <c r="AQ1058" s="790"/>
      <c r="AR1058" s="790"/>
      <c r="AS1058" s="790"/>
      <c r="AT1058" s="790"/>
      <c r="AU1058" s="790"/>
      <c r="AV1058" s="790"/>
      <c r="AW1058" s="790"/>
      <c r="AX1058" s="790"/>
      <c r="AY1058" s="790"/>
      <c r="AZ1058" s="790"/>
      <c r="BA1058" s="790"/>
      <c r="BB1058" s="790"/>
      <c r="BC1058" s="790"/>
      <c r="BD1058" s="790"/>
      <c r="BE1058" s="790"/>
      <c r="BF1058" s="790"/>
      <c r="BG1058" s="790"/>
      <c r="BH1058" s="790"/>
      <c r="BI1058" s="790"/>
      <c r="BJ1058" s="1184" t="s">
        <v>4763</v>
      </c>
    </row>
    <row r="1059" spans="1:62" x14ac:dyDescent="0.3">
      <c r="A1059" s="1200">
        <v>7</v>
      </c>
      <c r="B1059" s="1215" t="s">
        <v>1099</v>
      </c>
      <c r="C1059" s="1215"/>
      <c r="D1059" s="1203"/>
      <c r="E1059" s="1203"/>
      <c r="F1059" s="1203"/>
      <c r="G1059" s="1200"/>
      <c r="H1059" s="1200"/>
      <c r="I1059" s="238"/>
      <c r="J1059" s="813"/>
      <c r="K1059" s="813"/>
      <c r="L1059" s="826" t="s">
        <v>4046</v>
      </c>
      <c r="M1059" s="796"/>
      <c r="N1059" s="855"/>
      <c r="O1059" s="804"/>
      <c r="P1059" s="196"/>
      <c r="Q1059" s="196"/>
      <c r="R1059" s="196"/>
      <c r="S1059" s="196"/>
      <c r="T1059" s="196"/>
      <c r="U1059" s="196"/>
      <c r="V1059" s="196"/>
      <c r="W1059" s="636"/>
      <c r="X1059" s="1303"/>
      <c r="Y1059" s="1522"/>
      <c r="Z1059" s="1586"/>
      <c r="AB1059" s="790"/>
      <c r="AC1059" s="790"/>
      <c r="AD1059" s="790"/>
      <c r="AE1059" s="790"/>
      <c r="AF1059" s="790"/>
      <c r="AG1059" s="790"/>
      <c r="AH1059" s="790"/>
      <c r="AI1059" s="790"/>
      <c r="AJ1059" s="790"/>
      <c r="AK1059" s="790"/>
      <c r="AL1059" s="790"/>
      <c r="AM1059" s="790"/>
      <c r="AN1059" s="790"/>
      <c r="AO1059" s="790"/>
      <c r="AP1059" s="790"/>
      <c r="AQ1059" s="790"/>
      <c r="AR1059" s="790"/>
      <c r="AS1059" s="790"/>
      <c r="AT1059" s="790"/>
      <c r="AU1059" s="790"/>
      <c r="AV1059" s="790"/>
      <c r="AW1059" s="790"/>
      <c r="AX1059" s="790"/>
      <c r="AY1059" s="790"/>
      <c r="AZ1059" s="790"/>
      <c r="BA1059" s="790"/>
      <c r="BB1059" s="790"/>
      <c r="BC1059" s="790"/>
      <c r="BD1059" s="790"/>
      <c r="BE1059" s="790"/>
      <c r="BF1059" s="790"/>
      <c r="BG1059" s="790"/>
      <c r="BH1059" s="790"/>
      <c r="BI1059" s="790"/>
      <c r="BJ1059" s="1184" t="s">
        <v>4763</v>
      </c>
    </row>
    <row r="1060" spans="1:62" x14ac:dyDescent="0.3">
      <c r="A1060" s="1200">
        <v>7</v>
      </c>
      <c r="B1060" s="1215" t="s">
        <v>1103</v>
      </c>
      <c r="C1060" s="1215"/>
      <c r="D1060" s="1203"/>
      <c r="E1060" s="1203"/>
      <c r="F1060" s="1203"/>
      <c r="G1060" s="1202" t="str">
        <f ca="1">IF(N1060&gt;0,"P","")</f>
        <v/>
      </c>
      <c r="H1060" s="1200" t="s">
        <v>4386</v>
      </c>
      <c r="I1060" s="630" t="s">
        <v>1103</v>
      </c>
      <c r="J1060" s="823"/>
      <c r="K1060" s="823"/>
      <c r="L1060" s="1393" t="s">
        <v>1104</v>
      </c>
      <c r="M1060" s="1323">
        <f>IFERROR(INDEX({4,4,4,3,3,3,0,0},BF779),0)</f>
        <v>0</v>
      </c>
      <c r="N1060" s="1324">
        <f ca="1">'Ch7'!O297</f>
        <v>0</v>
      </c>
      <c r="O1060" s="1324">
        <f ca="1">M1060*S1060*W1060</f>
        <v>0</v>
      </c>
      <c r="P1060" s="97" t="b">
        <v>1</v>
      </c>
      <c r="Q1060" s="97" t="b">
        <v>1</v>
      </c>
      <c r="R1060" s="218" t="b">
        <v>0</v>
      </c>
      <c r="S1060" s="218" t="b">
        <f ca="1">(S776=2)</f>
        <v>0</v>
      </c>
      <c r="T1060" s="218" t="b">
        <f ca="1">AND(NOT(S1060),W1060=TRUE)</f>
        <v>0</v>
      </c>
      <c r="U1060" s="218"/>
      <c r="V1060" s="218"/>
      <c r="W1060" s="25"/>
      <c r="X1060" s="1295"/>
      <c r="Y1060" s="1523" t="str">
        <f>IF(LEN('Ch7'!X297)=0,"None",'Ch7'!X297)</f>
        <v>None</v>
      </c>
      <c r="Z1060" s="1583"/>
      <c r="AB1060" s="790"/>
      <c r="AC1060" s="790" t="b">
        <f ca="1">OR(AD1060:AE1060)</f>
        <v>0</v>
      </c>
      <c r="AD1060" s="790" t="b">
        <f ca="1">T1060</f>
        <v>0</v>
      </c>
      <c r="AE1060" s="790" t="b">
        <f>AND(R1060,NOT(W1060))</f>
        <v>0</v>
      </c>
      <c r="AF1060" s="1182" t="b">
        <f>AND(AE1060,NOT(Q1060))</f>
        <v>0</v>
      </c>
      <c r="AG1060" s="790"/>
      <c r="AH1060" s="790"/>
      <c r="AI1060" s="790"/>
      <c r="AJ1060" s="790"/>
      <c r="AK1060" s="790"/>
      <c r="AL1060" s="311" t="str">
        <f t="shared" ref="AL1060" si="298">SUBSTITUTE(SUBSTITUTE(SUBSTITUTE("vpa"&amp;$B1060&amp;$C1060&amp;$D1060&amp;$E1060&amp;$F1060,".","_"),"(","_"),")","")</f>
        <v>vpa703_3_8</v>
      </c>
      <c r="AM1060" s="311">
        <f>M1060</f>
        <v>0</v>
      </c>
      <c r="AN1060" s="311" t="str">
        <f>SUBSTITUTE(SUBSTITUTE(SUBSTITUTE("vpc"&amp;$B1060&amp;$C1060&amp;$D1060&amp;$E1060&amp;$F1060,".","_"),"(","_"),")","")</f>
        <v>vpc703_3_8</v>
      </c>
      <c r="AO1060" s="311">
        <f ca="1">O1060</f>
        <v>0</v>
      </c>
      <c r="AP1060" s="311" t="str">
        <f>SUBSTITUTE(SUBSTITUTE(SUBSTITUTE("vch"&amp;$B1060&amp;$C1060&amp;$D1060&amp;$E1060&amp;$F1060,".","_"),"(","_"),")","")</f>
        <v>vch703_3_8</v>
      </c>
      <c r="AQ1060" s="311">
        <f>W1060</f>
        <v>0</v>
      </c>
      <c r="AR1060" s="311" t="str">
        <f>SUBSTITUTE(SUBSTITUTE(SUBSTITUTE("vnt"&amp;$B1060&amp;$C1060&amp;$D1060&amp;$E1060&amp;$F1060,".","_"),"(","_"),")","")</f>
        <v>vnt703_3_8</v>
      </c>
      <c r="AS1060" s="311">
        <f>X1060</f>
        <v>0</v>
      </c>
      <c r="AT1060" s="790"/>
      <c r="AU1060" s="790"/>
      <c r="AV1060" s="790"/>
      <c r="AW1060" s="790"/>
      <c r="AX1060" s="790"/>
      <c r="AY1060" s="790"/>
      <c r="AZ1060" s="790"/>
      <c r="BA1060" s="790"/>
      <c r="BB1060" s="790"/>
      <c r="BC1060" s="790"/>
      <c r="BD1060" s="790"/>
      <c r="BE1060" s="790"/>
      <c r="BF1060" s="790"/>
      <c r="BG1060" s="790"/>
      <c r="BH1060" s="790"/>
      <c r="BI1060" s="790"/>
      <c r="BJ1060" s="1184" t="s">
        <v>4763</v>
      </c>
    </row>
    <row r="1061" spans="1:62" x14ac:dyDescent="0.3">
      <c r="A1061" s="1200">
        <v>7</v>
      </c>
      <c r="B1061" s="1215" t="s">
        <v>1103</v>
      </c>
      <c r="C1061" s="1215"/>
      <c r="D1061" s="1203"/>
      <c r="E1061" s="1203"/>
      <c r="F1061" s="1203"/>
      <c r="G1061" s="1202" t="str">
        <f t="shared" ref="G1061:G1062" ca="1" si="299">G1060</f>
        <v/>
      </c>
      <c r="H1061" s="1200" t="s">
        <v>4386</v>
      </c>
      <c r="I1061" s="140"/>
      <c r="J1061" s="812"/>
      <c r="K1061" s="812"/>
      <c r="L1061" s="1390"/>
      <c r="M1061" s="1318"/>
      <c r="N1061" s="1308"/>
      <c r="O1061" s="1308"/>
      <c r="P1061" s="97"/>
      <c r="Q1061" s="97"/>
      <c r="R1061" s="97"/>
      <c r="S1061" s="97"/>
      <c r="T1061" s="97"/>
      <c r="U1061" s="97"/>
      <c r="V1061" s="97"/>
      <c r="W1061" s="97"/>
      <c r="X1061" s="1295"/>
      <c r="Y1061" s="1523"/>
      <c r="Z1061" s="1583"/>
      <c r="AB1061" s="790"/>
      <c r="AC1061" s="790"/>
      <c r="AD1061" s="790"/>
      <c r="AE1061" s="790"/>
      <c r="AF1061" s="790"/>
      <c r="AG1061" s="790"/>
      <c r="AH1061" s="790"/>
      <c r="AI1061" s="790"/>
      <c r="AJ1061" s="790"/>
      <c r="AK1061" s="790"/>
      <c r="AL1061" s="790"/>
      <c r="AM1061" s="790"/>
      <c r="AN1061" s="790"/>
      <c r="AO1061" s="790"/>
      <c r="AP1061" s="790"/>
      <c r="AQ1061" s="790"/>
      <c r="AR1061" s="790"/>
      <c r="AS1061" s="790"/>
      <c r="AT1061" s="790"/>
      <c r="AU1061" s="790"/>
      <c r="AV1061" s="790"/>
      <c r="AW1061" s="790"/>
      <c r="AX1061" s="790"/>
      <c r="AY1061" s="790"/>
      <c r="AZ1061" s="790"/>
      <c r="BA1061" s="790"/>
      <c r="BB1061" s="790"/>
      <c r="BC1061" s="790"/>
      <c r="BD1061" s="790"/>
      <c r="BE1061" s="790"/>
      <c r="BF1061" s="790"/>
      <c r="BG1061" s="790"/>
      <c r="BH1061" s="790"/>
      <c r="BI1061" s="790"/>
      <c r="BJ1061" s="1184" t="s">
        <v>4763</v>
      </c>
    </row>
    <row r="1062" spans="1:62" x14ac:dyDescent="0.3">
      <c r="A1062" s="1200">
        <v>7</v>
      </c>
      <c r="B1062" s="1215" t="s">
        <v>1103</v>
      </c>
      <c r="C1062" s="1215"/>
      <c r="D1062" s="1203"/>
      <c r="E1062" s="1203"/>
      <c r="F1062" s="1203"/>
      <c r="G1062" s="1202" t="str">
        <f t="shared" ca="1" si="299"/>
        <v/>
      </c>
      <c r="H1062" s="1200" t="s">
        <v>4386</v>
      </c>
      <c r="I1062" s="140"/>
      <c r="J1062" s="812"/>
      <c r="K1062" s="812"/>
      <c r="L1062" s="820" t="s">
        <v>1101</v>
      </c>
      <c r="M1062" s="795"/>
      <c r="N1062" s="854"/>
      <c r="O1062" s="803"/>
      <c r="P1062" s="97"/>
      <c r="Q1062" s="97"/>
      <c r="R1062" s="97"/>
      <c r="S1062" s="97"/>
      <c r="T1062" s="97"/>
      <c r="U1062" s="97"/>
      <c r="V1062" s="97"/>
      <c r="W1062" s="97"/>
      <c r="X1062" s="1295"/>
      <c r="Y1062" s="1523"/>
      <c r="Z1062" s="1583"/>
      <c r="AB1062" s="790"/>
      <c r="AC1062" s="790"/>
      <c r="AD1062" s="790"/>
      <c r="AE1062" s="790"/>
      <c r="AF1062" s="790"/>
      <c r="AG1062" s="790"/>
      <c r="AH1062" s="790"/>
      <c r="AI1062" s="790"/>
      <c r="AJ1062" s="790"/>
      <c r="AK1062" s="790"/>
      <c r="AL1062" s="790"/>
      <c r="AM1062" s="790"/>
      <c r="AN1062" s="790"/>
      <c r="AO1062" s="790"/>
      <c r="AP1062" s="790"/>
      <c r="AQ1062" s="790"/>
      <c r="AR1062" s="790"/>
      <c r="AS1062" s="790"/>
      <c r="AT1062" s="790"/>
      <c r="AU1062" s="790"/>
      <c r="AV1062" s="790"/>
      <c r="AW1062" s="790"/>
      <c r="AX1062" s="790"/>
      <c r="AY1062" s="790"/>
      <c r="AZ1062" s="790"/>
      <c r="BA1062" s="790"/>
      <c r="BB1062" s="790"/>
      <c r="BC1062" s="790"/>
      <c r="BD1062" s="790"/>
      <c r="BE1062" s="790"/>
      <c r="BF1062" s="790"/>
      <c r="BG1062" s="790"/>
      <c r="BH1062" s="790"/>
      <c r="BI1062" s="790"/>
      <c r="BJ1062" s="1184" t="s">
        <v>4763</v>
      </c>
    </row>
    <row r="1063" spans="1:62" x14ac:dyDescent="0.3">
      <c r="A1063" s="1200">
        <v>7</v>
      </c>
      <c r="B1063" s="1215" t="s">
        <v>1103</v>
      </c>
      <c r="C1063" s="1215"/>
      <c r="D1063" s="1203"/>
      <c r="E1063" s="1203"/>
      <c r="F1063" s="1203"/>
      <c r="G1063" s="1200"/>
      <c r="H1063" s="1200"/>
      <c r="I1063" s="140"/>
      <c r="J1063" s="812"/>
      <c r="K1063" s="812"/>
      <c r="L1063" s="1394" t="s">
        <v>4045</v>
      </c>
      <c r="M1063" s="795"/>
      <c r="N1063" s="854"/>
      <c r="O1063" s="803"/>
      <c r="P1063" s="97"/>
      <c r="Q1063" s="97"/>
      <c r="R1063" s="97"/>
      <c r="S1063" s="97"/>
      <c r="T1063" s="97"/>
      <c r="U1063" s="97"/>
      <c r="V1063" s="97"/>
      <c r="W1063" s="97"/>
      <c r="X1063" s="1295"/>
      <c r="Y1063" s="1523"/>
      <c r="Z1063" s="1583"/>
      <c r="AB1063" s="790"/>
      <c r="AC1063" s="790"/>
      <c r="AD1063" s="790"/>
      <c r="AE1063" s="790"/>
      <c r="AF1063" s="790"/>
      <c r="AG1063" s="790"/>
      <c r="AH1063" s="790"/>
      <c r="AI1063" s="790"/>
      <c r="AJ1063" s="790"/>
      <c r="AK1063" s="790"/>
      <c r="AL1063" s="790"/>
      <c r="AM1063" s="790"/>
      <c r="AN1063" s="790"/>
      <c r="AO1063" s="790"/>
      <c r="AP1063" s="790"/>
      <c r="AQ1063" s="790"/>
      <c r="AR1063" s="790"/>
      <c r="AS1063" s="790"/>
      <c r="AT1063" s="790"/>
      <c r="AU1063" s="790"/>
      <c r="AV1063" s="790"/>
      <c r="AW1063" s="790"/>
      <c r="AX1063" s="790"/>
      <c r="AY1063" s="790"/>
      <c r="AZ1063" s="790"/>
      <c r="BA1063" s="790"/>
      <c r="BB1063" s="790"/>
      <c r="BC1063" s="790"/>
      <c r="BD1063" s="790"/>
      <c r="BE1063" s="790"/>
      <c r="BF1063" s="790"/>
      <c r="BG1063" s="790"/>
      <c r="BH1063" s="790"/>
      <c r="BI1063" s="790"/>
      <c r="BJ1063" s="1184" t="s">
        <v>4763</v>
      </c>
    </row>
    <row r="1064" spans="1:62" ht="15" thickBot="1" x14ac:dyDescent="0.35">
      <c r="A1064" s="1200">
        <v>7</v>
      </c>
      <c r="B1064" s="1215" t="s">
        <v>1103</v>
      </c>
      <c r="C1064" s="1215"/>
      <c r="D1064" s="1203"/>
      <c r="E1064" s="1203"/>
      <c r="F1064" s="1203"/>
      <c r="G1064" s="1200"/>
      <c r="H1064" s="1200"/>
      <c r="I1064" s="270"/>
      <c r="J1064" s="824"/>
      <c r="K1064" s="824"/>
      <c r="L1064" s="1395"/>
      <c r="M1064" s="798"/>
      <c r="N1064" s="858"/>
      <c r="O1064" s="801"/>
      <c r="P1064" s="104"/>
      <c r="Q1064" s="104"/>
      <c r="R1064" s="104"/>
      <c r="S1064" s="104"/>
      <c r="T1064" s="104"/>
      <c r="U1064" s="104"/>
      <c r="V1064" s="104"/>
      <c r="W1064" s="104"/>
      <c r="X1064" s="1296"/>
      <c r="Y1064" s="1524"/>
      <c r="Z1064" s="1584"/>
      <c r="AB1064" s="790"/>
      <c r="AC1064" s="790"/>
      <c r="AD1064" s="790"/>
      <c r="AE1064" s="790"/>
      <c r="AF1064" s="790"/>
      <c r="AG1064" s="790"/>
      <c r="AH1064" s="790"/>
      <c r="AI1064" s="790"/>
      <c r="AJ1064" s="790"/>
      <c r="AK1064" s="790"/>
      <c r="AL1064" s="790"/>
      <c r="AM1064" s="790"/>
      <c r="AN1064" s="790"/>
      <c r="AO1064" s="790"/>
      <c r="AP1064" s="790"/>
      <c r="AQ1064" s="790"/>
      <c r="AR1064" s="790"/>
      <c r="AS1064" s="790"/>
      <c r="AT1064" s="790"/>
      <c r="AU1064" s="790"/>
      <c r="AV1064" s="790"/>
      <c r="AW1064" s="790"/>
      <c r="AX1064" s="790"/>
      <c r="AY1064" s="790"/>
      <c r="AZ1064" s="790"/>
      <c r="BA1064" s="790"/>
      <c r="BB1064" s="790"/>
      <c r="BC1064" s="790"/>
      <c r="BD1064" s="790"/>
      <c r="BE1064" s="790"/>
      <c r="BF1064" s="790"/>
      <c r="BG1064" s="790"/>
      <c r="BH1064" s="790"/>
      <c r="BI1064" s="790"/>
      <c r="BJ1064" s="1184" t="s">
        <v>4763</v>
      </c>
    </row>
    <row r="1065" spans="1:62" ht="15" thickTop="1" x14ac:dyDescent="0.3">
      <c r="A1065" s="1200">
        <v>7</v>
      </c>
      <c r="B1065" s="1210">
        <v>703.4</v>
      </c>
      <c r="C1065" s="1215"/>
      <c r="D1065" s="1203"/>
      <c r="E1065" s="1203"/>
      <c r="F1065" s="1203"/>
      <c r="G1065" s="1196" t="str">
        <f ca="1">IF(COUNTIF(G1066:G1076,"P")&gt;0,"P","")</f>
        <v/>
      </c>
      <c r="H1065" s="1200" t="s">
        <v>4386</v>
      </c>
      <c r="I1065" s="66">
        <v>703.4</v>
      </c>
      <c r="J1065" s="819"/>
      <c r="K1065" s="819"/>
      <c r="L1065" s="829" t="s">
        <v>1105</v>
      </c>
      <c r="M1065" s="799"/>
      <c r="N1065" s="850"/>
      <c r="O1065" s="802"/>
      <c r="P1065" s="1081"/>
      <c r="Q1065" s="1081"/>
      <c r="R1065" s="1"/>
      <c r="S1065" s="479" t="s">
        <v>3911</v>
      </c>
      <c r="T1065" s="1" t="b">
        <f>AND(AY788&gt;4,AY782=INDEX(ddSingleOrMulti,2))</f>
        <v>0</v>
      </c>
      <c r="U1065" s="790"/>
      <c r="V1065" s="790"/>
      <c r="W1065" s="790"/>
      <c r="X1065" s="790"/>
      <c r="Y1065" s="790"/>
      <c r="Z1065" s="1055"/>
      <c r="AB1065" s="790"/>
      <c r="AC1065" s="790"/>
      <c r="AD1065" s="790"/>
      <c r="AE1065" s="790"/>
      <c r="AF1065" s="790"/>
      <c r="AG1065" s="790"/>
      <c r="AH1065" s="790"/>
      <c r="AI1065" s="790"/>
      <c r="AJ1065" s="790"/>
      <c r="AK1065" s="790"/>
      <c r="AL1065" s="790"/>
      <c r="AM1065" s="790"/>
      <c r="AN1065" s="790"/>
      <c r="AO1065" s="790"/>
      <c r="AP1065" s="790"/>
      <c r="AQ1065" s="790"/>
      <c r="AR1065" s="790"/>
      <c r="AS1065" s="790"/>
      <c r="AT1065" s="790"/>
      <c r="AU1065" s="790"/>
      <c r="AV1065" s="790"/>
      <c r="AW1065" s="790"/>
      <c r="AX1065" s="790"/>
      <c r="AY1065" s="790"/>
      <c r="AZ1065" s="790"/>
      <c r="BA1065" s="790"/>
      <c r="BB1065" s="790"/>
      <c r="BC1065" s="790"/>
      <c r="BD1065" s="790"/>
      <c r="BE1065" s="790"/>
      <c r="BF1065" s="790"/>
      <c r="BG1065" s="790"/>
      <c r="BH1065" s="790"/>
      <c r="BI1065" s="790"/>
      <c r="BJ1065" s="1184" t="s">
        <v>4763</v>
      </c>
    </row>
    <row r="1066" spans="1:62" x14ac:dyDescent="0.3">
      <c r="A1066" s="1200">
        <v>7</v>
      </c>
      <c r="B1066" s="1210" t="s">
        <v>1106</v>
      </c>
      <c r="C1066" s="1215"/>
      <c r="D1066" s="1203"/>
      <c r="E1066" s="1203"/>
      <c r="F1066" s="1203"/>
      <c r="G1066" s="1202" t="str">
        <f ca="1">IF(N1066&gt;0,"P","")</f>
        <v/>
      </c>
      <c r="H1066" s="1200" t="s">
        <v>4386</v>
      </c>
      <c r="I1066" s="141" t="s">
        <v>1106</v>
      </c>
      <c r="J1066" s="812"/>
      <c r="K1066" s="812"/>
      <c r="L1066" s="830" t="s">
        <v>1107</v>
      </c>
      <c r="M1066" s="1318">
        <f>IFERROR(INDEX({0,2,4,6,8,8,8,8},BF779),0)</f>
        <v>0</v>
      </c>
      <c r="N1066" s="1308">
        <f ca="1">'Ch7'!O303</f>
        <v>0</v>
      </c>
      <c r="O1066" s="1308">
        <f ca="1">M1066*S1066*W1066</f>
        <v>0</v>
      </c>
      <c r="P1066" s="97" t="b">
        <v>1</v>
      </c>
      <c r="Q1066" s="97" t="b">
        <v>1</v>
      </c>
      <c r="R1066" s="790" t="b">
        <v>0</v>
      </c>
      <c r="S1066" s="790" t="b">
        <f ca="1">AND(S776=2,NOT(T1065),AY799=INDEX(ddHDucts,2))</f>
        <v>0</v>
      </c>
      <c r="T1066" s="97" t="b">
        <f ca="1">AND(NOT(S1066),W1066=TRUE)</f>
        <v>0</v>
      </c>
      <c r="U1066" s="790"/>
      <c r="V1066" s="790"/>
      <c r="W1066" s="25"/>
      <c r="X1066" s="1303"/>
      <c r="Y1066" s="1522" t="str">
        <f>IF(LEN('Ch7'!X303)=0,"None",'Ch7'!X303)</f>
        <v>None</v>
      </c>
      <c r="Z1066" s="1586"/>
      <c r="AB1066" s="790"/>
      <c r="AC1066" s="790" t="b">
        <f ca="1">OR(AD1066:AE1066)</f>
        <v>0</v>
      </c>
      <c r="AD1066" s="790" t="b">
        <f ca="1">T1066</f>
        <v>0</v>
      </c>
      <c r="AE1066" s="790" t="b">
        <f>AND(R1066,NOT(W1066))</f>
        <v>0</v>
      </c>
      <c r="AF1066" s="1182" t="b">
        <f>AND(AE1066,NOT(Q1066))</f>
        <v>0</v>
      </c>
      <c r="AG1066" s="790"/>
      <c r="AH1066" s="790"/>
      <c r="AI1066" s="790"/>
      <c r="AJ1066" s="790"/>
      <c r="AK1066" s="790"/>
      <c r="AL1066" s="311" t="str">
        <f t="shared" ref="AL1066" si="300">SUBSTITUTE(SUBSTITUTE(SUBSTITUTE("vpa"&amp;$B1066&amp;$C1066&amp;$D1066&amp;$E1066&amp;$F1066,".","_"),"(","_"),")","")</f>
        <v>vpa703_4_1</v>
      </c>
      <c r="AM1066" s="311">
        <f>M1066</f>
        <v>0</v>
      </c>
      <c r="AN1066" s="311" t="str">
        <f>SUBSTITUTE(SUBSTITUTE(SUBSTITUTE("vpc"&amp;$B1066&amp;$C1066&amp;$D1066&amp;$E1066&amp;$F1066,".","_"),"(","_"),")","")</f>
        <v>vpc703_4_1</v>
      </c>
      <c r="AO1066" s="311">
        <f ca="1">O1066</f>
        <v>0</v>
      </c>
      <c r="AP1066" s="311" t="str">
        <f>SUBSTITUTE(SUBSTITUTE(SUBSTITUTE("vch"&amp;$B1066&amp;$C1066&amp;$D1066&amp;$E1066&amp;$F1066,".","_"),"(","_"),")","")</f>
        <v>vch703_4_1</v>
      </c>
      <c r="AQ1066" s="311">
        <f>W1066</f>
        <v>0</v>
      </c>
      <c r="AR1066" s="311" t="str">
        <f>SUBSTITUTE(SUBSTITUTE(SUBSTITUTE("vnt"&amp;$B1066&amp;$C1066&amp;$D1066&amp;$E1066&amp;$F1066,".","_"),"(","_"),")","")</f>
        <v>vnt703_4_1</v>
      </c>
      <c r="AS1066" s="311">
        <f>X1066</f>
        <v>0</v>
      </c>
      <c r="AT1066" s="790"/>
      <c r="AU1066" s="790"/>
      <c r="AV1066" s="790"/>
      <c r="AW1066" s="790"/>
      <c r="AX1066" s="790"/>
      <c r="AY1066" s="790"/>
      <c r="AZ1066" s="790"/>
      <c r="BA1066" s="790"/>
      <c r="BB1066" s="790"/>
      <c r="BC1066" s="790"/>
      <c r="BD1066" s="790"/>
      <c r="BE1066" s="790"/>
      <c r="BF1066" s="790"/>
      <c r="BG1066" s="790"/>
      <c r="BH1066" s="790"/>
      <c r="BI1066" s="790"/>
      <c r="BJ1066" s="1184" t="s">
        <v>4763</v>
      </c>
    </row>
    <row r="1067" spans="1:62" x14ac:dyDescent="0.3">
      <c r="A1067" s="1200">
        <v>7</v>
      </c>
      <c r="B1067" s="1210" t="s">
        <v>1106</v>
      </c>
      <c r="C1067" s="1215"/>
      <c r="D1067" s="1203"/>
      <c r="E1067" s="1203"/>
      <c r="F1067" s="1203"/>
      <c r="G1067" s="1200"/>
      <c r="H1067" s="1200"/>
      <c r="I1067" s="238"/>
      <c r="J1067" s="813"/>
      <c r="K1067" s="813"/>
      <c r="L1067" s="826" t="s">
        <v>1108</v>
      </c>
      <c r="M1067" s="1319"/>
      <c r="N1067" s="1309"/>
      <c r="O1067" s="1309"/>
      <c r="P1067" s="1081"/>
      <c r="Q1067" s="1081"/>
      <c r="R1067" s="790"/>
      <c r="S1067" s="790"/>
      <c r="T1067" s="790"/>
      <c r="U1067" s="790"/>
      <c r="V1067" s="790"/>
      <c r="W1067" s="790"/>
      <c r="X1067" s="1303"/>
      <c r="Y1067" s="1522"/>
      <c r="Z1067" s="1586"/>
      <c r="AB1067" s="790"/>
      <c r="AC1067" s="790"/>
      <c r="AD1067" s="790"/>
      <c r="AE1067" s="790"/>
      <c r="AF1067" s="790"/>
      <c r="AG1067" s="790"/>
      <c r="AH1067" s="790"/>
      <c r="AI1067" s="790"/>
      <c r="AJ1067" s="790"/>
      <c r="AK1067" s="790"/>
      <c r="AL1067" s="790"/>
      <c r="AM1067" s="790"/>
      <c r="AN1067" s="790"/>
      <c r="AO1067" s="790"/>
      <c r="AP1067" s="790"/>
      <c r="AQ1067" s="790"/>
      <c r="AR1067" s="790"/>
      <c r="AS1067" s="790"/>
      <c r="AT1067" s="790"/>
      <c r="AU1067" s="790"/>
      <c r="AV1067" s="790"/>
      <c r="AW1067" s="790"/>
      <c r="AX1067" s="790"/>
      <c r="AY1067" s="790"/>
      <c r="AZ1067" s="790"/>
      <c r="BA1067" s="790"/>
      <c r="BB1067" s="790"/>
      <c r="BC1067" s="790"/>
      <c r="BD1067" s="790"/>
      <c r="BE1067" s="790"/>
      <c r="BF1067" s="790"/>
      <c r="BG1067" s="790"/>
      <c r="BH1067" s="790"/>
      <c r="BI1067" s="790"/>
      <c r="BJ1067" s="1184" t="s">
        <v>4763</v>
      </c>
    </row>
    <row r="1068" spans="1:62" x14ac:dyDescent="0.3">
      <c r="A1068" s="1200">
        <v>7</v>
      </c>
      <c r="B1068" s="1210" t="s">
        <v>1109</v>
      </c>
      <c r="C1068" s="1215"/>
      <c r="D1068" s="1203"/>
      <c r="E1068" s="1203"/>
      <c r="F1068" s="1203"/>
      <c r="G1068" s="1202" t="str">
        <f ca="1">IF(N1068&gt;0,"P","")</f>
        <v/>
      </c>
      <c r="H1068" s="1200" t="s">
        <v>4386</v>
      </c>
      <c r="I1068" s="215" t="s">
        <v>1109</v>
      </c>
      <c r="J1068" s="823"/>
      <c r="K1068" s="823"/>
      <c r="L1068" s="832" t="s">
        <v>1110</v>
      </c>
      <c r="M1068" s="1323">
        <f>IFERROR(INDEX({8,8,4,2,1,0,0,0},BF779),0)</f>
        <v>0</v>
      </c>
      <c r="N1068" s="1324">
        <f ca="1">'Ch7'!O305</f>
        <v>0</v>
      </c>
      <c r="O1068" s="1324">
        <f ca="1">M1068*S1068*W1068</f>
        <v>0</v>
      </c>
      <c r="P1068" s="97" t="b">
        <v>1</v>
      </c>
      <c r="Q1068" s="97" t="b">
        <v>1</v>
      </c>
      <c r="R1068" s="790" t="b">
        <v>0</v>
      </c>
      <c r="S1068" s="790" t="b">
        <f ca="1">AND(S776=2,NOT(T1065),AY803=INDEX(ddCDucts,2))</f>
        <v>0</v>
      </c>
      <c r="T1068" s="97" t="b">
        <f ca="1">AND(NOT(S1068),W1068=TRUE)</f>
        <v>0</v>
      </c>
      <c r="U1068" s="790"/>
      <c r="V1068" s="790"/>
      <c r="W1068" s="25"/>
      <c r="X1068" s="1303"/>
      <c r="Y1068" s="1522" t="str">
        <f>IF(LEN('Ch7'!X305)=0,"None",'Ch7'!X305)</f>
        <v>None</v>
      </c>
      <c r="Z1068" s="1586"/>
      <c r="AB1068" s="790"/>
      <c r="AC1068" s="790" t="b">
        <f ca="1">OR(AD1068:AE1068)</f>
        <v>0</v>
      </c>
      <c r="AD1068" s="790" t="b">
        <f ca="1">T1068</f>
        <v>0</v>
      </c>
      <c r="AE1068" s="790" t="b">
        <f>AND(R1068,NOT(W1068))</f>
        <v>0</v>
      </c>
      <c r="AF1068" s="1182" t="b">
        <f>AND(AE1068,NOT(Q1068))</f>
        <v>0</v>
      </c>
      <c r="AG1068" s="790"/>
      <c r="AH1068" s="790"/>
      <c r="AI1068" s="790"/>
      <c r="AJ1068" s="790"/>
      <c r="AK1068" s="790"/>
      <c r="AL1068" s="311" t="str">
        <f t="shared" ref="AL1068" si="301">SUBSTITUTE(SUBSTITUTE(SUBSTITUTE("vpa"&amp;$B1068&amp;$C1068&amp;$D1068&amp;$E1068&amp;$F1068,".","_"),"(","_"),")","")</f>
        <v>vpa703_4_2</v>
      </c>
      <c r="AM1068" s="311">
        <f>M1068</f>
        <v>0</v>
      </c>
      <c r="AN1068" s="311" t="str">
        <f>SUBSTITUTE(SUBSTITUTE(SUBSTITUTE("vpc"&amp;$B1068&amp;$C1068&amp;$D1068&amp;$E1068&amp;$F1068,".","_"),"(","_"),")","")</f>
        <v>vpc703_4_2</v>
      </c>
      <c r="AO1068" s="311">
        <f ca="1">O1068</f>
        <v>0</v>
      </c>
      <c r="AP1068" s="311" t="str">
        <f>SUBSTITUTE(SUBSTITUTE(SUBSTITUTE("vch"&amp;$B1068&amp;$C1068&amp;$D1068&amp;$E1068&amp;$F1068,".","_"),"(","_"),")","")</f>
        <v>vch703_4_2</v>
      </c>
      <c r="AQ1068" s="311">
        <f>W1068</f>
        <v>0</v>
      </c>
      <c r="AR1068" s="311" t="str">
        <f>SUBSTITUTE(SUBSTITUTE(SUBSTITUTE("vnt"&amp;$B1068&amp;$C1068&amp;$D1068&amp;$E1068&amp;$F1068,".","_"),"(","_"),")","")</f>
        <v>vnt703_4_2</v>
      </c>
      <c r="AS1068" s="311">
        <f>X1068</f>
        <v>0</v>
      </c>
      <c r="AT1068" s="790"/>
      <c r="AU1068" s="790"/>
      <c r="AV1068" s="790"/>
      <c r="AW1068" s="790"/>
      <c r="AX1068" s="790"/>
      <c r="AY1068" s="790"/>
      <c r="AZ1068" s="790"/>
      <c r="BA1068" s="790"/>
      <c r="BB1068" s="790"/>
      <c r="BC1068" s="790"/>
      <c r="BD1068" s="790"/>
      <c r="BE1068" s="790"/>
      <c r="BF1068" s="790"/>
      <c r="BG1068" s="790"/>
      <c r="BH1068" s="790"/>
      <c r="BI1068" s="790"/>
      <c r="BJ1068" s="1184" t="s">
        <v>4763</v>
      </c>
    </row>
    <row r="1069" spans="1:62" x14ac:dyDescent="0.3">
      <c r="A1069" s="1200">
        <v>7</v>
      </c>
      <c r="B1069" s="1210" t="s">
        <v>1109</v>
      </c>
      <c r="C1069" s="1215"/>
      <c r="D1069" s="1203"/>
      <c r="E1069" s="1203"/>
      <c r="F1069" s="1203"/>
      <c r="G1069" s="1200"/>
      <c r="H1069" s="1200"/>
      <c r="I1069" s="238"/>
      <c r="J1069" s="813"/>
      <c r="K1069" s="813"/>
      <c r="L1069" s="826" t="s">
        <v>1108</v>
      </c>
      <c r="M1069" s="1319"/>
      <c r="N1069" s="1309"/>
      <c r="O1069" s="1309"/>
      <c r="P1069" s="1081"/>
      <c r="Q1069" s="1081"/>
      <c r="R1069" s="790"/>
      <c r="S1069" s="790"/>
      <c r="T1069" s="790"/>
      <c r="U1069" s="790"/>
      <c r="V1069" s="790"/>
      <c r="W1069" s="790"/>
      <c r="X1069" s="1303"/>
      <c r="Y1069" s="1522"/>
      <c r="Z1069" s="1586"/>
      <c r="AB1069" s="790"/>
      <c r="AC1069" s="790"/>
      <c r="AD1069" s="790"/>
      <c r="AE1069" s="790"/>
      <c r="AF1069" s="790"/>
      <c r="AG1069" s="790"/>
      <c r="AH1069" s="790"/>
      <c r="AI1069" s="790"/>
      <c r="AJ1069" s="790"/>
      <c r="AK1069" s="790"/>
      <c r="AL1069" s="790"/>
      <c r="AM1069" s="790"/>
      <c r="AN1069" s="790"/>
      <c r="AO1069" s="790"/>
      <c r="AP1069" s="790"/>
      <c r="AQ1069" s="790"/>
      <c r="AR1069" s="790"/>
      <c r="AS1069" s="790"/>
      <c r="AT1069" s="790"/>
      <c r="AU1069" s="790"/>
      <c r="AV1069" s="790"/>
      <c r="AW1069" s="790"/>
      <c r="AX1069" s="790"/>
      <c r="AY1069" s="790"/>
      <c r="AZ1069" s="790"/>
      <c r="BA1069" s="790"/>
      <c r="BB1069" s="790"/>
      <c r="BC1069" s="790"/>
      <c r="BD1069" s="790"/>
      <c r="BE1069" s="790"/>
      <c r="BF1069" s="790"/>
      <c r="BG1069" s="790"/>
      <c r="BH1069" s="790"/>
      <c r="BI1069" s="790"/>
      <c r="BJ1069" s="1184" t="s">
        <v>4763</v>
      </c>
    </row>
    <row r="1070" spans="1:62" x14ac:dyDescent="0.3">
      <c r="A1070" s="1200">
        <v>7</v>
      </c>
      <c r="B1070" s="1210" t="s">
        <v>1111</v>
      </c>
      <c r="C1070" s="1215"/>
      <c r="D1070" s="1203"/>
      <c r="E1070" s="1203"/>
      <c r="F1070" s="1203"/>
      <c r="G1070" s="1202" t="str">
        <f ca="1">IF(N1070&gt;0,"P","")</f>
        <v/>
      </c>
      <c r="H1070" s="1200" t="s">
        <v>4387</v>
      </c>
      <c r="I1070" s="66" t="s">
        <v>1111</v>
      </c>
      <c r="J1070" s="819"/>
      <c r="K1070" s="819"/>
      <c r="L1070" s="829" t="s">
        <v>1112</v>
      </c>
      <c r="M1070" s="799">
        <f>IFERROR(INDEX({8,10,8,8,8,4,4,4},BF779),0)</f>
        <v>0</v>
      </c>
      <c r="N1070" s="850">
        <f ca="1">'Ch7'!O307</f>
        <v>0</v>
      </c>
      <c r="O1070" s="802">
        <f ca="1">M1070*S1071*S1072*S1074*W1071*W1072*W1074</f>
        <v>0</v>
      </c>
      <c r="P1070" s="1081"/>
      <c r="Q1070" s="1081"/>
      <c r="R1070" s="790"/>
      <c r="S1070" s="790"/>
      <c r="T1070" s="790"/>
      <c r="U1070" s="790"/>
      <c r="V1070" s="790"/>
      <c r="W1070" s="790"/>
      <c r="X1070" s="790"/>
      <c r="Y1070" s="790"/>
      <c r="Z1070" s="1055"/>
      <c r="AB1070" s="790"/>
      <c r="AC1070" s="790"/>
      <c r="AD1070" s="790"/>
      <c r="AE1070" s="790"/>
      <c r="AF1070" s="790"/>
      <c r="AG1070" s="790"/>
      <c r="AH1070" s="790"/>
      <c r="AI1070" s="790"/>
      <c r="AJ1070" s="790"/>
      <c r="AK1070" s="790"/>
      <c r="AL1070" s="311" t="str">
        <f t="shared" ref="AL1070" si="302">SUBSTITUTE(SUBSTITUTE(SUBSTITUTE("vpa"&amp;$B1070&amp;$C1070&amp;$D1070&amp;$E1070&amp;$F1070,".","_"),"(","_"),")","")</f>
        <v>vpa703_4_3</v>
      </c>
      <c r="AM1070" s="311">
        <f>M1070</f>
        <v>0</v>
      </c>
      <c r="AN1070" s="311" t="str">
        <f>SUBSTITUTE(SUBSTITUTE(SUBSTITUTE("vpc"&amp;$B1070&amp;$C1070&amp;$D1070&amp;$E1070&amp;$F1070,".","_"),"(","_"),")","")</f>
        <v>vpc703_4_3</v>
      </c>
      <c r="AO1070" s="311">
        <f ca="1">O1070</f>
        <v>0</v>
      </c>
      <c r="AP1070" s="790"/>
      <c r="AQ1070" s="790"/>
      <c r="AR1070" s="790"/>
      <c r="AS1070" s="790"/>
      <c r="AT1070" s="790"/>
      <c r="AU1070" s="790"/>
      <c r="AV1070" s="790"/>
      <c r="AW1070" s="790"/>
      <c r="AX1070" s="790"/>
      <c r="AY1070" s="790"/>
      <c r="AZ1070" s="790"/>
      <c r="BA1070" s="790"/>
      <c r="BB1070" s="790"/>
      <c r="BC1070" s="790"/>
      <c r="BD1070" s="790"/>
      <c r="BE1070" s="790"/>
      <c r="BF1070" s="790"/>
      <c r="BG1070" s="790"/>
      <c r="BH1070" s="790"/>
      <c r="BI1070" s="790"/>
      <c r="BJ1070" s="1184" t="s">
        <v>4763</v>
      </c>
    </row>
    <row r="1071" spans="1:62" x14ac:dyDescent="0.3">
      <c r="A1071" s="1200">
        <v>7</v>
      </c>
      <c r="B1071" s="1210" t="s">
        <v>1111</v>
      </c>
      <c r="C1071" s="1215"/>
      <c r="D1071" s="1203" t="s">
        <v>271</v>
      </c>
      <c r="E1071" s="1203"/>
      <c r="F1071" s="1203"/>
      <c r="G1071" s="1202" t="str">
        <f t="shared" ref="G1071:G1074" ca="1" si="303">G1070</f>
        <v/>
      </c>
      <c r="H1071" s="1200" t="s">
        <v>4387</v>
      </c>
      <c r="I1071" s="4"/>
      <c r="J1071" s="626" t="s">
        <v>271</v>
      </c>
      <c r="K1071" s="813"/>
      <c r="L1071" s="813" t="s">
        <v>1113</v>
      </c>
      <c r="M1071" s="799"/>
      <c r="N1071" s="850"/>
      <c r="O1071" s="802"/>
      <c r="P1071" s="97" t="b">
        <v>1</v>
      </c>
      <c r="Q1071" s="97" t="b">
        <v>0</v>
      </c>
      <c r="R1071" s="790" t="b">
        <v>0</v>
      </c>
      <c r="S1071" s="790" t="b">
        <f ca="1">AND(S776=2,NOT(T1065),OR(AY799&lt;&gt;INDEX(ddHDucts,2),AY803&lt;&gt;INDEX(ddCDucts,2)))</f>
        <v>0</v>
      </c>
      <c r="T1071" s="97" t="b">
        <f ca="1">AND(NOT(S1071),W1071=TRUE)</f>
        <v>0</v>
      </c>
      <c r="U1071" s="790"/>
      <c r="V1071" s="790"/>
      <c r="W1071" s="25"/>
      <c r="X1071" s="809"/>
      <c r="Y1071" s="841" t="str">
        <f>IF(LEN('Ch7'!X308)=0,"None",'Ch7'!X308)</f>
        <v>None</v>
      </c>
      <c r="Z1071" s="1169"/>
      <c r="AB1071" s="790"/>
      <c r="AC1071" s="790" t="b">
        <f ca="1">OR(AD1071:AE1071)</f>
        <v>0</v>
      </c>
      <c r="AD1071" s="790" t="b">
        <f ca="1">T1071</f>
        <v>0</v>
      </c>
      <c r="AE1071" s="790" t="b">
        <f>AND(R1071,NOT(W1071))</f>
        <v>0</v>
      </c>
      <c r="AF1071" s="1182" t="b">
        <f>AND(AE1071,NOT(Q1071))</f>
        <v>0</v>
      </c>
      <c r="AG1071" s="790"/>
      <c r="AH1071" s="790"/>
      <c r="AI1071" s="790"/>
      <c r="AJ1071" s="790"/>
      <c r="AK1071" s="790"/>
      <c r="AL1071" s="790"/>
      <c r="AM1071" s="790"/>
      <c r="AN1071" s="790"/>
      <c r="AO1071" s="790"/>
      <c r="AP1071" s="311" t="str">
        <f t="shared" ref="AP1071:AP1072" si="304">SUBSTITUTE(SUBSTITUTE(SUBSTITUTE("vch"&amp;$B1071&amp;$C1071&amp;$D1071&amp;$E1071&amp;$F1071,".","_"),"(","_"),")","")</f>
        <v>vch703_4_3_1</v>
      </c>
      <c r="AQ1071" s="311">
        <f>W1071</f>
        <v>0</v>
      </c>
      <c r="AR1071" s="311" t="str">
        <f t="shared" ref="AR1071:AR1072" si="305">SUBSTITUTE(SUBSTITUTE(SUBSTITUTE("vnt"&amp;$B1071&amp;$C1071&amp;$D1071&amp;$E1071&amp;$F1071,".","_"),"(","_"),")","")</f>
        <v>vnt703_4_3_1</v>
      </c>
      <c r="AS1071" s="311">
        <f>X1071</f>
        <v>0</v>
      </c>
      <c r="AT1071" s="790"/>
      <c r="AU1071" s="790"/>
      <c r="AV1071" s="790"/>
      <c r="AW1071" s="790"/>
      <c r="AX1071" s="790"/>
      <c r="AY1071" s="790"/>
      <c r="AZ1071" s="790"/>
      <c r="BA1071" s="790"/>
      <c r="BB1071" s="790"/>
      <c r="BC1071" s="790"/>
      <c r="BD1071" s="790"/>
      <c r="BE1071" s="790"/>
      <c r="BF1071" s="790"/>
      <c r="BG1071" s="790"/>
      <c r="BH1071" s="790"/>
      <c r="BI1071" s="790"/>
      <c r="BJ1071" s="1184" t="s">
        <v>4763</v>
      </c>
    </row>
    <row r="1072" spans="1:62" x14ac:dyDescent="0.3">
      <c r="A1072" s="1200">
        <v>7</v>
      </c>
      <c r="B1072" s="1210" t="s">
        <v>1111</v>
      </c>
      <c r="C1072" s="1215"/>
      <c r="D1072" s="1203" t="s">
        <v>273</v>
      </c>
      <c r="E1072" s="1203"/>
      <c r="F1072" s="1203"/>
      <c r="G1072" s="1202" t="str">
        <f t="shared" ca="1" si="303"/>
        <v/>
      </c>
      <c r="H1072" s="1200" t="s">
        <v>4387</v>
      </c>
      <c r="I1072" s="4"/>
      <c r="J1072" s="649" t="s">
        <v>273</v>
      </c>
      <c r="K1072" s="823"/>
      <c r="L1072" s="1356" t="s">
        <v>1114</v>
      </c>
      <c r="M1072" s="799"/>
      <c r="N1072" s="850"/>
      <c r="O1072" s="802"/>
      <c r="P1072" s="97" t="b">
        <v>1</v>
      </c>
      <c r="Q1072" s="97" t="b">
        <v>0</v>
      </c>
      <c r="R1072" s="790" t="b">
        <v>0</v>
      </c>
      <c r="S1072" s="790" t="b">
        <f ca="1">AND(S776=2,NOT(T1065),OR(AY799&lt;&gt;INDEX(ddHDucts,2),AY803&lt;&gt;INDEX(ddCDucts,2)),W1076&lt;&gt;INDEX(INDIRECT(U1076),1),W1076&lt;&gt;INDEX(INDIRECT(U1076),3))</f>
        <v>0</v>
      </c>
      <c r="T1072" s="97" t="b">
        <f ca="1">AND(NOT(S1072),W1072=TRUE)</f>
        <v>0</v>
      </c>
      <c r="U1072" s="790"/>
      <c r="V1072" s="790"/>
      <c r="W1072" s="25"/>
      <c r="X1072" s="1303"/>
      <c r="Y1072" s="1522" t="str">
        <f>IF(LEN('Ch7'!X309)=0,"None",'Ch7'!X309)</f>
        <v>None</v>
      </c>
      <c r="Z1072" s="1586"/>
      <c r="AB1072" s="790"/>
      <c r="AC1072" s="790" t="b">
        <f ca="1">OR(AD1072:AE1072)</f>
        <v>0</v>
      </c>
      <c r="AD1072" s="790" t="b">
        <f ca="1">T1072</f>
        <v>0</v>
      </c>
      <c r="AE1072" s="790" t="b">
        <f>AND(R1072,NOT(W1072))</f>
        <v>0</v>
      </c>
      <c r="AF1072" s="1182" t="b">
        <f>AND(AE1072,NOT(Q1072))</f>
        <v>0</v>
      </c>
      <c r="AG1072" s="790"/>
      <c r="AH1072" s="790"/>
      <c r="AI1072" s="790"/>
      <c r="AJ1072" s="790"/>
      <c r="AK1072" s="790"/>
      <c r="AL1072" s="790"/>
      <c r="AM1072" s="790"/>
      <c r="AN1072" s="790"/>
      <c r="AO1072" s="790"/>
      <c r="AP1072" s="311" t="str">
        <f t="shared" si="304"/>
        <v>vch703_4_3_2</v>
      </c>
      <c r="AQ1072" s="311">
        <f>W1072</f>
        <v>0</v>
      </c>
      <c r="AR1072" s="311" t="str">
        <f t="shared" si="305"/>
        <v>vnt703_4_3_2</v>
      </c>
      <c r="AS1072" s="311">
        <f>X1072</f>
        <v>0</v>
      </c>
      <c r="AT1072" s="790"/>
      <c r="AU1072" s="790"/>
      <c r="AV1072" s="790"/>
      <c r="AW1072" s="790"/>
      <c r="AX1072" s="790"/>
      <c r="AY1072" s="790"/>
      <c r="AZ1072" s="790"/>
      <c r="BA1072" s="790"/>
      <c r="BB1072" s="790"/>
      <c r="BC1072" s="790"/>
      <c r="BD1072" s="790"/>
      <c r="BE1072" s="790"/>
      <c r="BF1072" s="790"/>
      <c r="BG1072" s="790"/>
      <c r="BH1072" s="790"/>
      <c r="BI1072" s="790"/>
      <c r="BJ1072" s="1184" t="s">
        <v>4763</v>
      </c>
    </row>
    <row r="1073" spans="1:62" x14ac:dyDescent="0.3">
      <c r="A1073" s="1200">
        <v>7</v>
      </c>
      <c r="B1073" s="1210" t="s">
        <v>1111</v>
      </c>
      <c r="C1073" s="1215"/>
      <c r="D1073" s="1203" t="s">
        <v>273</v>
      </c>
      <c r="E1073" s="1203"/>
      <c r="F1073" s="1203"/>
      <c r="G1073" s="1202" t="str">
        <f t="shared" ca="1" si="303"/>
        <v/>
      </c>
      <c r="H1073" s="1200" t="s">
        <v>4387</v>
      </c>
      <c r="I1073" s="4"/>
      <c r="J1073" s="813"/>
      <c r="K1073" s="813"/>
      <c r="L1073" s="1306"/>
      <c r="M1073" s="799"/>
      <c r="N1073" s="850"/>
      <c r="O1073" s="802"/>
      <c r="P1073" s="1081"/>
      <c r="Q1073" s="1081"/>
      <c r="R1073" s="790"/>
      <c r="S1073" s="790"/>
      <c r="T1073" s="790"/>
      <c r="U1073" s="790"/>
      <c r="V1073" s="790"/>
      <c r="W1073" s="790"/>
      <c r="X1073" s="1303"/>
      <c r="Y1073" s="1522"/>
      <c r="Z1073" s="1586"/>
      <c r="AB1073" s="790"/>
      <c r="AC1073" s="790"/>
      <c r="AD1073" s="790"/>
      <c r="AE1073" s="790"/>
      <c r="AF1073" s="790"/>
      <c r="AG1073" s="790"/>
      <c r="AH1073" s="790"/>
      <c r="AI1073" s="790"/>
      <c r="AJ1073" s="790"/>
      <c r="AK1073" s="790"/>
      <c r="AL1073" s="790"/>
      <c r="AM1073" s="790"/>
      <c r="AN1073" s="790"/>
      <c r="AO1073" s="790"/>
      <c r="AP1073" s="790"/>
      <c r="AQ1073" s="790"/>
      <c r="AR1073" s="790"/>
      <c r="AS1073" s="790"/>
      <c r="AT1073" s="790"/>
      <c r="AU1073" s="790"/>
      <c r="AV1073" s="790"/>
      <c r="AW1073" s="790"/>
      <c r="AX1073" s="790"/>
      <c r="AY1073" s="790"/>
      <c r="AZ1073" s="790"/>
      <c r="BA1073" s="790"/>
      <c r="BB1073" s="790"/>
      <c r="BC1073" s="790"/>
      <c r="BD1073" s="790"/>
      <c r="BE1073" s="790"/>
      <c r="BF1073" s="790"/>
      <c r="BG1073" s="790"/>
      <c r="BH1073" s="790"/>
      <c r="BI1073" s="790"/>
      <c r="BJ1073" s="1184" t="s">
        <v>4763</v>
      </c>
    </row>
    <row r="1074" spans="1:62" x14ac:dyDescent="0.3">
      <c r="A1074" s="1200">
        <v>7</v>
      </c>
      <c r="B1074" s="1210" t="s">
        <v>1111</v>
      </c>
      <c r="C1074" s="1215"/>
      <c r="D1074" s="1203" t="s">
        <v>275</v>
      </c>
      <c r="E1074" s="1203"/>
      <c r="F1074" s="1203"/>
      <c r="G1074" s="1202" t="str">
        <f t="shared" ca="1" si="303"/>
        <v/>
      </c>
      <c r="H1074" s="1200" t="s">
        <v>4387</v>
      </c>
      <c r="I1074" s="140"/>
      <c r="J1074" s="614" t="s">
        <v>275</v>
      </c>
      <c r="K1074" s="812"/>
      <c r="L1074" s="812" t="s">
        <v>1115</v>
      </c>
      <c r="M1074" s="799"/>
      <c r="N1074" s="850"/>
      <c r="O1074" s="802"/>
      <c r="P1074" s="97" t="b">
        <v>1</v>
      </c>
      <c r="Q1074" s="97" t="b">
        <v>0</v>
      </c>
      <c r="R1074" s="790" t="b">
        <v>0</v>
      </c>
      <c r="S1074" s="790" t="b">
        <f ca="1">AND(S776=2,NOT(T1065),OR(AY799&lt;&gt;INDEX(ddHDucts,2),AY803&lt;&gt;INDEX(ddCDucts,2)))</f>
        <v>0</v>
      </c>
      <c r="T1074" s="97" t="b">
        <f ca="1">AND(NOT(S1074),W1074=TRUE)</f>
        <v>0</v>
      </c>
      <c r="U1074" s="790"/>
      <c r="V1074" s="790"/>
      <c r="W1074" s="25"/>
      <c r="X1074" s="1303"/>
      <c r="Y1074" s="1522" t="str">
        <f>IF(LEN('Ch7'!X311)=0,"None",'Ch7'!X311)</f>
        <v>None</v>
      </c>
      <c r="Z1074" s="1586"/>
      <c r="AB1074" s="790"/>
      <c r="AC1074" s="790" t="b">
        <f ca="1">OR(AD1074:AE1074)</f>
        <v>0</v>
      </c>
      <c r="AD1074" s="790" t="b">
        <f ca="1">T1074</f>
        <v>0</v>
      </c>
      <c r="AE1074" s="790" t="b">
        <f>AND(R1074,NOT(W1074))</f>
        <v>0</v>
      </c>
      <c r="AF1074" s="1182" t="b">
        <f>AND(AE1074,NOT(Q1074))</f>
        <v>0</v>
      </c>
      <c r="AG1074" s="790"/>
      <c r="AH1074" s="790"/>
      <c r="AI1074" s="790"/>
      <c r="AJ1074" s="790"/>
      <c r="AK1074" s="790"/>
      <c r="AL1074" s="790"/>
      <c r="AM1074" s="790"/>
      <c r="AN1074" s="790"/>
      <c r="AO1074" s="790"/>
      <c r="AP1074" s="311" t="str">
        <f>SUBSTITUTE(SUBSTITUTE(SUBSTITUTE("vch"&amp;$B1074&amp;$C1074&amp;$D1074&amp;$E1074&amp;$F1074,".","_"),"(","_"),")","")</f>
        <v>vch703_4_3_3</v>
      </c>
      <c r="AQ1074" s="311">
        <f>W1074</f>
        <v>0</v>
      </c>
      <c r="AR1074" s="311" t="str">
        <f>SUBSTITUTE(SUBSTITUTE(SUBSTITUTE("vnt"&amp;$B1074&amp;$C1074&amp;$D1074&amp;$E1074&amp;$F1074,".","_"),"(","_"),")","")</f>
        <v>vnt703_4_3_3</v>
      </c>
      <c r="AS1074" s="311">
        <f>X1074</f>
        <v>0</v>
      </c>
      <c r="AT1074" s="790"/>
      <c r="AU1074" s="790"/>
      <c r="AV1074" s="790"/>
      <c r="AW1074" s="790"/>
      <c r="AX1074" s="790"/>
      <c r="AY1074" s="790"/>
      <c r="AZ1074" s="790"/>
      <c r="BA1074" s="790"/>
      <c r="BB1074" s="790"/>
      <c r="BC1074" s="790"/>
      <c r="BD1074" s="790"/>
      <c r="BE1074" s="790"/>
      <c r="BF1074" s="790"/>
      <c r="BG1074" s="790"/>
      <c r="BH1074" s="790"/>
      <c r="BI1074" s="790"/>
      <c r="BJ1074" s="1184" t="s">
        <v>4763</v>
      </c>
    </row>
    <row r="1075" spans="1:62" x14ac:dyDescent="0.3">
      <c r="A1075" s="1200">
        <v>7</v>
      </c>
      <c r="B1075" s="1210" t="s">
        <v>1111</v>
      </c>
      <c r="C1075" s="1215"/>
      <c r="D1075" s="1203" t="s">
        <v>275</v>
      </c>
      <c r="E1075" s="1203"/>
      <c r="F1075" s="1203"/>
      <c r="G1075" s="1200"/>
      <c r="H1075" s="1200"/>
      <c r="I1075" s="238"/>
      <c r="J1075" s="813"/>
      <c r="K1075" s="813"/>
      <c r="L1075" s="826" t="s">
        <v>1108</v>
      </c>
      <c r="M1075" s="799"/>
      <c r="N1075" s="850"/>
      <c r="O1075" s="802"/>
      <c r="P1075" s="1081"/>
      <c r="Q1075" s="1081"/>
      <c r="R1075" s="790"/>
      <c r="S1075" s="790"/>
      <c r="T1075" s="790"/>
      <c r="U1075" s="790"/>
      <c r="V1075" s="790"/>
      <c r="W1075" s="790"/>
      <c r="X1075" s="1303"/>
      <c r="Y1075" s="1522"/>
      <c r="Z1075" s="1586"/>
      <c r="AB1075" s="790"/>
      <c r="AC1075" s="790"/>
      <c r="AD1075" s="790"/>
      <c r="AE1075" s="790"/>
      <c r="AF1075" s="790"/>
      <c r="AG1075" s="790"/>
      <c r="AH1075" s="790"/>
      <c r="AI1075" s="790"/>
      <c r="AJ1075" s="790"/>
      <c r="AK1075" s="790"/>
      <c r="AL1075" s="790"/>
      <c r="AM1075" s="790"/>
      <c r="AN1075" s="790"/>
      <c r="AO1075" s="790"/>
      <c r="AP1075" s="790"/>
      <c r="AQ1075" s="790"/>
      <c r="AR1075" s="790"/>
      <c r="AS1075" s="790"/>
      <c r="AT1075" s="790"/>
      <c r="AU1075" s="790"/>
      <c r="AV1075" s="790"/>
      <c r="AW1075" s="790"/>
      <c r="AX1075" s="790"/>
      <c r="AY1075" s="790"/>
      <c r="AZ1075" s="790"/>
      <c r="BA1075" s="790"/>
      <c r="BB1075" s="790"/>
      <c r="BC1075" s="790"/>
      <c r="BD1075" s="790"/>
      <c r="BE1075" s="790"/>
      <c r="BF1075" s="790"/>
      <c r="BG1075" s="790"/>
      <c r="BH1075" s="790"/>
      <c r="BI1075" s="790"/>
      <c r="BJ1075" s="1184" t="s">
        <v>4763</v>
      </c>
    </row>
    <row r="1076" spans="1:62" x14ac:dyDescent="0.3">
      <c r="A1076" s="1200">
        <v>7</v>
      </c>
      <c r="B1076" s="1210" t="s">
        <v>1116</v>
      </c>
      <c r="C1076" s="1215"/>
      <c r="D1076" s="1203"/>
      <c r="E1076" s="1203"/>
      <c r="F1076" s="1203"/>
      <c r="G1076" s="1202" t="str">
        <f ca="1">IF(N1076&gt;0,"P","")</f>
        <v/>
      </c>
      <c r="H1076" s="1200" t="s">
        <v>4388</v>
      </c>
      <c r="I1076" s="141" t="s">
        <v>1116</v>
      </c>
      <c r="J1076" s="812"/>
      <c r="K1076" s="812"/>
      <c r="L1076" s="1313" t="s">
        <v>1117</v>
      </c>
      <c r="M1076" s="795"/>
      <c r="N1076" s="1308">
        <f ca="1">'Ch7'!O313</f>
        <v>0</v>
      </c>
      <c r="O1076" s="1308">
        <f ca="1">IFERROR(INDEX(M1082:M1084,MATCH(W1076,INDIRECT(U1076),0)),0)*S1076</f>
        <v>0</v>
      </c>
      <c r="P1076" s="97" t="b">
        <v>0</v>
      </c>
      <c r="Q1076" s="97" t="b">
        <v>1</v>
      </c>
      <c r="R1076" s="97" t="b">
        <v>0</v>
      </c>
      <c r="S1076" s="97" t="b">
        <f ca="1">AND(S776=2,OR(AY799&lt;&gt;INDEX(ddHDucts,2),AY803&lt;&gt;INDEX(ddCDucts,2)),W1072&lt;&gt;TRUE,LEN(W1299)=0)</f>
        <v>0</v>
      </c>
      <c r="T1076" s="97" t="b">
        <f ca="1">AND(NOT(S1076),LEN(W1076)&gt;0)</f>
        <v>0</v>
      </c>
      <c r="U1076" s="97" t="str">
        <f>SUBSTITUTE(SUBSTITUTE(SUBSTITUTE("dd"&amp;B1077&amp;C1077&amp;D1077&amp;E1077&amp;F1077,".","_"),"(","_"),")","")</f>
        <v>dd703_4_4</v>
      </c>
      <c r="V1076" s="97"/>
      <c r="W1076" s="12"/>
      <c r="X1076" s="1295"/>
      <c r="Y1076" s="1523" t="str">
        <f>IF(LEN('Ch7'!X313)=0,"None",'Ch7'!X313)</f>
        <v>None</v>
      </c>
      <c r="Z1076" s="1583"/>
      <c r="AB1076" s="790"/>
      <c r="AC1076" s="790" t="b">
        <f ca="1">OR(AD1076:AE1076)</f>
        <v>0</v>
      </c>
      <c r="AD1076" s="790" t="b">
        <f ca="1">T1076</f>
        <v>0</v>
      </c>
      <c r="AE1076" s="790" t="b">
        <f>AND(R1076,OR(W1076="Not Met",W1076=""))</f>
        <v>0</v>
      </c>
      <c r="AF1076" s="1182" t="b">
        <f>AND(AE1076,NOT(Q1076))</f>
        <v>0</v>
      </c>
      <c r="AG1076" s="790"/>
      <c r="AH1076" s="790"/>
      <c r="AI1076" s="790"/>
      <c r="AJ1076" s="790"/>
      <c r="AK1076" s="790"/>
      <c r="AL1076" s="790"/>
      <c r="AM1076" s="790"/>
      <c r="AN1076" s="311" t="str">
        <f>SUBSTITUTE(SUBSTITUTE(SUBSTITUTE("vpc"&amp;$B1076&amp;$C1076&amp;$D1076&amp;$E1076&amp;$F1076,".","_"),"(","_"),")","")</f>
        <v>vpc703_4_4</v>
      </c>
      <c r="AO1076" s="311">
        <f ca="1">O1076</f>
        <v>0</v>
      </c>
      <c r="AP1076" s="311" t="str">
        <f>SUBSTITUTE(SUBSTITUTE(SUBSTITUTE("vch"&amp;$B1076&amp;$C1076&amp;$D1076&amp;$E1076&amp;$F1076,".","_"),"(","_"),")","")</f>
        <v>vch703_4_4</v>
      </c>
      <c r="AQ1076" s="311">
        <f>W1076</f>
        <v>0</v>
      </c>
      <c r="AR1076" s="311" t="str">
        <f>SUBSTITUTE(SUBSTITUTE(SUBSTITUTE("vnt"&amp;$B1076&amp;$C1076&amp;$D1076&amp;$E1076&amp;$F1076,".","_"),"(","_"),")","")</f>
        <v>vnt703_4_4</v>
      </c>
      <c r="AS1076" s="311">
        <f>X1076</f>
        <v>0</v>
      </c>
      <c r="AT1076" s="790"/>
      <c r="AU1076" s="790"/>
      <c r="AV1076" s="790"/>
      <c r="AW1076" s="790"/>
      <c r="AX1076" s="790"/>
      <c r="AY1076" s="790"/>
      <c r="AZ1076" s="790"/>
      <c r="BA1076" s="790"/>
      <c r="BB1076" s="790"/>
      <c r="BC1076" s="790"/>
      <c r="BD1076" s="790"/>
      <c r="BE1076" s="790"/>
      <c r="BF1076" s="790"/>
      <c r="BG1076" s="790"/>
      <c r="BH1076" s="790"/>
      <c r="BI1076" s="790"/>
      <c r="BJ1076" s="1184" t="s">
        <v>4763</v>
      </c>
    </row>
    <row r="1077" spans="1:62" x14ac:dyDescent="0.3">
      <c r="A1077" s="1200">
        <v>7</v>
      </c>
      <c r="B1077" s="1210" t="s">
        <v>1116</v>
      </c>
      <c r="C1077" s="1215"/>
      <c r="D1077" s="1203"/>
      <c r="E1077" s="1203"/>
      <c r="F1077" s="1203"/>
      <c r="G1077" s="1202" t="str">
        <f t="shared" ref="G1077:G1084" ca="1" si="306">G1076</f>
        <v/>
      </c>
      <c r="H1077" s="1200" t="s">
        <v>4388</v>
      </c>
      <c r="I1077" s="140"/>
      <c r="J1077" s="812"/>
      <c r="K1077" s="812"/>
      <c r="L1077" s="1313"/>
      <c r="M1077" s="795"/>
      <c r="N1077" s="1308"/>
      <c r="O1077" s="1308"/>
      <c r="P1077" s="97"/>
      <c r="Q1077" s="97"/>
      <c r="R1077" s="97"/>
      <c r="S1077" s="97"/>
      <c r="T1077" s="97"/>
      <c r="U1077" s="97"/>
      <c r="V1077" s="97"/>
      <c r="W1077" s="97"/>
      <c r="X1077" s="1295"/>
      <c r="Y1077" s="1523"/>
      <c r="Z1077" s="1583"/>
      <c r="AB1077" s="790"/>
      <c r="AC1077" s="790"/>
      <c r="AD1077" s="790"/>
      <c r="AE1077" s="790"/>
      <c r="AF1077" s="790"/>
      <c r="AG1077" s="790"/>
      <c r="AH1077" s="790"/>
      <c r="AI1077" s="790"/>
      <c r="AJ1077" s="790"/>
      <c r="AK1077" s="790"/>
      <c r="AL1077" s="790"/>
      <c r="AM1077" s="790"/>
      <c r="AN1077" s="790"/>
      <c r="AO1077" s="790"/>
      <c r="AP1077" s="790"/>
      <c r="AQ1077" s="790"/>
      <c r="AR1077" s="790"/>
      <c r="AS1077" s="790"/>
      <c r="AT1077" s="790"/>
      <c r="AU1077" s="790"/>
      <c r="AV1077" s="790"/>
      <c r="AW1077" s="790"/>
      <c r="AX1077" s="790"/>
      <c r="AY1077" s="790"/>
      <c r="AZ1077" s="790"/>
      <c r="BA1077" s="790"/>
      <c r="BB1077" s="790"/>
      <c r="BC1077" s="790"/>
      <c r="BD1077" s="790"/>
      <c r="BE1077" s="790"/>
      <c r="BF1077" s="790"/>
      <c r="BG1077" s="790"/>
      <c r="BH1077" s="790"/>
      <c r="BI1077" s="790"/>
      <c r="BJ1077" s="1184" t="s">
        <v>4763</v>
      </c>
    </row>
    <row r="1078" spans="1:62" x14ac:dyDescent="0.3">
      <c r="A1078" s="1200">
        <v>7</v>
      </c>
      <c r="B1078" s="1210" t="s">
        <v>1116</v>
      </c>
      <c r="C1078" s="1215"/>
      <c r="D1078" s="1203"/>
      <c r="E1078" s="1203"/>
      <c r="F1078" s="1203"/>
      <c r="G1078" s="1202" t="str">
        <f t="shared" ca="1" si="306"/>
        <v/>
      </c>
      <c r="H1078" s="1200" t="s">
        <v>4388</v>
      </c>
      <c r="I1078" s="140"/>
      <c r="J1078" s="812"/>
      <c r="K1078" s="812"/>
      <c r="L1078" s="1313"/>
      <c r="M1078" s="795"/>
      <c r="N1078" s="1308"/>
      <c r="O1078" s="1308"/>
      <c r="P1078" s="97"/>
      <c r="Q1078" s="97"/>
      <c r="R1078" s="97"/>
      <c r="S1078" s="97"/>
      <c r="T1078" s="97"/>
      <c r="U1078" s="97"/>
      <c r="V1078" s="97"/>
      <c r="W1078" s="97"/>
      <c r="X1078" s="1295"/>
      <c r="Y1078" s="1523"/>
      <c r="Z1078" s="1583"/>
      <c r="AB1078" s="790"/>
      <c r="AC1078" s="790"/>
      <c r="AD1078" s="790"/>
      <c r="AE1078" s="790"/>
      <c r="AF1078" s="790"/>
      <c r="AG1078" s="790"/>
      <c r="AH1078" s="790"/>
      <c r="AI1078" s="790"/>
      <c r="AJ1078" s="790"/>
      <c r="AK1078" s="790"/>
      <c r="AL1078" s="790"/>
      <c r="AM1078" s="790"/>
      <c r="AN1078" s="790"/>
      <c r="AO1078" s="790"/>
      <c r="AP1078" s="790"/>
      <c r="AQ1078" s="790"/>
      <c r="AR1078" s="790"/>
      <c r="AS1078" s="790"/>
      <c r="AT1078" s="790"/>
      <c r="AU1078" s="790"/>
      <c r="AV1078" s="790"/>
      <c r="AW1078" s="790"/>
      <c r="AX1078" s="790"/>
      <c r="AY1078" s="790"/>
      <c r="AZ1078" s="790"/>
      <c r="BA1078" s="790"/>
      <c r="BB1078" s="790"/>
      <c r="BC1078" s="790"/>
      <c r="BD1078" s="790"/>
      <c r="BE1078" s="790"/>
      <c r="BF1078" s="790"/>
      <c r="BG1078" s="790"/>
      <c r="BH1078" s="790"/>
      <c r="BI1078" s="790"/>
      <c r="BJ1078" s="1184" t="s">
        <v>4763</v>
      </c>
    </row>
    <row r="1079" spans="1:62" x14ac:dyDescent="0.3">
      <c r="A1079" s="1200">
        <v>7</v>
      </c>
      <c r="B1079" s="1210" t="s">
        <v>1116</v>
      </c>
      <c r="C1079" s="1215"/>
      <c r="D1079" s="1203"/>
      <c r="E1079" s="1203"/>
      <c r="F1079" s="1203"/>
      <c r="G1079" s="1202" t="str">
        <f t="shared" ca="1" si="306"/>
        <v/>
      </c>
      <c r="H1079" s="1200" t="s">
        <v>4388</v>
      </c>
      <c r="I1079" s="140"/>
      <c r="J1079" s="812"/>
      <c r="K1079" s="812"/>
      <c r="L1079" s="1313"/>
      <c r="M1079" s="795"/>
      <c r="N1079" s="1308"/>
      <c r="O1079" s="1308"/>
      <c r="P1079" s="97"/>
      <c r="Q1079" s="97"/>
      <c r="R1079" s="97"/>
      <c r="S1079" s="97"/>
      <c r="T1079" s="97"/>
      <c r="U1079" s="97"/>
      <c r="V1079" s="97"/>
      <c r="W1079" s="97"/>
      <c r="X1079" s="1295"/>
      <c r="Y1079" s="1523"/>
      <c r="Z1079" s="1583"/>
      <c r="AB1079" s="790"/>
      <c r="AC1079" s="790"/>
      <c r="AD1079" s="790"/>
      <c r="AE1079" s="790"/>
      <c r="AF1079" s="790"/>
      <c r="AG1079" s="790"/>
      <c r="AH1079" s="790"/>
      <c r="AI1079" s="790"/>
      <c r="AJ1079" s="790"/>
      <c r="AK1079" s="790"/>
      <c r="AL1079" s="790"/>
      <c r="AM1079" s="790"/>
      <c r="AN1079" s="790"/>
      <c r="AO1079" s="790"/>
      <c r="AP1079" s="790"/>
      <c r="AQ1079" s="790"/>
      <c r="AR1079" s="790"/>
      <c r="AS1079" s="790"/>
      <c r="AT1079" s="790"/>
      <c r="AU1079" s="790"/>
      <c r="AV1079" s="790"/>
      <c r="AW1079" s="790"/>
      <c r="AX1079" s="790"/>
      <c r="AY1079" s="790"/>
      <c r="AZ1079" s="790"/>
      <c r="BA1079" s="790"/>
      <c r="BB1079" s="790"/>
      <c r="BC1079" s="790"/>
      <c r="BD1079" s="790"/>
      <c r="BE1079" s="790"/>
      <c r="BF1079" s="790"/>
      <c r="BG1079" s="790"/>
      <c r="BH1079" s="790"/>
      <c r="BI1079" s="790"/>
      <c r="BJ1079" s="1184" t="s">
        <v>4763</v>
      </c>
    </row>
    <row r="1080" spans="1:62" x14ac:dyDescent="0.3">
      <c r="A1080" s="1200">
        <v>7</v>
      </c>
      <c r="B1080" s="1210" t="s">
        <v>1116</v>
      </c>
      <c r="C1080" s="1215"/>
      <c r="D1080" s="1203"/>
      <c r="E1080" s="1203"/>
      <c r="F1080" s="1203"/>
      <c r="G1080" s="1202" t="str">
        <f t="shared" ca="1" si="306"/>
        <v/>
      </c>
      <c r="H1080" s="1200" t="s">
        <v>4388</v>
      </c>
      <c r="I1080" s="140"/>
      <c r="J1080" s="812"/>
      <c r="K1080" s="812"/>
      <c r="L1080" s="1313"/>
      <c r="M1080" s="795"/>
      <c r="N1080" s="1308"/>
      <c r="O1080" s="1308"/>
      <c r="P1080" s="97"/>
      <c r="Q1080" s="97"/>
      <c r="R1080" s="97"/>
      <c r="S1080" s="97"/>
      <c r="T1080" s="97"/>
      <c r="U1080" s="97"/>
      <c r="V1080" s="97"/>
      <c r="W1080" s="97"/>
      <c r="X1080" s="1295"/>
      <c r="Y1080" s="1523"/>
      <c r="Z1080" s="1583"/>
      <c r="AB1080" s="790"/>
      <c r="AC1080" s="790"/>
      <c r="AD1080" s="790"/>
      <c r="AE1080" s="790"/>
      <c r="AF1080" s="790"/>
      <c r="AG1080" s="790"/>
      <c r="AH1080" s="790"/>
      <c r="AI1080" s="790"/>
      <c r="AJ1080" s="790"/>
      <c r="AK1080" s="790"/>
      <c r="AL1080" s="790"/>
      <c r="AM1080" s="790"/>
      <c r="AN1080" s="790"/>
      <c r="AO1080" s="790"/>
      <c r="AP1080" s="790"/>
      <c r="AQ1080" s="790"/>
      <c r="AR1080" s="790"/>
      <c r="AS1080" s="790"/>
      <c r="AT1080" s="790"/>
      <c r="AU1080" s="790"/>
      <c r="AV1080" s="790"/>
      <c r="AW1080" s="790"/>
      <c r="AX1080" s="790"/>
      <c r="AY1080" s="790"/>
      <c r="AZ1080" s="790"/>
      <c r="BA1080" s="790"/>
      <c r="BB1080" s="790"/>
      <c r="BC1080" s="790"/>
      <c r="BD1080" s="790"/>
      <c r="BE1080" s="790"/>
      <c r="BF1080" s="790"/>
      <c r="BG1080" s="790"/>
      <c r="BH1080" s="790"/>
      <c r="BI1080" s="790"/>
      <c r="BJ1080" s="1184" t="s">
        <v>4763</v>
      </c>
    </row>
    <row r="1081" spans="1:62" x14ac:dyDescent="0.3">
      <c r="A1081" s="1200">
        <v>7</v>
      </c>
      <c r="B1081" s="1210" t="s">
        <v>1116</v>
      </c>
      <c r="C1081" s="1215"/>
      <c r="D1081" s="1203"/>
      <c r="E1081" s="1203"/>
      <c r="F1081" s="1203"/>
      <c r="G1081" s="1202" t="str">
        <f t="shared" ca="1" si="306"/>
        <v/>
      </c>
      <c r="H1081" s="1200" t="s">
        <v>4388</v>
      </c>
      <c r="I1081" s="140"/>
      <c r="J1081" s="812"/>
      <c r="K1081" s="812"/>
      <c r="L1081" s="820" t="s">
        <v>1118</v>
      </c>
      <c r="M1081" s="795"/>
      <c r="N1081" s="854"/>
      <c r="O1081" s="803"/>
      <c r="P1081" s="97"/>
      <c r="Q1081" s="97"/>
      <c r="R1081" s="97"/>
      <c r="S1081" s="97"/>
      <c r="T1081" s="97"/>
      <c r="U1081" s="97"/>
      <c r="V1081" s="97"/>
      <c r="W1081" s="97"/>
      <c r="X1081" s="1295"/>
      <c r="Y1081" s="1523"/>
      <c r="Z1081" s="1583"/>
      <c r="AB1081" s="790"/>
      <c r="AC1081" s="790"/>
      <c r="AD1081" s="790"/>
      <c r="AE1081" s="790"/>
      <c r="AF1081" s="790"/>
      <c r="AG1081" s="790"/>
      <c r="AH1081" s="790"/>
      <c r="AI1081" s="790"/>
      <c r="AJ1081" s="790"/>
      <c r="AK1081" s="790"/>
      <c r="AL1081" s="790"/>
      <c r="AM1081" s="790"/>
      <c r="AN1081" s="790"/>
      <c r="AO1081" s="790"/>
      <c r="AP1081" s="790"/>
      <c r="AQ1081" s="790"/>
      <c r="AR1081" s="790"/>
      <c r="AS1081" s="790"/>
      <c r="AT1081" s="790"/>
      <c r="AU1081" s="790"/>
      <c r="AV1081" s="790"/>
      <c r="AW1081" s="790"/>
      <c r="AX1081" s="790"/>
      <c r="AY1081" s="790"/>
      <c r="AZ1081" s="790"/>
      <c r="BA1081" s="790"/>
      <c r="BB1081" s="790"/>
      <c r="BC1081" s="790"/>
      <c r="BD1081" s="790"/>
      <c r="BE1081" s="790"/>
      <c r="BF1081" s="790"/>
      <c r="BG1081" s="790"/>
      <c r="BH1081" s="790"/>
      <c r="BI1081" s="790"/>
      <c r="BJ1081" s="1184" t="s">
        <v>4763</v>
      </c>
    </row>
    <row r="1082" spans="1:62" x14ac:dyDescent="0.3">
      <c r="A1082" s="1200">
        <v>7</v>
      </c>
      <c r="B1082" s="1210" t="s">
        <v>1116</v>
      </c>
      <c r="C1082" s="1215"/>
      <c r="D1082" s="1203" t="s">
        <v>271</v>
      </c>
      <c r="E1082" s="1203"/>
      <c r="F1082" s="1203"/>
      <c r="G1082" s="1202" t="str">
        <f t="shared" ca="1" si="306"/>
        <v/>
      </c>
      <c r="H1082" s="1200" t="s">
        <v>4388</v>
      </c>
      <c r="I1082" s="140"/>
      <c r="J1082" s="626" t="s">
        <v>271</v>
      </c>
      <c r="K1082" s="813"/>
      <c r="L1082" s="813" t="s">
        <v>3908</v>
      </c>
      <c r="M1082" s="796">
        <f>IFERROR(INDEX({4,5,4,3,2,1,1,1},BF779),0)</f>
        <v>0</v>
      </c>
      <c r="N1082" s="854"/>
      <c r="O1082" s="803"/>
      <c r="P1082" s="97"/>
      <c r="Q1082" s="97"/>
      <c r="R1082" s="97"/>
      <c r="S1082" s="97"/>
      <c r="T1082" s="97"/>
      <c r="U1082" s="97"/>
      <c r="V1082" s="97"/>
      <c r="W1082" s="97"/>
      <c r="X1082" s="1295"/>
      <c r="Y1082" s="1523"/>
      <c r="Z1082" s="1583"/>
      <c r="AB1082" s="790"/>
      <c r="AC1082" s="790"/>
      <c r="AD1082" s="790"/>
      <c r="AE1082" s="790"/>
      <c r="AF1082" s="790"/>
      <c r="AG1082" s="790"/>
      <c r="AH1082" s="790"/>
      <c r="AI1082" s="790"/>
      <c r="AJ1082" s="790"/>
      <c r="AK1082" s="790"/>
      <c r="AL1082" s="311" t="str">
        <f t="shared" ref="AL1082:AL1084" si="307">SUBSTITUTE(SUBSTITUTE(SUBSTITUTE("vpa"&amp;$B1082&amp;$C1082&amp;$D1082&amp;$E1082&amp;$F1082,".","_"),"(","_"),")","")</f>
        <v>vpa703_4_4_1</v>
      </c>
      <c r="AM1082" s="311">
        <f>M1082</f>
        <v>0</v>
      </c>
      <c r="AN1082" s="790"/>
      <c r="AO1082" s="790"/>
      <c r="AP1082" s="790"/>
      <c r="AQ1082" s="790"/>
      <c r="AR1082" s="790"/>
      <c r="AS1082" s="790"/>
      <c r="AT1082" s="790"/>
      <c r="AU1082" s="790"/>
      <c r="AV1082" s="790"/>
      <c r="AW1082" s="790"/>
      <c r="AX1082" s="790"/>
      <c r="AY1082" s="790"/>
      <c r="AZ1082" s="790"/>
      <c r="BA1082" s="790"/>
      <c r="BB1082" s="790"/>
      <c r="BC1082" s="790"/>
      <c r="BD1082" s="790"/>
      <c r="BE1082" s="790"/>
      <c r="BF1082" s="790"/>
      <c r="BG1082" s="790"/>
      <c r="BH1082" s="790"/>
      <c r="BI1082" s="790"/>
      <c r="BJ1082" s="1184" t="s">
        <v>4763</v>
      </c>
    </row>
    <row r="1083" spans="1:62" x14ac:dyDescent="0.3">
      <c r="A1083" s="1200">
        <v>7</v>
      </c>
      <c r="B1083" s="1210" t="s">
        <v>1116</v>
      </c>
      <c r="C1083" s="1215"/>
      <c r="D1083" s="1203" t="s">
        <v>273</v>
      </c>
      <c r="E1083" s="1203"/>
      <c r="F1083" s="1203"/>
      <c r="G1083" s="1202" t="str">
        <f t="shared" ca="1" si="306"/>
        <v/>
      </c>
      <c r="H1083" s="1200" t="s">
        <v>4388</v>
      </c>
      <c r="I1083" s="140"/>
      <c r="J1083" s="650" t="s">
        <v>273</v>
      </c>
      <c r="K1083" s="365"/>
      <c r="L1083" s="365" t="s">
        <v>3909</v>
      </c>
      <c r="M1083" s="846">
        <f>IFERROR(INDEX({1,1,1,1,1,1,1,1},BF779),0)</f>
        <v>0</v>
      </c>
      <c r="N1083" s="854"/>
      <c r="O1083" s="803"/>
      <c r="P1083" s="97"/>
      <c r="Q1083" s="97"/>
      <c r="R1083" s="97"/>
      <c r="S1083" s="97"/>
      <c r="T1083" s="97"/>
      <c r="U1083" s="97"/>
      <c r="V1083" s="97"/>
      <c r="W1083" s="97"/>
      <c r="X1083" s="1295"/>
      <c r="Y1083" s="1523"/>
      <c r="Z1083" s="1583"/>
      <c r="AB1083" s="790"/>
      <c r="AC1083" s="790"/>
      <c r="AD1083" s="790"/>
      <c r="AE1083" s="790"/>
      <c r="AF1083" s="790"/>
      <c r="AG1083" s="790"/>
      <c r="AH1083" s="790"/>
      <c r="AI1083" s="790"/>
      <c r="AJ1083" s="790"/>
      <c r="AK1083" s="790"/>
      <c r="AL1083" s="311" t="str">
        <f t="shared" si="307"/>
        <v>vpa703_4_4_2</v>
      </c>
      <c r="AM1083" s="311">
        <f>M1083</f>
        <v>0</v>
      </c>
      <c r="AN1083" s="790"/>
      <c r="AO1083" s="790"/>
      <c r="AP1083" s="790"/>
      <c r="AQ1083" s="790"/>
      <c r="AR1083" s="790"/>
      <c r="AS1083" s="790"/>
      <c r="AT1083" s="790"/>
      <c r="AU1083" s="790"/>
      <c r="AV1083" s="790"/>
      <c r="AW1083" s="790"/>
      <c r="AX1083" s="790"/>
      <c r="AY1083" s="790"/>
      <c r="AZ1083" s="790"/>
      <c r="BA1083" s="790"/>
      <c r="BB1083" s="790"/>
      <c r="BC1083" s="790"/>
      <c r="BD1083" s="790"/>
      <c r="BE1083" s="790"/>
      <c r="BF1083" s="790"/>
      <c r="BG1083" s="790"/>
      <c r="BH1083" s="790"/>
      <c r="BI1083" s="790"/>
      <c r="BJ1083" s="1184" t="s">
        <v>4763</v>
      </c>
    </row>
    <row r="1084" spans="1:62" ht="15" thickBot="1" x14ac:dyDescent="0.35">
      <c r="A1084" s="1200">
        <v>7</v>
      </c>
      <c r="B1084" s="1210" t="s">
        <v>1116</v>
      </c>
      <c r="C1084" s="1215"/>
      <c r="D1084" s="1203" t="s">
        <v>275</v>
      </c>
      <c r="E1084" s="1203"/>
      <c r="F1084" s="1203"/>
      <c r="G1084" s="1202" t="str">
        <f t="shared" ca="1" si="306"/>
        <v/>
      </c>
      <c r="H1084" s="1200" t="s">
        <v>4388</v>
      </c>
      <c r="I1084" s="270"/>
      <c r="J1084" s="615" t="s">
        <v>275</v>
      </c>
      <c r="K1084" s="824"/>
      <c r="L1084" s="824" t="s">
        <v>3910</v>
      </c>
      <c r="M1084" s="798">
        <f>IFERROR(INDEX({3,4,3,2,1,1,1,1},BF779),0)</f>
        <v>0</v>
      </c>
      <c r="N1084" s="858"/>
      <c r="O1084" s="801"/>
      <c r="P1084" s="104"/>
      <c r="Q1084" s="104"/>
      <c r="R1084" s="104"/>
      <c r="S1084" s="104"/>
      <c r="T1084" s="104"/>
      <c r="U1084" s="104"/>
      <c r="V1084" s="104"/>
      <c r="W1084" s="104"/>
      <c r="X1084" s="1296"/>
      <c r="Y1084" s="1524"/>
      <c r="Z1084" s="1584"/>
      <c r="AB1084" s="790"/>
      <c r="AC1084" s="790"/>
      <c r="AD1084" s="790"/>
      <c r="AE1084" s="790"/>
      <c r="AF1084" s="790"/>
      <c r="AG1084" s="790"/>
      <c r="AH1084" s="790"/>
      <c r="AI1084" s="790"/>
      <c r="AJ1084" s="790"/>
      <c r="AK1084" s="790"/>
      <c r="AL1084" s="311" t="str">
        <f t="shared" si="307"/>
        <v>vpa703_4_4_3</v>
      </c>
      <c r="AM1084" s="311">
        <f>M1084</f>
        <v>0</v>
      </c>
      <c r="AN1084" s="790"/>
      <c r="AO1084" s="790"/>
      <c r="AP1084" s="790"/>
      <c r="AQ1084" s="790"/>
      <c r="AR1084" s="790"/>
      <c r="AS1084" s="790"/>
      <c r="AT1084" s="790"/>
      <c r="AU1084" s="790"/>
      <c r="AV1084" s="790"/>
      <c r="AW1084" s="790"/>
      <c r="AX1084" s="790"/>
      <c r="AY1084" s="790"/>
      <c r="AZ1084" s="790"/>
      <c r="BA1084" s="790"/>
      <c r="BB1084" s="790"/>
      <c r="BC1084" s="790"/>
      <c r="BD1084" s="790"/>
      <c r="BE1084" s="790"/>
      <c r="BF1084" s="790"/>
      <c r="BG1084" s="790"/>
      <c r="BH1084" s="790"/>
      <c r="BI1084" s="790"/>
      <c r="BJ1084" s="1184" t="s">
        <v>4763</v>
      </c>
    </row>
    <row r="1085" spans="1:62" ht="15" thickTop="1" x14ac:dyDescent="0.3">
      <c r="A1085" s="1200">
        <v>7</v>
      </c>
      <c r="B1085" s="1210">
        <v>703.5</v>
      </c>
      <c r="C1085" s="1215"/>
      <c r="D1085" s="1203"/>
      <c r="E1085" s="1203"/>
      <c r="F1085" s="1203"/>
      <c r="G1085" s="1196" t="str">
        <f ca="1">IF(COUNTIF(G1089:G1109,"P")&gt;0,"P","")</f>
        <v/>
      </c>
      <c r="H1085" s="1200" t="s">
        <v>4386</v>
      </c>
      <c r="I1085" s="66">
        <v>703.5</v>
      </c>
      <c r="J1085" s="819"/>
      <c r="K1085" s="819"/>
      <c r="L1085" s="829" t="s">
        <v>1119</v>
      </c>
      <c r="M1085" s="799"/>
      <c r="N1085" s="850"/>
      <c r="O1085" s="802"/>
      <c r="P1085" s="1081"/>
      <c r="Q1085" s="1081"/>
      <c r="R1085" s="790"/>
      <c r="S1085" s="790"/>
      <c r="T1085" s="790"/>
      <c r="U1085" s="790"/>
      <c r="V1085" s="790"/>
      <c r="W1085" s="790"/>
      <c r="X1085" s="790"/>
      <c r="Y1085" s="790"/>
      <c r="Z1085" s="1055"/>
      <c r="AB1085" s="790"/>
      <c r="AC1085" s="790"/>
      <c r="AD1085" s="790"/>
      <c r="AE1085" s="790"/>
      <c r="AF1085" s="790"/>
      <c r="AG1085" s="790"/>
      <c r="AH1085" s="790"/>
      <c r="AI1085" s="790"/>
      <c r="AJ1085" s="790"/>
      <c r="AK1085" s="790"/>
      <c r="AL1085" s="790"/>
      <c r="AM1085" s="790"/>
      <c r="AN1085" s="790"/>
      <c r="AO1085" s="790"/>
      <c r="AP1085" s="790"/>
      <c r="AQ1085" s="790"/>
      <c r="AR1085" s="790"/>
      <c r="AS1085" s="790"/>
      <c r="AT1085" s="790"/>
      <c r="AU1085" s="790"/>
      <c r="AV1085" s="790"/>
      <c r="AW1085" s="790"/>
      <c r="AX1085" s="790"/>
      <c r="AY1085" s="790"/>
      <c r="AZ1085" s="790"/>
      <c r="BA1085" s="790"/>
      <c r="BB1085" s="790"/>
      <c r="BC1085" s="790"/>
      <c r="BD1085" s="790"/>
      <c r="BE1085" s="790"/>
      <c r="BF1085" s="790"/>
      <c r="BG1085" s="790"/>
      <c r="BH1085" s="790"/>
      <c r="BI1085" s="790"/>
      <c r="BJ1085" s="1184" t="s">
        <v>4763</v>
      </c>
    </row>
    <row r="1086" spans="1:62" x14ac:dyDescent="0.3">
      <c r="A1086" s="1200">
        <v>7</v>
      </c>
      <c r="B1086" s="1210" t="s">
        <v>1120</v>
      </c>
      <c r="C1086" s="1215"/>
      <c r="D1086" s="1203"/>
      <c r="E1086" s="1203"/>
      <c r="F1086" s="1203"/>
      <c r="G1086" s="1196" t="str">
        <f ca="1">IF(COUNTIF(G1089:G1092,"P")&gt;0,"P","")</f>
        <v/>
      </c>
      <c r="H1086" s="1200" t="s">
        <v>4386</v>
      </c>
      <c r="I1086" s="66" t="s">
        <v>1120</v>
      </c>
      <c r="J1086" s="819"/>
      <c r="K1086" s="819"/>
      <c r="L1086" s="829" t="s">
        <v>1121</v>
      </c>
      <c r="M1086" s="799"/>
      <c r="N1086" s="4"/>
      <c r="O1086" s="4"/>
      <c r="P1086" s="1081"/>
      <c r="Q1086" s="1081"/>
      <c r="R1086" s="790"/>
      <c r="S1086" s="790"/>
      <c r="T1086" s="790"/>
      <c r="U1086" s="790"/>
      <c r="V1086" s="790"/>
      <c r="W1086" s="790" t="s">
        <v>3888</v>
      </c>
      <c r="X1086" s="1303"/>
      <c r="Y1086" s="1522" t="str">
        <f>IF(LEN('Ch7'!X323)=0,"None",'Ch7'!X323)</f>
        <v>None</v>
      </c>
      <c r="Z1086" s="1586"/>
      <c r="AB1086" s="790"/>
      <c r="AC1086" s="790"/>
      <c r="AD1086" s="790"/>
      <c r="AE1086" s="790"/>
      <c r="AF1086" s="790"/>
      <c r="AG1086" s="790"/>
      <c r="AH1086" s="790"/>
      <c r="AI1086" s="790"/>
      <c r="AJ1086" s="790"/>
      <c r="AK1086" s="790"/>
      <c r="AL1086" s="790"/>
      <c r="AM1086" s="790"/>
      <c r="AN1086" s="790"/>
      <c r="AO1086" s="790"/>
      <c r="AP1086" s="790"/>
      <c r="AQ1086" s="790"/>
      <c r="AR1086" s="311" t="str">
        <f>SUBSTITUTE(SUBSTITUTE(SUBSTITUTE("vnt"&amp;$B1086&amp;$C1086&amp;$D1086&amp;$E1086&amp;$F1086,".","_"),"(","_"),")","")</f>
        <v>vnt703_5_1</v>
      </c>
      <c r="AS1086" s="311">
        <f>X1086</f>
        <v>0</v>
      </c>
      <c r="AT1086" s="790"/>
      <c r="AU1086" s="790"/>
      <c r="AV1086" s="790"/>
      <c r="AW1086" s="790"/>
      <c r="AX1086" s="790"/>
      <c r="AY1086" s="790"/>
      <c r="AZ1086" s="790"/>
      <c r="BA1086" s="790"/>
      <c r="BB1086" s="790"/>
      <c r="BC1086" s="790"/>
      <c r="BD1086" s="790"/>
      <c r="BE1086" s="790"/>
      <c r="BF1086" s="790"/>
      <c r="BG1086" s="790"/>
      <c r="BH1086" s="790"/>
      <c r="BI1086" s="790"/>
      <c r="BJ1086" s="1184" t="s">
        <v>4763</v>
      </c>
    </row>
    <row r="1087" spans="1:62" x14ac:dyDescent="0.3">
      <c r="A1087" s="1200">
        <v>7</v>
      </c>
      <c r="B1087" s="1210" t="s">
        <v>1120</v>
      </c>
      <c r="C1087" s="1215"/>
      <c r="D1087" s="1203"/>
      <c r="E1087" s="1203"/>
      <c r="F1087" s="1203"/>
      <c r="G1087" s="1202" t="str">
        <f t="shared" ref="G1087" ca="1" si="308">G1086</f>
        <v/>
      </c>
      <c r="H1087" s="1200" t="s">
        <v>4386</v>
      </c>
      <c r="I1087" s="4"/>
      <c r="J1087" s="819"/>
      <c r="K1087" s="819"/>
      <c r="L1087" s="814" t="s">
        <v>3907</v>
      </c>
      <c r="M1087" s="799"/>
      <c r="N1087" s="4"/>
      <c r="O1087" s="4"/>
      <c r="P1087" s="97" t="b">
        <v>1</v>
      </c>
      <c r="Q1087" s="97" t="b">
        <v>1</v>
      </c>
      <c r="R1087" s="790" t="b">
        <v>0</v>
      </c>
      <c r="S1087" s="790" t="b">
        <f ca="1">AND(S776=2,LEN(W1110)=0)</f>
        <v>0</v>
      </c>
      <c r="T1087" s="97" t="b">
        <f ca="1">AND(NOT(S1087),LEN(W1087)&gt;0)</f>
        <v>0</v>
      </c>
      <c r="U1087" s="97" t="str">
        <f>SUBSTITUTE(SUBSTITUTE(SUBSTITUTE("dd"&amp;B1087&amp;C1087&amp;D1087&amp;E1087&amp;F1087,".","_"),"(","_"),")","")</f>
        <v>dd703_5_1</v>
      </c>
      <c r="V1087" s="790"/>
      <c r="W1087" s="12"/>
      <c r="X1087" s="1303"/>
      <c r="Y1087" s="1522"/>
      <c r="Z1087" s="1586"/>
      <c r="AB1087" s="790"/>
      <c r="AC1087" s="790" t="b">
        <f ca="1">OR(AD1087:AE1087)</f>
        <v>0</v>
      </c>
      <c r="AD1087" s="790" t="b">
        <f ca="1">T1087</f>
        <v>0</v>
      </c>
      <c r="AE1087" s="790" t="b">
        <f>AND(R1087,OR(W1087="Not Met",W1087=""))</f>
        <v>0</v>
      </c>
      <c r="AF1087" s="1182" t="b">
        <f>AND(AE1087,NOT(Q1087))</f>
        <v>0</v>
      </c>
      <c r="AG1087" s="790"/>
      <c r="AH1087" s="790"/>
      <c r="AI1087" s="790"/>
      <c r="AJ1087" s="790"/>
      <c r="AK1087" s="790"/>
      <c r="AL1087" s="790"/>
      <c r="AM1087" s="790"/>
      <c r="AN1087" s="790"/>
      <c r="AO1087" s="790"/>
      <c r="AP1087" s="311" t="str">
        <f>SUBSTITUTE(SUBSTITUTE(SUBSTITUTE("vch"&amp;$B1087&amp;$C1087&amp;$D1087&amp;$E1087&amp;$F1087,".","_"),"(","_"),")","")</f>
        <v>vch703_5_1</v>
      </c>
      <c r="AQ1087" s="311">
        <f>W1087</f>
        <v>0</v>
      </c>
      <c r="AR1087" s="790"/>
      <c r="AS1087" s="790"/>
      <c r="AT1087" s="790"/>
      <c r="AU1087" s="790"/>
      <c r="AV1087" s="790"/>
      <c r="AW1087" s="790"/>
      <c r="AX1087" s="790"/>
      <c r="AY1087" s="790"/>
      <c r="AZ1087" s="790"/>
      <c r="BA1087" s="790"/>
      <c r="BB1087" s="790"/>
      <c r="BC1087" s="790"/>
      <c r="BD1087" s="790"/>
      <c r="BE1087" s="790"/>
      <c r="BF1087" s="790"/>
      <c r="BG1087" s="790"/>
      <c r="BH1087" s="790"/>
      <c r="BI1087" s="790"/>
      <c r="BJ1087" s="1184" t="s">
        <v>4763</v>
      </c>
    </row>
    <row r="1088" spans="1:62" x14ac:dyDescent="0.3">
      <c r="A1088" s="1200">
        <v>7</v>
      </c>
      <c r="B1088" s="1210" t="s">
        <v>1120</v>
      </c>
      <c r="C1088" s="1215"/>
      <c r="D1088" s="1203" t="s">
        <v>271</v>
      </c>
      <c r="E1088" s="1203"/>
      <c r="F1088" s="1203"/>
      <c r="G1088" s="1196" t="str">
        <f ca="1">IF(COUNTIF(G1089:G1092,"P")&gt;0,"P","")</f>
        <v/>
      </c>
      <c r="H1088" s="1200" t="s">
        <v>4386</v>
      </c>
      <c r="I1088" s="4"/>
      <c r="J1088" s="260" t="s">
        <v>271</v>
      </c>
      <c r="K1088" s="819"/>
      <c r="L1088" s="819" t="s">
        <v>1122</v>
      </c>
      <c r="M1088" s="799"/>
      <c r="N1088" s="850"/>
      <c r="O1088" s="802"/>
      <c r="P1088" s="1081"/>
      <c r="Q1088" s="1081"/>
      <c r="R1088" s="790"/>
      <c r="S1088" s="790"/>
      <c r="T1088" s="790"/>
      <c r="U1088" s="790"/>
      <c r="V1088" s="790"/>
      <c r="W1088" s="790" t="s">
        <v>3887</v>
      </c>
      <c r="X1088" s="1303"/>
      <c r="Y1088" s="1522"/>
      <c r="Z1088" s="1586"/>
      <c r="AB1088" s="790"/>
      <c r="AC1088" s="790"/>
      <c r="AD1088" s="790"/>
      <c r="AE1088" s="790"/>
      <c r="AF1088" s="790"/>
      <c r="AG1088" s="790"/>
      <c r="AH1088" s="790"/>
      <c r="AI1088" s="790"/>
      <c r="AJ1088" s="790"/>
      <c r="AK1088" s="790"/>
      <c r="AL1088" s="790"/>
      <c r="AM1088" s="790"/>
      <c r="AN1088" s="790"/>
      <c r="AO1088" s="790"/>
      <c r="AP1088" s="790"/>
      <c r="AQ1088" s="790"/>
      <c r="AR1088" s="790"/>
      <c r="AS1088" s="790"/>
      <c r="AT1088" s="790"/>
      <c r="AU1088" s="790"/>
      <c r="AV1088" s="790"/>
      <c r="AW1088" s="790"/>
      <c r="AX1088" s="790"/>
      <c r="AY1088" s="790"/>
      <c r="AZ1088" s="790"/>
      <c r="BA1088" s="790"/>
      <c r="BB1088" s="790"/>
      <c r="BC1088" s="790"/>
      <c r="BD1088" s="790"/>
      <c r="BE1088" s="790"/>
      <c r="BF1088" s="790"/>
      <c r="BG1088" s="790"/>
      <c r="BH1088" s="790"/>
      <c r="BI1088" s="790"/>
      <c r="BJ1088" s="1184" t="s">
        <v>4763</v>
      </c>
    </row>
    <row r="1089" spans="1:62" x14ac:dyDescent="0.3">
      <c r="A1089" s="1200">
        <v>7</v>
      </c>
      <c r="B1089" s="1210" t="s">
        <v>1120</v>
      </c>
      <c r="C1089" s="1215"/>
      <c r="D1089" s="1203" t="s">
        <v>271</v>
      </c>
      <c r="E1089" s="1203" t="s">
        <v>121</v>
      </c>
      <c r="F1089" s="1203"/>
      <c r="G1089" s="1202" t="str">
        <f ca="1">IF((N1089+N1092+N1097+N1098+N1099+N1100)&gt;0,"P","")</f>
        <v/>
      </c>
      <c r="H1089" s="1200" t="s">
        <v>4386</v>
      </c>
      <c r="I1089" s="4"/>
      <c r="J1089" s="260"/>
      <c r="K1089" s="260" t="s">
        <v>121</v>
      </c>
      <c r="L1089" s="819" t="s">
        <v>1122</v>
      </c>
      <c r="M1089" s="799"/>
      <c r="N1089" s="850">
        <f ca="1">'Ch7'!O326</f>
        <v>0</v>
      </c>
      <c r="O1089" s="802">
        <f ca="1">IFERROR(INDEX(M1090:M1091,MATCH(W1089,{0.67,0.8},1)),0)*S1090*S1087</f>
        <v>0</v>
      </c>
      <c r="P1089" s="97" t="b">
        <v>1</v>
      </c>
      <c r="Q1089" s="97" t="b">
        <v>1</v>
      </c>
      <c r="R1089" s="790" t="b">
        <v>0</v>
      </c>
      <c r="S1089" s="790" t="b">
        <f ca="1">AND(S776=2,LEN(W1110)=0)</f>
        <v>0</v>
      </c>
      <c r="T1089" s="97" t="b">
        <f ca="1">AND(NOT(S1089),LEN(W1089)&gt;0)</f>
        <v>0</v>
      </c>
      <c r="U1089" s="790"/>
      <c r="V1089" s="790"/>
      <c r="W1089" s="478"/>
      <c r="X1089" s="1303"/>
      <c r="Y1089" s="1522"/>
      <c r="Z1089" s="1586"/>
      <c r="AB1089" s="790"/>
      <c r="AC1089" s="790" t="b">
        <f ca="1">OR(AD1089:AE1089)</f>
        <v>0</v>
      </c>
      <c r="AD1089" s="790" t="b">
        <f ca="1">T1089</f>
        <v>0</v>
      </c>
      <c r="AE1089" s="790" t="b">
        <f>AND(R1089,OR(W1089="Not Met",W1089=""))</f>
        <v>0</v>
      </c>
      <c r="AF1089" s="1182" t="b">
        <f>AND(AE1089,NOT(Q1089))</f>
        <v>0</v>
      </c>
      <c r="AG1089" s="790"/>
      <c r="AH1089" s="790"/>
      <c r="AI1089" s="790"/>
      <c r="AJ1089" s="790"/>
      <c r="AK1089" s="790"/>
      <c r="AL1089" s="790"/>
      <c r="AM1089" s="790"/>
      <c r="AN1089" s="311" t="str">
        <f>SUBSTITUTE(SUBSTITUTE(SUBSTITUTE("vpc"&amp;$B1089&amp;$C1089&amp;$D1089&amp;$E1089&amp;$F1089,".","_"),"(","_"),")","")</f>
        <v>vpc703_5_1_1_a</v>
      </c>
      <c r="AO1089" s="311">
        <f ca="1">O1089</f>
        <v>0</v>
      </c>
      <c r="AP1089" s="311" t="str">
        <f>SUBSTITUTE(SUBSTITUTE(SUBSTITUTE("vch"&amp;$B1089&amp;$C1089&amp;$D1089&amp;$E1089&amp;$F1089,".","_"),"(","_"),")","")</f>
        <v>vch703_5_1_1_a</v>
      </c>
      <c r="AQ1089" s="311">
        <f>W1089</f>
        <v>0</v>
      </c>
      <c r="AR1089" s="790"/>
      <c r="AS1089" s="790"/>
      <c r="AT1089" s="790"/>
      <c r="AU1089" s="790"/>
      <c r="AV1089" s="790"/>
      <c r="AW1089" s="790"/>
      <c r="AX1089" s="790"/>
      <c r="AY1089" s="790"/>
      <c r="AZ1089" s="790"/>
      <c r="BA1089" s="790"/>
      <c r="BB1089" s="790"/>
      <c r="BC1089" s="790"/>
      <c r="BD1089" s="790"/>
      <c r="BE1089" s="790"/>
      <c r="BF1089" s="790"/>
      <c r="BG1089" s="790"/>
      <c r="BH1089" s="790"/>
      <c r="BI1089" s="790"/>
      <c r="BJ1089" s="1184" t="s">
        <v>4763</v>
      </c>
    </row>
    <row r="1090" spans="1:62" x14ac:dyDescent="0.3">
      <c r="A1090" s="1200">
        <v>7</v>
      </c>
      <c r="B1090" s="1210" t="s">
        <v>1120</v>
      </c>
      <c r="C1090" s="1215"/>
      <c r="D1090" s="1203" t="s">
        <v>271</v>
      </c>
      <c r="E1090" s="1203" t="s">
        <v>121</v>
      </c>
      <c r="F1090" s="1203" t="s">
        <v>121</v>
      </c>
      <c r="G1090" s="1202" t="str">
        <f ca="1">IF(N1089&gt;0,"P","")</f>
        <v/>
      </c>
      <c r="H1090" s="1204" t="s">
        <v>4386</v>
      </c>
      <c r="I1090" s="4"/>
      <c r="J1090" s="260"/>
      <c r="K1090" s="260"/>
      <c r="L1090" s="819" t="s">
        <v>3895</v>
      </c>
      <c r="M1090" s="799">
        <f>IFERROR(INDEX({3,3,2,2,2,2,2,1},BF779),0)*IF(T1065,2,1)</f>
        <v>0</v>
      </c>
      <c r="N1090" s="850"/>
      <c r="O1090" s="802"/>
      <c r="P1090" s="1081"/>
      <c r="Q1090" s="1081"/>
      <c r="R1090" s="790"/>
      <c r="S1090" s="1" t="b">
        <f ca="1">W1087=INDEX(INDIRECT(U1087),1)</f>
        <v>0</v>
      </c>
      <c r="T1090" s="790"/>
      <c r="U1090" s="790"/>
      <c r="V1090" s="790"/>
      <c r="W1090" s="790"/>
      <c r="X1090" s="1303"/>
      <c r="Y1090" s="1522"/>
      <c r="Z1090" s="1586"/>
      <c r="AB1090" s="790"/>
      <c r="AC1090" s="790"/>
      <c r="AD1090" s="790"/>
      <c r="AE1090" s="790"/>
      <c r="AF1090" s="790"/>
      <c r="AG1090" s="790"/>
      <c r="AH1090" s="790"/>
      <c r="AI1090" s="790"/>
      <c r="AJ1090" s="790"/>
      <c r="AK1090" s="790"/>
      <c r="AL1090" s="311" t="str">
        <f t="shared" ref="AL1090:AL1091" si="309">SUBSTITUTE(SUBSTITUTE(SUBSTITUTE("vpa"&amp;$B1090&amp;$C1090&amp;$D1090&amp;$E1090&amp;$F1090,".","_"),"(","_"),")","")</f>
        <v>vpa703_5_1_1_a_a</v>
      </c>
      <c r="AM1090" s="311">
        <f>M1090</f>
        <v>0</v>
      </c>
      <c r="AN1090" s="790"/>
      <c r="AO1090" s="790"/>
      <c r="AP1090" s="790"/>
      <c r="AQ1090" s="790"/>
      <c r="AR1090" s="790"/>
      <c r="AS1090" s="790"/>
      <c r="AT1090" s="790"/>
      <c r="AU1090" s="790"/>
      <c r="AV1090" s="790"/>
      <c r="AW1090" s="790"/>
      <c r="AX1090" s="790"/>
      <c r="AY1090" s="790"/>
      <c r="AZ1090" s="790"/>
      <c r="BA1090" s="790"/>
      <c r="BB1090" s="790"/>
      <c r="BC1090" s="790"/>
      <c r="BD1090" s="790"/>
      <c r="BE1090" s="790"/>
      <c r="BF1090" s="790"/>
      <c r="BG1090" s="790"/>
      <c r="BH1090" s="790"/>
      <c r="BI1090" s="790"/>
      <c r="BJ1090" s="1184" t="s">
        <v>4763</v>
      </c>
    </row>
    <row r="1091" spans="1:62" x14ac:dyDescent="0.3">
      <c r="A1091" s="1200">
        <v>7</v>
      </c>
      <c r="B1091" s="1210" t="s">
        <v>1120</v>
      </c>
      <c r="C1091" s="1215"/>
      <c r="D1091" s="1203" t="s">
        <v>271</v>
      </c>
      <c r="E1091" s="1203" t="s">
        <v>121</v>
      </c>
      <c r="F1091" s="1203" t="s">
        <v>122</v>
      </c>
      <c r="G1091" s="1202" t="str">
        <f t="shared" ref="G1091" ca="1" si="310">G1090</f>
        <v/>
      </c>
      <c r="H1091" s="1204" t="s">
        <v>4386</v>
      </c>
      <c r="I1091" s="4"/>
      <c r="J1091" s="260"/>
      <c r="K1091" s="260"/>
      <c r="L1091" s="819" t="s">
        <v>3896</v>
      </c>
      <c r="M1091" s="799">
        <f>IFERROR(INDEX({4,4,3,3,3,3,3,2},BF779),0)*IF(T1065,2,1)</f>
        <v>0</v>
      </c>
      <c r="N1091" s="850"/>
      <c r="O1091" s="802"/>
      <c r="P1091" s="1081"/>
      <c r="Q1091" s="1081"/>
      <c r="R1091" s="790"/>
      <c r="S1091" s="790"/>
      <c r="T1091" s="790"/>
      <c r="U1091" s="790"/>
      <c r="V1091" s="790"/>
      <c r="W1091" s="790"/>
      <c r="X1091" s="1303"/>
      <c r="Y1091" s="1522"/>
      <c r="Z1091" s="1586"/>
      <c r="AB1091" s="790"/>
      <c r="AC1091" s="790"/>
      <c r="AD1091" s="790"/>
      <c r="AE1091" s="790"/>
      <c r="AF1091" s="790"/>
      <c r="AG1091" s="790"/>
      <c r="AH1091" s="790"/>
      <c r="AI1091" s="790"/>
      <c r="AJ1091" s="790"/>
      <c r="AK1091" s="790"/>
      <c r="AL1091" s="311" t="str">
        <f t="shared" si="309"/>
        <v>vpa703_5_1_1_a_b</v>
      </c>
      <c r="AM1091" s="311">
        <f>M1091</f>
        <v>0</v>
      </c>
      <c r="AN1091" s="790"/>
      <c r="AO1091" s="790"/>
      <c r="AP1091" s="790"/>
      <c r="AQ1091" s="790"/>
      <c r="AR1091" s="790"/>
      <c r="AS1091" s="790"/>
      <c r="AT1091" s="790"/>
      <c r="AU1091" s="790"/>
      <c r="AV1091" s="790"/>
      <c r="AW1091" s="790"/>
      <c r="AX1091" s="790"/>
      <c r="AY1091" s="790"/>
      <c r="AZ1091" s="790"/>
      <c r="BA1091" s="790"/>
      <c r="BB1091" s="790"/>
      <c r="BC1091" s="790"/>
      <c r="BD1091" s="790"/>
      <c r="BE1091" s="790"/>
      <c r="BF1091" s="790"/>
      <c r="BG1091" s="790"/>
      <c r="BH1091" s="790"/>
      <c r="BI1091" s="790"/>
      <c r="BJ1091" s="1184" t="s">
        <v>4763</v>
      </c>
    </row>
    <row r="1092" spans="1:62" x14ac:dyDescent="0.3">
      <c r="A1092" s="1200">
        <v>7</v>
      </c>
      <c r="B1092" s="1210" t="s">
        <v>1120</v>
      </c>
      <c r="C1092" s="1215"/>
      <c r="D1092" s="1203" t="s">
        <v>271</v>
      </c>
      <c r="E1092" s="1203" t="s">
        <v>122</v>
      </c>
      <c r="F1092" s="1203"/>
      <c r="G1092" s="1202" t="str">
        <f ca="1">IF(N1092&gt;0,"P","")</f>
        <v/>
      </c>
      <c r="H1092" s="1200" t="s">
        <v>4386</v>
      </c>
      <c r="I1092" s="4"/>
      <c r="J1092" s="819"/>
      <c r="K1092" s="260" t="s">
        <v>122</v>
      </c>
      <c r="L1092" s="1367" t="s">
        <v>3892</v>
      </c>
      <c r="M1092" s="799"/>
      <c r="N1092" s="1310">
        <f ca="1">'Ch7'!O329</f>
        <v>0</v>
      </c>
      <c r="O1092" s="1310">
        <f ca="1">IFERROR(INDEX(M1094:M1095,MATCH(W1089,{0.9,0.95},1)),0)*S1092*S1087</f>
        <v>0</v>
      </c>
      <c r="P1092" s="1081"/>
      <c r="Q1092" s="1081"/>
      <c r="R1092" s="790"/>
      <c r="S1092" s="1" t="b">
        <f ca="1">W1087=INDEX(INDIRECT(U1087),2)</f>
        <v>0</v>
      </c>
      <c r="T1092" s="790"/>
      <c r="U1092" s="790"/>
      <c r="V1092" s="790"/>
      <c r="W1092" s="790"/>
      <c r="X1092" s="1303"/>
      <c r="Y1092" s="1522"/>
      <c r="Z1092" s="1586"/>
      <c r="AB1092" s="790"/>
      <c r="AC1092" s="790"/>
      <c r="AD1092" s="790"/>
      <c r="AE1092" s="790"/>
      <c r="AF1092" s="790"/>
      <c r="AG1092" s="790"/>
      <c r="AH1092" s="790"/>
      <c r="AI1092" s="790"/>
      <c r="AJ1092" s="790"/>
      <c r="AK1092" s="790"/>
      <c r="AL1092" s="790"/>
      <c r="AM1092" s="790"/>
      <c r="AN1092" s="311" t="str">
        <f>SUBSTITUTE(SUBSTITUTE(SUBSTITUTE("vpc"&amp;$B1092&amp;$C1092&amp;$D1092&amp;$E1092&amp;$F1092,".","_"),"(","_"),")","")</f>
        <v>vpc703_5_1_1_b</v>
      </c>
      <c r="AO1092" s="311">
        <f ca="1">O1092</f>
        <v>0</v>
      </c>
      <c r="AP1092" s="790"/>
      <c r="AQ1092" s="790"/>
      <c r="AR1092" s="790"/>
      <c r="AS1092" s="790"/>
      <c r="AT1092" s="790"/>
      <c r="AU1092" s="790"/>
      <c r="AV1092" s="790"/>
      <c r="AW1092" s="790"/>
      <c r="AX1092" s="790"/>
      <c r="AY1092" s="790"/>
      <c r="AZ1092" s="790"/>
      <c r="BA1092" s="790"/>
      <c r="BB1092" s="790"/>
      <c r="BC1092" s="790"/>
      <c r="BD1092" s="790"/>
      <c r="BE1092" s="790"/>
      <c r="BF1092" s="790"/>
      <c r="BG1092" s="790"/>
      <c r="BH1092" s="790"/>
      <c r="BI1092" s="790"/>
      <c r="BJ1092" s="1184" t="s">
        <v>4763</v>
      </c>
    </row>
    <row r="1093" spans="1:62" x14ac:dyDescent="0.3">
      <c r="A1093" s="1200">
        <v>7</v>
      </c>
      <c r="B1093" s="1210" t="s">
        <v>1120</v>
      </c>
      <c r="C1093" s="1215"/>
      <c r="D1093" s="1203" t="s">
        <v>271</v>
      </c>
      <c r="E1093" s="1203" t="s">
        <v>122</v>
      </c>
      <c r="F1093" s="1203"/>
      <c r="G1093" s="1202" t="str">
        <f t="shared" ref="G1093:G1095" ca="1" si="311">G1092</f>
        <v/>
      </c>
      <c r="H1093" s="1200" t="s">
        <v>4386</v>
      </c>
      <c r="I1093" s="4"/>
      <c r="J1093" s="819"/>
      <c r="K1093" s="260"/>
      <c r="L1093" s="1367"/>
      <c r="M1093" s="799"/>
      <c r="N1093" s="1310"/>
      <c r="O1093" s="1310"/>
      <c r="P1093" s="1081"/>
      <c r="Q1093" s="1081"/>
      <c r="R1093" s="790"/>
      <c r="S1093" s="790"/>
      <c r="T1093" s="790"/>
      <c r="U1093" s="790"/>
      <c r="V1093" s="790"/>
      <c r="W1093" s="790"/>
      <c r="X1093" s="1303"/>
      <c r="Y1093" s="1522"/>
      <c r="Z1093" s="1586"/>
      <c r="AB1093" s="790"/>
      <c r="AC1093" s="790"/>
      <c r="AD1093" s="790"/>
      <c r="AE1093" s="790"/>
      <c r="AF1093" s="790"/>
      <c r="AG1093" s="790"/>
      <c r="AH1093" s="790"/>
      <c r="AI1093" s="790"/>
      <c r="AJ1093" s="790"/>
      <c r="AK1093" s="790"/>
      <c r="AL1093" s="790"/>
      <c r="AM1093" s="790"/>
      <c r="AN1093" s="790"/>
      <c r="AO1093" s="790"/>
      <c r="AP1093" s="790"/>
      <c r="AQ1093" s="790"/>
      <c r="AR1093" s="790"/>
      <c r="AS1093" s="790"/>
      <c r="AT1093" s="790"/>
      <c r="AU1093" s="790"/>
      <c r="AV1093" s="790"/>
      <c r="AW1093" s="790"/>
      <c r="AX1093" s="790"/>
      <c r="AY1093" s="790"/>
      <c r="AZ1093" s="790"/>
      <c r="BA1093" s="790"/>
      <c r="BB1093" s="790"/>
      <c r="BC1093" s="790"/>
      <c r="BD1093" s="790"/>
      <c r="BE1093" s="790"/>
      <c r="BF1093" s="790"/>
      <c r="BG1093" s="790"/>
      <c r="BH1093" s="790"/>
      <c r="BI1093" s="790"/>
      <c r="BJ1093" s="1184" t="s">
        <v>4763</v>
      </c>
    </row>
    <row r="1094" spans="1:62" x14ac:dyDescent="0.3">
      <c r="A1094" s="1200">
        <v>7</v>
      </c>
      <c r="B1094" s="1210" t="s">
        <v>1120</v>
      </c>
      <c r="C1094" s="1215"/>
      <c r="D1094" s="1203" t="s">
        <v>271</v>
      </c>
      <c r="E1094" s="1203" t="s">
        <v>122</v>
      </c>
      <c r="F1094" s="1203" t="s">
        <v>121</v>
      </c>
      <c r="G1094" s="1202" t="str">
        <f t="shared" ca="1" si="311"/>
        <v/>
      </c>
      <c r="H1094" s="1204" t="s">
        <v>4386</v>
      </c>
      <c r="I1094" s="4"/>
      <c r="J1094" s="819"/>
      <c r="K1094" s="260"/>
      <c r="L1094" s="819" t="s">
        <v>3897</v>
      </c>
      <c r="M1094" s="799">
        <f>IFERROR(INDEX({6,6,5,3,3,3,3,2},BF779),0)</f>
        <v>0</v>
      </c>
      <c r="N1094" s="850"/>
      <c r="O1094" s="802"/>
      <c r="P1094" s="1081"/>
      <c r="Q1094" s="1081"/>
      <c r="R1094" s="790"/>
      <c r="S1094" s="790"/>
      <c r="T1094" s="790"/>
      <c r="U1094" s="790"/>
      <c r="V1094" s="790"/>
      <c r="W1094" s="790"/>
      <c r="X1094" s="1303"/>
      <c r="Y1094" s="1522"/>
      <c r="Z1094" s="1586"/>
      <c r="AB1094" s="790"/>
      <c r="AC1094" s="790"/>
      <c r="AD1094" s="790"/>
      <c r="AE1094" s="790"/>
      <c r="AF1094" s="790"/>
      <c r="AG1094" s="790"/>
      <c r="AH1094" s="790"/>
      <c r="AI1094" s="790"/>
      <c r="AJ1094" s="790"/>
      <c r="AK1094" s="790"/>
      <c r="AL1094" s="311" t="str">
        <f t="shared" ref="AL1094:AL1095" si="312">SUBSTITUTE(SUBSTITUTE(SUBSTITUTE("vpa"&amp;$B1094&amp;$C1094&amp;$D1094&amp;$E1094&amp;$F1094,".","_"),"(","_"),")","")</f>
        <v>vpa703_5_1_1_b_a</v>
      </c>
      <c r="AM1094" s="311">
        <f>M1094</f>
        <v>0</v>
      </c>
      <c r="AN1094" s="790"/>
      <c r="AO1094" s="790"/>
      <c r="AP1094" s="790"/>
      <c r="AQ1094" s="790"/>
      <c r="AR1094" s="790"/>
      <c r="AS1094" s="790"/>
      <c r="AT1094" s="790"/>
      <c r="AU1094" s="790"/>
      <c r="AV1094" s="790"/>
      <c r="AW1094" s="790"/>
      <c r="AX1094" s="790"/>
      <c r="AY1094" s="790"/>
      <c r="AZ1094" s="790"/>
      <c r="BA1094" s="790"/>
      <c r="BB1094" s="790"/>
      <c r="BC1094" s="790"/>
      <c r="BD1094" s="790"/>
      <c r="BE1094" s="790"/>
      <c r="BF1094" s="790"/>
      <c r="BG1094" s="790"/>
      <c r="BH1094" s="790"/>
      <c r="BI1094" s="790"/>
      <c r="BJ1094" s="1184" t="s">
        <v>4763</v>
      </c>
    </row>
    <row r="1095" spans="1:62" x14ac:dyDescent="0.3">
      <c r="A1095" s="1200">
        <v>7</v>
      </c>
      <c r="B1095" s="1210" t="s">
        <v>1120</v>
      </c>
      <c r="C1095" s="1215"/>
      <c r="D1095" s="1203" t="s">
        <v>271</v>
      </c>
      <c r="E1095" s="1203" t="s">
        <v>122</v>
      </c>
      <c r="F1095" s="1203" t="s">
        <v>122</v>
      </c>
      <c r="G1095" s="1202" t="str">
        <f t="shared" ca="1" si="311"/>
        <v/>
      </c>
      <c r="H1095" s="1204" t="s">
        <v>4386</v>
      </c>
      <c r="I1095" s="4"/>
      <c r="J1095" s="813"/>
      <c r="K1095" s="626"/>
      <c r="L1095" s="813" t="s">
        <v>3898</v>
      </c>
      <c r="M1095" s="796">
        <f>IFERROR(INDEX({7,7,5,4,4,4,4,2},BF779),0)</f>
        <v>0</v>
      </c>
      <c r="N1095" s="850"/>
      <c r="O1095" s="802"/>
      <c r="P1095" s="1081"/>
      <c r="Q1095" s="1081"/>
      <c r="R1095" s="790"/>
      <c r="S1095" s="790"/>
      <c r="T1095" s="790"/>
      <c r="U1095" s="790"/>
      <c r="V1095" s="790"/>
      <c r="W1095" s="790"/>
      <c r="X1095" s="1303"/>
      <c r="Y1095" s="1522"/>
      <c r="Z1095" s="1586"/>
      <c r="AB1095" s="790"/>
      <c r="AC1095" s="790"/>
      <c r="AD1095" s="790"/>
      <c r="AE1095" s="790"/>
      <c r="AF1095" s="790"/>
      <c r="AG1095" s="790"/>
      <c r="AH1095" s="790"/>
      <c r="AI1095" s="790"/>
      <c r="AJ1095" s="790"/>
      <c r="AK1095" s="790"/>
      <c r="AL1095" s="311" t="str">
        <f t="shared" si="312"/>
        <v>vpa703_5_1_1_b_b</v>
      </c>
      <c r="AM1095" s="311">
        <f>M1095</f>
        <v>0</v>
      </c>
      <c r="AN1095" s="790"/>
      <c r="AO1095" s="790"/>
      <c r="AP1095" s="790"/>
      <c r="AQ1095" s="790"/>
      <c r="AR1095" s="790"/>
      <c r="AS1095" s="790"/>
      <c r="AT1095" s="790"/>
      <c r="AU1095" s="790"/>
      <c r="AV1095" s="790"/>
      <c r="AW1095" s="790"/>
      <c r="AX1095" s="790"/>
      <c r="AY1095" s="790"/>
      <c r="AZ1095" s="790"/>
      <c r="BA1095" s="790"/>
      <c r="BB1095" s="790"/>
      <c r="BC1095" s="790"/>
      <c r="BD1095" s="790"/>
      <c r="BE1095" s="790"/>
      <c r="BF1095" s="790"/>
      <c r="BG1095" s="790"/>
      <c r="BH1095" s="790"/>
      <c r="BI1095" s="790"/>
      <c r="BJ1095" s="1184" t="s">
        <v>4763</v>
      </c>
    </row>
    <row r="1096" spans="1:62" x14ac:dyDescent="0.3">
      <c r="A1096" s="1200">
        <v>7</v>
      </c>
      <c r="B1096" s="1210" t="s">
        <v>1120</v>
      </c>
      <c r="C1096" s="1215"/>
      <c r="D1096" s="1203" t="s">
        <v>273</v>
      </c>
      <c r="E1096" s="1203"/>
      <c r="F1096" s="1203"/>
      <c r="G1096" s="1196" t="str">
        <f ca="1">IF(COUNTIF(G1097:G1098,"P")&gt;0,"P","")</f>
        <v/>
      </c>
      <c r="H1096" s="1200" t="s">
        <v>4386</v>
      </c>
      <c r="I1096" s="4"/>
      <c r="J1096" s="260" t="s">
        <v>273</v>
      </c>
      <c r="K1096" s="819"/>
      <c r="L1096" s="819" t="s">
        <v>1123</v>
      </c>
      <c r="M1096" s="799"/>
      <c r="N1096" s="850"/>
      <c r="O1096" s="802"/>
      <c r="P1096" s="1081"/>
      <c r="Q1096" s="1081"/>
      <c r="R1096" s="790"/>
      <c r="S1096" s="790"/>
      <c r="T1096" s="790"/>
      <c r="U1096" s="790"/>
      <c r="V1096" s="790"/>
      <c r="W1096" s="790"/>
      <c r="X1096" s="1303"/>
      <c r="Y1096" s="1522"/>
      <c r="Z1096" s="1586"/>
      <c r="AB1096" s="790"/>
      <c r="AC1096" s="790"/>
      <c r="AD1096" s="790"/>
      <c r="AE1096" s="790"/>
      <c r="AF1096" s="790"/>
      <c r="AG1096" s="790"/>
      <c r="AH1096" s="790"/>
      <c r="AI1096" s="790"/>
      <c r="AJ1096" s="790"/>
      <c r="AK1096" s="790"/>
      <c r="AL1096" s="790"/>
      <c r="AM1096" s="790"/>
      <c r="AN1096" s="790"/>
      <c r="AO1096" s="790"/>
      <c r="AP1096" s="790"/>
      <c r="AQ1096" s="790"/>
      <c r="AR1096" s="790"/>
      <c r="AS1096" s="790"/>
      <c r="AT1096" s="790"/>
      <c r="AU1096" s="790"/>
      <c r="AV1096" s="790"/>
      <c r="AW1096" s="790"/>
      <c r="AX1096" s="790"/>
      <c r="AY1096" s="790"/>
      <c r="AZ1096" s="790"/>
      <c r="BA1096" s="790"/>
      <c r="BB1096" s="790"/>
      <c r="BC1096" s="790"/>
      <c r="BD1096" s="790"/>
      <c r="BE1096" s="790"/>
      <c r="BF1096" s="790"/>
      <c r="BG1096" s="790"/>
      <c r="BH1096" s="790"/>
      <c r="BI1096" s="790"/>
      <c r="BJ1096" s="1184" t="s">
        <v>4763</v>
      </c>
    </row>
    <row r="1097" spans="1:62" x14ac:dyDescent="0.3">
      <c r="A1097" s="1200">
        <v>7</v>
      </c>
      <c r="B1097" s="1210" t="s">
        <v>1120</v>
      </c>
      <c r="C1097" s="1215"/>
      <c r="D1097" s="1203" t="s">
        <v>273</v>
      </c>
      <c r="E1097" s="1203" t="s">
        <v>121</v>
      </c>
      <c r="F1097" s="1203"/>
      <c r="G1097" s="1202" t="str">
        <f ca="1">IF(N1097&gt;0,"P","")</f>
        <v/>
      </c>
      <c r="H1097" s="1200" t="s">
        <v>4386</v>
      </c>
      <c r="I1097" s="4"/>
      <c r="J1097" s="260"/>
      <c r="K1097" s="260" t="s">
        <v>121</v>
      </c>
      <c r="L1097" s="819" t="s">
        <v>3890</v>
      </c>
      <c r="M1097" s="799">
        <v>1</v>
      </c>
      <c r="N1097" s="850">
        <f ca="1">'Ch7'!O334</f>
        <v>0</v>
      </c>
      <c r="O1097" s="802">
        <f ca="1">M1097*AND(S1097,W1089&gt;=0.95)*S1087</f>
        <v>0</v>
      </c>
      <c r="P1097" s="1081"/>
      <c r="Q1097" s="1081"/>
      <c r="R1097" s="790"/>
      <c r="S1097" s="1" t="b">
        <f ca="1">W1087=INDEX(INDIRECT(U1087),3)</f>
        <v>0</v>
      </c>
      <c r="T1097" s="790"/>
      <c r="U1097" s="790"/>
      <c r="V1097" s="790"/>
      <c r="W1097" s="790"/>
      <c r="X1097" s="1303"/>
      <c r="Y1097" s="1522"/>
      <c r="Z1097" s="1586"/>
      <c r="AB1097" s="790"/>
      <c r="AC1097" s="790"/>
      <c r="AD1097" s="790"/>
      <c r="AE1097" s="790"/>
      <c r="AF1097" s="790"/>
      <c r="AG1097" s="790"/>
      <c r="AH1097" s="790"/>
      <c r="AI1097" s="790"/>
      <c r="AJ1097" s="790"/>
      <c r="AK1097" s="790"/>
      <c r="AL1097" s="311" t="str">
        <f t="shared" ref="AL1097:AL1099" si="313">SUBSTITUTE(SUBSTITUTE(SUBSTITUTE("vpa"&amp;$B1097&amp;$C1097&amp;$D1097&amp;$E1097&amp;$F1097,".","_"),"(","_"),")","")</f>
        <v>vpa703_5_1_2_a</v>
      </c>
      <c r="AM1097" s="311">
        <f>M1097</f>
        <v>1</v>
      </c>
      <c r="AN1097" s="311" t="str">
        <f t="shared" ref="AN1097:AN1100" si="314">SUBSTITUTE(SUBSTITUTE(SUBSTITUTE("vpc"&amp;$B1097&amp;$C1097&amp;$D1097&amp;$E1097&amp;$F1097,".","_"),"(","_"),")","")</f>
        <v>vpc703_5_1_2_a</v>
      </c>
      <c r="AO1097" s="311">
        <f ca="1">O1097</f>
        <v>0</v>
      </c>
      <c r="AP1097" s="790"/>
      <c r="AQ1097" s="790"/>
      <c r="AR1097" s="790"/>
      <c r="AS1097" s="790"/>
      <c r="AT1097" s="790"/>
      <c r="AU1097" s="790"/>
      <c r="AV1097" s="790"/>
      <c r="AW1097" s="790"/>
      <c r="AX1097" s="790"/>
      <c r="AY1097" s="790"/>
      <c r="AZ1097" s="790"/>
      <c r="BA1097" s="790"/>
      <c r="BB1097" s="790"/>
      <c r="BC1097" s="790"/>
      <c r="BD1097" s="790"/>
      <c r="BE1097" s="790"/>
      <c r="BF1097" s="790"/>
      <c r="BG1097" s="790"/>
      <c r="BH1097" s="790"/>
      <c r="BI1097" s="790"/>
      <c r="BJ1097" s="1184" t="s">
        <v>4763</v>
      </c>
    </row>
    <row r="1098" spans="1:62" x14ac:dyDescent="0.3">
      <c r="A1098" s="1200">
        <v>7</v>
      </c>
      <c r="B1098" s="1210" t="s">
        <v>1120</v>
      </c>
      <c r="C1098" s="1215"/>
      <c r="D1098" s="1203" t="s">
        <v>273</v>
      </c>
      <c r="E1098" s="1203" t="s">
        <v>122</v>
      </c>
      <c r="F1098" s="1203"/>
      <c r="G1098" s="1202" t="str">
        <f ca="1">IF(N1098&gt;0,"P","")</f>
        <v/>
      </c>
      <c r="H1098" s="1200" t="s">
        <v>4386</v>
      </c>
      <c r="I1098" s="4"/>
      <c r="J1098" s="813"/>
      <c r="K1098" s="626" t="s">
        <v>122</v>
      </c>
      <c r="L1098" s="813" t="s">
        <v>3891</v>
      </c>
      <c r="M1098" s="796">
        <v>2</v>
      </c>
      <c r="N1098" s="855">
        <f ca="1">'Ch7'!O335</f>
        <v>0</v>
      </c>
      <c r="O1098" s="804">
        <f ca="1">M1098*AND(S1098,W1089&gt;=0.97)*S1087</f>
        <v>0</v>
      </c>
      <c r="P1098" s="1081"/>
      <c r="Q1098" s="1081"/>
      <c r="R1098" s="790"/>
      <c r="S1098" s="1" t="b">
        <f ca="1">W1087=INDEX(INDIRECT(U1087),4)</f>
        <v>0</v>
      </c>
      <c r="T1098" s="790"/>
      <c r="U1098" s="790"/>
      <c r="V1098" s="790"/>
      <c r="W1098" s="790"/>
      <c r="X1098" s="1303"/>
      <c r="Y1098" s="1522"/>
      <c r="Z1098" s="1586"/>
      <c r="AB1098" s="790"/>
      <c r="AC1098" s="790"/>
      <c r="AD1098" s="790"/>
      <c r="AE1098" s="790"/>
      <c r="AF1098" s="790"/>
      <c r="AG1098" s="790"/>
      <c r="AH1098" s="790"/>
      <c r="AI1098" s="790"/>
      <c r="AJ1098" s="790"/>
      <c r="AK1098" s="790"/>
      <c r="AL1098" s="311" t="str">
        <f t="shared" si="313"/>
        <v>vpa703_5_1_2_b</v>
      </c>
      <c r="AM1098" s="311">
        <f>M1098</f>
        <v>2</v>
      </c>
      <c r="AN1098" s="311" t="str">
        <f t="shared" si="314"/>
        <v>vpc703_5_1_2_b</v>
      </c>
      <c r="AO1098" s="311">
        <f ca="1">O1098</f>
        <v>0</v>
      </c>
      <c r="AP1098" s="790"/>
      <c r="AQ1098" s="790"/>
      <c r="AR1098" s="790"/>
      <c r="AS1098" s="790"/>
      <c r="AT1098" s="790"/>
      <c r="AU1098" s="790"/>
      <c r="AV1098" s="790"/>
      <c r="AW1098" s="790"/>
      <c r="AX1098" s="790"/>
      <c r="AY1098" s="790"/>
      <c r="AZ1098" s="790"/>
      <c r="BA1098" s="790"/>
      <c r="BB1098" s="790"/>
      <c r="BC1098" s="790"/>
      <c r="BD1098" s="790"/>
      <c r="BE1098" s="790"/>
      <c r="BF1098" s="790"/>
      <c r="BG1098" s="790"/>
      <c r="BH1098" s="790"/>
      <c r="BI1098" s="790"/>
      <c r="BJ1098" s="1184" t="s">
        <v>4763</v>
      </c>
    </row>
    <row r="1099" spans="1:62" x14ac:dyDescent="0.3">
      <c r="A1099" s="1200">
        <v>7</v>
      </c>
      <c r="B1099" s="1210" t="s">
        <v>1120</v>
      </c>
      <c r="C1099" s="1215"/>
      <c r="D1099" s="1203" t="s">
        <v>275</v>
      </c>
      <c r="E1099" s="1203"/>
      <c r="F1099" s="1203"/>
      <c r="G1099" s="1202" t="str">
        <f ca="1">IF(N1099&gt;0,"P","")</f>
        <v/>
      </c>
      <c r="H1099" s="1200" t="s">
        <v>4386</v>
      </c>
      <c r="I1099" s="4"/>
      <c r="J1099" s="650" t="s">
        <v>275</v>
      </c>
      <c r="K1099" s="365"/>
      <c r="L1099" s="365" t="s">
        <v>3889</v>
      </c>
      <c r="M1099" s="846">
        <v>1</v>
      </c>
      <c r="N1099" s="892">
        <f ca="1">'Ch7'!O336</f>
        <v>0</v>
      </c>
      <c r="O1099" s="845">
        <f ca="1">M1099*AND(S1099,W1089&gt;=0.59)*S1087</f>
        <v>0</v>
      </c>
      <c r="P1099" s="1081"/>
      <c r="Q1099" s="1081"/>
      <c r="R1099" s="790"/>
      <c r="S1099" s="1" t="b">
        <f ca="1">W1087=INDEX(INDIRECT(U1087),5)</f>
        <v>0</v>
      </c>
      <c r="T1099" s="790"/>
      <c r="U1099" s="790"/>
      <c r="V1099" s="790"/>
      <c r="W1099" s="790"/>
      <c r="X1099" s="1303"/>
      <c r="Y1099" s="1522"/>
      <c r="Z1099" s="1586"/>
      <c r="AB1099" s="790"/>
      <c r="AC1099" s="790"/>
      <c r="AD1099" s="790"/>
      <c r="AE1099" s="790"/>
      <c r="AF1099" s="790"/>
      <c r="AG1099" s="790"/>
      <c r="AH1099" s="790"/>
      <c r="AI1099" s="790"/>
      <c r="AJ1099" s="790"/>
      <c r="AK1099" s="790"/>
      <c r="AL1099" s="311" t="str">
        <f t="shared" si="313"/>
        <v>vpa703_5_1_3</v>
      </c>
      <c r="AM1099" s="311">
        <f>M1099</f>
        <v>1</v>
      </c>
      <c r="AN1099" s="311" t="str">
        <f t="shared" si="314"/>
        <v>vpc703_5_1_3</v>
      </c>
      <c r="AO1099" s="311">
        <f ca="1">O1099</f>
        <v>0</v>
      </c>
      <c r="AP1099" s="790"/>
      <c r="AQ1099" s="790"/>
      <c r="AR1099" s="790"/>
      <c r="AS1099" s="790"/>
      <c r="AT1099" s="790"/>
      <c r="AU1099" s="790"/>
      <c r="AV1099" s="790"/>
      <c r="AW1099" s="790"/>
      <c r="AX1099" s="790"/>
      <c r="AY1099" s="790"/>
      <c r="AZ1099" s="790"/>
      <c r="BA1099" s="790"/>
      <c r="BB1099" s="790"/>
      <c r="BC1099" s="790"/>
      <c r="BD1099" s="790"/>
      <c r="BE1099" s="790"/>
      <c r="BF1099" s="790"/>
      <c r="BG1099" s="790"/>
      <c r="BH1099" s="790"/>
      <c r="BI1099" s="790"/>
      <c r="BJ1099" s="1184" t="s">
        <v>4763</v>
      </c>
    </row>
    <row r="1100" spans="1:62" x14ac:dyDescent="0.3">
      <c r="A1100" s="1200">
        <v>7</v>
      </c>
      <c r="B1100" s="1210" t="s">
        <v>1120</v>
      </c>
      <c r="C1100" s="1215"/>
      <c r="D1100" s="1203" t="s">
        <v>285</v>
      </c>
      <c r="E1100" s="1203"/>
      <c r="F1100" s="1203"/>
      <c r="G1100" s="1202" t="str">
        <f ca="1">IF(N1100&gt;0,"P","")</f>
        <v/>
      </c>
      <c r="H1100" s="1200" t="s">
        <v>4386</v>
      </c>
      <c r="I1100" s="4"/>
      <c r="J1100" s="260" t="s">
        <v>285</v>
      </c>
      <c r="K1100" s="819"/>
      <c r="L1100" s="819" t="s">
        <v>1124</v>
      </c>
      <c r="M1100" s="799"/>
      <c r="N1100" s="850">
        <f ca="1">'Ch7'!O337</f>
        <v>0</v>
      </c>
      <c r="O1100" s="802">
        <f ca="1">IFERROR(INDEX(M1101:M1103,MATCH(W1089,{1.5,2,2.2},1)),0)*S1100*S1087</f>
        <v>0</v>
      </c>
      <c r="P1100" s="1081"/>
      <c r="Q1100" s="1081"/>
      <c r="R1100" s="790"/>
      <c r="S1100" s="1" t="b">
        <f ca="1">W1087=INDEX(INDIRECT(U1087),6)</f>
        <v>0</v>
      </c>
      <c r="T1100" s="790"/>
      <c r="U1100" s="790"/>
      <c r="V1100" s="790"/>
      <c r="W1100" s="790"/>
      <c r="X1100" s="1303"/>
      <c r="Y1100" s="1522"/>
      <c r="Z1100" s="1586"/>
      <c r="AB1100" s="790"/>
      <c r="AC1100" s="790"/>
      <c r="AD1100" s="790"/>
      <c r="AE1100" s="790"/>
      <c r="AF1100" s="790"/>
      <c r="AG1100" s="790"/>
      <c r="AH1100" s="790"/>
      <c r="AI1100" s="790"/>
      <c r="AJ1100" s="790"/>
      <c r="AK1100" s="790"/>
      <c r="AL1100" s="790"/>
      <c r="AM1100" s="790"/>
      <c r="AN1100" s="311" t="str">
        <f t="shared" si="314"/>
        <v>vpc703_5_1_4</v>
      </c>
      <c r="AO1100" s="311">
        <f ca="1">O1100</f>
        <v>0</v>
      </c>
      <c r="AP1100" s="790"/>
      <c r="AQ1100" s="790"/>
      <c r="AR1100" s="790"/>
      <c r="AS1100" s="790"/>
      <c r="AT1100" s="790"/>
      <c r="AU1100" s="790"/>
      <c r="AV1100" s="790"/>
      <c r="AW1100" s="790"/>
      <c r="AX1100" s="790"/>
      <c r="AY1100" s="790"/>
      <c r="AZ1100" s="790"/>
      <c r="BA1100" s="790"/>
      <c r="BB1100" s="790"/>
      <c r="BC1100" s="790"/>
      <c r="BD1100" s="790"/>
      <c r="BE1100" s="790"/>
      <c r="BF1100" s="790"/>
      <c r="BG1100" s="790"/>
      <c r="BH1100" s="790"/>
      <c r="BI1100" s="790"/>
      <c r="BJ1100" s="1184" t="s">
        <v>4763</v>
      </c>
    </row>
    <row r="1101" spans="1:62" x14ac:dyDescent="0.3">
      <c r="A1101" s="1200">
        <v>7</v>
      </c>
      <c r="B1101" s="1210" t="s">
        <v>1120</v>
      </c>
      <c r="C1101" s="1215"/>
      <c r="D1101" s="1203" t="s">
        <v>285</v>
      </c>
      <c r="E1101" s="1203" t="s">
        <v>121</v>
      </c>
      <c r="F1101" s="1203"/>
      <c r="G1101" s="1202" t="str">
        <f t="shared" ref="G1101:G1103" ca="1" si="315">G1100</f>
        <v/>
      </c>
      <c r="H1101" s="1200" t="s">
        <v>4386</v>
      </c>
      <c r="I1101" s="4"/>
      <c r="J1101" s="260"/>
      <c r="K1101" s="819"/>
      <c r="L1101" s="819" t="s">
        <v>3899</v>
      </c>
      <c r="M1101" s="799">
        <f>IFERROR(INDEX({8,5,4,3,2,2,1,1},BF779),0)</f>
        <v>0</v>
      </c>
      <c r="N1101" s="850"/>
      <c r="O1101" s="802"/>
      <c r="P1101" s="1081"/>
      <c r="Q1101" s="1081"/>
      <c r="R1101" s="790"/>
      <c r="S1101" s="790"/>
      <c r="T1101" s="790"/>
      <c r="U1101" s="790"/>
      <c r="V1101" s="790"/>
      <c r="W1101" s="790"/>
      <c r="X1101" s="1303"/>
      <c r="Y1101" s="1522"/>
      <c r="Z1101" s="1586"/>
      <c r="AB1101" s="790"/>
      <c r="AC1101" s="790"/>
      <c r="AD1101" s="790"/>
      <c r="AE1101" s="790"/>
      <c r="AF1101" s="790"/>
      <c r="AG1101" s="790"/>
      <c r="AH1101" s="790"/>
      <c r="AI1101" s="790"/>
      <c r="AJ1101" s="790"/>
      <c r="AK1101" s="790"/>
      <c r="AL1101" s="311" t="str">
        <f t="shared" ref="AL1101:AL1104" si="316">SUBSTITUTE(SUBSTITUTE(SUBSTITUTE("vpa"&amp;$B1101&amp;$C1101&amp;$D1101&amp;$E1101&amp;$F1101,".","_"),"(","_"),")","")</f>
        <v>vpa703_5_1_4_a</v>
      </c>
      <c r="AM1101" s="311">
        <f>M1101</f>
        <v>0</v>
      </c>
      <c r="AN1101" s="790"/>
      <c r="AO1101" s="790"/>
      <c r="AP1101" s="790"/>
      <c r="AQ1101" s="790"/>
      <c r="AR1101" s="790"/>
      <c r="AS1101" s="790"/>
      <c r="AT1101" s="790"/>
      <c r="AU1101" s="790"/>
      <c r="AV1101" s="790"/>
      <c r="AW1101" s="790"/>
      <c r="AX1101" s="790"/>
      <c r="AY1101" s="790"/>
      <c r="AZ1101" s="790"/>
      <c r="BA1101" s="790"/>
      <c r="BB1101" s="790"/>
      <c r="BC1101" s="790"/>
      <c r="BD1101" s="790"/>
      <c r="BE1101" s="790"/>
      <c r="BF1101" s="790"/>
      <c r="BG1101" s="790"/>
      <c r="BH1101" s="790"/>
      <c r="BI1101" s="790"/>
      <c r="BJ1101" s="1184" t="s">
        <v>4763</v>
      </c>
    </row>
    <row r="1102" spans="1:62" x14ac:dyDescent="0.3">
      <c r="A1102" s="1200">
        <v>7</v>
      </c>
      <c r="B1102" s="1210" t="s">
        <v>1120</v>
      </c>
      <c r="C1102" s="1215"/>
      <c r="D1102" s="1203" t="s">
        <v>285</v>
      </c>
      <c r="E1102" s="1203" t="s">
        <v>122</v>
      </c>
      <c r="F1102" s="1203"/>
      <c r="G1102" s="1202" t="str">
        <f t="shared" ca="1" si="315"/>
        <v/>
      </c>
      <c r="H1102" s="1200" t="s">
        <v>4386</v>
      </c>
      <c r="I1102" s="4"/>
      <c r="J1102" s="260"/>
      <c r="K1102" s="819"/>
      <c r="L1102" s="819" t="s">
        <v>3900</v>
      </c>
      <c r="M1102" s="799">
        <f>IFERROR(INDEX({16,9,8,6,5,4,2,2},BF779),0)</f>
        <v>0</v>
      </c>
      <c r="N1102" s="850"/>
      <c r="O1102" s="802"/>
      <c r="P1102" s="1081"/>
      <c r="Q1102" s="1081"/>
      <c r="R1102" s="790"/>
      <c r="S1102" s="790"/>
      <c r="T1102" s="790"/>
      <c r="U1102" s="790"/>
      <c r="V1102" s="790"/>
      <c r="W1102" s="790"/>
      <c r="X1102" s="1303"/>
      <c r="Y1102" s="1522"/>
      <c r="Z1102" s="1586"/>
      <c r="AB1102" s="790"/>
      <c r="AC1102" s="790"/>
      <c r="AD1102" s="790"/>
      <c r="AE1102" s="790"/>
      <c r="AF1102" s="790"/>
      <c r="AG1102" s="790"/>
      <c r="AH1102" s="790"/>
      <c r="AI1102" s="790"/>
      <c r="AJ1102" s="790"/>
      <c r="AK1102" s="790"/>
      <c r="AL1102" s="311" t="str">
        <f t="shared" si="316"/>
        <v>vpa703_5_1_4_b</v>
      </c>
      <c r="AM1102" s="311">
        <f>M1102</f>
        <v>0</v>
      </c>
      <c r="AN1102" s="790"/>
      <c r="AO1102" s="790"/>
      <c r="AP1102" s="790"/>
      <c r="AQ1102" s="790"/>
      <c r="AR1102" s="790"/>
      <c r="AS1102" s="790"/>
      <c r="AT1102" s="790"/>
      <c r="AU1102" s="790"/>
      <c r="AV1102" s="790"/>
      <c r="AW1102" s="790"/>
      <c r="AX1102" s="790"/>
      <c r="AY1102" s="790"/>
      <c r="AZ1102" s="790"/>
      <c r="BA1102" s="790"/>
      <c r="BB1102" s="790"/>
      <c r="BC1102" s="790"/>
      <c r="BD1102" s="790"/>
      <c r="BE1102" s="790"/>
      <c r="BF1102" s="790"/>
      <c r="BG1102" s="790"/>
      <c r="BH1102" s="790"/>
      <c r="BI1102" s="790"/>
      <c r="BJ1102" s="1184" t="s">
        <v>4763</v>
      </c>
    </row>
    <row r="1103" spans="1:62" x14ac:dyDescent="0.3">
      <c r="A1103" s="1200">
        <v>7</v>
      </c>
      <c r="B1103" s="1210" t="s">
        <v>1120</v>
      </c>
      <c r="C1103" s="1215"/>
      <c r="D1103" s="1203" t="s">
        <v>285</v>
      </c>
      <c r="E1103" s="1203" t="s">
        <v>123</v>
      </c>
      <c r="F1103" s="1203"/>
      <c r="G1103" s="1202" t="str">
        <f t="shared" ca="1" si="315"/>
        <v/>
      </c>
      <c r="H1103" s="1200" t="s">
        <v>4386</v>
      </c>
      <c r="I1103" s="238"/>
      <c r="J1103" s="813"/>
      <c r="K1103" s="813"/>
      <c r="L1103" s="813" t="s">
        <v>3901</v>
      </c>
      <c r="M1103" s="796">
        <f>IFERROR(INDEX({19,10,9,7,6,5,3,3},BF779),0)</f>
        <v>0</v>
      </c>
      <c r="N1103" s="850"/>
      <c r="O1103" s="802"/>
      <c r="P1103" s="1081"/>
      <c r="Q1103" s="1081"/>
      <c r="R1103" s="790"/>
      <c r="S1103" s="790"/>
      <c r="T1103" s="790"/>
      <c r="U1103" s="790"/>
      <c r="V1103" s="790"/>
      <c r="W1103" s="790"/>
      <c r="X1103" s="1303"/>
      <c r="Y1103" s="1522"/>
      <c r="Z1103" s="1586"/>
      <c r="AB1103" s="790"/>
      <c r="AC1103" s="790"/>
      <c r="AD1103" s="790"/>
      <c r="AE1103" s="790"/>
      <c r="AF1103" s="790"/>
      <c r="AG1103" s="790"/>
      <c r="AH1103" s="790"/>
      <c r="AI1103" s="790"/>
      <c r="AJ1103" s="790"/>
      <c r="AK1103" s="790"/>
      <c r="AL1103" s="311" t="str">
        <f t="shared" si="316"/>
        <v>vpa703_5_1_4_c</v>
      </c>
      <c r="AM1103" s="311">
        <f>M1103</f>
        <v>0</v>
      </c>
      <c r="AN1103" s="790"/>
      <c r="AO1103" s="790"/>
      <c r="AP1103" s="790"/>
      <c r="AQ1103" s="790"/>
      <c r="AR1103" s="790"/>
      <c r="AS1103" s="790"/>
      <c r="AT1103" s="790"/>
      <c r="AU1103" s="790"/>
      <c r="AV1103" s="790"/>
      <c r="AW1103" s="790"/>
      <c r="AX1103" s="790"/>
      <c r="AY1103" s="790"/>
      <c r="AZ1103" s="790"/>
      <c r="BA1103" s="790"/>
      <c r="BB1103" s="790"/>
      <c r="BC1103" s="790"/>
      <c r="BD1103" s="790"/>
      <c r="BE1103" s="790"/>
      <c r="BF1103" s="790"/>
      <c r="BG1103" s="790"/>
      <c r="BH1103" s="790"/>
      <c r="BI1103" s="790"/>
      <c r="BJ1103" s="1184" t="s">
        <v>4763</v>
      </c>
    </row>
    <row r="1104" spans="1:62" x14ac:dyDescent="0.3">
      <c r="A1104" s="1200">
        <v>7</v>
      </c>
      <c r="B1104" s="1210" t="s">
        <v>1125</v>
      </c>
      <c r="C1104" s="1215"/>
      <c r="D1104" s="1203"/>
      <c r="E1104" s="1203"/>
      <c r="F1104" s="1203"/>
      <c r="G1104" s="1202" t="str">
        <f ca="1">IF(N1104&gt;0,"P","")</f>
        <v/>
      </c>
      <c r="H1104" s="1200" t="s">
        <v>4386</v>
      </c>
      <c r="I1104" s="606" t="s">
        <v>1125</v>
      </c>
      <c r="J1104" s="812"/>
      <c r="K1104" s="812"/>
      <c r="L1104" s="1390" t="s">
        <v>1126</v>
      </c>
      <c r="M1104" s="1419">
        <f>IFERROR(INDEX({23,17,9,7,5,4,2,2},BF779),0)</f>
        <v>0</v>
      </c>
      <c r="N1104" s="1308">
        <f ca="1">'Ch7'!O341</f>
        <v>0</v>
      </c>
      <c r="O1104" s="1308">
        <f ca="1">M1104*S1104*W1104</f>
        <v>0</v>
      </c>
      <c r="P1104" s="97" t="b">
        <v>1</v>
      </c>
      <c r="Q1104" s="97" t="b">
        <v>1</v>
      </c>
      <c r="R1104" s="97" t="b">
        <v>0</v>
      </c>
      <c r="S1104" s="97" t="b">
        <f ca="1">(S776=2)</f>
        <v>0</v>
      </c>
      <c r="T1104" s="97" t="b">
        <f ca="1">AND(NOT(S1104),W1104=TRUE)</f>
        <v>0</v>
      </c>
      <c r="U1104" s="97"/>
      <c r="V1104" s="97"/>
      <c r="W1104" s="25"/>
      <c r="X1104" s="1303"/>
      <c r="Y1104" s="1522" t="str">
        <f>IF(LEN('Ch7'!X341)=0,"None",'Ch7'!X341)</f>
        <v>None</v>
      </c>
      <c r="Z1104" s="1586"/>
      <c r="AB1104" s="790"/>
      <c r="AC1104" s="790" t="b">
        <f ca="1">OR(AD1104:AE1104)</f>
        <v>0</v>
      </c>
      <c r="AD1104" s="790" t="b">
        <f ca="1">T1104</f>
        <v>0</v>
      </c>
      <c r="AE1104" s="790" t="b">
        <f>AND(R1104,NOT(W1104))</f>
        <v>0</v>
      </c>
      <c r="AF1104" s="1182" t="b">
        <f>AND(AE1104,NOT(Q1104))</f>
        <v>0</v>
      </c>
      <c r="AG1104" s="790"/>
      <c r="AH1104" s="790"/>
      <c r="AI1104" s="790"/>
      <c r="AJ1104" s="790"/>
      <c r="AK1104" s="790"/>
      <c r="AL1104" s="311" t="str">
        <f t="shared" si="316"/>
        <v>vpa703_5_2</v>
      </c>
      <c r="AM1104" s="311">
        <f>M1104</f>
        <v>0</v>
      </c>
      <c r="AN1104" s="311" t="str">
        <f>SUBSTITUTE(SUBSTITUTE(SUBSTITUTE("vpc"&amp;$B1104&amp;$C1104&amp;$D1104&amp;$E1104&amp;$F1104,".","_"),"(","_"),")","")</f>
        <v>vpc703_5_2</v>
      </c>
      <c r="AO1104" s="311">
        <f ca="1">O1104</f>
        <v>0</v>
      </c>
      <c r="AP1104" s="311" t="str">
        <f>SUBSTITUTE(SUBSTITUTE(SUBSTITUTE("vch"&amp;$B1104&amp;$C1104&amp;$D1104&amp;$E1104&amp;$F1104,".","_"),"(","_"),")","")</f>
        <v>vch703_5_2</v>
      </c>
      <c r="AQ1104" s="311">
        <f>W1104</f>
        <v>0</v>
      </c>
      <c r="AR1104" s="311" t="str">
        <f>SUBSTITUTE(SUBSTITUTE(SUBSTITUTE("vnt"&amp;$B1104&amp;$C1104&amp;$D1104&amp;$E1104&amp;$F1104,".","_"),"(","_"),")","")</f>
        <v>vnt703_5_2</v>
      </c>
      <c r="AS1104" s="311">
        <f>X1104</f>
        <v>0</v>
      </c>
      <c r="AT1104" s="790"/>
      <c r="AU1104" s="790"/>
      <c r="AV1104" s="790"/>
      <c r="AW1104" s="790"/>
      <c r="AX1104" s="790"/>
      <c r="AY1104" s="790"/>
      <c r="AZ1104" s="790"/>
      <c r="BA1104" s="790"/>
      <c r="BB1104" s="790"/>
      <c r="BC1104" s="790"/>
      <c r="BD1104" s="790"/>
      <c r="BE1104" s="790"/>
      <c r="BF1104" s="790"/>
      <c r="BG1104" s="790"/>
      <c r="BH1104" s="790"/>
      <c r="BI1104" s="790"/>
      <c r="BJ1104" s="1184" t="s">
        <v>4763</v>
      </c>
    </row>
    <row r="1105" spans="1:62" x14ac:dyDescent="0.3">
      <c r="A1105" s="1200">
        <v>7</v>
      </c>
      <c r="B1105" s="1210" t="s">
        <v>1125</v>
      </c>
      <c r="C1105" s="1215"/>
      <c r="D1105" s="1203"/>
      <c r="E1105" s="1203"/>
      <c r="F1105" s="1203"/>
      <c r="G1105" s="1202" t="str">
        <f t="shared" ref="G1105" ca="1" si="317">G1104</f>
        <v/>
      </c>
      <c r="H1105" s="1200" t="s">
        <v>4386</v>
      </c>
      <c r="I1105" s="631"/>
      <c r="J1105" s="813"/>
      <c r="K1105" s="813"/>
      <c r="L1105" s="1391"/>
      <c r="M1105" s="1420"/>
      <c r="N1105" s="1309"/>
      <c r="O1105" s="1309"/>
      <c r="P1105" s="196"/>
      <c r="Q1105" s="196"/>
      <c r="R1105" s="196"/>
      <c r="S1105" s="196"/>
      <c r="T1105" s="196"/>
      <c r="U1105" s="196"/>
      <c r="V1105" s="196"/>
      <c r="W1105" s="636"/>
      <c r="X1105" s="1303"/>
      <c r="Y1105" s="1522"/>
      <c r="Z1105" s="1586"/>
      <c r="AB1105" s="790"/>
      <c r="AC1105" s="790"/>
      <c r="AD1105" s="790"/>
      <c r="AE1105" s="790"/>
      <c r="AF1105" s="790"/>
      <c r="AG1105" s="790"/>
      <c r="AH1105" s="790"/>
      <c r="AI1105" s="790"/>
      <c r="AJ1105" s="790"/>
      <c r="AK1105" s="790"/>
      <c r="AL1105" s="790"/>
      <c r="AM1105" s="790"/>
      <c r="AN1105" s="790"/>
      <c r="AO1105" s="790"/>
      <c r="AP1105" s="790"/>
      <c r="AQ1105" s="790"/>
      <c r="AR1105" s="790"/>
      <c r="AS1105" s="790"/>
      <c r="AT1105" s="790"/>
      <c r="AU1105" s="790"/>
      <c r="AV1105" s="790"/>
      <c r="AW1105" s="790"/>
      <c r="AX1105" s="790"/>
      <c r="AY1105" s="790"/>
      <c r="AZ1105" s="790"/>
      <c r="BA1105" s="790"/>
      <c r="BB1105" s="790"/>
      <c r="BC1105" s="790"/>
      <c r="BD1105" s="790"/>
      <c r="BE1105" s="790"/>
      <c r="BF1105" s="790"/>
      <c r="BG1105" s="790"/>
      <c r="BH1105" s="790"/>
      <c r="BI1105" s="790"/>
      <c r="BJ1105" s="1184" t="s">
        <v>4763</v>
      </c>
    </row>
    <row r="1106" spans="1:62" x14ac:dyDescent="0.3">
      <c r="A1106" s="1200">
        <v>7</v>
      </c>
      <c r="B1106" s="1210" t="s">
        <v>1127</v>
      </c>
      <c r="C1106" s="1215"/>
      <c r="D1106" s="1203"/>
      <c r="E1106" s="1203"/>
      <c r="F1106" s="1203"/>
      <c r="G1106" s="1202" t="str">
        <f ca="1">IF(N1106&gt;0,"P","")</f>
        <v/>
      </c>
      <c r="H1106" s="1200" t="s">
        <v>4386</v>
      </c>
      <c r="I1106" s="68" t="s">
        <v>1127</v>
      </c>
      <c r="J1106" s="819"/>
      <c r="K1106" s="819"/>
      <c r="L1106" s="829" t="s">
        <v>1128</v>
      </c>
      <c r="M1106" s="526">
        <v>2</v>
      </c>
      <c r="N1106" s="850">
        <f ca="1">'Ch7'!O343</f>
        <v>0</v>
      </c>
      <c r="O1106" s="802">
        <f ca="1">M1106*S1106*W1106</f>
        <v>0</v>
      </c>
      <c r="P1106" s="97" t="b">
        <v>1</v>
      </c>
      <c r="Q1106" s="97" t="b">
        <v>1</v>
      </c>
      <c r="R1106" s="790" t="b">
        <v>0</v>
      </c>
      <c r="S1106" s="790" t="b">
        <f ca="1">(S776=2)</f>
        <v>0</v>
      </c>
      <c r="T1106" s="97" t="b">
        <f ca="1">AND(NOT(S1106),W1106=TRUE)</f>
        <v>0</v>
      </c>
      <c r="U1106" s="790"/>
      <c r="V1106" s="790"/>
      <c r="W1106" s="25"/>
      <c r="X1106" s="1303"/>
      <c r="Y1106" s="1522" t="str">
        <f>IF(LEN('Ch7'!X343)=0,"None",'Ch7'!X343)</f>
        <v>None</v>
      </c>
      <c r="Z1106" s="1586"/>
      <c r="AB1106" s="790"/>
      <c r="AC1106" s="790" t="b">
        <f ca="1">OR(AD1106:AE1106)</f>
        <v>0</v>
      </c>
      <c r="AD1106" s="790" t="b">
        <f ca="1">T1106</f>
        <v>0</v>
      </c>
      <c r="AE1106" s="790" t="b">
        <f>AND(R1106,NOT(W1106))</f>
        <v>0</v>
      </c>
      <c r="AF1106" s="1182" t="b">
        <f>AND(AE1106,NOT(Q1106))</f>
        <v>0</v>
      </c>
      <c r="AG1106" s="790"/>
      <c r="AH1106" s="790"/>
      <c r="AI1106" s="790"/>
      <c r="AJ1106" s="790"/>
      <c r="AK1106" s="790"/>
      <c r="AL1106" s="311" t="str">
        <f t="shared" ref="AL1106" si="318">SUBSTITUTE(SUBSTITUTE(SUBSTITUTE("vpa"&amp;$B1106&amp;$C1106&amp;$D1106&amp;$E1106&amp;$F1106,".","_"),"(","_"),")","")</f>
        <v>vpa703_5_3</v>
      </c>
      <c r="AM1106" s="311">
        <f>M1106</f>
        <v>2</v>
      </c>
      <c r="AN1106" s="311" t="str">
        <f>SUBSTITUTE(SUBSTITUTE(SUBSTITUTE("vpc"&amp;$B1106&amp;$C1106&amp;$D1106&amp;$E1106&amp;$F1106,".","_"),"(","_"),")","")</f>
        <v>vpc703_5_3</v>
      </c>
      <c r="AO1106" s="311">
        <f ca="1">O1106</f>
        <v>0</v>
      </c>
      <c r="AP1106" s="311" t="str">
        <f>SUBSTITUTE(SUBSTITUTE(SUBSTITUTE("vch"&amp;$B1106&amp;$C1106&amp;$D1106&amp;$E1106&amp;$F1106,".","_"),"(","_"),")","")</f>
        <v>vch703_5_3</v>
      </c>
      <c r="AQ1106" s="311">
        <f>W1106</f>
        <v>0</v>
      </c>
      <c r="AR1106" s="311" t="str">
        <f>SUBSTITUTE(SUBSTITUTE(SUBSTITUTE("vnt"&amp;$B1106&amp;$C1106&amp;$D1106&amp;$E1106&amp;$F1106,".","_"),"(","_"),")","")</f>
        <v>vnt703_5_3</v>
      </c>
      <c r="AS1106" s="311">
        <f>X1106</f>
        <v>0</v>
      </c>
      <c r="AT1106" s="790"/>
      <c r="AU1106" s="790"/>
      <c r="AV1106" s="790"/>
      <c r="AW1106" s="790"/>
      <c r="AX1106" s="790"/>
      <c r="AY1106" s="790"/>
      <c r="AZ1106" s="790"/>
      <c r="BA1106" s="790"/>
      <c r="BB1106" s="790"/>
      <c r="BC1106" s="790"/>
      <c r="BD1106" s="790"/>
      <c r="BE1106" s="790"/>
      <c r="BF1106" s="790"/>
      <c r="BG1106" s="790"/>
      <c r="BH1106" s="790"/>
      <c r="BI1106" s="790"/>
      <c r="BJ1106" s="1184" t="s">
        <v>4763</v>
      </c>
    </row>
    <row r="1107" spans="1:62" x14ac:dyDescent="0.3">
      <c r="A1107" s="1200">
        <v>7</v>
      </c>
      <c r="B1107" s="1210" t="s">
        <v>1127</v>
      </c>
      <c r="C1107" s="1215"/>
      <c r="D1107" s="1203"/>
      <c r="E1107" s="1203"/>
      <c r="F1107" s="1203"/>
      <c r="G1107" s="1202" t="str">
        <f t="shared" ref="G1107" ca="1" si="319">G1106</f>
        <v/>
      </c>
      <c r="H1107" s="1200" t="s">
        <v>4386</v>
      </c>
      <c r="I1107" s="196"/>
      <c r="J1107" s="813"/>
      <c r="K1107" s="813"/>
      <c r="L1107" s="834" t="s">
        <v>1101</v>
      </c>
      <c r="M1107" s="796"/>
      <c r="N1107" s="855"/>
      <c r="O1107" s="804"/>
      <c r="P1107" s="1081"/>
      <c r="Q1107" s="1081"/>
      <c r="R1107" s="790"/>
      <c r="S1107" s="790"/>
      <c r="T1107" s="790"/>
      <c r="U1107" s="790"/>
      <c r="V1107" s="790"/>
      <c r="W1107" s="790"/>
      <c r="X1107" s="1303"/>
      <c r="Y1107" s="1522"/>
      <c r="Z1107" s="1586"/>
      <c r="AB1107" s="790"/>
      <c r="AC1107" s="790"/>
      <c r="AD1107" s="790"/>
      <c r="AE1107" s="790"/>
      <c r="AF1107" s="790"/>
      <c r="AG1107" s="790"/>
      <c r="AH1107" s="790"/>
      <c r="AI1107" s="790"/>
      <c r="AJ1107" s="790"/>
      <c r="AK1107" s="790"/>
      <c r="AL1107" s="790"/>
      <c r="AM1107" s="790"/>
      <c r="AN1107" s="790"/>
      <c r="AO1107" s="790"/>
      <c r="AP1107" s="790"/>
      <c r="AQ1107" s="790"/>
      <c r="AR1107" s="790"/>
      <c r="AS1107" s="790"/>
      <c r="AT1107" s="790"/>
      <c r="AU1107" s="790"/>
      <c r="AV1107" s="790"/>
      <c r="AW1107" s="790"/>
      <c r="AX1107" s="790"/>
      <c r="AY1107" s="790"/>
      <c r="AZ1107" s="790"/>
      <c r="BA1107" s="790"/>
      <c r="BB1107" s="790"/>
      <c r="BC1107" s="790"/>
      <c r="BD1107" s="790"/>
      <c r="BE1107" s="790"/>
      <c r="BF1107" s="790"/>
      <c r="BG1107" s="790"/>
      <c r="BH1107" s="790"/>
      <c r="BI1107" s="790"/>
      <c r="BJ1107" s="1184" t="s">
        <v>4763</v>
      </c>
    </row>
    <row r="1108" spans="1:62" ht="15" customHeight="1" x14ac:dyDescent="0.3">
      <c r="A1108" s="1200">
        <v>7</v>
      </c>
      <c r="B1108" s="1210" t="s">
        <v>3886</v>
      </c>
      <c r="C1108" s="1215"/>
      <c r="D1108" s="1203"/>
      <c r="E1108" s="1203"/>
      <c r="F1108" s="1203"/>
      <c r="G1108" s="1202" t="str">
        <f ca="1">IF(N1108&gt;0,"P","")</f>
        <v/>
      </c>
      <c r="H1108" s="1200" t="s">
        <v>4386</v>
      </c>
      <c r="I1108" s="631" t="s">
        <v>3886</v>
      </c>
      <c r="J1108" s="813"/>
      <c r="K1108" s="813"/>
      <c r="L1108" s="831" t="s">
        <v>1129</v>
      </c>
      <c r="M1108" s="825">
        <v>1</v>
      </c>
      <c r="N1108" s="855">
        <f ca="1">'Ch7'!O345</f>
        <v>0</v>
      </c>
      <c r="O1108" s="804">
        <f ca="1">M1108*S1108*W1108</f>
        <v>0</v>
      </c>
      <c r="P1108" s="97" t="b">
        <v>1</v>
      </c>
      <c r="Q1108" s="97" t="b">
        <v>1</v>
      </c>
      <c r="R1108" s="196" t="b">
        <v>0</v>
      </c>
      <c r="S1108" s="196" t="b">
        <f ca="1">AND(S776=2,OR(AY795=INDEX(ddHeat1,2),AY796=INDEX(ddHeat2,2),AY797=INDEX(ddHeat3,2)))</f>
        <v>0</v>
      </c>
      <c r="T1108" s="196" t="b">
        <f ca="1">AND(NOT(S1108),W1108=TRUE)</f>
        <v>0</v>
      </c>
      <c r="U1108" s="196"/>
      <c r="V1108" s="196"/>
      <c r="W1108" s="25"/>
      <c r="X1108" s="809"/>
      <c r="Y1108" s="841" t="str">
        <f>IF(LEN('Ch7'!X345)=0,"None",'Ch7'!X345)</f>
        <v>None</v>
      </c>
      <c r="Z1108" s="1169"/>
      <c r="AB1108" s="790"/>
      <c r="AC1108" s="790" t="b">
        <f ca="1">OR(AD1108:AE1108)</f>
        <v>0</v>
      </c>
      <c r="AD1108" s="790" t="b">
        <f ca="1">T1108</f>
        <v>0</v>
      </c>
      <c r="AE1108" s="790" t="b">
        <f>AND(R1108,NOT(W1108))</f>
        <v>0</v>
      </c>
      <c r="AF1108" s="1182" t="b">
        <f>AND(AE1108,NOT(Q1108))</f>
        <v>0</v>
      </c>
      <c r="AG1108" s="790"/>
      <c r="AH1108" s="790"/>
      <c r="AI1108" s="790"/>
      <c r="AJ1108" s="790"/>
      <c r="AK1108" s="790"/>
      <c r="AL1108" s="311" t="str">
        <f t="shared" ref="AL1108" si="320">SUBSTITUTE(SUBSTITUTE(SUBSTITUTE("vpa"&amp;$B1108&amp;$C1108&amp;$D1108&amp;$E1108&amp;$F1108,".","_"),"(","_"),")","")</f>
        <v>vpa703_5_4</v>
      </c>
      <c r="AM1108" s="311">
        <f>M1108</f>
        <v>1</v>
      </c>
      <c r="AN1108" s="311" t="str">
        <f t="shared" ref="AN1108:AN1109" si="321">SUBSTITUTE(SUBSTITUTE(SUBSTITUTE("vpc"&amp;$B1108&amp;$C1108&amp;$D1108&amp;$E1108&amp;$F1108,".","_"),"(","_"),")","")</f>
        <v>vpc703_5_4</v>
      </c>
      <c r="AO1108" s="311">
        <f ca="1">O1108</f>
        <v>0</v>
      </c>
      <c r="AP1108" s="311" t="str">
        <f>SUBSTITUTE(SUBSTITUTE(SUBSTITUTE("vch"&amp;$B1108&amp;$C1108&amp;$D1108&amp;$E1108&amp;$F1108,".","_"),"(","_"),")","")</f>
        <v>vch703_5_4</v>
      </c>
      <c r="AQ1108" s="311">
        <f>W1108</f>
        <v>0</v>
      </c>
      <c r="AR1108" s="311" t="str">
        <f t="shared" ref="AR1108:AR1109" si="322">SUBSTITUTE(SUBSTITUTE(SUBSTITUTE("vnt"&amp;$B1108&amp;$C1108&amp;$D1108&amp;$E1108&amp;$F1108,".","_"),"(","_"),")","")</f>
        <v>vnt703_5_4</v>
      </c>
      <c r="AS1108" s="311">
        <f>X1108</f>
        <v>0</v>
      </c>
      <c r="AT1108" s="790"/>
      <c r="AU1108" s="790"/>
      <c r="AV1108" s="790"/>
      <c r="AW1108" s="790"/>
      <c r="AX1108" s="790"/>
      <c r="AY1108" s="790"/>
      <c r="AZ1108" s="790"/>
      <c r="BA1108" s="790"/>
      <c r="BB1108" s="790"/>
      <c r="BC1108" s="790"/>
      <c r="BD1108" s="790"/>
      <c r="BE1108" s="790"/>
      <c r="BF1108" s="790"/>
      <c r="BG1108" s="790"/>
      <c r="BH1108" s="790"/>
      <c r="BI1108" s="790"/>
      <c r="BJ1108" s="1184" t="s">
        <v>4763</v>
      </c>
    </row>
    <row r="1109" spans="1:62" x14ac:dyDescent="0.3">
      <c r="A1109" s="1200">
        <v>7</v>
      </c>
      <c r="B1109" s="1210" t="s">
        <v>1130</v>
      </c>
      <c r="C1109" s="1215"/>
      <c r="D1109" s="1203"/>
      <c r="E1109" s="1203"/>
      <c r="F1109" s="1203"/>
      <c r="G1109" s="1202" t="str">
        <f ca="1">IF(N1109&gt;0,"P","")</f>
        <v/>
      </c>
      <c r="H1109" s="1200" t="s">
        <v>4386</v>
      </c>
      <c r="I1109" s="630" t="s">
        <v>1130</v>
      </c>
      <c r="J1109" s="823"/>
      <c r="K1109" s="823"/>
      <c r="L1109" s="1364" t="s">
        <v>4106</v>
      </c>
      <c r="M1109" s="811"/>
      <c r="N1109" s="1324">
        <f ca="1">'Ch7'!O346</f>
        <v>0</v>
      </c>
      <c r="O1109" s="1324">
        <f ca="1">IFERROR(INDEX(M1112:M1116,MATCH(W1110,{1.3,1.51,1.81,2.31,3.01},1)),0)*S1110</f>
        <v>0</v>
      </c>
      <c r="P1109" s="218"/>
      <c r="Q1109" s="218"/>
      <c r="R1109" s="218"/>
      <c r="S1109" s="218"/>
      <c r="T1109" s="218"/>
      <c r="U1109" s="218"/>
      <c r="V1109" s="218"/>
      <c r="W1109" s="218" t="s">
        <v>3885</v>
      </c>
      <c r="X1109" s="1295"/>
      <c r="Y1109" s="1523" t="str">
        <f>IF(LEN('Ch7'!X346)=0,"None",'Ch7'!X346)</f>
        <v>None</v>
      </c>
      <c r="Z1109" s="1583"/>
      <c r="AB1109" s="790"/>
      <c r="AC1109" s="790"/>
      <c r="AD1109" s="790"/>
      <c r="AE1109" s="790"/>
      <c r="AF1109" s="790"/>
      <c r="AG1109" s="790"/>
      <c r="AH1109" s="790"/>
      <c r="AI1109" s="790"/>
      <c r="AJ1109" s="790"/>
      <c r="AK1109" s="790"/>
      <c r="AL1109" s="790"/>
      <c r="AM1109" s="790"/>
      <c r="AN1109" s="311" t="str">
        <f t="shared" si="321"/>
        <v>vpc703_5_5</v>
      </c>
      <c r="AO1109" s="311">
        <f ca="1">O1109</f>
        <v>0</v>
      </c>
      <c r="AP1109" s="790"/>
      <c r="AQ1109" s="790"/>
      <c r="AR1109" s="311" t="str">
        <f t="shared" si="322"/>
        <v>vnt703_5_5</v>
      </c>
      <c r="AS1109" s="311">
        <f>X1109</f>
        <v>0</v>
      </c>
      <c r="AT1109" s="790"/>
      <c r="AU1109" s="790"/>
      <c r="AV1109" s="790"/>
      <c r="AW1109" s="790"/>
      <c r="AX1109" s="790"/>
      <c r="AY1109" s="790"/>
      <c r="AZ1109" s="790"/>
      <c r="BA1109" s="790"/>
      <c r="BB1109" s="790"/>
      <c r="BC1109" s="790"/>
      <c r="BD1109" s="790"/>
      <c r="BE1109" s="790"/>
      <c r="BF1109" s="790"/>
      <c r="BG1109" s="790"/>
      <c r="BH1109" s="790"/>
      <c r="BI1109" s="790"/>
      <c r="BJ1109" s="1184" t="s">
        <v>4763</v>
      </c>
    </row>
    <row r="1110" spans="1:62" x14ac:dyDescent="0.3">
      <c r="A1110" s="1200">
        <v>7</v>
      </c>
      <c r="B1110" s="1210" t="s">
        <v>1130</v>
      </c>
      <c r="C1110" s="1215"/>
      <c r="D1110" s="1203"/>
      <c r="E1110" s="1203"/>
      <c r="F1110" s="1203"/>
      <c r="G1110" s="1202" t="str">
        <f t="shared" ref="G1110:G1116" ca="1" si="323">G1109</f>
        <v/>
      </c>
      <c r="H1110" s="1200" t="s">
        <v>4386</v>
      </c>
      <c r="I1110" s="140"/>
      <c r="J1110" s="812"/>
      <c r="K1110" s="812"/>
      <c r="L1110" s="1313"/>
      <c r="M1110" s="795"/>
      <c r="N1110" s="1308"/>
      <c r="O1110" s="1308"/>
      <c r="P1110" s="97" t="b">
        <v>1</v>
      </c>
      <c r="Q1110" s="97" t="b">
        <v>1</v>
      </c>
      <c r="R1110" s="97" t="b">
        <v>0</v>
      </c>
      <c r="S1110" s="97" t="b">
        <f ca="1">AND(S776=2,LEN(W1087)=0,LEN(W1089)=0)</f>
        <v>0</v>
      </c>
      <c r="T1110" s="97" t="b">
        <f ca="1">AND(NOT(S1110),LEN(W1110)&gt;0)</f>
        <v>0</v>
      </c>
      <c r="U1110" s="97"/>
      <c r="V1110" s="97"/>
      <c r="W1110" s="478"/>
      <c r="X1110" s="1295"/>
      <c r="Y1110" s="1523"/>
      <c r="Z1110" s="1583"/>
      <c r="AB1110" s="790"/>
      <c r="AC1110" s="790" t="b">
        <f ca="1">OR(AD1110:AE1110)</f>
        <v>0</v>
      </c>
      <c r="AD1110" s="790" t="b">
        <f ca="1">T1110</f>
        <v>0</v>
      </c>
      <c r="AE1110" s="790" t="b">
        <f>AND(R1110,OR(W1110="Not Met",W1110=""))</f>
        <v>0</v>
      </c>
      <c r="AF1110" s="1182" t="b">
        <f>AND(AE1110,NOT(Q1110))</f>
        <v>0</v>
      </c>
      <c r="AG1110" s="790"/>
      <c r="AH1110" s="790"/>
      <c r="AI1110" s="790"/>
      <c r="AJ1110" s="790"/>
      <c r="AK1110" s="790"/>
      <c r="AL1110" s="790"/>
      <c r="AM1110" s="790"/>
      <c r="AN1110" s="790"/>
      <c r="AO1110" s="790"/>
      <c r="AP1110" s="311" t="str">
        <f>SUBSTITUTE(SUBSTITUTE(SUBSTITUTE("vch"&amp;$B1110&amp;$C1110&amp;$D1110&amp;$E1110&amp;$F1110,".","_"),"(","_"),")","")</f>
        <v>vch703_5_5</v>
      </c>
      <c r="AQ1110" s="311">
        <f>W1110</f>
        <v>0</v>
      </c>
      <c r="AR1110" s="790"/>
      <c r="AS1110" s="790"/>
      <c r="AT1110" s="790"/>
      <c r="AU1110" s="790"/>
      <c r="AV1110" s="790"/>
      <c r="AW1110" s="790"/>
      <c r="AX1110" s="790"/>
      <c r="AY1110" s="790"/>
      <c r="AZ1110" s="790"/>
      <c r="BA1110" s="790"/>
      <c r="BB1110" s="790"/>
      <c r="BC1110" s="790"/>
      <c r="BD1110" s="790"/>
      <c r="BE1110" s="790"/>
      <c r="BF1110" s="790"/>
      <c r="BG1110" s="790"/>
      <c r="BH1110" s="790"/>
      <c r="BI1110" s="790"/>
      <c r="BJ1110" s="1184" t="s">
        <v>4763</v>
      </c>
    </row>
    <row r="1111" spans="1:62" x14ac:dyDescent="0.3">
      <c r="A1111" s="1200">
        <v>7</v>
      </c>
      <c r="B1111" s="1210" t="s">
        <v>1130</v>
      </c>
      <c r="C1111" s="1215"/>
      <c r="D1111" s="1203"/>
      <c r="E1111" s="1203"/>
      <c r="F1111" s="1203"/>
      <c r="G1111" s="1202" t="str">
        <f t="shared" ca="1" si="323"/>
        <v/>
      </c>
      <c r="H1111" s="1200" t="s">
        <v>4386</v>
      </c>
      <c r="I1111" s="140"/>
      <c r="J1111" s="812"/>
      <c r="K1111" s="812"/>
      <c r="L1111" s="1313"/>
      <c r="M1111" s="795"/>
      <c r="N1111" s="1308"/>
      <c r="O1111" s="1308"/>
      <c r="P1111" s="97"/>
      <c r="Q1111" s="97"/>
      <c r="R1111" s="97"/>
      <c r="S1111" s="97"/>
      <c r="T1111" s="97"/>
      <c r="U1111" s="97"/>
      <c r="V1111" s="97"/>
      <c r="W1111" s="97"/>
      <c r="X1111" s="1295"/>
      <c r="Y1111" s="1523"/>
      <c r="Z1111" s="1583"/>
      <c r="AB1111" s="790"/>
      <c r="AC1111" s="790"/>
      <c r="AD1111" s="790"/>
      <c r="AE1111" s="790"/>
      <c r="AF1111" s="790"/>
      <c r="AG1111" s="790"/>
      <c r="AH1111" s="790"/>
      <c r="AI1111" s="790"/>
      <c r="AJ1111" s="790"/>
      <c r="AK1111" s="790"/>
      <c r="AL1111" s="790"/>
      <c r="AM1111" s="790"/>
      <c r="AN1111" s="790"/>
      <c r="AO1111" s="790"/>
      <c r="AP1111" s="790"/>
      <c r="AQ1111" s="790"/>
      <c r="AR1111" s="790"/>
      <c r="AS1111" s="790"/>
      <c r="AT1111" s="790"/>
      <c r="AU1111" s="790"/>
      <c r="AV1111" s="790"/>
      <c r="AW1111" s="790"/>
      <c r="AX1111" s="790"/>
      <c r="AY1111" s="790"/>
      <c r="AZ1111" s="790"/>
      <c r="BA1111" s="790"/>
      <c r="BB1111" s="790"/>
      <c r="BC1111" s="790"/>
      <c r="BD1111" s="790"/>
      <c r="BE1111" s="790"/>
      <c r="BF1111" s="790"/>
      <c r="BG1111" s="790"/>
      <c r="BH1111" s="790"/>
      <c r="BI1111" s="790"/>
      <c r="BJ1111" s="1184" t="s">
        <v>4763</v>
      </c>
    </row>
    <row r="1112" spans="1:62" x14ac:dyDescent="0.3">
      <c r="A1112" s="1200">
        <v>7</v>
      </c>
      <c r="B1112" s="1210" t="s">
        <v>1130</v>
      </c>
      <c r="C1112" s="1215"/>
      <c r="D1112" s="1203" t="s">
        <v>271</v>
      </c>
      <c r="E1112" s="1203"/>
      <c r="F1112" s="1203"/>
      <c r="G1112" s="1202" t="str">
        <f t="shared" ca="1" si="323"/>
        <v/>
      </c>
      <c r="H1112" s="1200" t="s">
        <v>4386</v>
      </c>
      <c r="I1112" s="140"/>
      <c r="J1112" s="97"/>
      <c r="K1112" s="812"/>
      <c r="L1112" s="652" t="s">
        <v>3902</v>
      </c>
      <c r="M1112" s="825">
        <f>IFERROR(INDEX({1,2,3,5,7,8,7,7},BF779),0)</f>
        <v>0</v>
      </c>
      <c r="N1112" s="854"/>
      <c r="O1112" s="803"/>
      <c r="P1112" s="97"/>
      <c r="Q1112" s="97"/>
      <c r="R1112" s="97"/>
      <c r="S1112" s="97"/>
      <c r="T1112" s="97"/>
      <c r="U1112" s="97"/>
      <c r="V1112" s="97"/>
      <c r="W1112" s="97"/>
      <c r="X1112" s="1295"/>
      <c r="Y1112" s="1523"/>
      <c r="Z1112" s="1583"/>
      <c r="AB1112" s="790"/>
      <c r="AC1112" s="790"/>
      <c r="AD1112" s="790"/>
      <c r="AE1112" s="790"/>
      <c r="AF1112" s="790"/>
      <c r="AG1112" s="790"/>
      <c r="AH1112" s="790"/>
      <c r="AI1112" s="790"/>
      <c r="AJ1112" s="790"/>
      <c r="AK1112" s="790"/>
      <c r="AL1112" s="311" t="str">
        <f t="shared" ref="AL1112:AL1116" si="324">SUBSTITUTE(SUBSTITUTE(SUBSTITUTE("vpa"&amp;$B1112&amp;$C1112&amp;$D1112&amp;$E1112&amp;$F1112,".","_"),"(","_"),")","")</f>
        <v>vpa703_5_5_1</v>
      </c>
      <c r="AM1112" s="311">
        <f>M1112</f>
        <v>0</v>
      </c>
      <c r="AN1112" s="790"/>
      <c r="AO1112" s="790"/>
      <c r="AP1112" s="790"/>
      <c r="AQ1112" s="790"/>
      <c r="AR1112" s="790"/>
      <c r="AS1112" s="790"/>
      <c r="AT1112" s="790"/>
      <c r="AU1112" s="790"/>
      <c r="AV1112" s="790"/>
      <c r="AW1112" s="790"/>
      <c r="AX1112" s="790"/>
      <c r="AY1112" s="790"/>
      <c r="AZ1112" s="790"/>
      <c r="BA1112" s="790"/>
      <c r="BB1112" s="790"/>
      <c r="BC1112" s="790"/>
      <c r="BD1112" s="790"/>
      <c r="BE1112" s="790"/>
      <c r="BF1112" s="790"/>
      <c r="BG1112" s="790"/>
      <c r="BH1112" s="790"/>
      <c r="BI1112" s="790"/>
      <c r="BJ1112" s="1184" t="s">
        <v>4763</v>
      </c>
    </row>
    <row r="1113" spans="1:62" x14ac:dyDescent="0.3">
      <c r="A1113" s="1200">
        <v>7</v>
      </c>
      <c r="B1113" s="1210" t="s">
        <v>1130</v>
      </c>
      <c r="C1113" s="1215"/>
      <c r="D1113" s="1203" t="s">
        <v>273</v>
      </c>
      <c r="E1113" s="1203"/>
      <c r="F1113" s="1203"/>
      <c r="G1113" s="1202" t="str">
        <f t="shared" ca="1" si="323"/>
        <v/>
      </c>
      <c r="H1113" s="1200" t="s">
        <v>4386</v>
      </c>
      <c r="I1113" s="140"/>
      <c r="J1113" s="97"/>
      <c r="K1113" s="812"/>
      <c r="L1113" s="653" t="s">
        <v>3903</v>
      </c>
      <c r="M1113" s="654">
        <f>IFERROR(INDEX({2,2,4,7,10,11,11,11},BF779),0)</f>
        <v>0</v>
      </c>
      <c r="N1113" s="854"/>
      <c r="O1113" s="803"/>
      <c r="P1113" s="97"/>
      <c r="Q1113" s="97"/>
      <c r="R1113" s="97"/>
      <c r="S1113" s="97"/>
      <c r="T1113" s="97"/>
      <c r="U1113" s="97"/>
      <c r="V1113" s="97"/>
      <c r="W1113" s="97"/>
      <c r="X1113" s="1295"/>
      <c r="Y1113" s="1523"/>
      <c r="Z1113" s="1583"/>
      <c r="AB1113" s="790"/>
      <c r="AC1113" s="790"/>
      <c r="AD1113" s="790"/>
      <c r="AE1113" s="790"/>
      <c r="AF1113" s="790"/>
      <c r="AG1113" s="790"/>
      <c r="AH1113" s="790"/>
      <c r="AI1113" s="790"/>
      <c r="AJ1113" s="790"/>
      <c r="AK1113" s="790"/>
      <c r="AL1113" s="311" t="str">
        <f t="shared" si="324"/>
        <v>vpa703_5_5_2</v>
      </c>
      <c r="AM1113" s="311">
        <f>M1113</f>
        <v>0</v>
      </c>
      <c r="AN1113" s="790"/>
      <c r="AO1113" s="790"/>
      <c r="AP1113" s="790"/>
      <c r="AQ1113" s="790"/>
      <c r="AR1113" s="790"/>
      <c r="AS1113" s="790"/>
      <c r="AT1113" s="790"/>
      <c r="AU1113" s="790"/>
      <c r="AV1113" s="790"/>
      <c r="AW1113" s="790"/>
      <c r="AX1113" s="790"/>
      <c r="AY1113" s="790"/>
      <c r="AZ1113" s="790"/>
      <c r="BA1113" s="790"/>
      <c r="BB1113" s="790"/>
      <c r="BC1113" s="790"/>
      <c r="BD1113" s="790"/>
      <c r="BE1113" s="790"/>
      <c r="BF1113" s="790"/>
      <c r="BG1113" s="790"/>
      <c r="BH1113" s="790"/>
      <c r="BI1113" s="790"/>
      <c r="BJ1113" s="1184" t="s">
        <v>4763</v>
      </c>
    </row>
    <row r="1114" spans="1:62" x14ac:dyDescent="0.3">
      <c r="A1114" s="1200">
        <v>7</v>
      </c>
      <c r="B1114" s="1210" t="s">
        <v>1130</v>
      </c>
      <c r="C1114" s="1215"/>
      <c r="D1114" s="1203" t="s">
        <v>275</v>
      </c>
      <c r="E1114" s="1203"/>
      <c r="F1114" s="1203"/>
      <c r="G1114" s="1202" t="str">
        <f t="shared" ca="1" si="323"/>
        <v/>
      </c>
      <c r="H1114" s="1200" t="s">
        <v>4386</v>
      </c>
      <c r="I1114" s="140"/>
      <c r="J1114" s="97"/>
      <c r="K1114" s="812"/>
      <c r="L1114" s="653" t="s">
        <v>3904</v>
      </c>
      <c r="M1114" s="654">
        <f>IFERROR(INDEX({2,3,6,10,14,16,15,15},BF779),0)</f>
        <v>0</v>
      </c>
      <c r="N1114" s="854"/>
      <c r="O1114" s="803"/>
      <c r="P1114" s="97"/>
      <c r="Q1114" s="97"/>
      <c r="R1114" s="97"/>
      <c r="S1114" s="97"/>
      <c r="T1114" s="97"/>
      <c r="U1114" s="97"/>
      <c r="V1114" s="97"/>
      <c r="W1114" s="97"/>
      <c r="X1114" s="1295"/>
      <c r="Y1114" s="1523"/>
      <c r="Z1114" s="1583"/>
      <c r="AB1114" s="790"/>
      <c r="AC1114" s="790"/>
      <c r="AD1114" s="790"/>
      <c r="AE1114" s="790"/>
      <c r="AF1114" s="790"/>
      <c r="AG1114" s="790"/>
      <c r="AH1114" s="790"/>
      <c r="AI1114" s="790"/>
      <c r="AJ1114" s="790"/>
      <c r="AK1114" s="790"/>
      <c r="AL1114" s="311" t="str">
        <f t="shared" si="324"/>
        <v>vpa703_5_5_3</v>
      </c>
      <c r="AM1114" s="311">
        <f>M1114</f>
        <v>0</v>
      </c>
      <c r="AN1114" s="790"/>
      <c r="AO1114" s="790"/>
      <c r="AP1114" s="790"/>
      <c r="AQ1114" s="790"/>
      <c r="AR1114" s="790"/>
      <c r="AS1114" s="790"/>
      <c r="AT1114" s="790"/>
      <c r="AU1114" s="790"/>
      <c r="AV1114" s="790"/>
      <c r="AW1114" s="790"/>
      <c r="AX1114" s="790"/>
      <c r="AY1114" s="790"/>
      <c r="AZ1114" s="790"/>
      <c r="BA1114" s="790"/>
      <c r="BB1114" s="790"/>
      <c r="BC1114" s="790"/>
      <c r="BD1114" s="790"/>
      <c r="BE1114" s="790"/>
      <c r="BF1114" s="790"/>
      <c r="BG1114" s="790"/>
      <c r="BH1114" s="790"/>
      <c r="BI1114" s="790"/>
      <c r="BJ1114" s="1184" t="s">
        <v>4763</v>
      </c>
    </row>
    <row r="1115" spans="1:62" x14ac:dyDescent="0.3">
      <c r="A1115" s="1200">
        <v>7</v>
      </c>
      <c r="B1115" s="1210" t="s">
        <v>1130</v>
      </c>
      <c r="C1115" s="1215"/>
      <c r="D1115" s="1203" t="s">
        <v>285</v>
      </c>
      <c r="E1115" s="1203"/>
      <c r="F1115" s="1203"/>
      <c r="G1115" s="1202" t="str">
        <f t="shared" ca="1" si="323"/>
        <v/>
      </c>
      <c r="H1115" s="1200" t="s">
        <v>4386</v>
      </c>
      <c r="I1115" s="140"/>
      <c r="J1115" s="97"/>
      <c r="K1115" s="812"/>
      <c r="L1115" s="653" t="s">
        <v>3905</v>
      </c>
      <c r="M1115" s="654">
        <f>IFERROR(INDEX({4,5,9,16,21,23,22,22},BF779),0)</f>
        <v>0</v>
      </c>
      <c r="N1115" s="854"/>
      <c r="O1115" s="803"/>
      <c r="P1115" s="97"/>
      <c r="Q1115" s="97"/>
      <c r="R1115" s="97"/>
      <c r="S1115" s="97"/>
      <c r="T1115" s="97"/>
      <c r="U1115" s="97"/>
      <c r="V1115" s="97"/>
      <c r="W1115" s="97"/>
      <c r="X1115" s="1295"/>
      <c r="Y1115" s="1523"/>
      <c r="Z1115" s="1583"/>
      <c r="AB1115" s="790"/>
      <c r="AC1115" s="790"/>
      <c r="AD1115" s="790"/>
      <c r="AE1115" s="790"/>
      <c r="AF1115" s="790"/>
      <c r="AG1115" s="790"/>
      <c r="AH1115" s="790"/>
      <c r="AI1115" s="790"/>
      <c r="AJ1115" s="790"/>
      <c r="AK1115" s="790"/>
      <c r="AL1115" s="311" t="str">
        <f t="shared" si="324"/>
        <v>vpa703_5_5_4</v>
      </c>
      <c r="AM1115" s="311">
        <f>M1115</f>
        <v>0</v>
      </c>
      <c r="AN1115" s="790"/>
      <c r="AO1115" s="790"/>
      <c r="AP1115" s="790"/>
      <c r="AQ1115" s="790"/>
      <c r="AR1115" s="790"/>
      <c r="AS1115" s="790"/>
      <c r="AT1115" s="790"/>
      <c r="AU1115" s="790"/>
      <c r="AV1115" s="790"/>
      <c r="AW1115" s="790"/>
      <c r="AX1115" s="790"/>
      <c r="AY1115" s="790"/>
      <c r="AZ1115" s="790"/>
      <c r="BA1115" s="790"/>
      <c r="BB1115" s="790"/>
      <c r="BC1115" s="790"/>
      <c r="BD1115" s="790"/>
      <c r="BE1115" s="790"/>
      <c r="BF1115" s="790"/>
      <c r="BG1115" s="790"/>
      <c r="BH1115" s="790"/>
      <c r="BI1115" s="790"/>
      <c r="BJ1115" s="1184" t="s">
        <v>4763</v>
      </c>
    </row>
    <row r="1116" spans="1:62" ht="15" thickBot="1" x14ac:dyDescent="0.35">
      <c r="A1116" s="1200">
        <v>7</v>
      </c>
      <c r="B1116" s="1210" t="s">
        <v>1130</v>
      </c>
      <c r="C1116" s="1215"/>
      <c r="D1116" s="1203" t="s">
        <v>291</v>
      </c>
      <c r="E1116" s="1203"/>
      <c r="F1116" s="1203"/>
      <c r="G1116" s="1202" t="str">
        <f t="shared" ca="1" si="323"/>
        <v/>
      </c>
      <c r="H1116" s="1200" t="s">
        <v>4386</v>
      </c>
      <c r="I1116" s="270"/>
      <c r="J1116" s="104"/>
      <c r="K1116" s="824"/>
      <c r="L1116" s="641" t="s">
        <v>3906</v>
      </c>
      <c r="M1116" s="642">
        <f>IFERROR(INDEX({6,8,12,23,30,34,33,33},BF779),0)</f>
        <v>0</v>
      </c>
      <c r="N1116" s="858"/>
      <c r="O1116" s="801"/>
      <c r="P1116" s="104"/>
      <c r="Q1116" s="104"/>
      <c r="R1116" s="104"/>
      <c r="S1116" s="104"/>
      <c r="T1116" s="104"/>
      <c r="U1116" s="104"/>
      <c r="V1116" s="104"/>
      <c r="W1116" s="104"/>
      <c r="X1116" s="1296"/>
      <c r="Y1116" s="1524"/>
      <c r="Z1116" s="1584"/>
      <c r="AB1116" s="790"/>
      <c r="AC1116" s="790"/>
      <c r="AD1116" s="790"/>
      <c r="AE1116" s="790"/>
      <c r="AF1116" s="790"/>
      <c r="AG1116" s="790"/>
      <c r="AH1116" s="790"/>
      <c r="AI1116" s="790"/>
      <c r="AJ1116" s="790"/>
      <c r="AK1116" s="790"/>
      <c r="AL1116" s="311" t="str">
        <f t="shared" si="324"/>
        <v>vpa703_5_5_5</v>
      </c>
      <c r="AM1116" s="311">
        <f>M1116</f>
        <v>0</v>
      </c>
      <c r="AN1116" s="790"/>
      <c r="AO1116" s="790"/>
      <c r="AP1116" s="790"/>
      <c r="AQ1116" s="790"/>
      <c r="AR1116" s="790"/>
      <c r="AS1116" s="790"/>
      <c r="AT1116" s="790"/>
      <c r="AU1116" s="790"/>
      <c r="AV1116" s="790"/>
      <c r="AW1116" s="790"/>
      <c r="AX1116" s="790"/>
      <c r="AY1116" s="790"/>
      <c r="AZ1116" s="790"/>
      <c r="BA1116" s="790"/>
      <c r="BB1116" s="790"/>
      <c r="BC1116" s="790"/>
      <c r="BD1116" s="790"/>
      <c r="BE1116" s="790"/>
      <c r="BF1116" s="790"/>
      <c r="BG1116" s="790"/>
      <c r="BH1116" s="790"/>
      <c r="BI1116" s="790"/>
      <c r="BJ1116" s="1184" t="s">
        <v>4763</v>
      </c>
    </row>
    <row r="1117" spans="1:62" ht="15" thickTop="1" x14ac:dyDescent="0.3">
      <c r="A1117" s="1200">
        <v>7</v>
      </c>
      <c r="B1117" s="1210">
        <v>703.6</v>
      </c>
      <c r="C1117" s="1215"/>
      <c r="D1117" s="1203"/>
      <c r="E1117" s="1203"/>
      <c r="F1117" s="1203"/>
      <c r="G1117" s="1196" t="str">
        <f ca="1">IF(COUNTIF(G1120:G1129,"P")&gt;0,"P","")</f>
        <v/>
      </c>
      <c r="H1117" s="1200" t="s">
        <v>4388</v>
      </c>
      <c r="I1117" s="66">
        <v>703.6</v>
      </c>
      <c r="J1117" s="819"/>
      <c r="K1117" s="819"/>
      <c r="L1117" s="829" t="s">
        <v>1131</v>
      </c>
      <c r="M1117" s="799"/>
      <c r="N1117" s="850"/>
      <c r="O1117" s="802"/>
      <c r="P1117" s="1081"/>
      <c r="Q1117" s="1081"/>
      <c r="R1117" s="790"/>
      <c r="S1117" s="790"/>
      <c r="T1117" s="790"/>
      <c r="U1117" s="790"/>
      <c r="V1117" s="790"/>
      <c r="W1117" s="790"/>
      <c r="X1117" s="790"/>
      <c r="Y1117" s="790"/>
      <c r="Z1117" s="1055"/>
      <c r="AB1117" s="790"/>
      <c r="AC1117" s="790"/>
      <c r="AD1117" s="790"/>
      <c r="AE1117" s="790"/>
      <c r="AF1117" s="790"/>
      <c r="AG1117" s="790"/>
      <c r="AH1117" s="790"/>
      <c r="AI1117" s="790"/>
      <c r="AJ1117" s="790"/>
      <c r="AK1117" s="790"/>
      <c r="AL1117" s="790"/>
      <c r="AM1117" s="790"/>
      <c r="AN1117" s="790"/>
      <c r="AO1117" s="790"/>
      <c r="AP1117" s="790"/>
      <c r="AQ1117" s="790"/>
      <c r="AR1117" s="790"/>
      <c r="AS1117" s="790"/>
      <c r="AT1117" s="790"/>
      <c r="AU1117" s="790"/>
      <c r="AV1117" s="790"/>
      <c r="AW1117" s="790"/>
      <c r="AX1117" s="790"/>
      <c r="AY1117" s="790"/>
      <c r="AZ1117" s="790"/>
      <c r="BA1117" s="790"/>
      <c r="BB1117" s="790"/>
      <c r="BC1117" s="790"/>
      <c r="BD1117" s="790"/>
      <c r="BE1117" s="790"/>
      <c r="BF1117" s="790"/>
      <c r="BG1117" s="790"/>
      <c r="BH1117" s="790"/>
      <c r="BI1117" s="790"/>
      <c r="BJ1117" s="1184" t="s">
        <v>4763</v>
      </c>
    </row>
    <row r="1118" spans="1:62" x14ac:dyDescent="0.3">
      <c r="A1118" s="1200">
        <v>7</v>
      </c>
      <c r="B1118" s="1210" t="s">
        <v>1132</v>
      </c>
      <c r="C1118" s="1215"/>
      <c r="D1118" s="1203"/>
      <c r="E1118" s="1203"/>
      <c r="F1118" s="1203"/>
      <c r="G1118" s="1196" t="str">
        <f ca="1">IF(COUNTIF(G1120:G1124,"P")&gt;0,"P","")</f>
        <v/>
      </c>
      <c r="H1118" s="1200" t="s">
        <v>4388</v>
      </c>
      <c r="I1118" s="66" t="s">
        <v>1132</v>
      </c>
      <c r="J1118" s="819"/>
      <c r="K1118" s="819"/>
      <c r="L1118" s="1389" t="s">
        <v>1133</v>
      </c>
      <c r="M1118" s="799"/>
      <c r="N1118" s="850"/>
      <c r="O1118" s="802"/>
      <c r="P1118" s="1081"/>
      <c r="Q1118" s="1081"/>
      <c r="R1118" s="790"/>
      <c r="S1118" s="790"/>
      <c r="T1118" s="790"/>
      <c r="U1118" s="790"/>
      <c r="V1118" s="790"/>
      <c r="W1118" s="790"/>
      <c r="X1118" s="790"/>
      <c r="Y1118" s="790"/>
      <c r="Z1118" s="1055"/>
      <c r="AB1118" s="790"/>
      <c r="AC1118" s="790"/>
      <c r="AD1118" s="790"/>
      <c r="AE1118" s="790"/>
      <c r="AF1118" s="790"/>
      <c r="AG1118" s="790"/>
      <c r="AH1118" s="790"/>
      <c r="AI1118" s="790"/>
      <c r="AJ1118" s="790"/>
      <c r="AK1118" s="790"/>
      <c r="AL1118" s="790"/>
      <c r="AM1118" s="790"/>
      <c r="AN1118" s="790"/>
      <c r="AO1118" s="790"/>
      <c r="AP1118" s="790"/>
      <c r="AQ1118" s="790"/>
      <c r="AR1118" s="790"/>
      <c r="AS1118" s="790"/>
      <c r="AT1118" s="790"/>
      <c r="AU1118" s="790"/>
      <c r="AV1118" s="790"/>
      <c r="AW1118" s="790"/>
      <c r="AX1118" s="790"/>
      <c r="AY1118" s="790"/>
      <c r="AZ1118" s="790"/>
      <c r="BA1118" s="790"/>
      <c r="BB1118" s="790"/>
      <c r="BC1118" s="790"/>
      <c r="BD1118" s="790"/>
      <c r="BE1118" s="790"/>
      <c r="BF1118" s="790"/>
      <c r="BG1118" s="790"/>
      <c r="BH1118" s="790"/>
      <c r="BI1118" s="790"/>
      <c r="BJ1118" s="1184" t="s">
        <v>4763</v>
      </c>
    </row>
    <row r="1119" spans="1:62" x14ac:dyDescent="0.3">
      <c r="A1119" s="1200">
        <v>7</v>
      </c>
      <c r="B1119" s="1210" t="s">
        <v>1132</v>
      </c>
      <c r="C1119" s="1215"/>
      <c r="D1119" s="1203"/>
      <c r="E1119" s="1203"/>
      <c r="F1119" s="1203"/>
      <c r="G1119" s="1202" t="str">
        <f t="shared" ref="G1119" ca="1" si="325">G1118</f>
        <v/>
      </c>
      <c r="H1119" s="1200" t="s">
        <v>4388</v>
      </c>
      <c r="I1119" s="66"/>
      <c r="J1119" s="819"/>
      <c r="K1119" s="819"/>
      <c r="L1119" s="1389"/>
      <c r="M1119" s="799"/>
      <c r="N1119" s="850"/>
      <c r="O1119" s="802"/>
      <c r="P1119" s="1081"/>
      <c r="Q1119" s="1081"/>
      <c r="R1119" s="790"/>
      <c r="S1119" s="790"/>
      <c r="T1119" s="790"/>
      <c r="U1119" s="790"/>
      <c r="V1119" s="790"/>
      <c r="W1119" s="790"/>
      <c r="X1119" s="790"/>
      <c r="Y1119" s="790"/>
      <c r="Z1119" s="1055"/>
      <c r="AB1119" s="790"/>
      <c r="AC1119" s="790"/>
      <c r="AD1119" s="790"/>
      <c r="AE1119" s="790"/>
      <c r="AF1119" s="790"/>
      <c r="AG1119" s="790"/>
      <c r="AH1119" s="790"/>
      <c r="AI1119" s="790"/>
      <c r="AJ1119" s="790"/>
      <c r="AK1119" s="790"/>
      <c r="AL1119" s="790"/>
      <c r="AM1119" s="790"/>
      <c r="AN1119" s="790"/>
      <c r="AO1119" s="790"/>
      <c r="AP1119" s="790"/>
      <c r="AQ1119" s="790"/>
      <c r="AR1119" s="790"/>
      <c r="AS1119" s="790"/>
      <c r="AT1119" s="790"/>
      <c r="AU1119" s="790"/>
      <c r="AV1119" s="790"/>
      <c r="AW1119" s="790"/>
      <c r="AX1119" s="790"/>
      <c r="AY1119" s="790"/>
      <c r="AZ1119" s="790"/>
      <c r="BA1119" s="790"/>
      <c r="BB1119" s="790"/>
      <c r="BC1119" s="790"/>
      <c r="BD1119" s="790"/>
      <c r="BE1119" s="790"/>
      <c r="BF1119" s="790"/>
      <c r="BG1119" s="790"/>
      <c r="BH1119" s="790"/>
      <c r="BI1119" s="790"/>
      <c r="BJ1119" s="1184" t="s">
        <v>4763</v>
      </c>
    </row>
    <row r="1120" spans="1:62" x14ac:dyDescent="0.3">
      <c r="A1120" s="1200">
        <v>7</v>
      </c>
      <c r="B1120" s="1210" t="s">
        <v>1132</v>
      </c>
      <c r="C1120" s="1215"/>
      <c r="D1120" s="1203" t="s">
        <v>271</v>
      </c>
      <c r="E1120" s="1203"/>
      <c r="F1120" s="1203"/>
      <c r="G1120" s="1202" t="str">
        <f ca="1">IF(N1120&gt;0,"P","")</f>
        <v/>
      </c>
      <c r="H1120" s="1200" t="s">
        <v>4388</v>
      </c>
      <c r="I1120" s="4"/>
      <c r="J1120" s="614" t="s">
        <v>271</v>
      </c>
      <c r="K1120" s="812"/>
      <c r="L1120" s="1374" t="s">
        <v>3883</v>
      </c>
      <c r="M1120" s="1318">
        <f>IFERROR(INDEX({3,3,3,2,2,2,2,2},BF779),0)</f>
        <v>0</v>
      </c>
      <c r="N1120" s="1308">
        <f ca="1">'Ch7'!O357</f>
        <v>0</v>
      </c>
      <c r="O1120" s="1308">
        <f ca="1">M1120*S1120*W1120</f>
        <v>0</v>
      </c>
      <c r="P1120" s="97" t="b">
        <v>0</v>
      </c>
      <c r="Q1120" s="97" t="b">
        <v>1</v>
      </c>
      <c r="R1120" s="790" t="b">
        <v>0</v>
      </c>
      <c r="S1120" s="790" t="b">
        <f ca="1">AND(S776=2,NOT(W1124),NOT(W1122))</f>
        <v>0</v>
      </c>
      <c r="T1120" s="97" t="b">
        <f ca="1">AND(NOT(S1120),W1120=TRUE)</f>
        <v>0</v>
      </c>
      <c r="U1120" s="790"/>
      <c r="V1120" s="790"/>
      <c r="W1120" s="25"/>
      <c r="X1120" s="1303"/>
      <c r="Y1120" s="1522" t="str">
        <f>IF(LEN('Ch7'!X357)=0,"None",'Ch7'!X357)</f>
        <v>None</v>
      </c>
      <c r="Z1120" s="1586"/>
      <c r="AB1120" s="790"/>
      <c r="AC1120" s="790" t="b">
        <f ca="1">OR(AD1120:AE1120)</f>
        <v>0</v>
      </c>
      <c r="AD1120" s="790" t="b">
        <f ca="1">T1120</f>
        <v>0</v>
      </c>
      <c r="AE1120" s="790" t="b">
        <f>AND(R1120,NOT(W1120))</f>
        <v>0</v>
      </c>
      <c r="AF1120" s="1182" t="b">
        <f>AND(AE1120,NOT(Q1120))</f>
        <v>0</v>
      </c>
      <c r="AG1120" s="790"/>
      <c r="AH1120" s="790"/>
      <c r="AI1120" s="790"/>
      <c r="AJ1120" s="790"/>
      <c r="AK1120" s="790"/>
      <c r="AL1120" s="311" t="str">
        <f t="shared" ref="AL1120" si="326">SUBSTITUTE(SUBSTITUTE(SUBSTITUTE("vpa"&amp;$B1120&amp;$C1120&amp;$D1120&amp;$E1120&amp;$F1120,".","_"),"(","_"),")","")</f>
        <v>vpa703_6_1_1</v>
      </c>
      <c r="AM1120" s="311">
        <f>M1120</f>
        <v>0</v>
      </c>
      <c r="AN1120" s="311" t="str">
        <f>SUBSTITUTE(SUBSTITUTE(SUBSTITUTE("vpc"&amp;$B1120&amp;$C1120&amp;$D1120&amp;$E1120&amp;$F1120,".","_"),"(","_"),")","")</f>
        <v>vpc703_6_1_1</v>
      </c>
      <c r="AO1120" s="311">
        <f ca="1">O1120</f>
        <v>0</v>
      </c>
      <c r="AP1120" s="311" t="str">
        <f>SUBSTITUTE(SUBSTITUTE(SUBSTITUTE("vch"&amp;$B1120&amp;$C1120&amp;$D1120&amp;$E1120&amp;$F1120,".","_"),"(","_"),")","")</f>
        <v>vch703_6_1_1</v>
      </c>
      <c r="AQ1120" s="311">
        <f>W1120</f>
        <v>0</v>
      </c>
      <c r="AR1120" s="311" t="str">
        <f>SUBSTITUTE(SUBSTITUTE(SUBSTITUTE("vnt"&amp;$B1120&amp;$C1120&amp;$D1120&amp;$E1120&amp;$F1120,".","_"),"(","_"),")","")</f>
        <v>vnt703_6_1_1</v>
      </c>
      <c r="AS1120" s="311">
        <f>X1120</f>
        <v>0</v>
      </c>
      <c r="AT1120" s="790"/>
      <c r="AU1120" s="790"/>
      <c r="AV1120" s="790"/>
      <c r="AW1120" s="790"/>
      <c r="AX1120" s="790"/>
      <c r="AY1120" s="790"/>
      <c r="AZ1120" s="790"/>
      <c r="BA1120" s="790"/>
      <c r="BB1120" s="790"/>
      <c r="BC1120" s="790"/>
      <c r="BD1120" s="790"/>
      <c r="BE1120" s="790"/>
      <c r="BF1120" s="790"/>
      <c r="BG1120" s="790"/>
      <c r="BH1120" s="790"/>
      <c r="BI1120" s="790"/>
      <c r="BJ1120" s="1184" t="s">
        <v>4763</v>
      </c>
    </row>
    <row r="1121" spans="1:62" x14ac:dyDescent="0.3">
      <c r="A1121" s="1200">
        <v>7</v>
      </c>
      <c r="B1121" s="1210" t="s">
        <v>1132</v>
      </c>
      <c r="C1121" s="1215"/>
      <c r="D1121" s="1203" t="s">
        <v>271</v>
      </c>
      <c r="E1121" s="1203"/>
      <c r="F1121" s="1203"/>
      <c r="G1121" s="1202" t="str">
        <f t="shared" ref="G1121" ca="1" si="327">G1120</f>
        <v/>
      </c>
      <c r="H1121" s="1200" t="s">
        <v>4388</v>
      </c>
      <c r="I1121" s="4"/>
      <c r="J1121" s="626"/>
      <c r="K1121" s="813"/>
      <c r="L1121" s="1392"/>
      <c r="M1121" s="1319"/>
      <c r="N1121" s="1309"/>
      <c r="O1121" s="1309"/>
      <c r="P1121" s="1081"/>
      <c r="Q1121" s="1081"/>
      <c r="R1121" s="790"/>
      <c r="S1121" s="790"/>
      <c r="T1121" s="790"/>
      <c r="U1121" s="790"/>
      <c r="V1121" s="790"/>
      <c r="W1121" s="790"/>
      <c r="X1121" s="1303"/>
      <c r="Y1121" s="1522"/>
      <c r="Z1121" s="1586"/>
      <c r="AB1121" s="790"/>
      <c r="AC1121" s="790"/>
      <c r="AD1121" s="790"/>
      <c r="AE1121" s="790"/>
      <c r="AF1121" s="790"/>
      <c r="AG1121" s="790"/>
      <c r="AH1121" s="790"/>
      <c r="AI1121" s="790"/>
      <c r="AJ1121" s="790"/>
      <c r="AK1121" s="790"/>
      <c r="AL1121" s="790"/>
      <c r="AM1121" s="790"/>
      <c r="AN1121" s="790"/>
      <c r="AO1121" s="790"/>
      <c r="AP1121" s="790"/>
      <c r="AQ1121" s="790"/>
      <c r="AR1121" s="790"/>
      <c r="AS1121" s="790"/>
      <c r="AT1121" s="790"/>
      <c r="AU1121" s="790"/>
      <c r="AV1121" s="790"/>
      <c r="AW1121" s="790"/>
      <c r="AX1121" s="790"/>
      <c r="AY1121" s="790"/>
      <c r="AZ1121" s="790"/>
      <c r="BA1121" s="790"/>
      <c r="BB1121" s="790"/>
      <c r="BC1121" s="790"/>
      <c r="BD1121" s="790"/>
      <c r="BE1121" s="790"/>
      <c r="BF1121" s="790"/>
      <c r="BG1121" s="790"/>
      <c r="BH1121" s="790"/>
      <c r="BI1121" s="790"/>
      <c r="BJ1121" s="1184" t="s">
        <v>4763</v>
      </c>
    </row>
    <row r="1122" spans="1:62" x14ac:dyDescent="0.3">
      <c r="A1122" s="1200">
        <v>7</v>
      </c>
      <c r="B1122" s="1210" t="s">
        <v>1132</v>
      </c>
      <c r="C1122" s="1215"/>
      <c r="D1122" s="1203" t="s">
        <v>273</v>
      </c>
      <c r="E1122" s="1203"/>
      <c r="F1122" s="1203"/>
      <c r="G1122" s="1202" t="str">
        <f ca="1">IF(N1122&gt;0,"P","")</f>
        <v/>
      </c>
      <c r="H1122" s="1200" t="s">
        <v>4388</v>
      </c>
      <c r="I1122" s="4"/>
      <c r="J1122" s="649" t="s">
        <v>273</v>
      </c>
      <c r="K1122" s="823"/>
      <c r="L1122" s="1356" t="s">
        <v>1134</v>
      </c>
      <c r="M1122" s="1323">
        <v>1</v>
      </c>
      <c r="N1122" s="1324">
        <f ca="1">'Ch7'!O359</f>
        <v>0</v>
      </c>
      <c r="O1122" s="1324">
        <f ca="1">M1122*S1122*W1122</f>
        <v>0</v>
      </c>
      <c r="P1122" s="97" t="b">
        <v>0</v>
      </c>
      <c r="Q1122" s="97" t="b">
        <v>1</v>
      </c>
      <c r="R1122" s="790" t="b">
        <v>0</v>
      </c>
      <c r="S1122" s="790" t="b">
        <f ca="1">AND(S776=2,NOT(W1124),NOT(W1120))</f>
        <v>0</v>
      </c>
      <c r="T1122" s="97" t="b">
        <f ca="1">AND(NOT(S1122),W1122=TRUE)</f>
        <v>0</v>
      </c>
      <c r="U1122" s="790"/>
      <c r="V1122" s="790"/>
      <c r="W1122" s="25"/>
      <c r="X1122" s="1303"/>
      <c r="Y1122" s="1522" t="str">
        <f>IF(LEN('Ch7'!X359)=0,"None",'Ch7'!X359)</f>
        <v>None</v>
      </c>
      <c r="Z1122" s="1586"/>
      <c r="AB1122" s="790"/>
      <c r="AC1122" s="790" t="b">
        <f ca="1">OR(AD1122:AE1122)</f>
        <v>0</v>
      </c>
      <c r="AD1122" s="790" t="b">
        <f ca="1">T1122</f>
        <v>0</v>
      </c>
      <c r="AE1122" s="790" t="b">
        <f>AND(R1122,NOT(W1122))</f>
        <v>0</v>
      </c>
      <c r="AF1122" s="1182" t="b">
        <f>AND(AE1122,NOT(Q1122))</f>
        <v>0</v>
      </c>
      <c r="AG1122" s="790"/>
      <c r="AH1122" s="790"/>
      <c r="AI1122" s="790"/>
      <c r="AJ1122" s="790"/>
      <c r="AK1122" s="790"/>
      <c r="AL1122" s="311" t="str">
        <f t="shared" ref="AL1122" si="328">SUBSTITUTE(SUBSTITUTE(SUBSTITUTE("vpa"&amp;$B1122&amp;$C1122&amp;$D1122&amp;$E1122&amp;$F1122,".","_"),"(","_"),")","")</f>
        <v>vpa703_6_1_2</v>
      </c>
      <c r="AM1122" s="311">
        <f>M1122</f>
        <v>1</v>
      </c>
      <c r="AN1122" s="311" t="str">
        <f>SUBSTITUTE(SUBSTITUTE(SUBSTITUTE("vpc"&amp;$B1122&amp;$C1122&amp;$D1122&amp;$E1122&amp;$F1122,".","_"),"(","_"),")","")</f>
        <v>vpc703_6_1_2</v>
      </c>
      <c r="AO1122" s="311">
        <f ca="1">O1122</f>
        <v>0</v>
      </c>
      <c r="AP1122" s="311" t="str">
        <f>SUBSTITUTE(SUBSTITUTE(SUBSTITUTE("vch"&amp;$B1122&amp;$C1122&amp;$D1122&amp;$E1122&amp;$F1122,".","_"),"(","_"),")","")</f>
        <v>vch703_6_1_2</v>
      </c>
      <c r="AQ1122" s="311">
        <f>W1122</f>
        <v>0</v>
      </c>
      <c r="AR1122" s="311" t="str">
        <f>SUBSTITUTE(SUBSTITUTE(SUBSTITUTE("vnt"&amp;$B1122&amp;$C1122&amp;$D1122&amp;$E1122&amp;$F1122,".","_"),"(","_"),")","")</f>
        <v>vnt703_6_1_2</v>
      </c>
      <c r="AS1122" s="311">
        <f>X1122</f>
        <v>0</v>
      </c>
      <c r="AT1122" s="790"/>
      <c r="AU1122" s="790"/>
      <c r="AV1122" s="790"/>
      <c r="AW1122" s="790"/>
      <c r="AX1122" s="790"/>
      <c r="AY1122" s="790"/>
      <c r="AZ1122" s="790"/>
      <c r="BA1122" s="790"/>
      <c r="BB1122" s="790"/>
      <c r="BC1122" s="790"/>
      <c r="BD1122" s="790"/>
      <c r="BE1122" s="790"/>
      <c r="BF1122" s="790"/>
      <c r="BG1122" s="790"/>
      <c r="BH1122" s="790"/>
      <c r="BI1122" s="790"/>
      <c r="BJ1122" s="1184" t="s">
        <v>4763</v>
      </c>
    </row>
    <row r="1123" spans="1:62" x14ac:dyDescent="0.3">
      <c r="A1123" s="1200">
        <v>7</v>
      </c>
      <c r="B1123" s="1210" t="s">
        <v>1132</v>
      </c>
      <c r="C1123" s="1215"/>
      <c r="D1123" s="1203" t="s">
        <v>273</v>
      </c>
      <c r="E1123" s="1203"/>
      <c r="F1123" s="1203"/>
      <c r="G1123" s="1202" t="str">
        <f t="shared" ref="G1123" ca="1" si="329">G1122</f>
        <v/>
      </c>
      <c r="H1123" s="1200" t="s">
        <v>4388</v>
      </c>
      <c r="I1123" s="4"/>
      <c r="J1123" s="813"/>
      <c r="K1123" s="813"/>
      <c r="L1123" s="1306"/>
      <c r="M1123" s="1319"/>
      <c r="N1123" s="1309"/>
      <c r="O1123" s="1309"/>
      <c r="P1123" s="1081"/>
      <c r="Q1123" s="1081"/>
      <c r="R1123" s="790"/>
      <c r="S1123" s="790"/>
      <c r="T1123" s="790"/>
      <c r="U1123" s="790"/>
      <c r="V1123" s="790"/>
      <c r="W1123" s="790"/>
      <c r="X1123" s="1303"/>
      <c r="Y1123" s="1522"/>
      <c r="Z1123" s="1586"/>
      <c r="AB1123" s="790"/>
      <c r="AC1123" s="790"/>
      <c r="AD1123" s="790"/>
      <c r="AE1123" s="790"/>
      <c r="AF1123" s="790"/>
      <c r="AG1123" s="790"/>
      <c r="AH1123" s="790"/>
      <c r="AI1123" s="790"/>
      <c r="AJ1123" s="790"/>
      <c r="AK1123" s="790"/>
      <c r="AL1123" s="790"/>
      <c r="AM1123" s="790"/>
      <c r="AN1123" s="790"/>
      <c r="AO1123" s="790"/>
      <c r="AP1123" s="790"/>
      <c r="AQ1123" s="790"/>
      <c r="AR1123" s="790"/>
      <c r="AS1123" s="790"/>
      <c r="AT1123" s="790"/>
      <c r="AU1123" s="790"/>
      <c r="AV1123" s="790"/>
      <c r="AW1123" s="790"/>
      <c r="AX1123" s="790"/>
      <c r="AY1123" s="790"/>
      <c r="AZ1123" s="790"/>
      <c r="BA1123" s="790"/>
      <c r="BB1123" s="790"/>
      <c r="BC1123" s="790"/>
      <c r="BD1123" s="790"/>
      <c r="BE1123" s="790"/>
      <c r="BF1123" s="790"/>
      <c r="BG1123" s="790"/>
      <c r="BH1123" s="790"/>
      <c r="BI1123" s="790"/>
      <c r="BJ1123" s="1184" t="s">
        <v>4763</v>
      </c>
    </row>
    <row r="1124" spans="1:62" x14ac:dyDescent="0.3">
      <c r="A1124" s="1200">
        <v>7</v>
      </c>
      <c r="B1124" s="1210" t="s">
        <v>1132</v>
      </c>
      <c r="C1124" s="1215"/>
      <c r="D1124" s="1203" t="s">
        <v>275</v>
      </c>
      <c r="E1124" s="1203"/>
      <c r="F1124" s="1203"/>
      <c r="G1124" s="1202" t="str">
        <f ca="1">IF(N1124&gt;0,"P","")</f>
        <v/>
      </c>
      <c r="H1124" s="1200" t="s">
        <v>4388</v>
      </c>
      <c r="I1124" s="140"/>
      <c r="J1124" s="614" t="s">
        <v>275</v>
      </c>
      <c r="K1124" s="812"/>
      <c r="L1124" s="1305" t="s">
        <v>1135</v>
      </c>
      <c r="M1124" s="1318">
        <v>7</v>
      </c>
      <c r="N1124" s="1308">
        <f ca="1">'Ch7'!O361</f>
        <v>0</v>
      </c>
      <c r="O1124" s="1308">
        <f ca="1">M1124*S1124*W1124</f>
        <v>0</v>
      </c>
      <c r="P1124" s="97" t="b">
        <v>0</v>
      </c>
      <c r="Q1124" s="97" t="b">
        <v>1</v>
      </c>
      <c r="R1124" s="97" t="b">
        <v>0</v>
      </c>
      <c r="S1124" s="97" t="b">
        <f ca="1">AND(S776=2,IF($AY$18=INDEX(ddSingleOrMulti,2),TRUE,FALSE),NOT(W1122),NOT(W1120))</f>
        <v>0</v>
      </c>
      <c r="T1124" s="97" t="b">
        <f ca="1">AND(NOT(S1124),W1124=TRUE)</f>
        <v>0</v>
      </c>
      <c r="U1124" s="97"/>
      <c r="V1124" s="97"/>
      <c r="W1124" s="25"/>
      <c r="X1124" s="1295"/>
      <c r="Y1124" s="1522" t="str">
        <f>IF(LEN('Ch7'!X361)=0,"None",'Ch7'!X361)</f>
        <v>None</v>
      </c>
      <c r="Z1124" s="1586"/>
      <c r="AB1124" s="790"/>
      <c r="AC1124" s="790" t="b">
        <f ca="1">OR(AD1124:AE1124)</f>
        <v>0</v>
      </c>
      <c r="AD1124" s="790" t="b">
        <f ca="1">T1124</f>
        <v>0</v>
      </c>
      <c r="AE1124" s="790" t="b">
        <f>AND(R1124,NOT(W1124))</f>
        <v>0</v>
      </c>
      <c r="AF1124" s="1182" t="b">
        <f>AND(AE1124,NOT(Q1124))</f>
        <v>0</v>
      </c>
      <c r="AG1124" s="790"/>
      <c r="AH1124" s="790"/>
      <c r="AI1124" s="790"/>
      <c r="AJ1124" s="790"/>
      <c r="AK1124" s="790"/>
      <c r="AL1124" s="311" t="str">
        <f t="shared" ref="AL1124" si="330">SUBSTITUTE(SUBSTITUTE(SUBSTITUTE("vpa"&amp;$B1124&amp;$C1124&amp;$D1124&amp;$E1124&amp;$F1124,".","_"),"(","_"),")","")</f>
        <v>vpa703_6_1_3</v>
      </c>
      <c r="AM1124" s="311">
        <f>M1124</f>
        <v>7</v>
      </c>
      <c r="AN1124" s="311" t="str">
        <f>SUBSTITUTE(SUBSTITUTE(SUBSTITUTE("vpc"&amp;$B1124&amp;$C1124&amp;$D1124&amp;$E1124&amp;$F1124,".","_"),"(","_"),")","")</f>
        <v>vpc703_6_1_3</v>
      </c>
      <c r="AO1124" s="311">
        <f ca="1">O1124</f>
        <v>0</v>
      </c>
      <c r="AP1124" s="311" t="str">
        <f>SUBSTITUTE(SUBSTITUTE(SUBSTITUTE("vch"&amp;$B1124&amp;$C1124&amp;$D1124&amp;$E1124&amp;$F1124,".","_"),"(","_"),")","")</f>
        <v>vch703_6_1_3</v>
      </c>
      <c r="AQ1124" s="311">
        <f>W1124</f>
        <v>0</v>
      </c>
      <c r="AR1124" s="311" t="str">
        <f>SUBSTITUTE(SUBSTITUTE(SUBSTITUTE("vnt"&amp;$B1124&amp;$C1124&amp;$D1124&amp;$E1124&amp;$F1124,".","_"),"(","_"),")","")</f>
        <v>vnt703_6_1_3</v>
      </c>
      <c r="AS1124" s="311">
        <f>X1124</f>
        <v>0</v>
      </c>
      <c r="AT1124" s="790"/>
      <c r="AU1124" s="790"/>
      <c r="AV1124" s="790"/>
      <c r="AW1124" s="790"/>
      <c r="AX1124" s="790"/>
      <c r="AY1124" s="790"/>
      <c r="AZ1124" s="790"/>
      <c r="BA1124" s="790"/>
      <c r="BB1124" s="790"/>
      <c r="BC1124" s="790"/>
      <c r="BD1124" s="790"/>
      <c r="BE1124" s="790"/>
      <c r="BF1124" s="790"/>
      <c r="BG1124" s="790"/>
      <c r="BH1124" s="790"/>
      <c r="BI1124" s="790"/>
      <c r="BJ1124" s="1184" t="s">
        <v>4763</v>
      </c>
    </row>
    <row r="1125" spans="1:62" x14ac:dyDescent="0.3">
      <c r="A1125" s="1200">
        <v>7</v>
      </c>
      <c r="B1125" s="1210" t="s">
        <v>1132</v>
      </c>
      <c r="C1125" s="1215"/>
      <c r="D1125" s="1203" t="s">
        <v>275</v>
      </c>
      <c r="E1125" s="1203"/>
      <c r="F1125" s="1203"/>
      <c r="G1125" s="1202" t="str">
        <f t="shared" ref="G1125" ca="1" si="331">G1124</f>
        <v/>
      </c>
      <c r="H1125" s="1200" t="s">
        <v>4388</v>
      </c>
      <c r="I1125" s="238"/>
      <c r="J1125" s="813"/>
      <c r="K1125" s="813"/>
      <c r="L1125" s="1306"/>
      <c r="M1125" s="1319"/>
      <c r="N1125" s="1309"/>
      <c r="O1125" s="1309"/>
      <c r="P1125" s="196"/>
      <c r="Q1125" s="196"/>
      <c r="R1125" s="196"/>
      <c r="S1125" s="196"/>
      <c r="T1125" s="196"/>
      <c r="U1125" s="196"/>
      <c r="V1125" s="196"/>
      <c r="W1125" s="196"/>
      <c r="X1125" s="1295"/>
      <c r="Y1125" s="1522"/>
      <c r="Z1125" s="1586"/>
      <c r="AB1125" s="790"/>
      <c r="AC1125" s="790"/>
      <c r="AD1125" s="790"/>
      <c r="AE1125" s="790"/>
      <c r="AF1125" s="790"/>
      <c r="AG1125" s="790"/>
      <c r="AH1125" s="790"/>
      <c r="AI1125" s="790"/>
      <c r="AJ1125" s="790"/>
      <c r="AK1125" s="790"/>
      <c r="AL1125" s="790"/>
      <c r="AM1125" s="790"/>
      <c r="AN1125" s="790"/>
      <c r="AO1125" s="790"/>
      <c r="AP1125" s="790"/>
      <c r="AQ1125" s="790"/>
      <c r="AR1125" s="790"/>
      <c r="AS1125" s="790"/>
      <c r="AT1125" s="790"/>
      <c r="AU1125" s="790"/>
      <c r="AV1125" s="790"/>
      <c r="AW1125" s="790"/>
      <c r="AX1125" s="790"/>
      <c r="AY1125" s="790"/>
      <c r="AZ1125" s="790"/>
      <c r="BA1125" s="790"/>
      <c r="BB1125" s="790"/>
      <c r="BC1125" s="790"/>
      <c r="BD1125" s="790"/>
      <c r="BE1125" s="790"/>
      <c r="BF1125" s="790"/>
      <c r="BG1125" s="790"/>
      <c r="BH1125" s="790"/>
      <c r="BI1125" s="790"/>
      <c r="BJ1125" s="1184" t="s">
        <v>4763</v>
      </c>
    </row>
    <row r="1126" spans="1:62" x14ac:dyDescent="0.3">
      <c r="A1126" s="1200">
        <v>7</v>
      </c>
      <c r="B1126" s="1210" t="s">
        <v>1136</v>
      </c>
      <c r="C1126" s="1215"/>
      <c r="D1126" s="1203"/>
      <c r="E1126" s="1203"/>
      <c r="F1126" s="1203"/>
      <c r="G1126" s="1196" t="str">
        <f ca="1">IF(COUNTIF(G1127:G1129,"P")&gt;0,"P","")</f>
        <v/>
      </c>
      <c r="H1126" s="1200" t="s">
        <v>4388</v>
      </c>
      <c r="I1126" s="68" t="s">
        <v>1136</v>
      </c>
      <c r="J1126" s="819"/>
      <c r="K1126" s="819"/>
      <c r="L1126" s="829" t="s">
        <v>1137</v>
      </c>
      <c r="M1126" s="799"/>
      <c r="N1126" s="850"/>
      <c r="O1126" s="802"/>
      <c r="P1126" s="1081"/>
      <c r="Q1126" s="1081"/>
      <c r="R1126" s="790"/>
      <c r="S1126" s="790"/>
      <c r="T1126" s="790"/>
      <c r="U1126" s="790"/>
      <c r="V1126" s="790"/>
      <c r="W1126" s="790"/>
      <c r="X1126" s="790"/>
      <c r="Y1126" s="790"/>
      <c r="Z1126" s="1055"/>
      <c r="AB1126" s="790"/>
      <c r="AC1126" s="790"/>
      <c r="AD1126" s="790"/>
      <c r="AE1126" s="790"/>
      <c r="AF1126" s="790"/>
      <c r="AG1126" s="790"/>
      <c r="AH1126" s="790"/>
      <c r="AI1126" s="790"/>
      <c r="AJ1126" s="790"/>
      <c r="AK1126" s="790"/>
      <c r="AL1126" s="790"/>
      <c r="AM1126" s="790"/>
      <c r="AN1126" s="790"/>
      <c r="AO1126" s="790"/>
      <c r="AP1126" s="790"/>
      <c r="AQ1126" s="790"/>
      <c r="AR1126" s="790"/>
      <c r="AS1126" s="790"/>
      <c r="AT1126" s="790"/>
      <c r="AU1126" s="790"/>
      <c r="AV1126" s="790"/>
      <c r="AW1126" s="790"/>
      <c r="AX1126" s="790"/>
      <c r="AY1126" s="790"/>
      <c r="AZ1126" s="790"/>
      <c r="BA1126" s="790"/>
      <c r="BB1126" s="790"/>
      <c r="BC1126" s="790"/>
      <c r="BD1126" s="790"/>
      <c r="BE1126" s="790"/>
      <c r="BF1126" s="790"/>
      <c r="BG1126" s="790"/>
      <c r="BH1126" s="790"/>
      <c r="BI1126" s="790"/>
      <c r="BJ1126" s="1184" t="s">
        <v>4763</v>
      </c>
    </row>
    <row r="1127" spans="1:62" x14ac:dyDescent="0.3">
      <c r="A1127" s="1200">
        <v>7</v>
      </c>
      <c r="B1127" s="1210" t="s">
        <v>1136</v>
      </c>
      <c r="C1127" s="1215"/>
      <c r="D1127" s="1203" t="s">
        <v>271</v>
      </c>
      <c r="E1127" s="1203"/>
      <c r="F1127" s="1203"/>
      <c r="G1127" s="1202" t="str">
        <f ca="1">IF(N1127&gt;0,"P","")</f>
        <v/>
      </c>
      <c r="H1127" s="1200" t="s">
        <v>4388</v>
      </c>
      <c r="I1127" s="4"/>
      <c r="J1127" s="626" t="s">
        <v>271</v>
      </c>
      <c r="K1127" s="813"/>
      <c r="L1127" s="652" t="s">
        <v>1138</v>
      </c>
      <c r="M1127" s="796">
        <v>1</v>
      </c>
      <c r="N1127" s="855">
        <f ca="1">'Ch7'!O364</f>
        <v>0</v>
      </c>
      <c r="O1127" s="804">
        <f ca="1">M1127*S1127*W1127</f>
        <v>0</v>
      </c>
      <c r="P1127" s="97" t="b">
        <v>0</v>
      </c>
      <c r="Q1127" s="97" t="b">
        <v>1</v>
      </c>
      <c r="R1127" s="790" t="b">
        <v>0</v>
      </c>
      <c r="S1127" s="790" t="b">
        <f ca="1">(S776=2)</f>
        <v>0</v>
      </c>
      <c r="T1127" s="97" t="b">
        <f ca="1">AND(NOT(S1127),W1127=TRUE)</f>
        <v>0</v>
      </c>
      <c r="U1127" s="790"/>
      <c r="V1127" s="790"/>
      <c r="W1127" s="25"/>
      <c r="X1127" s="809"/>
      <c r="Y1127" s="841" t="str">
        <f>IF(LEN('Ch7'!X364)=0,"None",'Ch7'!X364)</f>
        <v>None</v>
      </c>
      <c r="Z1127" s="1169"/>
      <c r="AB1127" s="790"/>
      <c r="AC1127" s="790" t="b">
        <f ca="1">OR(AD1127:AE1127)</f>
        <v>0</v>
      </c>
      <c r="AD1127" s="790" t="b">
        <f ca="1">T1127</f>
        <v>0</v>
      </c>
      <c r="AE1127" s="790" t="b">
        <f>AND(R1127,NOT(W1127))</f>
        <v>0</v>
      </c>
      <c r="AF1127" s="1182" t="b">
        <f t="shared" ref="AF1127:AF1129" si="332">AND(AE1127,NOT(Q1127))</f>
        <v>0</v>
      </c>
      <c r="AG1127" s="790"/>
      <c r="AH1127" s="790"/>
      <c r="AI1127" s="790"/>
      <c r="AJ1127" s="790"/>
      <c r="AK1127" s="790"/>
      <c r="AL1127" s="311" t="str">
        <f t="shared" ref="AL1127:AL1129" si="333">SUBSTITUTE(SUBSTITUTE(SUBSTITUTE("vpa"&amp;$B1127&amp;$C1127&amp;$D1127&amp;$E1127&amp;$F1127,".","_"),"(","_"),")","")</f>
        <v>vpa703_6_2 _1</v>
      </c>
      <c r="AM1127" s="311">
        <f>M1127</f>
        <v>1</v>
      </c>
      <c r="AN1127" s="311" t="str">
        <f t="shared" ref="AN1127:AN1129" si="334">SUBSTITUTE(SUBSTITUTE(SUBSTITUTE("vpc"&amp;$B1127&amp;$C1127&amp;$D1127&amp;$E1127&amp;$F1127,".","_"),"(","_"),")","")</f>
        <v>vpc703_6_2 _1</v>
      </c>
      <c r="AO1127" s="311">
        <f ca="1">O1127</f>
        <v>0</v>
      </c>
      <c r="AP1127" s="311" t="str">
        <f t="shared" ref="AP1127:AP1129" si="335">SUBSTITUTE(SUBSTITUTE(SUBSTITUTE("vch"&amp;$B1127&amp;$C1127&amp;$D1127&amp;$E1127&amp;$F1127,".","_"),"(","_"),")","")</f>
        <v>vch703_6_2 _1</v>
      </c>
      <c r="AQ1127" s="311">
        <f>W1127</f>
        <v>0</v>
      </c>
      <c r="AR1127" s="311" t="str">
        <f t="shared" ref="AR1127:AR1129" si="336">SUBSTITUTE(SUBSTITUTE(SUBSTITUTE("vnt"&amp;$B1127&amp;$C1127&amp;$D1127&amp;$E1127&amp;$F1127,".","_"),"(","_"),")","")</f>
        <v>vnt703_6_2 _1</v>
      </c>
      <c r="AS1127" s="311">
        <f>X1127</f>
        <v>0</v>
      </c>
      <c r="AT1127" s="790"/>
      <c r="AU1127" s="790"/>
      <c r="AV1127" s="790"/>
      <c r="AW1127" s="790"/>
      <c r="AX1127" s="790"/>
      <c r="AY1127" s="790"/>
      <c r="AZ1127" s="790"/>
      <c r="BA1127" s="790"/>
      <c r="BB1127" s="790"/>
      <c r="BC1127" s="790"/>
      <c r="BD1127" s="790"/>
      <c r="BE1127" s="790"/>
      <c r="BF1127" s="790"/>
      <c r="BG1127" s="790"/>
      <c r="BH1127" s="790"/>
      <c r="BI1127" s="790"/>
      <c r="BJ1127" s="1184" t="s">
        <v>4763</v>
      </c>
    </row>
    <row r="1128" spans="1:62" x14ac:dyDescent="0.3">
      <c r="A1128" s="1200">
        <v>7</v>
      </c>
      <c r="B1128" s="1210" t="s">
        <v>1136</v>
      </c>
      <c r="C1128" s="1215"/>
      <c r="D1128" s="1203" t="s">
        <v>273</v>
      </c>
      <c r="E1128" s="1203"/>
      <c r="F1128" s="1203"/>
      <c r="G1128" s="1202" t="str">
        <f ca="1">IF(N1128&gt;0,"P","")</f>
        <v/>
      </c>
      <c r="H1128" s="1200" t="s">
        <v>4388</v>
      </c>
      <c r="I1128" s="4"/>
      <c r="J1128" s="650" t="s">
        <v>273</v>
      </c>
      <c r="K1128" s="365"/>
      <c r="L1128" s="365" t="s">
        <v>1139</v>
      </c>
      <c r="M1128" s="846">
        <v>1</v>
      </c>
      <c r="N1128" s="892">
        <f ca="1">'Ch7'!O365</f>
        <v>0</v>
      </c>
      <c r="O1128" s="845">
        <f ca="1">M1128*S1128*W1128</f>
        <v>0</v>
      </c>
      <c r="P1128" s="97" t="b">
        <v>0</v>
      </c>
      <c r="Q1128" s="97" t="b">
        <v>1</v>
      </c>
      <c r="R1128" s="790" t="b">
        <v>0</v>
      </c>
      <c r="S1128" s="790" t="b">
        <f ca="1">(S776=2)</f>
        <v>0</v>
      </c>
      <c r="T1128" s="97" t="b">
        <f ca="1">AND(NOT(S1128),W1128=TRUE)</f>
        <v>0</v>
      </c>
      <c r="U1128" s="790"/>
      <c r="V1128" s="790"/>
      <c r="W1128" s="25"/>
      <c r="X1128" s="809"/>
      <c r="Y1128" s="841" t="str">
        <f>IF(LEN('Ch7'!X365)=0,"None",'Ch7'!X365)</f>
        <v>None</v>
      </c>
      <c r="Z1128" s="1169"/>
      <c r="AB1128" s="790"/>
      <c r="AC1128" s="790" t="b">
        <f ca="1">OR(AD1128:AE1128)</f>
        <v>0</v>
      </c>
      <c r="AD1128" s="790" t="b">
        <f ca="1">T1128</f>
        <v>0</v>
      </c>
      <c r="AE1128" s="790" t="b">
        <f>AND(R1128,NOT(W1128))</f>
        <v>0</v>
      </c>
      <c r="AF1128" s="1182" t="b">
        <f t="shared" si="332"/>
        <v>0</v>
      </c>
      <c r="AG1128" s="790"/>
      <c r="AH1128" s="790"/>
      <c r="AI1128" s="790"/>
      <c r="AJ1128" s="790"/>
      <c r="AK1128" s="790"/>
      <c r="AL1128" s="311" t="str">
        <f t="shared" si="333"/>
        <v>vpa703_6_2 _2</v>
      </c>
      <c r="AM1128" s="311">
        <f>M1128</f>
        <v>1</v>
      </c>
      <c r="AN1128" s="311" t="str">
        <f t="shared" si="334"/>
        <v>vpc703_6_2 _2</v>
      </c>
      <c r="AO1128" s="311">
        <f ca="1">O1128</f>
        <v>0</v>
      </c>
      <c r="AP1128" s="311" t="str">
        <f t="shared" si="335"/>
        <v>vch703_6_2 _2</v>
      </c>
      <c r="AQ1128" s="311">
        <f>W1128</f>
        <v>0</v>
      </c>
      <c r="AR1128" s="311" t="str">
        <f t="shared" si="336"/>
        <v>vnt703_6_2 _2</v>
      </c>
      <c r="AS1128" s="311">
        <f>X1128</f>
        <v>0</v>
      </c>
      <c r="AT1128" s="790"/>
      <c r="AU1128" s="790"/>
      <c r="AV1128" s="790"/>
      <c r="AW1128" s="790"/>
      <c r="AX1128" s="790"/>
      <c r="AY1128" s="790"/>
      <c r="AZ1128" s="790"/>
      <c r="BA1128" s="790"/>
      <c r="BB1128" s="790"/>
      <c r="BC1128" s="790"/>
      <c r="BD1128" s="790"/>
      <c r="BE1128" s="790"/>
      <c r="BF1128" s="790"/>
      <c r="BG1128" s="790"/>
      <c r="BH1128" s="790"/>
      <c r="BI1128" s="790"/>
      <c r="BJ1128" s="1184" t="s">
        <v>4763</v>
      </c>
    </row>
    <row r="1129" spans="1:62" x14ac:dyDescent="0.3">
      <c r="A1129" s="1200">
        <v>7</v>
      </c>
      <c r="B1129" s="1210" t="s">
        <v>1136</v>
      </c>
      <c r="C1129" s="1215"/>
      <c r="D1129" s="1203" t="s">
        <v>275</v>
      </c>
      <c r="E1129" s="1203"/>
      <c r="F1129" s="1203"/>
      <c r="G1129" s="1202" t="str">
        <f ca="1">IF(N1129&gt;0,"P","")</f>
        <v/>
      </c>
      <c r="H1129" s="1200" t="s">
        <v>4388</v>
      </c>
      <c r="I1129" s="140"/>
      <c r="J1129" s="614" t="s">
        <v>275</v>
      </c>
      <c r="K1129" s="812"/>
      <c r="L1129" s="812" t="s">
        <v>1140</v>
      </c>
      <c r="M1129" s="795">
        <v>4</v>
      </c>
      <c r="N1129" s="854">
        <f ca="1">'Ch7'!O366</f>
        <v>0</v>
      </c>
      <c r="O1129" s="803">
        <f ca="1">M1129*S1129*W1129</f>
        <v>0</v>
      </c>
      <c r="P1129" s="97" t="b">
        <v>0</v>
      </c>
      <c r="Q1129" s="97" t="b">
        <v>1</v>
      </c>
      <c r="R1129" s="97" t="b">
        <v>0</v>
      </c>
      <c r="S1129" s="97" t="b">
        <f ca="1">(S776=2)</f>
        <v>0</v>
      </c>
      <c r="T1129" s="97" t="b">
        <f ca="1">AND(NOT(S1129),W1129=TRUE)</f>
        <v>0</v>
      </c>
      <c r="U1129" s="97"/>
      <c r="V1129" s="97"/>
      <c r="W1129" s="25"/>
      <c r="X1129" s="1295"/>
      <c r="Y1129" s="1523" t="str">
        <f>IF(LEN('Ch7'!X366)=0,"None",'Ch7'!X366)</f>
        <v>None</v>
      </c>
      <c r="Z1129" s="1583"/>
      <c r="AB1129" s="790"/>
      <c r="AC1129" s="790" t="b">
        <f ca="1">OR(AD1129:AE1129)</f>
        <v>0</v>
      </c>
      <c r="AD1129" s="790" t="b">
        <f ca="1">T1129</f>
        <v>0</v>
      </c>
      <c r="AE1129" s="790" t="b">
        <f>AND(R1129,NOT(W1129))</f>
        <v>0</v>
      </c>
      <c r="AF1129" s="1182" t="b">
        <f t="shared" si="332"/>
        <v>0</v>
      </c>
      <c r="AG1129" s="790"/>
      <c r="AH1129" s="790"/>
      <c r="AI1129" s="790"/>
      <c r="AJ1129" s="790"/>
      <c r="AK1129" s="790"/>
      <c r="AL1129" s="311" t="str">
        <f t="shared" si="333"/>
        <v>vpa703_6_2 _3</v>
      </c>
      <c r="AM1129" s="311">
        <f>M1129</f>
        <v>4</v>
      </c>
      <c r="AN1129" s="311" t="str">
        <f t="shared" si="334"/>
        <v>vpc703_6_2 _3</v>
      </c>
      <c r="AO1129" s="311">
        <f ca="1">O1129</f>
        <v>0</v>
      </c>
      <c r="AP1129" s="311" t="str">
        <f t="shared" si="335"/>
        <v>vch703_6_2 _3</v>
      </c>
      <c r="AQ1129" s="311">
        <f>W1129</f>
        <v>0</v>
      </c>
      <c r="AR1129" s="311" t="str">
        <f t="shared" si="336"/>
        <v>vnt703_6_2 _3</v>
      </c>
      <c r="AS1129" s="311">
        <f>X1129</f>
        <v>0</v>
      </c>
      <c r="AT1129" s="790"/>
      <c r="AU1129" s="790"/>
      <c r="AV1129" s="790"/>
      <c r="AW1129" s="790"/>
      <c r="AX1129" s="790"/>
      <c r="AY1129" s="790"/>
      <c r="AZ1129" s="790"/>
      <c r="BA1129" s="790"/>
      <c r="BB1129" s="790"/>
      <c r="BC1129" s="790"/>
      <c r="BD1129" s="790"/>
      <c r="BE1129" s="790"/>
      <c r="BF1129" s="790"/>
      <c r="BG1129" s="790"/>
      <c r="BH1129" s="790"/>
      <c r="BI1129" s="790"/>
      <c r="BJ1129" s="1184" t="s">
        <v>4763</v>
      </c>
    </row>
    <row r="1130" spans="1:62" ht="15" thickBot="1" x14ac:dyDescent="0.35">
      <c r="A1130" s="1200">
        <v>7</v>
      </c>
      <c r="B1130" s="1210" t="s">
        <v>1136</v>
      </c>
      <c r="C1130" s="1215"/>
      <c r="D1130" s="1203" t="s">
        <v>275</v>
      </c>
      <c r="E1130" s="1203"/>
      <c r="F1130" s="1203"/>
      <c r="G1130" s="1202" t="str">
        <f t="shared" ref="G1130" ca="1" si="337">G1129</f>
        <v/>
      </c>
      <c r="H1130" s="1200" t="s">
        <v>4388</v>
      </c>
      <c r="I1130" s="270"/>
      <c r="J1130" s="615"/>
      <c r="K1130" s="824"/>
      <c r="L1130" s="833" t="s">
        <v>3878</v>
      </c>
      <c r="M1130" s="798"/>
      <c r="N1130" s="858"/>
      <c r="O1130" s="801"/>
      <c r="P1130" s="104"/>
      <c r="Q1130" s="104"/>
      <c r="R1130" s="104"/>
      <c r="S1130" s="104"/>
      <c r="T1130" s="104"/>
      <c r="U1130" s="104"/>
      <c r="V1130" s="104"/>
      <c r="W1130" s="104"/>
      <c r="X1130" s="1296"/>
      <c r="Y1130" s="1524"/>
      <c r="Z1130" s="1584"/>
      <c r="AB1130" s="790"/>
      <c r="AC1130" s="790"/>
      <c r="AD1130" s="790"/>
      <c r="AE1130" s="790"/>
      <c r="AF1130" s="790"/>
      <c r="AG1130" s="790"/>
      <c r="AH1130" s="790"/>
      <c r="AI1130" s="790"/>
      <c r="AJ1130" s="790"/>
      <c r="AK1130" s="790"/>
      <c r="AL1130" s="790"/>
      <c r="AM1130" s="790"/>
      <c r="AN1130" s="790"/>
      <c r="AO1130" s="790"/>
      <c r="AP1130" s="790"/>
      <c r="AQ1130" s="790"/>
      <c r="AR1130" s="790"/>
      <c r="AS1130" s="790"/>
      <c r="AT1130" s="790"/>
      <c r="AU1130" s="790"/>
      <c r="AV1130" s="790"/>
      <c r="AW1130" s="790"/>
      <c r="AX1130" s="790"/>
      <c r="AY1130" s="790"/>
      <c r="AZ1130" s="790"/>
      <c r="BA1130" s="790"/>
      <c r="BB1130" s="790"/>
      <c r="BC1130" s="790"/>
      <c r="BD1130" s="790"/>
      <c r="BE1130" s="790"/>
      <c r="BF1130" s="790"/>
      <c r="BG1130" s="790"/>
      <c r="BH1130" s="790"/>
      <c r="BI1130" s="790"/>
      <c r="BJ1130" s="1184" t="s">
        <v>4763</v>
      </c>
    </row>
    <row r="1131" spans="1:62" ht="15" thickTop="1" x14ac:dyDescent="0.3">
      <c r="A1131" s="1200">
        <v>7</v>
      </c>
      <c r="B1131" s="1210">
        <v>703.7</v>
      </c>
      <c r="C1131" s="1215"/>
      <c r="D1131" s="1203"/>
      <c r="E1131" s="1203"/>
      <c r="F1131" s="1203"/>
      <c r="G1131" s="1196" t="str">
        <f ca="1">IF(COUNTIF(G1132:G1189,"P")&gt;0,"P","")</f>
        <v/>
      </c>
      <c r="H1131" s="1200" t="s">
        <v>4386</v>
      </c>
      <c r="I1131" s="152">
        <v>703.7</v>
      </c>
      <c r="J1131" s="819"/>
      <c r="K1131" s="819"/>
      <c r="L1131" s="829" t="s">
        <v>1141</v>
      </c>
      <c r="M1131" s="799"/>
      <c r="N1131" s="850"/>
      <c r="O1131" s="802"/>
      <c r="P1131" s="1081"/>
      <c r="Q1131" s="1081"/>
      <c r="R1131" s="790"/>
      <c r="S1131" s="790"/>
      <c r="T1131" s="790"/>
      <c r="U1131" s="790"/>
      <c r="V1131" s="790"/>
      <c r="W1131" s="790"/>
      <c r="X1131" s="790"/>
      <c r="Y1131" s="790"/>
      <c r="Z1131" s="1055"/>
      <c r="AB1131" s="790"/>
      <c r="AC1131" s="790"/>
      <c r="AD1131" s="790"/>
      <c r="AE1131" s="790"/>
      <c r="AF1131" s="790"/>
      <c r="AG1131" s="790"/>
      <c r="AH1131" s="790"/>
      <c r="AI1131" s="790"/>
      <c r="AJ1131" s="790"/>
      <c r="AK1131" s="790"/>
      <c r="AL1131" s="790"/>
      <c r="AM1131" s="790"/>
      <c r="AN1131" s="790"/>
      <c r="AO1131" s="790"/>
      <c r="AP1131" s="790"/>
      <c r="AQ1131" s="790"/>
      <c r="AR1131" s="790"/>
      <c r="AS1131" s="790"/>
      <c r="AT1131" s="790"/>
      <c r="AU1131" s="790"/>
      <c r="AV1131" s="790"/>
      <c r="AW1131" s="790"/>
      <c r="AX1131" s="790"/>
      <c r="AY1131" s="790"/>
      <c r="AZ1131" s="790"/>
      <c r="BA1131" s="790"/>
      <c r="BB1131" s="790"/>
      <c r="BC1131" s="790"/>
      <c r="BD1131" s="790"/>
      <c r="BE1131" s="790"/>
      <c r="BF1131" s="790"/>
      <c r="BG1131" s="790"/>
      <c r="BH1131" s="790"/>
      <c r="BI1131" s="790"/>
      <c r="BJ1131" s="1184" t="s">
        <v>4763</v>
      </c>
    </row>
    <row r="1132" spans="1:62" x14ac:dyDescent="0.3">
      <c r="A1132" s="1200">
        <v>7</v>
      </c>
      <c r="B1132" s="1210" t="s">
        <v>1142</v>
      </c>
      <c r="C1132" s="1215"/>
      <c r="D1132" s="1203"/>
      <c r="E1132" s="1203"/>
      <c r="F1132" s="1203"/>
      <c r="G1132" s="1202" t="str">
        <f ca="1">IF(N1132&gt;0,"P","")</f>
        <v/>
      </c>
      <c r="H1132" s="1200" t="s">
        <v>4386</v>
      </c>
      <c r="I1132" s="152" t="s">
        <v>1142</v>
      </c>
      <c r="J1132" s="819"/>
      <c r="K1132" s="819"/>
      <c r="L1132" s="1292" t="s">
        <v>1143</v>
      </c>
      <c r="M1132" s="1335">
        <v>4</v>
      </c>
      <c r="N1132" s="1310">
        <f ca="1">'Ch7'!O369</f>
        <v>0</v>
      </c>
      <c r="O1132" s="1310">
        <f ca="1">M1132*S1132*W1132</f>
        <v>0</v>
      </c>
      <c r="P1132" s="97" t="b">
        <v>1</v>
      </c>
      <c r="Q1132" s="97" t="b">
        <v>1</v>
      </c>
      <c r="R1132" s="790" t="b">
        <v>0</v>
      </c>
      <c r="S1132" s="790" t="b">
        <f ca="1">(S776=2)</f>
        <v>0</v>
      </c>
      <c r="T1132" s="97" t="b">
        <f ca="1">AND(NOT(S1132),W1132=TRUE)</f>
        <v>0</v>
      </c>
      <c r="U1132" s="790"/>
      <c r="V1132" s="790"/>
      <c r="W1132" s="25"/>
      <c r="X1132" s="790"/>
      <c r="Y1132" s="790"/>
      <c r="Z1132" s="1055"/>
      <c r="AB1132" s="790"/>
      <c r="AC1132" s="790" t="b">
        <f ca="1">OR(AD1132:AE1132)</f>
        <v>0</v>
      </c>
      <c r="AD1132" s="790" t="b">
        <f ca="1">T1132</f>
        <v>0</v>
      </c>
      <c r="AE1132" s="790" t="b">
        <f>AND(R1132,NOT(W1132))</f>
        <v>0</v>
      </c>
      <c r="AF1132" s="1182" t="b">
        <f>AND(AE1132,NOT(Q1132))</f>
        <v>0</v>
      </c>
      <c r="AG1132" s="790"/>
      <c r="AH1132" s="790"/>
      <c r="AI1132" s="790"/>
      <c r="AJ1132" s="790"/>
      <c r="AK1132" s="790"/>
      <c r="AL1132" s="311" t="str">
        <f t="shared" ref="AL1132" si="338">SUBSTITUTE(SUBSTITUTE(SUBSTITUTE("vpa"&amp;$B1132&amp;$C1132&amp;$D1132&amp;$E1132&amp;$F1132,".","_"),"(","_"),")","")</f>
        <v>vpa703_7_1</v>
      </c>
      <c r="AM1132" s="311">
        <f>M1132</f>
        <v>4</v>
      </c>
      <c r="AN1132" s="311" t="str">
        <f>SUBSTITUTE(SUBSTITUTE(SUBSTITUTE("vpc"&amp;$B1132&amp;$C1132&amp;$D1132&amp;$E1132&amp;$F1132,".","_"),"(","_"),")","")</f>
        <v>vpc703_7_1</v>
      </c>
      <c r="AO1132" s="311">
        <f ca="1">O1132</f>
        <v>0</v>
      </c>
      <c r="AP1132" s="311" t="str">
        <f>SUBSTITUTE(SUBSTITUTE(SUBSTITUTE("vch"&amp;$B1132&amp;$C1132&amp;$D1132&amp;$E1132&amp;$F1132,".","_"),"(","_"),")","")</f>
        <v>vch703_7_1</v>
      </c>
      <c r="AQ1132" s="311">
        <f>W1132</f>
        <v>0</v>
      </c>
      <c r="AR1132" s="790"/>
      <c r="AS1132" s="790"/>
      <c r="AT1132" s="790"/>
      <c r="AU1132" s="790"/>
      <c r="AV1132" s="790"/>
      <c r="AW1132" s="790"/>
      <c r="AX1132" s="790"/>
      <c r="AY1132" s="790"/>
      <c r="AZ1132" s="790"/>
      <c r="BA1132" s="790"/>
      <c r="BB1132" s="790"/>
      <c r="BC1132" s="790"/>
      <c r="BD1132" s="790"/>
      <c r="BE1132" s="790"/>
      <c r="BF1132" s="790"/>
      <c r="BG1132" s="790"/>
      <c r="BH1132" s="790"/>
      <c r="BI1132" s="790"/>
      <c r="BJ1132" s="1184" t="s">
        <v>4763</v>
      </c>
    </row>
    <row r="1133" spans="1:62" x14ac:dyDescent="0.3">
      <c r="A1133" s="1200">
        <v>7</v>
      </c>
      <c r="B1133" s="1210" t="s">
        <v>1142</v>
      </c>
      <c r="C1133" s="1215"/>
      <c r="D1133" s="1203"/>
      <c r="E1133" s="1203"/>
      <c r="F1133" s="1203"/>
      <c r="G1133" s="1202" t="str">
        <f t="shared" ref="G1133:G1159" ca="1" si="339">G1132</f>
        <v/>
      </c>
      <c r="H1133" s="1200" t="s">
        <v>4386</v>
      </c>
      <c r="I1133" s="4"/>
      <c r="J1133" s="819"/>
      <c r="K1133" s="819"/>
      <c r="L1133" s="1292"/>
      <c r="M1133" s="1335"/>
      <c r="N1133" s="1310"/>
      <c r="O1133" s="1310"/>
      <c r="P1133" s="1081"/>
      <c r="Q1133" s="1081"/>
      <c r="R1133" s="790"/>
      <c r="S1133" s="790"/>
      <c r="T1133" s="790"/>
      <c r="U1133" s="790"/>
      <c r="V1133" s="790"/>
      <c r="W1133" s="790"/>
      <c r="X1133" s="790"/>
      <c r="Y1133" s="790"/>
      <c r="Z1133" s="1055"/>
      <c r="AB1133" s="790"/>
      <c r="AC1133" s="790"/>
      <c r="AD1133" s="790"/>
      <c r="AE1133" s="790"/>
      <c r="AF1133" s="790"/>
      <c r="AG1133" s="790"/>
      <c r="AH1133" s="790"/>
      <c r="AI1133" s="790"/>
      <c r="AJ1133" s="790"/>
      <c r="AK1133" s="790"/>
      <c r="AL1133" s="790"/>
      <c r="AM1133" s="790"/>
      <c r="AN1133" s="790"/>
      <c r="AO1133" s="790"/>
      <c r="AP1133" s="790"/>
      <c r="AQ1133" s="790"/>
      <c r="AR1133" s="790"/>
      <c r="AS1133" s="790"/>
      <c r="AT1133" s="790"/>
      <c r="AU1133" s="790"/>
      <c r="AV1133" s="790"/>
      <c r="AW1133" s="790"/>
      <c r="AX1133" s="790"/>
      <c r="AY1133" s="790"/>
      <c r="AZ1133" s="790"/>
      <c r="BA1133" s="790"/>
      <c r="BB1133" s="790"/>
      <c r="BC1133" s="790"/>
      <c r="BD1133" s="790"/>
      <c r="BE1133" s="790"/>
      <c r="BF1133" s="790"/>
      <c r="BG1133" s="790"/>
      <c r="BH1133" s="790"/>
      <c r="BI1133" s="790"/>
      <c r="BJ1133" s="1184" t="s">
        <v>4763</v>
      </c>
    </row>
    <row r="1134" spans="1:62" x14ac:dyDescent="0.3">
      <c r="A1134" s="1200">
        <v>7</v>
      </c>
      <c r="B1134" s="1210" t="s">
        <v>1142</v>
      </c>
      <c r="C1134" s="1215"/>
      <c r="D1134" s="1203" t="s">
        <v>271</v>
      </c>
      <c r="E1134" s="1203"/>
      <c r="F1134" s="1203"/>
      <c r="G1134" s="1202" t="str">
        <f t="shared" ca="1" si="339"/>
        <v/>
      </c>
      <c r="H1134" s="1200" t="s">
        <v>4386</v>
      </c>
      <c r="I1134" s="4"/>
      <c r="J1134" s="614" t="s">
        <v>271</v>
      </c>
      <c r="K1134" s="812"/>
      <c r="L1134" s="1305" t="s">
        <v>1144</v>
      </c>
      <c r="M1134" s="799"/>
      <c r="N1134" s="850"/>
      <c r="O1134" s="802"/>
      <c r="P1134" s="1081"/>
      <c r="Q1134" s="1081"/>
      <c r="R1134" s="790"/>
      <c r="S1134" s="790"/>
      <c r="T1134" s="790"/>
      <c r="U1134" s="790"/>
      <c r="V1134" s="790"/>
      <c r="W1134" s="790"/>
      <c r="X1134" s="1303"/>
      <c r="Y1134" s="1522" t="str">
        <f>IF(LEN('Ch7'!X371)=0,"None",'Ch7'!X371)</f>
        <v>None</v>
      </c>
      <c r="Z1134" s="1586"/>
      <c r="AB1134" s="790"/>
      <c r="AC1134" s="790"/>
      <c r="AD1134" s="790"/>
      <c r="AE1134" s="790"/>
      <c r="AF1134" s="790"/>
      <c r="AG1134" s="790"/>
      <c r="AH1134" s="790"/>
      <c r="AI1134" s="790"/>
      <c r="AJ1134" s="790"/>
      <c r="AK1134" s="790"/>
      <c r="AL1134" s="790"/>
      <c r="AM1134" s="790"/>
      <c r="AN1134" s="790"/>
      <c r="AO1134" s="790"/>
      <c r="AP1134" s="790"/>
      <c r="AQ1134" s="790"/>
      <c r="AR1134" s="311" t="str">
        <f>SUBSTITUTE(SUBSTITUTE(SUBSTITUTE("vnt"&amp;$B1134&amp;$C1134&amp;$D1134&amp;$E1134&amp;$F1134,".","_"),"(","_"),")","")</f>
        <v>vnt703_7_1_1</v>
      </c>
      <c r="AS1134" s="311">
        <f>X1134</f>
        <v>0</v>
      </c>
      <c r="AT1134" s="790"/>
      <c r="AU1134" s="790"/>
      <c r="AV1134" s="790"/>
      <c r="AW1134" s="790"/>
      <c r="AX1134" s="790"/>
      <c r="AY1134" s="790"/>
      <c r="AZ1134" s="790"/>
      <c r="BA1134" s="790"/>
      <c r="BB1134" s="790"/>
      <c r="BC1134" s="790"/>
      <c r="BD1134" s="790"/>
      <c r="BE1134" s="790"/>
      <c r="BF1134" s="790"/>
      <c r="BG1134" s="790"/>
      <c r="BH1134" s="790"/>
      <c r="BI1134" s="790"/>
      <c r="BJ1134" s="1184" t="s">
        <v>4763</v>
      </c>
    </row>
    <row r="1135" spans="1:62" x14ac:dyDescent="0.3">
      <c r="A1135" s="1200">
        <v>7</v>
      </c>
      <c r="B1135" s="1210" t="s">
        <v>1142</v>
      </c>
      <c r="C1135" s="1215"/>
      <c r="D1135" s="1203" t="s">
        <v>271</v>
      </c>
      <c r="E1135" s="1203"/>
      <c r="F1135" s="1203"/>
      <c r="G1135" s="1202" t="str">
        <f t="shared" ca="1" si="339"/>
        <v/>
      </c>
      <c r="H1135" s="1200" t="s">
        <v>4386</v>
      </c>
      <c r="I1135" s="4"/>
      <c r="J1135" s="626"/>
      <c r="K1135" s="813"/>
      <c r="L1135" s="1306"/>
      <c r="M1135" s="799"/>
      <c r="N1135" s="850"/>
      <c r="O1135" s="802"/>
      <c r="P1135" s="1081"/>
      <c r="Q1135" s="1081"/>
      <c r="R1135" s="790"/>
      <c r="S1135" s="790"/>
      <c r="T1135" s="790"/>
      <c r="U1135" s="790"/>
      <c r="V1135" s="790"/>
      <c r="W1135" s="790"/>
      <c r="X1135" s="1303"/>
      <c r="Y1135" s="1522"/>
      <c r="Z1135" s="1586"/>
      <c r="AB1135" s="790"/>
      <c r="AC1135" s="790"/>
      <c r="AD1135" s="790"/>
      <c r="AE1135" s="790"/>
      <c r="AF1135" s="790"/>
      <c r="AG1135" s="790"/>
      <c r="AH1135" s="790"/>
      <c r="AI1135" s="790"/>
      <c r="AJ1135" s="790"/>
      <c r="AK1135" s="790"/>
      <c r="AL1135" s="790"/>
      <c r="AM1135" s="790"/>
      <c r="AN1135" s="790"/>
      <c r="AO1135" s="790"/>
      <c r="AP1135" s="790"/>
      <c r="AQ1135" s="790"/>
      <c r="AR1135" s="790"/>
      <c r="AS1135" s="790"/>
      <c r="AT1135" s="790"/>
      <c r="AU1135" s="790"/>
      <c r="AV1135" s="790"/>
      <c r="AW1135" s="790"/>
      <c r="AX1135" s="790"/>
      <c r="AY1135" s="790"/>
      <c r="AZ1135" s="790"/>
      <c r="BA1135" s="790"/>
      <c r="BB1135" s="790"/>
      <c r="BC1135" s="790"/>
      <c r="BD1135" s="790"/>
      <c r="BE1135" s="790"/>
      <c r="BF1135" s="790"/>
      <c r="BG1135" s="790"/>
      <c r="BH1135" s="790"/>
      <c r="BI1135" s="790"/>
      <c r="BJ1135" s="1184" t="s">
        <v>4763</v>
      </c>
    </row>
    <row r="1136" spans="1:62" x14ac:dyDescent="0.3">
      <c r="A1136" s="1200">
        <v>7</v>
      </c>
      <c r="B1136" s="1210" t="s">
        <v>1142</v>
      </c>
      <c r="C1136" s="1215"/>
      <c r="D1136" s="1203" t="s">
        <v>273</v>
      </c>
      <c r="E1136" s="1203"/>
      <c r="F1136" s="1203"/>
      <c r="G1136" s="1202" t="str">
        <f t="shared" ca="1" si="339"/>
        <v/>
      </c>
      <c r="H1136" s="1200" t="s">
        <v>4386</v>
      </c>
      <c r="I1136" s="4"/>
      <c r="J1136" s="649" t="s">
        <v>273</v>
      </c>
      <c r="K1136" s="823"/>
      <c r="L1136" s="1356" t="s">
        <v>1145</v>
      </c>
      <c r="M1136" s="799"/>
      <c r="N1136" s="850"/>
      <c r="O1136" s="802"/>
      <c r="P1136" s="1081"/>
      <c r="Q1136" s="1081"/>
      <c r="R1136" s="790"/>
      <c r="S1136" s="790"/>
      <c r="T1136" s="790"/>
      <c r="U1136" s="790"/>
      <c r="V1136" s="790"/>
      <c r="W1136" s="790"/>
      <c r="X1136" s="1303"/>
      <c r="Y1136" s="1522" t="str">
        <f>IF(LEN('Ch7'!X373)=0,"None",'Ch7'!X373)</f>
        <v>None</v>
      </c>
      <c r="Z1136" s="1586"/>
      <c r="AB1136" s="790"/>
      <c r="AC1136" s="790"/>
      <c r="AD1136" s="790"/>
      <c r="AE1136" s="790"/>
      <c r="AF1136" s="790"/>
      <c r="AG1136" s="790"/>
      <c r="AH1136" s="790"/>
      <c r="AI1136" s="790"/>
      <c r="AJ1136" s="790"/>
      <c r="AK1136" s="790"/>
      <c r="AL1136" s="790"/>
      <c r="AM1136" s="790"/>
      <c r="AN1136" s="790"/>
      <c r="AO1136" s="790"/>
      <c r="AP1136" s="790"/>
      <c r="AQ1136" s="790"/>
      <c r="AR1136" s="311" t="str">
        <f>SUBSTITUTE(SUBSTITUTE(SUBSTITUTE("vnt"&amp;$B1136&amp;$C1136&amp;$D1136&amp;$E1136&amp;$F1136,".","_"),"(","_"),")","")</f>
        <v>vnt703_7_1_2</v>
      </c>
      <c r="AS1136" s="311">
        <f>X1136</f>
        <v>0</v>
      </c>
      <c r="AT1136" s="790"/>
      <c r="AU1136" s="790"/>
      <c r="AV1136" s="790"/>
      <c r="AW1136" s="790"/>
      <c r="AX1136" s="790"/>
      <c r="AY1136" s="790"/>
      <c r="AZ1136" s="790"/>
      <c r="BA1136" s="790"/>
      <c r="BB1136" s="790"/>
      <c r="BC1136" s="790"/>
      <c r="BD1136" s="790"/>
      <c r="BE1136" s="790"/>
      <c r="BF1136" s="790"/>
      <c r="BG1136" s="790"/>
      <c r="BH1136" s="790"/>
      <c r="BI1136" s="790"/>
      <c r="BJ1136" s="1184" t="s">
        <v>4763</v>
      </c>
    </row>
    <row r="1137" spans="1:62" x14ac:dyDescent="0.3">
      <c r="A1137" s="1200">
        <v>7</v>
      </c>
      <c r="B1137" s="1210" t="s">
        <v>1142</v>
      </c>
      <c r="C1137" s="1215"/>
      <c r="D1137" s="1203" t="s">
        <v>273</v>
      </c>
      <c r="E1137" s="1203"/>
      <c r="F1137" s="1203"/>
      <c r="G1137" s="1202" t="str">
        <f t="shared" ca="1" si="339"/>
        <v/>
      </c>
      <c r="H1137" s="1200" t="s">
        <v>4386</v>
      </c>
      <c r="I1137" s="4"/>
      <c r="J1137" s="626"/>
      <c r="K1137" s="813"/>
      <c r="L1137" s="1306"/>
      <c r="M1137" s="799"/>
      <c r="N1137" s="850"/>
      <c r="O1137" s="802"/>
      <c r="P1137" s="1081"/>
      <c r="Q1137" s="1081"/>
      <c r="R1137" s="790"/>
      <c r="S1137" s="790"/>
      <c r="T1137" s="790"/>
      <c r="U1137" s="790"/>
      <c r="V1137" s="790"/>
      <c r="W1137" s="790"/>
      <c r="X1137" s="1303"/>
      <c r="Y1137" s="1522"/>
      <c r="Z1137" s="1586"/>
      <c r="AB1137" s="790"/>
      <c r="AC1137" s="790"/>
      <c r="AD1137" s="790"/>
      <c r="AE1137" s="790"/>
      <c r="AF1137" s="790"/>
      <c r="AG1137" s="790"/>
      <c r="AH1137" s="790"/>
      <c r="AI1137" s="790"/>
      <c r="AJ1137" s="790"/>
      <c r="AK1137" s="790"/>
      <c r="AL1137" s="790"/>
      <c r="AM1137" s="790"/>
      <c r="AN1137" s="790"/>
      <c r="AO1137" s="790"/>
      <c r="AP1137" s="790"/>
      <c r="AQ1137" s="790"/>
      <c r="AR1137" s="790"/>
      <c r="AS1137" s="790"/>
      <c r="AT1137" s="790"/>
      <c r="AU1137" s="790"/>
      <c r="AV1137" s="790"/>
      <c r="AW1137" s="790"/>
      <c r="AX1137" s="790"/>
      <c r="AY1137" s="790"/>
      <c r="AZ1137" s="790"/>
      <c r="BA1137" s="790"/>
      <c r="BB1137" s="790"/>
      <c r="BC1137" s="790"/>
      <c r="BD1137" s="790"/>
      <c r="BE1137" s="790"/>
      <c r="BF1137" s="790"/>
      <c r="BG1137" s="790"/>
      <c r="BH1137" s="790"/>
      <c r="BI1137" s="790"/>
      <c r="BJ1137" s="1184" t="s">
        <v>4763</v>
      </c>
    </row>
    <row r="1138" spans="1:62" x14ac:dyDescent="0.3">
      <c r="A1138" s="1200">
        <v>7</v>
      </c>
      <c r="B1138" s="1210" t="s">
        <v>1142</v>
      </c>
      <c r="C1138" s="1215"/>
      <c r="D1138" s="1203" t="s">
        <v>275</v>
      </c>
      <c r="E1138" s="1203"/>
      <c r="F1138" s="1203"/>
      <c r="G1138" s="1202" t="str">
        <f t="shared" ca="1" si="339"/>
        <v/>
      </c>
      <c r="H1138" s="1200" t="s">
        <v>4386</v>
      </c>
      <c r="I1138" s="4"/>
      <c r="J1138" s="649" t="s">
        <v>275</v>
      </c>
      <c r="K1138" s="823"/>
      <c r="L1138" s="1356" t="s">
        <v>1146</v>
      </c>
      <c r="M1138" s="799"/>
      <c r="N1138" s="850"/>
      <c r="O1138" s="802"/>
      <c r="P1138" s="1081"/>
      <c r="Q1138" s="1081"/>
      <c r="R1138" s="790"/>
      <c r="S1138" s="790"/>
      <c r="T1138" s="790"/>
      <c r="U1138" s="790"/>
      <c r="V1138" s="790"/>
      <c r="W1138" s="790"/>
      <c r="X1138" s="1303"/>
      <c r="Y1138" s="1522" t="str">
        <f>IF(LEN('Ch7'!X375)=0,"None",'Ch7'!X375)</f>
        <v>None</v>
      </c>
      <c r="Z1138" s="1586"/>
      <c r="AB1138" s="790"/>
      <c r="AC1138" s="790"/>
      <c r="AD1138" s="790"/>
      <c r="AE1138" s="790"/>
      <c r="AF1138" s="790"/>
      <c r="AG1138" s="790"/>
      <c r="AH1138" s="790"/>
      <c r="AI1138" s="790"/>
      <c r="AJ1138" s="790"/>
      <c r="AK1138" s="790"/>
      <c r="AL1138" s="790"/>
      <c r="AM1138" s="790"/>
      <c r="AN1138" s="790"/>
      <c r="AO1138" s="790"/>
      <c r="AP1138" s="790"/>
      <c r="AQ1138" s="790"/>
      <c r="AR1138" s="311" t="str">
        <f>SUBSTITUTE(SUBSTITUTE(SUBSTITUTE("vnt"&amp;$B1138&amp;$C1138&amp;$D1138&amp;$E1138&amp;$F1138,".","_"),"(","_"),")","")</f>
        <v>vnt703_7_1_3</v>
      </c>
      <c r="AS1138" s="311">
        <f>X1138</f>
        <v>0</v>
      </c>
      <c r="AT1138" s="790"/>
      <c r="AU1138" s="790"/>
      <c r="AV1138" s="790"/>
      <c r="AW1138" s="790"/>
      <c r="AX1138" s="790"/>
      <c r="AY1138" s="790"/>
      <c r="AZ1138" s="790"/>
      <c r="BA1138" s="790"/>
      <c r="BB1138" s="790"/>
      <c r="BC1138" s="790"/>
      <c r="BD1138" s="790"/>
      <c r="BE1138" s="790"/>
      <c r="BF1138" s="790"/>
      <c r="BG1138" s="790"/>
      <c r="BH1138" s="790"/>
      <c r="BI1138" s="790"/>
      <c r="BJ1138" s="1184" t="s">
        <v>4763</v>
      </c>
    </row>
    <row r="1139" spans="1:62" x14ac:dyDescent="0.3">
      <c r="A1139" s="1200">
        <v>7</v>
      </c>
      <c r="B1139" s="1210" t="s">
        <v>1142</v>
      </c>
      <c r="C1139" s="1215"/>
      <c r="D1139" s="1203" t="s">
        <v>275</v>
      </c>
      <c r="E1139" s="1203"/>
      <c r="F1139" s="1203"/>
      <c r="G1139" s="1202" t="str">
        <f t="shared" ca="1" si="339"/>
        <v/>
      </c>
      <c r="H1139" s="1200" t="s">
        <v>4386</v>
      </c>
      <c r="I1139" s="4"/>
      <c r="J1139" s="813"/>
      <c r="K1139" s="813"/>
      <c r="L1139" s="1306"/>
      <c r="M1139" s="799"/>
      <c r="N1139" s="850"/>
      <c r="O1139" s="802"/>
      <c r="P1139" s="1081"/>
      <c r="Q1139" s="1081"/>
      <c r="R1139" s="790"/>
      <c r="S1139" s="790"/>
      <c r="T1139" s="790"/>
      <c r="U1139" s="790"/>
      <c r="V1139" s="790"/>
      <c r="W1139" s="790"/>
      <c r="X1139" s="1303"/>
      <c r="Y1139" s="1522"/>
      <c r="Z1139" s="1586"/>
      <c r="AB1139" s="790"/>
      <c r="AC1139" s="790"/>
      <c r="AD1139" s="790"/>
      <c r="AE1139" s="790"/>
      <c r="AF1139" s="790"/>
      <c r="AG1139" s="790"/>
      <c r="AH1139" s="790"/>
      <c r="AI1139" s="790"/>
      <c r="AJ1139" s="790"/>
      <c r="AK1139" s="790"/>
      <c r="AL1139" s="790"/>
      <c r="AM1139" s="790"/>
      <c r="AN1139" s="790"/>
      <c r="AO1139" s="790"/>
      <c r="AP1139" s="790"/>
      <c r="AQ1139" s="790"/>
      <c r="AR1139" s="790"/>
      <c r="AS1139" s="790"/>
      <c r="AT1139" s="790"/>
      <c r="AU1139" s="790"/>
      <c r="AV1139" s="790"/>
      <c r="AW1139" s="790"/>
      <c r="AX1139" s="790"/>
      <c r="AY1139" s="790"/>
      <c r="AZ1139" s="790"/>
      <c r="BA1139" s="790"/>
      <c r="BB1139" s="790"/>
      <c r="BC1139" s="790"/>
      <c r="BD1139" s="790"/>
      <c r="BE1139" s="790"/>
      <c r="BF1139" s="790"/>
      <c r="BG1139" s="790"/>
      <c r="BH1139" s="790"/>
      <c r="BI1139" s="790"/>
      <c r="BJ1139" s="1184" t="s">
        <v>4763</v>
      </c>
    </row>
    <row r="1140" spans="1:62" x14ac:dyDescent="0.3">
      <c r="A1140" s="1200">
        <v>7</v>
      </c>
      <c r="B1140" s="1210" t="s">
        <v>1142</v>
      </c>
      <c r="C1140" s="1215"/>
      <c r="D1140" s="1203" t="s">
        <v>285</v>
      </c>
      <c r="E1140" s="1203"/>
      <c r="F1140" s="1203"/>
      <c r="G1140" s="1202" t="str">
        <f t="shared" ca="1" si="339"/>
        <v/>
      </c>
      <c r="H1140" s="1200" t="s">
        <v>4386</v>
      </c>
      <c r="I1140" s="4"/>
      <c r="J1140" s="649" t="s">
        <v>285</v>
      </c>
      <c r="K1140" s="823"/>
      <c r="L1140" s="1356" t="s">
        <v>1147</v>
      </c>
      <c r="M1140" s="799"/>
      <c r="N1140" s="850"/>
      <c r="O1140" s="802"/>
      <c r="P1140" s="1081"/>
      <c r="Q1140" s="1081"/>
      <c r="R1140" s="790"/>
      <c r="S1140" s="790"/>
      <c r="T1140" s="790"/>
      <c r="U1140" s="790"/>
      <c r="V1140" s="790"/>
      <c r="W1140" s="790"/>
      <c r="X1140" s="1303"/>
      <c r="Y1140" s="1522" t="str">
        <f>IF(LEN('Ch7'!X377)=0,"None",'Ch7'!X377)</f>
        <v>None</v>
      </c>
      <c r="Z1140" s="1586"/>
      <c r="AB1140" s="790"/>
      <c r="AC1140" s="790"/>
      <c r="AD1140" s="790"/>
      <c r="AE1140" s="790"/>
      <c r="AF1140" s="790"/>
      <c r="AG1140" s="790"/>
      <c r="AH1140" s="790"/>
      <c r="AI1140" s="790"/>
      <c r="AJ1140" s="790"/>
      <c r="AK1140" s="790"/>
      <c r="AL1140" s="790"/>
      <c r="AM1140" s="790"/>
      <c r="AN1140" s="790"/>
      <c r="AO1140" s="790"/>
      <c r="AP1140" s="790"/>
      <c r="AQ1140" s="790"/>
      <c r="AR1140" s="311" t="str">
        <f>SUBSTITUTE(SUBSTITUTE(SUBSTITUTE("vnt"&amp;$B1140&amp;$C1140&amp;$D1140&amp;$E1140&amp;$F1140,".","_"),"(","_"),")","")</f>
        <v>vnt703_7_1_4</v>
      </c>
      <c r="AS1140" s="311">
        <f>X1140</f>
        <v>0</v>
      </c>
      <c r="AT1140" s="790"/>
      <c r="AU1140" s="790"/>
      <c r="AV1140" s="790"/>
      <c r="AW1140" s="790"/>
      <c r="AX1140" s="790"/>
      <c r="AY1140" s="790"/>
      <c r="AZ1140" s="790"/>
      <c r="BA1140" s="790"/>
      <c r="BB1140" s="790"/>
      <c r="BC1140" s="790"/>
      <c r="BD1140" s="790"/>
      <c r="BE1140" s="790"/>
      <c r="BF1140" s="790"/>
      <c r="BG1140" s="790"/>
      <c r="BH1140" s="790"/>
      <c r="BI1140" s="790"/>
      <c r="BJ1140" s="1184" t="s">
        <v>4763</v>
      </c>
    </row>
    <row r="1141" spans="1:62" x14ac:dyDescent="0.3">
      <c r="A1141" s="1200">
        <v>7</v>
      </c>
      <c r="B1141" s="1210" t="s">
        <v>1142</v>
      </c>
      <c r="C1141" s="1215"/>
      <c r="D1141" s="1203" t="s">
        <v>285</v>
      </c>
      <c r="E1141" s="1203"/>
      <c r="F1141" s="1203"/>
      <c r="G1141" s="1202" t="str">
        <f t="shared" ca="1" si="339"/>
        <v/>
      </c>
      <c r="H1141" s="1200" t="s">
        <v>4386</v>
      </c>
      <c r="I1141" s="4"/>
      <c r="J1141" s="813"/>
      <c r="K1141" s="813"/>
      <c r="L1141" s="1306"/>
      <c r="M1141" s="799"/>
      <c r="N1141" s="850"/>
      <c r="O1141" s="802"/>
      <c r="P1141" s="1081"/>
      <c r="Q1141" s="1081"/>
      <c r="R1141" s="790"/>
      <c r="S1141" s="790"/>
      <c r="T1141" s="790"/>
      <c r="U1141" s="790"/>
      <c r="V1141" s="790"/>
      <c r="W1141" s="790"/>
      <c r="X1141" s="1303"/>
      <c r="Y1141" s="1522"/>
      <c r="Z1141" s="1586"/>
      <c r="AB1141" s="790"/>
      <c r="AC1141" s="790"/>
      <c r="AD1141" s="790"/>
      <c r="AE1141" s="790"/>
      <c r="AF1141" s="790"/>
      <c r="AG1141" s="790"/>
      <c r="AH1141" s="790"/>
      <c r="AI1141" s="790"/>
      <c r="AJ1141" s="790"/>
      <c r="AK1141" s="790"/>
      <c r="AL1141" s="790"/>
      <c r="AM1141" s="790"/>
      <c r="AN1141" s="790"/>
      <c r="AO1141" s="790"/>
      <c r="AP1141" s="790"/>
      <c r="AQ1141" s="790"/>
      <c r="AR1141" s="790"/>
      <c r="AS1141" s="790"/>
      <c r="AT1141" s="790"/>
      <c r="AU1141" s="790"/>
      <c r="AV1141" s="790"/>
      <c r="AW1141" s="790"/>
      <c r="AX1141" s="790"/>
      <c r="AY1141" s="790"/>
      <c r="AZ1141" s="790"/>
      <c r="BA1141" s="790"/>
      <c r="BB1141" s="790"/>
      <c r="BC1141" s="790"/>
      <c r="BD1141" s="790"/>
      <c r="BE1141" s="790"/>
      <c r="BF1141" s="790"/>
      <c r="BG1141" s="790"/>
      <c r="BH1141" s="790"/>
      <c r="BI1141" s="790"/>
      <c r="BJ1141" s="1184" t="s">
        <v>4763</v>
      </c>
    </row>
    <row r="1142" spans="1:62" x14ac:dyDescent="0.3">
      <c r="A1142" s="1200">
        <v>7</v>
      </c>
      <c r="B1142" s="1210" t="s">
        <v>1142</v>
      </c>
      <c r="C1142" s="1215"/>
      <c r="D1142" s="1203" t="s">
        <v>291</v>
      </c>
      <c r="E1142" s="1203"/>
      <c r="F1142" s="1203"/>
      <c r="G1142" s="1202" t="str">
        <f t="shared" ca="1" si="339"/>
        <v/>
      </c>
      <c r="H1142" s="1200" t="s">
        <v>4386</v>
      </c>
      <c r="I1142" s="4"/>
      <c r="J1142" s="649" t="s">
        <v>291</v>
      </c>
      <c r="K1142" s="823"/>
      <c r="L1142" s="1356" t="s">
        <v>1148</v>
      </c>
      <c r="M1142" s="799"/>
      <c r="N1142" s="850"/>
      <c r="O1142" s="802"/>
      <c r="P1142" s="1081"/>
      <c r="Q1142" s="1081"/>
      <c r="R1142" s="790"/>
      <c r="S1142" s="790"/>
      <c r="T1142" s="790"/>
      <c r="U1142" s="790"/>
      <c r="V1142" s="790"/>
      <c r="W1142" s="790"/>
      <c r="X1142" s="1303"/>
      <c r="Y1142" s="1522" t="str">
        <f>IF(LEN('Ch7'!X379)=0,"None",'Ch7'!X379)</f>
        <v>None</v>
      </c>
      <c r="Z1142" s="1586"/>
      <c r="AB1142" s="790"/>
      <c r="AC1142" s="790"/>
      <c r="AD1142" s="790"/>
      <c r="AE1142" s="790"/>
      <c r="AF1142" s="790"/>
      <c r="AG1142" s="790"/>
      <c r="AH1142" s="790"/>
      <c r="AI1142" s="790"/>
      <c r="AJ1142" s="790"/>
      <c r="AK1142" s="790"/>
      <c r="AL1142" s="790"/>
      <c r="AM1142" s="790"/>
      <c r="AN1142" s="790"/>
      <c r="AO1142" s="790"/>
      <c r="AP1142" s="790"/>
      <c r="AQ1142" s="790"/>
      <c r="AR1142" s="311" t="str">
        <f>SUBSTITUTE(SUBSTITUTE(SUBSTITUTE("vnt"&amp;$B1142&amp;$C1142&amp;$D1142&amp;$E1142&amp;$F1142,".","_"),"(","_"),")","")</f>
        <v>vnt703_7_1_5</v>
      </c>
      <c r="AS1142" s="311">
        <f>X1142</f>
        <v>0</v>
      </c>
      <c r="AT1142" s="790"/>
      <c r="AU1142" s="790"/>
      <c r="AV1142" s="790"/>
      <c r="AW1142" s="790"/>
      <c r="AX1142" s="790"/>
      <c r="AY1142" s="790"/>
      <c r="AZ1142" s="790"/>
      <c r="BA1142" s="790"/>
      <c r="BB1142" s="790"/>
      <c r="BC1142" s="790"/>
      <c r="BD1142" s="790"/>
      <c r="BE1142" s="790"/>
      <c r="BF1142" s="790"/>
      <c r="BG1142" s="790"/>
      <c r="BH1142" s="790"/>
      <c r="BI1142" s="790"/>
      <c r="BJ1142" s="1184" t="s">
        <v>4763</v>
      </c>
    </row>
    <row r="1143" spans="1:62" x14ac:dyDescent="0.3">
      <c r="A1143" s="1200">
        <v>7</v>
      </c>
      <c r="B1143" s="1210" t="s">
        <v>1142</v>
      </c>
      <c r="C1143" s="1215"/>
      <c r="D1143" s="1203" t="s">
        <v>291</v>
      </c>
      <c r="E1143" s="1203"/>
      <c r="F1143" s="1203"/>
      <c r="G1143" s="1202" t="str">
        <f t="shared" ca="1" si="339"/>
        <v/>
      </c>
      <c r="H1143" s="1200" t="s">
        <v>4386</v>
      </c>
      <c r="I1143" s="4"/>
      <c r="J1143" s="813"/>
      <c r="K1143" s="813"/>
      <c r="L1143" s="1306"/>
      <c r="M1143" s="799"/>
      <c r="N1143" s="850"/>
      <c r="O1143" s="802"/>
      <c r="P1143" s="1081"/>
      <c r="Q1143" s="1081"/>
      <c r="R1143" s="790"/>
      <c r="S1143" s="790"/>
      <c r="T1143" s="790"/>
      <c r="U1143" s="790"/>
      <c r="V1143" s="790"/>
      <c r="W1143" s="790"/>
      <c r="X1143" s="1303"/>
      <c r="Y1143" s="1522"/>
      <c r="Z1143" s="1586"/>
      <c r="AB1143" s="790"/>
      <c r="AC1143" s="790"/>
      <c r="AD1143" s="790"/>
      <c r="AE1143" s="790"/>
      <c r="AF1143" s="790"/>
      <c r="AG1143" s="790"/>
      <c r="AH1143" s="790"/>
      <c r="AI1143" s="790"/>
      <c r="AJ1143" s="790"/>
      <c r="AK1143" s="790"/>
      <c r="AL1143" s="790"/>
      <c r="AM1143" s="790"/>
      <c r="AN1143" s="790"/>
      <c r="AO1143" s="790"/>
      <c r="AP1143" s="790"/>
      <c r="AQ1143" s="790"/>
      <c r="AR1143" s="790"/>
      <c r="AS1143" s="790"/>
      <c r="AT1143" s="790"/>
      <c r="AU1143" s="790"/>
      <c r="AV1143" s="790"/>
      <c r="AW1143" s="790"/>
      <c r="AX1143" s="790"/>
      <c r="AY1143" s="790"/>
      <c r="AZ1143" s="790"/>
      <c r="BA1143" s="790"/>
      <c r="BB1143" s="790"/>
      <c r="BC1143" s="790"/>
      <c r="BD1143" s="790"/>
      <c r="BE1143" s="790"/>
      <c r="BF1143" s="790"/>
      <c r="BG1143" s="790"/>
      <c r="BH1143" s="790"/>
      <c r="BI1143" s="790"/>
      <c r="BJ1143" s="1184" t="s">
        <v>4763</v>
      </c>
    </row>
    <row r="1144" spans="1:62" x14ac:dyDescent="0.3">
      <c r="A1144" s="1200">
        <v>7</v>
      </c>
      <c r="B1144" s="1210" t="s">
        <v>1142</v>
      </c>
      <c r="C1144" s="1215"/>
      <c r="D1144" s="1203" t="s">
        <v>293</v>
      </c>
      <c r="E1144" s="1203"/>
      <c r="F1144" s="1203"/>
      <c r="G1144" s="1202" t="str">
        <f t="shared" ca="1" si="339"/>
        <v/>
      </c>
      <c r="H1144" s="1200" t="s">
        <v>4386</v>
      </c>
      <c r="I1144" s="4"/>
      <c r="J1144" s="260" t="s">
        <v>293</v>
      </c>
      <c r="K1144" s="819"/>
      <c r="L1144" s="819" t="s">
        <v>1149</v>
      </c>
      <c r="M1144" s="799"/>
      <c r="N1144" s="850"/>
      <c r="O1144" s="802"/>
      <c r="P1144" s="1081"/>
      <c r="Q1144" s="1081"/>
      <c r="R1144" s="790"/>
      <c r="S1144" s="790"/>
      <c r="T1144" s="790"/>
      <c r="U1144" s="790"/>
      <c r="V1144" s="790"/>
      <c r="W1144" s="790"/>
      <c r="X1144" s="790"/>
      <c r="Y1144" s="790"/>
      <c r="Z1144" s="1055"/>
      <c r="AB1144" s="790"/>
      <c r="AC1144" s="790"/>
      <c r="AD1144" s="790"/>
      <c r="AE1144" s="790"/>
      <c r="AF1144" s="790"/>
      <c r="AG1144" s="790"/>
      <c r="AH1144" s="790"/>
      <c r="AI1144" s="790"/>
      <c r="AJ1144" s="790"/>
      <c r="AK1144" s="790"/>
      <c r="AL1144" s="790"/>
      <c r="AM1144" s="790"/>
      <c r="AN1144" s="790"/>
      <c r="AO1144" s="790"/>
      <c r="AP1144" s="790"/>
      <c r="AQ1144" s="790"/>
      <c r="AR1144" s="790"/>
      <c r="AS1144" s="790"/>
      <c r="AT1144" s="790"/>
      <c r="AU1144" s="790"/>
      <c r="AV1144" s="790"/>
      <c r="AW1144" s="790"/>
      <c r="AX1144" s="790"/>
      <c r="AY1144" s="790"/>
      <c r="AZ1144" s="790"/>
      <c r="BA1144" s="790"/>
      <c r="BB1144" s="790"/>
      <c r="BC1144" s="790"/>
      <c r="BD1144" s="790"/>
      <c r="BE1144" s="790"/>
      <c r="BF1144" s="790"/>
      <c r="BG1144" s="790"/>
      <c r="BH1144" s="790"/>
      <c r="BI1144" s="790"/>
      <c r="BJ1144" s="1184" t="s">
        <v>4763</v>
      </c>
    </row>
    <row r="1145" spans="1:62" x14ac:dyDescent="0.3">
      <c r="A1145" s="1200">
        <v>7</v>
      </c>
      <c r="B1145" s="1210" t="s">
        <v>1142</v>
      </c>
      <c r="C1145" s="1215"/>
      <c r="D1145" s="1203" t="s">
        <v>293</v>
      </c>
      <c r="E1145" s="1203" t="s">
        <v>121</v>
      </c>
      <c r="F1145" s="1203"/>
      <c r="G1145" s="1202" t="str">
        <f t="shared" ca="1" si="339"/>
        <v/>
      </c>
      <c r="H1145" s="1204" t="s">
        <v>4386</v>
      </c>
      <c r="I1145" s="4"/>
      <c r="J1145" s="819"/>
      <c r="K1145" s="260" t="s">
        <v>121</v>
      </c>
      <c r="L1145" s="1367" t="s">
        <v>1150</v>
      </c>
      <c r="M1145" s="799"/>
      <c r="N1145" s="850"/>
      <c r="O1145" s="802"/>
      <c r="P1145" s="1081"/>
      <c r="Q1145" s="1081"/>
      <c r="R1145" s="790"/>
      <c r="S1145" s="790"/>
      <c r="T1145" s="790"/>
      <c r="U1145" s="790"/>
      <c r="V1145" s="790"/>
      <c r="W1145" s="790"/>
      <c r="X1145" s="1303"/>
      <c r="Y1145" s="1522" t="str">
        <f>IF(LEN('Ch7'!X382)=0,"None",'Ch7'!X382)</f>
        <v>None</v>
      </c>
      <c r="Z1145" s="1586"/>
      <c r="AB1145" s="790"/>
      <c r="AC1145" s="790"/>
      <c r="AD1145" s="790"/>
      <c r="AE1145" s="790"/>
      <c r="AF1145" s="790"/>
      <c r="AG1145" s="790"/>
      <c r="AH1145" s="790"/>
      <c r="AI1145" s="790"/>
      <c r="AJ1145" s="790"/>
      <c r="AK1145" s="790"/>
      <c r="AL1145" s="790"/>
      <c r="AM1145" s="790"/>
      <c r="AN1145" s="790"/>
      <c r="AO1145" s="790"/>
      <c r="AP1145" s="790"/>
      <c r="AQ1145" s="790"/>
      <c r="AR1145" s="311" t="str">
        <f>SUBSTITUTE(SUBSTITUTE(SUBSTITUTE("vnt"&amp;$B1145&amp;$C1145&amp;$D1145&amp;$E1145&amp;$F1145,".","_"),"(","_"),")","")</f>
        <v>vnt703_7_1_6_a</v>
      </c>
      <c r="AS1145" s="311">
        <f>X1145</f>
        <v>0</v>
      </c>
      <c r="AT1145" s="790"/>
      <c r="AU1145" s="790"/>
      <c r="AV1145" s="790"/>
      <c r="AW1145" s="790"/>
      <c r="AX1145" s="790"/>
      <c r="AY1145" s="790"/>
      <c r="AZ1145" s="790"/>
      <c r="BA1145" s="790"/>
      <c r="BB1145" s="790"/>
      <c r="BC1145" s="790"/>
      <c r="BD1145" s="790"/>
      <c r="BE1145" s="790"/>
      <c r="BF1145" s="790"/>
      <c r="BG1145" s="790"/>
      <c r="BH1145" s="790"/>
      <c r="BI1145" s="790"/>
      <c r="BJ1145" s="1184" t="s">
        <v>4763</v>
      </c>
    </row>
    <row r="1146" spans="1:62" x14ac:dyDescent="0.3">
      <c r="A1146" s="1200">
        <v>7</v>
      </c>
      <c r="B1146" s="1210" t="s">
        <v>1142</v>
      </c>
      <c r="C1146" s="1215"/>
      <c r="D1146" s="1203" t="s">
        <v>293</v>
      </c>
      <c r="E1146" s="1203" t="s">
        <v>121</v>
      </c>
      <c r="F1146" s="1203"/>
      <c r="G1146" s="1202" t="str">
        <f t="shared" ca="1" si="339"/>
        <v/>
      </c>
      <c r="H1146" s="1204" t="s">
        <v>4386</v>
      </c>
      <c r="I1146" s="4"/>
      <c r="J1146" s="819"/>
      <c r="K1146" s="260"/>
      <c r="L1146" s="1367"/>
      <c r="M1146" s="799"/>
      <c r="N1146" s="850"/>
      <c r="O1146" s="802"/>
      <c r="P1146" s="1081"/>
      <c r="Q1146" s="1081"/>
      <c r="R1146" s="790"/>
      <c r="S1146" s="790"/>
      <c r="T1146" s="790"/>
      <c r="U1146" s="790"/>
      <c r="V1146" s="790"/>
      <c r="W1146" s="790"/>
      <c r="X1146" s="1303"/>
      <c r="Y1146" s="1522"/>
      <c r="Z1146" s="1586"/>
      <c r="AB1146" s="790"/>
      <c r="AC1146" s="790"/>
      <c r="AD1146" s="790"/>
      <c r="AE1146" s="790"/>
      <c r="AF1146" s="790"/>
      <c r="AG1146" s="790"/>
      <c r="AH1146" s="790"/>
      <c r="AI1146" s="790"/>
      <c r="AJ1146" s="790"/>
      <c r="AK1146" s="790"/>
      <c r="AL1146" s="790"/>
      <c r="AM1146" s="790"/>
      <c r="AN1146" s="790"/>
      <c r="AO1146" s="790"/>
      <c r="AP1146" s="790"/>
      <c r="AQ1146" s="790"/>
      <c r="AR1146" s="790"/>
      <c r="AS1146" s="790"/>
      <c r="AT1146" s="790"/>
      <c r="AU1146" s="790"/>
      <c r="AV1146" s="790"/>
      <c r="AW1146" s="790"/>
      <c r="AX1146" s="790"/>
      <c r="AY1146" s="790"/>
      <c r="AZ1146" s="790"/>
      <c r="BA1146" s="790"/>
      <c r="BB1146" s="790"/>
      <c r="BC1146" s="790"/>
      <c r="BD1146" s="790"/>
      <c r="BE1146" s="790"/>
      <c r="BF1146" s="790"/>
      <c r="BG1146" s="790"/>
      <c r="BH1146" s="790"/>
      <c r="BI1146" s="790"/>
      <c r="BJ1146" s="1184" t="s">
        <v>4763</v>
      </c>
    </row>
    <row r="1147" spans="1:62" x14ac:dyDescent="0.3">
      <c r="A1147" s="1200">
        <v>7</v>
      </c>
      <c r="B1147" s="1210" t="s">
        <v>1142</v>
      </c>
      <c r="C1147" s="1215"/>
      <c r="D1147" s="1203" t="s">
        <v>293</v>
      </c>
      <c r="E1147" s="1203" t="s">
        <v>122</v>
      </c>
      <c r="F1147" s="1203"/>
      <c r="G1147" s="1202" t="str">
        <f t="shared" ca="1" si="339"/>
        <v/>
      </c>
      <c r="H1147" s="1204" t="s">
        <v>4386</v>
      </c>
      <c r="I1147" s="4"/>
      <c r="J1147" s="819"/>
      <c r="K1147" s="260" t="s">
        <v>122</v>
      </c>
      <c r="L1147" s="819" t="s">
        <v>1151</v>
      </c>
      <c r="M1147" s="799"/>
      <c r="N1147" s="850"/>
      <c r="O1147" s="802"/>
      <c r="P1147" s="1081"/>
      <c r="Q1147" s="1081"/>
      <c r="R1147" s="790"/>
      <c r="S1147" s="790"/>
      <c r="T1147" s="790"/>
      <c r="U1147" s="790"/>
      <c r="V1147" s="790"/>
      <c r="W1147" s="790"/>
      <c r="X1147" s="809"/>
      <c r="Y1147" s="841" t="str">
        <f>IF(LEN('Ch7'!X384)=0,"None",'Ch7'!X384)</f>
        <v>None</v>
      </c>
      <c r="Z1147" s="1169"/>
      <c r="AB1147" s="790"/>
      <c r="AC1147" s="790"/>
      <c r="AD1147" s="790"/>
      <c r="AE1147" s="790"/>
      <c r="AF1147" s="790"/>
      <c r="AG1147" s="790"/>
      <c r="AH1147" s="790"/>
      <c r="AI1147" s="790"/>
      <c r="AJ1147" s="790"/>
      <c r="AK1147" s="790"/>
      <c r="AL1147" s="790"/>
      <c r="AM1147" s="790"/>
      <c r="AN1147" s="790"/>
      <c r="AO1147" s="790"/>
      <c r="AP1147" s="790"/>
      <c r="AQ1147" s="790"/>
      <c r="AR1147" s="311" t="str">
        <f t="shared" ref="AR1147:AR1148" si="340">SUBSTITUTE(SUBSTITUTE(SUBSTITUTE("vnt"&amp;$B1147&amp;$C1147&amp;$D1147&amp;$E1147&amp;$F1147,".","_"),"(","_"),")","")</f>
        <v>vnt703_7_1_6_b</v>
      </c>
      <c r="AS1147" s="311">
        <f>X1147</f>
        <v>0</v>
      </c>
      <c r="AT1147" s="790"/>
      <c r="AU1147" s="790"/>
      <c r="AV1147" s="790"/>
      <c r="AW1147" s="790"/>
      <c r="AX1147" s="790"/>
      <c r="AY1147" s="790"/>
      <c r="AZ1147" s="790"/>
      <c r="BA1147" s="790"/>
      <c r="BB1147" s="790"/>
      <c r="BC1147" s="790"/>
      <c r="BD1147" s="790"/>
      <c r="BE1147" s="790"/>
      <c r="BF1147" s="790"/>
      <c r="BG1147" s="790"/>
      <c r="BH1147" s="790"/>
      <c r="BI1147" s="790"/>
      <c r="BJ1147" s="1184" t="s">
        <v>4763</v>
      </c>
    </row>
    <row r="1148" spans="1:62" x14ac:dyDescent="0.3">
      <c r="A1148" s="1200">
        <v>7</v>
      </c>
      <c r="B1148" s="1210" t="s">
        <v>1142</v>
      </c>
      <c r="C1148" s="1215"/>
      <c r="D1148" s="1203" t="s">
        <v>293</v>
      </c>
      <c r="E1148" s="1205" t="s">
        <v>123</v>
      </c>
      <c r="F1148" s="1205"/>
      <c r="G1148" s="1202" t="str">
        <f t="shared" ca="1" si="339"/>
        <v/>
      </c>
      <c r="H1148" s="1206" t="s">
        <v>4386</v>
      </c>
      <c r="I1148" s="4"/>
      <c r="J1148" s="812"/>
      <c r="K1148" s="655" t="s">
        <v>123</v>
      </c>
      <c r="L1148" s="1305" t="s">
        <v>1152</v>
      </c>
      <c r="M1148" s="799"/>
      <c r="N1148" s="850"/>
      <c r="O1148" s="802"/>
      <c r="P1148" s="1081"/>
      <c r="Q1148" s="1081"/>
      <c r="R1148" s="790"/>
      <c r="S1148" s="790"/>
      <c r="T1148" s="790"/>
      <c r="U1148" s="790"/>
      <c r="V1148" s="790"/>
      <c r="W1148" s="790"/>
      <c r="X1148" s="1303"/>
      <c r="Y1148" s="1522" t="str">
        <f>IF(LEN('Ch7'!X385)=0,"None",'Ch7'!X385)</f>
        <v>None</v>
      </c>
      <c r="Z1148" s="1586"/>
      <c r="AB1148" s="790"/>
      <c r="AC1148" s="790"/>
      <c r="AD1148" s="790"/>
      <c r="AE1148" s="790"/>
      <c r="AF1148" s="790"/>
      <c r="AG1148" s="790"/>
      <c r="AH1148" s="790"/>
      <c r="AI1148" s="790"/>
      <c r="AJ1148" s="790"/>
      <c r="AK1148" s="790"/>
      <c r="AL1148" s="790"/>
      <c r="AM1148" s="790"/>
      <c r="AN1148" s="790"/>
      <c r="AO1148" s="790"/>
      <c r="AP1148" s="790"/>
      <c r="AQ1148" s="790"/>
      <c r="AR1148" s="311" t="str">
        <f t="shared" si="340"/>
        <v>vnt703_7_1_6_c</v>
      </c>
      <c r="AS1148" s="311">
        <f>X1148</f>
        <v>0</v>
      </c>
      <c r="AT1148" s="790"/>
      <c r="AU1148" s="790"/>
      <c r="AV1148" s="790"/>
      <c r="AW1148" s="790"/>
      <c r="AX1148" s="790"/>
      <c r="AY1148" s="790"/>
      <c r="AZ1148" s="790"/>
      <c r="BA1148" s="790"/>
      <c r="BB1148" s="790"/>
      <c r="BC1148" s="790"/>
      <c r="BD1148" s="790"/>
      <c r="BE1148" s="790"/>
      <c r="BF1148" s="790"/>
      <c r="BG1148" s="790"/>
      <c r="BH1148" s="790"/>
      <c r="BI1148" s="790"/>
      <c r="BJ1148" s="1184" t="s">
        <v>4763</v>
      </c>
    </row>
    <row r="1149" spans="1:62" x14ac:dyDescent="0.3">
      <c r="A1149" s="1200">
        <v>7</v>
      </c>
      <c r="B1149" s="1210" t="s">
        <v>1142</v>
      </c>
      <c r="C1149" s="1215"/>
      <c r="D1149" s="1203" t="s">
        <v>293</v>
      </c>
      <c r="E1149" s="1205" t="s">
        <v>123</v>
      </c>
      <c r="F1149" s="1203"/>
      <c r="G1149" s="1202" t="str">
        <f t="shared" ca="1" si="339"/>
        <v/>
      </c>
      <c r="H1149" s="1200" t="s">
        <v>4386</v>
      </c>
      <c r="I1149" s="4"/>
      <c r="J1149" s="813"/>
      <c r="K1149" s="813"/>
      <c r="L1149" s="1306"/>
      <c r="M1149" s="799"/>
      <c r="N1149" s="850"/>
      <c r="O1149" s="802"/>
      <c r="P1149" s="1081"/>
      <c r="Q1149" s="1081"/>
      <c r="R1149" s="790"/>
      <c r="S1149" s="790"/>
      <c r="T1149" s="790"/>
      <c r="U1149" s="790"/>
      <c r="V1149" s="790"/>
      <c r="W1149" s="790"/>
      <c r="X1149" s="1303"/>
      <c r="Y1149" s="1522"/>
      <c r="Z1149" s="1586"/>
      <c r="AB1149" s="790"/>
      <c r="AC1149" s="790"/>
      <c r="AD1149" s="790"/>
      <c r="AE1149" s="790"/>
      <c r="AF1149" s="790"/>
      <c r="AG1149" s="790"/>
      <c r="AH1149" s="790"/>
      <c r="AI1149" s="790"/>
      <c r="AJ1149" s="790"/>
      <c r="AK1149" s="790"/>
      <c r="AL1149" s="790"/>
      <c r="AM1149" s="790"/>
      <c r="AN1149" s="790"/>
      <c r="AO1149" s="790"/>
      <c r="AP1149" s="790"/>
      <c r="AQ1149" s="790"/>
      <c r="AR1149" s="790"/>
      <c r="AS1149" s="790"/>
      <c r="AT1149" s="790"/>
      <c r="AU1149" s="790"/>
      <c r="AV1149" s="790"/>
      <c r="AW1149" s="790"/>
      <c r="AX1149" s="790"/>
      <c r="AY1149" s="790"/>
      <c r="AZ1149" s="790"/>
      <c r="BA1149" s="790"/>
      <c r="BB1149" s="790"/>
      <c r="BC1149" s="790"/>
      <c r="BD1149" s="790"/>
      <c r="BE1149" s="790"/>
      <c r="BF1149" s="790"/>
      <c r="BG1149" s="790"/>
      <c r="BH1149" s="790"/>
      <c r="BI1149" s="790"/>
      <c r="BJ1149" s="1184" t="s">
        <v>4763</v>
      </c>
    </row>
    <row r="1150" spans="1:62" x14ac:dyDescent="0.3">
      <c r="A1150" s="1200">
        <v>7</v>
      </c>
      <c r="B1150" s="1210" t="s">
        <v>1142</v>
      </c>
      <c r="C1150" s="1215"/>
      <c r="D1150" s="1203" t="s">
        <v>405</v>
      </c>
      <c r="E1150" s="1203"/>
      <c r="F1150" s="1203"/>
      <c r="G1150" s="1202" t="str">
        <f t="shared" ca="1" si="339"/>
        <v/>
      </c>
      <c r="H1150" s="1200" t="s">
        <v>4386</v>
      </c>
      <c r="I1150" s="4"/>
      <c r="J1150" s="649" t="s">
        <v>405</v>
      </c>
      <c r="K1150" s="823"/>
      <c r="L1150" s="1356" t="s">
        <v>3880</v>
      </c>
      <c r="M1150" s="799"/>
      <c r="N1150" s="850"/>
      <c r="O1150" s="802"/>
      <c r="P1150" s="1081"/>
      <c r="Q1150" s="1081"/>
      <c r="R1150" s="790"/>
      <c r="S1150" s="790"/>
      <c r="T1150" s="790"/>
      <c r="U1150" s="790"/>
      <c r="V1150" s="790"/>
      <c r="W1150" s="790"/>
      <c r="X1150" s="1303"/>
      <c r="Y1150" s="1522" t="str">
        <f>IF(LEN('Ch7'!X387)=0,"None",'Ch7'!X387)</f>
        <v>None</v>
      </c>
      <c r="Z1150" s="1586"/>
      <c r="AB1150" s="790"/>
      <c r="AC1150" s="790"/>
      <c r="AD1150" s="790"/>
      <c r="AE1150" s="790"/>
      <c r="AF1150" s="790"/>
      <c r="AG1150" s="790"/>
      <c r="AH1150" s="790"/>
      <c r="AI1150" s="790"/>
      <c r="AJ1150" s="790"/>
      <c r="AK1150" s="790"/>
      <c r="AL1150" s="790"/>
      <c r="AM1150" s="790"/>
      <c r="AN1150" s="790"/>
      <c r="AO1150" s="790"/>
      <c r="AP1150" s="790"/>
      <c r="AQ1150" s="790"/>
      <c r="AR1150" s="311" t="str">
        <f>SUBSTITUTE(SUBSTITUTE(SUBSTITUTE("vnt"&amp;$B1150&amp;$C1150&amp;$D1150&amp;$E1150&amp;$F1150,".","_"),"(","_"),")","")</f>
        <v>vnt703_7_1_7</v>
      </c>
      <c r="AS1150" s="311">
        <f>X1150</f>
        <v>0</v>
      </c>
      <c r="AT1150" s="790"/>
      <c r="AU1150" s="790"/>
      <c r="AV1150" s="790"/>
      <c r="AW1150" s="790"/>
      <c r="AX1150" s="790"/>
      <c r="AY1150" s="790"/>
      <c r="AZ1150" s="790"/>
      <c r="BA1150" s="790"/>
      <c r="BB1150" s="790"/>
      <c r="BC1150" s="790"/>
      <c r="BD1150" s="790"/>
      <c r="BE1150" s="790"/>
      <c r="BF1150" s="790"/>
      <c r="BG1150" s="790"/>
      <c r="BH1150" s="790"/>
      <c r="BI1150" s="790"/>
      <c r="BJ1150" s="1184" t="s">
        <v>4763</v>
      </c>
    </row>
    <row r="1151" spans="1:62" x14ac:dyDescent="0.3">
      <c r="A1151" s="1200">
        <v>7</v>
      </c>
      <c r="B1151" s="1210" t="s">
        <v>1142</v>
      </c>
      <c r="C1151" s="1215"/>
      <c r="D1151" s="1203" t="s">
        <v>405</v>
      </c>
      <c r="E1151" s="1203"/>
      <c r="F1151" s="1203"/>
      <c r="G1151" s="1202" t="str">
        <f t="shared" ca="1" si="339"/>
        <v/>
      </c>
      <c r="H1151" s="1200" t="s">
        <v>4386</v>
      </c>
      <c r="I1151" s="4"/>
      <c r="J1151" s="812"/>
      <c r="K1151" s="812"/>
      <c r="L1151" s="1305"/>
      <c r="M1151" s="799"/>
      <c r="N1151" s="850"/>
      <c r="O1151" s="802"/>
      <c r="P1151" s="1081"/>
      <c r="Q1151" s="1081"/>
      <c r="R1151" s="790"/>
      <c r="S1151" s="790"/>
      <c r="T1151" s="790"/>
      <c r="U1151" s="790"/>
      <c r="V1151" s="790"/>
      <c r="W1151" s="790"/>
      <c r="X1151" s="1303"/>
      <c r="Y1151" s="1522"/>
      <c r="Z1151" s="1586"/>
      <c r="AB1151" s="790"/>
      <c r="AC1151" s="790"/>
      <c r="AD1151" s="790"/>
      <c r="AE1151" s="790"/>
      <c r="AF1151" s="790"/>
      <c r="AG1151" s="790"/>
      <c r="AH1151" s="790"/>
      <c r="AI1151" s="790"/>
      <c r="AJ1151" s="790"/>
      <c r="AK1151" s="790"/>
      <c r="AL1151" s="790"/>
      <c r="AM1151" s="790"/>
      <c r="AN1151" s="790"/>
      <c r="AO1151" s="790"/>
      <c r="AP1151" s="790"/>
      <c r="AQ1151" s="790"/>
      <c r="AR1151" s="790"/>
      <c r="AS1151" s="790"/>
      <c r="AT1151" s="790"/>
      <c r="AU1151" s="790"/>
      <c r="AV1151" s="790"/>
      <c r="AW1151" s="790"/>
      <c r="AX1151" s="790"/>
      <c r="AY1151" s="790"/>
      <c r="AZ1151" s="790"/>
      <c r="BA1151" s="790"/>
      <c r="BB1151" s="790"/>
      <c r="BC1151" s="790"/>
      <c r="BD1151" s="790"/>
      <c r="BE1151" s="790"/>
      <c r="BF1151" s="790"/>
      <c r="BG1151" s="790"/>
      <c r="BH1151" s="790"/>
      <c r="BI1151" s="790"/>
      <c r="BJ1151" s="1184" t="s">
        <v>4763</v>
      </c>
    </row>
    <row r="1152" spans="1:62" x14ac:dyDescent="0.3">
      <c r="A1152" s="1200">
        <v>7</v>
      </c>
      <c r="B1152" s="1210" t="s">
        <v>1142</v>
      </c>
      <c r="C1152" s="1215"/>
      <c r="D1152" s="1203" t="s">
        <v>405</v>
      </c>
      <c r="E1152" s="1203"/>
      <c r="F1152" s="1203"/>
      <c r="G1152" s="1202" t="str">
        <f t="shared" ca="1" si="339"/>
        <v/>
      </c>
      <c r="H1152" s="1200" t="s">
        <v>4386</v>
      </c>
      <c r="I1152" s="4"/>
      <c r="J1152" s="813"/>
      <c r="K1152" s="813"/>
      <c r="L1152" s="623" t="s">
        <v>3881</v>
      </c>
      <c r="M1152" s="799"/>
      <c r="N1152" s="850"/>
      <c r="O1152" s="802"/>
      <c r="P1152" s="1081"/>
      <c r="Q1152" s="1081"/>
      <c r="R1152" s="790"/>
      <c r="S1152" s="790"/>
      <c r="T1152" s="790"/>
      <c r="U1152" s="790"/>
      <c r="V1152" s="790"/>
      <c r="W1152" s="790"/>
      <c r="X1152" s="1303"/>
      <c r="Y1152" s="1522"/>
      <c r="Z1152" s="1586"/>
      <c r="AB1152" s="790"/>
      <c r="AC1152" s="790"/>
      <c r="AD1152" s="790"/>
      <c r="AE1152" s="790"/>
      <c r="AF1152" s="790"/>
      <c r="AG1152" s="790"/>
      <c r="AH1152" s="790"/>
      <c r="AI1152" s="790"/>
      <c r="AJ1152" s="790"/>
      <c r="AK1152" s="790"/>
      <c r="AL1152" s="790"/>
      <c r="AM1152" s="790"/>
      <c r="AN1152" s="790"/>
      <c r="AO1152" s="790"/>
      <c r="AP1152" s="790"/>
      <c r="AQ1152" s="790"/>
      <c r="AR1152" s="790"/>
      <c r="AS1152" s="790"/>
      <c r="AT1152" s="790"/>
      <c r="AU1152" s="790"/>
      <c r="AV1152" s="790"/>
      <c r="AW1152" s="790"/>
      <c r="AX1152" s="790"/>
      <c r="AY1152" s="790"/>
      <c r="AZ1152" s="790"/>
      <c r="BA1152" s="790"/>
      <c r="BB1152" s="790"/>
      <c r="BC1152" s="790"/>
      <c r="BD1152" s="790"/>
      <c r="BE1152" s="790"/>
      <c r="BF1152" s="790"/>
      <c r="BG1152" s="790"/>
      <c r="BH1152" s="790"/>
      <c r="BI1152" s="790"/>
      <c r="BJ1152" s="1184" t="s">
        <v>4763</v>
      </c>
    </row>
    <row r="1153" spans="1:62" x14ac:dyDescent="0.3">
      <c r="A1153" s="1200">
        <v>7</v>
      </c>
      <c r="B1153" s="1210" t="s">
        <v>1142</v>
      </c>
      <c r="C1153" s="1215"/>
      <c r="D1153" s="1203" t="s">
        <v>456</v>
      </c>
      <c r="E1153" s="1203"/>
      <c r="F1153" s="1203"/>
      <c r="G1153" s="1202" t="str">
        <f t="shared" ca="1" si="339"/>
        <v/>
      </c>
      <c r="H1153" s="1200" t="s">
        <v>4386</v>
      </c>
      <c r="I1153" s="4"/>
      <c r="J1153" s="650" t="s">
        <v>456</v>
      </c>
      <c r="K1153" s="365"/>
      <c r="L1153" s="365" t="s">
        <v>1153</v>
      </c>
      <c r="M1153" s="799"/>
      <c r="N1153" s="850"/>
      <c r="O1153" s="802"/>
      <c r="P1153" s="1081"/>
      <c r="Q1153" s="1081"/>
      <c r="R1153" s="790"/>
      <c r="S1153" s="790"/>
      <c r="T1153" s="790"/>
      <c r="U1153" s="790"/>
      <c r="V1153" s="790"/>
      <c r="W1153" s="790"/>
      <c r="X1153" s="809"/>
      <c r="Y1153" s="841" t="str">
        <f>IF(LEN('Ch7'!X390)=0,"None",'Ch7'!X390)</f>
        <v>None</v>
      </c>
      <c r="Z1153" s="1169"/>
      <c r="AB1153" s="790"/>
      <c r="AC1153" s="790"/>
      <c r="AD1153" s="790"/>
      <c r="AE1153" s="790"/>
      <c r="AF1153" s="790"/>
      <c r="AG1153" s="790"/>
      <c r="AH1153" s="790"/>
      <c r="AI1153" s="790"/>
      <c r="AJ1153" s="790"/>
      <c r="AK1153" s="790"/>
      <c r="AL1153" s="790"/>
      <c r="AM1153" s="790"/>
      <c r="AN1153" s="790"/>
      <c r="AO1153" s="790"/>
      <c r="AP1153" s="790"/>
      <c r="AQ1153" s="790"/>
      <c r="AR1153" s="311" t="str">
        <f t="shared" ref="AR1153:AR1155" si="341">SUBSTITUTE(SUBSTITUTE(SUBSTITUTE("vnt"&amp;$B1153&amp;$C1153&amp;$D1153&amp;$E1153&amp;$F1153,".","_"),"(","_"),")","")</f>
        <v>vnt703_7_1_8</v>
      </c>
      <c r="AS1153" s="311">
        <f>X1153</f>
        <v>0</v>
      </c>
      <c r="AT1153" s="790"/>
      <c r="AU1153" s="790"/>
      <c r="AV1153" s="790"/>
      <c r="AW1153" s="790"/>
      <c r="AX1153" s="790"/>
      <c r="AY1153" s="790"/>
      <c r="AZ1153" s="790"/>
      <c r="BA1153" s="790"/>
      <c r="BB1153" s="790"/>
      <c r="BC1153" s="790"/>
      <c r="BD1153" s="790"/>
      <c r="BE1153" s="790"/>
      <c r="BF1153" s="790"/>
      <c r="BG1153" s="790"/>
      <c r="BH1153" s="790"/>
      <c r="BI1153" s="790"/>
      <c r="BJ1153" s="1184" t="s">
        <v>4763</v>
      </c>
    </row>
    <row r="1154" spans="1:62" x14ac:dyDescent="0.3">
      <c r="A1154" s="1200">
        <v>7</v>
      </c>
      <c r="B1154" s="1210" t="s">
        <v>1142</v>
      </c>
      <c r="C1154" s="1215"/>
      <c r="D1154" s="1203" t="s">
        <v>458</v>
      </c>
      <c r="E1154" s="1203"/>
      <c r="F1154" s="1203"/>
      <c r="G1154" s="1202" t="str">
        <f t="shared" ca="1" si="339"/>
        <v/>
      </c>
      <c r="H1154" s="1200" t="s">
        <v>4386</v>
      </c>
      <c r="I1154" s="4"/>
      <c r="J1154" s="260" t="s">
        <v>458</v>
      </c>
      <c r="K1154" s="819"/>
      <c r="L1154" s="819" t="s">
        <v>1154</v>
      </c>
      <c r="M1154" s="799"/>
      <c r="N1154" s="850"/>
      <c r="O1154" s="802"/>
      <c r="P1154" s="1081"/>
      <c r="Q1154" s="1081"/>
      <c r="R1154" s="790"/>
      <c r="S1154" s="790"/>
      <c r="T1154" s="790"/>
      <c r="U1154" s="790"/>
      <c r="V1154" s="790"/>
      <c r="W1154" s="790"/>
      <c r="X1154" s="809"/>
      <c r="Y1154" s="841" t="str">
        <f>IF(LEN('Ch7'!X391)=0,"None",'Ch7'!X391)</f>
        <v>None</v>
      </c>
      <c r="Z1154" s="1169"/>
      <c r="AB1154" s="790"/>
      <c r="AC1154" s="790"/>
      <c r="AD1154" s="790"/>
      <c r="AE1154" s="790"/>
      <c r="AF1154" s="790"/>
      <c r="AG1154" s="790"/>
      <c r="AH1154" s="790"/>
      <c r="AI1154" s="790"/>
      <c r="AJ1154" s="790"/>
      <c r="AK1154" s="790"/>
      <c r="AL1154" s="790"/>
      <c r="AM1154" s="790"/>
      <c r="AN1154" s="790"/>
      <c r="AO1154" s="790"/>
      <c r="AP1154" s="790"/>
      <c r="AQ1154" s="790"/>
      <c r="AR1154" s="311" t="str">
        <f t="shared" si="341"/>
        <v>vnt703_7_1_9</v>
      </c>
      <c r="AS1154" s="311">
        <f>X1154</f>
        <v>0</v>
      </c>
      <c r="AT1154" s="790"/>
      <c r="AU1154" s="790"/>
      <c r="AV1154" s="790"/>
      <c r="AW1154" s="790"/>
      <c r="AX1154" s="790"/>
      <c r="AY1154" s="790"/>
      <c r="AZ1154" s="790"/>
      <c r="BA1154" s="790"/>
      <c r="BB1154" s="790"/>
      <c r="BC1154" s="790"/>
      <c r="BD1154" s="790"/>
      <c r="BE1154" s="790"/>
      <c r="BF1154" s="790"/>
      <c r="BG1154" s="790"/>
      <c r="BH1154" s="790"/>
      <c r="BI1154" s="790"/>
      <c r="BJ1154" s="1184" t="s">
        <v>4763</v>
      </c>
    </row>
    <row r="1155" spans="1:62" x14ac:dyDescent="0.3">
      <c r="A1155" s="1200">
        <v>7</v>
      </c>
      <c r="B1155" s="1210" t="s">
        <v>1142</v>
      </c>
      <c r="C1155" s="1215"/>
      <c r="D1155" s="1203"/>
      <c r="E1155" s="1203"/>
      <c r="F1155" s="1203"/>
      <c r="G1155" s="1202" t="str">
        <f t="shared" ca="1" si="339"/>
        <v/>
      </c>
      <c r="H1155" s="1200" t="s">
        <v>4386</v>
      </c>
      <c r="I1155" s="140"/>
      <c r="J1155" s="812"/>
      <c r="K1155" s="812"/>
      <c r="L1155" s="1394" t="s">
        <v>3877</v>
      </c>
      <c r="M1155" s="795"/>
      <c r="N1155" s="854"/>
      <c r="O1155" s="803"/>
      <c r="P1155" s="97"/>
      <c r="Q1155" s="97"/>
      <c r="R1155" s="97"/>
      <c r="S1155" s="97"/>
      <c r="T1155" s="97"/>
      <c r="U1155" s="97"/>
      <c r="V1155" s="97"/>
      <c r="W1155" s="97"/>
      <c r="X1155" s="1295"/>
      <c r="Y1155" s="1522" t="str">
        <f>IF(LEN('Ch7'!X392)=0,"None",'Ch7'!X392)</f>
        <v>None</v>
      </c>
      <c r="Z1155" s="1586"/>
      <c r="AB1155" s="790"/>
      <c r="AC1155" s="790"/>
      <c r="AD1155" s="790"/>
      <c r="AE1155" s="790"/>
      <c r="AF1155" s="790"/>
      <c r="AG1155" s="790"/>
      <c r="AH1155" s="790"/>
      <c r="AI1155" s="790"/>
      <c r="AJ1155" s="790"/>
      <c r="AK1155" s="790"/>
      <c r="AL1155" s="790"/>
      <c r="AM1155" s="790"/>
      <c r="AN1155" s="790"/>
      <c r="AO1155" s="790"/>
      <c r="AP1155" s="790"/>
      <c r="AQ1155" s="790"/>
      <c r="AR1155" s="311" t="str">
        <f t="shared" si="341"/>
        <v>vnt703_7_1</v>
      </c>
      <c r="AS1155" s="311">
        <f>X1155</f>
        <v>0</v>
      </c>
      <c r="AT1155" s="790"/>
      <c r="AU1155" s="790"/>
      <c r="AV1155" s="790"/>
      <c r="AW1155" s="790"/>
      <c r="AX1155" s="790"/>
      <c r="AY1155" s="790"/>
      <c r="AZ1155" s="790"/>
      <c r="BA1155" s="790"/>
      <c r="BB1155" s="790"/>
      <c r="BC1155" s="790"/>
      <c r="BD1155" s="790"/>
      <c r="BE1155" s="790"/>
      <c r="BF1155" s="790"/>
      <c r="BG1155" s="790"/>
      <c r="BH1155" s="790"/>
      <c r="BI1155" s="790"/>
      <c r="BJ1155" s="1184" t="s">
        <v>4763</v>
      </c>
    </row>
    <row r="1156" spans="1:62" x14ac:dyDescent="0.3">
      <c r="A1156" s="1200">
        <v>7</v>
      </c>
      <c r="B1156" s="1210" t="s">
        <v>1142</v>
      </c>
      <c r="C1156" s="1215"/>
      <c r="D1156" s="1203"/>
      <c r="E1156" s="1203"/>
      <c r="F1156" s="1203"/>
      <c r="G1156" s="1202" t="str">
        <f t="shared" ca="1" si="339"/>
        <v/>
      </c>
      <c r="H1156" s="1200" t="s">
        <v>4386</v>
      </c>
      <c r="I1156" s="140"/>
      <c r="J1156" s="812"/>
      <c r="K1156" s="812"/>
      <c r="L1156" s="1394"/>
      <c r="M1156" s="795"/>
      <c r="N1156" s="854"/>
      <c r="O1156" s="803"/>
      <c r="P1156" s="97"/>
      <c r="Q1156" s="97"/>
      <c r="R1156" s="97"/>
      <c r="S1156" s="97"/>
      <c r="T1156" s="97"/>
      <c r="U1156" s="97"/>
      <c r="V1156" s="97"/>
      <c r="W1156" s="97"/>
      <c r="X1156" s="1295"/>
      <c r="Y1156" s="1522"/>
      <c r="Z1156" s="1586"/>
      <c r="AB1156" s="790"/>
      <c r="AC1156" s="790"/>
      <c r="AD1156" s="790"/>
      <c r="AE1156" s="790"/>
      <c r="AF1156" s="790"/>
      <c r="AG1156" s="790"/>
      <c r="AH1156" s="790"/>
      <c r="AI1156" s="790"/>
      <c r="AJ1156" s="790"/>
      <c r="AK1156" s="790"/>
      <c r="AL1156" s="790"/>
      <c r="AM1156" s="790"/>
      <c r="AN1156" s="790"/>
      <c r="AO1156" s="790"/>
      <c r="AP1156" s="790"/>
      <c r="AQ1156" s="790"/>
      <c r="AR1156" s="790"/>
      <c r="AS1156" s="790"/>
      <c r="AT1156" s="790"/>
      <c r="AU1156" s="790"/>
      <c r="AV1156" s="790"/>
      <c r="AW1156" s="790"/>
      <c r="AX1156" s="790"/>
      <c r="AY1156" s="790"/>
      <c r="AZ1156" s="790"/>
      <c r="BA1156" s="790"/>
      <c r="BB1156" s="790"/>
      <c r="BC1156" s="790"/>
      <c r="BD1156" s="790"/>
      <c r="BE1156" s="790"/>
      <c r="BF1156" s="790"/>
      <c r="BG1156" s="790"/>
      <c r="BH1156" s="790"/>
      <c r="BI1156" s="790"/>
      <c r="BJ1156" s="1184" t="s">
        <v>4763</v>
      </c>
    </row>
    <row r="1157" spans="1:62" x14ac:dyDescent="0.3">
      <c r="A1157" s="1200">
        <v>7</v>
      </c>
      <c r="B1157" s="1210" t="s">
        <v>1142</v>
      </c>
      <c r="C1157" s="1215"/>
      <c r="D1157" s="1203"/>
      <c r="E1157" s="1203"/>
      <c r="F1157" s="1203"/>
      <c r="G1157" s="1202" t="str">
        <f t="shared" ca="1" si="339"/>
        <v/>
      </c>
      <c r="H1157" s="1200" t="s">
        <v>4386</v>
      </c>
      <c r="I1157" s="140"/>
      <c r="J1157" s="812"/>
      <c r="K1157" s="812"/>
      <c r="L1157" s="1394"/>
      <c r="M1157" s="795"/>
      <c r="N1157" s="854"/>
      <c r="O1157" s="803"/>
      <c r="P1157" s="97"/>
      <c r="Q1157" s="97"/>
      <c r="R1157" s="97"/>
      <c r="S1157" s="97"/>
      <c r="T1157" s="97"/>
      <c r="U1157" s="97"/>
      <c r="V1157" s="97"/>
      <c r="W1157" s="97"/>
      <c r="X1157" s="1295"/>
      <c r="Y1157" s="1522"/>
      <c r="Z1157" s="1586"/>
      <c r="AB1157" s="790"/>
      <c r="AC1157" s="790"/>
      <c r="AD1157" s="790"/>
      <c r="AE1157" s="790"/>
      <c r="AF1157" s="790"/>
      <c r="AG1157" s="790"/>
      <c r="AH1157" s="790"/>
      <c r="AI1157" s="790"/>
      <c r="AJ1157" s="790"/>
      <c r="AK1157" s="790"/>
      <c r="AL1157" s="790"/>
      <c r="AM1157" s="790"/>
      <c r="AN1157" s="790"/>
      <c r="AO1157" s="790"/>
      <c r="AP1157" s="790"/>
      <c r="AQ1157" s="790"/>
      <c r="AR1157" s="790"/>
      <c r="AS1157" s="790"/>
      <c r="AT1157" s="790"/>
      <c r="AU1157" s="790"/>
      <c r="AV1157" s="790"/>
      <c r="AW1157" s="790"/>
      <c r="AX1157" s="790"/>
      <c r="AY1157" s="790"/>
      <c r="AZ1157" s="790"/>
      <c r="BA1157" s="790"/>
      <c r="BB1157" s="790"/>
      <c r="BC1157" s="790"/>
      <c r="BD1157" s="790"/>
      <c r="BE1157" s="790"/>
      <c r="BF1157" s="790"/>
      <c r="BG1157" s="790"/>
      <c r="BH1157" s="790"/>
      <c r="BI1157" s="790"/>
      <c r="BJ1157" s="1184" t="s">
        <v>4763</v>
      </c>
    </row>
    <row r="1158" spans="1:62" x14ac:dyDescent="0.3">
      <c r="A1158" s="1200">
        <v>7</v>
      </c>
      <c r="B1158" s="1210" t="s">
        <v>1142</v>
      </c>
      <c r="C1158" s="1215"/>
      <c r="D1158" s="1203"/>
      <c r="E1158" s="1203"/>
      <c r="F1158" s="1203"/>
      <c r="G1158" s="1202" t="str">
        <f t="shared" ca="1" si="339"/>
        <v/>
      </c>
      <c r="H1158" s="1200" t="s">
        <v>4386</v>
      </c>
      <c r="I1158" s="140"/>
      <c r="J1158" s="812"/>
      <c r="K1158" s="812"/>
      <c r="L1158" s="1394"/>
      <c r="M1158" s="795"/>
      <c r="N1158" s="854"/>
      <c r="O1158" s="803"/>
      <c r="P1158" s="97"/>
      <c r="Q1158" s="97"/>
      <c r="R1158" s="97"/>
      <c r="S1158" s="97"/>
      <c r="T1158" s="97"/>
      <c r="U1158" s="97"/>
      <c r="V1158" s="97"/>
      <c r="W1158" s="97"/>
      <c r="X1158" s="1295"/>
      <c r="Y1158" s="1522"/>
      <c r="Z1158" s="1586"/>
      <c r="AB1158" s="790"/>
      <c r="AC1158" s="790"/>
      <c r="AD1158" s="790"/>
      <c r="AE1158" s="790"/>
      <c r="AF1158" s="790"/>
      <c r="AG1158" s="790"/>
      <c r="AH1158" s="790"/>
      <c r="AI1158" s="790"/>
      <c r="AJ1158" s="790"/>
      <c r="AK1158" s="790"/>
      <c r="AL1158" s="790"/>
      <c r="AM1158" s="790"/>
      <c r="AN1158" s="790"/>
      <c r="AO1158" s="790"/>
      <c r="AP1158" s="790"/>
      <c r="AQ1158" s="790"/>
      <c r="AR1158" s="790"/>
      <c r="AS1158" s="790"/>
      <c r="AT1158" s="790"/>
      <c r="AU1158" s="790"/>
      <c r="AV1158" s="790"/>
      <c r="AW1158" s="790"/>
      <c r="AX1158" s="790"/>
      <c r="AY1158" s="790"/>
      <c r="AZ1158" s="790"/>
      <c r="BA1158" s="790"/>
      <c r="BB1158" s="790"/>
      <c r="BC1158" s="790"/>
      <c r="BD1158" s="790"/>
      <c r="BE1158" s="790"/>
      <c r="BF1158" s="790"/>
      <c r="BG1158" s="790"/>
      <c r="BH1158" s="790"/>
      <c r="BI1158" s="790"/>
      <c r="BJ1158" s="1184" t="s">
        <v>4763</v>
      </c>
    </row>
    <row r="1159" spans="1:62" x14ac:dyDescent="0.3">
      <c r="A1159" s="1200">
        <v>7</v>
      </c>
      <c r="B1159" s="1210" t="s">
        <v>1142</v>
      </c>
      <c r="C1159" s="1215"/>
      <c r="D1159" s="1203"/>
      <c r="E1159" s="1203"/>
      <c r="F1159" s="1203"/>
      <c r="G1159" s="1202" t="str">
        <f t="shared" ca="1" si="339"/>
        <v/>
      </c>
      <c r="H1159" s="1200" t="s">
        <v>4386</v>
      </c>
      <c r="I1159" s="238"/>
      <c r="J1159" s="813"/>
      <c r="K1159" s="813"/>
      <c r="L1159" s="1396"/>
      <c r="M1159" s="796"/>
      <c r="N1159" s="855"/>
      <c r="O1159" s="804"/>
      <c r="P1159" s="196"/>
      <c r="Q1159" s="196"/>
      <c r="R1159" s="196"/>
      <c r="S1159" s="196"/>
      <c r="T1159" s="196"/>
      <c r="U1159" s="196"/>
      <c r="V1159" s="196"/>
      <c r="W1159" s="196"/>
      <c r="X1159" s="1295"/>
      <c r="Y1159" s="1522"/>
      <c r="Z1159" s="1586"/>
      <c r="AB1159" s="790"/>
      <c r="AC1159" s="790"/>
      <c r="AD1159" s="790"/>
      <c r="AE1159" s="790"/>
      <c r="AF1159" s="790"/>
      <c r="AG1159" s="790"/>
      <c r="AH1159" s="790"/>
      <c r="AI1159" s="790"/>
      <c r="AJ1159" s="790"/>
      <c r="AK1159" s="790"/>
      <c r="AL1159" s="790"/>
      <c r="AM1159" s="790"/>
      <c r="AN1159" s="790"/>
      <c r="AO1159" s="790"/>
      <c r="AP1159" s="790"/>
      <c r="AQ1159" s="790"/>
      <c r="AR1159" s="790"/>
      <c r="AS1159" s="790"/>
      <c r="AT1159" s="790"/>
      <c r="AU1159" s="790"/>
      <c r="AV1159" s="790"/>
      <c r="AW1159" s="790"/>
      <c r="AX1159" s="790"/>
      <c r="AY1159" s="790"/>
      <c r="AZ1159" s="790"/>
      <c r="BA1159" s="790"/>
      <c r="BB1159" s="790"/>
      <c r="BC1159" s="790"/>
      <c r="BD1159" s="790"/>
      <c r="BE1159" s="790"/>
      <c r="BF1159" s="790"/>
      <c r="BG1159" s="790"/>
      <c r="BH1159" s="790"/>
      <c r="BI1159" s="790"/>
      <c r="BJ1159" s="1184" t="s">
        <v>4763</v>
      </c>
    </row>
    <row r="1160" spans="1:62" x14ac:dyDescent="0.3">
      <c r="A1160" s="1200">
        <v>7</v>
      </c>
      <c r="B1160" s="1215" t="s">
        <v>1155</v>
      </c>
      <c r="C1160" s="1215"/>
      <c r="D1160" s="1203"/>
      <c r="E1160" s="1203"/>
      <c r="F1160" s="1203"/>
      <c r="G1160" s="1202" t="str">
        <f ca="1">IF(N1160&gt;0,"P","")</f>
        <v/>
      </c>
      <c r="H1160" s="1200" t="s">
        <v>4386</v>
      </c>
      <c r="I1160" s="630" t="s">
        <v>1155</v>
      </c>
      <c r="J1160" s="823"/>
      <c r="K1160" s="823"/>
      <c r="L1160" s="1364" t="s">
        <v>1156</v>
      </c>
      <c r="M1160" s="1323">
        <v>1</v>
      </c>
      <c r="N1160" s="1324">
        <f ca="1">'Ch7'!O397</f>
        <v>0</v>
      </c>
      <c r="O1160" s="1324">
        <f ca="1">M1160*S1160*W1160</f>
        <v>0</v>
      </c>
      <c r="P1160" s="97" t="b">
        <v>1</v>
      </c>
      <c r="Q1160" s="97" t="b">
        <v>1</v>
      </c>
      <c r="R1160" s="790" t="b">
        <v>0</v>
      </c>
      <c r="S1160" s="790" t="b">
        <f ca="1">(S776=2)</f>
        <v>0</v>
      </c>
      <c r="T1160" s="97" t="b">
        <f ca="1">AND(NOT(S1160),W1160=TRUE)</f>
        <v>0</v>
      </c>
      <c r="U1160" s="790"/>
      <c r="V1160" s="790"/>
      <c r="W1160" s="25"/>
      <c r="X1160" s="1304"/>
      <c r="Y1160" s="1522" t="str">
        <f>IF(LEN('Ch7'!X397)=0,"None",'Ch7'!X397)</f>
        <v>None</v>
      </c>
      <c r="Z1160" s="1586"/>
      <c r="AB1160" s="790"/>
      <c r="AC1160" s="790" t="b">
        <f ca="1">OR(AD1160:AE1160)</f>
        <v>0</v>
      </c>
      <c r="AD1160" s="790" t="b">
        <f ca="1">T1160</f>
        <v>0</v>
      </c>
      <c r="AE1160" s="790" t="b">
        <f>AND(R1160,NOT(W1160))</f>
        <v>0</v>
      </c>
      <c r="AF1160" s="1182" t="b">
        <f>AND(AE1160,NOT(Q1160))</f>
        <v>0</v>
      </c>
      <c r="AG1160" s="790"/>
      <c r="AH1160" s="790"/>
      <c r="AI1160" s="790"/>
      <c r="AJ1160" s="790"/>
      <c r="AK1160" s="790"/>
      <c r="AL1160" s="311" t="str">
        <f t="shared" ref="AL1160" si="342">SUBSTITUTE(SUBSTITUTE(SUBSTITUTE("vpa"&amp;$B1160&amp;$C1160&amp;$D1160&amp;$E1160&amp;$F1160,".","_"),"(","_"),")","")</f>
        <v xml:space="preserve">vpa703_7_2 </v>
      </c>
      <c r="AM1160" s="311">
        <f>M1160</f>
        <v>1</v>
      </c>
      <c r="AN1160" s="311" t="str">
        <f>SUBSTITUTE(SUBSTITUTE(SUBSTITUTE("vpc"&amp;$B1160&amp;$C1160&amp;$D1160&amp;$E1160&amp;$F1160,".","_"),"(","_"),")","")</f>
        <v xml:space="preserve">vpc703_7_2 </v>
      </c>
      <c r="AO1160" s="311">
        <f ca="1">O1160</f>
        <v>0</v>
      </c>
      <c r="AP1160" s="311" t="str">
        <f>SUBSTITUTE(SUBSTITUTE(SUBSTITUTE("vch"&amp;$B1160&amp;$C1160&amp;$D1160&amp;$E1160&amp;$F1160,".","_"),"(","_"),")","")</f>
        <v xml:space="preserve">vch703_7_2 </v>
      </c>
      <c r="AQ1160" s="311">
        <f>W1160</f>
        <v>0</v>
      </c>
      <c r="AR1160" s="311" t="str">
        <f>SUBSTITUTE(SUBSTITUTE(SUBSTITUTE("vnt"&amp;$B1160&amp;$C1160&amp;$D1160&amp;$E1160&amp;$F1160,".","_"),"(","_"),")","")</f>
        <v xml:space="preserve">vnt703_7_2 </v>
      </c>
      <c r="AS1160" s="311">
        <f>X1160</f>
        <v>0</v>
      </c>
      <c r="AT1160" s="790"/>
      <c r="AU1160" s="790"/>
      <c r="AV1160" s="790"/>
      <c r="AW1160" s="790"/>
      <c r="AX1160" s="790"/>
      <c r="AY1160" s="790"/>
      <c r="AZ1160" s="790"/>
      <c r="BA1160" s="790"/>
      <c r="BB1160" s="790"/>
      <c r="BC1160" s="790"/>
      <c r="BD1160" s="790"/>
      <c r="BE1160" s="790"/>
      <c r="BF1160" s="790"/>
      <c r="BG1160" s="790"/>
      <c r="BH1160" s="790"/>
      <c r="BI1160" s="790"/>
      <c r="BJ1160" s="1184" t="s">
        <v>4763</v>
      </c>
    </row>
    <row r="1161" spans="1:62" x14ac:dyDescent="0.3">
      <c r="A1161" s="1200">
        <v>7</v>
      </c>
      <c r="B1161" s="1215" t="s">
        <v>1155</v>
      </c>
      <c r="C1161" s="1215"/>
      <c r="D1161" s="1203"/>
      <c r="E1161" s="1203"/>
      <c r="F1161" s="1203"/>
      <c r="G1161" s="1202" t="str">
        <f t="shared" ref="G1161" ca="1" si="343">G1160</f>
        <v/>
      </c>
      <c r="H1161" s="1200" t="s">
        <v>4386</v>
      </c>
      <c r="I1161" s="238"/>
      <c r="J1161" s="813"/>
      <c r="K1161" s="813"/>
      <c r="L1161" s="1350"/>
      <c r="M1161" s="1319"/>
      <c r="N1161" s="1309"/>
      <c r="O1161" s="1309"/>
      <c r="P1161" s="1081"/>
      <c r="Q1161" s="1081"/>
      <c r="R1161" s="790"/>
      <c r="S1161" s="790"/>
      <c r="T1161" s="790"/>
      <c r="U1161" s="790"/>
      <c r="V1161" s="790"/>
      <c r="W1161" s="790"/>
      <c r="X1161" s="1303"/>
      <c r="Y1161" s="1522"/>
      <c r="Z1161" s="1586"/>
      <c r="AB1161" s="790"/>
      <c r="AC1161" s="790"/>
      <c r="AD1161" s="790"/>
      <c r="AE1161" s="790"/>
      <c r="AF1161" s="790"/>
      <c r="AG1161" s="790"/>
      <c r="AH1161" s="790"/>
      <c r="AI1161" s="790"/>
      <c r="AJ1161" s="790"/>
      <c r="AK1161" s="790"/>
      <c r="AL1161" s="790"/>
      <c r="AM1161" s="790"/>
      <c r="AN1161" s="790"/>
      <c r="AO1161" s="790"/>
      <c r="AP1161" s="790"/>
      <c r="AQ1161" s="790"/>
      <c r="AR1161" s="790"/>
      <c r="AS1161" s="790"/>
      <c r="AT1161" s="790"/>
      <c r="AU1161" s="790"/>
      <c r="AV1161" s="790"/>
      <c r="AW1161" s="790"/>
      <c r="AX1161" s="790"/>
      <c r="AY1161" s="790"/>
      <c r="AZ1161" s="790"/>
      <c r="BA1161" s="790"/>
      <c r="BB1161" s="790"/>
      <c r="BC1161" s="790"/>
      <c r="BD1161" s="790"/>
      <c r="BE1161" s="790"/>
      <c r="BF1161" s="790"/>
      <c r="BG1161" s="790"/>
      <c r="BH1161" s="790"/>
      <c r="BI1161" s="790"/>
      <c r="BJ1161" s="1184" t="s">
        <v>4763</v>
      </c>
    </row>
    <row r="1162" spans="1:62" x14ac:dyDescent="0.3">
      <c r="A1162" s="1200">
        <v>7</v>
      </c>
      <c r="B1162" s="1210" t="s">
        <v>1157</v>
      </c>
      <c r="C1162" s="1215"/>
      <c r="D1162" s="1203"/>
      <c r="E1162" s="1203"/>
      <c r="F1162" s="1203"/>
      <c r="G1162" s="1202" t="str">
        <f ca="1">IF(N1162&gt;0,"P","")</f>
        <v/>
      </c>
      <c r="H1162" s="1200" t="s">
        <v>4386</v>
      </c>
      <c r="I1162" s="68" t="s">
        <v>1157</v>
      </c>
      <c r="J1162" s="819"/>
      <c r="K1162" s="819"/>
      <c r="L1162" s="1292" t="s">
        <v>1158</v>
      </c>
      <c r="M1162" s="799"/>
      <c r="N1162" s="1310">
        <f ca="1">'Ch7'!O399</f>
        <v>0</v>
      </c>
      <c r="O1162" s="1310">
        <f ca="1">INDEX({0,3,4},MATCH(S1164,{0,3,4},1))*S1168</f>
        <v>0</v>
      </c>
      <c r="P1162" s="1081"/>
      <c r="Q1162" s="1081"/>
      <c r="R1162" s="790"/>
      <c r="S1162" s="790"/>
      <c r="T1162" s="790"/>
      <c r="U1162" s="790"/>
      <c r="V1162" s="790"/>
      <c r="W1162" s="790"/>
      <c r="X1162" s="790"/>
      <c r="Y1162" s="790"/>
      <c r="Z1162" s="1055"/>
      <c r="AB1162" s="790"/>
      <c r="AC1162" s="790"/>
      <c r="AD1162" s="790"/>
      <c r="AE1162" s="790"/>
      <c r="AF1162" s="790"/>
      <c r="AG1162" s="790"/>
      <c r="AH1162" s="790"/>
      <c r="AI1162" s="790"/>
      <c r="AJ1162" s="790"/>
      <c r="AK1162" s="790"/>
      <c r="AL1162" s="790"/>
      <c r="AM1162" s="790"/>
      <c r="AN1162" s="311" t="str">
        <f>SUBSTITUTE(SUBSTITUTE(SUBSTITUTE("vpc"&amp;$B1162&amp;$C1162&amp;$D1162&amp;$E1162&amp;$F1162,".","_"),"(","_"),")","")</f>
        <v>vpc703_7_3</v>
      </c>
      <c r="AO1162" s="311">
        <f ca="1">O1162</f>
        <v>0</v>
      </c>
      <c r="AP1162" s="790"/>
      <c r="AQ1162" s="790"/>
      <c r="AR1162" s="790"/>
      <c r="AS1162" s="790"/>
      <c r="AT1162" s="790"/>
      <c r="AU1162" s="790"/>
      <c r="AV1162" s="790"/>
      <c r="AW1162" s="790"/>
      <c r="AX1162" s="790"/>
      <c r="AY1162" s="790"/>
      <c r="AZ1162" s="790"/>
      <c r="BA1162" s="790"/>
      <c r="BB1162" s="790"/>
      <c r="BC1162" s="790"/>
      <c r="BD1162" s="790"/>
      <c r="BE1162" s="790"/>
      <c r="BF1162" s="790"/>
      <c r="BG1162" s="790"/>
      <c r="BH1162" s="790"/>
      <c r="BI1162" s="790"/>
      <c r="BJ1162" s="1184" t="s">
        <v>4763</v>
      </c>
    </row>
    <row r="1163" spans="1:62" x14ac:dyDescent="0.3">
      <c r="A1163" s="1200">
        <v>7</v>
      </c>
      <c r="B1163" s="1210" t="s">
        <v>1157</v>
      </c>
      <c r="C1163" s="1215"/>
      <c r="D1163" s="1203"/>
      <c r="E1163" s="1203"/>
      <c r="F1163" s="1203"/>
      <c r="G1163" s="1202" t="str">
        <f t="shared" ref="G1163:G1188" ca="1" si="344">G1162</f>
        <v/>
      </c>
      <c r="H1163" s="1200" t="s">
        <v>4386</v>
      </c>
      <c r="I1163" s="4"/>
      <c r="J1163" s="819"/>
      <c r="K1163" s="819"/>
      <c r="L1163" s="1292"/>
      <c r="M1163" s="799"/>
      <c r="N1163" s="1310"/>
      <c r="O1163" s="1310"/>
      <c r="P1163" s="1081"/>
      <c r="Q1163" s="1081"/>
      <c r="R1163" s="790"/>
      <c r="S1163" s="790"/>
      <c r="T1163" s="790"/>
      <c r="U1163" s="790"/>
      <c r="V1163" s="790"/>
      <c r="W1163" s="790"/>
      <c r="X1163" s="790"/>
      <c r="Y1163" s="790"/>
      <c r="Z1163" s="1055"/>
      <c r="AB1163" s="790"/>
      <c r="AC1163" s="790"/>
      <c r="AD1163" s="790"/>
      <c r="AE1163" s="790"/>
      <c r="AF1163" s="790"/>
      <c r="AG1163" s="790"/>
      <c r="AH1163" s="790"/>
      <c r="AI1163" s="790"/>
      <c r="AJ1163" s="790"/>
      <c r="AK1163" s="790"/>
      <c r="AL1163" s="790"/>
      <c r="AM1163" s="790"/>
      <c r="AN1163" s="790"/>
      <c r="AO1163" s="790"/>
      <c r="AP1163" s="790"/>
      <c r="AQ1163" s="790"/>
      <c r="AR1163" s="790"/>
      <c r="AS1163" s="790"/>
      <c r="AT1163" s="790"/>
      <c r="AU1163" s="790"/>
      <c r="AV1163" s="790"/>
      <c r="AW1163" s="790"/>
      <c r="AX1163" s="790"/>
      <c r="AY1163" s="790"/>
      <c r="AZ1163" s="790"/>
      <c r="BA1163" s="790"/>
      <c r="BB1163" s="790"/>
      <c r="BC1163" s="790"/>
      <c r="BD1163" s="790"/>
      <c r="BE1163" s="790"/>
      <c r="BF1163" s="790"/>
      <c r="BG1163" s="790"/>
      <c r="BH1163" s="790"/>
      <c r="BI1163" s="790"/>
      <c r="BJ1163" s="1184" t="s">
        <v>4763</v>
      </c>
    </row>
    <row r="1164" spans="1:62" x14ac:dyDescent="0.3">
      <c r="A1164" s="1200">
        <v>7</v>
      </c>
      <c r="B1164" s="1210" t="s">
        <v>1157</v>
      </c>
      <c r="C1164" s="1215"/>
      <c r="D1164" s="1217" t="s">
        <v>271</v>
      </c>
      <c r="E1164" s="1203"/>
      <c r="F1164" s="1203"/>
      <c r="G1164" s="1202" t="str">
        <f t="shared" ca="1" si="344"/>
        <v/>
      </c>
      <c r="H1164" s="1200" t="s">
        <v>4386</v>
      </c>
      <c r="I1164" s="4"/>
      <c r="J1164" s="819"/>
      <c r="K1164" s="819"/>
      <c r="L1164" s="818" t="s">
        <v>1159</v>
      </c>
      <c r="M1164" s="799">
        <v>3</v>
      </c>
      <c r="N1164" s="850"/>
      <c r="O1164" s="802"/>
      <c r="P1164" s="1081"/>
      <c r="Q1164" s="1081"/>
      <c r="R1164" s="790" t="s">
        <v>3879</v>
      </c>
      <c r="S1164" s="1">
        <f ca="1">(1*MIN(1,COUNTIF(W1168:W1172,TRUE))+1*S1174*W1174+1*W1177+1*S1178*W1178+1*MIN(1,COUNTIF(W1183:W1185,TRUE))+1*W1187)</f>
        <v>0</v>
      </c>
      <c r="T1164" s="790"/>
      <c r="U1164" s="790"/>
      <c r="V1164" s="790"/>
      <c r="W1164" s="790"/>
      <c r="X1164" s="790"/>
      <c r="Y1164" s="790"/>
      <c r="Z1164" s="1055"/>
      <c r="AB1164" s="790"/>
      <c r="AC1164" s="790"/>
      <c r="AD1164" s="790"/>
      <c r="AE1164" s="790"/>
      <c r="AF1164" s="790"/>
      <c r="AG1164" s="790"/>
      <c r="AH1164" s="790"/>
      <c r="AI1164" s="790"/>
      <c r="AJ1164" s="790"/>
      <c r="AK1164" s="790"/>
      <c r="AL1164" s="311" t="str">
        <f t="shared" ref="AL1164:AL1165" si="345">SUBSTITUTE(SUBSTITUTE(SUBSTITUTE("vpa"&amp;$B1164&amp;$C1164&amp;$D1164&amp;$E1164&amp;$F1164,".","_"),"(","_"),")","")</f>
        <v>vpa703_7_3_1</v>
      </c>
      <c r="AM1164" s="311">
        <f>M1164</f>
        <v>3</v>
      </c>
      <c r="AN1164" s="790"/>
      <c r="AO1164" s="790"/>
      <c r="AP1164" s="790"/>
      <c r="AQ1164" s="790"/>
      <c r="AR1164" s="790"/>
      <c r="AS1164" s="790"/>
      <c r="AT1164" s="790"/>
      <c r="AU1164" s="790"/>
      <c r="AV1164" s="790"/>
      <c r="AW1164" s="790"/>
      <c r="AX1164" s="790"/>
      <c r="AY1164" s="790"/>
      <c r="AZ1164" s="790"/>
      <c r="BA1164" s="790"/>
      <c r="BB1164" s="790"/>
      <c r="BC1164" s="790"/>
      <c r="BD1164" s="790"/>
      <c r="BE1164" s="790"/>
      <c r="BF1164" s="790"/>
      <c r="BG1164" s="790"/>
      <c r="BH1164" s="790"/>
      <c r="BI1164" s="790"/>
      <c r="BJ1164" s="1184" t="s">
        <v>4763</v>
      </c>
    </row>
    <row r="1165" spans="1:62" x14ac:dyDescent="0.3">
      <c r="A1165" s="1200">
        <v>7</v>
      </c>
      <c r="B1165" s="1210" t="s">
        <v>1157</v>
      </c>
      <c r="C1165" s="1215"/>
      <c r="D1165" s="1203" t="s">
        <v>273</v>
      </c>
      <c r="E1165" s="1203"/>
      <c r="F1165" s="1203"/>
      <c r="G1165" s="1202" t="str">
        <f t="shared" ca="1" si="344"/>
        <v/>
      </c>
      <c r="H1165" s="1200" t="s">
        <v>4386</v>
      </c>
      <c r="I1165" s="4"/>
      <c r="J1165" s="819"/>
      <c r="K1165" s="819"/>
      <c r="L1165" s="818" t="s">
        <v>1160</v>
      </c>
      <c r="M1165" s="799">
        <v>1</v>
      </c>
      <c r="N1165" s="850"/>
      <c r="O1165" s="802"/>
      <c r="P1165" s="1081"/>
      <c r="Q1165" s="1081"/>
      <c r="R1165" s="790"/>
      <c r="S1165" s="790"/>
      <c r="T1165" s="790"/>
      <c r="U1165" s="790"/>
      <c r="V1165" s="790"/>
      <c r="W1165" s="790"/>
      <c r="X1165" s="790"/>
      <c r="Y1165" s="790"/>
      <c r="Z1165" s="1055"/>
      <c r="AB1165" s="790"/>
      <c r="AC1165" s="790"/>
      <c r="AD1165" s="790"/>
      <c r="AE1165" s="790"/>
      <c r="AF1165" s="790"/>
      <c r="AG1165" s="790"/>
      <c r="AH1165" s="790"/>
      <c r="AI1165" s="790"/>
      <c r="AJ1165" s="790"/>
      <c r="AK1165" s="790"/>
      <c r="AL1165" s="311" t="str">
        <f t="shared" si="345"/>
        <v>vpa703_7_3_2</v>
      </c>
      <c r="AM1165" s="311">
        <f>M1165</f>
        <v>1</v>
      </c>
      <c r="AN1165" s="790"/>
      <c r="AO1165" s="790"/>
      <c r="AP1165" s="790"/>
      <c r="AQ1165" s="790"/>
      <c r="AR1165" s="790"/>
      <c r="AS1165" s="790"/>
      <c r="AT1165" s="790"/>
      <c r="AU1165" s="790"/>
      <c r="AV1165" s="790"/>
      <c r="AW1165" s="790"/>
      <c r="AX1165" s="790"/>
      <c r="AY1165" s="790"/>
      <c r="AZ1165" s="790"/>
      <c r="BA1165" s="790"/>
      <c r="BB1165" s="790"/>
      <c r="BC1165" s="790"/>
      <c r="BD1165" s="790"/>
      <c r="BE1165" s="790"/>
      <c r="BF1165" s="790"/>
      <c r="BG1165" s="790"/>
      <c r="BH1165" s="790"/>
      <c r="BI1165" s="790"/>
      <c r="BJ1165" s="1184" t="s">
        <v>4763</v>
      </c>
    </row>
    <row r="1166" spans="1:62" x14ac:dyDescent="0.3">
      <c r="A1166" s="1200">
        <v>7</v>
      </c>
      <c r="B1166" s="1210" t="s">
        <v>1157</v>
      </c>
      <c r="C1166" s="1215"/>
      <c r="D1166" s="1217" t="s">
        <v>271</v>
      </c>
      <c r="E1166" s="1203"/>
      <c r="F1166" s="1203"/>
      <c r="G1166" s="1202" t="str">
        <f t="shared" ca="1" si="344"/>
        <v/>
      </c>
      <c r="H1166" s="1200" t="s">
        <v>4386</v>
      </c>
      <c r="I1166" s="4"/>
      <c r="J1166" s="264" t="s">
        <v>271</v>
      </c>
      <c r="K1166" s="819"/>
      <c r="L1166" s="1329" t="s">
        <v>1161</v>
      </c>
      <c r="M1166" s="799"/>
      <c r="N1166" s="850"/>
      <c r="O1166" s="802"/>
      <c r="P1166" s="1081"/>
      <c r="Q1166" s="1081"/>
      <c r="R1166" s="790"/>
      <c r="S1166" s="790"/>
      <c r="T1166" s="790"/>
      <c r="U1166" s="790"/>
      <c r="V1166" s="790"/>
      <c r="W1166" s="790"/>
      <c r="X1166" s="790"/>
      <c r="Y1166" s="790"/>
      <c r="Z1166" s="1055"/>
      <c r="AB1166" s="790"/>
      <c r="AC1166" s="790"/>
      <c r="AD1166" s="790"/>
      <c r="AE1166" s="790"/>
      <c r="AF1166" s="790"/>
      <c r="AG1166" s="790"/>
      <c r="AH1166" s="790"/>
      <c r="AI1166" s="790"/>
      <c r="AJ1166" s="790"/>
      <c r="AK1166" s="790"/>
      <c r="AL1166" s="790"/>
      <c r="AM1166" s="790"/>
      <c r="AN1166" s="790"/>
      <c r="AO1166" s="790"/>
      <c r="AP1166" s="790"/>
      <c r="AQ1166" s="790"/>
      <c r="AR1166" s="790"/>
      <c r="AS1166" s="790"/>
      <c r="AT1166" s="790"/>
      <c r="AU1166" s="790"/>
      <c r="AV1166" s="790"/>
      <c r="AW1166" s="790"/>
      <c r="AX1166" s="790"/>
      <c r="AY1166" s="790"/>
      <c r="AZ1166" s="790"/>
      <c r="BA1166" s="790"/>
      <c r="BB1166" s="790"/>
      <c r="BC1166" s="790"/>
      <c r="BD1166" s="790"/>
      <c r="BE1166" s="790"/>
      <c r="BF1166" s="790"/>
      <c r="BG1166" s="790"/>
      <c r="BH1166" s="790"/>
      <c r="BI1166" s="790"/>
      <c r="BJ1166" s="1184" t="s">
        <v>4763</v>
      </c>
    </row>
    <row r="1167" spans="1:62" x14ac:dyDescent="0.3">
      <c r="A1167" s="1200">
        <v>7</v>
      </c>
      <c r="B1167" s="1210" t="s">
        <v>1157</v>
      </c>
      <c r="C1167" s="1215"/>
      <c r="D1167" s="1217" t="s">
        <v>271</v>
      </c>
      <c r="E1167" s="1203"/>
      <c r="F1167" s="1203"/>
      <c r="G1167" s="1202" t="str">
        <f t="shared" ca="1" si="344"/>
        <v/>
      </c>
      <c r="H1167" s="1200" t="s">
        <v>4386</v>
      </c>
      <c r="I1167" s="4"/>
      <c r="J1167" s="819"/>
      <c r="K1167" s="819"/>
      <c r="L1167" s="1329"/>
      <c r="M1167" s="799"/>
      <c r="N1167" s="850"/>
      <c r="O1167" s="802"/>
      <c r="P1167" s="1081"/>
      <c r="Q1167" s="1081"/>
      <c r="R1167" s="790"/>
      <c r="S1167" s="790"/>
      <c r="T1167" s="790"/>
      <c r="U1167" s="790"/>
      <c r="V1167" s="790"/>
      <c r="W1167" s="790"/>
      <c r="X1167" s="790"/>
      <c r="Y1167" s="790"/>
      <c r="Z1167" s="1055"/>
      <c r="AB1167" s="790"/>
      <c r="AC1167" s="790"/>
      <c r="AD1167" s="790"/>
      <c r="AE1167" s="790"/>
      <c r="AF1167" s="790"/>
      <c r="AG1167" s="790"/>
      <c r="AH1167" s="790"/>
      <c r="AI1167" s="790"/>
      <c r="AJ1167" s="790"/>
      <c r="AK1167" s="790"/>
      <c r="AL1167" s="790"/>
      <c r="AM1167" s="790"/>
      <c r="AN1167" s="790"/>
      <c r="AO1167" s="790"/>
      <c r="AP1167" s="790"/>
      <c r="AQ1167" s="790"/>
      <c r="AR1167" s="790"/>
      <c r="AS1167" s="790"/>
      <c r="AT1167" s="790"/>
      <c r="AU1167" s="790"/>
      <c r="AV1167" s="790"/>
      <c r="AW1167" s="790"/>
      <c r="AX1167" s="790"/>
      <c r="AY1167" s="790"/>
      <c r="AZ1167" s="790"/>
      <c r="BA1167" s="790"/>
      <c r="BB1167" s="790"/>
      <c r="BC1167" s="790"/>
      <c r="BD1167" s="790"/>
      <c r="BE1167" s="790"/>
      <c r="BF1167" s="790"/>
      <c r="BG1167" s="790"/>
      <c r="BH1167" s="790"/>
      <c r="BI1167" s="790"/>
      <c r="BJ1167" s="1184" t="s">
        <v>4763</v>
      </c>
    </row>
    <row r="1168" spans="1:62" x14ac:dyDescent="0.3">
      <c r="A1168" s="1200">
        <v>7</v>
      </c>
      <c r="B1168" s="1210" t="s">
        <v>1157</v>
      </c>
      <c r="C1168" s="1215"/>
      <c r="D1168" s="1217" t="s">
        <v>271</v>
      </c>
      <c r="E1168" s="1203" t="s">
        <v>121</v>
      </c>
      <c r="F1168" s="1203"/>
      <c r="G1168" s="1202" t="str">
        <f t="shared" ca="1" si="344"/>
        <v/>
      </c>
      <c r="H1168" s="1204" t="s">
        <v>4386</v>
      </c>
      <c r="I1168" s="4"/>
      <c r="J1168" s="819"/>
      <c r="K1168" s="260" t="s">
        <v>121</v>
      </c>
      <c r="L1168" s="1329" t="s">
        <v>1162</v>
      </c>
      <c r="M1168" s="799"/>
      <c r="N1168" s="850"/>
      <c r="O1168" s="802"/>
      <c r="P1168" s="97" t="b">
        <v>1</v>
      </c>
      <c r="Q1168" s="97" t="b">
        <v>1</v>
      </c>
      <c r="R1168" s="790" t="b">
        <v>0</v>
      </c>
      <c r="S1168" s="790" t="b">
        <f ca="1">(S776=2)</f>
        <v>0</v>
      </c>
      <c r="T1168" s="97" t="b">
        <f ca="1">AND(NOT(S1168),W1168=TRUE)</f>
        <v>0</v>
      </c>
      <c r="U1168" s="790"/>
      <c r="V1168" s="790"/>
      <c r="W1168" s="25"/>
      <c r="X1168" s="1303"/>
      <c r="Y1168" s="1522" t="str">
        <f>IF(LEN('Ch7'!X405)=0,"None",'Ch7'!X405)</f>
        <v>None</v>
      </c>
      <c r="Z1168" s="1586"/>
      <c r="AB1168" s="790"/>
      <c r="AC1168" s="790" t="b">
        <f ca="1">OR(AD1168:AE1168)</f>
        <v>0</v>
      </c>
      <c r="AD1168" s="790" t="b">
        <f ca="1">T1168</f>
        <v>0</v>
      </c>
      <c r="AE1168" s="790" t="b">
        <f>AND(R1168,NOT(W1168))</f>
        <v>0</v>
      </c>
      <c r="AF1168" s="1182" t="b">
        <f>AND(AE1168,NOT(Q1168))</f>
        <v>0</v>
      </c>
      <c r="AG1168" s="790"/>
      <c r="AH1168" s="790"/>
      <c r="AI1168" s="790"/>
      <c r="AJ1168" s="790"/>
      <c r="AK1168" s="790"/>
      <c r="AL1168" s="790"/>
      <c r="AM1168" s="790"/>
      <c r="AN1168" s="790"/>
      <c r="AO1168" s="790"/>
      <c r="AP1168" s="311" t="str">
        <f>SUBSTITUTE(SUBSTITUTE(SUBSTITUTE("vch"&amp;$B1168&amp;$C1168&amp;$D1168&amp;$E1168&amp;$F1168,".","_"),"(","_"),")","")</f>
        <v>vch703_7_3_1_a</v>
      </c>
      <c r="AQ1168" s="311">
        <f>W1168</f>
        <v>0</v>
      </c>
      <c r="AR1168" s="311" t="str">
        <f>SUBSTITUTE(SUBSTITUTE(SUBSTITUTE("vnt"&amp;$B1168&amp;$C1168&amp;$D1168&amp;$E1168&amp;$F1168,".","_"),"(","_"),")","")</f>
        <v>vnt703_7_3_1_a</v>
      </c>
      <c r="AS1168" s="311">
        <f>X1168</f>
        <v>0</v>
      </c>
      <c r="AT1168" s="790"/>
      <c r="AU1168" s="790"/>
      <c r="AV1168" s="790"/>
      <c r="AW1168" s="790"/>
      <c r="AX1168" s="790"/>
      <c r="AY1168" s="790"/>
      <c r="AZ1168" s="790"/>
      <c r="BA1168" s="790"/>
      <c r="BB1168" s="790"/>
      <c r="BC1168" s="790"/>
      <c r="BD1168" s="790"/>
      <c r="BE1168" s="790"/>
      <c r="BF1168" s="790"/>
      <c r="BG1168" s="790"/>
      <c r="BH1168" s="790"/>
      <c r="BI1168" s="790"/>
      <c r="BJ1168" s="1184" t="s">
        <v>4763</v>
      </c>
    </row>
    <row r="1169" spans="1:62" x14ac:dyDescent="0.3">
      <c r="A1169" s="1200">
        <v>7</v>
      </c>
      <c r="B1169" s="1210" t="s">
        <v>1157</v>
      </c>
      <c r="C1169" s="1215"/>
      <c r="D1169" s="1217" t="s">
        <v>271</v>
      </c>
      <c r="E1169" s="1203" t="s">
        <v>121</v>
      </c>
      <c r="F1169" s="1203"/>
      <c r="G1169" s="1202" t="str">
        <f t="shared" ca="1" si="344"/>
        <v/>
      </c>
      <c r="H1169" s="1200" t="s">
        <v>4386</v>
      </c>
      <c r="I1169" s="4"/>
      <c r="J1169" s="819"/>
      <c r="K1169" s="819"/>
      <c r="L1169" s="1329"/>
      <c r="M1169" s="799"/>
      <c r="N1169" s="850"/>
      <c r="O1169" s="802"/>
      <c r="P1169" s="1081"/>
      <c r="Q1169" s="1081"/>
      <c r="R1169" s="790"/>
      <c r="S1169" s="790"/>
      <c r="T1169" s="790"/>
      <c r="U1169" s="790"/>
      <c r="V1169" s="790"/>
      <c r="W1169" s="790"/>
      <c r="X1169" s="1303"/>
      <c r="Y1169" s="1522"/>
      <c r="Z1169" s="1586"/>
      <c r="AB1169" s="790"/>
      <c r="AC1169" s="790"/>
      <c r="AD1169" s="790"/>
      <c r="AE1169" s="790"/>
      <c r="AF1169" s="790"/>
      <c r="AG1169" s="790"/>
      <c r="AH1169" s="790"/>
      <c r="AI1169" s="790"/>
      <c r="AJ1169" s="790"/>
      <c r="AK1169" s="790"/>
      <c r="AL1169" s="790"/>
      <c r="AM1169" s="790"/>
      <c r="AN1169" s="790"/>
      <c r="AO1169" s="790"/>
      <c r="AP1169" s="790"/>
      <c r="AQ1169" s="790"/>
      <c r="AR1169" s="790"/>
      <c r="AS1169" s="790"/>
      <c r="AT1169" s="790"/>
      <c r="AU1169" s="790"/>
      <c r="AV1169" s="790"/>
      <c r="AW1169" s="790"/>
      <c r="AX1169" s="790"/>
      <c r="AY1169" s="790"/>
      <c r="AZ1169" s="790"/>
      <c r="BA1169" s="790"/>
      <c r="BB1169" s="790"/>
      <c r="BC1169" s="790"/>
      <c r="BD1169" s="790"/>
      <c r="BE1169" s="790"/>
      <c r="BF1169" s="790"/>
      <c r="BG1169" s="790"/>
      <c r="BH1169" s="790"/>
      <c r="BI1169" s="790"/>
      <c r="BJ1169" s="1184" t="s">
        <v>4763</v>
      </c>
    </row>
    <row r="1170" spans="1:62" x14ac:dyDescent="0.3">
      <c r="A1170" s="1200">
        <v>7</v>
      </c>
      <c r="B1170" s="1210" t="s">
        <v>1157</v>
      </c>
      <c r="C1170" s="1215"/>
      <c r="D1170" s="1217" t="s">
        <v>271</v>
      </c>
      <c r="E1170" s="1203" t="s">
        <v>122</v>
      </c>
      <c r="F1170" s="1203"/>
      <c r="G1170" s="1202" t="str">
        <f t="shared" ca="1" si="344"/>
        <v/>
      </c>
      <c r="H1170" s="1204" t="s">
        <v>4386</v>
      </c>
      <c r="I1170" s="4"/>
      <c r="J1170" s="819"/>
      <c r="K1170" s="260" t="s">
        <v>122</v>
      </c>
      <c r="L1170" s="819" t="s">
        <v>1163</v>
      </c>
      <c r="M1170" s="799"/>
      <c r="N1170" s="850"/>
      <c r="O1170" s="802"/>
      <c r="P1170" s="97" t="b">
        <v>1</v>
      </c>
      <c r="Q1170" s="97" t="b">
        <v>1</v>
      </c>
      <c r="R1170" s="790" t="b">
        <v>0</v>
      </c>
      <c r="S1170" s="790" t="b">
        <f ca="1">(S776=2)</f>
        <v>0</v>
      </c>
      <c r="T1170" s="97" t="b">
        <f ca="1">AND(NOT(S1170),W1170=TRUE)</f>
        <v>0</v>
      </c>
      <c r="U1170" s="790"/>
      <c r="V1170" s="790"/>
      <c r="W1170" s="25"/>
      <c r="X1170" s="809"/>
      <c r="Y1170" s="841" t="str">
        <f>IF(LEN('Ch7'!X407)=0,"None",'Ch7'!X407)</f>
        <v>None</v>
      </c>
      <c r="Z1170" s="1169"/>
      <c r="AB1170" s="790"/>
      <c r="AC1170" s="790" t="b">
        <f ca="1">OR(AD1170:AE1170)</f>
        <v>0</v>
      </c>
      <c r="AD1170" s="790" t="b">
        <f ca="1">T1170</f>
        <v>0</v>
      </c>
      <c r="AE1170" s="790" t="b">
        <f>AND(R1170,NOT(W1170))</f>
        <v>0</v>
      </c>
      <c r="AF1170" s="1182" t="b">
        <f>AND(AE1170,NOT(Q1170))</f>
        <v>0</v>
      </c>
      <c r="AG1170" s="790"/>
      <c r="AH1170" s="790"/>
      <c r="AI1170" s="790"/>
      <c r="AJ1170" s="790"/>
      <c r="AK1170" s="790"/>
      <c r="AL1170" s="790"/>
      <c r="AM1170" s="790"/>
      <c r="AN1170" s="790"/>
      <c r="AO1170" s="790"/>
      <c r="AP1170" s="311" t="str">
        <f t="shared" ref="AP1170:AP1172" si="346">SUBSTITUTE(SUBSTITUTE(SUBSTITUTE("vch"&amp;$B1170&amp;$C1170&amp;$D1170&amp;$E1170&amp;$F1170,".","_"),"(","_"),")","")</f>
        <v>vch703_7_3_1_b</v>
      </c>
      <c r="AQ1170" s="311">
        <f>W1170</f>
        <v>0</v>
      </c>
      <c r="AR1170" s="311" t="str">
        <f t="shared" ref="AR1170:AR1172" si="347">SUBSTITUTE(SUBSTITUTE(SUBSTITUTE("vnt"&amp;$B1170&amp;$C1170&amp;$D1170&amp;$E1170&amp;$F1170,".","_"),"(","_"),")","")</f>
        <v>vnt703_7_3_1_b</v>
      </c>
      <c r="AS1170" s="311">
        <f>X1170</f>
        <v>0</v>
      </c>
      <c r="AT1170" s="790"/>
      <c r="AU1170" s="790"/>
      <c r="AV1170" s="790"/>
      <c r="AW1170" s="790"/>
      <c r="AX1170" s="790"/>
      <c r="AY1170" s="790"/>
      <c r="AZ1170" s="790"/>
      <c r="BA1170" s="790"/>
      <c r="BB1170" s="790"/>
      <c r="BC1170" s="790"/>
      <c r="BD1170" s="790"/>
      <c r="BE1170" s="790"/>
      <c r="BF1170" s="790"/>
      <c r="BG1170" s="790"/>
      <c r="BH1170" s="790"/>
      <c r="BI1170" s="790"/>
      <c r="BJ1170" s="1184" t="s">
        <v>4763</v>
      </c>
    </row>
    <row r="1171" spans="1:62" x14ac:dyDescent="0.3">
      <c r="A1171" s="1200">
        <v>7</v>
      </c>
      <c r="B1171" s="1210" t="s">
        <v>1157</v>
      </c>
      <c r="C1171" s="1215"/>
      <c r="D1171" s="1217" t="s">
        <v>271</v>
      </c>
      <c r="E1171" s="1205" t="s">
        <v>123</v>
      </c>
      <c r="F1171" s="1205"/>
      <c r="G1171" s="1202" t="str">
        <f t="shared" ca="1" si="344"/>
        <v/>
      </c>
      <c r="H1171" s="1206" t="s">
        <v>4386</v>
      </c>
      <c r="I1171" s="4"/>
      <c r="J1171" s="819"/>
      <c r="K1171" s="261" t="s">
        <v>123</v>
      </c>
      <c r="L1171" s="819" t="s">
        <v>1164</v>
      </c>
      <c r="M1171" s="799"/>
      <c r="N1171" s="850"/>
      <c r="O1171" s="802"/>
      <c r="P1171" s="97" t="b">
        <v>1</v>
      </c>
      <c r="Q1171" s="97" t="b">
        <v>1</v>
      </c>
      <c r="R1171" s="790" t="b">
        <v>0</v>
      </c>
      <c r="S1171" s="790" t="b">
        <f ca="1">(S776=2)</f>
        <v>0</v>
      </c>
      <c r="T1171" s="97" t="b">
        <f ca="1">AND(NOT(S1171),W1171=TRUE)</f>
        <v>0</v>
      </c>
      <c r="U1171" s="790"/>
      <c r="V1171" s="790"/>
      <c r="W1171" s="25"/>
      <c r="X1171" s="809"/>
      <c r="Y1171" s="841" t="str">
        <f>IF(LEN('Ch7'!X408)=0,"None",'Ch7'!X408)</f>
        <v>None</v>
      </c>
      <c r="Z1171" s="1169"/>
      <c r="AB1171" s="790"/>
      <c r="AC1171" s="790" t="b">
        <f ca="1">OR(AD1171:AE1171)</f>
        <v>0</v>
      </c>
      <c r="AD1171" s="790" t="b">
        <f ca="1">T1171</f>
        <v>0</v>
      </c>
      <c r="AE1171" s="790" t="b">
        <f>AND(R1171,NOT(W1171))</f>
        <v>0</v>
      </c>
      <c r="AF1171" s="1182" t="b">
        <f>AND(AE1171,NOT(Q1171))</f>
        <v>0</v>
      </c>
      <c r="AG1171" s="790"/>
      <c r="AH1171" s="790"/>
      <c r="AI1171" s="790"/>
      <c r="AJ1171" s="790"/>
      <c r="AK1171" s="790"/>
      <c r="AL1171" s="790"/>
      <c r="AM1171" s="790"/>
      <c r="AN1171" s="790"/>
      <c r="AO1171" s="790"/>
      <c r="AP1171" s="311" t="str">
        <f t="shared" si="346"/>
        <v>vch703_7_3_1_c</v>
      </c>
      <c r="AQ1171" s="311">
        <f>W1171</f>
        <v>0</v>
      </c>
      <c r="AR1171" s="311" t="str">
        <f t="shared" si="347"/>
        <v>vnt703_7_3_1_c</v>
      </c>
      <c r="AS1171" s="311">
        <f>X1171</f>
        <v>0</v>
      </c>
      <c r="AT1171" s="790"/>
      <c r="AU1171" s="790"/>
      <c r="AV1171" s="790"/>
      <c r="AW1171" s="790"/>
      <c r="AX1171" s="790"/>
      <c r="AY1171" s="790"/>
      <c r="AZ1171" s="790"/>
      <c r="BA1171" s="790"/>
      <c r="BB1171" s="790"/>
      <c r="BC1171" s="790"/>
      <c r="BD1171" s="790"/>
      <c r="BE1171" s="790"/>
      <c r="BF1171" s="790"/>
      <c r="BG1171" s="790"/>
      <c r="BH1171" s="790"/>
      <c r="BI1171" s="790"/>
      <c r="BJ1171" s="1184" t="s">
        <v>4763</v>
      </c>
    </row>
    <row r="1172" spans="1:62" x14ac:dyDescent="0.3">
      <c r="A1172" s="1200">
        <v>7</v>
      </c>
      <c r="B1172" s="1210" t="s">
        <v>1157</v>
      </c>
      <c r="C1172" s="1215"/>
      <c r="D1172" s="1217" t="s">
        <v>271</v>
      </c>
      <c r="E1172" s="1203" t="s">
        <v>423</v>
      </c>
      <c r="F1172" s="1203"/>
      <c r="G1172" s="1202" t="str">
        <f t="shared" ca="1" si="344"/>
        <v/>
      </c>
      <c r="H1172" s="1200" t="s">
        <v>4386</v>
      </c>
      <c r="I1172" s="4"/>
      <c r="J1172" s="812"/>
      <c r="K1172" s="830" t="s">
        <v>423</v>
      </c>
      <c r="L1172" s="1305" t="s">
        <v>1165</v>
      </c>
      <c r="M1172" s="799"/>
      <c r="N1172" s="850"/>
      <c r="O1172" s="802"/>
      <c r="P1172" s="97" t="b">
        <v>1</v>
      </c>
      <c r="Q1172" s="97" t="b">
        <v>1</v>
      </c>
      <c r="R1172" s="790" t="b">
        <v>0</v>
      </c>
      <c r="S1172" s="790" t="b">
        <f ca="1">(S776=2)</f>
        <v>0</v>
      </c>
      <c r="T1172" s="97" t="b">
        <f ca="1">AND(NOT(S1172),W1172=TRUE)</f>
        <v>0</v>
      </c>
      <c r="U1172" s="790"/>
      <c r="V1172" s="790"/>
      <c r="W1172" s="25"/>
      <c r="X1172" s="1303"/>
      <c r="Y1172" s="1522" t="str">
        <f>IF(LEN('Ch7'!X409)=0,"None",'Ch7'!X409)</f>
        <v>None</v>
      </c>
      <c r="Z1172" s="1586"/>
      <c r="AB1172" s="790"/>
      <c r="AC1172" s="790" t="b">
        <f ca="1">OR(AD1172:AE1172)</f>
        <v>0</v>
      </c>
      <c r="AD1172" s="790" t="b">
        <f ca="1">T1172</f>
        <v>0</v>
      </c>
      <c r="AE1172" s="790" t="b">
        <f>AND(R1172,NOT(W1172))</f>
        <v>0</v>
      </c>
      <c r="AF1172" s="1182" t="b">
        <f>AND(AE1172,NOT(Q1172))</f>
        <v>0</v>
      </c>
      <c r="AG1172" s="790"/>
      <c r="AH1172" s="790"/>
      <c r="AI1172" s="790"/>
      <c r="AJ1172" s="790"/>
      <c r="AK1172" s="790"/>
      <c r="AL1172" s="790"/>
      <c r="AM1172" s="790"/>
      <c r="AN1172" s="790"/>
      <c r="AO1172" s="790"/>
      <c r="AP1172" s="311" t="str">
        <f t="shared" si="346"/>
        <v>vch703_7_3_1_d</v>
      </c>
      <c r="AQ1172" s="311">
        <f>W1172</f>
        <v>0</v>
      </c>
      <c r="AR1172" s="311" t="str">
        <f t="shared" si="347"/>
        <v>vnt703_7_3_1_d</v>
      </c>
      <c r="AS1172" s="311">
        <f>X1172</f>
        <v>0</v>
      </c>
      <c r="AT1172" s="790"/>
      <c r="AU1172" s="790"/>
      <c r="AV1172" s="790"/>
      <c r="AW1172" s="790"/>
      <c r="AX1172" s="790"/>
      <c r="AY1172" s="790"/>
      <c r="AZ1172" s="790"/>
      <c r="BA1172" s="790"/>
      <c r="BB1172" s="790"/>
      <c r="BC1172" s="790"/>
      <c r="BD1172" s="790"/>
      <c r="BE1172" s="790"/>
      <c r="BF1172" s="790"/>
      <c r="BG1172" s="790"/>
      <c r="BH1172" s="790"/>
      <c r="BI1172" s="790"/>
      <c r="BJ1172" s="1184" t="s">
        <v>4763</v>
      </c>
    </row>
    <row r="1173" spans="1:62" x14ac:dyDescent="0.3">
      <c r="A1173" s="1200">
        <v>7</v>
      </c>
      <c r="B1173" s="1210" t="s">
        <v>1157</v>
      </c>
      <c r="C1173" s="1215"/>
      <c r="D1173" s="1217" t="s">
        <v>271</v>
      </c>
      <c r="E1173" s="1203" t="s">
        <v>423</v>
      </c>
      <c r="F1173" s="1203"/>
      <c r="G1173" s="1202" t="str">
        <f t="shared" ca="1" si="344"/>
        <v/>
      </c>
      <c r="H1173" s="1200" t="s">
        <v>4386</v>
      </c>
      <c r="I1173" s="4"/>
      <c r="J1173" s="813"/>
      <c r="K1173" s="813"/>
      <c r="L1173" s="1306"/>
      <c r="M1173" s="799"/>
      <c r="N1173" s="850"/>
      <c r="O1173" s="802"/>
      <c r="P1173" s="1081"/>
      <c r="Q1173" s="1081"/>
      <c r="R1173" s="790"/>
      <c r="S1173" s="790"/>
      <c r="T1173" s="790"/>
      <c r="U1173" s="790"/>
      <c r="V1173" s="790"/>
      <c r="W1173" s="790"/>
      <c r="X1173" s="1303"/>
      <c r="Y1173" s="1522"/>
      <c r="Z1173" s="1586"/>
      <c r="AB1173" s="790"/>
      <c r="AC1173" s="790"/>
      <c r="AD1173" s="790"/>
      <c r="AE1173" s="790"/>
      <c r="AF1173" s="790"/>
      <c r="AG1173" s="790"/>
      <c r="AH1173" s="790"/>
      <c r="AI1173" s="790"/>
      <c r="AJ1173" s="790"/>
      <c r="AK1173" s="790"/>
      <c r="AL1173" s="790"/>
      <c r="AM1173" s="790"/>
      <c r="AN1173" s="790"/>
      <c r="AO1173" s="790"/>
      <c r="AP1173" s="790"/>
      <c r="AQ1173" s="790"/>
      <c r="AR1173" s="790"/>
      <c r="AS1173" s="790"/>
      <c r="AT1173" s="790"/>
      <c r="AU1173" s="790"/>
      <c r="AV1173" s="790"/>
      <c r="AW1173" s="790"/>
      <c r="AX1173" s="790"/>
      <c r="AY1173" s="790"/>
      <c r="AZ1173" s="790"/>
      <c r="BA1173" s="790"/>
      <c r="BB1173" s="790"/>
      <c r="BC1173" s="790"/>
      <c r="BD1173" s="790"/>
      <c r="BE1173" s="790"/>
      <c r="BF1173" s="790"/>
      <c r="BG1173" s="790"/>
      <c r="BH1173" s="790"/>
      <c r="BI1173" s="790"/>
      <c r="BJ1173" s="1184" t="s">
        <v>4763</v>
      </c>
    </row>
    <row r="1174" spans="1:62" x14ac:dyDescent="0.3">
      <c r="A1174" s="1200">
        <v>7</v>
      </c>
      <c r="B1174" s="1210" t="s">
        <v>1157</v>
      </c>
      <c r="C1174" s="1215"/>
      <c r="D1174" s="1203" t="s">
        <v>273</v>
      </c>
      <c r="E1174" s="1203"/>
      <c r="F1174" s="1203"/>
      <c r="G1174" s="1202" t="str">
        <f t="shared" ca="1" si="344"/>
        <v/>
      </c>
      <c r="H1174" s="1200" t="s">
        <v>4386</v>
      </c>
      <c r="I1174" s="4"/>
      <c r="J1174" s="264" t="s">
        <v>273</v>
      </c>
      <c r="K1174" s="819"/>
      <c r="L1174" s="1329" t="s">
        <v>1166</v>
      </c>
      <c r="M1174" s="799"/>
      <c r="N1174" s="850"/>
      <c r="O1174" s="802"/>
      <c r="P1174" s="97" t="b">
        <v>1</v>
      </c>
      <c r="Q1174" s="97" t="b">
        <v>1</v>
      </c>
      <c r="R1174" s="790" t="b">
        <v>0</v>
      </c>
      <c r="S1174" s="790" t="b">
        <f ca="1">AND(S776=2,NOT(W1132=TRUE))</f>
        <v>0</v>
      </c>
      <c r="T1174" s="97" t="b">
        <f ca="1">AND(NOT(S1174),W1174=TRUE)</f>
        <v>0</v>
      </c>
      <c r="U1174" s="790"/>
      <c r="V1174" s="790"/>
      <c r="W1174" s="25"/>
      <c r="X1174" s="1303"/>
      <c r="Y1174" s="1522" t="str">
        <f>IF(LEN('Ch7'!X411)=0,"None",'Ch7'!X411)</f>
        <v>None</v>
      </c>
      <c r="Z1174" s="1586"/>
      <c r="AB1174" s="790"/>
      <c r="AC1174" s="790" t="b">
        <f ca="1">OR(AD1174:AE1174)</f>
        <v>0</v>
      </c>
      <c r="AD1174" s="790" t="b">
        <f ca="1">T1174</f>
        <v>0</v>
      </c>
      <c r="AE1174" s="790" t="b">
        <f>AND(R1174,NOT(W1174))</f>
        <v>0</v>
      </c>
      <c r="AF1174" s="1182" t="b">
        <f>AND(AE1174,NOT(Q1174))</f>
        <v>0</v>
      </c>
      <c r="AG1174" s="790"/>
      <c r="AH1174" s="790"/>
      <c r="AI1174" s="790"/>
      <c r="AJ1174" s="790"/>
      <c r="AK1174" s="790"/>
      <c r="AL1174" s="790"/>
      <c r="AM1174" s="790"/>
      <c r="AN1174" s="790"/>
      <c r="AO1174" s="790"/>
      <c r="AP1174" s="311" t="str">
        <f>SUBSTITUTE(SUBSTITUTE(SUBSTITUTE("vch"&amp;$B1174&amp;$C1174&amp;$D1174&amp;$E1174&amp;$F1174,".","_"),"(","_"),")","")</f>
        <v>vch703_7_3_2</v>
      </c>
      <c r="AQ1174" s="311">
        <f>W1174</f>
        <v>0</v>
      </c>
      <c r="AR1174" s="311" t="str">
        <f>SUBSTITUTE(SUBSTITUTE(SUBSTITUTE("vnt"&amp;$B1174&amp;$C1174&amp;$D1174&amp;$E1174&amp;$F1174,".","_"),"(","_"),")","")</f>
        <v>vnt703_7_3_2</v>
      </c>
      <c r="AS1174" s="311">
        <f>X1174</f>
        <v>0</v>
      </c>
      <c r="AT1174" s="790"/>
      <c r="AU1174" s="790"/>
      <c r="AV1174" s="790"/>
      <c r="AW1174" s="790"/>
      <c r="AX1174" s="790"/>
      <c r="AY1174" s="790"/>
      <c r="AZ1174" s="790"/>
      <c r="BA1174" s="790"/>
      <c r="BB1174" s="790"/>
      <c r="BC1174" s="790"/>
      <c r="BD1174" s="790"/>
      <c r="BE1174" s="790"/>
      <c r="BF1174" s="790"/>
      <c r="BG1174" s="790"/>
      <c r="BH1174" s="790"/>
      <c r="BI1174" s="790"/>
      <c r="BJ1174" s="1184" t="s">
        <v>4763</v>
      </c>
    </row>
    <row r="1175" spans="1:62" x14ac:dyDescent="0.3">
      <c r="A1175" s="1200">
        <v>7</v>
      </c>
      <c r="B1175" s="1210" t="s">
        <v>1157</v>
      </c>
      <c r="C1175" s="1215"/>
      <c r="D1175" s="1203" t="s">
        <v>273</v>
      </c>
      <c r="E1175" s="1203"/>
      <c r="F1175" s="1203"/>
      <c r="G1175" s="1202" t="str">
        <f t="shared" ca="1" si="344"/>
        <v/>
      </c>
      <c r="H1175" s="1200" t="s">
        <v>4386</v>
      </c>
      <c r="I1175" s="4"/>
      <c r="J1175" s="819"/>
      <c r="K1175" s="819"/>
      <c r="L1175" s="1329"/>
      <c r="M1175" s="799"/>
      <c r="N1175" s="850"/>
      <c r="O1175" s="802"/>
      <c r="P1175" s="1081"/>
      <c r="Q1175" s="1081"/>
      <c r="R1175" s="790"/>
      <c r="S1175" s="790"/>
      <c r="T1175" s="790"/>
      <c r="U1175" s="790"/>
      <c r="V1175" s="790"/>
      <c r="W1175" s="790"/>
      <c r="X1175" s="1303"/>
      <c r="Y1175" s="1522"/>
      <c r="Z1175" s="1586"/>
      <c r="AB1175" s="790"/>
      <c r="AC1175" s="790"/>
      <c r="AD1175" s="790"/>
      <c r="AE1175" s="790"/>
      <c r="AF1175" s="790"/>
      <c r="AG1175" s="790"/>
      <c r="AH1175" s="790"/>
      <c r="AI1175" s="790"/>
      <c r="AJ1175" s="790"/>
      <c r="AK1175" s="790"/>
      <c r="AL1175" s="790"/>
      <c r="AM1175" s="790"/>
      <c r="AN1175" s="790"/>
      <c r="AO1175" s="790"/>
      <c r="AP1175" s="790"/>
      <c r="AQ1175" s="790"/>
      <c r="AR1175" s="790"/>
      <c r="AS1175" s="790"/>
      <c r="AT1175" s="790"/>
      <c r="AU1175" s="790"/>
      <c r="AV1175" s="790"/>
      <c r="AW1175" s="790"/>
      <c r="AX1175" s="790"/>
      <c r="AY1175" s="790"/>
      <c r="AZ1175" s="790"/>
      <c r="BA1175" s="790"/>
      <c r="BB1175" s="790"/>
      <c r="BC1175" s="790"/>
      <c r="BD1175" s="790"/>
      <c r="BE1175" s="790"/>
      <c r="BF1175" s="790"/>
      <c r="BG1175" s="790"/>
      <c r="BH1175" s="790"/>
      <c r="BI1175" s="790"/>
      <c r="BJ1175" s="1184" t="s">
        <v>4763</v>
      </c>
    </row>
    <row r="1176" spans="1:62" x14ac:dyDescent="0.3">
      <c r="A1176" s="1200">
        <v>7</v>
      </c>
      <c r="B1176" s="1210" t="s">
        <v>1157</v>
      </c>
      <c r="C1176" s="1215"/>
      <c r="D1176" s="1203" t="s">
        <v>273</v>
      </c>
      <c r="E1176" s="1203"/>
      <c r="F1176" s="1203"/>
      <c r="G1176" s="1202" t="str">
        <f t="shared" ca="1" si="344"/>
        <v/>
      </c>
      <c r="H1176" s="1200" t="s">
        <v>4386</v>
      </c>
      <c r="I1176" s="4"/>
      <c r="J1176" s="813"/>
      <c r="K1176" s="813"/>
      <c r="L1176" s="834" t="s">
        <v>1167</v>
      </c>
      <c r="M1176" s="799"/>
      <c r="N1176" s="850"/>
      <c r="O1176" s="802"/>
      <c r="P1176" s="1081"/>
      <c r="Q1176" s="1081"/>
      <c r="R1176" s="790"/>
      <c r="S1176" s="790"/>
      <c r="T1176" s="790"/>
      <c r="U1176" s="790"/>
      <c r="V1176" s="790"/>
      <c r="W1176" s="790"/>
      <c r="X1176" s="1303"/>
      <c r="Y1176" s="1522"/>
      <c r="Z1176" s="1586"/>
      <c r="AB1176" s="790"/>
      <c r="AC1176" s="790"/>
      <c r="AD1176" s="790"/>
      <c r="AE1176" s="790"/>
      <c r="AF1176" s="790"/>
      <c r="AG1176" s="790"/>
      <c r="AH1176" s="790"/>
      <c r="AI1176" s="790"/>
      <c r="AJ1176" s="790"/>
      <c r="AK1176" s="790"/>
      <c r="AL1176" s="790"/>
      <c r="AM1176" s="790"/>
      <c r="AN1176" s="790"/>
      <c r="AO1176" s="790"/>
      <c r="AP1176" s="790"/>
      <c r="AQ1176" s="790"/>
      <c r="AR1176" s="790"/>
      <c r="AS1176" s="790"/>
      <c r="AT1176" s="790"/>
      <c r="AU1176" s="790"/>
      <c r="AV1176" s="790"/>
      <c r="AW1176" s="790"/>
      <c r="AX1176" s="790"/>
      <c r="AY1176" s="790"/>
      <c r="AZ1176" s="790"/>
      <c r="BA1176" s="790"/>
      <c r="BB1176" s="790"/>
      <c r="BC1176" s="790"/>
      <c r="BD1176" s="790"/>
      <c r="BE1176" s="790"/>
      <c r="BF1176" s="790"/>
      <c r="BG1176" s="790"/>
      <c r="BH1176" s="790"/>
      <c r="BI1176" s="790"/>
      <c r="BJ1176" s="1184" t="s">
        <v>4763</v>
      </c>
    </row>
    <row r="1177" spans="1:62" x14ac:dyDescent="0.3">
      <c r="A1177" s="1200">
        <v>7</v>
      </c>
      <c r="B1177" s="1210" t="s">
        <v>1157</v>
      </c>
      <c r="C1177" s="1215"/>
      <c r="D1177" s="1203" t="s">
        <v>275</v>
      </c>
      <c r="E1177" s="1203"/>
      <c r="F1177" s="1203"/>
      <c r="G1177" s="1202" t="str">
        <f t="shared" ca="1" si="344"/>
        <v/>
      </c>
      <c r="H1177" s="1200" t="s">
        <v>4386</v>
      </c>
      <c r="I1177" s="4"/>
      <c r="J1177" s="656" t="s">
        <v>275</v>
      </c>
      <c r="K1177" s="365"/>
      <c r="L1177" s="365" t="s">
        <v>1168</v>
      </c>
      <c r="M1177" s="799"/>
      <c r="N1177" s="850"/>
      <c r="O1177" s="802"/>
      <c r="P1177" s="97" t="b">
        <v>1</v>
      </c>
      <c r="Q1177" s="97" t="b">
        <v>1</v>
      </c>
      <c r="R1177" s="790" t="b">
        <v>0</v>
      </c>
      <c r="S1177" s="790" t="b">
        <f ca="1">(S776=2)</f>
        <v>0</v>
      </c>
      <c r="T1177" s="97" t="b">
        <f ca="1">AND(NOT(S1177),W1177=TRUE)</f>
        <v>0</v>
      </c>
      <c r="U1177" s="790"/>
      <c r="V1177" s="790"/>
      <c r="W1177" s="25"/>
      <c r="X1177" s="809"/>
      <c r="Y1177" s="841" t="str">
        <f>IF(LEN('Ch7'!X414)=0,"None",'Ch7'!X414)</f>
        <v>None</v>
      </c>
      <c r="Z1177" s="1169"/>
      <c r="AB1177" s="790"/>
      <c r="AC1177" s="790" t="b">
        <f ca="1">OR(AD1177:AE1177)</f>
        <v>0</v>
      </c>
      <c r="AD1177" s="790" t="b">
        <f ca="1">T1177</f>
        <v>0</v>
      </c>
      <c r="AE1177" s="790" t="b">
        <f>AND(R1177,NOT(W1177))</f>
        <v>0</v>
      </c>
      <c r="AF1177" s="1182" t="b">
        <f>AND(AE1177,NOT(Q1177))</f>
        <v>0</v>
      </c>
      <c r="AG1177" s="790"/>
      <c r="AH1177" s="790"/>
      <c r="AI1177" s="790"/>
      <c r="AJ1177" s="790"/>
      <c r="AK1177" s="790"/>
      <c r="AL1177" s="790"/>
      <c r="AM1177" s="790"/>
      <c r="AN1177" s="790"/>
      <c r="AO1177" s="790"/>
      <c r="AP1177" s="311" t="str">
        <f t="shared" ref="AP1177:AP1178" si="348">SUBSTITUTE(SUBSTITUTE(SUBSTITUTE("vch"&amp;$B1177&amp;$C1177&amp;$D1177&amp;$E1177&amp;$F1177,".","_"),"(","_"),")","")</f>
        <v>vch703_7_3_3</v>
      </c>
      <c r="AQ1177" s="311">
        <f>W1177</f>
        <v>0</v>
      </c>
      <c r="AR1177" s="311" t="str">
        <f t="shared" ref="AR1177:AR1178" si="349">SUBSTITUTE(SUBSTITUTE(SUBSTITUTE("vnt"&amp;$B1177&amp;$C1177&amp;$D1177&amp;$E1177&amp;$F1177,".","_"),"(","_"),")","")</f>
        <v>vnt703_7_3_3</v>
      </c>
      <c r="AS1177" s="311">
        <f>X1177</f>
        <v>0</v>
      </c>
      <c r="AT1177" s="790"/>
      <c r="AU1177" s="790"/>
      <c r="AV1177" s="790"/>
      <c r="AW1177" s="790"/>
      <c r="AX1177" s="790"/>
      <c r="AY1177" s="790"/>
      <c r="AZ1177" s="790"/>
      <c r="BA1177" s="790"/>
      <c r="BB1177" s="790"/>
      <c r="BC1177" s="790"/>
      <c r="BD1177" s="790"/>
      <c r="BE1177" s="790"/>
      <c r="BF1177" s="790"/>
      <c r="BG1177" s="790"/>
      <c r="BH1177" s="790"/>
      <c r="BI1177" s="790"/>
      <c r="BJ1177" s="1184" t="s">
        <v>4763</v>
      </c>
    </row>
    <row r="1178" spans="1:62" x14ac:dyDescent="0.3">
      <c r="A1178" s="1200">
        <v>7</v>
      </c>
      <c r="B1178" s="1210" t="s">
        <v>1157</v>
      </c>
      <c r="C1178" s="1215"/>
      <c r="D1178" s="1203" t="s">
        <v>285</v>
      </c>
      <c r="E1178" s="1203"/>
      <c r="F1178" s="1203"/>
      <c r="G1178" s="1202" t="str">
        <f t="shared" ca="1" si="344"/>
        <v/>
      </c>
      <c r="H1178" s="1200" t="s">
        <v>4386</v>
      </c>
      <c r="I1178" s="4"/>
      <c r="J1178" s="657" t="s">
        <v>285</v>
      </c>
      <c r="K1178" s="823"/>
      <c r="L1178" s="1356" t="s">
        <v>1169</v>
      </c>
      <c r="M1178" s="799"/>
      <c r="N1178" s="850"/>
      <c r="O1178" s="802"/>
      <c r="P1178" s="97" t="b">
        <v>1</v>
      </c>
      <c r="Q1178" s="97" t="b">
        <v>1</v>
      </c>
      <c r="R1178" s="790" t="b">
        <v>0</v>
      </c>
      <c r="S1178" s="790" t="b">
        <f ca="1">AND(S776=2,OR(BF779=1,BF779=2,BF779=3))</f>
        <v>0</v>
      </c>
      <c r="T1178" s="97" t="b">
        <f ca="1">AND(NOT(S1178),W1178=TRUE)</f>
        <v>0</v>
      </c>
      <c r="U1178" s="790"/>
      <c r="V1178" s="790"/>
      <c r="W1178" s="25"/>
      <c r="X1178" s="1303"/>
      <c r="Y1178" s="1522" t="str">
        <f>IF(LEN('Ch7'!X415)=0,"None",'Ch7'!X415)</f>
        <v>None</v>
      </c>
      <c r="Z1178" s="1586"/>
      <c r="AB1178" s="790"/>
      <c r="AC1178" s="790" t="b">
        <f ca="1">OR(AD1178:AE1178)</f>
        <v>0</v>
      </c>
      <c r="AD1178" s="790" t="b">
        <f ca="1">T1178</f>
        <v>0</v>
      </c>
      <c r="AE1178" s="790" t="b">
        <f>AND(R1178,NOT(W1178))</f>
        <v>0</v>
      </c>
      <c r="AF1178" s="1182" t="b">
        <f>AND(AE1178,NOT(Q1178))</f>
        <v>0</v>
      </c>
      <c r="AG1178" s="790"/>
      <c r="AH1178" s="790"/>
      <c r="AI1178" s="790"/>
      <c r="AJ1178" s="790"/>
      <c r="AK1178" s="790"/>
      <c r="AL1178" s="790"/>
      <c r="AM1178" s="790"/>
      <c r="AN1178" s="790"/>
      <c r="AO1178" s="790"/>
      <c r="AP1178" s="311" t="str">
        <f t="shared" si="348"/>
        <v>vch703_7_3_4</v>
      </c>
      <c r="AQ1178" s="311">
        <f>W1178</f>
        <v>0</v>
      </c>
      <c r="AR1178" s="311" t="str">
        <f t="shared" si="349"/>
        <v>vnt703_7_3_4</v>
      </c>
      <c r="AS1178" s="311">
        <f>X1178</f>
        <v>0</v>
      </c>
      <c r="AT1178" s="790"/>
      <c r="AU1178" s="790"/>
      <c r="AV1178" s="790"/>
      <c r="AW1178" s="790"/>
      <c r="AX1178" s="790"/>
      <c r="AY1178" s="790"/>
      <c r="AZ1178" s="790"/>
      <c r="BA1178" s="790"/>
      <c r="BB1178" s="790"/>
      <c r="BC1178" s="790"/>
      <c r="BD1178" s="790"/>
      <c r="BE1178" s="790"/>
      <c r="BF1178" s="790"/>
      <c r="BG1178" s="790"/>
      <c r="BH1178" s="790"/>
      <c r="BI1178" s="790"/>
      <c r="BJ1178" s="1184" t="s">
        <v>4763</v>
      </c>
    </row>
    <row r="1179" spans="1:62" x14ac:dyDescent="0.3">
      <c r="A1179" s="1200">
        <v>7</v>
      </c>
      <c r="B1179" s="1210" t="s">
        <v>1157</v>
      </c>
      <c r="C1179" s="1215"/>
      <c r="D1179" s="1203" t="s">
        <v>285</v>
      </c>
      <c r="E1179" s="1203"/>
      <c r="F1179" s="1203"/>
      <c r="G1179" s="1202" t="str">
        <f t="shared" ca="1" si="344"/>
        <v/>
      </c>
      <c r="H1179" s="1200" t="s">
        <v>4386</v>
      </c>
      <c r="I1179" s="4"/>
      <c r="J1179" s="813"/>
      <c r="K1179" s="813"/>
      <c r="L1179" s="1306"/>
      <c r="M1179" s="799"/>
      <c r="N1179" s="850"/>
      <c r="O1179" s="802"/>
      <c r="P1179" s="1081"/>
      <c r="Q1179" s="1081"/>
      <c r="R1179" s="790"/>
      <c r="S1179" s="790"/>
      <c r="T1179" s="790"/>
      <c r="U1179" s="790"/>
      <c r="V1179" s="790"/>
      <c r="W1179" s="790"/>
      <c r="X1179" s="1303"/>
      <c r="Y1179" s="1522"/>
      <c r="Z1179" s="1586"/>
      <c r="AB1179" s="790"/>
      <c r="AC1179" s="790"/>
      <c r="AD1179" s="790"/>
      <c r="AE1179" s="790"/>
      <c r="AF1179" s="790"/>
      <c r="AG1179" s="790"/>
      <c r="AH1179" s="790"/>
      <c r="AI1179" s="790"/>
      <c r="AJ1179" s="790"/>
      <c r="AK1179" s="790"/>
      <c r="AL1179" s="790"/>
      <c r="AM1179" s="790"/>
      <c r="AN1179" s="790"/>
      <c r="AO1179" s="790"/>
      <c r="AP1179" s="790"/>
      <c r="AQ1179" s="790"/>
      <c r="AR1179" s="790"/>
      <c r="AS1179" s="790"/>
      <c r="AT1179" s="790"/>
      <c r="AU1179" s="790"/>
      <c r="AV1179" s="790"/>
      <c r="AW1179" s="790"/>
      <c r="AX1179" s="790"/>
      <c r="AY1179" s="790"/>
      <c r="AZ1179" s="790"/>
      <c r="BA1179" s="790"/>
      <c r="BB1179" s="790"/>
      <c r="BC1179" s="790"/>
      <c r="BD1179" s="790"/>
      <c r="BE1179" s="790"/>
      <c r="BF1179" s="790"/>
      <c r="BG1179" s="790"/>
      <c r="BH1179" s="790"/>
      <c r="BI1179" s="790"/>
      <c r="BJ1179" s="1184" t="s">
        <v>4763</v>
      </c>
    </row>
    <row r="1180" spans="1:62" x14ac:dyDescent="0.3">
      <c r="A1180" s="1200">
        <v>7</v>
      </c>
      <c r="B1180" s="1210" t="s">
        <v>1157</v>
      </c>
      <c r="C1180" s="1215"/>
      <c r="D1180" s="1203" t="s">
        <v>291</v>
      </c>
      <c r="E1180" s="1203"/>
      <c r="F1180" s="1203"/>
      <c r="G1180" s="1202" t="str">
        <f t="shared" ca="1" si="344"/>
        <v/>
      </c>
      <c r="H1180" s="1200" t="s">
        <v>4386</v>
      </c>
      <c r="I1180" s="4"/>
      <c r="J1180" s="264" t="s">
        <v>291</v>
      </c>
      <c r="K1180" s="819"/>
      <c r="L1180" s="1329" t="s">
        <v>1170</v>
      </c>
      <c r="M1180" s="799"/>
      <c r="N1180" s="850"/>
      <c r="O1180" s="802"/>
      <c r="P1180" s="1081"/>
      <c r="Q1180" s="1081"/>
      <c r="R1180" s="790"/>
      <c r="S1180" s="790"/>
      <c r="T1180" s="790"/>
      <c r="U1180" s="790"/>
      <c r="V1180" s="790"/>
      <c r="W1180" s="790"/>
      <c r="X1180" s="790"/>
      <c r="Y1180" s="790"/>
      <c r="Z1180" s="1055"/>
      <c r="AB1180" s="790"/>
      <c r="AC1180" s="790"/>
      <c r="AD1180" s="790"/>
      <c r="AE1180" s="790"/>
      <c r="AF1180" s="790"/>
      <c r="AG1180" s="790"/>
      <c r="AH1180" s="790"/>
      <c r="AI1180" s="790"/>
      <c r="AJ1180" s="790"/>
      <c r="AK1180" s="790"/>
      <c r="AL1180" s="790"/>
      <c r="AM1180" s="790"/>
      <c r="AN1180" s="790"/>
      <c r="AO1180" s="790"/>
      <c r="AP1180" s="790"/>
      <c r="AQ1180" s="790"/>
      <c r="AR1180" s="790"/>
      <c r="AS1180" s="790"/>
      <c r="AT1180" s="790"/>
      <c r="AU1180" s="790"/>
      <c r="AV1180" s="790"/>
      <c r="AW1180" s="790"/>
      <c r="AX1180" s="790"/>
      <c r="AY1180" s="790"/>
      <c r="AZ1180" s="790"/>
      <c r="BA1180" s="790"/>
      <c r="BB1180" s="790"/>
      <c r="BC1180" s="790"/>
      <c r="BD1180" s="790"/>
      <c r="BE1180" s="790"/>
      <c r="BF1180" s="790"/>
      <c r="BG1180" s="790"/>
      <c r="BH1180" s="790"/>
      <c r="BI1180" s="790"/>
      <c r="BJ1180" s="1184" t="s">
        <v>4763</v>
      </c>
    </row>
    <row r="1181" spans="1:62" x14ac:dyDescent="0.3">
      <c r="A1181" s="1200">
        <v>7</v>
      </c>
      <c r="B1181" s="1210" t="s">
        <v>1157</v>
      </c>
      <c r="C1181" s="1215"/>
      <c r="D1181" s="1203" t="s">
        <v>291</v>
      </c>
      <c r="E1181" s="1203"/>
      <c r="F1181" s="1203"/>
      <c r="G1181" s="1202" t="str">
        <f t="shared" ca="1" si="344"/>
        <v/>
      </c>
      <c r="H1181" s="1200" t="s">
        <v>4386</v>
      </c>
      <c r="I1181" s="4"/>
      <c r="J1181" s="819"/>
      <c r="K1181" s="819"/>
      <c r="L1181" s="1329"/>
      <c r="M1181" s="799"/>
      <c r="N1181" s="850"/>
      <c r="O1181" s="802"/>
      <c r="P1181" s="1081"/>
      <c r="Q1181" s="1081"/>
      <c r="R1181" s="790"/>
      <c r="S1181" s="790"/>
      <c r="T1181" s="790"/>
      <c r="U1181" s="790"/>
      <c r="V1181" s="790"/>
      <c r="W1181" s="790"/>
      <c r="X1181" s="790"/>
      <c r="Y1181" s="790"/>
      <c r="Z1181" s="1055"/>
      <c r="AB1181" s="790"/>
      <c r="AC1181" s="790"/>
      <c r="AD1181" s="790"/>
      <c r="AE1181" s="790"/>
      <c r="AF1181" s="790"/>
      <c r="AG1181" s="790"/>
      <c r="AH1181" s="790"/>
      <c r="AI1181" s="790"/>
      <c r="AJ1181" s="790"/>
      <c r="AK1181" s="790"/>
      <c r="AL1181" s="790"/>
      <c r="AM1181" s="790"/>
      <c r="AN1181" s="790"/>
      <c r="AO1181" s="790"/>
      <c r="AP1181" s="790"/>
      <c r="AQ1181" s="790"/>
      <c r="AR1181" s="790"/>
      <c r="AS1181" s="790"/>
      <c r="AT1181" s="790"/>
      <c r="AU1181" s="790"/>
      <c r="AV1181" s="790"/>
      <c r="AW1181" s="790"/>
      <c r="AX1181" s="790"/>
      <c r="AY1181" s="790"/>
      <c r="AZ1181" s="790"/>
      <c r="BA1181" s="790"/>
      <c r="BB1181" s="790"/>
      <c r="BC1181" s="790"/>
      <c r="BD1181" s="790"/>
      <c r="BE1181" s="790"/>
      <c r="BF1181" s="790"/>
      <c r="BG1181" s="790"/>
      <c r="BH1181" s="790"/>
      <c r="BI1181" s="790"/>
      <c r="BJ1181" s="1184" t="s">
        <v>4763</v>
      </c>
    </row>
    <row r="1182" spans="1:62" x14ac:dyDescent="0.3">
      <c r="A1182" s="1200">
        <v>7</v>
      </c>
      <c r="B1182" s="1210" t="s">
        <v>1157</v>
      </c>
      <c r="C1182" s="1215"/>
      <c r="D1182" s="1203" t="s">
        <v>291</v>
      </c>
      <c r="E1182" s="1203"/>
      <c r="F1182" s="1203"/>
      <c r="G1182" s="1202" t="str">
        <f t="shared" ca="1" si="344"/>
        <v/>
      </c>
      <c r="H1182" s="1200" t="s">
        <v>4386</v>
      </c>
      <c r="I1182" s="4"/>
      <c r="J1182" s="819"/>
      <c r="K1182" s="819"/>
      <c r="L1182" s="1329"/>
      <c r="M1182" s="799"/>
      <c r="N1182" s="850"/>
      <c r="O1182" s="802"/>
      <c r="P1182" s="1081"/>
      <c r="Q1182" s="1081"/>
      <c r="R1182" s="790"/>
      <c r="S1182" s="790"/>
      <c r="T1182" s="790"/>
      <c r="U1182" s="790"/>
      <c r="V1182" s="790"/>
      <c r="W1182" s="790"/>
      <c r="X1182" s="790"/>
      <c r="Y1182" s="790"/>
      <c r="Z1182" s="1055"/>
      <c r="AB1182" s="790"/>
      <c r="AC1182" s="790"/>
      <c r="AD1182" s="790"/>
      <c r="AE1182" s="790"/>
      <c r="AF1182" s="790"/>
      <c r="AG1182" s="790"/>
      <c r="AH1182" s="790"/>
      <c r="AI1182" s="790"/>
      <c r="AJ1182" s="790"/>
      <c r="AK1182" s="790"/>
      <c r="AL1182" s="790"/>
      <c r="AM1182" s="790"/>
      <c r="AN1182" s="790"/>
      <c r="AO1182" s="790"/>
      <c r="AP1182" s="790"/>
      <c r="AQ1182" s="790"/>
      <c r="AR1182" s="790"/>
      <c r="AS1182" s="790"/>
      <c r="AT1182" s="790"/>
      <c r="AU1182" s="790"/>
      <c r="AV1182" s="790"/>
      <c r="AW1182" s="790"/>
      <c r="AX1182" s="790"/>
      <c r="AY1182" s="790"/>
      <c r="AZ1182" s="790"/>
      <c r="BA1182" s="790"/>
      <c r="BB1182" s="790"/>
      <c r="BC1182" s="790"/>
      <c r="BD1182" s="790"/>
      <c r="BE1182" s="790"/>
      <c r="BF1182" s="790"/>
      <c r="BG1182" s="790"/>
      <c r="BH1182" s="790"/>
      <c r="BI1182" s="790"/>
      <c r="BJ1182" s="1184" t="s">
        <v>4763</v>
      </c>
    </row>
    <row r="1183" spans="1:62" x14ac:dyDescent="0.3">
      <c r="A1183" s="1200">
        <v>7</v>
      </c>
      <c r="B1183" s="1210" t="s">
        <v>1157</v>
      </c>
      <c r="C1183" s="1215"/>
      <c r="D1183" s="1217" t="s">
        <v>291</v>
      </c>
      <c r="E1183" s="1203" t="s">
        <v>121</v>
      </c>
      <c r="F1183" s="1203"/>
      <c r="G1183" s="1202" t="str">
        <f t="shared" ca="1" si="344"/>
        <v/>
      </c>
      <c r="H1183" s="1204" t="s">
        <v>4386</v>
      </c>
      <c r="I1183" s="4"/>
      <c r="J1183" s="819"/>
      <c r="K1183" s="260" t="s">
        <v>121</v>
      </c>
      <c r="L1183" s="1329" t="s">
        <v>1171</v>
      </c>
      <c r="M1183" s="799"/>
      <c r="N1183" s="850"/>
      <c r="O1183" s="802"/>
      <c r="P1183" s="97" t="b">
        <v>1</v>
      </c>
      <c r="Q1183" s="97" t="b">
        <v>1</v>
      </c>
      <c r="R1183" s="790" t="b">
        <v>0</v>
      </c>
      <c r="S1183" s="790" t="b">
        <f ca="1">(S776=2)</f>
        <v>0</v>
      </c>
      <c r="T1183" s="97" t="b">
        <f ca="1">AND(NOT(S1183),W1183=TRUE)</f>
        <v>0</v>
      </c>
      <c r="U1183" s="790"/>
      <c r="V1183" s="790"/>
      <c r="W1183" s="25"/>
      <c r="X1183" s="1303"/>
      <c r="Y1183" s="1522" t="str">
        <f>IF(LEN('Ch7'!X420)=0,"None",'Ch7'!X420)</f>
        <v>None</v>
      </c>
      <c r="Z1183" s="1586"/>
      <c r="AB1183" s="790"/>
      <c r="AC1183" s="790" t="b">
        <f ca="1">OR(AD1183:AE1183)</f>
        <v>0</v>
      </c>
      <c r="AD1183" s="790" t="b">
        <f ca="1">T1183</f>
        <v>0</v>
      </c>
      <c r="AE1183" s="790" t="b">
        <f>AND(R1183,NOT(W1183))</f>
        <v>0</v>
      </c>
      <c r="AF1183" s="1182" t="b">
        <f>AND(AE1183,NOT(Q1183))</f>
        <v>0</v>
      </c>
      <c r="AG1183" s="790"/>
      <c r="AH1183" s="790"/>
      <c r="AI1183" s="790"/>
      <c r="AJ1183" s="790"/>
      <c r="AK1183" s="790"/>
      <c r="AL1183" s="790"/>
      <c r="AM1183" s="790"/>
      <c r="AN1183" s="790"/>
      <c r="AO1183" s="790"/>
      <c r="AP1183" s="311" t="str">
        <f>SUBSTITUTE(SUBSTITUTE(SUBSTITUTE("vch"&amp;$B1183&amp;$C1183&amp;$D1183&amp;$E1183&amp;$F1183,".","_"),"(","_"),")","")</f>
        <v>vch703_7_3_5_a</v>
      </c>
      <c r="AQ1183" s="311">
        <f>W1183</f>
        <v>0</v>
      </c>
      <c r="AR1183" s="311" t="str">
        <f>SUBSTITUTE(SUBSTITUTE(SUBSTITUTE("vnt"&amp;$B1183&amp;$C1183&amp;$D1183&amp;$E1183&amp;$F1183,".","_"),"(","_"),")","")</f>
        <v>vnt703_7_3_5_a</v>
      </c>
      <c r="AS1183" s="311">
        <f>X1183</f>
        <v>0</v>
      </c>
      <c r="AT1183" s="790"/>
      <c r="AU1183" s="790"/>
      <c r="AV1183" s="790"/>
      <c r="AW1183" s="790"/>
      <c r="AX1183" s="790"/>
      <c r="AY1183" s="790"/>
      <c r="AZ1183" s="790"/>
      <c r="BA1183" s="790"/>
      <c r="BB1183" s="790"/>
      <c r="BC1183" s="790"/>
      <c r="BD1183" s="790"/>
      <c r="BE1183" s="790"/>
      <c r="BF1183" s="790"/>
      <c r="BG1183" s="790"/>
      <c r="BH1183" s="790"/>
      <c r="BI1183" s="790"/>
      <c r="BJ1183" s="1184" t="s">
        <v>4763</v>
      </c>
    </row>
    <row r="1184" spans="1:62" x14ac:dyDescent="0.3">
      <c r="A1184" s="1200">
        <v>7</v>
      </c>
      <c r="B1184" s="1210" t="s">
        <v>1157</v>
      </c>
      <c r="C1184" s="1215"/>
      <c r="D1184" s="1217" t="s">
        <v>291</v>
      </c>
      <c r="E1184" s="1203" t="s">
        <v>121</v>
      </c>
      <c r="F1184" s="1203"/>
      <c r="G1184" s="1202" t="str">
        <f t="shared" ca="1" si="344"/>
        <v/>
      </c>
      <c r="H1184" s="1200" t="s">
        <v>4386</v>
      </c>
      <c r="I1184" s="4"/>
      <c r="J1184" s="819"/>
      <c r="K1184" s="819"/>
      <c r="L1184" s="1329"/>
      <c r="M1184" s="799"/>
      <c r="N1184" s="850"/>
      <c r="O1184" s="802"/>
      <c r="P1184" s="1081"/>
      <c r="Q1184" s="1081"/>
      <c r="R1184" s="790"/>
      <c r="S1184" s="790"/>
      <c r="T1184" s="790"/>
      <c r="U1184" s="790"/>
      <c r="V1184" s="790"/>
      <c r="W1184" s="790"/>
      <c r="X1184" s="1303"/>
      <c r="Y1184" s="1522"/>
      <c r="Z1184" s="1586"/>
      <c r="AB1184" s="790"/>
      <c r="AC1184" s="790"/>
      <c r="AD1184" s="790"/>
      <c r="AE1184" s="790"/>
      <c r="AF1184" s="790"/>
      <c r="AG1184" s="790"/>
      <c r="AH1184" s="790"/>
      <c r="AI1184" s="790"/>
      <c r="AJ1184" s="790"/>
      <c r="AK1184" s="790"/>
      <c r="AL1184" s="790"/>
      <c r="AM1184" s="790"/>
      <c r="AN1184" s="790"/>
      <c r="AO1184" s="790"/>
      <c r="AP1184" s="790"/>
      <c r="AQ1184" s="790"/>
      <c r="AR1184" s="790"/>
      <c r="AS1184" s="790"/>
      <c r="AT1184" s="790"/>
      <c r="AU1184" s="790"/>
      <c r="AV1184" s="790"/>
      <c r="AW1184" s="790"/>
      <c r="AX1184" s="790"/>
      <c r="AY1184" s="790"/>
      <c r="AZ1184" s="790"/>
      <c r="BA1184" s="790"/>
      <c r="BB1184" s="790"/>
      <c r="BC1184" s="790"/>
      <c r="BD1184" s="790"/>
      <c r="BE1184" s="790"/>
      <c r="BF1184" s="790"/>
      <c r="BG1184" s="790"/>
      <c r="BH1184" s="790"/>
      <c r="BI1184" s="790"/>
      <c r="BJ1184" s="1184" t="s">
        <v>4763</v>
      </c>
    </row>
    <row r="1185" spans="1:62" x14ac:dyDescent="0.3">
      <c r="A1185" s="1200">
        <v>7</v>
      </c>
      <c r="B1185" s="1210" t="s">
        <v>1157</v>
      </c>
      <c r="C1185" s="1215"/>
      <c r="D1185" s="1217" t="s">
        <v>291</v>
      </c>
      <c r="E1185" s="1203" t="s">
        <v>122</v>
      </c>
      <c r="F1185" s="1203"/>
      <c r="G1185" s="1202" t="str">
        <f t="shared" ca="1" si="344"/>
        <v/>
      </c>
      <c r="H1185" s="1204" t="s">
        <v>4386</v>
      </c>
      <c r="I1185" s="4"/>
      <c r="J1185" s="812"/>
      <c r="K1185" s="614" t="s">
        <v>122</v>
      </c>
      <c r="L1185" s="1305" t="s">
        <v>1172</v>
      </c>
      <c r="M1185" s="799"/>
      <c r="N1185" s="850"/>
      <c r="O1185" s="802"/>
      <c r="P1185" s="97" t="b">
        <v>1</v>
      </c>
      <c r="Q1185" s="97" t="b">
        <v>1</v>
      </c>
      <c r="R1185" s="790" t="b">
        <v>0</v>
      </c>
      <c r="S1185" s="790" t="b">
        <f ca="1">(S776=2)</f>
        <v>0</v>
      </c>
      <c r="T1185" s="97" t="b">
        <f ca="1">AND(NOT(S1185),W1185=TRUE)</f>
        <v>0</v>
      </c>
      <c r="U1185" s="790"/>
      <c r="V1185" s="790"/>
      <c r="W1185" s="25"/>
      <c r="X1185" s="1303"/>
      <c r="Y1185" s="1522" t="str">
        <f>IF(LEN('Ch7'!X422)=0,"None",'Ch7'!X422)</f>
        <v>None</v>
      </c>
      <c r="Z1185" s="1586"/>
      <c r="AB1185" s="790"/>
      <c r="AC1185" s="790" t="b">
        <f ca="1">OR(AD1185:AE1185)</f>
        <v>0</v>
      </c>
      <c r="AD1185" s="790" t="b">
        <f ca="1">T1185</f>
        <v>0</v>
      </c>
      <c r="AE1185" s="790" t="b">
        <f>AND(R1185,NOT(W1185))</f>
        <v>0</v>
      </c>
      <c r="AF1185" s="1182" t="b">
        <f>AND(AE1185,NOT(Q1185))</f>
        <v>0</v>
      </c>
      <c r="AG1185" s="790"/>
      <c r="AH1185" s="790"/>
      <c r="AI1185" s="790"/>
      <c r="AJ1185" s="790"/>
      <c r="AK1185" s="790"/>
      <c r="AL1185" s="790"/>
      <c r="AM1185" s="790"/>
      <c r="AN1185" s="790"/>
      <c r="AO1185" s="790"/>
      <c r="AP1185" s="311" t="str">
        <f>SUBSTITUTE(SUBSTITUTE(SUBSTITUTE("vch"&amp;$B1185&amp;$C1185&amp;$D1185&amp;$E1185&amp;$F1185,".","_"),"(","_"),")","")</f>
        <v>vch703_7_3_5_b</v>
      </c>
      <c r="AQ1185" s="311">
        <f>W1185</f>
        <v>0</v>
      </c>
      <c r="AR1185" s="311" t="str">
        <f>SUBSTITUTE(SUBSTITUTE(SUBSTITUTE("vnt"&amp;$B1185&amp;$C1185&amp;$D1185&amp;$E1185&amp;$F1185,".","_"),"(","_"),")","")</f>
        <v>vnt703_7_3_5_b</v>
      </c>
      <c r="AS1185" s="311">
        <f>X1185</f>
        <v>0</v>
      </c>
      <c r="AT1185" s="790"/>
      <c r="AU1185" s="790"/>
      <c r="AV1185" s="790"/>
      <c r="AW1185" s="790"/>
      <c r="AX1185" s="790"/>
      <c r="AY1185" s="790"/>
      <c r="AZ1185" s="790"/>
      <c r="BA1185" s="790"/>
      <c r="BB1185" s="790"/>
      <c r="BC1185" s="790"/>
      <c r="BD1185" s="790"/>
      <c r="BE1185" s="790"/>
      <c r="BF1185" s="790"/>
      <c r="BG1185" s="790"/>
      <c r="BH1185" s="790"/>
      <c r="BI1185" s="790"/>
      <c r="BJ1185" s="1184" t="s">
        <v>4763</v>
      </c>
    </row>
    <row r="1186" spans="1:62" x14ac:dyDescent="0.3">
      <c r="A1186" s="1200">
        <v>7</v>
      </c>
      <c r="B1186" s="1210" t="s">
        <v>1157</v>
      </c>
      <c r="C1186" s="1215"/>
      <c r="D1186" s="1217" t="s">
        <v>291</v>
      </c>
      <c r="E1186" s="1203" t="s">
        <v>122</v>
      </c>
      <c r="F1186" s="1203"/>
      <c r="G1186" s="1202" t="str">
        <f t="shared" ca="1" si="344"/>
        <v/>
      </c>
      <c r="H1186" s="1200" t="s">
        <v>4386</v>
      </c>
      <c r="I1186" s="4"/>
      <c r="J1186" s="813"/>
      <c r="K1186" s="813"/>
      <c r="L1186" s="1306"/>
      <c r="M1186" s="799"/>
      <c r="N1186" s="850"/>
      <c r="O1186" s="802"/>
      <c r="P1186" s="1081"/>
      <c r="Q1186" s="1081"/>
      <c r="R1186" s="790"/>
      <c r="S1186" s="790"/>
      <c r="T1186" s="790"/>
      <c r="U1186" s="790"/>
      <c r="V1186" s="790"/>
      <c r="W1186" s="790"/>
      <c r="X1186" s="1303"/>
      <c r="Y1186" s="1522"/>
      <c r="Z1186" s="1586"/>
      <c r="AB1186" s="790"/>
      <c r="AC1186" s="790"/>
      <c r="AD1186" s="790"/>
      <c r="AE1186" s="790"/>
      <c r="AF1186" s="790"/>
      <c r="AG1186" s="790"/>
      <c r="AH1186" s="790"/>
      <c r="AI1186" s="790"/>
      <c r="AJ1186" s="790"/>
      <c r="AK1186" s="790"/>
      <c r="AL1186" s="790"/>
      <c r="AM1186" s="790"/>
      <c r="AN1186" s="790"/>
      <c r="AO1186" s="790"/>
      <c r="AP1186" s="790"/>
      <c r="AQ1186" s="790"/>
      <c r="AR1186" s="790"/>
      <c r="AS1186" s="790"/>
      <c r="AT1186" s="790"/>
      <c r="AU1186" s="790"/>
      <c r="AV1186" s="790"/>
      <c r="AW1186" s="790"/>
      <c r="AX1186" s="790"/>
      <c r="AY1186" s="790"/>
      <c r="AZ1186" s="790"/>
      <c r="BA1186" s="790"/>
      <c r="BB1186" s="790"/>
      <c r="BC1186" s="790"/>
      <c r="BD1186" s="790"/>
      <c r="BE1186" s="790"/>
      <c r="BF1186" s="790"/>
      <c r="BG1186" s="790"/>
      <c r="BH1186" s="790"/>
      <c r="BI1186" s="790"/>
      <c r="BJ1186" s="1184" t="s">
        <v>4763</v>
      </c>
    </row>
    <row r="1187" spans="1:62" x14ac:dyDescent="0.3">
      <c r="A1187" s="1200">
        <v>7</v>
      </c>
      <c r="B1187" s="1210" t="s">
        <v>1157</v>
      </c>
      <c r="C1187" s="1215"/>
      <c r="D1187" s="1203" t="s">
        <v>293</v>
      </c>
      <c r="E1187" s="1203"/>
      <c r="F1187" s="1203"/>
      <c r="G1187" s="1202" t="str">
        <f t="shared" ca="1" si="344"/>
        <v/>
      </c>
      <c r="H1187" s="1200" t="s">
        <v>4386</v>
      </c>
      <c r="I1187" s="140"/>
      <c r="J1187" s="643" t="s">
        <v>293</v>
      </c>
      <c r="K1187" s="812"/>
      <c r="L1187" s="1305" t="s">
        <v>1173</v>
      </c>
      <c r="M1187" s="795"/>
      <c r="N1187" s="854"/>
      <c r="O1187" s="803"/>
      <c r="P1187" s="97" t="b">
        <v>1</v>
      </c>
      <c r="Q1187" s="97" t="b">
        <v>1</v>
      </c>
      <c r="R1187" s="790" t="b">
        <v>0</v>
      </c>
      <c r="S1187" s="790" t="b">
        <f ca="1">(S776=2)</f>
        <v>0</v>
      </c>
      <c r="T1187" s="97" t="b">
        <f ca="1">AND(NOT(S1187),W1187=TRUE)</f>
        <v>0</v>
      </c>
      <c r="U1187" s="790"/>
      <c r="V1187" s="790"/>
      <c r="W1187" s="25"/>
      <c r="X1187" s="1303"/>
      <c r="Y1187" s="1522" t="str">
        <f>IF(LEN('Ch7'!X424)=0,"None",'Ch7'!X424)</f>
        <v>None</v>
      </c>
      <c r="Z1187" s="1586"/>
      <c r="AB1187" s="790"/>
      <c r="AC1187" s="790" t="b">
        <f ca="1">OR(AD1187:AE1187)</f>
        <v>0</v>
      </c>
      <c r="AD1187" s="790" t="b">
        <f ca="1">T1187</f>
        <v>0</v>
      </c>
      <c r="AE1187" s="790" t="b">
        <f>AND(R1187,NOT(W1187))</f>
        <v>0</v>
      </c>
      <c r="AF1187" s="1182" t="b">
        <f>AND(AE1187,NOT(Q1187))</f>
        <v>0</v>
      </c>
      <c r="AG1187" s="790"/>
      <c r="AH1187" s="790"/>
      <c r="AI1187" s="790"/>
      <c r="AJ1187" s="790"/>
      <c r="AK1187" s="790"/>
      <c r="AL1187" s="790"/>
      <c r="AM1187" s="790"/>
      <c r="AN1187" s="790"/>
      <c r="AO1187" s="790"/>
      <c r="AP1187" s="311" t="str">
        <f>SUBSTITUTE(SUBSTITUTE(SUBSTITUTE("vch"&amp;$B1187&amp;$C1187&amp;$D1187&amp;$E1187&amp;$F1187,".","_"),"(","_"),")","")</f>
        <v>vch703_7_3_6</v>
      </c>
      <c r="AQ1187" s="311">
        <f>W1187</f>
        <v>0</v>
      </c>
      <c r="AR1187" s="311" t="str">
        <f>SUBSTITUTE(SUBSTITUTE(SUBSTITUTE("vnt"&amp;$B1187&amp;$C1187&amp;$D1187&amp;$E1187&amp;$F1187,".","_"),"(","_"),")","")</f>
        <v>vnt703_7_3_6</v>
      </c>
      <c r="AS1187" s="311">
        <f>X1187</f>
        <v>0</v>
      </c>
      <c r="AT1187" s="790"/>
      <c r="AU1187" s="790"/>
      <c r="AV1187" s="790"/>
      <c r="AW1187" s="790"/>
      <c r="AX1187" s="790"/>
      <c r="AY1187" s="790"/>
      <c r="AZ1187" s="790"/>
      <c r="BA1187" s="790"/>
      <c r="BB1187" s="790"/>
      <c r="BC1187" s="790"/>
      <c r="BD1187" s="790"/>
      <c r="BE1187" s="790"/>
      <c r="BF1187" s="790"/>
      <c r="BG1187" s="790"/>
      <c r="BH1187" s="790"/>
      <c r="BI1187" s="790"/>
      <c r="BJ1187" s="1184" t="s">
        <v>4763</v>
      </c>
    </row>
    <row r="1188" spans="1:62" x14ac:dyDescent="0.3">
      <c r="A1188" s="1200">
        <v>7</v>
      </c>
      <c r="B1188" s="1210" t="s">
        <v>1157</v>
      </c>
      <c r="C1188" s="1215"/>
      <c r="D1188" s="1203" t="s">
        <v>293</v>
      </c>
      <c r="E1188" s="1203"/>
      <c r="F1188" s="1203"/>
      <c r="G1188" s="1202" t="str">
        <f t="shared" ca="1" si="344"/>
        <v/>
      </c>
      <c r="H1188" s="1200" t="s">
        <v>4386</v>
      </c>
      <c r="I1188" s="238"/>
      <c r="J1188" s="813"/>
      <c r="K1188" s="813"/>
      <c r="L1188" s="1306"/>
      <c r="M1188" s="796"/>
      <c r="N1188" s="855"/>
      <c r="O1188" s="804"/>
      <c r="P1188" s="1081"/>
      <c r="Q1188" s="1081"/>
      <c r="R1188" s="790"/>
      <c r="S1188" s="790"/>
      <c r="T1188" s="790"/>
      <c r="U1188" s="790"/>
      <c r="V1188" s="790"/>
      <c r="W1188" s="790"/>
      <c r="X1188" s="1303"/>
      <c r="Y1188" s="1522"/>
      <c r="Z1188" s="1586"/>
      <c r="AB1188" s="790"/>
      <c r="AC1188" s="790"/>
      <c r="AD1188" s="790"/>
      <c r="AE1188" s="790"/>
      <c r="AF1188" s="790"/>
      <c r="AG1188" s="790"/>
      <c r="AH1188" s="790"/>
      <c r="AI1188" s="790"/>
      <c r="AJ1188" s="790"/>
      <c r="AK1188" s="790"/>
      <c r="AL1188" s="790"/>
      <c r="AM1188" s="790"/>
      <c r="AN1188" s="790"/>
      <c r="AO1188" s="790"/>
      <c r="AP1188" s="790"/>
      <c r="AQ1188" s="790"/>
      <c r="AR1188" s="790"/>
      <c r="AS1188" s="790"/>
      <c r="AT1188" s="790"/>
      <c r="AU1188" s="790"/>
      <c r="AV1188" s="790"/>
      <c r="AW1188" s="790"/>
      <c r="AX1188" s="790"/>
      <c r="AY1188" s="790"/>
      <c r="AZ1188" s="790"/>
      <c r="BA1188" s="790"/>
      <c r="BB1188" s="790"/>
      <c r="BC1188" s="790"/>
      <c r="BD1188" s="790"/>
      <c r="BE1188" s="790"/>
      <c r="BF1188" s="790"/>
      <c r="BG1188" s="790"/>
      <c r="BH1188" s="790"/>
      <c r="BI1188" s="790"/>
      <c r="BJ1188" s="1184" t="s">
        <v>4763</v>
      </c>
    </row>
    <row r="1189" spans="1:62" x14ac:dyDescent="0.3">
      <c r="A1189" s="1200">
        <v>7</v>
      </c>
      <c r="B1189" s="1210" t="s">
        <v>1174</v>
      </c>
      <c r="C1189" s="1215"/>
      <c r="D1189" s="1203"/>
      <c r="E1189" s="1203"/>
      <c r="F1189" s="1203"/>
      <c r="G1189" s="1202" t="str">
        <f ca="1">IF(N1189&gt;0,"P","")</f>
        <v/>
      </c>
      <c r="H1189" s="1200" t="s">
        <v>4386</v>
      </c>
      <c r="I1189" s="68" t="s">
        <v>1174</v>
      </c>
      <c r="J1189" s="819"/>
      <c r="K1189" s="819"/>
      <c r="L1189" s="1377" t="s">
        <v>1175</v>
      </c>
      <c r="M1189" s="1335">
        <v>4</v>
      </c>
      <c r="N1189" s="1310">
        <f ca="1">'Ch7'!O426</f>
        <v>0</v>
      </c>
      <c r="O1189" s="1310">
        <f ca="1">M1189*S1189*W1189</f>
        <v>0</v>
      </c>
      <c r="P1189" s="97" t="b">
        <v>1</v>
      </c>
      <c r="Q1189" s="97" t="b">
        <v>1</v>
      </c>
      <c r="R1189" s="790" t="b">
        <v>0</v>
      </c>
      <c r="S1189" s="790" t="b">
        <f ca="1">AND(S776=2,W1132=TRUE,NOT(BI779="Tropical"))</f>
        <v>0</v>
      </c>
      <c r="T1189" s="97" t="b">
        <f ca="1">AND(NOT(S1189),W1189=TRUE)</f>
        <v>0</v>
      </c>
      <c r="U1189" s="790"/>
      <c r="V1189" s="790"/>
      <c r="W1189" s="25"/>
      <c r="X1189" s="790"/>
      <c r="Y1189" s="790"/>
      <c r="Z1189" s="1055"/>
      <c r="AB1189" s="790"/>
      <c r="AC1189" s="790" t="b">
        <f ca="1">OR(AD1189:AE1189)</f>
        <v>0</v>
      </c>
      <c r="AD1189" s="790" t="b">
        <f ca="1">T1189</f>
        <v>0</v>
      </c>
      <c r="AE1189" s="790" t="b">
        <f>AND(R1189,NOT(W1189))</f>
        <v>0</v>
      </c>
      <c r="AF1189" s="1182" t="b">
        <f>AND(AE1189,NOT(Q1189))</f>
        <v>0</v>
      </c>
      <c r="AG1189" s="790"/>
      <c r="AH1189" s="790"/>
      <c r="AI1189" s="790"/>
      <c r="AJ1189" s="790"/>
      <c r="AK1189" s="790"/>
      <c r="AL1189" s="311" t="str">
        <f t="shared" ref="AL1189" si="350">SUBSTITUTE(SUBSTITUTE(SUBSTITUTE("vpa"&amp;$B1189&amp;$C1189&amp;$D1189&amp;$E1189&amp;$F1189,".","_"),"(","_"),")","")</f>
        <v>vpa703_7_4</v>
      </c>
      <c r="AM1189" s="311">
        <f>M1189</f>
        <v>4</v>
      </c>
      <c r="AN1189" s="311" t="str">
        <f>SUBSTITUTE(SUBSTITUTE(SUBSTITUTE("vpc"&amp;$B1189&amp;$C1189&amp;$D1189&amp;$E1189&amp;$F1189,".","_"),"(","_"),")","")</f>
        <v>vpc703_7_4</v>
      </c>
      <c r="AO1189" s="311">
        <f ca="1">O1189</f>
        <v>0</v>
      </c>
      <c r="AP1189" s="311" t="str">
        <f>SUBSTITUTE(SUBSTITUTE(SUBSTITUTE("vch"&amp;$B1189&amp;$C1189&amp;$D1189&amp;$E1189&amp;$F1189,".","_"),"(","_"),")","")</f>
        <v>vch703_7_4</v>
      </c>
      <c r="AQ1189" s="311">
        <f>W1189</f>
        <v>0</v>
      </c>
      <c r="AR1189" s="790"/>
      <c r="AS1189" s="790"/>
      <c r="AT1189" s="790"/>
      <c r="AU1189" s="790"/>
      <c r="AV1189" s="790"/>
      <c r="AW1189" s="790"/>
      <c r="AX1189" s="790"/>
      <c r="AY1189" s="790"/>
      <c r="AZ1189" s="790"/>
      <c r="BA1189" s="790"/>
      <c r="BB1189" s="790"/>
      <c r="BC1189" s="790"/>
      <c r="BD1189" s="790"/>
      <c r="BE1189" s="790"/>
      <c r="BF1189" s="790"/>
      <c r="BG1189" s="790"/>
      <c r="BH1189" s="790"/>
      <c r="BI1189" s="790"/>
      <c r="BJ1189" s="1184" t="s">
        <v>4763</v>
      </c>
    </row>
    <row r="1190" spans="1:62" x14ac:dyDescent="0.3">
      <c r="A1190" s="1200">
        <v>7</v>
      </c>
      <c r="B1190" s="1210" t="s">
        <v>1174</v>
      </c>
      <c r="C1190" s="1215"/>
      <c r="D1190" s="1203"/>
      <c r="E1190" s="1203"/>
      <c r="F1190" s="1203"/>
      <c r="G1190" s="1202" t="str">
        <f t="shared" ref="G1190:G1211" ca="1" si="351">G1189</f>
        <v/>
      </c>
      <c r="H1190" s="1200" t="s">
        <v>4386</v>
      </c>
      <c r="I1190" s="4"/>
      <c r="J1190" s="819"/>
      <c r="K1190" s="819"/>
      <c r="L1190" s="1377"/>
      <c r="M1190" s="1335"/>
      <c r="N1190" s="1310"/>
      <c r="O1190" s="1310"/>
      <c r="P1190" s="1081"/>
      <c r="Q1190" s="1081"/>
      <c r="R1190" s="790"/>
      <c r="S1190" s="790"/>
      <c r="T1190" s="790"/>
      <c r="U1190" s="790"/>
      <c r="V1190" s="790"/>
      <c r="W1190" s="790"/>
      <c r="X1190" s="790"/>
      <c r="Y1190" s="790"/>
      <c r="Z1190" s="1055"/>
      <c r="AB1190" s="790"/>
      <c r="AC1190" s="790"/>
      <c r="AD1190" s="790"/>
      <c r="AE1190" s="790"/>
      <c r="AF1190" s="790"/>
      <c r="AG1190" s="790"/>
      <c r="AH1190" s="790"/>
      <c r="AI1190" s="790"/>
      <c r="AJ1190" s="790"/>
      <c r="AK1190" s="790"/>
      <c r="AL1190" s="790"/>
      <c r="AM1190" s="790"/>
      <c r="AN1190" s="790"/>
      <c r="AO1190" s="790"/>
      <c r="AP1190" s="790"/>
      <c r="AQ1190" s="790"/>
      <c r="AR1190" s="790"/>
      <c r="AS1190" s="790"/>
      <c r="AT1190" s="790"/>
      <c r="AU1190" s="790"/>
      <c r="AV1190" s="790"/>
      <c r="AW1190" s="790"/>
      <c r="AX1190" s="790"/>
      <c r="AY1190" s="790"/>
      <c r="AZ1190" s="790"/>
      <c r="BA1190" s="790"/>
      <c r="BB1190" s="790"/>
      <c r="BC1190" s="790"/>
      <c r="BD1190" s="790"/>
      <c r="BE1190" s="790"/>
      <c r="BF1190" s="790"/>
      <c r="BG1190" s="790"/>
      <c r="BH1190" s="790"/>
      <c r="BI1190" s="790"/>
      <c r="BJ1190" s="1184" t="s">
        <v>4763</v>
      </c>
    </row>
    <row r="1191" spans="1:62" x14ac:dyDescent="0.3">
      <c r="A1191" s="1200">
        <v>7</v>
      </c>
      <c r="B1191" s="1210" t="s">
        <v>1174</v>
      </c>
      <c r="C1191" s="1215"/>
      <c r="D1191" s="1203"/>
      <c r="E1191" s="1203"/>
      <c r="F1191" s="1203"/>
      <c r="G1191" s="1202" t="str">
        <f t="shared" ca="1" si="351"/>
        <v/>
      </c>
      <c r="H1191" s="1200" t="s">
        <v>4386</v>
      </c>
      <c r="I1191" s="4"/>
      <c r="J1191" s="819"/>
      <c r="K1191" s="819"/>
      <c r="L1191" s="819" t="s">
        <v>1176</v>
      </c>
      <c r="M1191" s="799"/>
      <c r="N1191" s="850"/>
      <c r="O1191" s="802"/>
      <c r="P1191" s="1081"/>
      <c r="Q1191" s="1081"/>
      <c r="R1191" s="790"/>
      <c r="S1191" s="790"/>
      <c r="T1191" s="790"/>
      <c r="U1191" s="790"/>
      <c r="V1191" s="790"/>
      <c r="W1191" s="790"/>
      <c r="X1191" s="790"/>
      <c r="Y1191" s="790"/>
      <c r="Z1191" s="1055"/>
      <c r="AB1191" s="790"/>
      <c r="AC1191" s="790"/>
      <c r="AD1191" s="790"/>
      <c r="AE1191" s="790"/>
      <c r="AF1191" s="790"/>
      <c r="AG1191" s="790"/>
      <c r="AH1191" s="790"/>
      <c r="AI1191" s="790"/>
      <c r="AJ1191" s="790"/>
      <c r="AK1191" s="790"/>
      <c r="AL1191" s="790"/>
      <c r="AM1191" s="790"/>
      <c r="AN1191" s="790"/>
      <c r="AO1191" s="790"/>
      <c r="AP1191" s="790"/>
      <c r="AQ1191" s="790"/>
      <c r="AR1191" s="790"/>
      <c r="AS1191" s="790"/>
      <c r="AT1191" s="790"/>
      <c r="AU1191" s="790"/>
      <c r="AV1191" s="790"/>
      <c r="AW1191" s="790"/>
      <c r="AX1191" s="790"/>
      <c r="AY1191" s="790"/>
      <c r="AZ1191" s="790"/>
      <c r="BA1191" s="790"/>
      <c r="BB1191" s="790"/>
      <c r="BC1191" s="790"/>
      <c r="BD1191" s="790"/>
      <c r="BE1191" s="790"/>
      <c r="BF1191" s="790"/>
      <c r="BG1191" s="790"/>
      <c r="BH1191" s="790"/>
      <c r="BI1191" s="790"/>
      <c r="BJ1191" s="1184" t="s">
        <v>4763</v>
      </c>
    </row>
    <row r="1192" spans="1:62" x14ac:dyDescent="0.3">
      <c r="A1192" s="1200">
        <v>7</v>
      </c>
      <c r="B1192" s="1210" t="s">
        <v>1174</v>
      </c>
      <c r="C1192" s="1215"/>
      <c r="D1192" s="1203" t="s">
        <v>271</v>
      </c>
      <c r="E1192" s="1203"/>
      <c r="F1192" s="1203"/>
      <c r="G1192" s="1202" t="str">
        <f t="shared" ca="1" si="351"/>
        <v/>
      </c>
      <c r="H1192" s="1200" t="s">
        <v>4386</v>
      </c>
      <c r="I1192" s="4"/>
      <c r="J1192" s="643" t="s">
        <v>271</v>
      </c>
      <c r="K1192" s="812"/>
      <c r="L1192" s="1305" t="s">
        <v>1177</v>
      </c>
      <c r="M1192" s="799"/>
      <c r="N1192" s="850"/>
      <c r="O1192" s="802"/>
      <c r="P1192" s="1081"/>
      <c r="Q1192" s="1081"/>
      <c r="R1192" s="790"/>
      <c r="S1192" s="790"/>
      <c r="T1192" s="790"/>
      <c r="U1192" s="790"/>
      <c r="V1192" s="790"/>
      <c r="W1192" s="790"/>
      <c r="X1192" s="1303"/>
      <c r="Y1192" s="1522" t="str">
        <f>IF(LEN('Ch7'!X429)=0,"None",'Ch7'!X429)</f>
        <v>None</v>
      </c>
      <c r="Z1192" s="1586"/>
      <c r="AB1192" s="790"/>
      <c r="AC1192" s="790"/>
      <c r="AD1192" s="790"/>
      <c r="AE1192" s="790"/>
      <c r="AF1192" s="790"/>
      <c r="AG1192" s="790"/>
      <c r="AH1192" s="790"/>
      <c r="AI1192" s="790"/>
      <c r="AJ1192" s="790"/>
      <c r="AK1192" s="790"/>
      <c r="AL1192" s="790"/>
      <c r="AM1192" s="790"/>
      <c r="AN1192" s="790"/>
      <c r="AO1192" s="790"/>
      <c r="AP1192" s="790"/>
      <c r="AQ1192" s="790"/>
      <c r="AR1192" s="311" t="str">
        <f>SUBSTITUTE(SUBSTITUTE(SUBSTITUTE("vnt"&amp;$B1192&amp;$C1192&amp;$D1192&amp;$E1192&amp;$F1192,".","_"),"(","_"),")","")</f>
        <v>vnt703_7_4_1</v>
      </c>
      <c r="AS1192" s="311">
        <f>X1192</f>
        <v>0</v>
      </c>
      <c r="AT1192" s="790"/>
      <c r="AU1192" s="790"/>
      <c r="AV1192" s="790"/>
      <c r="AW1192" s="790"/>
      <c r="AX1192" s="790"/>
      <c r="AY1192" s="790"/>
      <c r="AZ1192" s="790"/>
      <c r="BA1192" s="790"/>
      <c r="BB1192" s="790"/>
      <c r="BC1192" s="790"/>
      <c r="BD1192" s="790"/>
      <c r="BE1192" s="790"/>
      <c r="BF1192" s="790"/>
      <c r="BG1192" s="790"/>
      <c r="BH1192" s="790"/>
      <c r="BI1192" s="790"/>
      <c r="BJ1192" s="1184" t="s">
        <v>4763</v>
      </c>
    </row>
    <row r="1193" spans="1:62" x14ac:dyDescent="0.3">
      <c r="A1193" s="1200">
        <v>7</v>
      </c>
      <c r="B1193" s="1210" t="s">
        <v>1174</v>
      </c>
      <c r="C1193" s="1215"/>
      <c r="D1193" s="1203" t="s">
        <v>271</v>
      </c>
      <c r="E1193" s="1203"/>
      <c r="F1193" s="1203"/>
      <c r="G1193" s="1202" t="str">
        <f t="shared" ca="1" si="351"/>
        <v/>
      </c>
      <c r="H1193" s="1200" t="s">
        <v>4386</v>
      </c>
      <c r="I1193" s="4"/>
      <c r="J1193" s="813"/>
      <c r="K1193" s="813"/>
      <c r="L1193" s="1306"/>
      <c r="M1193" s="799"/>
      <c r="N1193" s="850"/>
      <c r="O1193" s="802"/>
      <c r="P1193" s="1081"/>
      <c r="Q1193" s="1081"/>
      <c r="R1193" s="790"/>
      <c r="S1193" s="790"/>
      <c r="T1193" s="790"/>
      <c r="U1193" s="790"/>
      <c r="V1193" s="790"/>
      <c r="W1193" s="790"/>
      <c r="X1193" s="1303"/>
      <c r="Y1193" s="1522"/>
      <c r="Z1193" s="1586"/>
      <c r="AB1193" s="790"/>
      <c r="AC1193" s="790"/>
      <c r="AD1193" s="790"/>
      <c r="AE1193" s="790"/>
      <c r="AF1193" s="790"/>
      <c r="AG1193" s="790"/>
      <c r="AH1193" s="790"/>
      <c r="AI1193" s="790"/>
      <c r="AJ1193" s="790"/>
      <c r="AK1193" s="790"/>
      <c r="AL1193" s="790"/>
      <c r="AM1193" s="790"/>
      <c r="AN1193" s="790"/>
      <c r="AO1193" s="790"/>
      <c r="AP1193" s="790"/>
      <c r="AQ1193" s="790"/>
      <c r="AR1193" s="790"/>
      <c r="AS1193" s="790"/>
      <c r="AT1193" s="790"/>
      <c r="AU1193" s="790"/>
      <c r="AV1193" s="790"/>
      <c r="AW1193" s="790"/>
      <c r="AX1193" s="790"/>
      <c r="AY1193" s="790"/>
      <c r="AZ1193" s="790"/>
      <c r="BA1193" s="790"/>
      <c r="BB1193" s="790"/>
      <c r="BC1193" s="790"/>
      <c r="BD1193" s="790"/>
      <c r="BE1193" s="790"/>
      <c r="BF1193" s="790"/>
      <c r="BG1193" s="790"/>
      <c r="BH1193" s="790"/>
      <c r="BI1193" s="790"/>
      <c r="BJ1193" s="1184" t="s">
        <v>4763</v>
      </c>
    </row>
    <row r="1194" spans="1:62" x14ac:dyDescent="0.3">
      <c r="A1194" s="1200">
        <v>7</v>
      </c>
      <c r="B1194" s="1210" t="s">
        <v>1174</v>
      </c>
      <c r="C1194" s="1215"/>
      <c r="D1194" s="1203" t="s">
        <v>273</v>
      </c>
      <c r="E1194" s="1203"/>
      <c r="F1194" s="1203"/>
      <c r="G1194" s="1202" t="str">
        <f t="shared" ca="1" si="351"/>
        <v/>
      </c>
      <c r="H1194" s="1200" t="s">
        <v>4386</v>
      </c>
      <c r="I1194" s="4"/>
      <c r="J1194" s="264" t="s">
        <v>273</v>
      </c>
      <c r="K1194" s="819"/>
      <c r="L1194" s="1367" t="s">
        <v>1178</v>
      </c>
      <c r="M1194" s="799"/>
      <c r="N1194" s="850"/>
      <c r="O1194" s="802"/>
      <c r="P1194" s="1081"/>
      <c r="Q1194" s="1081"/>
      <c r="R1194" s="790"/>
      <c r="S1194" s="790"/>
      <c r="T1194" s="790"/>
      <c r="U1194" s="790"/>
      <c r="V1194" s="790"/>
      <c r="W1194" s="790"/>
      <c r="X1194" s="790"/>
      <c r="Y1194" s="790"/>
      <c r="Z1194" s="1055"/>
      <c r="AB1194" s="790"/>
      <c r="AC1194" s="790"/>
      <c r="AD1194" s="790"/>
      <c r="AE1194" s="790"/>
      <c r="AF1194" s="790"/>
      <c r="AG1194" s="790"/>
      <c r="AH1194" s="790"/>
      <c r="AI1194" s="790"/>
      <c r="AJ1194" s="790"/>
      <c r="AK1194" s="790"/>
      <c r="AL1194" s="790"/>
      <c r="AM1194" s="790"/>
      <c r="AN1194" s="790"/>
      <c r="AO1194" s="790"/>
      <c r="AP1194" s="790"/>
      <c r="AQ1194" s="790"/>
      <c r="AR1194" s="790"/>
      <c r="AS1194" s="790"/>
      <c r="AT1194" s="790"/>
      <c r="AU1194" s="790"/>
      <c r="AV1194" s="790"/>
      <c r="AW1194" s="790"/>
      <c r="AX1194" s="790"/>
      <c r="AY1194" s="790"/>
      <c r="AZ1194" s="790"/>
      <c r="BA1194" s="790"/>
      <c r="BB1194" s="790"/>
      <c r="BC1194" s="790"/>
      <c r="BD1194" s="790"/>
      <c r="BE1194" s="790"/>
      <c r="BF1194" s="790"/>
      <c r="BG1194" s="790"/>
      <c r="BH1194" s="790"/>
      <c r="BI1194" s="790"/>
      <c r="BJ1194" s="1184" t="s">
        <v>4763</v>
      </c>
    </row>
    <row r="1195" spans="1:62" x14ac:dyDescent="0.3">
      <c r="A1195" s="1200">
        <v>7</v>
      </c>
      <c r="B1195" s="1210" t="s">
        <v>1174</v>
      </c>
      <c r="C1195" s="1215"/>
      <c r="D1195" s="1203" t="s">
        <v>273</v>
      </c>
      <c r="E1195" s="1203"/>
      <c r="F1195" s="1203"/>
      <c r="G1195" s="1202" t="str">
        <f t="shared" ca="1" si="351"/>
        <v/>
      </c>
      <c r="H1195" s="1200" t="s">
        <v>4386</v>
      </c>
      <c r="I1195" s="4"/>
      <c r="J1195" s="819"/>
      <c r="K1195" s="819"/>
      <c r="L1195" s="1367"/>
      <c r="M1195" s="799"/>
      <c r="N1195" s="850"/>
      <c r="O1195" s="802"/>
      <c r="P1195" s="1081"/>
      <c r="Q1195" s="1081"/>
      <c r="R1195" s="790"/>
      <c r="S1195" s="790"/>
      <c r="T1195" s="790"/>
      <c r="U1195" s="790"/>
      <c r="V1195" s="790"/>
      <c r="W1195" s="790"/>
      <c r="X1195" s="790"/>
      <c r="Y1195" s="790"/>
      <c r="Z1195" s="1055"/>
      <c r="AB1195" s="790"/>
      <c r="AC1195" s="790"/>
      <c r="AD1195" s="790"/>
      <c r="AE1195" s="790"/>
      <c r="AF1195" s="790"/>
      <c r="AG1195" s="790"/>
      <c r="AH1195" s="790"/>
      <c r="AI1195" s="790"/>
      <c r="AJ1195" s="790"/>
      <c r="AK1195" s="790"/>
      <c r="AL1195" s="790"/>
      <c r="AM1195" s="790"/>
      <c r="AN1195" s="790"/>
      <c r="AO1195" s="790"/>
      <c r="AP1195" s="790"/>
      <c r="AQ1195" s="790"/>
      <c r="AR1195" s="790"/>
      <c r="AS1195" s="790"/>
      <c r="AT1195" s="790"/>
      <c r="AU1195" s="790"/>
      <c r="AV1195" s="790"/>
      <c r="AW1195" s="790"/>
      <c r="AX1195" s="790"/>
      <c r="AY1195" s="790"/>
      <c r="AZ1195" s="790"/>
      <c r="BA1195" s="790"/>
      <c r="BB1195" s="790"/>
      <c r="BC1195" s="790"/>
      <c r="BD1195" s="790"/>
      <c r="BE1195" s="790"/>
      <c r="BF1195" s="790"/>
      <c r="BG1195" s="790"/>
      <c r="BH1195" s="790"/>
      <c r="BI1195" s="790"/>
      <c r="BJ1195" s="1184" t="s">
        <v>4763</v>
      </c>
    </row>
    <row r="1196" spans="1:62" x14ac:dyDescent="0.3">
      <c r="A1196" s="1200">
        <v>7</v>
      </c>
      <c r="B1196" s="1210" t="s">
        <v>1174</v>
      </c>
      <c r="C1196" s="1215"/>
      <c r="D1196" s="1203" t="s">
        <v>273</v>
      </c>
      <c r="E1196" s="1203" t="s">
        <v>121</v>
      </c>
      <c r="F1196" s="1203"/>
      <c r="G1196" s="1202" t="str">
        <f t="shared" ca="1" si="351"/>
        <v/>
      </c>
      <c r="H1196" s="1204" t="s">
        <v>4386</v>
      </c>
      <c r="I1196" s="4"/>
      <c r="J1196" s="819"/>
      <c r="K1196" s="614" t="s">
        <v>121</v>
      </c>
      <c r="L1196" s="1305" t="s">
        <v>1179</v>
      </c>
      <c r="M1196" s="799"/>
      <c r="N1196" s="850"/>
      <c r="O1196" s="802"/>
      <c r="P1196" s="1081"/>
      <c r="Q1196" s="1081"/>
      <c r="R1196" s="790"/>
      <c r="S1196" s="790"/>
      <c r="T1196" s="790"/>
      <c r="U1196" s="790"/>
      <c r="V1196" s="790"/>
      <c r="W1196" s="790"/>
      <c r="X1196" s="1303"/>
      <c r="Y1196" s="1522" t="str">
        <f>IF(LEN('Ch7'!X433)=0,"None",'Ch7'!X433)</f>
        <v>None</v>
      </c>
      <c r="Z1196" s="1586"/>
      <c r="AB1196" s="790"/>
      <c r="AC1196" s="790"/>
      <c r="AD1196" s="790"/>
      <c r="AE1196" s="790"/>
      <c r="AF1196" s="790"/>
      <c r="AG1196" s="790"/>
      <c r="AH1196" s="790"/>
      <c r="AI1196" s="790"/>
      <c r="AJ1196" s="790"/>
      <c r="AK1196" s="790"/>
      <c r="AL1196" s="790"/>
      <c r="AM1196" s="790"/>
      <c r="AN1196" s="790"/>
      <c r="AO1196" s="790"/>
      <c r="AP1196" s="790"/>
      <c r="AQ1196" s="790"/>
      <c r="AR1196" s="311" t="str">
        <f>SUBSTITUTE(SUBSTITUTE(SUBSTITUTE("vnt"&amp;$B1196&amp;$C1196&amp;$D1196&amp;$E1196&amp;$F1196,".","_"),"(","_"),")","")</f>
        <v>vnt703_7_4_2_a</v>
      </c>
      <c r="AS1196" s="311">
        <f>X1196</f>
        <v>0</v>
      </c>
      <c r="AT1196" s="790"/>
      <c r="AU1196" s="790"/>
      <c r="AV1196" s="790"/>
      <c r="AW1196" s="790"/>
      <c r="AX1196" s="790"/>
      <c r="AY1196" s="790"/>
      <c r="AZ1196" s="790"/>
      <c r="BA1196" s="790"/>
      <c r="BB1196" s="790"/>
      <c r="BC1196" s="790"/>
      <c r="BD1196" s="790"/>
      <c r="BE1196" s="790"/>
      <c r="BF1196" s="790"/>
      <c r="BG1196" s="790"/>
      <c r="BH1196" s="790"/>
      <c r="BI1196" s="790"/>
      <c r="BJ1196" s="1184" t="s">
        <v>4763</v>
      </c>
    </row>
    <row r="1197" spans="1:62" x14ac:dyDescent="0.3">
      <c r="A1197" s="1200">
        <v>7</v>
      </c>
      <c r="B1197" s="1210" t="s">
        <v>1174</v>
      </c>
      <c r="C1197" s="1215"/>
      <c r="D1197" s="1203" t="s">
        <v>273</v>
      </c>
      <c r="E1197" s="1203" t="s">
        <v>121</v>
      </c>
      <c r="F1197" s="1203"/>
      <c r="G1197" s="1202" t="str">
        <f t="shared" ca="1" si="351"/>
        <v/>
      </c>
      <c r="H1197" s="1200" t="s">
        <v>4386</v>
      </c>
      <c r="I1197" s="4"/>
      <c r="J1197" s="819"/>
      <c r="K1197" s="812"/>
      <c r="L1197" s="1305"/>
      <c r="M1197" s="799"/>
      <c r="N1197" s="850"/>
      <c r="O1197" s="802"/>
      <c r="P1197" s="1081"/>
      <c r="Q1197" s="1081"/>
      <c r="R1197" s="790"/>
      <c r="S1197" s="790"/>
      <c r="T1197" s="790"/>
      <c r="U1197" s="790"/>
      <c r="V1197" s="790"/>
      <c r="W1197" s="790"/>
      <c r="X1197" s="1303"/>
      <c r="Y1197" s="1522"/>
      <c r="Z1197" s="1586"/>
      <c r="AB1197" s="790"/>
      <c r="AC1197" s="790"/>
      <c r="AD1197" s="790"/>
      <c r="AE1197" s="790"/>
      <c r="AF1197" s="790"/>
      <c r="AG1197" s="790"/>
      <c r="AH1197" s="790"/>
      <c r="AI1197" s="790"/>
      <c r="AJ1197" s="790"/>
      <c r="AK1197" s="790"/>
      <c r="AL1197" s="790"/>
      <c r="AM1197" s="790"/>
      <c r="AN1197" s="790"/>
      <c r="AO1197" s="790"/>
      <c r="AP1197" s="790"/>
      <c r="AQ1197" s="790"/>
      <c r="AR1197" s="790"/>
      <c r="AS1197" s="790"/>
      <c r="AT1197" s="790"/>
      <c r="AU1197" s="790"/>
      <c r="AV1197" s="790"/>
      <c r="AW1197" s="790"/>
      <c r="AX1197" s="790"/>
      <c r="AY1197" s="790"/>
      <c r="AZ1197" s="790"/>
      <c r="BA1197" s="790"/>
      <c r="BB1197" s="790"/>
      <c r="BC1197" s="790"/>
      <c r="BD1197" s="790"/>
      <c r="BE1197" s="790"/>
      <c r="BF1197" s="790"/>
      <c r="BG1197" s="790"/>
      <c r="BH1197" s="790"/>
      <c r="BI1197" s="790"/>
      <c r="BJ1197" s="1184" t="s">
        <v>4763</v>
      </c>
    </row>
    <row r="1198" spans="1:62" x14ac:dyDescent="0.3">
      <c r="A1198" s="1200">
        <v>7</v>
      </c>
      <c r="B1198" s="1210" t="s">
        <v>1174</v>
      </c>
      <c r="C1198" s="1215"/>
      <c r="D1198" s="1203" t="s">
        <v>273</v>
      </c>
      <c r="E1198" s="1203" t="s">
        <v>121</v>
      </c>
      <c r="F1198" s="1203"/>
      <c r="G1198" s="1202" t="str">
        <f t="shared" ca="1" si="351"/>
        <v/>
      </c>
      <c r="H1198" s="1200" t="s">
        <v>4386</v>
      </c>
      <c r="I1198" s="4"/>
      <c r="J1198" s="819"/>
      <c r="K1198" s="813"/>
      <c r="L1198" s="1306"/>
      <c r="M1198" s="799"/>
      <c r="N1198" s="850"/>
      <c r="O1198" s="802"/>
      <c r="P1198" s="1081"/>
      <c r="Q1198" s="1081"/>
      <c r="R1198" s="790"/>
      <c r="S1198" s="790"/>
      <c r="T1198" s="790"/>
      <c r="U1198" s="790"/>
      <c r="V1198" s="790"/>
      <c r="W1198" s="790"/>
      <c r="X1198" s="1303"/>
      <c r="Y1198" s="1522"/>
      <c r="Z1198" s="1586"/>
      <c r="AB1198" s="790"/>
      <c r="AC1198" s="790"/>
      <c r="AD1198" s="790"/>
      <c r="AE1198" s="790"/>
      <c r="AF1198" s="790"/>
      <c r="AG1198" s="790"/>
      <c r="AH1198" s="790"/>
      <c r="AI1198" s="790"/>
      <c r="AJ1198" s="790"/>
      <c r="AK1198" s="790"/>
      <c r="AL1198" s="790"/>
      <c r="AM1198" s="790"/>
      <c r="AN1198" s="790"/>
      <c r="AO1198" s="790"/>
      <c r="AP1198" s="790"/>
      <c r="AQ1198" s="790"/>
      <c r="AR1198" s="790"/>
      <c r="AS1198" s="790"/>
      <c r="AT1198" s="790"/>
      <c r="AU1198" s="790"/>
      <c r="AV1198" s="790"/>
      <c r="AW1198" s="790"/>
      <c r="AX1198" s="790"/>
      <c r="AY1198" s="790"/>
      <c r="AZ1198" s="790"/>
      <c r="BA1198" s="790"/>
      <c r="BB1198" s="790"/>
      <c r="BC1198" s="790"/>
      <c r="BD1198" s="790"/>
      <c r="BE1198" s="790"/>
      <c r="BF1198" s="790"/>
      <c r="BG1198" s="790"/>
      <c r="BH1198" s="790"/>
      <c r="BI1198" s="790"/>
      <c r="BJ1198" s="1184" t="s">
        <v>4763</v>
      </c>
    </row>
    <row r="1199" spans="1:62" x14ac:dyDescent="0.3">
      <c r="A1199" s="1200">
        <v>7</v>
      </c>
      <c r="B1199" s="1210" t="s">
        <v>1174</v>
      </c>
      <c r="C1199" s="1215"/>
      <c r="D1199" s="1203" t="s">
        <v>273</v>
      </c>
      <c r="E1199" s="1203" t="s">
        <v>122</v>
      </c>
      <c r="F1199" s="1203"/>
      <c r="G1199" s="1202" t="str">
        <f t="shared" ca="1" si="351"/>
        <v/>
      </c>
      <c r="H1199" s="1204" t="s">
        <v>4386</v>
      </c>
      <c r="I1199" s="4"/>
      <c r="J1199" s="819"/>
      <c r="K1199" s="260" t="s">
        <v>122</v>
      </c>
      <c r="L1199" s="1329" t="s">
        <v>1180</v>
      </c>
      <c r="M1199" s="799"/>
      <c r="N1199" s="850"/>
      <c r="O1199" s="802"/>
      <c r="P1199" s="1081"/>
      <c r="Q1199" s="1081"/>
      <c r="R1199" s="790"/>
      <c r="S1199" s="790"/>
      <c r="T1199" s="790"/>
      <c r="U1199" s="790"/>
      <c r="V1199" s="790"/>
      <c r="W1199" s="790"/>
      <c r="X1199" s="1303"/>
      <c r="Y1199" s="1522" t="str">
        <f>IF(LEN('Ch7'!X436)=0,"None",'Ch7'!X436)</f>
        <v>None</v>
      </c>
      <c r="Z1199" s="1586"/>
      <c r="AB1199" s="790"/>
      <c r="AC1199" s="790"/>
      <c r="AD1199" s="790"/>
      <c r="AE1199" s="790"/>
      <c r="AF1199" s="790"/>
      <c r="AG1199" s="790"/>
      <c r="AH1199" s="790"/>
      <c r="AI1199" s="790"/>
      <c r="AJ1199" s="790"/>
      <c r="AK1199" s="790"/>
      <c r="AL1199" s="790"/>
      <c r="AM1199" s="790"/>
      <c r="AN1199" s="790"/>
      <c r="AO1199" s="790"/>
      <c r="AP1199" s="790"/>
      <c r="AQ1199" s="790"/>
      <c r="AR1199" s="311" t="str">
        <f>SUBSTITUTE(SUBSTITUTE(SUBSTITUTE("vnt"&amp;$B1199&amp;$C1199&amp;$D1199&amp;$E1199&amp;$F1199,".","_"),"(","_"),")","")</f>
        <v>vnt703_7_4_2_b</v>
      </c>
      <c r="AS1199" s="311">
        <f>X1199</f>
        <v>0</v>
      </c>
      <c r="AT1199" s="790"/>
      <c r="AU1199" s="790"/>
      <c r="AV1199" s="790"/>
      <c r="AW1199" s="790"/>
      <c r="AX1199" s="790"/>
      <c r="AY1199" s="790"/>
      <c r="AZ1199" s="790"/>
      <c r="BA1199" s="790"/>
      <c r="BB1199" s="790"/>
      <c r="BC1199" s="790"/>
      <c r="BD1199" s="790"/>
      <c r="BE1199" s="790"/>
      <c r="BF1199" s="790"/>
      <c r="BG1199" s="790"/>
      <c r="BH1199" s="790"/>
      <c r="BI1199" s="790"/>
      <c r="BJ1199" s="1184" t="s">
        <v>4763</v>
      </c>
    </row>
    <row r="1200" spans="1:62" x14ac:dyDescent="0.3">
      <c r="A1200" s="1200">
        <v>7</v>
      </c>
      <c r="B1200" s="1210" t="s">
        <v>1174</v>
      </c>
      <c r="C1200" s="1215"/>
      <c r="D1200" s="1203" t="s">
        <v>273</v>
      </c>
      <c r="E1200" s="1203" t="s">
        <v>122</v>
      </c>
      <c r="F1200" s="1203"/>
      <c r="G1200" s="1202" t="str">
        <f t="shared" ca="1" si="351"/>
        <v/>
      </c>
      <c r="H1200" s="1200" t="s">
        <v>4386</v>
      </c>
      <c r="I1200" s="4"/>
      <c r="J1200" s="819"/>
      <c r="K1200" s="819"/>
      <c r="L1200" s="1329"/>
      <c r="M1200" s="799"/>
      <c r="N1200" s="850"/>
      <c r="O1200" s="802"/>
      <c r="P1200" s="1081"/>
      <c r="Q1200" s="1081"/>
      <c r="R1200" s="790"/>
      <c r="S1200" s="790"/>
      <c r="T1200" s="790"/>
      <c r="U1200" s="790"/>
      <c r="V1200" s="790"/>
      <c r="W1200" s="790"/>
      <c r="X1200" s="1303"/>
      <c r="Y1200" s="1522"/>
      <c r="Z1200" s="1586"/>
      <c r="AB1200" s="790"/>
      <c r="AC1200" s="790"/>
      <c r="AD1200" s="790"/>
      <c r="AE1200" s="790"/>
      <c r="AF1200" s="790"/>
      <c r="AG1200" s="790"/>
      <c r="AH1200" s="790"/>
      <c r="AI1200" s="790"/>
      <c r="AJ1200" s="790"/>
      <c r="AK1200" s="790"/>
      <c r="AL1200" s="790"/>
      <c r="AM1200" s="790"/>
      <c r="AN1200" s="790"/>
      <c r="AO1200" s="790"/>
      <c r="AP1200" s="790"/>
      <c r="AQ1200" s="790"/>
      <c r="AR1200" s="790"/>
      <c r="AS1200" s="790"/>
      <c r="AT1200" s="790"/>
      <c r="AU1200" s="790"/>
      <c r="AV1200" s="790"/>
      <c r="AW1200" s="790"/>
      <c r="AX1200" s="790"/>
      <c r="AY1200" s="790"/>
      <c r="AZ1200" s="790"/>
      <c r="BA1200" s="790"/>
      <c r="BB1200" s="790"/>
      <c r="BC1200" s="790"/>
      <c r="BD1200" s="790"/>
      <c r="BE1200" s="790"/>
      <c r="BF1200" s="790"/>
      <c r="BG1200" s="790"/>
      <c r="BH1200" s="790"/>
      <c r="BI1200" s="790"/>
      <c r="BJ1200" s="1184" t="s">
        <v>4763</v>
      </c>
    </row>
    <row r="1201" spans="1:62" x14ac:dyDescent="0.3">
      <c r="A1201" s="1200">
        <v>7</v>
      </c>
      <c r="B1201" s="1210" t="s">
        <v>1174</v>
      </c>
      <c r="C1201" s="1215"/>
      <c r="D1201" s="1203" t="s">
        <v>273</v>
      </c>
      <c r="E1201" s="1203" t="s">
        <v>122</v>
      </c>
      <c r="F1201" s="1203" t="s">
        <v>985</v>
      </c>
      <c r="G1201" s="1202" t="str">
        <f t="shared" ca="1" si="351"/>
        <v/>
      </c>
      <c r="H1201" s="1200" t="s">
        <v>4386</v>
      </c>
      <c r="I1201" s="4"/>
      <c r="J1201" s="819"/>
      <c r="K1201" s="818" t="s">
        <v>985</v>
      </c>
      <c r="L1201" s="1329" t="s">
        <v>1181</v>
      </c>
      <c r="M1201" s="799"/>
      <c r="N1201" s="850"/>
      <c r="O1201" s="802"/>
      <c r="P1201" s="1081"/>
      <c r="Q1201" s="1081"/>
      <c r="R1201" s="790"/>
      <c r="S1201" s="790"/>
      <c r="T1201" s="790"/>
      <c r="U1201" s="790"/>
      <c r="V1201" s="790"/>
      <c r="W1201" s="790"/>
      <c r="X1201" s="1303"/>
      <c r="Y1201" s="1522"/>
      <c r="Z1201" s="1586"/>
      <c r="AB1201" s="790"/>
      <c r="AC1201" s="790"/>
      <c r="AD1201" s="790"/>
      <c r="AE1201" s="790"/>
      <c r="AF1201" s="790"/>
      <c r="AG1201" s="790"/>
      <c r="AH1201" s="790"/>
      <c r="AI1201" s="790"/>
      <c r="AJ1201" s="790"/>
      <c r="AK1201" s="790"/>
      <c r="AL1201" s="790"/>
      <c r="AM1201" s="790"/>
      <c r="AN1201" s="790"/>
      <c r="AO1201" s="790"/>
      <c r="AP1201" s="790"/>
      <c r="AQ1201" s="790"/>
      <c r="AR1201" s="790"/>
      <c r="AS1201" s="790"/>
      <c r="AT1201" s="790"/>
      <c r="AU1201" s="790"/>
      <c r="AV1201" s="790"/>
      <c r="AW1201" s="790"/>
      <c r="AX1201" s="790"/>
      <c r="AY1201" s="790"/>
      <c r="AZ1201" s="790"/>
      <c r="BA1201" s="790"/>
      <c r="BB1201" s="790"/>
      <c r="BC1201" s="790"/>
      <c r="BD1201" s="790"/>
      <c r="BE1201" s="790"/>
      <c r="BF1201" s="790"/>
      <c r="BG1201" s="790"/>
      <c r="BH1201" s="790"/>
      <c r="BI1201" s="790"/>
      <c r="BJ1201" s="1184" t="s">
        <v>4763</v>
      </c>
    </row>
    <row r="1202" spans="1:62" x14ac:dyDescent="0.3">
      <c r="A1202" s="1200">
        <v>7</v>
      </c>
      <c r="B1202" s="1210" t="s">
        <v>1174</v>
      </c>
      <c r="C1202" s="1215"/>
      <c r="D1202" s="1203" t="s">
        <v>273</v>
      </c>
      <c r="E1202" s="1203" t="s">
        <v>122</v>
      </c>
      <c r="F1202" s="1203" t="s">
        <v>985</v>
      </c>
      <c r="G1202" s="1202" t="str">
        <f t="shared" ca="1" si="351"/>
        <v/>
      </c>
      <c r="H1202" s="1200" t="s">
        <v>4386</v>
      </c>
      <c r="I1202" s="4"/>
      <c r="J1202" s="819"/>
      <c r="K1202" s="828"/>
      <c r="L1202" s="1329"/>
      <c r="M1202" s="799"/>
      <c r="N1202" s="850"/>
      <c r="O1202" s="802"/>
      <c r="P1202" s="1081"/>
      <c r="Q1202" s="1081"/>
      <c r="R1202" s="790"/>
      <c r="S1202" s="790"/>
      <c r="T1202" s="790"/>
      <c r="U1202" s="790"/>
      <c r="V1202" s="790"/>
      <c r="W1202" s="790"/>
      <c r="X1202" s="1303"/>
      <c r="Y1202" s="1522"/>
      <c r="Z1202" s="1586"/>
      <c r="AB1202" s="790"/>
      <c r="AC1202" s="790"/>
      <c r="AD1202" s="790"/>
      <c r="AE1202" s="790"/>
      <c r="AF1202" s="790"/>
      <c r="AG1202" s="790"/>
      <c r="AH1202" s="790"/>
      <c r="AI1202" s="790"/>
      <c r="AJ1202" s="790"/>
      <c r="AK1202" s="790"/>
      <c r="AL1202" s="790"/>
      <c r="AM1202" s="790"/>
      <c r="AN1202" s="790"/>
      <c r="AO1202" s="790"/>
      <c r="AP1202" s="790"/>
      <c r="AQ1202" s="790"/>
      <c r="AR1202" s="790"/>
      <c r="AS1202" s="790"/>
      <c r="AT1202" s="790"/>
      <c r="AU1202" s="790"/>
      <c r="AV1202" s="790"/>
      <c r="AW1202" s="790"/>
      <c r="AX1202" s="790"/>
      <c r="AY1202" s="790"/>
      <c r="AZ1202" s="790"/>
      <c r="BA1202" s="790"/>
      <c r="BB1202" s="790"/>
      <c r="BC1202" s="790"/>
      <c r="BD1202" s="790"/>
      <c r="BE1202" s="790"/>
      <c r="BF1202" s="790"/>
      <c r="BG1202" s="790"/>
      <c r="BH1202" s="790"/>
      <c r="BI1202" s="790"/>
      <c r="BJ1202" s="1184" t="s">
        <v>4763</v>
      </c>
    </row>
    <row r="1203" spans="1:62" x14ac:dyDescent="0.3">
      <c r="A1203" s="1200">
        <v>7</v>
      </c>
      <c r="B1203" s="1210" t="s">
        <v>1174</v>
      </c>
      <c r="C1203" s="1215"/>
      <c r="D1203" s="1203" t="s">
        <v>273</v>
      </c>
      <c r="E1203" s="1203" t="s">
        <v>122</v>
      </c>
      <c r="F1203" s="1203" t="s">
        <v>1182</v>
      </c>
      <c r="G1203" s="1202" t="str">
        <f t="shared" ca="1" si="351"/>
        <v/>
      </c>
      <c r="H1203" s="1200" t="s">
        <v>4386</v>
      </c>
      <c r="I1203" s="4"/>
      <c r="J1203" s="819"/>
      <c r="K1203" s="818" t="s">
        <v>1182</v>
      </c>
      <c r="L1203" s="1329" t="s">
        <v>1183</v>
      </c>
      <c r="M1203" s="799"/>
      <c r="N1203" s="850"/>
      <c r="O1203" s="802"/>
      <c r="P1203" s="1081"/>
      <c r="Q1203" s="1081"/>
      <c r="R1203" s="790"/>
      <c r="S1203" s="790"/>
      <c r="T1203" s="790"/>
      <c r="U1203" s="790"/>
      <c r="V1203" s="790"/>
      <c r="W1203" s="790"/>
      <c r="X1203" s="1303"/>
      <c r="Y1203" s="1522"/>
      <c r="Z1203" s="1586"/>
      <c r="AB1203" s="790"/>
      <c r="AC1203" s="790"/>
      <c r="AD1203" s="790"/>
      <c r="AE1203" s="790"/>
      <c r="AF1203" s="790"/>
      <c r="AG1203" s="790"/>
      <c r="AH1203" s="790"/>
      <c r="AI1203" s="790"/>
      <c r="AJ1203" s="790"/>
      <c r="AK1203" s="790"/>
      <c r="AL1203" s="790"/>
      <c r="AM1203" s="790"/>
      <c r="AN1203" s="790"/>
      <c r="AO1203" s="790"/>
      <c r="AP1203" s="790"/>
      <c r="AQ1203" s="790"/>
      <c r="AR1203" s="790"/>
      <c r="AS1203" s="790"/>
      <c r="AT1203" s="790"/>
      <c r="AU1203" s="790"/>
      <c r="AV1203" s="790"/>
      <c r="AW1203" s="790"/>
      <c r="AX1203" s="790"/>
      <c r="AY1203" s="790"/>
      <c r="AZ1203" s="790"/>
      <c r="BA1203" s="790"/>
      <c r="BB1203" s="790"/>
      <c r="BC1203" s="790"/>
      <c r="BD1203" s="790"/>
      <c r="BE1203" s="790"/>
      <c r="BF1203" s="790"/>
      <c r="BG1203" s="790"/>
      <c r="BH1203" s="790"/>
      <c r="BI1203" s="790"/>
      <c r="BJ1203" s="1184" t="s">
        <v>4763</v>
      </c>
    </row>
    <row r="1204" spans="1:62" x14ac:dyDescent="0.3">
      <c r="A1204" s="1200">
        <v>7</v>
      </c>
      <c r="B1204" s="1210" t="s">
        <v>1174</v>
      </c>
      <c r="C1204" s="1215"/>
      <c r="D1204" s="1203" t="s">
        <v>273</v>
      </c>
      <c r="E1204" s="1203" t="s">
        <v>122</v>
      </c>
      <c r="F1204" s="1203" t="s">
        <v>1182</v>
      </c>
      <c r="G1204" s="1202" t="str">
        <f t="shared" ca="1" si="351"/>
        <v/>
      </c>
      <c r="H1204" s="1200" t="s">
        <v>4386</v>
      </c>
      <c r="I1204" s="4"/>
      <c r="J1204" s="819"/>
      <c r="K1204" s="828"/>
      <c r="L1204" s="1329"/>
      <c r="M1204" s="799"/>
      <c r="N1204" s="850"/>
      <c r="O1204" s="802"/>
      <c r="P1204" s="1081"/>
      <c r="Q1204" s="1081"/>
      <c r="R1204" s="790"/>
      <c r="S1204" s="790"/>
      <c r="T1204" s="790"/>
      <c r="U1204" s="790"/>
      <c r="V1204" s="790"/>
      <c r="W1204" s="790"/>
      <c r="X1204" s="1303"/>
      <c r="Y1204" s="1522"/>
      <c r="Z1204" s="1586"/>
      <c r="AB1204" s="790"/>
      <c r="AC1204" s="790"/>
      <c r="AD1204" s="790"/>
      <c r="AE1204" s="790"/>
      <c r="AF1204" s="790"/>
      <c r="AG1204" s="790"/>
      <c r="AH1204" s="790"/>
      <c r="AI1204" s="790"/>
      <c r="AJ1204" s="790"/>
      <c r="AK1204" s="790"/>
      <c r="AL1204" s="790"/>
      <c r="AM1204" s="790"/>
      <c r="AN1204" s="790"/>
      <c r="AO1204" s="790"/>
      <c r="AP1204" s="790"/>
      <c r="AQ1204" s="790"/>
      <c r="AR1204" s="790"/>
      <c r="AS1204" s="790"/>
      <c r="AT1204" s="790"/>
      <c r="AU1204" s="790"/>
      <c r="AV1204" s="790"/>
      <c r="AW1204" s="790"/>
      <c r="AX1204" s="790"/>
      <c r="AY1204" s="790"/>
      <c r="AZ1204" s="790"/>
      <c r="BA1204" s="790"/>
      <c r="BB1204" s="790"/>
      <c r="BC1204" s="790"/>
      <c r="BD1204" s="790"/>
      <c r="BE1204" s="790"/>
      <c r="BF1204" s="790"/>
      <c r="BG1204" s="790"/>
      <c r="BH1204" s="790"/>
      <c r="BI1204" s="790"/>
      <c r="BJ1204" s="1184" t="s">
        <v>4763</v>
      </c>
    </row>
    <row r="1205" spans="1:62" x14ac:dyDescent="0.3">
      <c r="A1205" s="1200">
        <v>7</v>
      </c>
      <c r="B1205" s="1210" t="s">
        <v>1174</v>
      </c>
      <c r="C1205" s="1215"/>
      <c r="D1205" s="1203" t="s">
        <v>273</v>
      </c>
      <c r="E1205" s="1203" t="s">
        <v>122</v>
      </c>
      <c r="F1205" s="1203" t="s">
        <v>1184</v>
      </c>
      <c r="G1205" s="1202" t="str">
        <f t="shared" ca="1" si="351"/>
        <v/>
      </c>
      <c r="H1205" s="1200" t="s">
        <v>4386</v>
      </c>
      <c r="I1205" s="4"/>
      <c r="J1205" s="819"/>
      <c r="K1205" s="820" t="s">
        <v>1184</v>
      </c>
      <c r="L1205" s="1305" t="s">
        <v>1185</v>
      </c>
      <c r="M1205" s="799"/>
      <c r="N1205" s="850"/>
      <c r="O1205" s="802"/>
      <c r="P1205" s="1081"/>
      <c r="Q1205" s="1081"/>
      <c r="R1205" s="790"/>
      <c r="S1205" s="790"/>
      <c r="T1205" s="790"/>
      <c r="U1205" s="790"/>
      <c r="V1205" s="790"/>
      <c r="W1205" s="790"/>
      <c r="X1205" s="1303"/>
      <c r="Y1205" s="1522"/>
      <c r="Z1205" s="1586"/>
      <c r="AB1205" s="790"/>
      <c r="AC1205" s="790"/>
      <c r="AD1205" s="790"/>
      <c r="AE1205" s="790"/>
      <c r="AF1205" s="790"/>
      <c r="AG1205" s="790"/>
      <c r="AH1205" s="790"/>
      <c r="AI1205" s="790"/>
      <c r="AJ1205" s="790"/>
      <c r="AK1205" s="790"/>
      <c r="AL1205" s="790"/>
      <c r="AM1205" s="790"/>
      <c r="AN1205" s="790"/>
      <c r="AO1205" s="790"/>
      <c r="AP1205" s="790"/>
      <c r="AQ1205" s="790"/>
      <c r="AR1205" s="790"/>
      <c r="AS1205" s="790"/>
      <c r="AT1205" s="790"/>
      <c r="AU1205" s="790"/>
      <c r="AV1205" s="790"/>
      <c r="AW1205" s="790"/>
      <c r="AX1205" s="790"/>
      <c r="AY1205" s="790"/>
      <c r="AZ1205" s="790"/>
      <c r="BA1205" s="790"/>
      <c r="BB1205" s="790"/>
      <c r="BC1205" s="790"/>
      <c r="BD1205" s="790"/>
      <c r="BE1205" s="790"/>
      <c r="BF1205" s="790"/>
      <c r="BG1205" s="790"/>
      <c r="BH1205" s="790"/>
      <c r="BI1205" s="790"/>
      <c r="BJ1205" s="1184" t="s">
        <v>4763</v>
      </c>
    </row>
    <row r="1206" spans="1:62" x14ac:dyDescent="0.3">
      <c r="A1206" s="1200">
        <v>7</v>
      </c>
      <c r="B1206" s="1210" t="s">
        <v>1174</v>
      </c>
      <c r="C1206" s="1215"/>
      <c r="D1206" s="1203" t="s">
        <v>273</v>
      </c>
      <c r="E1206" s="1203" t="s">
        <v>122</v>
      </c>
      <c r="F1206" s="1203" t="s">
        <v>1184</v>
      </c>
      <c r="G1206" s="1202" t="str">
        <f t="shared" ca="1" si="351"/>
        <v/>
      </c>
      <c r="H1206" s="1200" t="s">
        <v>4386</v>
      </c>
      <c r="I1206" s="4"/>
      <c r="J1206" s="819"/>
      <c r="K1206" s="813"/>
      <c r="L1206" s="1306"/>
      <c r="M1206" s="799"/>
      <c r="N1206" s="850"/>
      <c r="O1206" s="802"/>
      <c r="P1206" s="1081"/>
      <c r="Q1206" s="1081"/>
      <c r="R1206" s="790"/>
      <c r="S1206" s="790"/>
      <c r="T1206" s="790"/>
      <c r="U1206" s="790"/>
      <c r="V1206" s="790"/>
      <c r="W1206" s="790"/>
      <c r="X1206" s="1303"/>
      <c r="Y1206" s="1522"/>
      <c r="Z1206" s="1586"/>
      <c r="AB1206" s="790"/>
      <c r="AC1206" s="790"/>
      <c r="AD1206" s="790"/>
      <c r="AE1206" s="790"/>
      <c r="AF1206" s="790"/>
      <c r="AG1206" s="790"/>
      <c r="AH1206" s="790"/>
      <c r="AI1206" s="790"/>
      <c r="AJ1206" s="790"/>
      <c r="AK1206" s="790"/>
      <c r="AL1206" s="790"/>
      <c r="AM1206" s="790"/>
      <c r="AN1206" s="790"/>
      <c r="AO1206" s="790"/>
      <c r="AP1206" s="790"/>
      <c r="AQ1206" s="790"/>
      <c r="AR1206" s="790"/>
      <c r="AS1206" s="790"/>
      <c r="AT1206" s="790"/>
      <c r="AU1206" s="790"/>
      <c r="AV1206" s="790"/>
      <c r="AW1206" s="790"/>
      <c r="AX1206" s="790"/>
      <c r="AY1206" s="790"/>
      <c r="AZ1206" s="790"/>
      <c r="BA1206" s="790"/>
      <c r="BB1206" s="790"/>
      <c r="BC1206" s="790"/>
      <c r="BD1206" s="790"/>
      <c r="BE1206" s="790"/>
      <c r="BF1206" s="790"/>
      <c r="BG1206" s="790"/>
      <c r="BH1206" s="790"/>
      <c r="BI1206" s="790"/>
      <c r="BJ1206" s="1184" t="s">
        <v>4763</v>
      </c>
    </row>
    <row r="1207" spans="1:62" x14ac:dyDescent="0.3">
      <c r="A1207" s="1200">
        <v>7</v>
      </c>
      <c r="B1207" s="1210" t="s">
        <v>1174</v>
      </c>
      <c r="C1207" s="1215"/>
      <c r="D1207" s="1203" t="s">
        <v>273</v>
      </c>
      <c r="E1207" s="1203" t="s">
        <v>123</v>
      </c>
      <c r="F1207" s="1203"/>
      <c r="G1207" s="1202" t="str">
        <f t="shared" ca="1" si="351"/>
        <v/>
      </c>
      <c r="H1207" s="1204" t="s">
        <v>4386</v>
      </c>
      <c r="I1207" s="4"/>
      <c r="J1207" s="812"/>
      <c r="K1207" s="614" t="s">
        <v>123</v>
      </c>
      <c r="L1207" s="1305" t="s">
        <v>1186</v>
      </c>
      <c r="M1207" s="799"/>
      <c r="N1207" s="850"/>
      <c r="O1207" s="802"/>
      <c r="P1207" s="1081"/>
      <c r="Q1207" s="1081"/>
      <c r="R1207" s="790"/>
      <c r="S1207" s="790"/>
      <c r="T1207" s="790"/>
      <c r="U1207" s="790"/>
      <c r="V1207" s="790"/>
      <c r="W1207" s="790"/>
      <c r="X1207" s="1303"/>
      <c r="Y1207" s="1522" t="str">
        <f>IF(LEN('Ch7'!X444)=0,"None",'Ch7'!X444)</f>
        <v>None</v>
      </c>
      <c r="Z1207" s="1586"/>
      <c r="AB1207" s="790"/>
      <c r="AC1207" s="790"/>
      <c r="AD1207" s="790"/>
      <c r="AE1207" s="790"/>
      <c r="AF1207" s="790"/>
      <c r="AG1207" s="790"/>
      <c r="AH1207" s="790"/>
      <c r="AI1207" s="790"/>
      <c r="AJ1207" s="790"/>
      <c r="AK1207" s="790"/>
      <c r="AL1207" s="790"/>
      <c r="AM1207" s="790"/>
      <c r="AN1207" s="790"/>
      <c r="AO1207" s="790"/>
      <c r="AP1207" s="790"/>
      <c r="AQ1207" s="790"/>
      <c r="AR1207" s="311" t="str">
        <f>SUBSTITUTE(SUBSTITUTE(SUBSTITUTE("vnt"&amp;$B1207&amp;$C1207&amp;$D1207&amp;$E1207&amp;$F1207,".","_"),"(","_"),")","")</f>
        <v>vnt703_7_4_2_c</v>
      </c>
      <c r="AS1207" s="311">
        <f>X1207</f>
        <v>0</v>
      </c>
      <c r="AT1207" s="790"/>
      <c r="AU1207" s="790"/>
      <c r="AV1207" s="790"/>
      <c r="AW1207" s="790"/>
      <c r="AX1207" s="790"/>
      <c r="AY1207" s="790"/>
      <c r="AZ1207" s="790"/>
      <c r="BA1207" s="790"/>
      <c r="BB1207" s="790"/>
      <c r="BC1207" s="790"/>
      <c r="BD1207" s="790"/>
      <c r="BE1207" s="790"/>
      <c r="BF1207" s="790"/>
      <c r="BG1207" s="790"/>
      <c r="BH1207" s="790"/>
      <c r="BI1207" s="790"/>
      <c r="BJ1207" s="1184" t="s">
        <v>4763</v>
      </c>
    </row>
    <row r="1208" spans="1:62" x14ac:dyDescent="0.3">
      <c r="A1208" s="1200">
        <v>7</v>
      </c>
      <c r="B1208" s="1210" t="s">
        <v>1174</v>
      </c>
      <c r="C1208" s="1215"/>
      <c r="D1208" s="1203" t="s">
        <v>273</v>
      </c>
      <c r="E1208" s="1203" t="s">
        <v>123</v>
      </c>
      <c r="F1208" s="1203"/>
      <c r="G1208" s="1202" t="str">
        <f t="shared" ca="1" si="351"/>
        <v/>
      </c>
      <c r="H1208" s="1200" t="s">
        <v>4386</v>
      </c>
      <c r="I1208" s="4"/>
      <c r="J1208" s="812"/>
      <c r="K1208" s="812"/>
      <c r="L1208" s="1305"/>
      <c r="M1208" s="799"/>
      <c r="N1208" s="850"/>
      <c r="O1208" s="802"/>
      <c r="P1208" s="1081"/>
      <c r="Q1208" s="1081"/>
      <c r="R1208" s="790"/>
      <c r="S1208" s="790"/>
      <c r="T1208" s="790"/>
      <c r="U1208" s="790"/>
      <c r="V1208" s="790"/>
      <c r="W1208" s="790"/>
      <c r="X1208" s="1303"/>
      <c r="Y1208" s="1522"/>
      <c r="Z1208" s="1586"/>
      <c r="AB1208" s="790"/>
      <c r="AC1208" s="790"/>
      <c r="AD1208" s="790"/>
      <c r="AE1208" s="790"/>
      <c r="AF1208" s="790"/>
      <c r="AG1208" s="790"/>
      <c r="AH1208" s="790"/>
      <c r="AI1208" s="790"/>
      <c r="AJ1208" s="790"/>
      <c r="AK1208" s="790"/>
      <c r="AL1208" s="790"/>
      <c r="AM1208" s="790"/>
      <c r="AN1208" s="790"/>
      <c r="AO1208" s="790"/>
      <c r="AP1208" s="790"/>
      <c r="AQ1208" s="790"/>
      <c r="AR1208" s="790"/>
      <c r="AS1208" s="790"/>
      <c r="AT1208" s="790"/>
      <c r="AU1208" s="790"/>
      <c r="AV1208" s="790"/>
      <c r="AW1208" s="790"/>
      <c r="AX1208" s="790"/>
      <c r="AY1208" s="790"/>
      <c r="AZ1208" s="790"/>
      <c r="BA1208" s="790"/>
      <c r="BB1208" s="790"/>
      <c r="BC1208" s="790"/>
      <c r="BD1208" s="790"/>
      <c r="BE1208" s="790"/>
      <c r="BF1208" s="790"/>
      <c r="BG1208" s="790"/>
      <c r="BH1208" s="790"/>
      <c r="BI1208" s="790"/>
      <c r="BJ1208" s="1184" t="s">
        <v>4763</v>
      </c>
    </row>
    <row r="1209" spans="1:62" x14ac:dyDescent="0.3">
      <c r="A1209" s="1200">
        <v>7</v>
      </c>
      <c r="B1209" s="1210" t="s">
        <v>1174</v>
      </c>
      <c r="C1209" s="1215"/>
      <c r="D1209" s="1203" t="s">
        <v>273</v>
      </c>
      <c r="E1209" s="1203" t="s">
        <v>123</v>
      </c>
      <c r="F1209" s="1203"/>
      <c r="G1209" s="1202" t="str">
        <f t="shared" ca="1" si="351"/>
        <v/>
      </c>
      <c r="H1209" s="1200" t="s">
        <v>4386</v>
      </c>
      <c r="I1209" s="4"/>
      <c r="J1209" s="813"/>
      <c r="K1209" s="813"/>
      <c r="L1209" s="1306"/>
      <c r="M1209" s="799"/>
      <c r="N1209" s="850"/>
      <c r="O1209" s="802"/>
      <c r="P1209" s="1081"/>
      <c r="Q1209" s="1081"/>
      <c r="R1209" s="790"/>
      <c r="S1209" s="790"/>
      <c r="T1209" s="790"/>
      <c r="U1209" s="790"/>
      <c r="V1209" s="790"/>
      <c r="W1209" s="790"/>
      <c r="X1209" s="1303"/>
      <c r="Y1209" s="1522"/>
      <c r="Z1209" s="1586"/>
      <c r="AB1209" s="790"/>
      <c r="AC1209" s="790"/>
      <c r="AD1209" s="790"/>
      <c r="AE1209" s="790"/>
      <c r="AF1209" s="790"/>
      <c r="AG1209" s="790"/>
      <c r="AH1209" s="790"/>
      <c r="AI1209" s="790"/>
      <c r="AJ1209" s="790"/>
      <c r="AK1209" s="790"/>
      <c r="AL1209" s="790"/>
      <c r="AM1209" s="790"/>
      <c r="AN1209" s="790"/>
      <c r="AO1209" s="790"/>
      <c r="AP1209" s="790"/>
      <c r="AQ1209" s="790"/>
      <c r="AR1209" s="790"/>
      <c r="AS1209" s="790"/>
      <c r="AT1209" s="790"/>
      <c r="AU1209" s="790"/>
      <c r="AV1209" s="790"/>
      <c r="AW1209" s="790"/>
      <c r="AX1209" s="790"/>
      <c r="AY1209" s="790"/>
      <c r="AZ1209" s="790"/>
      <c r="BA1209" s="790"/>
      <c r="BB1209" s="790"/>
      <c r="BC1209" s="790"/>
      <c r="BD1209" s="790"/>
      <c r="BE1209" s="790"/>
      <c r="BF1209" s="790"/>
      <c r="BG1209" s="790"/>
      <c r="BH1209" s="790"/>
      <c r="BI1209" s="790"/>
      <c r="BJ1209" s="1184" t="s">
        <v>4763</v>
      </c>
    </row>
    <row r="1210" spans="1:62" x14ac:dyDescent="0.3">
      <c r="A1210" s="1200">
        <v>7</v>
      </c>
      <c r="B1210" s="1210" t="s">
        <v>1174</v>
      </c>
      <c r="C1210" s="1215"/>
      <c r="D1210" s="1203" t="s">
        <v>275</v>
      </c>
      <c r="E1210" s="1203"/>
      <c r="F1210" s="1203"/>
      <c r="G1210" s="1202" t="str">
        <f t="shared" ca="1" si="351"/>
        <v/>
      </c>
      <c r="H1210" s="1200" t="s">
        <v>4386</v>
      </c>
      <c r="I1210" s="4"/>
      <c r="J1210" s="264" t="s">
        <v>275</v>
      </c>
      <c r="K1210" s="819"/>
      <c r="L1210" s="1329" t="s">
        <v>1187</v>
      </c>
      <c r="M1210" s="799"/>
      <c r="N1210" s="850"/>
      <c r="O1210" s="802"/>
      <c r="P1210" s="1081"/>
      <c r="Q1210" s="1081"/>
      <c r="R1210" s="790"/>
      <c r="S1210" s="790"/>
      <c r="T1210" s="790"/>
      <c r="U1210" s="790"/>
      <c r="V1210" s="790"/>
      <c r="W1210" s="790"/>
      <c r="X1210" s="1303"/>
      <c r="Y1210" s="1522" t="str">
        <f>IF(LEN('Ch7'!X447)=0,"None",'Ch7'!X447)</f>
        <v>None</v>
      </c>
      <c r="Z1210" s="1586"/>
      <c r="AB1210" s="790"/>
      <c r="AC1210" s="790"/>
      <c r="AD1210" s="790"/>
      <c r="AE1210" s="790"/>
      <c r="AF1210" s="790"/>
      <c r="AG1210" s="790"/>
      <c r="AH1210" s="790"/>
      <c r="AI1210" s="790"/>
      <c r="AJ1210" s="790"/>
      <c r="AK1210" s="790"/>
      <c r="AL1210" s="790"/>
      <c r="AM1210" s="790"/>
      <c r="AN1210" s="790"/>
      <c r="AO1210" s="790"/>
      <c r="AP1210" s="790"/>
      <c r="AQ1210" s="790"/>
      <c r="AR1210" s="311" t="str">
        <f>SUBSTITUTE(SUBSTITUTE(SUBSTITUTE("vnt"&amp;$B1210&amp;$C1210&amp;$D1210&amp;$E1210&amp;$F1210,".","_"),"(","_"),")","")</f>
        <v>vnt703_7_4_3</v>
      </c>
      <c r="AS1210" s="311">
        <f>X1210</f>
        <v>0</v>
      </c>
      <c r="AT1210" s="790"/>
      <c r="AU1210" s="790"/>
      <c r="AV1210" s="790"/>
      <c r="AW1210" s="790"/>
      <c r="AX1210" s="790"/>
      <c r="AY1210" s="790"/>
      <c r="AZ1210" s="790"/>
      <c r="BA1210" s="790"/>
      <c r="BB1210" s="790"/>
      <c r="BC1210" s="790"/>
      <c r="BD1210" s="790"/>
      <c r="BE1210" s="790"/>
      <c r="BF1210" s="790"/>
      <c r="BG1210" s="790"/>
      <c r="BH1210" s="790"/>
      <c r="BI1210" s="790"/>
      <c r="BJ1210" s="1184" t="s">
        <v>4763</v>
      </c>
    </row>
    <row r="1211" spans="1:62" x14ac:dyDescent="0.3">
      <c r="A1211" s="1200">
        <v>7</v>
      </c>
      <c r="B1211" s="1210" t="s">
        <v>1174</v>
      </c>
      <c r="C1211" s="1215"/>
      <c r="D1211" s="1203" t="s">
        <v>275</v>
      </c>
      <c r="E1211" s="1203"/>
      <c r="F1211" s="1203"/>
      <c r="G1211" s="1202" t="str">
        <f t="shared" ca="1" si="351"/>
        <v/>
      </c>
      <c r="H1211" s="1200" t="s">
        <v>4386</v>
      </c>
      <c r="I1211" s="4"/>
      <c r="J1211" s="819"/>
      <c r="K1211" s="819"/>
      <c r="L1211" s="1329"/>
      <c r="M1211" s="799"/>
      <c r="N1211" s="850"/>
      <c r="O1211" s="802"/>
      <c r="P1211" s="1081"/>
      <c r="Q1211" s="1081"/>
      <c r="R1211" s="790"/>
      <c r="S1211" s="790"/>
      <c r="T1211" s="790"/>
      <c r="U1211" s="790"/>
      <c r="V1211" s="790"/>
      <c r="W1211" s="790"/>
      <c r="X1211" s="1303"/>
      <c r="Y1211" s="1522"/>
      <c r="Z1211" s="1586"/>
      <c r="AB1211" s="790"/>
      <c r="AC1211" s="790"/>
      <c r="AD1211" s="790"/>
      <c r="AE1211" s="790"/>
      <c r="AF1211" s="790"/>
      <c r="AG1211" s="790"/>
      <c r="AH1211" s="790"/>
      <c r="AI1211" s="790"/>
      <c r="AJ1211" s="790"/>
      <c r="AK1211" s="790"/>
      <c r="AL1211" s="790"/>
      <c r="AM1211" s="790"/>
      <c r="AN1211" s="790"/>
      <c r="AO1211" s="790"/>
      <c r="AP1211" s="790"/>
      <c r="AQ1211" s="790"/>
      <c r="AR1211" s="790"/>
      <c r="AS1211" s="790"/>
      <c r="AT1211" s="790"/>
      <c r="AU1211" s="790"/>
      <c r="AV1211" s="790"/>
      <c r="AW1211" s="790"/>
      <c r="AX1211" s="790"/>
      <c r="AY1211" s="790"/>
      <c r="AZ1211" s="790"/>
      <c r="BA1211" s="790"/>
      <c r="BB1211" s="790"/>
      <c r="BC1211" s="790"/>
      <c r="BD1211" s="790"/>
      <c r="BE1211" s="790"/>
      <c r="BF1211" s="790"/>
      <c r="BG1211" s="790"/>
      <c r="BH1211" s="790"/>
      <c r="BI1211" s="790"/>
      <c r="BJ1211" s="1184" t="s">
        <v>4763</v>
      </c>
    </row>
    <row r="1212" spans="1:62" ht="18" x14ac:dyDescent="0.35">
      <c r="A1212" s="1200">
        <v>7</v>
      </c>
      <c r="B1212" s="1210">
        <v>704</v>
      </c>
      <c r="C1212" s="1215"/>
      <c r="D1212" s="1203"/>
      <c r="E1212" s="1203"/>
      <c r="F1212" s="1203"/>
      <c r="G1212" s="1202" t="s">
        <v>4389</v>
      </c>
      <c r="H1212" s="1200" t="s">
        <v>4386</v>
      </c>
      <c r="I1212" s="14" t="s">
        <v>1188</v>
      </c>
      <c r="J1212" s="87"/>
      <c r="K1212" s="87"/>
      <c r="L1212" s="87"/>
      <c r="M1212" s="484"/>
      <c r="N1212" s="594"/>
      <c r="O1212" s="594"/>
      <c r="P1212" s="23"/>
      <c r="Q1212" s="23"/>
      <c r="R1212" s="23"/>
      <c r="S1212" s="23"/>
      <c r="T1212" s="23"/>
      <c r="U1212" s="23"/>
      <c r="V1212" s="23"/>
      <c r="W1212" s="23"/>
      <c r="X1212" s="23"/>
      <c r="Y1212" s="790"/>
      <c r="Z1212" s="1055"/>
      <c r="AB1212" s="790"/>
      <c r="AC1212" s="790"/>
      <c r="AD1212" s="790"/>
      <c r="AE1212" s="790"/>
      <c r="AF1212" s="790"/>
      <c r="AG1212" s="790"/>
      <c r="AH1212" s="790"/>
      <c r="AI1212" s="790"/>
      <c r="AJ1212" s="790"/>
      <c r="AK1212" s="790"/>
      <c r="AL1212" s="790"/>
      <c r="AM1212" s="790"/>
      <c r="AN1212" s="790"/>
      <c r="AO1212" s="790"/>
      <c r="AP1212" s="790"/>
      <c r="AQ1212" s="790"/>
      <c r="AR1212" s="790"/>
      <c r="AS1212" s="790"/>
      <c r="AT1212" s="790"/>
      <c r="AU1212" s="790"/>
      <c r="AV1212" s="790"/>
      <c r="AW1212" s="790"/>
      <c r="AX1212" s="790"/>
      <c r="AY1212" s="790"/>
      <c r="AZ1212" s="790"/>
      <c r="BA1212" s="790"/>
      <c r="BB1212" s="790"/>
      <c r="BC1212" s="790"/>
      <c r="BD1212" s="790"/>
      <c r="BE1212" s="790"/>
      <c r="BF1212" s="790"/>
      <c r="BG1212" s="790"/>
      <c r="BH1212" s="790"/>
      <c r="BI1212" s="790"/>
      <c r="BJ1212" s="1184" t="s">
        <v>4763</v>
      </c>
    </row>
    <row r="1213" spans="1:62" x14ac:dyDescent="0.3">
      <c r="A1213" s="1200">
        <v>7</v>
      </c>
      <c r="B1213" s="1210">
        <v>704.1</v>
      </c>
      <c r="C1213" s="1215"/>
      <c r="D1213" s="1203"/>
      <c r="E1213" s="1203"/>
      <c r="F1213" s="1203"/>
      <c r="G1213" s="1202" t="str">
        <f>IF(N1213&gt;0,"P","")</f>
        <v/>
      </c>
      <c r="H1213" s="1200" t="s">
        <v>4388</v>
      </c>
      <c r="I1213" s="141">
        <v>704.1</v>
      </c>
      <c r="J1213" s="812"/>
      <c r="K1213" s="812"/>
      <c r="L1213" s="1313" t="s">
        <v>1189</v>
      </c>
      <c r="M1213" s="795"/>
      <c r="N1213" s="1310">
        <f>'Ch7'!O450</f>
        <v>0</v>
      </c>
      <c r="O1213" s="1310">
        <f>ROUNDDOWN(IFERROR(IF(AND(W1217*100*2+30&gt;=30,NOT(ISBLANK(W1217))),W1217*100*2+30,0),0),0)</f>
        <v>0</v>
      </c>
      <c r="P1213" s="1081"/>
      <c r="Q1213" s="1081"/>
      <c r="R1213" s="790"/>
      <c r="S1213" s="790"/>
      <c r="T1213" s="790"/>
      <c r="U1213" s="790"/>
      <c r="V1213" s="790"/>
      <c r="W1213" s="790"/>
      <c r="X1213" s="1303"/>
      <c r="Y1213" s="1522" t="str">
        <f>IF(LEN('Ch7'!X450)=0,"None",'Ch7'!X450)</f>
        <v>None</v>
      </c>
      <c r="Z1213" s="1586"/>
      <c r="AB1213" s="790"/>
      <c r="AC1213" s="790"/>
      <c r="AD1213" s="790"/>
      <c r="AE1213" s="790"/>
      <c r="AF1213" s="790"/>
      <c r="AG1213" s="790"/>
      <c r="AH1213" s="790"/>
      <c r="AI1213" s="790"/>
      <c r="AJ1213" s="790"/>
      <c r="AK1213" s="790"/>
      <c r="AL1213" s="790"/>
      <c r="AM1213" s="790"/>
      <c r="AN1213" s="311" t="str">
        <f>SUBSTITUTE(SUBSTITUTE(SUBSTITUTE("vpc"&amp;$B1213&amp;$C1213&amp;$D1213&amp;$E1213&amp;$F1213,".","_"),"(","_"),")","")</f>
        <v>vpc704_1</v>
      </c>
      <c r="AO1213" s="311">
        <f>O1213</f>
        <v>0</v>
      </c>
      <c r="AP1213" s="790"/>
      <c r="AQ1213" s="790"/>
      <c r="AR1213" s="311" t="str">
        <f>SUBSTITUTE(SUBSTITUTE(SUBSTITUTE("vnt"&amp;$B1213&amp;$C1213&amp;$D1213&amp;$E1213&amp;$F1213,".","_"),"(","_"),")","")</f>
        <v>vnt704_1</v>
      </c>
      <c r="AS1213" s="311">
        <f>X1213</f>
        <v>0</v>
      </c>
      <c r="AT1213" s="790"/>
      <c r="AU1213" s="790"/>
      <c r="AV1213" s="790"/>
      <c r="AW1213" s="790"/>
      <c r="AX1213" s="790"/>
      <c r="AY1213" s="790"/>
      <c r="AZ1213" s="790"/>
      <c r="BA1213" s="790"/>
      <c r="BB1213" s="790"/>
      <c r="BC1213" s="790"/>
      <c r="BD1213" s="790"/>
      <c r="BE1213" s="790"/>
      <c r="BF1213" s="790"/>
      <c r="BG1213" s="790"/>
      <c r="BH1213" s="790"/>
      <c r="BI1213" s="790"/>
      <c r="BJ1213" s="1184" t="s">
        <v>4763</v>
      </c>
    </row>
    <row r="1214" spans="1:62" x14ac:dyDescent="0.3">
      <c r="A1214" s="1200">
        <v>7</v>
      </c>
      <c r="B1214" s="1210">
        <v>704.1</v>
      </c>
      <c r="C1214" s="1215"/>
      <c r="D1214" s="1203"/>
      <c r="E1214" s="1203"/>
      <c r="F1214" s="1203"/>
      <c r="G1214" s="1202" t="str">
        <f t="shared" ref="G1214:G1220" si="352">G1213</f>
        <v/>
      </c>
      <c r="H1214" s="1200" t="s">
        <v>4388</v>
      </c>
      <c r="I1214" s="140"/>
      <c r="J1214" s="812"/>
      <c r="K1214" s="812"/>
      <c r="L1214" s="1313"/>
      <c r="M1214" s="795"/>
      <c r="N1214" s="1310"/>
      <c r="O1214" s="1310"/>
      <c r="P1214" s="1081"/>
      <c r="Q1214" s="1081"/>
      <c r="R1214" s="790"/>
      <c r="S1214" s="790"/>
      <c r="T1214" s="790"/>
      <c r="U1214" s="790"/>
      <c r="V1214" s="790"/>
      <c r="W1214" s="790"/>
      <c r="X1214" s="1303"/>
      <c r="Y1214" s="1522"/>
      <c r="Z1214" s="1586"/>
      <c r="AB1214" s="790"/>
      <c r="AC1214" s="790"/>
      <c r="AD1214" s="790"/>
      <c r="AE1214" s="790"/>
      <c r="AF1214" s="790"/>
      <c r="AG1214" s="790"/>
      <c r="AH1214" s="790"/>
      <c r="AI1214" s="790"/>
      <c r="AJ1214" s="790"/>
      <c r="AK1214" s="790"/>
      <c r="AL1214" s="790"/>
      <c r="AM1214" s="790"/>
      <c r="AN1214" s="790"/>
      <c r="AO1214" s="790"/>
      <c r="AP1214" s="790"/>
      <c r="AQ1214" s="790"/>
      <c r="AR1214" s="790"/>
      <c r="AS1214" s="790"/>
      <c r="AT1214" s="790"/>
      <c r="AU1214" s="790"/>
      <c r="AV1214" s="790"/>
      <c r="AW1214" s="790"/>
      <c r="AX1214" s="790"/>
      <c r="AY1214" s="790"/>
      <c r="AZ1214" s="790"/>
      <c r="BA1214" s="790"/>
      <c r="BB1214" s="790"/>
      <c r="BC1214" s="790"/>
      <c r="BD1214" s="790"/>
      <c r="BE1214" s="790"/>
      <c r="BF1214" s="790"/>
      <c r="BG1214" s="790"/>
      <c r="BH1214" s="790"/>
      <c r="BI1214" s="790"/>
      <c r="BJ1214" s="1184" t="s">
        <v>4763</v>
      </c>
    </row>
    <row r="1215" spans="1:62" x14ac:dyDescent="0.3">
      <c r="A1215" s="1200">
        <v>7</v>
      </c>
      <c r="B1215" s="1210">
        <v>704.1</v>
      </c>
      <c r="C1215" s="1215"/>
      <c r="D1215" s="1203"/>
      <c r="E1215" s="1203"/>
      <c r="F1215" s="1203"/>
      <c r="G1215" s="1202" t="str">
        <f t="shared" si="352"/>
        <v/>
      </c>
      <c r="H1215" s="1200" t="s">
        <v>4388</v>
      </c>
      <c r="I1215" s="140"/>
      <c r="J1215" s="812"/>
      <c r="K1215" s="812"/>
      <c r="L1215" s="1313"/>
      <c r="M1215" s="795"/>
      <c r="N1215" s="1310"/>
      <c r="O1215" s="1310"/>
      <c r="P1215" s="1081"/>
      <c r="Q1215" s="1081"/>
      <c r="R1215" s="790"/>
      <c r="S1215" s="790"/>
      <c r="T1215" s="790"/>
      <c r="U1215" s="790"/>
      <c r="V1215" s="790"/>
      <c r="W1215" s="1242" t="s">
        <v>3867</v>
      </c>
      <c r="X1215" s="1303"/>
      <c r="Y1215" s="1522"/>
      <c r="Z1215" s="1586"/>
      <c r="AB1215" s="790"/>
      <c r="AC1215" s="790"/>
      <c r="AD1215" s="790"/>
      <c r="AE1215" s="790"/>
      <c r="AF1215" s="790"/>
      <c r="AG1215" s="790"/>
      <c r="AH1215" s="790"/>
      <c r="AI1215" s="790"/>
      <c r="AJ1215" s="790"/>
      <c r="AK1215" s="790"/>
      <c r="AL1215" s="790"/>
      <c r="AM1215" s="790"/>
      <c r="AN1215" s="790"/>
      <c r="AO1215" s="790"/>
      <c r="AP1215" s="790"/>
      <c r="AQ1215" s="790"/>
      <c r="AR1215" s="790"/>
      <c r="AS1215" s="790"/>
      <c r="AT1215" s="790"/>
      <c r="AU1215" s="790"/>
      <c r="AV1215" s="790"/>
      <c r="AW1215" s="790"/>
      <c r="AX1215" s="790"/>
      <c r="AY1215" s="790"/>
      <c r="AZ1215" s="790"/>
      <c r="BA1215" s="790"/>
      <c r="BB1215" s="790"/>
      <c r="BC1215" s="790"/>
      <c r="BD1215" s="790"/>
      <c r="BE1215" s="790"/>
      <c r="BF1215" s="790"/>
      <c r="BG1215" s="790"/>
      <c r="BH1215" s="790"/>
      <c r="BI1215" s="790"/>
      <c r="BJ1215" s="1184" t="s">
        <v>4763</v>
      </c>
    </row>
    <row r="1216" spans="1:62" x14ac:dyDescent="0.3">
      <c r="A1216" s="1200">
        <v>7</v>
      </c>
      <c r="B1216" s="1210">
        <v>704.1</v>
      </c>
      <c r="C1216" s="1215"/>
      <c r="D1216" s="1203"/>
      <c r="E1216" s="1203"/>
      <c r="F1216" s="1203"/>
      <c r="G1216" s="1202" t="str">
        <f t="shared" si="352"/>
        <v/>
      </c>
      <c r="H1216" s="1200" t="s">
        <v>4388</v>
      </c>
      <c r="I1216" s="238"/>
      <c r="J1216" s="813"/>
      <c r="K1216" s="813"/>
      <c r="L1216" s="1350"/>
      <c r="M1216" s="795"/>
      <c r="N1216" s="1310"/>
      <c r="O1216" s="1310"/>
      <c r="P1216" s="1081"/>
      <c r="Q1216" s="1081"/>
      <c r="R1216" s="790"/>
      <c r="S1216" s="790"/>
      <c r="T1216" s="790"/>
      <c r="U1216" s="790"/>
      <c r="V1216" s="790"/>
      <c r="W1216" s="1242"/>
      <c r="X1216" s="1303"/>
      <c r="Y1216" s="1522"/>
      <c r="Z1216" s="1586"/>
      <c r="AB1216" s="790"/>
      <c r="AC1216" s="790"/>
      <c r="AD1216" s="790"/>
      <c r="AE1216" s="790"/>
      <c r="AF1216" s="790"/>
      <c r="AG1216" s="790"/>
      <c r="AH1216" s="790"/>
      <c r="AI1216" s="790"/>
      <c r="AJ1216" s="790"/>
      <c r="AK1216" s="790"/>
      <c r="AL1216" s="790"/>
      <c r="AM1216" s="790"/>
      <c r="AN1216" s="790"/>
      <c r="AO1216" s="790"/>
      <c r="AP1216" s="790"/>
      <c r="AQ1216" s="790"/>
      <c r="AR1216" s="790"/>
      <c r="AS1216" s="790"/>
      <c r="AT1216" s="790"/>
      <c r="AU1216" s="790"/>
      <c r="AV1216" s="790"/>
      <c r="AW1216" s="790"/>
      <c r="AX1216" s="790"/>
      <c r="AY1216" s="790"/>
      <c r="AZ1216" s="790"/>
      <c r="BA1216" s="790"/>
      <c r="BB1216" s="790"/>
      <c r="BC1216" s="790"/>
      <c r="BD1216" s="790"/>
      <c r="BE1216" s="790"/>
      <c r="BF1216" s="790"/>
      <c r="BG1216" s="790"/>
      <c r="BH1216" s="790"/>
      <c r="BI1216" s="790"/>
      <c r="BJ1216" s="1184" t="s">
        <v>4763</v>
      </c>
    </row>
    <row r="1217" spans="1:62" x14ac:dyDescent="0.3">
      <c r="A1217" s="1200">
        <v>7</v>
      </c>
      <c r="B1217" s="1210">
        <v>704.2</v>
      </c>
      <c r="C1217" s="1215"/>
      <c r="D1217" s="1203"/>
      <c r="E1217" s="1203"/>
      <c r="F1217" s="1203"/>
      <c r="G1217" s="1202" t="str">
        <f t="shared" si="352"/>
        <v/>
      </c>
      <c r="H1217" s="1200" t="s">
        <v>4388</v>
      </c>
      <c r="I1217" s="66">
        <v>704.2</v>
      </c>
      <c r="J1217" s="819"/>
      <c r="K1217" s="819"/>
      <c r="L1217" s="1292" t="s">
        <v>1190</v>
      </c>
      <c r="M1217" s="795"/>
      <c r="N1217" s="1310"/>
      <c r="O1217" s="1310"/>
      <c r="P1217" s="97" t="b">
        <v>0</v>
      </c>
      <c r="Q1217" s="97" t="b">
        <v>1</v>
      </c>
      <c r="R1217" s="790" t="b">
        <f ca="1">S1217</f>
        <v>0</v>
      </c>
      <c r="S1217" s="790" t="b">
        <f ca="1">(S776=3)</f>
        <v>0</v>
      </c>
      <c r="T1217" s="97" t="b">
        <f ca="1">AND(NOT(S1217),LEN(W1217)&gt;0)</f>
        <v>0</v>
      </c>
      <c r="U1217" s="790"/>
      <c r="V1217" s="790"/>
      <c r="W1217" s="407"/>
      <c r="X1217" s="1303"/>
      <c r="Y1217" s="1522"/>
      <c r="Z1217" s="1586"/>
      <c r="AB1217" s="790"/>
      <c r="AC1217" s="790" t="b">
        <f ca="1">OR(AD1217:AE1217)</f>
        <v>0</v>
      </c>
      <c r="AD1217" s="790" t="b">
        <f ca="1">T1217</f>
        <v>0</v>
      </c>
      <c r="AE1217" s="790" t="b">
        <f ca="1">AND(R1217,OR(W1217="Not Met",W1217=""))</f>
        <v>0</v>
      </c>
      <c r="AF1217" s="1182" t="b">
        <f ca="1">AND(AE1217,NOT(Q1217))</f>
        <v>0</v>
      </c>
      <c r="AG1217" s="790"/>
      <c r="AH1217" s="790"/>
      <c r="AI1217" s="790"/>
      <c r="AJ1217" s="790"/>
      <c r="AK1217" s="790"/>
      <c r="AL1217" s="790"/>
      <c r="AM1217" s="790"/>
      <c r="AN1217" s="790"/>
      <c r="AO1217" s="790"/>
      <c r="AP1217" s="311" t="str">
        <f>SUBSTITUTE(SUBSTITUTE(SUBSTITUTE("vch"&amp;$B1217&amp;$C1217&amp;$D1217&amp;$E1217&amp;$F1217,".","_"),"(","_"),")","")</f>
        <v>vch704_2</v>
      </c>
      <c r="AQ1217" s="311">
        <f>W1217</f>
        <v>0</v>
      </c>
      <c r="AR1217" s="790"/>
      <c r="AS1217" s="790"/>
      <c r="AT1217" s="790"/>
      <c r="AU1217" s="790"/>
      <c r="AV1217" s="790"/>
      <c r="AW1217" s="790"/>
      <c r="AX1217" s="790"/>
      <c r="AY1217" s="790"/>
      <c r="AZ1217" s="790"/>
      <c r="BA1217" s="790"/>
      <c r="BB1217" s="790"/>
      <c r="BC1217" s="790"/>
      <c r="BD1217" s="790"/>
      <c r="BE1217" s="790"/>
      <c r="BF1217" s="790"/>
      <c r="BG1217" s="790"/>
      <c r="BH1217" s="790"/>
      <c r="BI1217" s="790"/>
      <c r="BJ1217" s="1184" t="s">
        <v>4763</v>
      </c>
    </row>
    <row r="1218" spans="1:62" x14ac:dyDescent="0.3">
      <c r="A1218" s="1200">
        <v>7</v>
      </c>
      <c r="B1218" s="1210">
        <v>704.2</v>
      </c>
      <c r="C1218" s="1215"/>
      <c r="D1218" s="1203"/>
      <c r="E1218" s="1203"/>
      <c r="F1218" s="1203"/>
      <c r="G1218" s="1202" t="str">
        <f t="shared" si="352"/>
        <v/>
      </c>
      <c r="H1218" s="1200" t="s">
        <v>4388</v>
      </c>
      <c r="I1218" s="4"/>
      <c r="J1218" s="819"/>
      <c r="K1218" s="819"/>
      <c r="L1218" s="1292"/>
      <c r="M1218" s="799"/>
      <c r="N1218" s="1310"/>
      <c r="O1218" s="1310"/>
      <c r="P1218" s="1081"/>
      <c r="Q1218" s="1081"/>
      <c r="R1218" s="790"/>
      <c r="S1218" s="790"/>
      <c r="T1218" s="790"/>
      <c r="U1218" s="790"/>
      <c r="V1218" s="790"/>
      <c r="W1218" s="790"/>
      <c r="X1218" s="1303"/>
      <c r="Y1218" s="1522"/>
      <c r="Z1218" s="1586"/>
      <c r="AB1218" s="790"/>
      <c r="AC1218" s="790"/>
      <c r="AD1218" s="790"/>
      <c r="AE1218" s="790"/>
      <c r="AF1218" s="790"/>
      <c r="AG1218" s="790"/>
      <c r="AH1218" s="790"/>
      <c r="AI1218" s="790"/>
      <c r="AJ1218" s="790"/>
      <c r="AK1218" s="790"/>
      <c r="AL1218" s="790"/>
      <c r="AM1218" s="790"/>
      <c r="AN1218" s="790"/>
      <c r="AO1218" s="790"/>
      <c r="AP1218" s="790"/>
      <c r="AQ1218" s="790"/>
      <c r="AR1218" s="790"/>
      <c r="AS1218" s="790"/>
      <c r="AT1218" s="790"/>
      <c r="AU1218" s="790"/>
      <c r="AV1218" s="790"/>
      <c r="AW1218" s="790"/>
      <c r="AX1218" s="790"/>
      <c r="AY1218" s="790"/>
      <c r="AZ1218" s="790"/>
      <c r="BA1218" s="790"/>
      <c r="BB1218" s="790"/>
      <c r="BC1218" s="790"/>
      <c r="BD1218" s="790"/>
      <c r="BE1218" s="790"/>
      <c r="BF1218" s="790"/>
      <c r="BG1218" s="790"/>
      <c r="BH1218" s="790"/>
      <c r="BI1218" s="790"/>
      <c r="BJ1218" s="1184" t="s">
        <v>4763</v>
      </c>
    </row>
    <row r="1219" spans="1:62" x14ac:dyDescent="0.3">
      <c r="A1219" s="1200">
        <v>7</v>
      </c>
      <c r="B1219" s="1210">
        <v>704.2</v>
      </c>
      <c r="C1219" s="1215"/>
      <c r="D1219" s="1203"/>
      <c r="E1219" s="1203"/>
      <c r="F1219" s="1203"/>
      <c r="G1219" s="1202" t="str">
        <f t="shared" si="352"/>
        <v/>
      </c>
      <c r="H1219" s="1200" t="s">
        <v>4388</v>
      </c>
      <c r="I1219" s="4"/>
      <c r="J1219" s="819"/>
      <c r="K1219" s="819"/>
      <c r="L1219" s="1292"/>
      <c r="M1219" s="799"/>
      <c r="N1219" s="1310"/>
      <c r="O1219" s="1310"/>
      <c r="P1219" s="1081"/>
      <c r="Q1219" s="1081"/>
      <c r="R1219" s="790"/>
      <c r="S1219" s="790"/>
      <c r="T1219" s="790"/>
      <c r="U1219" s="790"/>
      <c r="V1219" s="790"/>
      <c r="W1219" s="790"/>
      <c r="X1219" s="1303"/>
      <c r="Y1219" s="1522"/>
      <c r="Z1219" s="1586"/>
      <c r="AB1219" s="790"/>
      <c r="AC1219" s="790"/>
      <c r="AD1219" s="790"/>
      <c r="AE1219" s="790"/>
      <c r="AF1219" s="790"/>
      <c r="AG1219" s="790"/>
      <c r="AH1219" s="790"/>
      <c r="AI1219" s="790"/>
      <c r="AJ1219" s="790"/>
      <c r="AK1219" s="790"/>
      <c r="AL1219" s="790"/>
      <c r="AM1219" s="790"/>
      <c r="AN1219" s="790"/>
      <c r="AO1219" s="790"/>
      <c r="AP1219" s="790"/>
      <c r="AQ1219" s="790"/>
      <c r="AR1219" s="790"/>
      <c r="AS1219" s="790"/>
      <c r="AT1219" s="790"/>
      <c r="AU1219" s="790"/>
      <c r="AV1219" s="790"/>
      <c r="AW1219" s="790"/>
      <c r="AX1219" s="790"/>
      <c r="AY1219" s="790"/>
      <c r="AZ1219" s="790"/>
      <c r="BA1219" s="790"/>
      <c r="BB1219" s="790"/>
      <c r="BC1219" s="790"/>
      <c r="BD1219" s="790"/>
      <c r="BE1219" s="790"/>
      <c r="BF1219" s="790"/>
      <c r="BG1219" s="790"/>
      <c r="BH1219" s="790"/>
      <c r="BI1219" s="790"/>
      <c r="BJ1219" s="1184" t="s">
        <v>4763</v>
      </c>
    </row>
    <row r="1220" spans="1:62" x14ac:dyDescent="0.3">
      <c r="A1220" s="1200">
        <v>7</v>
      </c>
      <c r="B1220" s="1210">
        <v>704.2</v>
      </c>
      <c r="C1220" s="1215"/>
      <c r="D1220" s="1203"/>
      <c r="E1220" s="1203"/>
      <c r="F1220" s="1203"/>
      <c r="G1220" s="1202" t="str">
        <f t="shared" si="352"/>
        <v/>
      </c>
      <c r="H1220" s="1200" t="s">
        <v>4388</v>
      </c>
      <c r="I1220" s="4"/>
      <c r="J1220" s="819"/>
      <c r="K1220" s="819"/>
      <c r="L1220" s="806" t="s">
        <v>3868</v>
      </c>
      <c r="M1220" s="799"/>
      <c r="N1220" s="1310"/>
      <c r="O1220" s="1310"/>
      <c r="P1220" s="1081"/>
      <c r="Q1220" s="1081"/>
      <c r="R1220" s="790"/>
      <c r="S1220" s="790"/>
      <c r="T1220" s="790"/>
      <c r="U1220" s="790"/>
      <c r="V1220" s="790"/>
      <c r="W1220" s="790"/>
      <c r="X1220" s="1303"/>
      <c r="Y1220" s="1522"/>
      <c r="Z1220" s="1586"/>
      <c r="AB1220" s="790"/>
      <c r="AC1220" s="790"/>
      <c r="AD1220" s="790"/>
      <c r="AE1220" s="790"/>
      <c r="AF1220" s="790"/>
      <c r="AG1220" s="790"/>
      <c r="AH1220" s="790"/>
      <c r="AI1220" s="790"/>
      <c r="AJ1220" s="790"/>
      <c r="AK1220" s="790"/>
      <c r="AL1220" s="790"/>
      <c r="AM1220" s="790"/>
      <c r="AN1220" s="790"/>
      <c r="AO1220" s="790"/>
      <c r="AP1220" s="790"/>
      <c r="AQ1220" s="790"/>
      <c r="AR1220" s="790"/>
      <c r="AS1220" s="790"/>
      <c r="AT1220" s="790"/>
      <c r="AU1220" s="790"/>
      <c r="AV1220" s="790"/>
      <c r="AW1220" s="790"/>
      <c r="AX1220" s="790"/>
      <c r="AY1220" s="790"/>
      <c r="AZ1220" s="790"/>
      <c r="BA1220" s="790"/>
      <c r="BB1220" s="790"/>
      <c r="BC1220" s="790"/>
      <c r="BD1220" s="790"/>
      <c r="BE1220" s="790"/>
      <c r="BF1220" s="790"/>
      <c r="BG1220" s="790"/>
      <c r="BH1220" s="790"/>
      <c r="BI1220" s="790"/>
      <c r="BJ1220" s="1184" t="s">
        <v>4763</v>
      </c>
    </row>
    <row r="1221" spans="1:62" ht="18" x14ac:dyDescent="0.35">
      <c r="A1221" s="1200">
        <v>7</v>
      </c>
      <c r="B1221" s="1210">
        <v>705</v>
      </c>
      <c r="C1221" s="1215"/>
      <c r="D1221" s="1203"/>
      <c r="E1221" s="1203"/>
      <c r="F1221" s="1203"/>
      <c r="G1221" s="1202" t="s">
        <v>4389</v>
      </c>
      <c r="H1221" s="1200" t="s">
        <v>4386</v>
      </c>
      <c r="I1221" s="14" t="s">
        <v>1191</v>
      </c>
      <c r="J1221" s="87"/>
      <c r="K1221" s="87"/>
      <c r="L1221" s="87"/>
      <c r="M1221" s="484"/>
      <c r="N1221" s="594"/>
      <c r="O1221" s="594"/>
      <c r="P1221" s="23"/>
      <c r="Q1221" s="23"/>
      <c r="R1221" s="23"/>
      <c r="S1221" s="23"/>
      <c r="T1221" s="23"/>
      <c r="U1221" s="23"/>
      <c r="V1221" s="23"/>
      <c r="W1221" s="23"/>
      <c r="X1221" s="23"/>
      <c r="Y1221" s="790"/>
      <c r="Z1221" s="1055"/>
      <c r="AB1221" s="790"/>
      <c r="AC1221" s="790"/>
      <c r="AD1221" s="790"/>
      <c r="AE1221" s="790"/>
      <c r="AF1221" s="790"/>
      <c r="AG1221" s="790"/>
      <c r="AH1221" s="790"/>
      <c r="AI1221" s="790"/>
      <c r="AJ1221" s="790"/>
      <c r="AK1221" s="790"/>
      <c r="AL1221" s="790"/>
      <c r="AM1221" s="790"/>
      <c r="AN1221" s="790"/>
      <c r="AO1221" s="790"/>
      <c r="AP1221" s="790"/>
      <c r="AQ1221" s="790"/>
      <c r="AR1221" s="790"/>
      <c r="AS1221" s="790"/>
      <c r="AT1221" s="790"/>
      <c r="AU1221" s="790"/>
      <c r="AV1221" s="790"/>
      <c r="AW1221" s="790"/>
      <c r="AX1221" s="790"/>
      <c r="AY1221" s="790"/>
      <c r="AZ1221" s="790"/>
      <c r="BA1221" s="790"/>
      <c r="BB1221" s="790"/>
      <c r="BC1221" s="790"/>
      <c r="BD1221" s="790"/>
      <c r="BE1221" s="790"/>
      <c r="BF1221" s="790"/>
      <c r="BG1221" s="790"/>
      <c r="BH1221" s="790"/>
      <c r="BI1221" s="790"/>
      <c r="BJ1221" s="1184" t="s">
        <v>4763</v>
      </c>
    </row>
    <row r="1222" spans="1:62" x14ac:dyDescent="0.3">
      <c r="A1222" s="1200">
        <v>7</v>
      </c>
      <c r="B1222" s="1210">
        <v>705.2</v>
      </c>
      <c r="C1222" s="1215"/>
      <c r="D1222" s="1203"/>
      <c r="E1222" s="1203"/>
      <c r="F1222" s="1203"/>
      <c r="G1222" s="1196" t="str">
        <f ca="1">IF(COUNTIF(G1226:G1252,"P")&gt;0,"P","")</f>
        <v/>
      </c>
      <c r="H1222" s="1200" t="s">
        <v>4386</v>
      </c>
      <c r="I1222" s="66">
        <v>705.2</v>
      </c>
      <c r="J1222" s="819"/>
      <c r="K1222" s="819"/>
      <c r="L1222" s="829" t="s">
        <v>1192</v>
      </c>
      <c r="M1222" s="799"/>
      <c r="N1222" s="850"/>
      <c r="O1222" s="802"/>
      <c r="P1222" s="1081"/>
      <c r="Q1222" s="1081"/>
      <c r="R1222" s="790"/>
      <c r="S1222" s="790"/>
      <c r="T1222" s="790"/>
      <c r="U1222" s="790"/>
      <c r="V1222" s="790"/>
      <c r="W1222" s="790"/>
      <c r="X1222" s="790"/>
      <c r="Y1222" s="790"/>
      <c r="Z1222" s="1055"/>
      <c r="AB1222" s="790"/>
      <c r="AC1222" s="790"/>
      <c r="AD1222" s="790"/>
      <c r="AE1222" s="790"/>
      <c r="AF1222" s="790"/>
      <c r="AG1222" s="790"/>
      <c r="AH1222" s="790"/>
      <c r="AI1222" s="790"/>
      <c r="AJ1222" s="790"/>
      <c r="AK1222" s="790"/>
      <c r="AL1222" s="790"/>
      <c r="AM1222" s="790"/>
      <c r="AN1222" s="790"/>
      <c r="AO1222" s="790"/>
      <c r="AP1222" s="790"/>
      <c r="AQ1222" s="790"/>
      <c r="AR1222" s="790"/>
      <c r="AS1222" s="790"/>
      <c r="AT1222" s="790"/>
      <c r="AU1222" s="790"/>
      <c r="AV1222" s="790"/>
      <c r="AW1222" s="790"/>
      <c r="AX1222" s="790"/>
      <c r="AY1222" s="790"/>
      <c r="AZ1222" s="790"/>
      <c r="BA1222" s="790"/>
      <c r="BB1222" s="790"/>
      <c r="BC1222" s="790"/>
      <c r="BD1222" s="790"/>
      <c r="BE1222" s="790"/>
      <c r="BF1222" s="790"/>
      <c r="BG1222" s="790"/>
      <c r="BH1222" s="790"/>
      <c r="BI1222" s="790"/>
      <c r="BJ1222" s="1184" t="s">
        <v>4763</v>
      </c>
    </row>
    <row r="1223" spans="1:62" x14ac:dyDescent="0.3">
      <c r="A1223" s="1200">
        <v>7</v>
      </c>
      <c r="B1223" s="1210" t="s">
        <v>1193</v>
      </c>
      <c r="C1223" s="1215"/>
      <c r="D1223" s="1203"/>
      <c r="E1223" s="1203"/>
      <c r="F1223" s="1203"/>
      <c r="G1223" s="1196" t="str">
        <f ca="1">IF(COUNTIF(G1226:G1242,"P")&gt;0,"P","")</f>
        <v/>
      </c>
      <c r="H1223" s="1200" t="s">
        <v>4388</v>
      </c>
      <c r="I1223" s="68" t="s">
        <v>1193</v>
      </c>
      <c r="J1223" s="819"/>
      <c r="K1223" s="819"/>
      <c r="L1223" s="829" t="s">
        <v>1194</v>
      </c>
      <c r="M1223" s="799"/>
      <c r="N1223" s="850"/>
      <c r="O1223" s="802"/>
      <c r="P1223" s="1081"/>
      <c r="Q1223" s="1081"/>
      <c r="R1223" s="790"/>
      <c r="S1223" s="790"/>
      <c r="T1223" s="790"/>
      <c r="U1223" s="790"/>
      <c r="V1223" s="790"/>
      <c r="W1223" s="790"/>
      <c r="X1223" s="790"/>
      <c r="Y1223" s="790"/>
      <c r="Z1223" s="1055"/>
      <c r="AB1223" s="790"/>
      <c r="AC1223" s="790"/>
      <c r="AD1223" s="790"/>
      <c r="AE1223" s="790"/>
      <c r="AF1223" s="790"/>
      <c r="AG1223" s="790"/>
      <c r="AH1223" s="790"/>
      <c r="AI1223" s="790"/>
      <c r="AJ1223" s="790"/>
      <c r="AK1223" s="790"/>
      <c r="AL1223" s="790"/>
      <c r="AM1223" s="790"/>
      <c r="AN1223" s="790"/>
      <c r="AO1223" s="790"/>
      <c r="AP1223" s="790"/>
      <c r="AQ1223" s="790"/>
      <c r="AR1223" s="790"/>
      <c r="AS1223" s="790"/>
      <c r="AT1223" s="790"/>
      <c r="AU1223" s="790"/>
      <c r="AV1223" s="790"/>
      <c r="AW1223" s="790"/>
      <c r="AX1223" s="790"/>
      <c r="AY1223" s="790"/>
      <c r="AZ1223" s="790"/>
      <c r="BA1223" s="790"/>
      <c r="BB1223" s="790"/>
      <c r="BC1223" s="790"/>
      <c r="BD1223" s="790"/>
      <c r="BE1223" s="790"/>
      <c r="BF1223" s="790"/>
      <c r="BG1223" s="790"/>
      <c r="BH1223" s="790"/>
      <c r="BI1223" s="790"/>
      <c r="BJ1223" s="1184" t="s">
        <v>4763</v>
      </c>
    </row>
    <row r="1224" spans="1:62" x14ac:dyDescent="0.3">
      <c r="A1224" s="1200">
        <v>7</v>
      </c>
      <c r="B1224" s="1210" t="s">
        <v>1193</v>
      </c>
      <c r="C1224" s="1215"/>
      <c r="D1224" s="1203"/>
      <c r="E1224" s="1203"/>
      <c r="F1224" s="1203"/>
      <c r="G1224" s="1202" t="str">
        <f t="shared" ref="G1224:G1225" ca="1" si="353">G1223</f>
        <v/>
      </c>
      <c r="H1224" s="1200" t="s">
        <v>4388</v>
      </c>
      <c r="I1224" s="68"/>
      <c r="J1224" s="819"/>
      <c r="K1224" s="819"/>
      <c r="L1224" s="1404" t="s">
        <v>1195</v>
      </c>
      <c r="M1224" s="799"/>
      <c r="N1224" s="850"/>
      <c r="O1224" s="802"/>
      <c r="P1224" s="1081"/>
      <c r="Q1224" s="1081"/>
      <c r="R1224" s="790"/>
      <c r="S1224" s="790"/>
      <c r="T1224" s="790"/>
      <c r="U1224" s="790"/>
      <c r="V1224" s="790"/>
      <c r="W1224" s="790"/>
      <c r="X1224" s="790"/>
      <c r="Y1224" s="790"/>
      <c r="Z1224" s="1055"/>
      <c r="AB1224" s="790"/>
      <c r="AC1224" s="790"/>
      <c r="AD1224" s="790"/>
      <c r="AE1224" s="790"/>
      <c r="AF1224" s="790"/>
      <c r="AG1224" s="790"/>
      <c r="AH1224" s="790"/>
      <c r="AI1224" s="790"/>
      <c r="AJ1224" s="790"/>
      <c r="AK1224" s="790"/>
      <c r="AL1224" s="790"/>
      <c r="AM1224" s="790"/>
      <c r="AN1224" s="790"/>
      <c r="AO1224" s="790"/>
      <c r="AP1224" s="790"/>
      <c r="AQ1224" s="790"/>
      <c r="AR1224" s="790"/>
      <c r="AS1224" s="790"/>
      <c r="AT1224" s="790"/>
      <c r="AU1224" s="790"/>
      <c r="AV1224" s="790"/>
      <c r="AW1224" s="790"/>
      <c r="AX1224" s="790"/>
      <c r="AY1224" s="790"/>
      <c r="AZ1224" s="790"/>
      <c r="BA1224" s="790"/>
      <c r="BB1224" s="790"/>
      <c r="BC1224" s="790"/>
      <c r="BD1224" s="790"/>
      <c r="BE1224" s="790"/>
      <c r="BF1224" s="790"/>
      <c r="BG1224" s="790"/>
      <c r="BH1224" s="790"/>
      <c r="BI1224" s="790"/>
      <c r="BJ1224" s="1184" t="s">
        <v>4763</v>
      </c>
    </row>
    <row r="1225" spans="1:62" x14ac:dyDescent="0.3">
      <c r="A1225" s="1200">
        <v>7</v>
      </c>
      <c r="B1225" s="1210" t="s">
        <v>1193</v>
      </c>
      <c r="C1225" s="1215"/>
      <c r="D1225" s="1203"/>
      <c r="E1225" s="1203"/>
      <c r="F1225" s="1203"/>
      <c r="G1225" s="1202" t="str">
        <f t="shared" ca="1" si="353"/>
        <v/>
      </c>
      <c r="H1225" s="1200" t="s">
        <v>4388</v>
      </c>
      <c r="I1225" s="68"/>
      <c r="J1225" s="819"/>
      <c r="K1225" s="819"/>
      <c r="L1225" s="1404"/>
      <c r="M1225" s="799"/>
      <c r="N1225" s="850"/>
      <c r="O1225" s="802"/>
      <c r="P1225" s="1081"/>
      <c r="Q1225" s="1081"/>
      <c r="R1225" s="790"/>
      <c r="S1225" s="790"/>
      <c r="T1225" s="790"/>
      <c r="U1225" s="97"/>
      <c r="V1225" s="790"/>
      <c r="W1225" s="790"/>
      <c r="X1225" s="790"/>
      <c r="Y1225" s="790"/>
      <c r="Z1225" s="1055"/>
      <c r="AB1225" s="790"/>
      <c r="AC1225" s="790"/>
      <c r="AD1225" s="790"/>
      <c r="AE1225" s="790"/>
      <c r="AF1225" s="790"/>
      <c r="AG1225" s="790"/>
      <c r="AH1225" s="790"/>
      <c r="AI1225" s="790"/>
      <c r="AJ1225" s="790"/>
      <c r="AK1225" s="790"/>
      <c r="AL1225" s="790"/>
      <c r="AM1225" s="790"/>
      <c r="AN1225" s="790"/>
      <c r="AO1225" s="790"/>
      <c r="AP1225" s="790"/>
      <c r="AQ1225" s="790"/>
      <c r="AR1225" s="790"/>
      <c r="AS1225" s="790"/>
      <c r="AT1225" s="790"/>
      <c r="AU1225" s="790"/>
      <c r="AV1225" s="790"/>
      <c r="AW1225" s="790"/>
      <c r="AX1225" s="790"/>
      <c r="AY1225" s="790"/>
      <c r="AZ1225" s="790"/>
      <c r="BA1225" s="790"/>
      <c r="BB1225" s="790"/>
      <c r="BC1225" s="790"/>
      <c r="BD1225" s="790"/>
      <c r="BE1225" s="790"/>
      <c r="BF1225" s="790"/>
      <c r="BG1225" s="790"/>
      <c r="BH1225" s="790"/>
      <c r="BI1225" s="790"/>
      <c r="BJ1225" s="1184" t="s">
        <v>4763</v>
      </c>
    </row>
    <row r="1226" spans="1:62" x14ac:dyDescent="0.3">
      <c r="A1226" s="1200">
        <v>7</v>
      </c>
      <c r="B1226" s="1210" t="s">
        <v>1196</v>
      </c>
      <c r="C1226" s="1215"/>
      <c r="D1226" s="1203"/>
      <c r="E1226" s="1203"/>
      <c r="F1226" s="1203"/>
      <c r="G1226" s="1202" t="str">
        <f ca="1">IF(N1226&gt;0,"P","")</f>
        <v/>
      </c>
      <c r="H1226" s="1200" t="s">
        <v>4388</v>
      </c>
      <c r="I1226" s="68" t="s">
        <v>1196</v>
      </c>
      <c r="J1226" s="819"/>
      <c r="K1226" s="819"/>
      <c r="L1226" s="1292" t="s">
        <v>1197</v>
      </c>
      <c r="M1226" s="799"/>
      <c r="N1226" s="1310">
        <f ca="1">'Ch7'!O463</f>
        <v>0</v>
      </c>
      <c r="O1226" s="1310">
        <f ca="1">IFERROR(INDEX({1,2},MATCH(W1226,INDIRECT(U1226),0)),0)*S1226</f>
        <v>0</v>
      </c>
      <c r="P1226" s="97" t="b">
        <v>0</v>
      </c>
      <c r="Q1226" s="97" t="b">
        <v>1</v>
      </c>
      <c r="R1226" s="790" t="b">
        <v>0</v>
      </c>
      <c r="S1226" s="790" t="b">
        <v>1</v>
      </c>
      <c r="T1226" s="97" t="b">
        <v>0</v>
      </c>
      <c r="U1226" s="97" t="str">
        <f>SUBSTITUTE(SUBSTITUTE(SUBSTITUTE("dd"&amp;B1226&amp;C1226&amp;D1226&amp;E1226&amp;F1226,".","_"),"(","_"),")","")</f>
        <v>dd705_2_1_1</v>
      </c>
      <c r="V1226" s="790"/>
      <c r="W1226" s="12"/>
      <c r="X1226" s="1303"/>
      <c r="Y1226" s="1522" t="str">
        <f>IF(LEN('Ch7'!X463)=0,"None",'Ch7'!X463)</f>
        <v>None</v>
      </c>
      <c r="Z1226" s="1586"/>
      <c r="AB1226" s="790"/>
      <c r="AC1226" s="790" t="b">
        <f>OR(AD1226:AE1226)</f>
        <v>0</v>
      </c>
      <c r="AD1226" s="790" t="b">
        <f>T1226</f>
        <v>0</v>
      </c>
      <c r="AE1226" s="790" t="b">
        <f>AND(R1226,OR(W1226="Not Met",W1226=""))</f>
        <v>0</v>
      </c>
      <c r="AF1226" s="1182" t="b">
        <f>AND(AE1226,NOT(Q1226))</f>
        <v>0</v>
      </c>
      <c r="AG1226" s="790"/>
      <c r="AH1226" s="790"/>
      <c r="AI1226" s="790"/>
      <c r="AJ1226" s="790"/>
      <c r="AK1226" s="790"/>
      <c r="AL1226" s="790"/>
      <c r="AM1226" s="790"/>
      <c r="AN1226" s="311" t="str">
        <f>SUBSTITUTE(SUBSTITUTE(SUBSTITUTE("vpc"&amp;$B1226&amp;$C1226&amp;$D1226&amp;$E1226&amp;$F1226,".","_"),"(","_"),")","")</f>
        <v>vpc705_2_1_1</v>
      </c>
      <c r="AO1226" s="311">
        <f ca="1">O1226</f>
        <v>0</v>
      </c>
      <c r="AP1226" s="311" t="str">
        <f>SUBSTITUTE(SUBSTITUTE(SUBSTITUTE("vch"&amp;$B1226&amp;$C1226&amp;$D1226&amp;$E1226&amp;$F1226,".","_"),"(","_"),")","")</f>
        <v>vch705_2_1_1</v>
      </c>
      <c r="AQ1226" s="311">
        <f>W1226</f>
        <v>0</v>
      </c>
      <c r="AR1226" s="311" t="str">
        <f>SUBSTITUTE(SUBSTITUTE(SUBSTITUTE("vnt"&amp;$B1226&amp;$C1226&amp;$D1226&amp;$E1226&amp;$F1226,".","_"),"(","_"),")","")</f>
        <v>vnt705_2_1_1</v>
      </c>
      <c r="AS1226" s="311">
        <f>X1226</f>
        <v>0</v>
      </c>
      <c r="AT1226" s="790"/>
      <c r="AU1226" s="790"/>
      <c r="AV1226" s="790"/>
      <c r="AW1226" s="790"/>
      <c r="AX1226" s="790"/>
      <c r="AY1226" s="790"/>
      <c r="AZ1226" s="790"/>
      <c r="BA1226" s="790"/>
      <c r="BB1226" s="790"/>
      <c r="BC1226" s="790"/>
      <c r="BD1226" s="790"/>
      <c r="BE1226" s="790"/>
      <c r="BF1226" s="790"/>
      <c r="BG1226" s="790"/>
      <c r="BH1226" s="790"/>
      <c r="BI1226" s="790"/>
      <c r="BJ1226" s="1184" t="s">
        <v>4763</v>
      </c>
    </row>
    <row r="1227" spans="1:62" x14ac:dyDescent="0.3">
      <c r="A1227" s="1200">
        <v>7</v>
      </c>
      <c r="B1227" s="1210" t="s">
        <v>1196</v>
      </c>
      <c r="C1227" s="1215"/>
      <c r="D1227" s="1203"/>
      <c r="E1227" s="1203"/>
      <c r="F1227" s="1203"/>
      <c r="G1227" s="1202" t="str">
        <f t="shared" ref="G1227:G1229" ca="1" si="354">G1226</f>
        <v/>
      </c>
      <c r="H1227" s="1200" t="s">
        <v>4388</v>
      </c>
      <c r="I1227" s="4"/>
      <c r="J1227" s="819"/>
      <c r="K1227" s="819"/>
      <c r="L1227" s="1292"/>
      <c r="M1227" s="799"/>
      <c r="N1227" s="1310"/>
      <c r="O1227" s="1310"/>
      <c r="P1227" s="1081"/>
      <c r="Q1227" s="1081"/>
      <c r="R1227" s="790"/>
      <c r="S1227" s="790"/>
      <c r="T1227" s="790"/>
      <c r="U1227" s="790"/>
      <c r="V1227" s="790"/>
      <c r="W1227" s="790"/>
      <c r="X1227" s="1303"/>
      <c r="Y1227" s="1522"/>
      <c r="Z1227" s="1586"/>
      <c r="AB1227" s="790"/>
      <c r="AC1227" s="790"/>
      <c r="AD1227" s="790"/>
      <c r="AE1227" s="790"/>
      <c r="AF1227" s="790"/>
      <c r="AG1227" s="790"/>
      <c r="AH1227" s="790"/>
      <c r="AI1227" s="790"/>
      <c r="AJ1227" s="790"/>
      <c r="AK1227" s="790"/>
      <c r="AL1227" s="790"/>
      <c r="AM1227" s="790"/>
      <c r="AN1227" s="790"/>
      <c r="AO1227" s="790"/>
      <c r="AP1227" s="790"/>
      <c r="AQ1227" s="790"/>
      <c r="AR1227" s="790"/>
      <c r="AS1227" s="790"/>
      <c r="AT1227" s="790"/>
      <c r="AU1227" s="790"/>
      <c r="AV1227" s="790"/>
      <c r="AW1227" s="790"/>
      <c r="AX1227" s="790"/>
      <c r="AY1227" s="790"/>
      <c r="AZ1227" s="790"/>
      <c r="BA1227" s="790"/>
      <c r="BB1227" s="790"/>
      <c r="BC1227" s="790"/>
      <c r="BD1227" s="790"/>
      <c r="BE1227" s="790"/>
      <c r="BF1227" s="790"/>
      <c r="BG1227" s="790"/>
      <c r="BH1227" s="790"/>
      <c r="BI1227" s="790"/>
      <c r="BJ1227" s="1184" t="s">
        <v>4763</v>
      </c>
    </row>
    <row r="1228" spans="1:62" x14ac:dyDescent="0.3">
      <c r="A1228" s="1200">
        <v>7</v>
      </c>
      <c r="B1228" s="1210" t="s">
        <v>1196</v>
      </c>
      <c r="C1228" s="1215"/>
      <c r="D1228" s="1203" t="s">
        <v>271</v>
      </c>
      <c r="E1228" s="1203"/>
      <c r="F1228" s="1203"/>
      <c r="G1228" s="1202" t="str">
        <f t="shared" ca="1" si="354"/>
        <v/>
      </c>
      <c r="H1228" s="1200" t="s">
        <v>4388</v>
      </c>
      <c r="I1228" s="4"/>
      <c r="J1228" s="644" t="s">
        <v>271</v>
      </c>
      <c r="K1228" s="813"/>
      <c r="L1228" s="813" t="s">
        <v>1198</v>
      </c>
      <c r="M1228" s="796">
        <v>1</v>
      </c>
      <c r="N1228" s="850"/>
      <c r="O1228" s="802"/>
      <c r="P1228" s="1081"/>
      <c r="Q1228" s="1081"/>
      <c r="R1228" s="790"/>
      <c r="S1228" s="790"/>
      <c r="T1228" s="790"/>
      <c r="U1228" s="790"/>
      <c r="V1228" s="790"/>
      <c r="W1228" s="790"/>
      <c r="X1228" s="1303"/>
      <c r="Y1228" s="1522"/>
      <c r="Z1228" s="1586"/>
      <c r="AB1228" s="790"/>
      <c r="AC1228" s="790"/>
      <c r="AD1228" s="790"/>
      <c r="AE1228" s="790"/>
      <c r="AF1228" s="790"/>
      <c r="AG1228" s="790"/>
      <c r="AH1228" s="790"/>
      <c r="AI1228" s="790"/>
      <c r="AJ1228" s="790"/>
      <c r="AK1228" s="790"/>
      <c r="AL1228" s="311" t="str">
        <f t="shared" ref="AL1228:AL1230" si="355">SUBSTITUTE(SUBSTITUTE(SUBSTITUTE("vpa"&amp;$B1228&amp;$C1228&amp;$D1228&amp;$E1228&amp;$F1228,".","_"),"(","_"),")","")</f>
        <v>vpa705_2_1_1_1</v>
      </c>
      <c r="AM1228" s="311">
        <f>M1228</f>
        <v>1</v>
      </c>
      <c r="AN1228" s="790"/>
      <c r="AO1228" s="790"/>
      <c r="AP1228" s="790"/>
      <c r="AQ1228" s="790"/>
      <c r="AR1228" s="790"/>
      <c r="AS1228" s="790"/>
      <c r="AT1228" s="790"/>
      <c r="AU1228" s="790"/>
      <c r="AV1228" s="790"/>
      <c r="AW1228" s="790"/>
      <c r="AX1228" s="790"/>
      <c r="AY1228" s="790"/>
      <c r="AZ1228" s="790"/>
      <c r="BA1228" s="790"/>
      <c r="BB1228" s="790"/>
      <c r="BC1228" s="790"/>
      <c r="BD1228" s="790"/>
      <c r="BE1228" s="790"/>
      <c r="BF1228" s="790"/>
      <c r="BG1228" s="790"/>
      <c r="BH1228" s="790"/>
      <c r="BI1228" s="790"/>
      <c r="BJ1228" s="1184" t="s">
        <v>4763</v>
      </c>
    </row>
    <row r="1229" spans="1:62" x14ac:dyDescent="0.3">
      <c r="A1229" s="1200">
        <v>7</v>
      </c>
      <c r="B1229" s="1210" t="s">
        <v>1196</v>
      </c>
      <c r="C1229" s="1215"/>
      <c r="D1229" s="1203" t="s">
        <v>273</v>
      </c>
      <c r="E1229" s="1203"/>
      <c r="F1229" s="1203"/>
      <c r="G1229" s="1202" t="str">
        <f t="shared" ca="1" si="354"/>
        <v/>
      </c>
      <c r="H1229" s="1200" t="s">
        <v>4388</v>
      </c>
      <c r="I1229" s="238"/>
      <c r="J1229" s="644" t="s">
        <v>273</v>
      </c>
      <c r="K1229" s="813"/>
      <c r="L1229" s="813" t="s">
        <v>1199</v>
      </c>
      <c r="M1229" s="796">
        <v>2</v>
      </c>
      <c r="N1229" s="850"/>
      <c r="O1229" s="802"/>
      <c r="P1229" s="1081"/>
      <c r="Q1229" s="1081"/>
      <c r="R1229" s="790"/>
      <c r="S1229" s="790"/>
      <c r="T1229" s="790"/>
      <c r="U1229" s="790"/>
      <c r="V1229" s="790"/>
      <c r="W1229" s="790"/>
      <c r="X1229" s="1303"/>
      <c r="Y1229" s="1522"/>
      <c r="Z1229" s="1586"/>
      <c r="AB1229" s="790"/>
      <c r="AC1229" s="790"/>
      <c r="AD1229" s="790"/>
      <c r="AE1229" s="790"/>
      <c r="AF1229" s="790"/>
      <c r="AG1229" s="790"/>
      <c r="AH1229" s="790"/>
      <c r="AI1229" s="790"/>
      <c r="AJ1229" s="790"/>
      <c r="AK1229" s="790"/>
      <c r="AL1229" s="311" t="str">
        <f t="shared" si="355"/>
        <v>vpa705_2_1_1_2</v>
      </c>
      <c r="AM1229" s="311">
        <f>M1229</f>
        <v>2</v>
      </c>
      <c r="AN1229" s="790"/>
      <c r="AO1229" s="790"/>
      <c r="AP1229" s="790"/>
      <c r="AQ1229" s="790"/>
      <c r="AR1229" s="790"/>
      <c r="AS1229" s="790"/>
      <c r="AT1229" s="790"/>
      <c r="AU1229" s="790"/>
      <c r="AV1229" s="790"/>
      <c r="AW1229" s="790"/>
      <c r="AX1229" s="790"/>
      <c r="AY1229" s="790"/>
      <c r="AZ1229" s="790"/>
      <c r="BA1229" s="790"/>
      <c r="BB1229" s="790"/>
      <c r="BC1229" s="790"/>
      <c r="BD1229" s="790"/>
      <c r="BE1229" s="790"/>
      <c r="BF1229" s="790"/>
      <c r="BG1229" s="790"/>
      <c r="BH1229" s="790"/>
      <c r="BI1229" s="790"/>
      <c r="BJ1229" s="1184" t="s">
        <v>4763</v>
      </c>
    </row>
    <row r="1230" spans="1:62" x14ac:dyDescent="0.3">
      <c r="A1230" s="1200">
        <v>7</v>
      </c>
      <c r="B1230" s="1210" t="s">
        <v>1200</v>
      </c>
      <c r="C1230" s="1215"/>
      <c r="D1230" s="1203"/>
      <c r="E1230" s="1203"/>
      <c r="F1230" s="1203"/>
      <c r="G1230" s="1202" t="str">
        <f>IF(N1230&gt;0,"P","")</f>
        <v/>
      </c>
      <c r="H1230" s="1200" t="s">
        <v>4388</v>
      </c>
      <c r="I1230" s="606" t="s">
        <v>1200</v>
      </c>
      <c r="J1230" s="643"/>
      <c r="K1230" s="812"/>
      <c r="L1230" s="1313" t="s">
        <v>1201</v>
      </c>
      <c r="M1230" s="1318">
        <v>1</v>
      </c>
      <c r="N1230" s="1308">
        <f>'Ch7'!O467</f>
        <v>0</v>
      </c>
      <c r="O1230" s="1308">
        <f>M1230*S1230*W1230</f>
        <v>0</v>
      </c>
      <c r="P1230" s="97" t="b">
        <v>0</v>
      </c>
      <c r="Q1230" s="97" t="b">
        <v>1</v>
      </c>
      <c r="R1230" s="790" t="b">
        <v>0</v>
      </c>
      <c r="S1230" s="790" t="b">
        <v>1</v>
      </c>
      <c r="T1230" s="97" t="b">
        <v>0</v>
      </c>
      <c r="U1230" s="790"/>
      <c r="V1230" s="790"/>
      <c r="W1230" s="25"/>
      <c r="X1230" s="1303"/>
      <c r="Y1230" s="1522" t="str">
        <f>IF(LEN('Ch7'!X467)=0,"None",'Ch7'!X467)</f>
        <v>None</v>
      </c>
      <c r="Z1230" s="1586"/>
      <c r="AB1230" s="790"/>
      <c r="AC1230" s="790" t="b">
        <f>OR(AD1230:AE1230)</f>
        <v>0</v>
      </c>
      <c r="AD1230" s="790" t="b">
        <f>T1230</f>
        <v>0</v>
      </c>
      <c r="AE1230" s="790" t="b">
        <f>AND(R1230,NOT(W1230))</f>
        <v>0</v>
      </c>
      <c r="AF1230" s="1182" t="b">
        <f>AND(AE1230,NOT(Q1230))</f>
        <v>0</v>
      </c>
      <c r="AG1230" s="790"/>
      <c r="AH1230" s="790"/>
      <c r="AI1230" s="790"/>
      <c r="AJ1230" s="790"/>
      <c r="AK1230" s="790"/>
      <c r="AL1230" s="311" t="str">
        <f t="shared" si="355"/>
        <v>vpa705_2_1_2</v>
      </c>
      <c r="AM1230" s="311">
        <f>M1230</f>
        <v>1</v>
      </c>
      <c r="AN1230" s="311" t="str">
        <f>SUBSTITUTE(SUBSTITUTE(SUBSTITUTE("vpc"&amp;$B1230&amp;$C1230&amp;$D1230&amp;$E1230&amp;$F1230,".","_"),"(","_"),")","")</f>
        <v>vpc705_2_1_2</v>
      </c>
      <c r="AO1230" s="311">
        <f>O1230</f>
        <v>0</v>
      </c>
      <c r="AP1230" s="311" t="str">
        <f>SUBSTITUTE(SUBSTITUTE(SUBSTITUTE("vch"&amp;$B1230&amp;$C1230&amp;$D1230&amp;$E1230&amp;$F1230,".","_"),"(","_"),")","")</f>
        <v>vch705_2_1_2</v>
      </c>
      <c r="AQ1230" s="311">
        <f>W1230</f>
        <v>0</v>
      </c>
      <c r="AR1230" s="311" t="str">
        <f>SUBSTITUTE(SUBSTITUTE(SUBSTITUTE("vnt"&amp;$B1230&amp;$C1230&amp;$D1230&amp;$E1230&amp;$F1230,".","_"),"(","_"),")","")</f>
        <v>vnt705_2_1_2</v>
      </c>
      <c r="AS1230" s="311">
        <f>X1230</f>
        <v>0</v>
      </c>
      <c r="AT1230" s="790"/>
      <c r="AU1230" s="790"/>
      <c r="AV1230" s="790"/>
      <c r="AW1230" s="790"/>
      <c r="AX1230" s="790"/>
      <c r="AY1230" s="790"/>
      <c r="AZ1230" s="790"/>
      <c r="BA1230" s="790"/>
      <c r="BB1230" s="790"/>
      <c r="BC1230" s="790"/>
      <c r="BD1230" s="790"/>
      <c r="BE1230" s="790"/>
      <c r="BF1230" s="790"/>
      <c r="BG1230" s="790"/>
      <c r="BH1230" s="790"/>
      <c r="BI1230" s="790"/>
      <c r="BJ1230" s="1184" t="s">
        <v>4763</v>
      </c>
    </row>
    <row r="1231" spans="1:62" x14ac:dyDescent="0.3">
      <c r="A1231" s="1200">
        <v>7</v>
      </c>
      <c r="B1231" s="1210" t="s">
        <v>1200</v>
      </c>
      <c r="C1231" s="1215"/>
      <c r="D1231" s="1203"/>
      <c r="E1231" s="1203"/>
      <c r="F1231" s="1203"/>
      <c r="G1231" s="1202" t="str">
        <f t="shared" ref="G1231" si="356">G1230</f>
        <v/>
      </c>
      <c r="H1231" s="1200" t="s">
        <v>4388</v>
      </c>
      <c r="I1231" s="238"/>
      <c r="J1231" s="813"/>
      <c r="K1231" s="813"/>
      <c r="L1231" s="1350"/>
      <c r="M1231" s="1319"/>
      <c r="N1231" s="1309"/>
      <c r="O1231" s="1309"/>
      <c r="P1231" s="1081"/>
      <c r="Q1231" s="1081"/>
      <c r="R1231" s="790"/>
      <c r="S1231" s="790"/>
      <c r="T1231" s="790"/>
      <c r="U1231" s="790"/>
      <c r="V1231" s="790"/>
      <c r="W1231" s="790"/>
      <c r="X1231" s="1303"/>
      <c r="Y1231" s="1522"/>
      <c r="Z1231" s="1586"/>
      <c r="AB1231" s="790"/>
      <c r="AC1231" s="790"/>
      <c r="AD1231" s="790"/>
      <c r="AE1231" s="790"/>
      <c r="AF1231" s="790"/>
      <c r="AG1231" s="790"/>
      <c r="AH1231" s="790"/>
      <c r="AI1231" s="790"/>
      <c r="AJ1231" s="790"/>
      <c r="AK1231" s="790"/>
      <c r="AL1231" s="790"/>
      <c r="AM1231" s="790"/>
      <c r="AN1231" s="790"/>
      <c r="AO1231" s="790"/>
      <c r="AP1231" s="790"/>
      <c r="AQ1231" s="790"/>
      <c r="AR1231" s="790"/>
      <c r="AS1231" s="790"/>
      <c r="AT1231" s="790"/>
      <c r="AU1231" s="790"/>
      <c r="AV1231" s="790"/>
      <c r="AW1231" s="790"/>
      <c r="AX1231" s="790"/>
      <c r="AY1231" s="790"/>
      <c r="AZ1231" s="790"/>
      <c r="BA1231" s="790"/>
      <c r="BB1231" s="790"/>
      <c r="BC1231" s="790"/>
      <c r="BD1231" s="790"/>
      <c r="BE1231" s="790"/>
      <c r="BF1231" s="790"/>
      <c r="BG1231" s="790"/>
      <c r="BH1231" s="790"/>
      <c r="BI1231" s="790"/>
      <c r="BJ1231" s="1184" t="s">
        <v>4763</v>
      </c>
    </row>
    <row r="1232" spans="1:62" x14ac:dyDescent="0.3">
      <c r="A1232" s="1200">
        <v>7</v>
      </c>
      <c r="B1232" s="1210" t="s">
        <v>1202</v>
      </c>
      <c r="C1232" s="1215"/>
      <c r="D1232" s="1203"/>
      <c r="E1232" s="1203"/>
      <c r="F1232" s="1203"/>
      <c r="G1232" s="1196" t="str">
        <f ca="1">IF(COUNTIF(G1233:G1237,"P")&gt;0,"P","")</f>
        <v/>
      </c>
      <c r="H1232" s="1200" t="s">
        <v>4388</v>
      </c>
      <c r="I1232" s="68" t="s">
        <v>1202</v>
      </c>
      <c r="J1232" s="819"/>
      <c r="K1232" s="819"/>
      <c r="L1232" s="829" t="s">
        <v>1203</v>
      </c>
      <c r="M1232" s="799"/>
      <c r="N1232" s="850"/>
      <c r="O1232" s="802"/>
      <c r="P1232" s="1081"/>
      <c r="Q1232" s="1081"/>
      <c r="R1232" s="790"/>
      <c r="S1232" s="790"/>
      <c r="T1232" s="790"/>
      <c r="U1232" s="790"/>
      <c r="V1232" s="790"/>
      <c r="W1232" s="790"/>
      <c r="X1232" s="790"/>
      <c r="Y1232" s="790"/>
      <c r="Z1232" s="1055"/>
      <c r="AB1232" s="790"/>
      <c r="AC1232" s="790"/>
      <c r="AD1232" s="790"/>
      <c r="AE1232" s="790"/>
      <c r="AF1232" s="790"/>
      <c r="AG1232" s="790"/>
      <c r="AH1232" s="790"/>
      <c r="AI1232" s="790"/>
      <c r="AJ1232" s="790"/>
      <c r="AK1232" s="790"/>
      <c r="AL1232" s="790"/>
      <c r="AM1232" s="790"/>
      <c r="AN1232" s="790"/>
      <c r="AO1232" s="790"/>
      <c r="AP1232" s="790"/>
      <c r="AQ1232" s="790"/>
      <c r="AR1232" s="790"/>
      <c r="AS1232" s="790"/>
      <c r="AT1232" s="790"/>
      <c r="AU1232" s="790"/>
      <c r="AV1232" s="790"/>
      <c r="AW1232" s="790"/>
      <c r="AX1232" s="790"/>
      <c r="AY1232" s="790"/>
      <c r="AZ1232" s="790"/>
      <c r="BA1232" s="790"/>
      <c r="BB1232" s="790"/>
      <c r="BC1232" s="790"/>
      <c r="BD1232" s="790"/>
      <c r="BE1232" s="790"/>
      <c r="BF1232" s="790"/>
      <c r="BG1232" s="790"/>
      <c r="BH1232" s="790"/>
      <c r="BI1232" s="790"/>
      <c r="BJ1232" s="1184" t="s">
        <v>4763</v>
      </c>
    </row>
    <row r="1233" spans="1:62" x14ac:dyDescent="0.3">
      <c r="A1233" s="1200">
        <v>7</v>
      </c>
      <c r="B1233" s="1210" t="s">
        <v>1202</v>
      </c>
      <c r="C1233" s="1215"/>
      <c r="D1233" s="1217" t="s">
        <v>271</v>
      </c>
      <c r="E1233" s="1203"/>
      <c r="F1233" s="1203"/>
      <c r="G1233" s="1202" t="str">
        <f ca="1">IF(N1233&gt;0,"P","")</f>
        <v/>
      </c>
      <c r="H1233" s="1200" t="s">
        <v>4388</v>
      </c>
      <c r="I1233" s="4"/>
      <c r="J1233" s="264" t="s">
        <v>271</v>
      </c>
      <c r="K1233" s="819"/>
      <c r="L1233" s="1329" t="s">
        <v>1204</v>
      </c>
      <c r="M1233" s="799"/>
      <c r="N1233" s="1310">
        <f ca="1">'Ch7'!O470</f>
        <v>0</v>
      </c>
      <c r="O1233" s="1310">
        <f ca="1">IFERROR(INDEX({1,2},MATCH(W1233,INDIRECT(U1233),0)),0)*S1233</f>
        <v>0</v>
      </c>
      <c r="P1233" s="97" t="b">
        <v>0</v>
      </c>
      <c r="Q1233" s="97" t="b">
        <v>1</v>
      </c>
      <c r="R1233" s="790" t="b">
        <v>0</v>
      </c>
      <c r="S1233" s="790" t="b">
        <f ca="1">IF($AY$18=INDEX(INDIRECT("ddSingleOrMulti"),2),TRUE,FALSE)</f>
        <v>0</v>
      </c>
      <c r="T1233" s="97" t="b">
        <f ca="1">AND(NOT(S1233),LEN(W1233)&gt;0)</f>
        <v>0</v>
      </c>
      <c r="U1233" s="97" t="str">
        <f>SUBSTITUTE(SUBSTITUTE(SUBSTITUTE("dd"&amp;B1233&amp;C1233&amp;D1233&amp;E1233&amp;F1233,".","_"),"(","_"),")","")</f>
        <v>dd705_2_1_3_1</v>
      </c>
      <c r="V1233" s="790"/>
      <c r="W1233" s="12"/>
      <c r="X1233" s="1303"/>
      <c r="Y1233" s="1522" t="str">
        <f>IF(LEN('Ch7'!X470)=0,"None",'Ch7'!X470)</f>
        <v>None</v>
      </c>
      <c r="Z1233" s="1586"/>
      <c r="AB1233" s="790"/>
      <c r="AC1233" s="790" t="b">
        <f ca="1">OR(AD1233:AE1233)</f>
        <v>0</v>
      </c>
      <c r="AD1233" s="790" t="b">
        <f ca="1">T1233</f>
        <v>0</v>
      </c>
      <c r="AE1233" s="790" t="b">
        <f>AND(R1233,OR(W1233="Not Met",W1233=""))</f>
        <v>0</v>
      </c>
      <c r="AF1233" s="1182" t="b">
        <f>AND(AE1233,NOT(Q1233))</f>
        <v>0</v>
      </c>
      <c r="AG1233" s="790"/>
      <c r="AH1233" s="790"/>
      <c r="AI1233" s="790"/>
      <c r="AJ1233" s="790"/>
      <c r="AK1233" s="790"/>
      <c r="AL1233" s="790"/>
      <c r="AM1233" s="790"/>
      <c r="AN1233" s="311" t="str">
        <f>SUBSTITUTE(SUBSTITUTE(SUBSTITUTE("vpc"&amp;$B1233&amp;$C1233&amp;$D1233&amp;$E1233&amp;$F1233,".","_"),"(","_"),")","")</f>
        <v>vpc705_2_1_3_1</v>
      </c>
      <c r="AO1233" s="311">
        <f ca="1">O1233</f>
        <v>0</v>
      </c>
      <c r="AP1233" s="311" t="str">
        <f>SUBSTITUTE(SUBSTITUTE(SUBSTITUTE("vch"&amp;$B1233&amp;$C1233&amp;$D1233&amp;$E1233&amp;$F1233,".","_"),"(","_"),")","")</f>
        <v>vch705_2_1_3_1</v>
      </c>
      <c r="AQ1233" s="311">
        <f>W1233</f>
        <v>0</v>
      </c>
      <c r="AR1233" s="311" t="str">
        <f>SUBSTITUTE(SUBSTITUTE(SUBSTITUTE("vnt"&amp;$B1233&amp;$C1233&amp;$D1233&amp;$E1233&amp;$F1233,".","_"),"(","_"),")","")</f>
        <v>vnt705_2_1_3_1</v>
      </c>
      <c r="AS1233" s="311">
        <f>X1233</f>
        <v>0</v>
      </c>
      <c r="AT1233" s="790"/>
      <c r="AU1233" s="790"/>
      <c r="AV1233" s="790"/>
      <c r="AW1233" s="790"/>
      <c r="AX1233" s="790"/>
      <c r="AY1233" s="790"/>
      <c r="AZ1233" s="790"/>
      <c r="BA1233" s="790"/>
      <c r="BB1233" s="790"/>
      <c r="BC1233" s="790"/>
      <c r="BD1233" s="790"/>
      <c r="BE1233" s="790"/>
      <c r="BF1233" s="790"/>
      <c r="BG1233" s="790"/>
      <c r="BH1233" s="790"/>
      <c r="BI1233" s="790"/>
      <c r="BJ1233" s="1184" t="s">
        <v>4763</v>
      </c>
    </row>
    <row r="1234" spans="1:62" x14ac:dyDescent="0.3">
      <c r="A1234" s="1200">
        <v>7</v>
      </c>
      <c r="B1234" s="1210" t="s">
        <v>1202</v>
      </c>
      <c r="C1234" s="1215"/>
      <c r="D1234" s="1217" t="s">
        <v>271</v>
      </c>
      <c r="E1234" s="1203"/>
      <c r="F1234" s="1203"/>
      <c r="G1234" s="1202" t="str">
        <f t="shared" ref="G1234:G1236" ca="1" si="357">G1233</f>
        <v/>
      </c>
      <c r="H1234" s="1200" t="s">
        <v>4388</v>
      </c>
      <c r="I1234" s="4"/>
      <c r="J1234" s="819"/>
      <c r="K1234" s="819"/>
      <c r="L1234" s="1329"/>
      <c r="M1234" s="799"/>
      <c r="N1234" s="1310"/>
      <c r="O1234" s="1310"/>
      <c r="P1234" s="1081"/>
      <c r="Q1234" s="1081"/>
      <c r="R1234" s="790"/>
      <c r="S1234" s="790"/>
      <c r="T1234" s="790"/>
      <c r="U1234" s="790"/>
      <c r="V1234" s="790"/>
      <c r="W1234" s="790"/>
      <c r="X1234" s="1303"/>
      <c r="Y1234" s="1522"/>
      <c r="Z1234" s="1586"/>
      <c r="AB1234" s="790"/>
      <c r="AC1234" s="790"/>
      <c r="AD1234" s="790"/>
      <c r="AE1234" s="790"/>
      <c r="AF1234" s="790"/>
      <c r="AG1234" s="790"/>
      <c r="AH1234" s="790"/>
      <c r="AI1234" s="790"/>
      <c r="AJ1234" s="790"/>
      <c r="AK1234" s="790"/>
      <c r="AL1234" s="790"/>
      <c r="AM1234" s="790"/>
      <c r="AN1234" s="790"/>
      <c r="AO1234" s="790"/>
      <c r="AP1234" s="790"/>
      <c r="AQ1234" s="790"/>
      <c r="AR1234" s="790"/>
      <c r="AS1234" s="790"/>
      <c r="AT1234" s="790"/>
      <c r="AU1234" s="790"/>
      <c r="AV1234" s="790"/>
      <c r="AW1234" s="790"/>
      <c r="AX1234" s="790"/>
      <c r="AY1234" s="790"/>
      <c r="AZ1234" s="790"/>
      <c r="BA1234" s="790"/>
      <c r="BB1234" s="790"/>
      <c r="BC1234" s="790"/>
      <c r="BD1234" s="790"/>
      <c r="BE1234" s="790"/>
      <c r="BF1234" s="790"/>
      <c r="BG1234" s="790"/>
      <c r="BH1234" s="790"/>
      <c r="BI1234" s="790"/>
      <c r="BJ1234" s="1184" t="s">
        <v>4763</v>
      </c>
    </row>
    <row r="1235" spans="1:62" x14ac:dyDescent="0.3">
      <c r="A1235" s="1200">
        <v>7</v>
      </c>
      <c r="B1235" s="1210" t="s">
        <v>1202</v>
      </c>
      <c r="C1235" s="1215"/>
      <c r="D1235" s="1217" t="s">
        <v>271</v>
      </c>
      <c r="E1235" s="1203" t="s">
        <v>121</v>
      </c>
      <c r="F1235" s="1203"/>
      <c r="G1235" s="1202" t="str">
        <f t="shared" ca="1" si="357"/>
        <v/>
      </c>
      <c r="H1235" s="1204" t="s">
        <v>4388</v>
      </c>
      <c r="I1235" s="4"/>
      <c r="J1235" s="819"/>
      <c r="K1235" s="260" t="s">
        <v>121</v>
      </c>
      <c r="L1235" s="819" t="s">
        <v>1198</v>
      </c>
      <c r="M1235" s="799">
        <v>1</v>
      </c>
      <c r="N1235" s="850"/>
      <c r="O1235" s="802"/>
      <c r="P1235" s="1081"/>
      <c r="Q1235" s="1081"/>
      <c r="R1235" s="790"/>
      <c r="S1235" s="790"/>
      <c r="T1235" s="790"/>
      <c r="U1235" s="790"/>
      <c r="V1235" s="790"/>
      <c r="W1235" s="790"/>
      <c r="X1235" s="1303"/>
      <c r="Y1235" s="1522"/>
      <c r="Z1235" s="1586"/>
      <c r="AB1235" s="790"/>
      <c r="AC1235" s="790"/>
      <c r="AD1235" s="790"/>
      <c r="AE1235" s="790"/>
      <c r="AF1235" s="790"/>
      <c r="AG1235" s="790"/>
      <c r="AH1235" s="790"/>
      <c r="AI1235" s="790"/>
      <c r="AJ1235" s="790"/>
      <c r="AK1235" s="790"/>
      <c r="AL1235" s="311" t="str">
        <f t="shared" ref="AL1235:AL1236" si="358">SUBSTITUTE(SUBSTITUTE(SUBSTITUTE("vpa"&amp;$B1235&amp;$C1235&amp;$D1235&amp;$E1235&amp;$F1235,".","_"),"(","_"),")","")</f>
        <v>vpa705_2_1_3_1_a</v>
      </c>
      <c r="AM1235" s="311">
        <f>M1235</f>
        <v>1</v>
      </c>
      <c r="AN1235" s="790"/>
      <c r="AO1235" s="790"/>
      <c r="AP1235" s="790"/>
      <c r="AQ1235" s="790"/>
      <c r="AR1235" s="790"/>
      <c r="AS1235" s="790"/>
      <c r="AT1235" s="790"/>
      <c r="AU1235" s="790"/>
      <c r="AV1235" s="790"/>
      <c r="AW1235" s="790"/>
      <c r="AX1235" s="790"/>
      <c r="AY1235" s="790"/>
      <c r="AZ1235" s="790"/>
      <c r="BA1235" s="790"/>
      <c r="BB1235" s="790"/>
      <c r="BC1235" s="790"/>
      <c r="BD1235" s="790"/>
      <c r="BE1235" s="790"/>
      <c r="BF1235" s="790"/>
      <c r="BG1235" s="790"/>
      <c r="BH1235" s="790"/>
      <c r="BI1235" s="790"/>
      <c r="BJ1235" s="1184" t="s">
        <v>4763</v>
      </c>
    </row>
    <row r="1236" spans="1:62" x14ac:dyDescent="0.3">
      <c r="A1236" s="1200">
        <v>7</v>
      </c>
      <c r="B1236" s="1210" t="s">
        <v>1202</v>
      </c>
      <c r="C1236" s="1215"/>
      <c r="D1236" s="1217" t="s">
        <v>271</v>
      </c>
      <c r="E1236" s="1203" t="s">
        <v>122</v>
      </c>
      <c r="F1236" s="1203"/>
      <c r="G1236" s="1202" t="str">
        <f t="shared" ca="1" si="357"/>
        <v/>
      </c>
      <c r="H1236" s="1204" t="s">
        <v>4388</v>
      </c>
      <c r="I1236" s="4"/>
      <c r="J1236" s="813"/>
      <c r="K1236" s="626" t="s">
        <v>122</v>
      </c>
      <c r="L1236" s="813" t="s">
        <v>1199</v>
      </c>
      <c r="M1236" s="796">
        <v>2</v>
      </c>
      <c r="N1236" s="850"/>
      <c r="O1236" s="802"/>
      <c r="P1236" s="1081"/>
      <c r="Q1236" s="1081"/>
      <c r="R1236" s="790"/>
      <c r="S1236" s="790"/>
      <c r="T1236" s="790"/>
      <c r="U1236" s="790"/>
      <c r="V1236" s="790"/>
      <c r="W1236" s="790"/>
      <c r="X1236" s="1303"/>
      <c r="Y1236" s="1522"/>
      <c r="Z1236" s="1586"/>
      <c r="AB1236" s="790"/>
      <c r="AC1236" s="790"/>
      <c r="AD1236" s="790"/>
      <c r="AE1236" s="790"/>
      <c r="AF1236" s="790"/>
      <c r="AG1236" s="790"/>
      <c r="AH1236" s="790"/>
      <c r="AI1236" s="790"/>
      <c r="AJ1236" s="790"/>
      <c r="AK1236" s="790"/>
      <c r="AL1236" s="311" t="str">
        <f t="shared" si="358"/>
        <v>vpa705_2_1_3_1_b</v>
      </c>
      <c r="AM1236" s="311">
        <f>M1236</f>
        <v>2</v>
      </c>
      <c r="AN1236" s="790"/>
      <c r="AO1236" s="790"/>
      <c r="AP1236" s="790"/>
      <c r="AQ1236" s="790"/>
      <c r="AR1236" s="790"/>
      <c r="AS1236" s="790"/>
      <c r="AT1236" s="790"/>
      <c r="AU1236" s="790"/>
      <c r="AV1236" s="790"/>
      <c r="AW1236" s="790"/>
      <c r="AX1236" s="790"/>
      <c r="AY1236" s="790"/>
      <c r="AZ1236" s="790"/>
      <c r="BA1236" s="790"/>
      <c r="BB1236" s="790"/>
      <c r="BC1236" s="790"/>
      <c r="BD1236" s="790"/>
      <c r="BE1236" s="790"/>
      <c r="BF1236" s="790"/>
      <c r="BG1236" s="790"/>
      <c r="BH1236" s="790"/>
      <c r="BI1236" s="790"/>
      <c r="BJ1236" s="1184" t="s">
        <v>4763</v>
      </c>
    </row>
    <row r="1237" spans="1:62" x14ac:dyDescent="0.3">
      <c r="A1237" s="1200">
        <v>7</v>
      </c>
      <c r="B1237" s="1210" t="s">
        <v>1202</v>
      </c>
      <c r="C1237" s="1215"/>
      <c r="D1237" s="1217" t="s">
        <v>273</v>
      </c>
      <c r="E1237" s="1203"/>
      <c r="F1237" s="1203"/>
      <c r="G1237" s="1202" t="str">
        <f ca="1">IF(N1237&gt;0,"P","")</f>
        <v/>
      </c>
      <c r="H1237" s="1200" t="s">
        <v>4388</v>
      </c>
      <c r="I1237" s="4"/>
      <c r="J1237" s="264" t="s">
        <v>273</v>
      </c>
      <c r="K1237" s="819"/>
      <c r="L1237" s="1329" t="s">
        <v>1205</v>
      </c>
      <c r="M1237" s="799"/>
      <c r="N1237" s="1310">
        <f ca="1">'Ch7'!O474</f>
        <v>0</v>
      </c>
      <c r="O1237" s="1310">
        <f ca="1">IFERROR(INDEX({2,3},MATCH(W1237,INDIRECT(U1237),0)),0)*S1237</f>
        <v>0</v>
      </c>
      <c r="P1237" s="97" t="b">
        <v>0</v>
      </c>
      <c r="Q1237" s="97" t="b">
        <v>1</v>
      </c>
      <c r="R1237" s="790" t="b">
        <v>0</v>
      </c>
      <c r="S1237" s="790" t="b">
        <f ca="1">IF($AY$18=INDEX(INDIRECT("ddSingleOrMulti"),2),TRUE,FALSE)</f>
        <v>0</v>
      </c>
      <c r="T1237" s="97" t="b">
        <f ca="1">AND(NOT(S1237),LEN(W1237)&gt;0)</f>
        <v>0</v>
      </c>
      <c r="U1237" s="97" t="str">
        <f>SUBSTITUTE(SUBSTITUTE(SUBSTITUTE("dd"&amp;B1237&amp;C1237&amp;D1237&amp;E1237&amp;F1237,".","_"),"(","_"),")","")</f>
        <v>dd705_2_1_3_2</v>
      </c>
      <c r="V1237" s="790"/>
      <c r="W1237" s="12"/>
      <c r="X1237" s="1303"/>
      <c r="Y1237" s="1522" t="str">
        <f>IF(LEN('Ch7'!X474)=0,"None",'Ch7'!X474)</f>
        <v>None</v>
      </c>
      <c r="Z1237" s="1586"/>
      <c r="AB1237" s="790"/>
      <c r="AC1237" s="790" t="b">
        <f ca="1">OR(AD1237:AE1237)</f>
        <v>0</v>
      </c>
      <c r="AD1237" s="790" t="b">
        <f ca="1">T1237</f>
        <v>0</v>
      </c>
      <c r="AE1237" s="790" t="b">
        <f>AND(R1237,OR(W1237="Not Met",W1237=""))</f>
        <v>0</v>
      </c>
      <c r="AF1237" s="1182" t="b">
        <f>AND(AE1237,NOT(Q1237))</f>
        <v>0</v>
      </c>
      <c r="AG1237" s="790"/>
      <c r="AH1237" s="790"/>
      <c r="AI1237" s="790"/>
      <c r="AJ1237" s="790"/>
      <c r="AK1237" s="790"/>
      <c r="AL1237" s="790"/>
      <c r="AM1237" s="790"/>
      <c r="AN1237" s="311" t="str">
        <f>SUBSTITUTE(SUBSTITUTE(SUBSTITUTE("vpc"&amp;$B1237&amp;$C1237&amp;$D1237&amp;$E1237&amp;$F1237,".","_"),"(","_"),")","")</f>
        <v>vpc705_2_1_3_2</v>
      </c>
      <c r="AO1237" s="311">
        <f ca="1">O1237</f>
        <v>0</v>
      </c>
      <c r="AP1237" s="311" t="str">
        <f>SUBSTITUTE(SUBSTITUTE(SUBSTITUTE("vch"&amp;$B1237&amp;$C1237&amp;$D1237&amp;$E1237&amp;$F1237,".","_"),"(","_"),")","")</f>
        <v>vch705_2_1_3_2</v>
      </c>
      <c r="AQ1237" s="311">
        <f>W1237</f>
        <v>0</v>
      </c>
      <c r="AR1237" s="311" t="str">
        <f>SUBSTITUTE(SUBSTITUTE(SUBSTITUTE("vnt"&amp;$B1237&amp;$C1237&amp;$D1237&amp;$E1237&amp;$F1237,".","_"),"(","_"),")","")</f>
        <v>vnt705_2_1_3_2</v>
      </c>
      <c r="AS1237" s="311">
        <f>X1237</f>
        <v>0</v>
      </c>
      <c r="AT1237" s="790"/>
      <c r="AU1237" s="790"/>
      <c r="AV1237" s="790"/>
      <c r="AW1237" s="790"/>
      <c r="AX1237" s="790"/>
      <c r="AY1237" s="790"/>
      <c r="AZ1237" s="790"/>
      <c r="BA1237" s="790"/>
      <c r="BB1237" s="790"/>
      <c r="BC1237" s="790"/>
      <c r="BD1237" s="790"/>
      <c r="BE1237" s="790"/>
      <c r="BF1237" s="790"/>
      <c r="BG1237" s="790"/>
      <c r="BH1237" s="790"/>
      <c r="BI1237" s="790"/>
      <c r="BJ1237" s="1184" t="s">
        <v>4763</v>
      </c>
    </row>
    <row r="1238" spans="1:62" x14ac:dyDescent="0.3">
      <c r="A1238" s="1200">
        <v>7</v>
      </c>
      <c r="B1238" s="1210" t="s">
        <v>1202</v>
      </c>
      <c r="C1238" s="1215"/>
      <c r="D1238" s="1217" t="s">
        <v>273</v>
      </c>
      <c r="E1238" s="1203"/>
      <c r="F1238" s="1203"/>
      <c r="G1238" s="1202" t="str">
        <f t="shared" ref="G1238:G1241" ca="1" si="359">G1237</f>
        <v/>
      </c>
      <c r="H1238" s="1200" t="s">
        <v>4388</v>
      </c>
      <c r="I1238" s="4"/>
      <c r="J1238" s="819"/>
      <c r="K1238" s="819"/>
      <c r="L1238" s="1329"/>
      <c r="M1238" s="799"/>
      <c r="N1238" s="1310"/>
      <c r="O1238" s="1310"/>
      <c r="P1238" s="1081"/>
      <c r="Q1238" s="1081"/>
      <c r="R1238" s="790"/>
      <c r="S1238" s="790"/>
      <c r="T1238" s="790"/>
      <c r="U1238" s="790"/>
      <c r="V1238" s="790"/>
      <c r="W1238" s="790"/>
      <c r="X1238" s="1303"/>
      <c r="Y1238" s="1522"/>
      <c r="Z1238" s="1586"/>
      <c r="AB1238" s="790"/>
      <c r="AC1238" s="790"/>
      <c r="AD1238" s="790"/>
      <c r="AE1238" s="790"/>
      <c r="AF1238" s="790"/>
      <c r="AG1238" s="790"/>
      <c r="AH1238" s="790"/>
      <c r="AI1238" s="790"/>
      <c r="AJ1238" s="790"/>
      <c r="AK1238" s="790"/>
      <c r="AL1238" s="790"/>
      <c r="AM1238" s="790"/>
      <c r="AN1238" s="790"/>
      <c r="AO1238" s="790"/>
      <c r="AP1238" s="790"/>
      <c r="AQ1238" s="790"/>
      <c r="AR1238" s="790"/>
      <c r="AS1238" s="790"/>
      <c r="AT1238" s="790"/>
      <c r="AU1238" s="790"/>
      <c r="AV1238" s="790"/>
      <c r="AW1238" s="790"/>
      <c r="AX1238" s="790"/>
      <c r="AY1238" s="790"/>
      <c r="AZ1238" s="790"/>
      <c r="BA1238" s="790"/>
      <c r="BB1238" s="790"/>
      <c r="BC1238" s="790"/>
      <c r="BD1238" s="790"/>
      <c r="BE1238" s="790"/>
      <c r="BF1238" s="790"/>
      <c r="BG1238" s="790"/>
      <c r="BH1238" s="790"/>
      <c r="BI1238" s="790"/>
      <c r="BJ1238" s="1184" t="s">
        <v>4763</v>
      </c>
    </row>
    <row r="1239" spans="1:62" x14ac:dyDescent="0.3">
      <c r="A1239" s="1200">
        <v>7</v>
      </c>
      <c r="B1239" s="1210" t="s">
        <v>1202</v>
      </c>
      <c r="C1239" s="1215"/>
      <c r="D1239" s="1217" t="s">
        <v>273</v>
      </c>
      <c r="E1239" s="1203"/>
      <c r="F1239" s="1203"/>
      <c r="G1239" s="1202" t="str">
        <f t="shared" ca="1" si="359"/>
        <v/>
      </c>
      <c r="H1239" s="1200" t="s">
        <v>4388</v>
      </c>
      <c r="I1239" s="4"/>
      <c r="J1239" s="819"/>
      <c r="K1239" s="819"/>
      <c r="L1239" s="1329"/>
      <c r="M1239" s="799"/>
      <c r="N1239" s="1310"/>
      <c r="O1239" s="1310"/>
      <c r="P1239" s="1081"/>
      <c r="Q1239" s="1081"/>
      <c r="R1239" s="790"/>
      <c r="S1239" s="790"/>
      <c r="T1239" s="790"/>
      <c r="U1239" s="790"/>
      <c r="V1239" s="790"/>
      <c r="W1239" s="790"/>
      <c r="X1239" s="1303"/>
      <c r="Y1239" s="1522"/>
      <c r="Z1239" s="1586"/>
      <c r="AB1239" s="790"/>
      <c r="AC1239" s="790"/>
      <c r="AD1239" s="790"/>
      <c r="AE1239" s="790"/>
      <c r="AF1239" s="790"/>
      <c r="AG1239" s="790"/>
      <c r="AH1239" s="790"/>
      <c r="AI1239" s="790"/>
      <c r="AJ1239" s="790"/>
      <c r="AK1239" s="790"/>
      <c r="AL1239" s="790"/>
      <c r="AM1239" s="790"/>
      <c r="AN1239" s="790"/>
      <c r="AO1239" s="790"/>
      <c r="AP1239" s="790"/>
      <c r="AQ1239" s="790"/>
      <c r="AR1239" s="790"/>
      <c r="AS1239" s="790"/>
      <c r="AT1239" s="790"/>
      <c r="AU1239" s="790"/>
      <c r="AV1239" s="790"/>
      <c r="AW1239" s="790"/>
      <c r="AX1239" s="790"/>
      <c r="AY1239" s="790"/>
      <c r="AZ1239" s="790"/>
      <c r="BA1239" s="790"/>
      <c r="BB1239" s="790"/>
      <c r="BC1239" s="790"/>
      <c r="BD1239" s="790"/>
      <c r="BE1239" s="790"/>
      <c r="BF1239" s="790"/>
      <c r="BG1239" s="790"/>
      <c r="BH1239" s="790"/>
      <c r="BI1239" s="790"/>
      <c r="BJ1239" s="1184" t="s">
        <v>4763</v>
      </c>
    </row>
    <row r="1240" spans="1:62" x14ac:dyDescent="0.3">
      <c r="A1240" s="1200">
        <v>7</v>
      </c>
      <c r="B1240" s="1210" t="s">
        <v>1202</v>
      </c>
      <c r="C1240" s="1215"/>
      <c r="D1240" s="1217" t="s">
        <v>273</v>
      </c>
      <c r="E1240" s="1203" t="s">
        <v>121</v>
      </c>
      <c r="F1240" s="1203"/>
      <c r="G1240" s="1202" t="str">
        <f t="shared" ca="1" si="359"/>
        <v/>
      </c>
      <c r="H1240" s="1204" t="s">
        <v>4388</v>
      </c>
      <c r="I1240" s="140"/>
      <c r="J1240" s="812"/>
      <c r="K1240" s="614" t="s">
        <v>121</v>
      </c>
      <c r="L1240" s="812" t="s">
        <v>1206</v>
      </c>
      <c r="M1240" s="795">
        <v>2</v>
      </c>
      <c r="N1240" s="850"/>
      <c r="O1240" s="802"/>
      <c r="P1240" s="1081"/>
      <c r="Q1240" s="1081"/>
      <c r="R1240" s="790"/>
      <c r="S1240" s="790"/>
      <c r="T1240" s="790"/>
      <c r="U1240" s="790"/>
      <c r="V1240" s="790"/>
      <c r="W1240" s="790"/>
      <c r="X1240" s="1303"/>
      <c r="Y1240" s="1522"/>
      <c r="Z1240" s="1586"/>
      <c r="AB1240" s="790"/>
      <c r="AC1240" s="790"/>
      <c r="AD1240" s="790"/>
      <c r="AE1240" s="790"/>
      <c r="AF1240" s="790"/>
      <c r="AG1240" s="790"/>
      <c r="AH1240" s="790"/>
      <c r="AI1240" s="790"/>
      <c r="AJ1240" s="790"/>
      <c r="AK1240" s="790"/>
      <c r="AL1240" s="311" t="str">
        <f t="shared" ref="AL1240:AL1241" si="360">SUBSTITUTE(SUBSTITUTE(SUBSTITUTE("vpa"&amp;$B1240&amp;$C1240&amp;$D1240&amp;$E1240&amp;$F1240,".","_"),"(","_"),")","")</f>
        <v>vpa705_2_1_3_2_a</v>
      </c>
      <c r="AM1240" s="311">
        <f>M1240</f>
        <v>2</v>
      </c>
      <c r="AN1240" s="790"/>
      <c r="AO1240" s="790"/>
      <c r="AP1240" s="790"/>
      <c r="AQ1240" s="790"/>
      <c r="AR1240" s="790"/>
      <c r="AS1240" s="790"/>
      <c r="AT1240" s="790"/>
      <c r="AU1240" s="790"/>
      <c r="AV1240" s="790"/>
      <c r="AW1240" s="790"/>
      <c r="AX1240" s="790"/>
      <c r="AY1240" s="790"/>
      <c r="AZ1240" s="790"/>
      <c r="BA1240" s="790"/>
      <c r="BB1240" s="790"/>
      <c r="BC1240" s="790"/>
      <c r="BD1240" s="790"/>
      <c r="BE1240" s="790"/>
      <c r="BF1240" s="790"/>
      <c r="BG1240" s="790"/>
      <c r="BH1240" s="790"/>
      <c r="BI1240" s="790"/>
      <c r="BJ1240" s="1184" t="s">
        <v>4763</v>
      </c>
    </row>
    <row r="1241" spans="1:62" x14ac:dyDescent="0.3">
      <c r="A1241" s="1200">
        <v>7</v>
      </c>
      <c r="B1241" s="1210" t="s">
        <v>1202</v>
      </c>
      <c r="C1241" s="1215"/>
      <c r="D1241" s="1217" t="s">
        <v>273</v>
      </c>
      <c r="E1241" s="1203" t="s">
        <v>122</v>
      </c>
      <c r="F1241" s="1203"/>
      <c r="G1241" s="1202" t="str">
        <f t="shared" ca="1" si="359"/>
        <v/>
      </c>
      <c r="H1241" s="1204" t="s">
        <v>4388</v>
      </c>
      <c r="I1241" s="238"/>
      <c r="J1241" s="813"/>
      <c r="K1241" s="626" t="s">
        <v>122</v>
      </c>
      <c r="L1241" s="813" t="s">
        <v>1207</v>
      </c>
      <c r="M1241" s="796">
        <v>3</v>
      </c>
      <c r="N1241" s="855"/>
      <c r="O1241" s="804"/>
      <c r="P1241" s="1081"/>
      <c r="Q1241" s="1081"/>
      <c r="R1241" s="790"/>
      <c r="S1241" s="790"/>
      <c r="T1241" s="790"/>
      <c r="U1241" s="790"/>
      <c r="V1241" s="790"/>
      <c r="W1241" s="790"/>
      <c r="X1241" s="1303"/>
      <c r="Y1241" s="1522"/>
      <c r="Z1241" s="1586"/>
      <c r="AB1241" s="790"/>
      <c r="AC1241" s="790"/>
      <c r="AD1241" s="790"/>
      <c r="AE1241" s="790"/>
      <c r="AF1241" s="790"/>
      <c r="AG1241" s="790"/>
      <c r="AH1241" s="790"/>
      <c r="AI1241" s="790"/>
      <c r="AJ1241" s="790"/>
      <c r="AK1241" s="790"/>
      <c r="AL1241" s="311" t="str">
        <f t="shared" si="360"/>
        <v>vpa705_2_1_3_2_b</v>
      </c>
      <c r="AM1241" s="311">
        <f>M1241</f>
        <v>3</v>
      </c>
      <c r="AN1241" s="790"/>
      <c r="AO1241" s="790"/>
      <c r="AP1241" s="790"/>
      <c r="AQ1241" s="790"/>
      <c r="AR1241" s="790"/>
      <c r="AS1241" s="790"/>
      <c r="AT1241" s="790"/>
      <c r="AU1241" s="790"/>
      <c r="AV1241" s="790"/>
      <c r="AW1241" s="790"/>
      <c r="AX1241" s="790"/>
      <c r="AY1241" s="790"/>
      <c r="AZ1241" s="790"/>
      <c r="BA1241" s="790"/>
      <c r="BB1241" s="790"/>
      <c r="BC1241" s="790"/>
      <c r="BD1241" s="790"/>
      <c r="BE1241" s="790"/>
      <c r="BF1241" s="790"/>
      <c r="BG1241" s="790"/>
      <c r="BH1241" s="790"/>
      <c r="BI1241" s="790"/>
      <c r="BJ1241" s="1184" t="s">
        <v>4763</v>
      </c>
    </row>
    <row r="1242" spans="1:62" x14ac:dyDescent="0.3">
      <c r="A1242" s="1200">
        <v>7</v>
      </c>
      <c r="B1242" s="1210" t="s">
        <v>1208</v>
      </c>
      <c r="C1242" s="1215"/>
      <c r="D1242" s="1203"/>
      <c r="E1242" s="1203"/>
      <c r="F1242" s="1203"/>
      <c r="G1242" s="1202" t="str">
        <f ca="1">IF(N1242&gt;0,"P","")</f>
        <v/>
      </c>
      <c r="H1242" s="1200" t="s">
        <v>4388</v>
      </c>
      <c r="I1242" s="68" t="s">
        <v>1208</v>
      </c>
      <c r="J1242" s="819"/>
      <c r="K1242" s="819"/>
      <c r="L1242" s="1292" t="s">
        <v>1209</v>
      </c>
      <c r="M1242" s="799"/>
      <c r="N1242" s="1310">
        <f ca="1">'Ch7'!O479</f>
        <v>0</v>
      </c>
      <c r="O1242" s="1310">
        <f ca="1">IFERROR(INDEX({2,3},MATCH(W1242,INDIRECT(U1242),0)),0)*S1242</f>
        <v>0</v>
      </c>
      <c r="P1242" s="97" t="b">
        <v>0</v>
      </c>
      <c r="Q1242" s="97" t="b">
        <v>1</v>
      </c>
      <c r="R1242" s="790" t="b">
        <v>0</v>
      </c>
      <c r="S1242" s="790" t="b">
        <f ca="1">IF($AY$18=INDEX(INDIRECT("ddSingleOrMulti"),2),TRUE,FALSE)</f>
        <v>0</v>
      </c>
      <c r="T1242" s="97" t="b">
        <f ca="1">AND(NOT(S1242),LEN(W1242)&gt;0)</f>
        <v>0</v>
      </c>
      <c r="U1242" s="97" t="str">
        <f>SUBSTITUTE(SUBSTITUTE(SUBSTITUTE("dd"&amp;B1242&amp;C1242&amp;D1242&amp;E1242&amp;F1242,".","_"),"(","_"),")","")</f>
        <v>dd705_2_1_4</v>
      </c>
      <c r="V1242" s="790"/>
      <c r="W1242" s="12"/>
      <c r="X1242" s="1303"/>
      <c r="Y1242" s="1522" t="str">
        <f>IF(LEN('Ch7'!X479)=0,"None",'Ch7'!X479)</f>
        <v>None</v>
      </c>
      <c r="Z1242" s="1586"/>
      <c r="AB1242" s="790"/>
      <c r="AC1242" s="790" t="b">
        <f ca="1">OR(AD1242:AE1242)</f>
        <v>0</v>
      </c>
      <c r="AD1242" s="790" t="b">
        <f ca="1">T1242</f>
        <v>0</v>
      </c>
      <c r="AE1242" s="790" t="b">
        <f>AND(R1242,OR(W1242="Not Met",W1242=""))</f>
        <v>0</v>
      </c>
      <c r="AF1242" s="1182" t="b">
        <f>AND(AE1242,NOT(Q1242))</f>
        <v>0</v>
      </c>
      <c r="AG1242" s="790"/>
      <c r="AH1242" s="790"/>
      <c r="AI1242" s="790"/>
      <c r="AJ1242" s="790"/>
      <c r="AK1242" s="790"/>
      <c r="AL1242" s="790"/>
      <c r="AM1242" s="790"/>
      <c r="AN1242" s="311" t="str">
        <f>SUBSTITUTE(SUBSTITUTE(SUBSTITUTE("vpc"&amp;$B1242&amp;$C1242&amp;$D1242&amp;$E1242&amp;$F1242,".","_"),"(","_"),")","")</f>
        <v>vpc705_2_1_4</v>
      </c>
      <c r="AO1242" s="311">
        <f ca="1">O1242</f>
        <v>0</v>
      </c>
      <c r="AP1242" s="311" t="str">
        <f>SUBSTITUTE(SUBSTITUTE(SUBSTITUTE("vch"&amp;$B1242&amp;$C1242&amp;$D1242&amp;$E1242&amp;$F1242,".","_"),"(","_"),")","")</f>
        <v>vch705_2_1_4</v>
      </c>
      <c r="AQ1242" s="311">
        <f>W1242</f>
        <v>0</v>
      </c>
      <c r="AR1242" s="311" t="str">
        <f>SUBSTITUTE(SUBSTITUTE(SUBSTITUTE("vnt"&amp;$B1242&amp;$C1242&amp;$D1242&amp;$E1242&amp;$F1242,".","_"),"(","_"),")","")</f>
        <v>vnt705_2_1_4</v>
      </c>
      <c r="AS1242" s="311">
        <f>X1242</f>
        <v>0</v>
      </c>
      <c r="AT1242" s="790"/>
      <c r="AU1242" s="790"/>
      <c r="AV1242" s="790"/>
      <c r="AW1242" s="790"/>
      <c r="AX1242" s="790"/>
      <c r="AY1242" s="790"/>
      <c r="AZ1242" s="790"/>
      <c r="BA1242" s="790"/>
      <c r="BB1242" s="790"/>
      <c r="BC1242" s="790"/>
      <c r="BD1242" s="790"/>
      <c r="BE1242" s="790"/>
      <c r="BF1242" s="790"/>
      <c r="BG1242" s="790"/>
      <c r="BH1242" s="790"/>
      <c r="BI1242" s="790"/>
      <c r="BJ1242" s="1184" t="s">
        <v>4763</v>
      </c>
    </row>
    <row r="1243" spans="1:62" x14ac:dyDescent="0.3">
      <c r="A1243" s="1200">
        <v>7</v>
      </c>
      <c r="B1243" s="1210" t="s">
        <v>1208</v>
      </c>
      <c r="C1243" s="1215"/>
      <c r="D1243" s="1203"/>
      <c r="E1243" s="1203"/>
      <c r="F1243" s="1203"/>
      <c r="G1243" s="1202" t="str">
        <f t="shared" ref="G1243:G1246" ca="1" si="361">G1242</f>
        <v/>
      </c>
      <c r="H1243" s="1200" t="s">
        <v>4388</v>
      </c>
      <c r="I1243" s="4"/>
      <c r="J1243" s="819"/>
      <c r="K1243" s="819"/>
      <c r="L1243" s="1292"/>
      <c r="M1243" s="799"/>
      <c r="N1243" s="1310"/>
      <c r="O1243" s="1310"/>
      <c r="P1243" s="1081"/>
      <c r="Q1243" s="1081"/>
      <c r="R1243" s="790"/>
      <c r="S1243" s="790"/>
      <c r="T1243" s="790"/>
      <c r="U1243" s="790"/>
      <c r="V1243" s="790"/>
      <c r="W1243" s="790"/>
      <c r="X1243" s="1303"/>
      <c r="Y1243" s="1522"/>
      <c r="Z1243" s="1586"/>
      <c r="AB1243" s="790"/>
      <c r="AC1243" s="790"/>
      <c r="AD1243" s="790"/>
      <c r="AE1243" s="790"/>
      <c r="AF1243" s="790"/>
      <c r="AG1243" s="790"/>
      <c r="AH1243" s="790"/>
      <c r="AI1243" s="790"/>
      <c r="AJ1243" s="790"/>
      <c r="AK1243" s="790"/>
      <c r="AL1243" s="790"/>
      <c r="AM1243" s="790"/>
      <c r="AN1243" s="790"/>
      <c r="AO1243" s="790"/>
      <c r="AP1243" s="790"/>
      <c r="AQ1243" s="790"/>
      <c r="AR1243" s="790"/>
      <c r="AS1243" s="790"/>
      <c r="AT1243" s="790"/>
      <c r="AU1243" s="790"/>
      <c r="AV1243" s="790"/>
      <c r="AW1243" s="790"/>
      <c r="AX1243" s="790"/>
      <c r="AY1243" s="790"/>
      <c r="AZ1243" s="790"/>
      <c r="BA1243" s="790"/>
      <c r="BB1243" s="790"/>
      <c r="BC1243" s="790"/>
      <c r="BD1243" s="790"/>
      <c r="BE1243" s="790"/>
      <c r="BF1243" s="790"/>
      <c r="BG1243" s="790"/>
      <c r="BH1243" s="790"/>
      <c r="BI1243" s="790"/>
      <c r="BJ1243" s="1184" t="s">
        <v>4763</v>
      </c>
    </row>
    <row r="1244" spans="1:62" x14ac:dyDescent="0.3">
      <c r="A1244" s="1200">
        <v>7</v>
      </c>
      <c r="B1244" s="1210" t="s">
        <v>1208</v>
      </c>
      <c r="C1244" s="1215"/>
      <c r="D1244" s="1203"/>
      <c r="E1244" s="1203"/>
      <c r="F1244" s="1203"/>
      <c r="G1244" s="1202" t="str">
        <f t="shared" ca="1" si="361"/>
        <v/>
      </c>
      <c r="H1244" s="1200" t="s">
        <v>4388</v>
      </c>
      <c r="I1244" s="4"/>
      <c r="J1244" s="819"/>
      <c r="K1244" s="819"/>
      <c r="L1244" s="1292"/>
      <c r="M1244" s="799"/>
      <c r="N1244" s="1310"/>
      <c r="O1244" s="1310"/>
      <c r="P1244" s="1081"/>
      <c r="Q1244" s="1081"/>
      <c r="R1244" s="790"/>
      <c r="S1244" s="790"/>
      <c r="T1244" s="790"/>
      <c r="U1244" s="790"/>
      <c r="V1244" s="790"/>
      <c r="W1244" s="790"/>
      <c r="X1244" s="1303"/>
      <c r="Y1244" s="1522"/>
      <c r="Z1244" s="1586"/>
      <c r="AB1244" s="790"/>
      <c r="AC1244" s="790"/>
      <c r="AD1244" s="790"/>
      <c r="AE1244" s="790"/>
      <c r="AF1244" s="790"/>
      <c r="AG1244" s="790"/>
      <c r="AH1244" s="790"/>
      <c r="AI1244" s="790"/>
      <c r="AJ1244" s="790"/>
      <c r="AK1244" s="790"/>
      <c r="AL1244" s="790"/>
      <c r="AM1244" s="790"/>
      <c r="AN1244" s="790"/>
      <c r="AO1244" s="790"/>
      <c r="AP1244" s="790"/>
      <c r="AQ1244" s="790"/>
      <c r="AR1244" s="790"/>
      <c r="AS1244" s="790"/>
      <c r="AT1244" s="790"/>
      <c r="AU1244" s="790"/>
      <c r="AV1244" s="790"/>
      <c r="AW1244" s="790"/>
      <c r="AX1244" s="790"/>
      <c r="AY1244" s="790"/>
      <c r="AZ1244" s="790"/>
      <c r="BA1244" s="790"/>
      <c r="BB1244" s="790"/>
      <c r="BC1244" s="790"/>
      <c r="BD1244" s="790"/>
      <c r="BE1244" s="790"/>
      <c r="BF1244" s="790"/>
      <c r="BG1244" s="790"/>
      <c r="BH1244" s="790"/>
      <c r="BI1244" s="790"/>
      <c r="BJ1244" s="1184" t="s">
        <v>4763</v>
      </c>
    </row>
    <row r="1245" spans="1:62" x14ac:dyDescent="0.3">
      <c r="A1245" s="1200">
        <v>7</v>
      </c>
      <c r="B1245" s="1210" t="s">
        <v>1208</v>
      </c>
      <c r="C1245" s="1215"/>
      <c r="D1245" s="1217" t="s">
        <v>271</v>
      </c>
      <c r="E1245" s="1203"/>
      <c r="F1245" s="1203"/>
      <c r="G1245" s="1202" t="str">
        <f t="shared" ca="1" si="361"/>
        <v/>
      </c>
      <c r="H1245" s="1200" t="s">
        <v>4388</v>
      </c>
      <c r="I1245" s="4"/>
      <c r="J1245" s="644" t="s">
        <v>271</v>
      </c>
      <c r="K1245" s="813"/>
      <c r="L1245" s="813" t="s">
        <v>1206</v>
      </c>
      <c r="M1245" s="799">
        <v>2</v>
      </c>
      <c r="N1245" s="850"/>
      <c r="O1245" s="802"/>
      <c r="P1245" s="1081"/>
      <c r="Q1245" s="1081"/>
      <c r="R1245" s="790"/>
      <c r="S1245" s="790"/>
      <c r="T1245" s="790"/>
      <c r="U1245" s="790"/>
      <c r="V1245" s="790"/>
      <c r="W1245" s="790"/>
      <c r="X1245" s="1303"/>
      <c r="Y1245" s="1522"/>
      <c r="Z1245" s="1586"/>
      <c r="AB1245" s="790"/>
      <c r="AC1245" s="790"/>
      <c r="AD1245" s="790"/>
      <c r="AE1245" s="790"/>
      <c r="AF1245" s="790"/>
      <c r="AG1245" s="790"/>
      <c r="AH1245" s="790"/>
      <c r="AI1245" s="790"/>
      <c r="AJ1245" s="790"/>
      <c r="AK1245" s="790"/>
      <c r="AL1245" s="311" t="str">
        <f t="shared" ref="AL1245:AL1247" si="362">SUBSTITUTE(SUBSTITUTE(SUBSTITUTE("vpa"&amp;$B1245&amp;$C1245&amp;$D1245&amp;$E1245&amp;$F1245,".","_"),"(","_"),")","")</f>
        <v>vpa705_2_1_4_1</v>
      </c>
      <c r="AM1245" s="311">
        <f>M1245</f>
        <v>2</v>
      </c>
      <c r="AN1245" s="790"/>
      <c r="AO1245" s="790"/>
      <c r="AP1245" s="790"/>
      <c r="AQ1245" s="790"/>
      <c r="AR1245" s="790"/>
      <c r="AS1245" s="790"/>
      <c r="AT1245" s="790"/>
      <c r="AU1245" s="790"/>
      <c r="AV1245" s="790"/>
      <c r="AW1245" s="790"/>
      <c r="AX1245" s="790"/>
      <c r="AY1245" s="790"/>
      <c r="AZ1245" s="790"/>
      <c r="BA1245" s="790"/>
      <c r="BB1245" s="790"/>
      <c r="BC1245" s="790"/>
      <c r="BD1245" s="790"/>
      <c r="BE1245" s="790"/>
      <c r="BF1245" s="790"/>
      <c r="BG1245" s="790"/>
      <c r="BH1245" s="790"/>
      <c r="BI1245" s="790"/>
      <c r="BJ1245" s="1184" t="s">
        <v>4763</v>
      </c>
    </row>
    <row r="1246" spans="1:62" x14ac:dyDescent="0.3">
      <c r="A1246" s="1200">
        <v>7</v>
      </c>
      <c r="B1246" s="1210" t="s">
        <v>1208</v>
      </c>
      <c r="C1246" s="1215"/>
      <c r="D1246" s="1217" t="s">
        <v>273</v>
      </c>
      <c r="E1246" s="1203"/>
      <c r="F1246" s="1203"/>
      <c r="G1246" s="1202" t="str">
        <f t="shared" ca="1" si="361"/>
        <v/>
      </c>
      <c r="H1246" s="1200" t="s">
        <v>4388</v>
      </c>
      <c r="I1246" s="238"/>
      <c r="J1246" s="644" t="s">
        <v>273</v>
      </c>
      <c r="K1246" s="813"/>
      <c r="L1246" s="813" t="s">
        <v>1210</v>
      </c>
      <c r="M1246" s="796">
        <v>3</v>
      </c>
      <c r="N1246" s="855"/>
      <c r="O1246" s="804"/>
      <c r="P1246" s="1081"/>
      <c r="Q1246" s="1081"/>
      <c r="R1246" s="790"/>
      <c r="S1246" s="790"/>
      <c r="T1246" s="790"/>
      <c r="U1246" s="790"/>
      <c r="V1246" s="790"/>
      <c r="W1246" s="790"/>
      <c r="X1246" s="1303"/>
      <c r="Y1246" s="1522"/>
      <c r="Z1246" s="1586"/>
      <c r="AB1246" s="790"/>
      <c r="AC1246" s="790"/>
      <c r="AD1246" s="790"/>
      <c r="AE1246" s="790"/>
      <c r="AF1246" s="790"/>
      <c r="AG1246" s="790"/>
      <c r="AH1246" s="790"/>
      <c r="AI1246" s="790"/>
      <c r="AJ1246" s="790"/>
      <c r="AK1246" s="790"/>
      <c r="AL1246" s="311" t="str">
        <f t="shared" si="362"/>
        <v>vpa705_2_1_4_2</v>
      </c>
      <c r="AM1246" s="311">
        <f>M1246</f>
        <v>3</v>
      </c>
      <c r="AN1246" s="790"/>
      <c r="AO1246" s="790"/>
      <c r="AP1246" s="790"/>
      <c r="AQ1246" s="790"/>
      <c r="AR1246" s="790"/>
      <c r="AS1246" s="790"/>
      <c r="AT1246" s="790"/>
      <c r="AU1246" s="790"/>
      <c r="AV1246" s="790"/>
      <c r="AW1246" s="790"/>
      <c r="AX1246" s="790"/>
      <c r="AY1246" s="790"/>
      <c r="AZ1246" s="790"/>
      <c r="BA1246" s="790"/>
      <c r="BB1246" s="790"/>
      <c r="BC1246" s="790"/>
      <c r="BD1246" s="790"/>
      <c r="BE1246" s="790"/>
      <c r="BF1246" s="790"/>
      <c r="BG1246" s="790"/>
      <c r="BH1246" s="790"/>
      <c r="BI1246" s="790"/>
      <c r="BJ1246" s="1184" t="s">
        <v>4763</v>
      </c>
    </row>
    <row r="1247" spans="1:62" x14ac:dyDescent="0.3">
      <c r="A1247" s="1200">
        <v>7</v>
      </c>
      <c r="B1247" s="1210" t="s">
        <v>1211</v>
      </c>
      <c r="C1247" s="1215"/>
      <c r="D1247" s="1203"/>
      <c r="E1247" s="1203"/>
      <c r="F1247" s="1203"/>
      <c r="G1247" s="1202" t="str">
        <f>IF(N1247&gt;0,"P","")</f>
        <v/>
      </c>
      <c r="H1247" s="1200" t="s">
        <v>4386</v>
      </c>
      <c r="I1247" s="630" t="s">
        <v>1211</v>
      </c>
      <c r="J1247" s="823"/>
      <c r="K1247" s="823"/>
      <c r="L1247" s="1364" t="s">
        <v>1212</v>
      </c>
      <c r="M1247" s="1323">
        <v>2</v>
      </c>
      <c r="N1247" s="1324">
        <f>'Ch7'!O484</f>
        <v>0</v>
      </c>
      <c r="O1247" s="1324">
        <f>M1247*S1247*W1247</f>
        <v>0</v>
      </c>
      <c r="P1247" s="97" t="b">
        <v>1</v>
      </c>
      <c r="Q1247" s="97" t="b">
        <v>1</v>
      </c>
      <c r="R1247" s="790" t="b">
        <v>0</v>
      </c>
      <c r="S1247" s="790" t="b">
        <v>1</v>
      </c>
      <c r="T1247" s="97" t="b">
        <v>0</v>
      </c>
      <c r="U1247" s="790"/>
      <c r="V1247" s="790"/>
      <c r="W1247" s="25"/>
      <c r="X1247" s="1303"/>
      <c r="Y1247" s="1522" t="str">
        <f>IF(LEN('Ch7'!X484)=0,"None",'Ch7'!X484)</f>
        <v>None</v>
      </c>
      <c r="Z1247" s="1586"/>
      <c r="AB1247" s="790"/>
      <c r="AC1247" s="790" t="b">
        <f>OR(AD1247:AE1247)</f>
        <v>0</v>
      </c>
      <c r="AD1247" s="790" t="b">
        <f>T1247</f>
        <v>0</v>
      </c>
      <c r="AE1247" s="790" t="b">
        <f>AND(R1247,NOT(W1247))</f>
        <v>0</v>
      </c>
      <c r="AF1247" s="1182" t="b">
        <f>AND(AE1247,NOT(Q1247))</f>
        <v>0</v>
      </c>
      <c r="AG1247" s="790"/>
      <c r="AH1247" s="790"/>
      <c r="AI1247" s="790"/>
      <c r="AJ1247" s="790"/>
      <c r="AK1247" s="790"/>
      <c r="AL1247" s="311" t="str">
        <f t="shared" si="362"/>
        <v>vpa705_2_2</v>
      </c>
      <c r="AM1247" s="311">
        <f>M1247</f>
        <v>2</v>
      </c>
      <c r="AN1247" s="311" t="str">
        <f>SUBSTITUTE(SUBSTITUTE(SUBSTITUTE("vpc"&amp;$B1247&amp;$C1247&amp;$D1247&amp;$E1247&amp;$F1247,".","_"),"(","_"),")","")</f>
        <v>vpc705_2_2</v>
      </c>
      <c r="AO1247" s="311">
        <f>O1247</f>
        <v>0</v>
      </c>
      <c r="AP1247" s="311" t="str">
        <f>SUBSTITUTE(SUBSTITUTE(SUBSTITUTE("vch"&amp;$B1247&amp;$C1247&amp;$D1247&amp;$E1247&amp;$F1247,".","_"),"(","_"),")","")</f>
        <v>vch705_2_2</v>
      </c>
      <c r="AQ1247" s="311">
        <f>W1247</f>
        <v>0</v>
      </c>
      <c r="AR1247" s="311" t="str">
        <f>SUBSTITUTE(SUBSTITUTE(SUBSTITUTE("vnt"&amp;$B1247&amp;$C1247&amp;$D1247&amp;$E1247&amp;$F1247,".","_"),"(","_"),")","")</f>
        <v>vnt705_2_2</v>
      </c>
      <c r="AS1247" s="311">
        <f>X1247</f>
        <v>0</v>
      </c>
      <c r="AT1247" s="790"/>
      <c r="AU1247" s="790"/>
      <c r="AV1247" s="790"/>
      <c r="AW1247" s="790"/>
      <c r="AX1247" s="790"/>
      <c r="AY1247" s="790"/>
      <c r="AZ1247" s="790"/>
      <c r="BA1247" s="790"/>
      <c r="BB1247" s="790"/>
      <c r="BC1247" s="790"/>
      <c r="BD1247" s="790"/>
      <c r="BE1247" s="790"/>
      <c r="BF1247" s="790"/>
      <c r="BG1247" s="790"/>
      <c r="BH1247" s="790"/>
      <c r="BI1247" s="790"/>
      <c r="BJ1247" s="1184" t="s">
        <v>4763</v>
      </c>
    </row>
    <row r="1248" spans="1:62" x14ac:dyDescent="0.3">
      <c r="A1248" s="1200">
        <v>7</v>
      </c>
      <c r="B1248" s="1210" t="s">
        <v>1211</v>
      </c>
      <c r="C1248" s="1215"/>
      <c r="D1248" s="1203"/>
      <c r="E1248" s="1203"/>
      <c r="F1248" s="1203"/>
      <c r="G1248" s="1202" t="str">
        <f t="shared" ref="G1248:G1249" si="363">G1247</f>
        <v/>
      </c>
      <c r="H1248" s="1200" t="s">
        <v>4386</v>
      </c>
      <c r="I1248" s="140"/>
      <c r="J1248" s="812"/>
      <c r="K1248" s="812"/>
      <c r="L1248" s="1313"/>
      <c r="M1248" s="1318"/>
      <c r="N1248" s="1308"/>
      <c r="O1248" s="1308"/>
      <c r="P1248" s="1081"/>
      <c r="Q1248" s="1081"/>
      <c r="R1248" s="790"/>
      <c r="S1248" s="790"/>
      <c r="T1248" s="790"/>
      <c r="U1248" s="790"/>
      <c r="V1248" s="790"/>
      <c r="W1248" s="790"/>
      <c r="X1248" s="1303"/>
      <c r="Y1248" s="1522"/>
      <c r="Z1248" s="1586"/>
      <c r="AB1248" s="790"/>
      <c r="AC1248" s="790"/>
      <c r="AD1248" s="790"/>
      <c r="AE1248" s="790"/>
      <c r="AF1248" s="790"/>
      <c r="AG1248" s="790"/>
      <c r="AH1248" s="790"/>
      <c r="AI1248" s="790"/>
      <c r="AJ1248" s="790"/>
      <c r="AK1248" s="790"/>
      <c r="AL1248" s="790"/>
      <c r="AM1248" s="790"/>
      <c r="AN1248" s="790"/>
      <c r="AO1248" s="790"/>
      <c r="AP1248" s="790"/>
      <c r="AQ1248" s="790"/>
      <c r="AR1248" s="790"/>
      <c r="AS1248" s="790"/>
      <c r="AT1248" s="790"/>
      <c r="AU1248" s="790"/>
      <c r="AV1248" s="790"/>
      <c r="AW1248" s="790"/>
      <c r="AX1248" s="790"/>
      <c r="AY1248" s="790"/>
      <c r="AZ1248" s="790"/>
      <c r="BA1248" s="790"/>
      <c r="BB1248" s="790"/>
      <c r="BC1248" s="790"/>
      <c r="BD1248" s="790"/>
      <c r="BE1248" s="790"/>
      <c r="BF1248" s="790"/>
      <c r="BG1248" s="790"/>
      <c r="BH1248" s="790"/>
      <c r="BI1248" s="790"/>
      <c r="BJ1248" s="1184" t="s">
        <v>4763</v>
      </c>
    </row>
    <row r="1249" spans="1:62" x14ac:dyDescent="0.3">
      <c r="A1249" s="1200">
        <v>7</v>
      </c>
      <c r="B1249" s="1210" t="s">
        <v>1211</v>
      </c>
      <c r="C1249" s="1215"/>
      <c r="D1249" s="1203"/>
      <c r="E1249" s="1203"/>
      <c r="F1249" s="1203"/>
      <c r="G1249" s="1202" t="str">
        <f t="shared" si="363"/>
        <v/>
      </c>
      <c r="H1249" s="1200" t="s">
        <v>4386</v>
      </c>
      <c r="I1249" s="238"/>
      <c r="J1249" s="813"/>
      <c r="K1249" s="813"/>
      <c r="L1249" s="834" t="s">
        <v>1101</v>
      </c>
      <c r="M1249" s="796"/>
      <c r="N1249" s="855"/>
      <c r="O1249" s="804"/>
      <c r="P1249" s="1081"/>
      <c r="Q1249" s="1081"/>
      <c r="R1249" s="790"/>
      <c r="S1249" s="790"/>
      <c r="T1249" s="790"/>
      <c r="U1249" s="790"/>
      <c r="V1249" s="790"/>
      <c r="W1249" s="790"/>
      <c r="X1249" s="1303"/>
      <c r="Y1249" s="1522"/>
      <c r="Z1249" s="1586"/>
      <c r="AB1249" s="790"/>
      <c r="AC1249" s="790"/>
      <c r="AD1249" s="790"/>
      <c r="AE1249" s="790"/>
      <c r="AF1249" s="790"/>
      <c r="AG1249" s="790"/>
      <c r="AH1249" s="790"/>
      <c r="AI1249" s="790"/>
      <c r="AJ1249" s="790"/>
      <c r="AK1249" s="790"/>
      <c r="AL1249" s="790"/>
      <c r="AM1249" s="790"/>
      <c r="AN1249" s="790"/>
      <c r="AO1249" s="790"/>
      <c r="AP1249" s="790"/>
      <c r="AQ1249" s="790"/>
      <c r="AR1249" s="790"/>
      <c r="AS1249" s="790"/>
      <c r="AT1249" s="790"/>
      <c r="AU1249" s="790"/>
      <c r="AV1249" s="790"/>
      <c r="AW1249" s="790"/>
      <c r="AX1249" s="790"/>
      <c r="AY1249" s="790"/>
      <c r="AZ1249" s="790"/>
      <c r="BA1249" s="790"/>
      <c r="BB1249" s="790"/>
      <c r="BC1249" s="790"/>
      <c r="BD1249" s="790"/>
      <c r="BE1249" s="790"/>
      <c r="BF1249" s="790"/>
      <c r="BG1249" s="790"/>
      <c r="BH1249" s="790"/>
      <c r="BI1249" s="790"/>
      <c r="BJ1249" s="1184" t="s">
        <v>4763</v>
      </c>
    </row>
    <row r="1250" spans="1:62" x14ac:dyDescent="0.3">
      <c r="A1250" s="1200">
        <v>7</v>
      </c>
      <c r="B1250" s="1210" t="s">
        <v>1213</v>
      </c>
      <c r="C1250" s="1215"/>
      <c r="D1250" s="1203"/>
      <c r="E1250" s="1203"/>
      <c r="F1250" s="1203"/>
      <c r="G1250" s="1202" t="str">
        <f>IF(N1250&gt;0,"P","")</f>
        <v/>
      </c>
      <c r="H1250" s="1200" t="s">
        <v>4388</v>
      </c>
      <c r="I1250" s="630" t="s">
        <v>1213</v>
      </c>
      <c r="J1250" s="823"/>
      <c r="K1250" s="823"/>
      <c r="L1250" s="1364" t="s">
        <v>1214</v>
      </c>
      <c r="M1250" s="1323">
        <v>1</v>
      </c>
      <c r="N1250" s="1324">
        <f>'Ch7'!O487</f>
        <v>0</v>
      </c>
      <c r="O1250" s="1324">
        <f>M1250*S1250*W1250</f>
        <v>0</v>
      </c>
      <c r="P1250" s="97" t="b">
        <v>0</v>
      </c>
      <c r="Q1250" s="97" t="b">
        <v>1</v>
      </c>
      <c r="R1250" s="790" t="b">
        <v>0</v>
      </c>
      <c r="S1250" s="790" t="b">
        <v>1</v>
      </c>
      <c r="T1250" s="97" t="b">
        <v>0</v>
      </c>
      <c r="U1250" s="790"/>
      <c r="V1250" s="790"/>
      <c r="W1250" s="25"/>
      <c r="X1250" s="1303"/>
      <c r="Y1250" s="1522" t="str">
        <f>IF(LEN('Ch7'!X487)=0,"None",'Ch7'!X487)</f>
        <v>None</v>
      </c>
      <c r="Z1250" s="1586"/>
      <c r="AB1250" s="790"/>
      <c r="AC1250" s="790" t="b">
        <f>OR(AD1250:AE1250)</f>
        <v>0</v>
      </c>
      <c r="AD1250" s="790" t="b">
        <f>T1250</f>
        <v>0</v>
      </c>
      <c r="AE1250" s="790" t="b">
        <f>AND(R1250,NOT(W1250))</f>
        <v>0</v>
      </c>
      <c r="AF1250" s="1182" t="b">
        <f>AND(AE1250,NOT(Q1250))</f>
        <v>0</v>
      </c>
      <c r="AG1250" s="790"/>
      <c r="AH1250" s="790"/>
      <c r="AI1250" s="790"/>
      <c r="AJ1250" s="790"/>
      <c r="AK1250" s="790"/>
      <c r="AL1250" s="311" t="str">
        <f t="shared" ref="AL1250" si="364">SUBSTITUTE(SUBSTITUTE(SUBSTITUTE("vpa"&amp;$B1250&amp;$C1250&amp;$D1250&amp;$E1250&amp;$F1250,".","_"),"(","_"),")","")</f>
        <v>vpa705_2_3</v>
      </c>
      <c r="AM1250" s="311">
        <f>M1250</f>
        <v>1</v>
      </c>
      <c r="AN1250" s="311" t="str">
        <f>SUBSTITUTE(SUBSTITUTE(SUBSTITUTE("vpc"&amp;$B1250&amp;$C1250&amp;$D1250&amp;$E1250&amp;$F1250,".","_"),"(","_"),")","")</f>
        <v>vpc705_2_3</v>
      </c>
      <c r="AO1250" s="311">
        <f>O1250</f>
        <v>0</v>
      </c>
      <c r="AP1250" s="311" t="str">
        <f>SUBSTITUTE(SUBSTITUTE(SUBSTITUTE("vch"&amp;$B1250&amp;$C1250&amp;$D1250&amp;$E1250&amp;$F1250,".","_"),"(","_"),")","")</f>
        <v>vch705_2_3</v>
      </c>
      <c r="AQ1250" s="311">
        <f>W1250</f>
        <v>0</v>
      </c>
      <c r="AR1250" s="311" t="str">
        <f>SUBSTITUTE(SUBSTITUTE(SUBSTITUTE("vnt"&amp;$B1250&amp;$C1250&amp;$D1250&amp;$E1250&amp;$F1250,".","_"),"(","_"),")","")</f>
        <v>vnt705_2_3</v>
      </c>
      <c r="AS1250" s="311">
        <f>X1250</f>
        <v>0</v>
      </c>
      <c r="AT1250" s="790"/>
      <c r="AU1250" s="790"/>
      <c r="AV1250" s="790"/>
      <c r="AW1250" s="790"/>
      <c r="AX1250" s="790"/>
      <c r="AY1250" s="790"/>
      <c r="AZ1250" s="790"/>
      <c r="BA1250" s="790"/>
      <c r="BB1250" s="790"/>
      <c r="BC1250" s="790"/>
      <c r="BD1250" s="790"/>
      <c r="BE1250" s="790"/>
      <c r="BF1250" s="790"/>
      <c r="BG1250" s="790"/>
      <c r="BH1250" s="790"/>
      <c r="BI1250" s="790"/>
      <c r="BJ1250" s="1184" t="s">
        <v>4763</v>
      </c>
    </row>
    <row r="1251" spans="1:62" x14ac:dyDescent="0.3">
      <c r="A1251" s="1200">
        <v>7</v>
      </c>
      <c r="B1251" s="1210" t="s">
        <v>1213</v>
      </c>
      <c r="C1251" s="1215"/>
      <c r="D1251" s="1203"/>
      <c r="E1251" s="1203"/>
      <c r="F1251" s="1203"/>
      <c r="G1251" s="1202" t="str">
        <f t="shared" ref="G1251" si="365">G1250</f>
        <v/>
      </c>
      <c r="H1251" s="1200" t="s">
        <v>4388</v>
      </c>
      <c r="I1251" s="238"/>
      <c r="J1251" s="813"/>
      <c r="K1251" s="813"/>
      <c r="L1251" s="1350"/>
      <c r="M1251" s="1319"/>
      <c r="N1251" s="1309"/>
      <c r="O1251" s="1309"/>
      <c r="P1251" s="1081"/>
      <c r="Q1251" s="1081"/>
      <c r="R1251" s="790"/>
      <c r="S1251" s="790"/>
      <c r="T1251" s="790"/>
      <c r="U1251" s="790"/>
      <c r="V1251" s="790"/>
      <c r="W1251" s="790"/>
      <c r="X1251" s="1303"/>
      <c r="Y1251" s="1522"/>
      <c r="Z1251" s="1586"/>
      <c r="AB1251" s="790"/>
      <c r="AC1251" s="790"/>
      <c r="AD1251" s="790"/>
      <c r="AE1251" s="790"/>
      <c r="AF1251" s="790"/>
      <c r="AG1251" s="790"/>
      <c r="AH1251" s="790"/>
      <c r="AI1251" s="790"/>
      <c r="AJ1251" s="790"/>
      <c r="AK1251" s="790"/>
      <c r="AL1251" s="790"/>
      <c r="AM1251" s="790"/>
      <c r="AN1251" s="790"/>
      <c r="AO1251" s="790"/>
      <c r="AP1251" s="790"/>
      <c r="AQ1251" s="790"/>
      <c r="AR1251" s="790"/>
      <c r="AS1251" s="790"/>
      <c r="AT1251" s="790"/>
      <c r="AU1251" s="790"/>
      <c r="AV1251" s="790"/>
      <c r="AW1251" s="790"/>
      <c r="AX1251" s="790"/>
      <c r="AY1251" s="790"/>
      <c r="AZ1251" s="790"/>
      <c r="BA1251" s="790"/>
      <c r="BB1251" s="790"/>
      <c r="BC1251" s="790"/>
      <c r="BD1251" s="790"/>
      <c r="BE1251" s="790"/>
      <c r="BF1251" s="790"/>
      <c r="BG1251" s="790"/>
      <c r="BH1251" s="790"/>
      <c r="BI1251" s="790"/>
      <c r="BJ1251" s="1184" t="s">
        <v>4763</v>
      </c>
    </row>
    <row r="1252" spans="1:62" x14ac:dyDescent="0.3">
      <c r="A1252" s="1200">
        <v>7</v>
      </c>
      <c r="B1252" s="1210" t="s">
        <v>1215</v>
      </c>
      <c r="C1252" s="1215"/>
      <c r="D1252" s="1203"/>
      <c r="E1252" s="1203"/>
      <c r="F1252" s="1203"/>
      <c r="G1252" s="1202" t="str">
        <f>IF(N1252&gt;0,"P","")</f>
        <v/>
      </c>
      <c r="H1252" s="1200" t="s">
        <v>4388</v>
      </c>
      <c r="I1252" s="606" t="s">
        <v>1215</v>
      </c>
      <c r="J1252" s="812"/>
      <c r="K1252" s="812"/>
      <c r="L1252" s="1313" t="s">
        <v>1216</v>
      </c>
      <c r="M1252" s="1318">
        <v>1</v>
      </c>
      <c r="N1252" s="1308">
        <f>'Ch7'!O489</f>
        <v>0</v>
      </c>
      <c r="O1252" s="1308">
        <f>IFERROR(IF(AND(NOT(ISBLANK(W1253)),(W1253/W1254)&lt;(1/400)),1,0),0)</f>
        <v>0</v>
      </c>
      <c r="P1252" s="97"/>
      <c r="Q1252" s="97"/>
      <c r="R1252" s="843"/>
      <c r="S1252" s="97"/>
      <c r="T1252" s="97"/>
      <c r="U1252" s="97"/>
      <c r="V1252" s="97"/>
      <c r="W1252" s="97" t="s">
        <v>3884</v>
      </c>
      <c r="X1252" s="1295"/>
      <c r="Y1252" s="1523" t="str">
        <f>IF(LEN('Ch7'!X489)=0,"None",'Ch7'!X489)</f>
        <v>None</v>
      </c>
      <c r="Z1252" s="1583"/>
      <c r="AB1252" s="790"/>
      <c r="AC1252" s="790"/>
      <c r="AD1252" s="790"/>
      <c r="AE1252" s="790"/>
      <c r="AF1252" s="790"/>
      <c r="AG1252" s="790"/>
      <c r="AH1252" s="790"/>
      <c r="AI1252" s="790"/>
      <c r="AJ1252" s="790"/>
      <c r="AK1252" s="790"/>
      <c r="AL1252" s="311" t="str">
        <f t="shared" ref="AL1252" si="366">SUBSTITUTE(SUBSTITUTE(SUBSTITUTE("vpa"&amp;$B1252&amp;$C1252&amp;$D1252&amp;$E1252&amp;$F1252,".","_"),"(","_"),")","")</f>
        <v>vpa705_2_4</v>
      </c>
      <c r="AM1252" s="311">
        <f>M1252</f>
        <v>1</v>
      </c>
      <c r="AN1252" s="311" t="str">
        <f>SUBSTITUTE(SUBSTITUTE(SUBSTITUTE("vpc"&amp;$B1252&amp;$C1252&amp;$D1252&amp;$E1252&amp;$F1252,".","_"),"(","_"),")","")</f>
        <v>vpc705_2_4</v>
      </c>
      <c r="AO1252" s="311">
        <f>O1252</f>
        <v>0</v>
      </c>
      <c r="AP1252" s="790"/>
      <c r="AQ1252" s="790"/>
      <c r="AR1252" s="311" t="str">
        <f>SUBSTITUTE(SUBSTITUTE(SUBSTITUTE("vnt"&amp;$B1252&amp;$C1252&amp;$D1252&amp;$E1252&amp;$F1252,".","_"),"(","_"),")","")</f>
        <v>vnt705_2_4</v>
      </c>
      <c r="AS1252" s="311">
        <f>X1252</f>
        <v>0</v>
      </c>
      <c r="AT1252" s="790"/>
      <c r="AU1252" s="790"/>
      <c r="AV1252" s="790"/>
      <c r="AW1252" s="790"/>
      <c r="AX1252" s="790"/>
      <c r="AY1252" s="790"/>
      <c r="AZ1252" s="790"/>
      <c r="BA1252" s="790"/>
      <c r="BB1252" s="790"/>
      <c r="BC1252" s="790"/>
      <c r="BD1252" s="790"/>
      <c r="BE1252" s="790"/>
      <c r="BF1252" s="790"/>
      <c r="BG1252" s="790"/>
      <c r="BH1252" s="790"/>
      <c r="BI1252" s="790"/>
      <c r="BJ1252" s="1184" t="s">
        <v>4763</v>
      </c>
    </row>
    <row r="1253" spans="1:62" x14ac:dyDescent="0.3">
      <c r="A1253" s="1200">
        <v>7</v>
      </c>
      <c r="B1253" s="1210" t="s">
        <v>1215</v>
      </c>
      <c r="C1253" s="1215"/>
      <c r="D1253" s="1203"/>
      <c r="E1253" s="1203"/>
      <c r="F1253" s="1203"/>
      <c r="G1253" s="1202" t="str">
        <f t="shared" ref="G1253:G1254" si="367">G1252</f>
        <v/>
      </c>
      <c r="H1253" s="1200" t="s">
        <v>4388</v>
      </c>
      <c r="I1253" s="140"/>
      <c r="J1253" s="812"/>
      <c r="K1253" s="812"/>
      <c r="L1253" s="1313"/>
      <c r="M1253" s="1318"/>
      <c r="N1253" s="1308"/>
      <c r="O1253" s="1308"/>
      <c r="P1253" s="97" t="b">
        <v>0</v>
      </c>
      <c r="Q1253" s="97" t="b">
        <v>1</v>
      </c>
      <c r="R1253" s="97" t="b">
        <v>0</v>
      </c>
      <c r="S1253" s="97" t="b">
        <f>OR(W887="Met",W887="N/A")</f>
        <v>0</v>
      </c>
      <c r="T1253" s="97" t="b">
        <f>OR(AND(NOT(S1253),LEN(W1253)&gt;0),AND(W1253&gt;0,W887="N/A"))</f>
        <v>0</v>
      </c>
      <c r="U1253" s="97"/>
      <c r="V1253" s="97"/>
      <c r="W1253" s="473"/>
      <c r="X1253" s="1295"/>
      <c r="Y1253" s="1523"/>
      <c r="Z1253" s="1583"/>
      <c r="AB1253" s="790"/>
      <c r="AC1253" s="790" t="b">
        <f>OR(AD1253:AE1253)</f>
        <v>0</v>
      </c>
      <c r="AD1253" s="790" t="b">
        <f>T1253</f>
        <v>0</v>
      </c>
      <c r="AE1253" s="790" t="b">
        <f>AND(R1253,OR(W1253="Not Met",W1253=""))</f>
        <v>0</v>
      </c>
      <c r="AF1253" s="1182" t="b">
        <f>AND(AE1253,NOT(Q1253))</f>
        <v>0</v>
      </c>
      <c r="AG1253" s="790"/>
      <c r="AH1253" s="790"/>
      <c r="AI1253" s="790"/>
      <c r="AJ1253" s="790"/>
      <c r="AK1253" s="790"/>
      <c r="AL1253" s="790"/>
      <c r="AM1253" s="790"/>
      <c r="AN1253" s="790"/>
      <c r="AO1253" s="790"/>
      <c r="AP1253" s="311" t="str">
        <f>SUBSTITUTE(SUBSTITUTE(SUBSTITUTE("vch"&amp;$B1253&amp;$C1253&amp;$D1253&amp;$E1253&amp;$F1253,".","_"),"(","_"),")","")</f>
        <v>vch705_2_4</v>
      </c>
      <c r="AQ1253" s="311">
        <f>W1253</f>
        <v>0</v>
      </c>
      <c r="AR1253" s="790"/>
      <c r="AS1253" s="790"/>
      <c r="AT1253" s="790"/>
      <c r="AU1253" s="790"/>
      <c r="AV1253" s="790"/>
      <c r="AW1253" s="790"/>
      <c r="AX1253" s="790"/>
      <c r="AY1253" s="790"/>
      <c r="AZ1253" s="790"/>
      <c r="BA1253" s="790"/>
      <c r="BB1253" s="790"/>
      <c r="BC1253" s="790"/>
      <c r="BD1253" s="790"/>
      <c r="BE1253" s="790"/>
      <c r="BF1253" s="790"/>
      <c r="BG1253" s="790"/>
      <c r="BH1253" s="790"/>
      <c r="BI1253" s="790"/>
      <c r="BJ1253" s="1184" t="s">
        <v>4763</v>
      </c>
    </row>
    <row r="1254" spans="1:62" ht="15" thickBot="1" x14ac:dyDescent="0.35">
      <c r="A1254" s="1200">
        <v>7</v>
      </c>
      <c r="B1254" s="1210" t="s">
        <v>1215</v>
      </c>
      <c r="C1254" s="1215"/>
      <c r="D1254" s="1203"/>
      <c r="E1254" s="1203"/>
      <c r="F1254" s="1203"/>
      <c r="G1254" s="1202" t="str">
        <f t="shared" si="367"/>
        <v/>
      </c>
      <c r="H1254" s="1200" t="s">
        <v>4388</v>
      </c>
      <c r="I1254" s="270"/>
      <c r="J1254" s="824"/>
      <c r="K1254" s="824"/>
      <c r="L1254" s="1332"/>
      <c r="M1254" s="1334"/>
      <c r="N1254" s="1315"/>
      <c r="O1254" s="1315"/>
      <c r="P1254" s="104"/>
      <c r="Q1254" s="104"/>
      <c r="R1254" s="104"/>
      <c r="S1254" s="104"/>
      <c r="T1254" s="104"/>
      <c r="U1254" s="104"/>
      <c r="V1254" s="104"/>
      <c r="W1254" s="645">
        <f>AY787</f>
        <v>0</v>
      </c>
      <c r="X1254" s="1296"/>
      <c r="Y1254" s="1524"/>
      <c r="Z1254" s="1584"/>
      <c r="AB1254" s="790"/>
      <c r="AC1254" s="790"/>
      <c r="AD1254" s="790"/>
      <c r="AE1254" s="790"/>
      <c r="AF1254" s="790"/>
      <c r="AG1254" s="790"/>
      <c r="AH1254" s="790"/>
      <c r="AI1254" s="790"/>
      <c r="AJ1254" s="790"/>
      <c r="AK1254" s="790"/>
      <c r="AL1254" s="790"/>
      <c r="AM1254" s="790"/>
      <c r="AN1254" s="790"/>
      <c r="AO1254" s="790"/>
      <c r="AP1254" s="790"/>
      <c r="AQ1254" s="790"/>
      <c r="AR1254" s="790"/>
      <c r="AS1254" s="790"/>
      <c r="AT1254" s="790"/>
      <c r="AU1254" s="790"/>
      <c r="AV1254" s="790"/>
      <c r="AW1254" s="790"/>
      <c r="AX1254" s="790"/>
      <c r="AY1254" s="790"/>
      <c r="AZ1254" s="790"/>
      <c r="BA1254" s="790"/>
      <c r="BB1254" s="790"/>
      <c r="BC1254" s="790"/>
      <c r="BD1254" s="790"/>
      <c r="BE1254" s="790"/>
      <c r="BF1254" s="790"/>
      <c r="BG1254" s="790"/>
      <c r="BH1254" s="790"/>
      <c r="BI1254" s="790"/>
      <c r="BJ1254" s="1184" t="s">
        <v>4763</v>
      </c>
    </row>
    <row r="1255" spans="1:62" ht="15.6" thickTop="1" thickBot="1" x14ac:dyDescent="0.35">
      <c r="A1255" s="1200">
        <v>7</v>
      </c>
      <c r="B1255" s="1210">
        <v>705.3</v>
      </c>
      <c r="C1255" s="1215"/>
      <c r="D1255" s="1203"/>
      <c r="E1255" s="1203"/>
      <c r="F1255" s="1203"/>
      <c r="G1255" s="1202" t="str">
        <f>IF(N1255&gt;0,"P","")</f>
        <v/>
      </c>
      <c r="H1255" s="1200" t="s">
        <v>4388</v>
      </c>
      <c r="I1255" s="455">
        <v>705.3</v>
      </c>
      <c r="J1255" s="617"/>
      <c r="K1255" s="617"/>
      <c r="L1255" s="457" t="s">
        <v>1217</v>
      </c>
      <c r="M1255" s="458">
        <v>1</v>
      </c>
      <c r="N1255" s="603">
        <f>'Ch7'!O492</f>
        <v>0</v>
      </c>
      <c r="O1255" s="603">
        <f>M1255*S1255*W1255</f>
        <v>0</v>
      </c>
      <c r="P1255" s="97" t="b">
        <v>0</v>
      </c>
      <c r="Q1255" s="97" t="b">
        <v>1</v>
      </c>
      <c r="R1255" s="125" t="b">
        <v>0</v>
      </c>
      <c r="S1255" s="125" t="b">
        <v>1</v>
      </c>
      <c r="T1255" s="125" t="b">
        <v>0</v>
      </c>
      <c r="U1255" s="125"/>
      <c r="V1255" s="125"/>
      <c r="W1255" s="128"/>
      <c r="X1255" s="139"/>
      <c r="Y1255" s="842" t="str">
        <f>IF(LEN('Ch7'!X492)=0,"None",'Ch7'!X492)</f>
        <v>None</v>
      </c>
      <c r="Z1255" s="1171"/>
      <c r="AB1255" s="790"/>
      <c r="AC1255" s="790" t="b">
        <f>OR(AD1255:AE1255)</f>
        <v>0</v>
      </c>
      <c r="AD1255" s="790" t="b">
        <f>T1255</f>
        <v>0</v>
      </c>
      <c r="AE1255" s="790" t="b">
        <f>AND(R1255,NOT(W1255))</f>
        <v>0</v>
      </c>
      <c r="AF1255" s="1182" t="b">
        <f>AND(AE1255,NOT(Q1255))</f>
        <v>0</v>
      </c>
      <c r="AG1255" s="790"/>
      <c r="AH1255" s="790"/>
      <c r="AI1255" s="790"/>
      <c r="AJ1255" s="790"/>
      <c r="AK1255" s="790"/>
      <c r="AL1255" s="311" t="str">
        <f t="shared" ref="AL1255:AL1256" si="368">SUBSTITUTE(SUBSTITUTE(SUBSTITUTE("vpa"&amp;$B1255&amp;$C1255&amp;$D1255&amp;$E1255&amp;$F1255,".","_"),"(","_"),")","")</f>
        <v>vpa705_3</v>
      </c>
      <c r="AM1255" s="311">
        <f>M1255</f>
        <v>1</v>
      </c>
      <c r="AN1255" s="311" t="str">
        <f t="shared" ref="AN1255:AN1256" si="369">SUBSTITUTE(SUBSTITUTE(SUBSTITUTE("vpc"&amp;$B1255&amp;$C1255&amp;$D1255&amp;$E1255&amp;$F1255,".","_"),"(","_"),")","")</f>
        <v>vpc705_3</v>
      </c>
      <c r="AO1255" s="311">
        <f>O1255</f>
        <v>0</v>
      </c>
      <c r="AP1255" s="311" t="str">
        <f>SUBSTITUTE(SUBSTITUTE(SUBSTITUTE("vch"&amp;$B1255&amp;$C1255&amp;$D1255&amp;$E1255&amp;$F1255,".","_"),"(","_"),")","")</f>
        <v>vch705_3</v>
      </c>
      <c r="AQ1255" s="311">
        <f>W1255</f>
        <v>0</v>
      </c>
      <c r="AR1255" s="311" t="str">
        <f t="shared" ref="AR1255:AR1256" si="370">SUBSTITUTE(SUBSTITUTE(SUBSTITUTE("vnt"&amp;$B1255&amp;$C1255&amp;$D1255&amp;$E1255&amp;$F1255,".","_"),"(","_"),")","")</f>
        <v>vnt705_3</v>
      </c>
      <c r="AS1255" s="311">
        <f>X1255</f>
        <v>0</v>
      </c>
      <c r="AT1255" s="790"/>
      <c r="AU1255" s="790"/>
      <c r="AV1255" s="790"/>
      <c r="AW1255" s="790"/>
      <c r="AX1255" s="790"/>
      <c r="AY1255" s="790"/>
      <c r="AZ1255" s="790"/>
      <c r="BA1255" s="790"/>
      <c r="BB1255" s="790"/>
      <c r="BC1255" s="790"/>
      <c r="BD1255" s="790"/>
      <c r="BE1255" s="790"/>
      <c r="BF1255" s="790"/>
      <c r="BG1255" s="790"/>
      <c r="BH1255" s="790"/>
      <c r="BI1255" s="790"/>
      <c r="BJ1255" s="1184" t="s">
        <v>4763</v>
      </c>
    </row>
    <row r="1256" spans="1:62" ht="15" thickTop="1" x14ac:dyDescent="0.3">
      <c r="A1256" s="1200">
        <v>7</v>
      </c>
      <c r="B1256" s="1210">
        <v>705.4</v>
      </c>
      <c r="C1256" s="1215"/>
      <c r="D1256" s="1203"/>
      <c r="E1256" s="1203"/>
      <c r="F1256" s="1203"/>
      <c r="G1256" s="1202" t="str">
        <f>IF(N1256&gt;0,"P","")</f>
        <v/>
      </c>
      <c r="H1256" s="1200" t="s">
        <v>4386</v>
      </c>
      <c r="I1256" s="200">
        <v>705.4</v>
      </c>
      <c r="J1256" s="616"/>
      <c r="K1256" s="616"/>
      <c r="L1256" s="1331" t="s">
        <v>1218</v>
      </c>
      <c r="M1256" s="1343">
        <v>2</v>
      </c>
      <c r="N1256" s="1336">
        <f>'Ch7'!O493</f>
        <v>0</v>
      </c>
      <c r="O1256" s="1336">
        <f>M1256*S1256*W1256</f>
        <v>0</v>
      </c>
      <c r="P1256" s="97" t="b">
        <v>1</v>
      </c>
      <c r="Q1256" s="97" t="b">
        <v>1</v>
      </c>
      <c r="R1256" s="110" t="b">
        <v>0</v>
      </c>
      <c r="S1256" s="110" t="b">
        <v>1</v>
      </c>
      <c r="T1256" s="110" t="b">
        <v>0</v>
      </c>
      <c r="U1256" s="110"/>
      <c r="V1256" s="110"/>
      <c r="W1256" s="127"/>
      <c r="X1256" s="1327"/>
      <c r="Y1256" s="1525" t="str">
        <f>IF(LEN('Ch7'!X493)=0,"None",'Ch7'!X493)</f>
        <v>None</v>
      </c>
      <c r="Z1256" s="1585"/>
      <c r="AB1256" s="790"/>
      <c r="AC1256" s="790" t="b">
        <f>OR(AD1256:AE1256)</f>
        <v>0</v>
      </c>
      <c r="AD1256" s="790" t="b">
        <f>T1256</f>
        <v>0</v>
      </c>
      <c r="AE1256" s="790" t="b">
        <f>AND(R1256,NOT(W1256))</f>
        <v>0</v>
      </c>
      <c r="AF1256" s="1182" t="b">
        <f>AND(AE1256,NOT(Q1256))</f>
        <v>0</v>
      </c>
      <c r="AG1256" s="790"/>
      <c r="AH1256" s="790"/>
      <c r="AI1256" s="790"/>
      <c r="AJ1256" s="790"/>
      <c r="AK1256" s="790"/>
      <c r="AL1256" s="311" t="str">
        <f t="shared" si="368"/>
        <v>vpa705_4</v>
      </c>
      <c r="AM1256" s="311">
        <f>M1256</f>
        <v>2</v>
      </c>
      <c r="AN1256" s="311" t="str">
        <f t="shared" si="369"/>
        <v>vpc705_4</v>
      </c>
      <c r="AO1256" s="311">
        <f>O1256</f>
        <v>0</v>
      </c>
      <c r="AP1256" s="311" t="str">
        <f>SUBSTITUTE(SUBSTITUTE(SUBSTITUTE("vch"&amp;$B1256&amp;$C1256&amp;$D1256&amp;$E1256&amp;$F1256,".","_"),"(","_"),")","")</f>
        <v>vch705_4</v>
      </c>
      <c r="AQ1256" s="311">
        <f>W1256</f>
        <v>0</v>
      </c>
      <c r="AR1256" s="311" t="str">
        <f t="shared" si="370"/>
        <v>vnt705_4</v>
      </c>
      <c r="AS1256" s="311">
        <f>X1256</f>
        <v>0</v>
      </c>
      <c r="AT1256" s="790"/>
      <c r="AU1256" s="790"/>
      <c r="AV1256" s="790"/>
      <c r="AW1256" s="790"/>
      <c r="AX1256" s="790"/>
      <c r="AY1256" s="790"/>
      <c r="AZ1256" s="790"/>
      <c r="BA1256" s="790"/>
      <c r="BB1256" s="790"/>
      <c r="BC1256" s="790"/>
      <c r="BD1256" s="790"/>
      <c r="BE1256" s="790"/>
      <c r="BF1256" s="790"/>
      <c r="BG1256" s="790"/>
      <c r="BH1256" s="790"/>
      <c r="BI1256" s="790"/>
      <c r="BJ1256" s="1184" t="s">
        <v>4763</v>
      </c>
    </row>
    <row r="1257" spans="1:62" x14ac:dyDescent="0.3">
      <c r="A1257" s="1200">
        <v>7</v>
      </c>
      <c r="B1257" s="1210">
        <v>705.4</v>
      </c>
      <c r="C1257" s="1215"/>
      <c r="D1257" s="1203"/>
      <c r="E1257" s="1203"/>
      <c r="F1257" s="1203"/>
      <c r="G1257" s="1202" t="str">
        <f t="shared" ref="G1257:G1258" si="371">G1256</f>
        <v/>
      </c>
      <c r="H1257" s="1200" t="s">
        <v>4386</v>
      </c>
      <c r="I1257" s="140"/>
      <c r="J1257" s="812"/>
      <c r="K1257" s="812"/>
      <c r="L1257" s="1313"/>
      <c r="M1257" s="1318"/>
      <c r="N1257" s="1308"/>
      <c r="O1257" s="1308"/>
      <c r="P1257" s="97"/>
      <c r="Q1257" s="97"/>
      <c r="R1257" s="97"/>
      <c r="S1257" s="97"/>
      <c r="T1257" s="97"/>
      <c r="U1257" s="97"/>
      <c r="V1257" s="97"/>
      <c r="W1257" s="97"/>
      <c r="X1257" s="1295"/>
      <c r="Y1257" s="1523"/>
      <c r="Z1257" s="1583"/>
      <c r="AB1257" s="790"/>
      <c r="AC1257" s="790"/>
      <c r="AD1257" s="790"/>
      <c r="AE1257" s="790"/>
      <c r="AF1257" s="790"/>
      <c r="AG1257" s="790"/>
      <c r="AH1257" s="790"/>
      <c r="AI1257" s="790"/>
      <c r="AJ1257" s="790"/>
      <c r="AK1257" s="790"/>
      <c r="AL1257" s="790"/>
      <c r="AM1257" s="790"/>
      <c r="AN1257" s="790"/>
      <c r="AO1257" s="790"/>
      <c r="AP1257" s="790"/>
      <c r="AQ1257" s="790"/>
      <c r="AR1257" s="790"/>
      <c r="AS1257" s="790"/>
      <c r="AT1257" s="790"/>
      <c r="AU1257" s="790"/>
      <c r="AV1257" s="790"/>
      <c r="AW1257" s="790"/>
      <c r="AX1257" s="790"/>
      <c r="AY1257" s="790"/>
      <c r="AZ1257" s="790"/>
      <c r="BA1257" s="790"/>
      <c r="BB1257" s="790"/>
      <c r="BC1257" s="790"/>
      <c r="BD1257" s="790"/>
      <c r="BE1257" s="790"/>
      <c r="BF1257" s="790"/>
      <c r="BG1257" s="790"/>
      <c r="BH1257" s="790"/>
      <c r="BI1257" s="790"/>
      <c r="BJ1257" s="1184" t="s">
        <v>4763</v>
      </c>
    </row>
    <row r="1258" spans="1:62" ht="15" thickBot="1" x14ac:dyDescent="0.35">
      <c r="A1258" s="1200">
        <v>7</v>
      </c>
      <c r="B1258" s="1210">
        <v>705.4</v>
      </c>
      <c r="C1258" s="1215"/>
      <c r="D1258" s="1203"/>
      <c r="E1258" s="1203"/>
      <c r="F1258" s="1203"/>
      <c r="G1258" s="1202" t="str">
        <f t="shared" si="371"/>
        <v/>
      </c>
      <c r="H1258" s="1200" t="s">
        <v>4386</v>
      </c>
      <c r="I1258" s="270"/>
      <c r="J1258" s="824"/>
      <c r="K1258" s="824"/>
      <c r="L1258" s="1332"/>
      <c r="M1258" s="1334"/>
      <c r="N1258" s="1315"/>
      <c r="O1258" s="1315"/>
      <c r="P1258" s="104"/>
      <c r="Q1258" s="104"/>
      <c r="R1258" s="104"/>
      <c r="S1258" s="104"/>
      <c r="T1258" s="104"/>
      <c r="U1258" s="104"/>
      <c r="V1258" s="104"/>
      <c r="W1258" s="104"/>
      <c r="X1258" s="1296"/>
      <c r="Y1258" s="1524"/>
      <c r="Z1258" s="1584"/>
      <c r="AB1258" s="790"/>
      <c r="AC1258" s="790"/>
      <c r="AD1258" s="790"/>
      <c r="AE1258" s="790"/>
      <c r="AF1258" s="790"/>
      <c r="AG1258" s="790"/>
      <c r="AH1258" s="790"/>
      <c r="AI1258" s="790"/>
      <c r="AJ1258" s="790"/>
      <c r="AK1258" s="790"/>
      <c r="AL1258" s="790"/>
      <c r="AM1258" s="790"/>
      <c r="AN1258" s="790"/>
      <c r="AO1258" s="790"/>
      <c r="AP1258" s="790"/>
      <c r="AQ1258" s="790"/>
      <c r="AR1258" s="790"/>
      <c r="AS1258" s="790"/>
      <c r="AT1258" s="790"/>
      <c r="AU1258" s="790"/>
      <c r="AV1258" s="790"/>
      <c r="AW1258" s="790"/>
      <c r="AX1258" s="790"/>
      <c r="AY1258" s="790"/>
      <c r="AZ1258" s="790"/>
      <c r="BA1258" s="790"/>
      <c r="BB1258" s="790"/>
      <c r="BC1258" s="790"/>
      <c r="BD1258" s="790"/>
      <c r="BE1258" s="790"/>
      <c r="BF1258" s="790"/>
      <c r="BG1258" s="790"/>
      <c r="BH1258" s="790"/>
      <c r="BI1258" s="790"/>
      <c r="BJ1258" s="1184" t="s">
        <v>4763</v>
      </c>
    </row>
    <row r="1259" spans="1:62" ht="15" thickTop="1" x14ac:dyDescent="0.3">
      <c r="A1259" s="1200">
        <v>7</v>
      </c>
      <c r="B1259" s="1210">
        <v>705.5</v>
      </c>
      <c r="C1259" s="1215"/>
      <c r="D1259" s="1203"/>
      <c r="E1259" s="1203"/>
      <c r="F1259" s="1203"/>
      <c r="G1259" s="1196" t="str">
        <f>IF(COUNTIF(G1260:G1265,"P")&gt;0,"P","")</f>
        <v/>
      </c>
      <c r="H1259" s="1200" t="s">
        <v>4386</v>
      </c>
      <c r="I1259" s="66">
        <v>705.5</v>
      </c>
      <c r="J1259" s="819"/>
      <c r="K1259" s="819"/>
      <c r="L1259" s="829" t="s">
        <v>1219</v>
      </c>
      <c r="M1259" s="799"/>
      <c r="N1259" s="850"/>
      <c r="O1259" s="802"/>
      <c r="P1259" s="1081"/>
      <c r="Q1259" s="1081"/>
      <c r="R1259" s="790"/>
      <c r="S1259" s="790"/>
      <c r="T1259" s="790"/>
      <c r="U1259" s="790"/>
      <c r="V1259" s="790"/>
      <c r="W1259" s="790"/>
      <c r="X1259" s="790"/>
      <c r="Y1259" s="790"/>
      <c r="Z1259" s="1055"/>
      <c r="AB1259" s="790"/>
      <c r="AC1259" s="790"/>
      <c r="AD1259" s="790"/>
      <c r="AE1259" s="790"/>
      <c r="AF1259" s="790"/>
      <c r="AG1259" s="790"/>
      <c r="AH1259" s="790"/>
      <c r="AI1259" s="790"/>
      <c r="AJ1259" s="790"/>
      <c r="AK1259" s="790"/>
      <c r="AL1259" s="790"/>
      <c r="AM1259" s="790"/>
      <c r="AN1259" s="790"/>
      <c r="AO1259" s="790"/>
      <c r="AP1259" s="790"/>
      <c r="AQ1259" s="790"/>
      <c r="AR1259" s="790"/>
      <c r="AS1259" s="790"/>
      <c r="AT1259" s="790"/>
      <c r="AU1259" s="790"/>
      <c r="AV1259" s="790"/>
      <c r="AW1259" s="790"/>
      <c r="AX1259" s="790"/>
      <c r="AY1259" s="790"/>
      <c r="AZ1259" s="790"/>
      <c r="BA1259" s="790"/>
      <c r="BB1259" s="790"/>
      <c r="BC1259" s="790"/>
      <c r="BD1259" s="790"/>
      <c r="BE1259" s="790"/>
      <c r="BF1259" s="790"/>
      <c r="BG1259" s="790"/>
      <c r="BH1259" s="790"/>
      <c r="BI1259" s="790"/>
      <c r="BJ1259" s="1184" t="s">
        <v>4763</v>
      </c>
    </row>
    <row r="1260" spans="1:62" x14ac:dyDescent="0.3">
      <c r="A1260" s="1200">
        <v>7</v>
      </c>
      <c r="B1260" s="1210" t="s">
        <v>1220</v>
      </c>
      <c r="C1260" s="1215"/>
      <c r="D1260" s="1203"/>
      <c r="E1260" s="1203"/>
      <c r="F1260" s="1203"/>
      <c r="G1260" s="1202" t="str">
        <f>IF(N1260&gt;0,"P","")</f>
        <v/>
      </c>
      <c r="H1260" s="1200" t="s">
        <v>4386</v>
      </c>
      <c r="I1260" s="606" t="s">
        <v>1220</v>
      </c>
      <c r="J1260" s="812"/>
      <c r="K1260" s="812"/>
      <c r="L1260" s="1313" t="s">
        <v>1221</v>
      </c>
      <c r="M1260" s="1318">
        <v>1</v>
      </c>
      <c r="N1260" s="1308">
        <f>'Ch7'!O497</f>
        <v>0</v>
      </c>
      <c r="O1260" s="1308">
        <f>M1260*S1260*W1260</f>
        <v>0</v>
      </c>
      <c r="P1260" s="97" t="b">
        <v>1</v>
      </c>
      <c r="Q1260" s="97" t="b">
        <v>1</v>
      </c>
      <c r="R1260" s="790" t="b">
        <v>0</v>
      </c>
      <c r="S1260" s="790" t="b">
        <v>1</v>
      </c>
      <c r="T1260" s="97" t="b">
        <v>0</v>
      </c>
      <c r="U1260" s="790"/>
      <c r="V1260" s="790"/>
      <c r="W1260" s="25"/>
      <c r="X1260" s="1303"/>
      <c r="Y1260" s="1522" t="str">
        <f>IF(LEN('Ch7'!X497)=0,"None",'Ch7'!X497)</f>
        <v>None</v>
      </c>
      <c r="Z1260" s="1586"/>
      <c r="AB1260" s="790"/>
      <c r="AC1260" s="790" t="b">
        <f>OR(AD1260:AE1260)</f>
        <v>0</v>
      </c>
      <c r="AD1260" s="790" t="b">
        <f>T1260</f>
        <v>0</v>
      </c>
      <c r="AE1260" s="790" t="b">
        <f>AND(R1260,NOT(W1260))</f>
        <v>0</v>
      </c>
      <c r="AF1260" s="1182" t="b">
        <f>AND(AE1260,NOT(Q1260))</f>
        <v>0</v>
      </c>
      <c r="AG1260" s="790"/>
      <c r="AH1260" s="790"/>
      <c r="AI1260" s="790"/>
      <c r="AJ1260" s="790"/>
      <c r="AK1260" s="790"/>
      <c r="AL1260" s="311" t="str">
        <f t="shared" ref="AL1260" si="372">SUBSTITUTE(SUBSTITUTE(SUBSTITUTE("vpa"&amp;$B1260&amp;$C1260&amp;$D1260&amp;$E1260&amp;$F1260,".","_"),"(","_"),")","")</f>
        <v>vpa705_5_1</v>
      </c>
      <c r="AM1260" s="311">
        <f>M1260</f>
        <v>1</v>
      </c>
      <c r="AN1260" s="311" t="str">
        <f>SUBSTITUTE(SUBSTITUTE(SUBSTITUTE("vpc"&amp;$B1260&amp;$C1260&amp;$D1260&amp;$E1260&amp;$F1260,".","_"),"(","_"),")","")</f>
        <v>vpc705_5_1</v>
      </c>
      <c r="AO1260" s="311">
        <f>O1260</f>
        <v>0</v>
      </c>
      <c r="AP1260" s="311" t="str">
        <f>SUBSTITUTE(SUBSTITUTE(SUBSTITUTE("vch"&amp;$B1260&amp;$C1260&amp;$D1260&amp;$E1260&amp;$F1260,".","_"),"(","_"),")","")</f>
        <v>vch705_5_1</v>
      </c>
      <c r="AQ1260" s="311">
        <f>W1260</f>
        <v>0</v>
      </c>
      <c r="AR1260" s="311" t="str">
        <f>SUBSTITUTE(SUBSTITUTE(SUBSTITUTE("vnt"&amp;$B1260&amp;$C1260&amp;$D1260&amp;$E1260&amp;$F1260,".","_"),"(","_"),")","")</f>
        <v>vnt705_5_1</v>
      </c>
      <c r="AS1260" s="311">
        <f>X1260</f>
        <v>0</v>
      </c>
      <c r="AT1260" s="790"/>
      <c r="AU1260" s="790"/>
      <c r="AV1260" s="790"/>
      <c r="AW1260" s="790"/>
      <c r="AX1260" s="790"/>
      <c r="AY1260" s="790"/>
      <c r="AZ1260" s="790"/>
      <c r="BA1260" s="790"/>
      <c r="BB1260" s="790"/>
      <c r="BC1260" s="790"/>
      <c r="BD1260" s="790"/>
      <c r="BE1260" s="790"/>
      <c r="BF1260" s="790"/>
      <c r="BG1260" s="790"/>
      <c r="BH1260" s="790"/>
      <c r="BI1260" s="790"/>
      <c r="BJ1260" s="1184" t="s">
        <v>4763</v>
      </c>
    </row>
    <row r="1261" spans="1:62" x14ac:dyDescent="0.3">
      <c r="A1261" s="1200">
        <v>7</v>
      </c>
      <c r="B1261" s="1210" t="s">
        <v>1220</v>
      </c>
      <c r="C1261" s="1215"/>
      <c r="D1261" s="1203"/>
      <c r="E1261" s="1203"/>
      <c r="F1261" s="1203"/>
      <c r="G1261" s="1202" t="str">
        <f t="shared" ref="G1261:G1264" si="373">G1260</f>
        <v/>
      </c>
      <c r="H1261" s="1200" t="s">
        <v>4386</v>
      </c>
      <c r="I1261" s="140"/>
      <c r="J1261" s="812"/>
      <c r="K1261" s="812"/>
      <c r="L1261" s="1313"/>
      <c r="M1261" s="1318"/>
      <c r="N1261" s="1308"/>
      <c r="O1261" s="1308"/>
      <c r="P1261" s="1081"/>
      <c r="Q1261" s="1081"/>
      <c r="R1261" s="790"/>
      <c r="S1261" s="790"/>
      <c r="T1261" s="790"/>
      <c r="U1261" s="790"/>
      <c r="V1261" s="790"/>
      <c r="W1261" s="790"/>
      <c r="X1261" s="1303"/>
      <c r="Y1261" s="1522"/>
      <c r="Z1261" s="1586"/>
      <c r="AB1261" s="790"/>
      <c r="AC1261" s="790"/>
      <c r="AD1261" s="790"/>
      <c r="AE1261" s="790"/>
      <c r="AF1261" s="790"/>
      <c r="AG1261" s="790"/>
      <c r="AH1261" s="790"/>
      <c r="AI1261" s="790"/>
      <c r="AJ1261" s="790"/>
      <c r="AK1261" s="790"/>
      <c r="AL1261" s="790"/>
      <c r="AM1261" s="790"/>
      <c r="AN1261" s="790"/>
      <c r="AO1261" s="790"/>
      <c r="AP1261" s="790"/>
      <c r="AQ1261" s="790"/>
      <c r="AR1261" s="790"/>
      <c r="AS1261" s="790"/>
      <c r="AT1261" s="790"/>
      <c r="AU1261" s="790"/>
      <c r="AV1261" s="790"/>
      <c r="AW1261" s="790"/>
      <c r="AX1261" s="790"/>
      <c r="AY1261" s="790"/>
      <c r="AZ1261" s="790"/>
      <c r="BA1261" s="790"/>
      <c r="BB1261" s="790"/>
      <c r="BC1261" s="790"/>
      <c r="BD1261" s="790"/>
      <c r="BE1261" s="790"/>
      <c r="BF1261" s="790"/>
      <c r="BG1261" s="790"/>
      <c r="BH1261" s="790"/>
      <c r="BI1261" s="790"/>
      <c r="BJ1261" s="1184" t="s">
        <v>4763</v>
      </c>
    </row>
    <row r="1262" spans="1:62" x14ac:dyDescent="0.3">
      <c r="A1262" s="1200">
        <v>7</v>
      </c>
      <c r="B1262" s="1210" t="s">
        <v>1220</v>
      </c>
      <c r="C1262" s="1215"/>
      <c r="D1262" s="1203"/>
      <c r="E1262" s="1203"/>
      <c r="F1262" s="1203"/>
      <c r="G1262" s="1202" t="str">
        <f t="shared" si="373"/>
        <v/>
      </c>
      <c r="H1262" s="1200" t="s">
        <v>4386</v>
      </c>
      <c r="I1262" s="140"/>
      <c r="J1262" s="812"/>
      <c r="K1262" s="812"/>
      <c r="L1262" s="1313"/>
      <c r="M1262" s="1318"/>
      <c r="N1262" s="1308"/>
      <c r="O1262" s="1308"/>
      <c r="P1262" s="1081"/>
      <c r="Q1262" s="1081"/>
      <c r="R1262" s="790"/>
      <c r="S1262" s="790"/>
      <c r="T1262" s="790"/>
      <c r="U1262" s="790"/>
      <c r="V1262" s="790"/>
      <c r="W1262" s="790"/>
      <c r="X1262" s="1303"/>
      <c r="Y1262" s="1522"/>
      <c r="Z1262" s="1586"/>
      <c r="AB1262" s="790"/>
      <c r="AC1262" s="790"/>
      <c r="AD1262" s="790"/>
      <c r="AE1262" s="790"/>
      <c r="AF1262" s="790"/>
      <c r="AG1262" s="790"/>
      <c r="AH1262" s="790"/>
      <c r="AI1262" s="790"/>
      <c r="AJ1262" s="790"/>
      <c r="AK1262" s="790"/>
      <c r="AL1262" s="790"/>
      <c r="AM1262" s="790"/>
      <c r="AN1262" s="790"/>
      <c r="AO1262" s="790"/>
      <c r="AP1262" s="790"/>
      <c r="AQ1262" s="790"/>
      <c r="AR1262" s="790"/>
      <c r="AS1262" s="790"/>
      <c r="AT1262" s="790"/>
      <c r="AU1262" s="790"/>
      <c r="AV1262" s="790"/>
      <c r="AW1262" s="790"/>
      <c r="AX1262" s="790"/>
      <c r="AY1262" s="790"/>
      <c r="AZ1262" s="790"/>
      <c r="BA1262" s="790"/>
      <c r="BB1262" s="790"/>
      <c r="BC1262" s="790"/>
      <c r="BD1262" s="790"/>
      <c r="BE1262" s="790"/>
      <c r="BF1262" s="790"/>
      <c r="BG1262" s="790"/>
      <c r="BH1262" s="790"/>
      <c r="BI1262" s="790"/>
      <c r="BJ1262" s="1184" t="s">
        <v>4763</v>
      </c>
    </row>
    <row r="1263" spans="1:62" x14ac:dyDescent="0.3">
      <c r="A1263" s="1200">
        <v>7</v>
      </c>
      <c r="B1263" s="1210" t="s">
        <v>1220</v>
      </c>
      <c r="C1263" s="1215"/>
      <c r="D1263" s="1203"/>
      <c r="E1263" s="1203"/>
      <c r="F1263" s="1203"/>
      <c r="G1263" s="1202" t="str">
        <f t="shared" si="373"/>
        <v/>
      </c>
      <c r="H1263" s="1200" t="s">
        <v>4386</v>
      </c>
      <c r="I1263" s="140"/>
      <c r="J1263" s="812"/>
      <c r="K1263" s="812"/>
      <c r="L1263" s="1313"/>
      <c r="M1263" s="1318"/>
      <c r="N1263" s="1308"/>
      <c r="O1263" s="1308"/>
      <c r="P1263" s="1081"/>
      <c r="Q1263" s="1081"/>
      <c r="R1263" s="790"/>
      <c r="S1263" s="790"/>
      <c r="T1263" s="790"/>
      <c r="U1263" s="790"/>
      <c r="V1263" s="790"/>
      <c r="W1263" s="790"/>
      <c r="X1263" s="1303"/>
      <c r="Y1263" s="1522"/>
      <c r="Z1263" s="1586"/>
      <c r="AB1263" s="790"/>
      <c r="AC1263" s="790"/>
      <c r="AD1263" s="790"/>
      <c r="AE1263" s="790"/>
      <c r="AF1263" s="790"/>
      <c r="AG1263" s="790"/>
      <c r="AH1263" s="790"/>
      <c r="AI1263" s="790"/>
      <c r="AJ1263" s="790"/>
      <c r="AK1263" s="790"/>
      <c r="AL1263" s="790"/>
      <c r="AM1263" s="790"/>
      <c r="AN1263" s="790"/>
      <c r="AO1263" s="790"/>
      <c r="AP1263" s="790"/>
      <c r="AQ1263" s="790"/>
      <c r="AR1263" s="790"/>
      <c r="AS1263" s="790"/>
      <c r="AT1263" s="790"/>
      <c r="AU1263" s="790"/>
      <c r="AV1263" s="790"/>
      <c r="AW1263" s="790"/>
      <c r="AX1263" s="790"/>
      <c r="AY1263" s="790"/>
      <c r="AZ1263" s="790"/>
      <c r="BA1263" s="790"/>
      <c r="BB1263" s="790"/>
      <c r="BC1263" s="790"/>
      <c r="BD1263" s="790"/>
      <c r="BE1263" s="790"/>
      <c r="BF1263" s="790"/>
      <c r="BG1263" s="790"/>
      <c r="BH1263" s="790"/>
      <c r="BI1263" s="790"/>
      <c r="BJ1263" s="1184" t="s">
        <v>4763</v>
      </c>
    </row>
    <row r="1264" spans="1:62" x14ac:dyDescent="0.3">
      <c r="A1264" s="1200">
        <v>7</v>
      </c>
      <c r="B1264" s="1210" t="s">
        <v>1220</v>
      </c>
      <c r="C1264" s="1215"/>
      <c r="D1264" s="1203"/>
      <c r="E1264" s="1203"/>
      <c r="F1264" s="1203"/>
      <c r="G1264" s="1202" t="str">
        <f t="shared" si="373"/>
        <v/>
      </c>
      <c r="H1264" s="1200" t="s">
        <v>4386</v>
      </c>
      <c r="I1264" s="238"/>
      <c r="J1264" s="813"/>
      <c r="K1264" s="813"/>
      <c r="L1264" s="1350"/>
      <c r="M1264" s="1319"/>
      <c r="N1264" s="1309"/>
      <c r="O1264" s="1309"/>
      <c r="P1264" s="1081"/>
      <c r="Q1264" s="1081"/>
      <c r="R1264" s="790"/>
      <c r="S1264" s="790"/>
      <c r="T1264" s="790"/>
      <c r="U1264" s="790"/>
      <c r="V1264" s="790"/>
      <c r="W1264" s="790"/>
      <c r="X1264" s="1303"/>
      <c r="Y1264" s="1522"/>
      <c r="Z1264" s="1586"/>
      <c r="AB1264" s="790"/>
      <c r="AC1264" s="790"/>
      <c r="AD1264" s="790"/>
      <c r="AE1264" s="790"/>
      <c r="AF1264" s="790"/>
      <c r="AG1264" s="790"/>
      <c r="AH1264" s="790"/>
      <c r="AI1264" s="790"/>
      <c r="AJ1264" s="790"/>
      <c r="AK1264" s="790"/>
      <c r="AL1264" s="790"/>
      <c r="AM1264" s="790"/>
      <c r="AN1264" s="790"/>
      <c r="AO1264" s="790"/>
      <c r="AP1264" s="790"/>
      <c r="AQ1264" s="790"/>
      <c r="AR1264" s="790"/>
      <c r="AS1264" s="790"/>
      <c r="AT1264" s="790"/>
      <c r="AU1264" s="790"/>
      <c r="AV1264" s="790"/>
      <c r="AW1264" s="790"/>
      <c r="AX1264" s="790"/>
      <c r="AY1264" s="790"/>
      <c r="AZ1264" s="790"/>
      <c r="BA1264" s="790"/>
      <c r="BB1264" s="790"/>
      <c r="BC1264" s="790"/>
      <c r="BD1264" s="790"/>
      <c r="BE1264" s="790"/>
      <c r="BF1264" s="790"/>
      <c r="BG1264" s="790"/>
      <c r="BH1264" s="790"/>
      <c r="BI1264" s="790"/>
      <c r="BJ1264" s="1184" t="s">
        <v>4763</v>
      </c>
    </row>
    <row r="1265" spans="1:62" x14ac:dyDescent="0.3">
      <c r="A1265" s="1200">
        <v>7</v>
      </c>
      <c r="B1265" s="1210" t="s">
        <v>1222</v>
      </c>
      <c r="C1265" s="1215"/>
      <c r="D1265" s="1203"/>
      <c r="E1265" s="1203"/>
      <c r="F1265" s="1203"/>
      <c r="G1265" s="1202" t="str">
        <f>IF(N1265&gt;0,"P","")</f>
        <v/>
      </c>
      <c r="H1265" s="1200" t="s">
        <v>4388</v>
      </c>
      <c r="I1265" s="68" t="s">
        <v>1222</v>
      </c>
      <c r="J1265" s="819"/>
      <c r="K1265" s="819"/>
      <c r="L1265" s="1292" t="s">
        <v>1223</v>
      </c>
      <c r="M1265" s="1335">
        <v>3</v>
      </c>
      <c r="N1265" s="1310">
        <f>'Ch7'!O502</f>
        <v>0</v>
      </c>
      <c r="O1265" s="1310">
        <f>M1265*S1265*W1265</f>
        <v>0</v>
      </c>
      <c r="P1265" s="97" t="b">
        <v>0</v>
      </c>
      <c r="Q1265" s="97" t="b">
        <v>1</v>
      </c>
      <c r="R1265" s="790" t="b">
        <v>0</v>
      </c>
      <c r="S1265" s="790" t="b">
        <v>1</v>
      </c>
      <c r="T1265" s="97" t="b">
        <v>0</v>
      </c>
      <c r="U1265" s="790"/>
      <c r="V1265" s="790"/>
      <c r="W1265" s="25"/>
      <c r="X1265" s="1303"/>
      <c r="Y1265" s="1522" t="str">
        <f>IF(LEN('Ch7'!X502)=0,"None",'Ch7'!X502)</f>
        <v>None</v>
      </c>
      <c r="Z1265" s="1586"/>
      <c r="AB1265" s="790"/>
      <c r="AC1265" s="790" t="b">
        <f>OR(AD1265:AE1265)</f>
        <v>0</v>
      </c>
      <c r="AD1265" s="790" t="b">
        <f>T1265</f>
        <v>0</v>
      </c>
      <c r="AE1265" s="790" t="b">
        <f>AND(R1265,NOT(W1265))</f>
        <v>0</v>
      </c>
      <c r="AF1265" s="1182" t="b">
        <f>AND(AE1265,NOT(Q1265))</f>
        <v>0</v>
      </c>
      <c r="AG1265" s="790"/>
      <c r="AH1265" s="790"/>
      <c r="AI1265" s="790"/>
      <c r="AJ1265" s="790"/>
      <c r="AK1265" s="790"/>
      <c r="AL1265" s="311" t="str">
        <f t="shared" ref="AL1265" si="374">SUBSTITUTE(SUBSTITUTE(SUBSTITUTE("vpa"&amp;$B1265&amp;$C1265&amp;$D1265&amp;$E1265&amp;$F1265,".","_"),"(","_"),")","")</f>
        <v>vpa705_5_2</v>
      </c>
      <c r="AM1265" s="311">
        <f>M1265</f>
        <v>3</v>
      </c>
      <c r="AN1265" s="311" t="str">
        <f>SUBSTITUTE(SUBSTITUTE(SUBSTITUTE("vpc"&amp;$B1265&amp;$C1265&amp;$D1265&amp;$E1265&amp;$F1265,".","_"),"(","_"),")","")</f>
        <v>vpc705_5_2</v>
      </c>
      <c r="AO1265" s="311">
        <f>O1265</f>
        <v>0</v>
      </c>
      <c r="AP1265" s="311" t="str">
        <f>SUBSTITUTE(SUBSTITUTE(SUBSTITUTE("vch"&amp;$B1265&amp;$C1265&amp;$D1265&amp;$E1265&amp;$F1265,".","_"),"(","_"),")","")</f>
        <v>vch705_5_2</v>
      </c>
      <c r="AQ1265" s="311">
        <f>W1265</f>
        <v>0</v>
      </c>
      <c r="AR1265" s="311" t="str">
        <f>SUBSTITUTE("vnt"&amp;B1265&amp;C1265&amp;D1265&amp;E1265&amp;F1265,".","_")</f>
        <v>vnt705_5_2</v>
      </c>
      <c r="AS1265" s="311">
        <f>X1265</f>
        <v>0</v>
      </c>
      <c r="AT1265" s="790"/>
      <c r="AU1265" s="790"/>
      <c r="AV1265" s="790"/>
      <c r="AW1265" s="790"/>
      <c r="AX1265" s="790"/>
      <c r="AY1265" s="790"/>
      <c r="AZ1265" s="790"/>
      <c r="BA1265" s="790"/>
      <c r="BB1265" s="790"/>
      <c r="BC1265" s="790"/>
      <c r="BD1265" s="790"/>
      <c r="BE1265" s="790"/>
      <c r="BF1265" s="790"/>
      <c r="BG1265" s="790"/>
      <c r="BH1265" s="790"/>
      <c r="BI1265" s="790"/>
      <c r="BJ1265" s="1184" t="s">
        <v>4763</v>
      </c>
    </row>
    <row r="1266" spans="1:62" x14ac:dyDescent="0.3">
      <c r="A1266" s="1200">
        <v>7</v>
      </c>
      <c r="B1266" s="1210" t="s">
        <v>1222</v>
      </c>
      <c r="C1266" s="1215"/>
      <c r="D1266" s="1203"/>
      <c r="E1266" s="1203"/>
      <c r="F1266" s="1203"/>
      <c r="G1266" s="1202" t="str">
        <f t="shared" ref="G1266:G1272" si="375">G1265</f>
        <v/>
      </c>
      <c r="H1266" s="1200" t="s">
        <v>4388</v>
      </c>
      <c r="I1266" s="4"/>
      <c r="J1266" s="819"/>
      <c r="K1266" s="819"/>
      <c r="L1266" s="1292"/>
      <c r="M1266" s="1335"/>
      <c r="N1266" s="1310"/>
      <c r="O1266" s="1310"/>
      <c r="P1266" s="1081"/>
      <c r="Q1266" s="1081"/>
      <c r="R1266" s="790"/>
      <c r="S1266" s="790"/>
      <c r="T1266" s="790"/>
      <c r="U1266" s="790"/>
      <c r="V1266" s="790"/>
      <c r="W1266" s="790"/>
      <c r="X1266" s="1303"/>
      <c r="Y1266" s="1522"/>
      <c r="Z1266" s="1586"/>
      <c r="AB1266" s="790"/>
      <c r="AC1266" s="790"/>
      <c r="AD1266" s="790"/>
      <c r="AE1266" s="790"/>
      <c r="AF1266" s="790"/>
      <c r="AG1266" s="790"/>
      <c r="AH1266" s="790"/>
      <c r="AI1266" s="790"/>
      <c r="AJ1266" s="790"/>
      <c r="AK1266" s="790"/>
      <c r="AL1266" s="790"/>
      <c r="AM1266" s="790"/>
      <c r="AN1266" s="790"/>
      <c r="AO1266" s="790"/>
      <c r="AP1266" s="790"/>
      <c r="AQ1266" s="790"/>
      <c r="AR1266" s="790"/>
      <c r="AS1266" s="790"/>
      <c r="AT1266" s="790"/>
      <c r="AU1266" s="790"/>
      <c r="AV1266" s="790"/>
      <c r="AW1266" s="790"/>
      <c r="AX1266" s="790"/>
      <c r="AY1266" s="790"/>
      <c r="AZ1266" s="790"/>
      <c r="BA1266" s="790"/>
      <c r="BB1266" s="790"/>
      <c r="BC1266" s="790"/>
      <c r="BD1266" s="790"/>
      <c r="BE1266" s="790"/>
      <c r="BF1266" s="790"/>
      <c r="BG1266" s="790"/>
      <c r="BH1266" s="790"/>
      <c r="BI1266" s="790"/>
      <c r="BJ1266" s="1184" t="s">
        <v>4763</v>
      </c>
    </row>
    <row r="1267" spans="1:62" x14ac:dyDescent="0.3">
      <c r="A1267" s="1200">
        <v>7</v>
      </c>
      <c r="B1267" s="1210" t="s">
        <v>1222</v>
      </c>
      <c r="C1267" s="1215"/>
      <c r="D1267" s="1203" t="s">
        <v>271</v>
      </c>
      <c r="E1267" s="1203"/>
      <c r="F1267" s="1203"/>
      <c r="G1267" s="1202" t="str">
        <f t="shared" si="375"/>
        <v/>
      </c>
      <c r="H1267" s="1200" t="s">
        <v>4388</v>
      </c>
      <c r="I1267" s="4"/>
      <c r="J1267" s="264" t="s">
        <v>271</v>
      </c>
      <c r="K1267" s="819"/>
      <c r="L1267" s="819" t="s">
        <v>1224</v>
      </c>
      <c r="M1267" s="799"/>
      <c r="N1267" s="850"/>
      <c r="O1267" s="802"/>
      <c r="P1267" s="1081"/>
      <c r="Q1267" s="1081"/>
      <c r="R1267" s="790"/>
      <c r="S1267" s="790"/>
      <c r="T1267" s="790"/>
      <c r="U1267" s="790"/>
      <c r="V1267" s="790"/>
      <c r="W1267" s="790"/>
      <c r="X1267" s="809"/>
      <c r="Y1267" s="841" t="str">
        <f>IF(LEN('Ch7'!X504)=0,"None",'Ch7'!X504)</f>
        <v>None</v>
      </c>
      <c r="Z1267" s="1169"/>
      <c r="AB1267" s="790"/>
      <c r="AC1267" s="790"/>
      <c r="AD1267" s="790"/>
      <c r="AE1267" s="790"/>
      <c r="AF1267" s="790"/>
      <c r="AG1267" s="790"/>
      <c r="AH1267" s="790"/>
      <c r="AI1267" s="790"/>
      <c r="AJ1267" s="790"/>
      <c r="AK1267" s="790"/>
      <c r="AL1267" s="790"/>
      <c r="AM1267" s="790"/>
      <c r="AN1267" s="790"/>
      <c r="AO1267" s="790"/>
      <c r="AP1267" s="790"/>
      <c r="AQ1267" s="790"/>
      <c r="AR1267" s="311" t="str">
        <f t="shared" ref="AR1267:AR1272" si="376">SUBSTITUTE(SUBSTITUTE(SUBSTITUTE("vnt"&amp;$B1267&amp;$C1267&amp;$D1267&amp;$E1267&amp;$F1267,".","_"),"(","_"),")","")</f>
        <v>vnt705_5_2_1</v>
      </c>
      <c r="AS1267" s="311">
        <f t="shared" ref="AS1267:AS1272" si="377">X1267</f>
        <v>0</v>
      </c>
      <c r="AT1267" s="790"/>
      <c r="AU1267" s="790"/>
      <c r="AV1267" s="790"/>
      <c r="AW1267" s="790"/>
      <c r="AX1267" s="790"/>
      <c r="AY1267" s="790"/>
      <c r="AZ1267" s="790"/>
      <c r="BA1267" s="790"/>
      <c r="BB1267" s="790"/>
      <c r="BC1267" s="790"/>
      <c r="BD1267" s="790"/>
      <c r="BE1267" s="790"/>
      <c r="BF1267" s="790"/>
      <c r="BG1267" s="790"/>
      <c r="BH1267" s="790"/>
      <c r="BI1267" s="790"/>
      <c r="BJ1267" s="1184" t="s">
        <v>4763</v>
      </c>
    </row>
    <row r="1268" spans="1:62" x14ac:dyDescent="0.3">
      <c r="A1268" s="1200">
        <v>7</v>
      </c>
      <c r="B1268" s="1210" t="s">
        <v>1222</v>
      </c>
      <c r="C1268" s="1215"/>
      <c r="D1268" s="1203" t="s">
        <v>273</v>
      </c>
      <c r="E1268" s="1203"/>
      <c r="F1268" s="1203"/>
      <c r="G1268" s="1202" t="str">
        <f t="shared" si="375"/>
        <v/>
      </c>
      <c r="H1268" s="1200" t="s">
        <v>4388</v>
      </c>
      <c r="I1268" s="4"/>
      <c r="J1268" s="644" t="s">
        <v>273</v>
      </c>
      <c r="K1268" s="813"/>
      <c r="L1268" s="813" t="s">
        <v>1225</v>
      </c>
      <c r="M1268" s="799"/>
      <c r="N1268" s="850"/>
      <c r="O1268" s="802"/>
      <c r="P1268" s="1081"/>
      <c r="Q1268" s="1081"/>
      <c r="R1268" s="790"/>
      <c r="S1268" s="790"/>
      <c r="T1268" s="790"/>
      <c r="U1268" s="790"/>
      <c r="V1268" s="790"/>
      <c r="W1268" s="790"/>
      <c r="X1268" s="809"/>
      <c r="Y1268" s="841" t="str">
        <f>IF(LEN('Ch7'!X505)=0,"None",'Ch7'!X505)</f>
        <v>None</v>
      </c>
      <c r="Z1268" s="1169"/>
      <c r="AB1268" s="790"/>
      <c r="AC1268" s="790"/>
      <c r="AD1268" s="790"/>
      <c r="AE1268" s="790"/>
      <c r="AF1268" s="790"/>
      <c r="AG1268" s="790"/>
      <c r="AH1268" s="790"/>
      <c r="AI1268" s="790"/>
      <c r="AJ1268" s="790"/>
      <c r="AK1268" s="790"/>
      <c r="AL1268" s="790"/>
      <c r="AM1268" s="790"/>
      <c r="AN1268" s="790"/>
      <c r="AO1268" s="790"/>
      <c r="AP1268" s="790"/>
      <c r="AQ1268" s="790"/>
      <c r="AR1268" s="311" t="str">
        <f t="shared" si="376"/>
        <v>vnt705_5_2_2</v>
      </c>
      <c r="AS1268" s="311">
        <f t="shared" si="377"/>
        <v>0</v>
      </c>
      <c r="AT1268" s="790"/>
      <c r="AU1268" s="790"/>
      <c r="AV1268" s="790"/>
      <c r="AW1268" s="790"/>
      <c r="AX1268" s="790"/>
      <c r="AY1268" s="790"/>
      <c r="AZ1268" s="790"/>
      <c r="BA1268" s="790"/>
      <c r="BB1268" s="790"/>
      <c r="BC1268" s="790"/>
      <c r="BD1268" s="790"/>
      <c r="BE1268" s="790"/>
      <c r="BF1268" s="790"/>
      <c r="BG1268" s="790"/>
      <c r="BH1268" s="790"/>
      <c r="BI1268" s="790"/>
      <c r="BJ1268" s="1184" t="s">
        <v>4763</v>
      </c>
    </row>
    <row r="1269" spans="1:62" x14ac:dyDescent="0.3">
      <c r="A1269" s="1200">
        <v>7</v>
      </c>
      <c r="B1269" s="1210" t="s">
        <v>1222</v>
      </c>
      <c r="C1269" s="1215"/>
      <c r="D1269" s="1203" t="s">
        <v>275</v>
      </c>
      <c r="E1269" s="1203"/>
      <c r="F1269" s="1203"/>
      <c r="G1269" s="1202" t="str">
        <f t="shared" si="375"/>
        <v/>
      </c>
      <c r="H1269" s="1200" t="s">
        <v>4388</v>
      </c>
      <c r="I1269" s="4"/>
      <c r="J1269" s="656" t="s">
        <v>275</v>
      </c>
      <c r="K1269" s="365"/>
      <c r="L1269" s="365" t="s">
        <v>1226</v>
      </c>
      <c r="M1269" s="799"/>
      <c r="N1269" s="850"/>
      <c r="O1269" s="802"/>
      <c r="P1269" s="1081"/>
      <c r="Q1269" s="1081"/>
      <c r="R1269" s="790"/>
      <c r="S1269" s="790"/>
      <c r="T1269" s="790"/>
      <c r="U1269" s="790"/>
      <c r="V1269" s="790"/>
      <c r="W1269" s="790"/>
      <c r="X1269" s="809"/>
      <c r="Y1269" s="841" t="str">
        <f>IF(LEN('Ch7'!X506)=0,"None",'Ch7'!X506)</f>
        <v>None</v>
      </c>
      <c r="Z1269" s="1169"/>
      <c r="AB1269" s="790"/>
      <c r="AC1269" s="790"/>
      <c r="AD1269" s="790"/>
      <c r="AE1269" s="790"/>
      <c r="AF1269" s="790"/>
      <c r="AG1269" s="790"/>
      <c r="AH1269" s="790"/>
      <c r="AI1269" s="790"/>
      <c r="AJ1269" s="790"/>
      <c r="AK1269" s="790"/>
      <c r="AL1269" s="790"/>
      <c r="AM1269" s="790"/>
      <c r="AN1269" s="790"/>
      <c r="AO1269" s="790"/>
      <c r="AP1269" s="790"/>
      <c r="AQ1269" s="790"/>
      <c r="AR1269" s="311" t="str">
        <f t="shared" si="376"/>
        <v>vnt705_5_2_3</v>
      </c>
      <c r="AS1269" s="311">
        <f t="shared" si="377"/>
        <v>0</v>
      </c>
      <c r="AT1269" s="790"/>
      <c r="AU1269" s="790"/>
      <c r="AV1269" s="790"/>
      <c r="AW1269" s="790"/>
      <c r="AX1269" s="790"/>
      <c r="AY1269" s="790"/>
      <c r="AZ1269" s="790"/>
      <c r="BA1269" s="790"/>
      <c r="BB1269" s="790"/>
      <c r="BC1269" s="790"/>
      <c r="BD1269" s="790"/>
      <c r="BE1269" s="790"/>
      <c r="BF1269" s="790"/>
      <c r="BG1269" s="790"/>
      <c r="BH1269" s="790"/>
      <c r="BI1269" s="790"/>
      <c r="BJ1269" s="1184" t="s">
        <v>4763</v>
      </c>
    </row>
    <row r="1270" spans="1:62" x14ac:dyDescent="0.3">
      <c r="A1270" s="1200">
        <v>7</v>
      </c>
      <c r="B1270" s="1210" t="s">
        <v>1222</v>
      </c>
      <c r="C1270" s="1215"/>
      <c r="D1270" s="1203" t="s">
        <v>285</v>
      </c>
      <c r="E1270" s="1203"/>
      <c r="F1270" s="1203"/>
      <c r="G1270" s="1202" t="str">
        <f t="shared" si="375"/>
        <v/>
      </c>
      <c r="H1270" s="1200" t="s">
        <v>4388</v>
      </c>
      <c r="I1270" s="140"/>
      <c r="J1270" s="656" t="s">
        <v>285</v>
      </c>
      <c r="K1270" s="365"/>
      <c r="L1270" s="365" t="s">
        <v>1227</v>
      </c>
      <c r="M1270" s="795"/>
      <c r="N1270" s="854"/>
      <c r="O1270" s="803"/>
      <c r="P1270" s="97"/>
      <c r="Q1270" s="97"/>
      <c r="R1270" s="97"/>
      <c r="S1270" s="97"/>
      <c r="T1270" s="97"/>
      <c r="U1270" s="97"/>
      <c r="V1270" s="97"/>
      <c r="W1270" s="97"/>
      <c r="X1270" s="793"/>
      <c r="Y1270" s="841" t="str">
        <f>IF(LEN('Ch7'!X507)=0,"None",'Ch7'!X507)</f>
        <v>None</v>
      </c>
      <c r="Z1270" s="1169"/>
      <c r="AB1270" s="790"/>
      <c r="AC1270" s="790"/>
      <c r="AD1270" s="790"/>
      <c r="AE1270" s="790"/>
      <c r="AF1270" s="790"/>
      <c r="AG1270" s="790"/>
      <c r="AH1270" s="790"/>
      <c r="AI1270" s="790"/>
      <c r="AJ1270" s="790"/>
      <c r="AK1270" s="790"/>
      <c r="AL1270" s="790"/>
      <c r="AM1270" s="790"/>
      <c r="AN1270" s="790"/>
      <c r="AO1270" s="790"/>
      <c r="AP1270" s="790"/>
      <c r="AQ1270" s="790"/>
      <c r="AR1270" s="311" t="str">
        <f t="shared" si="376"/>
        <v>vnt705_5_2_4</v>
      </c>
      <c r="AS1270" s="311">
        <f t="shared" si="377"/>
        <v>0</v>
      </c>
      <c r="AT1270" s="790"/>
      <c r="AU1270" s="790"/>
      <c r="AV1270" s="790"/>
      <c r="AW1270" s="790"/>
      <c r="AX1270" s="790"/>
      <c r="AY1270" s="790"/>
      <c r="AZ1270" s="790"/>
      <c r="BA1270" s="790"/>
      <c r="BB1270" s="790"/>
      <c r="BC1270" s="790"/>
      <c r="BD1270" s="790"/>
      <c r="BE1270" s="790"/>
      <c r="BF1270" s="790"/>
      <c r="BG1270" s="790"/>
      <c r="BH1270" s="790"/>
      <c r="BI1270" s="790"/>
      <c r="BJ1270" s="1184" t="s">
        <v>4763</v>
      </c>
    </row>
    <row r="1271" spans="1:62" x14ac:dyDescent="0.3">
      <c r="A1271" s="1200">
        <v>7</v>
      </c>
      <c r="B1271" s="1210" t="s">
        <v>1222</v>
      </c>
      <c r="C1271" s="1215"/>
      <c r="D1271" s="1203" t="s">
        <v>291</v>
      </c>
      <c r="E1271" s="1203"/>
      <c r="F1271" s="1203"/>
      <c r="G1271" s="1202" t="str">
        <f t="shared" si="375"/>
        <v/>
      </c>
      <c r="H1271" s="1200" t="s">
        <v>4388</v>
      </c>
      <c r="I1271" s="140"/>
      <c r="J1271" s="656" t="s">
        <v>291</v>
      </c>
      <c r="K1271" s="365"/>
      <c r="L1271" s="365" t="s">
        <v>1228</v>
      </c>
      <c r="M1271" s="795"/>
      <c r="N1271" s="854"/>
      <c r="O1271" s="803"/>
      <c r="P1271" s="97"/>
      <c r="Q1271" s="97"/>
      <c r="R1271" s="97"/>
      <c r="S1271" s="97"/>
      <c r="T1271" s="97"/>
      <c r="U1271" s="97"/>
      <c r="V1271" s="97"/>
      <c r="W1271" s="97"/>
      <c r="X1271" s="793"/>
      <c r="Y1271" s="841" t="str">
        <f>IF(LEN('Ch7'!X508)=0,"None",'Ch7'!X508)</f>
        <v>None</v>
      </c>
      <c r="Z1271" s="1169"/>
      <c r="AB1271" s="790"/>
      <c r="AC1271" s="790"/>
      <c r="AD1271" s="790"/>
      <c r="AE1271" s="790"/>
      <c r="AF1271" s="790"/>
      <c r="AG1271" s="790"/>
      <c r="AH1271" s="790"/>
      <c r="AI1271" s="790"/>
      <c r="AJ1271" s="790"/>
      <c r="AK1271" s="790"/>
      <c r="AL1271" s="790"/>
      <c r="AM1271" s="790"/>
      <c r="AN1271" s="790"/>
      <c r="AO1271" s="790"/>
      <c r="AP1271" s="790"/>
      <c r="AQ1271" s="790"/>
      <c r="AR1271" s="311" t="str">
        <f t="shared" si="376"/>
        <v>vnt705_5_2_5</v>
      </c>
      <c r="AS1271" s="311">
        <f t="shared" si="377"/>
        <v>0</v>
      </c>
      <c r="AT1271" s="790"/>
      <c r="AU1271" s="790"/>
      <c r="AV1271" s="790"/>
      <c r="AW1271" s="790"/>
      <c r="AX1271" s="790"/>
      <c r="AY1271" s="790"/>
      <c r="AZ1271" s="790"/>
      <c r="BA1271" s="790"/>
      <c r="BB1271" s="790"/>
      <c r="BC1271" s="790"/>
      <c r="BD1271" s="790"/>
      <c r="BE1271" s="790"/>
      <c r="BF1271" s="790"/>
      <c r="BG1271" s="790"/>
      <c r="BH1271" s="790"/>
      <c r="BI1271" s="790"/>
      <c r="BJ1271" s="1184" t="s">
        <v>4763</v>
      </c>
    </row>
    <row r="1272" spans="1:62" ht="15" thickBot="1" x14ac:dyDescent="0.35">
      <c r="A1272" s="1200">
        <v>7</v>
      </c>
      <c r="B1272" s="1210" t="s">
        <v>1222</v>
      </c>
      <c r="C1272" s="1215"/>
      <c r="D1272" s="1203" t="s">
        <v>293</v>
      </c>
      <c r="E1272" s="1203"/>
      <c r="F1272" s="1203"/>
      <c r="G1272" s="1202" t="str">
        <f t="shared" si="375"/>
        <v/>
      </c>
      <c r="H1272" s="1200" t="s">
        <v>4388</v>
      </c>
      <c r="I1272" s="270"/>
      <c r="J1272" s="646" t="s">
        <v>293</v>
      </c>
      <c r="K1272" s="824"/>
      <c r="L1272" s="824" t="s">
        <v>1229</v>
      </c>
      <c r="M1272" s="798"/>
      <c r="N1272" s="858"/>
      <c r="O1272" s="801"/>
      <c r="P1272" s="104"/>
      <c r="Q1272" s="104"/>
      <c r="R1272" s="104"/>
      <c r="S1272" s="104"/>
      <c r="T1272" s="104"/>
      <c r="U1272" s="104"/>
      <c r="V1272" s="104"/>
      <c r="W1272" s="104"/>
      <c r="X1272" s="794"/>
      <c r="Y1272" s="840" t="str">
        <f>IF(LEN('Ch7'!X509)=0,"None",'Ch7'!X509)</f>
        <v>None</v>
      </c>
      <c r="Z1272" s="1173"/>
      <c r="AB1272" s="790"/>
      <c r="AC1272" s="790"/>
      <c r="AD1272" s="790"/>
      <c r="AE1272" s="790"/>
      <c r="AF1272" s="790"/>
      <c r="AG1272" s="790"/>
      <c r="AH1272" s="790"/>
      <c r="AI1272" s="790"/>
      <c r="AJ1272" s="790"/>
      <c r="AK1272" s="790"/>
      <c r="AL1272" s="790"/>
      <c r="AM1272" s="790"/>
      <c r="AN1272" s="790"/>
      <c r="AO1272" s="790"/>
      <c r="AP1272" s="790"/>
      <c r="AQ1272" s="790"/>
      <c r="AR1272" s="311" t="str">
        <f t="shared" si="376"/>
        <v>vnt705_5_2_6</v>
      </c>
      <c r="AS1272" s="311">
        <f t="shared" si="377"/>
        <v>0</v>
      </c>
      <c r="AT1272" s="790"/>
      <c r="AU1272" s="790"/>
      <c r="AV1272" s="790"/>
      <c r="AW1272" s="790"/>
      <c r="AX1272" s="790"/>
      <c r="AY1272" s="790"/>
      <c r="AZ1272" s="790"/>
      <c r="BA1272" s="790"/>
      <c r="BB1272" s="790"/>
      <c r="BC1272" s="790"/>
      <c r="BD1272" s="790"/>
      <c r="BE1272" s="790"/>
      <c r="BF1272" s="790"/>
      <c r="BG1272" s="790"/>
      <c r="BH1272" s="790"/>
      <c r="BI1272" s="790"/>
      <c r="BJ1272" s="1184" t="s">
        <v>4763</v>
      </c>
    </row>
    <row r="1273" spans="1:62" ht="15" thickTop="1" x14ac:dyDescent="0.3">
      <c r="A1273" s="1200">
        <v>7</v>
      </c>
      <c r="B1273" s="1210">
        <v>705.6</v>
      </c>
      <c r="C1273" s="1215"/>
      <c r="D1273" s="1203"/>
      <c r="E1273" s="1203"/>
      <c r="F1273" s="1203"/>
      <c r="G1273" s="1196" t="str">
        <f ca="1">IF(COUNTIF(G1274:G1319,"P")&gt;0,"P","")</f>
        <v>P</v>
      </c>
      <c r="H1273" s="1200" t="s">
        <v>4386</v>
      </c>
      <c r="I1273" s="152">
        <v>705.6</v>
      </c>
      <c r="J1273" s="819"/>
      <c r="K1273" s="819"/>
      <c r="L1273" s="829" t="s">
        <v>1230</v>
      </c>
      <c r="M1273" s="799"/>
      <c r="N1273" s="850"/>
      <c r="O1273" s="802"/>
      <c r="P1273" s="1081"/>
      <c r="Q1273" s="1081"/>
      <c r="R1273" s="790"/>
      <c r="S1273" s="790"/>
      <c r="T1273" s="790"/>
      <c r="U1273" s="790"/>
      <c r="V1273" s="790"/>
      <c r="W1273" s="790"/>
      <c r="X1273" s="790"/>
      <c r="Y1273" s="790"/>
      <c r="Z1273" s="1055"/>
      <c r="AB1273" s="790"/>
      <c r="AC1273" s="790"/>
      <c r="AD1273" s="790"/>
      <c r="AE1273" s="790"/>
      <c r="AF1273" s="790"/>
      <c r="AG1273" s="790"/>
      <c r="AH1273" s="790"/>
      <c r="AI1273" s="790"/>
      <c r="AJ1273" s="790"/>
      <c r="AK1273" s="790"/>
      <c r="AL1273" s="790"/>
      <c r="AM1273" s="790"/>
      <c r="AN1273" s="790"/>
      <c r="AO1273" s="790"/>
      <c r="AP1273" s="790"/>
      <c r="AQ1273" s="790"/>
      <c r="AR1273" s="790"/>
      <c r="AS1273" s="790"/>
      <c r="AT1273" s="790"/>
      <c r="AU1273" s="790"/>
      <c r="AV1273" s="790"/>
      <c r="AW1273" s="790"/>
      <c r="AX1273" s="790"/>
      <c r="AY1273" s="790"/>
      <c r="AZ1273" s="790"/>
      <c r="BA1273" s="790"/>
      <c r="BB1273" s="790"/>
      <c r="BC1273" s="790"/>
      <c r="BD1273" s="790"/>
      <c r="BE1273" s="790"/>
      <c r="BF1273" s="790"/>
      <c r="BG1273" s="790"/>
      <c r="BH1273" s="790"/>
      <c r="BI1273" s="790"/>
      <c r="BJ1273" s="1184" t="s">
        <v>4763</v>
      </c>
    </row>
    <row r="1274" spans="1:62" x14ac:dyDescent="0.3">
      <c r="A1274" s="1200">
        <v>7</v>
      </c>
      <c r="B1274" s="1210" t="s">
        <v>1231</v>
      </c>
      <c r="C1274" s="1215"/>
      <c r="D1274" s="1203"/>
      <c r="E1274" s="1203"/>
      <c r="F1274" s="1203"/>
      <c r="G1274" s="1202" t="str">
        <f>IF(N1274&gt;0,"P","")</f>
        <v>P</v>
      </c>
      <c r="H1274" s="1200" t="s">
        <v>4386</v>
      </c>
      <c r="I1274" s="606" t="s">
        <v>1231</v>
      </c>
      <c r="J1274" s="812"/>
      <c r="K1274" s="812"/>
      <c r="L1274" s="1313" t="s">
        <v>1232</v>
      </c>
      <c r="M1274" s="1318">
        <v>3</v>
      </c>
      <c r="N1274" s="1308">
        <f>'Ch7'!O511</f>
        <v>3</v>
      </c>
      <c r="O1274" s="1308">
        <f>M1274*S1274</f>
        <v>0</v>
      </c>
      <c r="P1274" s="97" t="b">
        <v>1</v>
      </c>
      <c r="Q1274" s="97" t="b">
        <v>1</v>
      </c>
      <c r="R1274" s="97" t="b">
        <v>0</v>
      </c>
      <c r="S1274" s="97" t="b">
        <f>LEN(W775)&gt;0</f>
        <v>0</v>
      </c>
      <c r="T1274" s="97" t="b">
        <v>0</v>
      </c>
      <c r="U1274" s="97"/>
      <c r="V1274" s="97"/>
      <c r="W1274" s="1417" t="s">
        <v>3871</v>
      </c>
      <c r="X1274" s="1295"/>
      <c r="Y1274" s="1522" t="str">
        <f>IF(LEN('Ch7'!X511)=0,"None",'Ch7'!X511)</f>
        <v>None</v>
      </c>
      <c r="Z1274" s="1586"/>
      <c r="AB1274" s="790"/>
      <c r="AC1274" s="790"/>
      <c r="AD1274" s="790"/>
      <c r="AE1274" s="790"/>
      <c r="AF1274" s="790"/>
      <c r="AG1274" s="790"/>
      <c r="AH1274" s="790"/>
      <c r="AI1274" s="790"/>
      <c r="AJ1274" s="790"/>
      <c r="AK1274" s="790"/>
      <c r="AL1274" s="311" t="str">
        <f t="shared" ref="AL1274" si="378">SUBSTITUTE(SUBSTITUTE(SUBSTITUTE("vpa"&amp;$B1274&amp;$C1274&amp;$D1274&amp;$E1274&amp;$F1274,".","_"),"(","_"),")","")</f>
        <v>vpa705_6_1</v>
      </c>
      <c r="AM1274" s="311">
        <f>M1274</f>
        <v>3</v>
      </c>
      <c r="AN1274" s="311" t="str">
        <f>SUBSTITUTE(SUBSTITUTE(SUBSTITUTE("vpc"&amp;$B1274&amp;$C1274&amp;$D1274&amp;$E1274&amp;$F1274,".","_"),"(","_"),")","")</f>
        <v>vpc705_6_1</v>
      </c>
      <c r="AO1274" s="311">
        <f>O1274</f>
        <v>0</v>
      </c>
      <c r="AP1274" s="790"/>
      <c r="AQ1274" s="790"/>
      <c r="AR1274" s="311" t="str">
        <f>SUBSTITUTE(SUBSTITUTE(SUBSTITUTE("vnt"&amp;$B1274&amp;$C1274&amp;$D1274&amp;$E1274&amp;$F1274,".","_"),"(","_"),")","")</f>
        <v>vnt705_6_1</v>
      </c>
      <c r="AS1274" s="311">
        <f>X1274</f>
        <v>0</v>
      </c>
      <c r="AT1274" s="790"/>
      <c r="AU1274" s="790"/>
      <c r="AV1274" s="790"/>
      <c r="AW1274" s="790"/>
      <c r="AX1274" s="790"/>
      <c r="AY1274" s="790"/>
      <c r="AZ1274" s="790"/>
      <c r="BA1274" s="790"/>
      <c r="BB1274" s="790"/>
      <c r="BC1274" s="790"/>
      <c r="BD1274" s="790"/>
      <c r="BE1274" s="790"/>
      <c r="BF1274" s="790"/>
      <c r="BG1274" s="790"/>
      <c r="BH1274" s="790"/>
      <c r="BI1274" s="790"/>
      <c r="BJ1274" s="1184" t="s">
        <v>4763</v>
      </c>
    </row>
    <row r="1275" spans="1:62" x14ac:dyDescent="0.3">
      <c r="A1275" s="1200">
        <v>7</v>
      </c>
      <c r="B1275" s="1210" t="s">
        <v>1231</v>
      </c>
      <c r="C1275" s="1215"/>
      <c r="D1275" s="1203"/>
      <c r="E1275" s="1203"/>
      <c r="F1275" s="1203"/>
      <c r="G1275" s="1202" t="str">
        <f t="shared" ref="G1275:G1279" si="379">G1274</f>
        <v>P</v>
      </c>
      <c r="H1275" s="1200" t="s">
        <v>4386</v>
      </c>
      <c r="I1275" s="140"/>
      <c r="J1275" s="812"/>
      <c r="K1275" s="812"/>
      <c r="L1275" s="1313"/>
      <c r="M1275" s="1318"/>
      <c r="N1275" s="1308"/>
      <c r="O1275" s="1308"/>
      <c r="P1275" s="97"/>
      <c r="Q1275" s="97"/>
      <c r="R1275" s="97"/>
      <c r="S1275" s="97"/>
      <c r="T1275" s="97"/>
      <c r="U1275" s="97"/>
      <c r="V1275" s="97"/>
      <c r="W1275" s="1417"/>
      <c r="X1275" s="1295"/>
      <c r="Y1275" s="1522"/>
      <c r="Z1275" s="1586"/>
      <c r="AB1275" s="790"/>
      <c r="AC1275" s="790"/>
      <c r="AD1275" s="790"/>
      <c r="AE1275" s="790"/>
      <c r="AF1275" s="790"/>
      <c r="AG1275" s="790"/>
      <c r="AH1275" s="790"/>
      <c r="AI1275" s="790"/>
      <c r="AJ1275" s="790"/>
      <c r="AK1275" s="790"/>
      <c r="AL1275" s="790"/>
      <c r="AM1275" s="790"/>
      <c r="AN1275" s="790"/>
      <c r="AO1275" s="790"/>
      <c r="AP1275" s="790"/>
      <c r="AQ1275" s="790"/>
      <c r="AR1275" s="790"/>
      <c r="AS1275" s="790"/>
      <c r="AT1275" s="790"/>
      <c r="AU1275" s="790"/>
      <c r="AV1275" s="790"/>
      <c r="AW1275" s="790"/>
      <c r="AX1275" s="790"/>
      <c r="AY1275" s="790"/>
      <c r="AZ1275" s="790"/>
      <c r="BA1275" s="790"/>
      <c r="BB1275" s="790"/>
      <c r="BC1275" s="790"/>
      <c r="BD1275" s="790"/>
      <c r="BE1275" s="790"/>
      <c r="BF1275" s="790"/>
      <c r="BG1275" s="790"/>
      <c r="BH1275" s="790"/>
      <c r="BI1275" s="790"/>
      <c r="BJ1275" s="1184" t="s">
        <v>4763</v>
      </c>
    </row>
    <row r="1276" spans="1:62" x14ac:dyDescent="0.3">
      <c r="A1276" s="1200">
        <v>7</v>
      </c>
      <c r="B1276" s="1210" t="s">
        <v>1231</v>
      </c>
      <c r="C1276" s="1215"/>
      <c r="D1276" s="1203"/>
      <c r="E1276" s="1203"/>
      <c r="F1276" s="1203"/>
      <c r="G1276" s="1202" t="str">
        <f t="shared" si="379"/>
        <v>P</v>
      </c>
      <c r="H1276" s="1200" t="s">
        <v>4386</v>
      </c>
      <c r="I1276" s="140"/>
      <c r="J1276" s="812"/>
      <c r="K1276" s="812"/>
      <c r="L1276" s="1313"/>
      <c r="M1276" s="1318"/>
      <c r="N1276" s="1308"/>
      <c r="O1276" s="1308"/>
      <c r="P1276" s="97"/>
      <c r="Q1276" s="97"/>
      <c r="R1276" s="97"/>
      <c r="S1276" s="97"/>
      <c r="T1276" s="97"/>
      <c r="U1276" s="97"/>
      <c r="V1276" s="97"/>
      <c r="W1276" s="1417"/>
      <c r="X1276" s="1295"/>
      <c r="Y1276" s="1522"/>
      <c r="Z1276" s="1586"/>
      <c r="AB1276" s="790"/>
      <c r="AC1276" s="790"/>
      <c r="AD1276" s="790"/>
      <c r="AE1276" s="790"/>
      <c r="AF1276" s="790"/>
      <c r="AG1276" s="790"/>
      <c r="AH1276" s="790"/>
      <c r="AI1276" s="790"/>
      <c r="AJ1276" s="790"/>
      <c r="AK1276" s="790"/>
      <c r="AL1276" s="790"/>
      <c r="AM1276" s="790"/>
      <c r="AN1276" s="790"/>
      <c r="AO1276" s="790"/>
      <c r="AP1276" s="790"/>
      <c r="AQ1276" s="790"/>
      <c r="AR1276" s="790"/>
      <c r="AS1276" s="790"/>
      <c r="AT1276" s="790"/>
      <c r="AU1276" s="790"/>
      <c r="AV1276" s="790"/>
      <c r="AW1276" s="790"/>
      <c r="AX1276" s="790"/>
      <c r="AY1276" s="790"/>
      <c r="AZ1276" s="790"/>
      <c r="BA1276" s="790"/>
      <c r="BB1276" s="790"/>
      <c r="BC1276" s="790"/>
      <c r="BD1276" s="790"/>
      <c r="BE1276" s="790"/>
      <c r="BF1276" s="790"/>
      <c r="BG1276" s="790"/>
      <c r="BH1276" s="790"/>
      <c r="BI1276" s="790"/>
      <c r="BJ1276" s="1184" t="s">
        <v>4763</v>
      </c>
    </row>
    <row r="1277" spans="1:62" x14ac:dyDescent="0.3">
      <c r="A1277" s="1200">
        <v>7</v>
      </c>
      <c r="B1277" s="1210" t="s">
        <v>1231</v>
      </c>
      <c r="C1277" s="1215"/>
      <c r="D1277" s="1203"/>
      <c r="E1277" s="1203"/>
      <c r="F1277" s="1203"/>
      <c r="G1277" s="1202" t="str">
        <f t="shared" si="379"/>
        <v>P</v>
      </c>
      <c r="H1277" s="1200" t="s">
        <v>4386</v>
      </c>
      <c r="I1277" s="140"/>
      <c r="J1277" s="812"/>
      <c r="K1277" s="812"/>
      <c r="L1277" s="1313"/>
      <c r="M1277" s="1318"/>
      <c r="N1277" s="1308"/>
      <c r="O1277" s="1308"/>
      <c r="P1277" s="97"/>
      <c r="Q1277" s="97"/>
      <c r="R1277" s="97"/>
      <c r="S1277" s="97"/>
      <c r="T1277" s="97"/>
      <c r="U1277" s="97"/>
      <c r="V1277" s="97"/>
      <c r="W1277" s="1417"/>
      <c r="X1277" s="1295"/>
      <c r="Y1277" s="1522"/>
      <c r="Z1277" s="1586"/>
      <c r="AB1277" s="790"/>
      <c r="AC1277" s="790"/>
      <c r="AD1277" s="790"/>
      <c r="AE1277" s="790"/>
      <c r="AF1277" s="790"/>
      <c r="AG1277" s="790"/>
      <c r="AH1277" s="790"/>
      <c r="AI1277" s="790"/>
      <c r="AJ1277" s="790"/>
      <c r="AK1277" s="790"/>
      <c r="AL1277" s="790"/>
      <c r="AM1277" s="790"/>
      <c r="AN1277" s="790"/>
      <c r="AO1277" s="790"/>
      <c r="AP1277" s="790"/>
      <c r="AQ1277" s="790"/>
      <c r="AR1277" s="790"/>
      <c r="AS1277" s="790"/>
      <c r="AT1277" s="790"/>
      <c r="AU1277" s="790"/>
      <c r="AV1277" s="790"/>
      <c r="AW1277" s="790"/>
      <c r="AX1277" s="790"/>
      <c r="AY1277" s="790"/>
      <c r="AZ1277" s="790"/>
      <c r="BA1277" s="790"/>
      <c r="BB1277" s="790"/>
      <c r="BC1277" s="790"/>
      <c r="BD1277" s="790"/>
      <c r="BE1277" s="790"/>
      <c r="BF1277" s="790"/>
      <c r="BG1277" s="790"/>
      <c r="BH1277" s="790"/>
      <c r="BI1277" s="790"/>
      <c r="BJ1277" s="1184" t="s">
        <v>4763</v>
      </c>
    </row>
    <row r="1278" spans="1:62" x14ac:dyDescent="0.3">
      <c r="A1278" s="1200">
        <v>7</v>
      </c>
      <c r="B1278" s="1210" t="s">
        <v>1231</v>
      </c>
      <c r="C1278" s="1215"/>
      <c r="D1278" s="1203"/>
      <c r="E1278" s="1203"/>
      <c r="F1278" s="1203"/>
      <c r="G1278" s="1202" t="str">
        <f t="shared" si="379"/>
        <v>P</v>
      </c>
      <c r="H1278" s="1200" t="s">
        <v>4386</v>
      </c>
      <c r="I1278" s="140"/>
      <c r="J1278" s="812"/>
      <c r="K1278" s="812"/>
      <c r="L1278" s="1313"/>
      <c r="M1278" s="1318"/>
      <c r="N1278" s="1308"/>
      <c r="O1278" s="1308"/>
      <c r="P1278" s="97"/>
      <c r="Q1278" s="97"/>
      <c r="R1278" s="97"/>
      <c r="S1278" s="97"/>
      <c r="T1278" s="97"/>
      <c r="U1278" s="97"/>
      <c r="V1278" s="97"/>
      <c r="W1278" s="1417"/>
      <c r="X1278" s="1295"/>
      <c r="Y1278" s="1522"/>
      <c r="Z1278" s="1586"/>
      <c r="AB1278" s="790"/>
      <c r="AC1278" s="790"/>
      <c r="AD1278" s="790"/>
      <c r="AE1278" s="790"/>
      <c r="AF1278" s="790"/>
      <c r="AG1278" s="790"/>
      <c r="AH1278" s="790"/>
      <c r="AI1278" s="790"/>
      <c r="AJ1278" s="790"/>
      <c r="AK1278" s="790"/>
      <c r="AL1278" s="790"/>
      <c r="AM1278" s="790"/>
      <c r="AN1278" s="790"/>
      <c r="AO1278" s="790"/>
      <c r="AP1278" s="790"/>
      <c r="AQ1278" s="790"/>
      <c r="AR1278" s="790"/>
      <c r="AS1278" s="790"/>
      <c r="AT1278" s="790"/>
      <c r="AU1278" s="790"/>
      <c r="AV1278" s="790"/>
      <c r="AW1278" s="790"/>
      <c r="AX1278" s="790"/>
      <c r="AY1278" s="790"/>
      <c r="AZ1278" s="790"/>
      <c r="BA1278" s="790"/>
      <c r="BB1278" s="790"/>
      <c r="BC1278" s="790"/>
      <c r="BD1278" s="790"/>
      <c r="BE1278" s="790"/>
      <c r="BF1278" s="790"/>
      <c r="BG1278" s="790"/>
      <c r="BH1278" s="790"/>
      <c r="BI1278" s="790"/>
      <c r="BJ1278" s="1184" t="s">
        <v>4763</v>
      </c>
    </row>
    <row r="1279" spans="1:62" x14ac:dyDescent="0.3">
      <c r="A1279" s="1200">
        <v>7</v>
      </c>
      <c r="B1279" s="1210" t="s">
        <v>1231</v>
      </c>
      <c r="C1279" s="1215"/>
      <c r="D1279" s="1203"/>
      <c r="E1279" s="1203"/>
      <c r="F1279" s="1203"/>
      <c r="G1279" s="1202" t="str">
        <f t="shared" si="379"/>
        <v>P</v>
      </c>
      <c r="H1279" s="1200" t="s">
        <v>4386</v>
      </c>
      <c r="I1279" s="238"/>
      <c r="J1279" s="813"/>
      <c r="K1279" s="813"/>
      <c r="L1279" s="1350"/>
      <c r="M1279" s="1319"/>
      <c r="N1279" s="1309"/>
      <c r="O1279" s="1309"/>
      <c r="P1279" s="196"/>
      <c r="Q1279" s="196"/>
      <c r="R1279" s="196"/>
      <c r="S1279" s="196"/>
      <c r="T1279" s="196"/>
      <c r="U1279" s="196"/>
      <c r="V1279" s="196"/>
      <c r="W1279" s="1418"/>
      <c r="X1279" s="1295"/>
      <c r="Y1279" s="1522"/>
      <c r="Z1279" s="1586"/>
      <c r="AB1279" s="790"/>
      <c r="AC1279" s="790"/>
      <c r="AD1279" s="790"/>
      <c r="AE1279" s="790"/>
      <c r="AF1279" s="790"/>
      <c r="AG1279" s="790"/>
      <c r="AH1279" s="790"/>
      <c r="AI1279" s="790"/>
      <c r="AJ1279" s="790"/>
      <c r="AK1279" s="790"/>
      <c r="AL1279" s="790"/>
      <c r="AM1279" s="790"/>
      <c r="AN1279" s="790"/>
      <c r="AO1279" s="790"/>
      <c r="AP1279" s="790"/>
      <c r="AQ1279" s="790"/>
      <c r="AR1279" s="790"/>
      <c r="AS1279" s="790"/>
      <c r="AT1279" s="790"/>
      <c r="AU1279" s="790"/>
      <c r="AV1279" s="790"/>
      <c r="AW1279" s="790"/>
      <c r="AX1279" s="790"/>
      <c r="AY1279" s="790"/>
      <c r="AZ1279" s="790"/>
      <c r="BA1279" s="790"/>
      <c r="BB1279" s="790"/>
      <c r="BC1279" s="790"/>
      <c r="BD1279" s="790"/>
      <c r="BE1279" s="790"/>
      <c r="BF1279" s="790"/>
      <c r="BG1279" s="790"/>
      <c r="BH1279" s="790"/>
      <c r="BI1279" s="790"/>
      <c r="BJ1279" s="1184" t="s">
        <v>4763</v>
      </c>
    </row>
    <row r="1280" spans="1:62" x14ac:dyDescent="0.3">
      <c r="A1280" s="1200">
        <v>7</v>
      </c>
      <c r="B1280" s="1210" t="s">
        <v>3869</v>
      </c>
      <c r="C1280" s="1215"/>
      <c r="D1280" s="1203"/>
      <c r="E1280" s="1203"/>
      <c r="F1280" s="1203"/>
      <c r="G1280" s="1196" t="str">
        <f ca="1">IF(COUNTIF(G1287:G1299,"P")&gt;0,"P","")</f>
        <v/>
      </c>
      <c r="H1280" s="1200" t="s">
        <v>4388</v>
      </c>
      <c r="I1280" s="68" t="s">
        <v>3869</v>
      </c>
      <c r="J1280" s="819"/>
      <c r="K1280" s="819"/>
      <c r="L1280" s="829" t="s">
        <v>3870</v>
      </c>
      <c r="M1280" s="799"/>
      <c r="N1280" s="850"/>
      <c r="O1280" s="802"/>
      <c r="P1280" s="1081"/>
      <c r="Q1280" s="1081"/>
      <c r="R1280" s="790"/>
      <c r="S1280" s="790"/>
      <c r="T1280" s="790"/>
      <c r="U1280" s="790"/>
      <c r="V1280" s="790"/>
      <c r="W1280" s="790"/>
      <c r="X1280" s="790"/>
      <c r="Y1280" s="790"/>
      <c r="Z1280" s="1055"/>
      <c r="AB1280" s="790"/>
      <c r="AC1280" s="790"/>
      <c r="AD1280" s="790"/>
      <c r="AE1280" s="790"/>
      <c r="AF1280" s="790"/>
      <c r="AG1280" s="790"/>
      <c r="AH1280" s="790"/>
      <c r="AI1280" s="790"/>
      <c r="AJ1280" s="790"/>
      <c r="AK1280" s="790"/>
      <c r="AL1280" s="790"/>
      <c r="AM1280" s="790"/>
      <c r="AN1280" s="790"/>
      <c r="AO1280" s="790"/>
      <c r="AP1280" s="790"/>
      <c r="AQ1280" s="790"/>
      <c r="AR1280" s="790"/>
      <c r="AS1280" s="790"/>
      <c r="AT1280" s="790"/>
      <c r="AU1280" s="790"/>
      <c r="AV1280" s="790"/>
      <c r="AW1280" s="790"/>
      <c r="AX1280" s="790"/>
      <c r="AY1280" s="790"/>
      <c r="AZ1280" s="790"/>
      <c r="BA1280" s="790"/>
      <c r="BB1280" s="790"/>
      <c r="BC1280" s="790"/>
      <c r="BD1280" s="790"/>
      <c r="BE1280" s="790"/>
      <c r="BF1280" s="790"/>
      <c r="BG1280" s="790"/>
      <c r="BH1280" s="790"/>
      <c r="BI1280" s="790"/>
      <c r="BJ1280" s="1184" t="s">
        <v>4763</v>
      </c>
    </row>
    <row r="1281" spans="1:62" x14ac:dyDescent="0.3">
      <c r="A1281" s="1200">
        <v>7</v>
      </c>
      <c r="B1281" s="1215" t="s">
        <v>1234</v>
      </c>
      <c r="C1281" s="1215"/>
      <c r="D1281" s="1203"/>
      <c r="E1281" s="1203"/>
      <c r="F1281" s="1203"/>
      <c r="G1281" s="1196" t="str">
        <f>IF(COUNTIF(G1287:G1288,"P")&gt;0,"P","")</f>
        <v/>
      </c>
      <c r="H1281" s="1200" t="s">
        <v>4388</v>
      </c>
      <c r="I1281" s="68" t="s">
        <v>1234</v>
      </c>
      <c r="J1281" s="819"/>
      <c r="K1281" s="819"/>
      <c r="L1281" s="1292" t="s">
        <v>1235</v>
      </c>
      <c r="M1281" s="799"/>
      <c r="N1281" s="850"/>
      <c r="O1281" s="802"/>
      <c r="P1281" s="1081"/>
      <c r="Q1281" s="1081"/>
      <c r="R1281" s="790"/>
      <c r="S1281" s="790"/>
      <c r="T1281" s="790"/>
      <c r="U1281" s="790"/>
      <c r="V1281" s="790"/>
      <c r="W1281" s="790"/>
      <c r="X1281" s="790"/>
      <c r="Y1281" s="790"/>
      <c r="Z1281" s="1055"/>
      <c r="AB1281" s="790"/>
      <c r="AC1281" s="790"/>
      <c r="AD1281" s="790"/>
      <c r="AE1281" s="790"/>
      <c r="AF1281" s="790"/>
      <c r="AG1281" s="790"/>
      <c r="AH1281" s="790"/>
      <c r="AI1281" s="790"/>
      <c r="AJ1281" s="790"/>
      <c r="AK1281" s="790"/>
      <c r="AL1281" s="790"/>
      <c r="AM1281" s="790"/>
      <c r="AN1281" s="790"/>
      <c r="AO1281" s="790"/>
      <c r="AP1281" s="790"/>
      <c r="AQ1281" s="790"/>
      <c r="AR1281" s="790"/>
      <c r="AS1281" s="790"/>
      <c r="AT1281" s="790"/>
      <c r="AU1281" s="790"/>
      <c r="AV1281" s="790"/>
      <c r="AW1281" s="790"/>
      <c r="AX1281" s="790"/>
      <c r="AY1281" s="790"/>
      <c r="AZ1281" s="790"/>
      <c r="BA1281" s="790"/>
      <c r="BB1281" s="790"/>
      <c r="BC1281" s="790"/>
      <c r="BD1281" s="790"/>
      <c r="BE1281" s="790"/>
      <c r="BF1281" s="790"/>
      <c r="BG1281" s="790"/>
      <c r="BH1281" s="790"/>
      <c r="BI1281" s="790"/>
      <c r="BJ1281" s="1184" t="s">
        <v>4763</v>
      </c>
    </row>
    <row r="1282" spans="1:62" x14ac:dyDescent="0.3">
      <c r="A1282" s="1200">
        <v>7</v>
      </c>
      <c r="B1282" s="1215" t="s">
        <v>1234</v>
      </c>
      <c r="C1282" s="1215"/>
      <c r="D1282" s="1203"/>
      <c r="E1282" s="1203"/>
      <c r="F1282" s="1203"/>
      <c r="G1282" s="1202" t="str">
        <f t="shared" ref="G1282:G1286" si="380">G1281</f>
        <v/>
      </c>
      <c r="H1282" s="1200" t="s">
        <v>4388</v>
      </c>
      <c r="I1282" s="4"/>
      <c r="J1282" s="819"/>
      <c r="K1282" s="819"/>
      <c r="L1282" s="1292"/>
      <c r="M1282" s="799"/>
      <c r="N1282" s="850"/>
      <c r="O1282" s="802"/>
      <c r="P1282" s="1081"/>
      <c r="Q1282" s="1081"/>
      <c r="R1282" s="790"/>
      <c r="S1282" s="790"/>
      <c r="T1282" s="790"/>
      <c r="U1282" s="790"/>
      <c r="V1282" s="790"/>
      <c r="W1282" s="790"/>
      <c r="X1282" s="790"/>
      <c r="Y1282" s="790"/>
      <c r="Z1282" s="1055"/>
      <c r="AB1282" s="790"/>
      <c r="AC1282" s="790"/>
      <c r="AD1282" s="790"/>
      <c r="AE1282" s="790"/>
      <c r="AF1282" s="790"/>
      <c r="AG1282" s="790"/>
      <c r="AH1282" s="790"/>
      <c r="AI1282" s="790"/>
      <c r="AJ1282" s="790"/>
      <c r="AK1282" s="790"/>
      <c r="AL1282" s="790"/>
      <c r="AM1282" s="790"/>
      <c r="AN1282" s="790"/>
      <c r="AO1282" s="790"/>
      <c r="AP1282" s="790"/>
      <c r="AQ1282" s="790"/>
      <c r="AR1282" s="790"/>
      <c r="AS1282" s="790"/>
      <c r="AT1282" s="790"/>
      <c r="AU1282" s="790"/>
      <c r="AV1282" s="790"/>
      <c r="AW1282" s="790"/>
      <c r="AX1282" s="790"/>
      <c r="AY1282" s="790"/>
      <c r="AZ1282" s="790"/>
      <c r="BA1282" s="790"/>
      <c r="BB1282" s="790"/>
      <c r="BC1282" s="790"/>
      <c r="BD1282" s="790"/>
      <c r="BE1282" s="790"/>
      <c r="BF1282" s="790"/>
      <c r="BG1282" s="790"/>
      <c r="BH1282" s="790"/>
      <c r="BI1282" s="790"/>
      <c r="BJ1282" s="1184" t="s">
        <v>4763</v>
      </c>
    </row>
    <row r="1283" spans="1:62" x14ac:dyDescent="0.3">
      <c r="A1283" s="1200">
        <v>7</v>
      </c>
      <c r="B1283" s="1215" t="s">
        <v>1234</v>
      </c>
      <c r="C1283" s="1215"/>
      <c r="D1283" s="1203"/>
      <c r="E1283" s="1203"/>
      <c r="F1283" s="1203"/>
      <c r="G1283" s="1202" t="str">
        <f t="shared" si="380"/>
        <v/>
      </c>
      <c r="H1283" s="1200" t="s">
        <v>4388</v>
      </c>
      <c r="I1283" s="4"/>
      <c r="J1283" s="819"/>
      <c r="K1283" s="819"/>
      <c r="L1283" s="1292"/>
      <c r="M1283" s="799"/>
      <c r="N1283" s="850"/>
      <c r="O1283" s="802"/>
      <c r="P1283" s="1081"/>
      <c r="Q1283" s="1081"/>
      <c r="R1283" s="790"/>
      <c r="S1283" s="790"/>
      <c r="T1283" s="790"/>
      <c r="U1283" s="790"/>
      <c r="V1283" s="790"/>
      <c r="W1283" s="790"/>
      <c r="X1283" s="790"/>
      <c r="Y1283" s="790"/>
      <c r="Z1283" s="1055"/>
      <c r="AB1283" s="790"/>
      <c r="AC1283" s="790"/>
      <c r="AD1283" s="790"/>
      <c r="AE1283" s="790"/>
      <c r="AF1283" s="790"/>
      <c r="AG1283" s="790"/>
      <c r="AH1283" s="790"/>
      <c r="AI1283" s="790"/>
      <c r="AJ1283" s="790"/>
      <c r="AK1283" s="790"/>
      <c r="AL1283" s="790"/>
      <c r="AM1283" s="790"/>
      <c r="AN1283" s="790"/>
      <c r="AO1283" s="790"/>
      <c r="AP1283" s="790"/>
      <c r="AQ1283" s="790"/>
      <c r="AR1283" s="790"/>
      <c r="AS1283" s="790"/>
      <c r="AT1283" s="790"/>
      <c r="AU1283" s="790"/>
      <c r="AV1283" s="790"/>
      <c r="AW1283" s="790"/>
      <c r="AX1283" s="790"/>
      <c r="AY1283" s="790"/>
      <c r="AZ1283" s="790"/>
      <c r="BA1283" s="790"/>
      <c r="BB1283" s="790"/>
      <c r="BC1283" s="790"/>
      <c r="BD1283" s="790"/>
      <c r="BE1283" s="790"/>
      <c r="BF1283" s="790"/>
      <c r="BG1283" s="790"/>
      <c r="BH1283" s="790"/>
      <c r="BI1283" s="790"/>
      <c r="BJ1283" s="1184" t="s">
        <v>4763</v>
      </c>
    </row>
    <row r="1284" spans="1:62" x14ac:dyDescent="0.3">
      <c r="A1284" s="1200">
        <v>7</v>
      </c>
      <c r="B1284" s="1215" t="s">
        <v>1234</v>
      </c>
      <c r="C1284" s="1215"/>
      <c r="D1284" s="1203"/>
      <c r="E1284" s="1203"/>
      <c r="F1284" s="1203"/>
      <c r="G1284" s="1202" t="str">
        <f t="shared" si="380"/>
        <v/>
      </c>
      <c r="H1284" s="1200" t="s">
        <v>4388</v>
      </c>
      <c r="I1284" s="4"/>
      <c r="J1284" s="819"/>
      <c r="K1284" s="819"/>
      <c r="L1284" s="1365" t="s">
        <v>1233</v>
      </c>
      <c r="M1284" s="799"/>
      <c r="N1284" s="850"/>
      <c r="O1284" s="802"/>
      <c r="P1284" s="1081"/>
      <c r="Q1284" s="1081"/>
      <c r="R1284" s="790"/>
      <c r="S1284" s="790"/>
      <c r="T1284" s="790"/>
      <c r="U1284" s="790"/>
      <c r="V1284" s="790"/>
      <c r="W1284" s="790"/>
      <c r="X1284" s="790"/>
      <c r="Y1284" s="790"/>
      <c r="Z1284" s="1055"/>
      <c r="AB1284" s="790"/>
      <c r="AC1284" s="790"/>
      <c r="AD1284" s="790"/>
      <c r="AE1284" s="790"/>
      <c r="AF1284" s="790"/>
      <c r="AG1284" s="790"/>
      <c r="AH1284" s="790"/>
      <c r="AI1284" s="790"/>
      <c r="AJ1284" s="790"/>
      <c r="AK1284" s="790"/>
      <c r="AL1284" s="790"/>
      <c r="AM1284" s="790"/>
      <c r="AN1284" s="790"/>
      <c r="AO1284" s="790"/>
      <c r="AP1284" s="790"/>
      <c r="AQ1284" s="790"/>
      <c r="AR1284" s="790"/>
      <c r="AS1284" s="790"/>
      <c r="AT1284" s="790"/>
      <c r="AU1284" s="790"/>
      <c r="AV1284" s="790"/>
      <c r="AW1284" s="790"/>
      <c r="AX1284" s="790"/>
      <c r="AY1284" s="790"/>
      <c r="AZ1284" s="790"/>
      <c r="BA1284" s="790"/>
      <c r="BB1284" s="790"/>
      <c r="BC1284" s="790"/>
      <c r="BD1284" s="790"/>
      <c r="BE1284" s="790"/>
      <c r="BF1284" s="790"/>
      <c r="BG1284" s="790"/>
      <c r="BH1284" s="790"/>
      <c r="BI1284" s="790"/>
      <c r="BJ1284" s="1184" t="s">
        <v>4763</v>
      </c>
    </row>
    <row r="1285" spans="1:62" x14ac:dyDescent="0.3">
      <c r="A1285" s="1200">
        <v>7</v>
      </c>
      <c r="B1285" s="1215" t="s">
        <v>1234</v>
      </c>
      <c r="C1285" s="1215"/>
      <c r="D1285" s="1203"/>
      <c r="E1285" s="1203"/>
      <c r="F1285" s="1203"/>
      <c r="G1285" s="1202" t="str">
        <f t="shared" si="380"/>
        <v/>
      </c>
      <c r="H1285" s="1200" t="s">
        <v>4388</v>
      </c>
      <c r="I1285" s="4"/>
      <c r="J1285" s="819"/>
      <c r="K1285" s="819"/>
      <c r="L1285" s="1365"/>
      <c r="M1285" s="799"/>
      <c r="N1285" s="850"/>
      <c r="O1285" s="802"/>
      <c r="P1285" s="1081"/>
      <c r="Q1285" s="1081"/>
      <c r="R1285" s="790"/>
      <c r="S1285" s="790"/>
      <c r="T1285" s="790"/>
      <c r="U1285" s="790"/>
      <c r="V1285" s="790"/>
      <c r="W1285" s="790"/>
      <c r="X1285" s="790"/>
      <c r="Y1285" s="790"/>
      <c r="Z1285" s="1055"/>
      <c r="AB1285" s="790"/>
      <c r="AC1285" s="790"/>
      <c r="AD1285" s="790"/>
      <c r="AE1285" s="790"/>
      <c r="AF1285" s="790"/>
      <c r="AG1285" s="790"/>
      <c r="AH1285" s="790"/>
      <c r="AI1285" s="790"/>
      <c r="AJ1285" s="790"/>
      <c r="AK1285" s="790"/>
      <c r="AL1285" s="790"/>
      <c r="AM1285" s="790"/>
      <c r="AN1285" s="790"/>
      <c r="AO1285" s="790"/>
      <c r="AP1285" s="790"/>
      <c r="AQ1285" s="790"/>
      <c r="AR1285" s="790"/>
      <c r="AS1285" s="790"/>
      <c r="AT1285" s="790"/>
      <c r="AU1285" s="790"/>
      <c r="AV1285" s="790"/>
      <c r="AW1285" s="790"/>
      <c r="AX1285" s="790"/>
      <c r="AY1285" s="790"/>
      <c r="AZ1285" s="790"/>
      <c r="BA1285" s="790"/>
      <c r="BB1285" s="790"/>
      <c r="BC1285" s="790"/>
      <c r="BD1285" s="790"/>
      <c r="BE1285" s="790"/>
      <c r="BF1285" s="790"/>
      <c r="BG1285" s="790"/>
      <c r="BH1285" s="790"/>
      <c r="BI1285" s="790"/>
      <c r="BJ1285" s="1184" t="s">
        <v>4763</v>
      </c>
    </row>
    <row r="1286" spans="1:62" x14ac:dyDescent="0.3">
      <c r="A1286" s="1200">
        <v>7</v>
      </c>
      <c r="B1286" s="1215" t="s">
        <v>1234</v>
      </c>
      <c r="C1286" s="1215"/>
      <c r="D1286" s="1203"/>
      <c r="E1286" s="1203"/>
      <c r="F1286" s="1203"/>
      <c r="G1286" s="1202" t="str">
        <f t="shared" si="380"/>
        <v/>
      </c>
      <c r="H1286" s="1200" t="s">
        <v>4388</v>
      </c>
      <c r="I1286" s="4"/>
      <c r="J1286" s="819"/>
      <c r="K1286" s="819"/>
      <c r="L1286" s="818" t="s">
        <v>3872</v>
      </c>
      <c r="M1286" s="799"/>
      <c r="N1286" s="850"/>
      <c r="O1286" s="802"/>
      <c r="P1286" s="1081"/>
      <c r="Q1286" s="1081"/>
      <c r="R1286" s="790"/>
      <c r="S1286" s="790"/>
      <c r="T1286" s="790"/>
      <c r="U1286" s="790"/>
      <c r="V1286" s="790"/>
      <c r="W1286" s="790" t="s">
        <v>4030</v>
      </c>
      <c r="X1286" s="790"/>
      <c r="Y1286" s="790"/>
      <c r="Z1286" s="1055"/>
      <c r="AB1286" s="790"/>
      <c r="AC1286" s="790"/>
      <c r="AD1286" s="790"/>
      <c r="AE1286" s="790"/>
      <c r="AF1286" s="790"/>
      <c r="AG1286" s="790"/>
      <c r="AH1286" s="790"/>
      <c r="AI1286" s="790"/>
      <c r="AJ1286" s="790"/>
      <c r="AK1286" s="790"/>
      <c r="AL1286" s="790"/>
      <c r="AM1286" s="790"/>
      <c r="AN1286" s="790"/>
      <c r="AO1286" s="790"/>
      <c r="AP1286" s="790"/>
      <c r="AQ1286" s="790"/>
      <c r="AR1286" s="790"/>
      <c r="AS1286" s="790"/>
      <c r="AT1286" s="790"/>
      <c r="AU1286" s="790"/>
      <c r="AV1286" s="790"/>
      <c r="AW1286" s="790"/>
      <c r="AX1286" s="790"/>
      <c r="AY1286" s="790"/>
      <c r="AZ1286" s="790"/>
      <c r="BA1286" s="790"/>
      <c r="BB1286" s="790"/>
      <c r="BC1286" s="790"/>
      <c r="BD1286" s="790"/>
      <c r="BE1286" s="790"/>
      <c r="BF1286" s="790"/>
      <c r="BG1286" s="790"/>
      <c r="BH1286" s="790"/>
      <c r="BI1286" s="790"/>
      <c r="BJ1286" s="1184" t="s">
        <v>4763</v>
      </c>
    </row>
    <row r="1287" spans="1:62" x14ac:dyDescent="0.3">
      <c r="A1287" s="1200">
        <v>7</v>
      </c>
      <c r="B1287" s="1215" t="s">
        <v>1234</v>
      </c>
      <c r="C1287" s="1215"/>
      <c r="D1287" s="1203" t="s">
        <v>271</v>
      </c>
      <c r="E1287" s="1203"/>
      <c r="F1287" s="1203"/>
      <c r="G1287" s="1202" t="str">
        <f>IF(N1287&gt;0,"P","")</f>
        <v/>
      </c>
      <c r="H1287" s="1200" t="s">
        <v>4388</v>
      </c>
      <c r="I1287" s="4"/>
      <c r="J1287" s="644" t="s">
        <v>271</v>
      </c>
      <c r="K1287" s="813"/>
      <c r="L1287" s="813" t="s">
        <v>1236</v>
      </c>
      <c r="M1287" s="796">
        <v>3</v>
      </c>
      <c r="N1287" s="855">
        <f>'Ch7'!O524</f>
        <v>0</v>
      </c>
      <c r="O1287" s="804">
        <f>IF(LEN(W1287)&gt;0,M1287,0)</f>
        <v>0</v>
      </c>
      <c r="P1287" s="97" t="b">
        <v>0</v>
      </c>
      <c r="Q1287" s="97" t="b">
        <v>1</v>
      </c>
      <c r="R1287" s="1095" t="b">
        <v>0</v>
      </c>
      <c r="S1287" s="1095" t="b">
        <f ca="1">AND(OR(AND(BF779=2,BG779="Dry"),BI779="Tropical"),S817,O951&gt;0)</f>
        <v>0</v>
      </c>
      <c r="T1287" s="97" t="b">
        <f ca="1">AND(NOT(S1287),LEN(W1287)&gt;0)</f>
        <v>0</v>
      </c>
      <c r="U1287" s="790"/>
      <c r="V1287" s="790"/>
      <c r="W1287" s="478"/>
      <c r="X1287" s="809"/>
      <c r="Y1287" s="841" t="str">
        <f>IF(LEN('Ch7'!X524)=0,"None",'Ch7'!X524)</f>
        <v>None</v>
      </c>
      <c r="Z1287" s="1169"/>
      <c r="AB1287" s="790"/>
      <c r="AC1287" s="790" t="b">
        <f ca="1">OR(AD1287:AE1287)</f>
        <v>0</v>
      </c>
      <c r="AD1287" s="790" t="b">
        <f ca="1">T1287</f>
        <v>0</v>
      </c>
      <c r="AE1287" s="790"/>
      <c r="AF1287" s="790"/>
      <c r="AG1287" s="790"/>
      <c r="AH1287" s="790"/>
      <c r="AI1287" s="790"/>
      <c r="AJ1287" s="790"/>
      <c r="AK1287" s="790"/>
      <c r="AL1287" s="311" t="str">
        <f t="shared" ref="AL1287:AL1288" si="381">SUBSTITUTE(SUBSTITUTE(SUBSTITUTE("vpa"&amp;$B1287&amp;$C1287&amp;$D1287&amp;$E1287&amp;$F1287,".","_"),"(","_"),")","")</f>
        <v>vpa705_6_2_1_1</v>
      </c>
      <c r="AM1287" s="311">
        <f>M1287</f>
        <v>3</v>
      </c>
      <c r="AN1287" s="311" t="str">
        <f t="shared" ref="AN1287:AN1288" si="382">SUBSTITUTE(SUBSTITUTE(SUBSTITUTE("vpc"&amp;$B1287&amp;$C1287&amp;$D1287&amp;$E1287&amp;$F1287,".","_"),"(","_"),")","")</f>
        <v>vpc705_6_2_1_1</v>
      </c>
      <c r="AO1287" s="311">
        <f>O1287</f>
        <v>0</v>
      </c>
      <c r="AP1287" s="311" t="str">
        <f t="shared" ref="AP1287:AP1288" si="383">SUBSTITUTE(SUBSTITUTE(SUBSTITUTE("vch"&amp;$B1287&amp;$C1287&amp;$D1287&amp;$E1287&amp;$F1287,".","_"),"(","_"),")","")</f>
        <v>vch705_6_2_1_1</v>
      </c>
      <c r="AQ1287" s="311">
        <f>W1287</f>
        <v>0</v>
      </c>
      <c r="AR1287" s="311" t="str">
        <f t="shared" ref="AR1287:AR1288" si="384">SUBSTITUTE(SUBSTITUTE(SUBSTITUTE("vnt"&amp;$B1287&amp;$C1287&amp;$D1287&amp;$E1287&amp;$F1287,".","_"),"(","_"),")","")</f>
        <v>vnt705_6_2_1_1</v>
      </c>
      <c r="AS1287" s="311">
        <f>X1287</f>
        <v>0</v>
      </c>
      <c r="AT1287" s="790"/>
      <c r="AU1287" s="790"/>
      <c r="AV1287" s="790"/>
      <c r="AW1287" s="790"/>
      <c r="AX1287" s="790"/>
      <c r="AY1287" s="790"/>
      <c r="AZ1287" s="790"/>
      <c r="BA1287" s="790"/>
      <c r="BB1287" s="790"/>
      <c r="BC1287" s="790"/>
      <c r="BD1287" s="790"/>
      <c r="BE1287" s="790"/>
      <c r="BF1287" s="790"/>
      <c r="BG1287" s="790"/>
      <c r="BH1287" s="790"/>
      <c r="BI1287" s="790"/>
      <c r="BJ1287" s="1184" t="s">
        <v>4763</v>
      </c>
    </row>
    <row r="1288" spans="1:62" x14ac:dyDescent="0.3">
      <c r="A1288" s="1200">
        <v>7</v>
      </c>
      <c r="B1288" s="1215" t="s">
        <v>1234</v>
      </c>
      <c r="C1288" s="1215"/>
      <c r="D1288" s="1203" t="s">
        <v>273</v>
      </c>
      <c r="E1288" s="1203"/>
      <c r="F1288" s="1203"/>
      <c r="G1288" s="1202" t="str">
        <f>IF(N1288&gt;0,"P","")</f>
        <v/>
      </c>
      <c r="H1288" s="1200" t="s">
        <v>4388</v>
      </c>
      <c r="I1288" s="4"/>
      <c r="J1288" s="264" t="s">
        <v>273</v>
      </c>
      <c r="K1288" s="819"/>
      <c r="L1288" s="819" t="s">
        <v>1237</v>
      </c>
      <c r="M1288" s="799">
        <v>5</v>
      </c>
      <c r="N1288" s="850">
        <f>'Ch7'!O525</f>
        <v>0</v>
      </c>
      <c r="O1288" s="802">
        <f>M1288*S1288*W1288</f>
        <v>0</v>
      </c>
      <c r="P1288" s="97" t="b">
        <v>0</v>
      </c>
      <c r="Q1288" s="97" t="b">
        <v>1</v>
      </c>
      <c r="R1288" s="790" t="b">
        <v>0</v>
      </c>
      <c r="S1288" s="1095" t="b">
        <f>O1287&gt;0</f>
        <v>0</v>
      </c>
      <c r="T1288" s="97" t="b">
        <f>AND(NOT(S1288),W1288=TRUE)</f>
        <v>0</v>
      </c>
      <c r="U1288" s="790"/>
      <c r="V1288" s="790"/>
      <c r="W1288" s="25"/>
      <c r="X1288" s="1337"/>
      <c r="Y1288" s="1522" t="str">
        <f>IF(LEN('Ch7'!X525)=0,"None",'Ch7'!X525)</f>
        <v>None</v>
      </c>
      <c r="Z1288" s="1586"/>
      <c r="AB1288" s="790"/>
      <c r="AC1288" s="790" t="b">
        <f>OR(AD1288:AE1288)</f>
        <v>0</v>
      </c>
      <c r="AD1288" s="790" t="b">
        <f>T1288</f>
        <v>0</v>
      </c>
      <c r="AE1288" s="790" t="b">
        <f>AND(W1288=TRUE,LEN(X1288)=0)</f>
        <v>0</v>
      </c>
      <c r="AF1288" s="1182" t="b">
        <f>AND(AE1288,NOT(Q1288))</f>
        <v>0</v>
      </c>
      <c r="AG1288" s="790"/>
      <c r="AH1288" s="790"/>
      <c r="AI1288" s="790"/>
      <c r="AJ1288" s="790"/>
      <c r="AK1288" s="790"/>
      <c r="AL1288" s="311" t="str">
        <f t="shared" si="381"/>
        <v>vpa705_6_2_1_2</v>
      </c>
      <c r="AM1288" s="311">
        <f>M1288</f>
        <v>5</v>
      </c>
      <c r="AN1288" s="311" t="str">
        <f t="shared" si="382"/>
        <v>vpc705_6_2_1_2</v>
      </c>
      <c r="AO1288" s="311">
        <f>O1288</f>
        <v>0</v>
      </c>
      <c r="AP1288" s="311" t="str">
        <f t="shared" si="383"/>
        <v>vch705_6_2_1_2</v>
      </c>
      <c r="AQ1288" s="311">
        <f>W1288</f>
        <v>0</v>
      </c>
      <c r="AR1288" s="311" t="str">
        <f t="shared" si="384"/>
        <v>vnt705_6_2_1_2</v>
      </c>
      <c r="AS1288" s="311">
        <f>X1288</f>
        <v>0</v>
      </c>
      <c r="AT1288" s="790"/>
      <c r="AU1288" s="790"/>
      <c r="AV1288" s="790"/>
      <c r="AW1288" s="790"/>
      <c r="AX1288" s="790"/>
      <c r="AY1288" s="790"/>
      <c r="AZ1288" s="790"/>
      <c r="BA1288" s="790"/>
      <c r="BB1288" s="790"/>
      <c r="BC1288" s="790"/>
      <c r="BD1288" s="790"/>
      <c r="BE1288" s="790"/>
      <c r="BF1288" s="790"/>
      <c r="BG1288" s="790"/>
      <c r="BH1288" s="790"/>
      <c r="BI1288" s="790"/>
      <c r="BJ1288" s="1184" t="s">
        <v>4763</v>
      </c>
    </row>
    <row r="1289" spans="1:62" x14ac:dyDescent="0.3">
      <c r="A1289" s="1200">
        <v>7</v>
      </c>
      <c r="B1289" s="1215" t="s">
        <v>1234</v>
      </c>
      <c r="C1289" s="1215"/>
      <c r="D1289" s="1203" t="s">
        <v>273</v>
      </c>
      <c r="E1289" s="1203"/>
      <c r="F1289" s="1203"/>
      <c r="G1289" s="1202" t="str">
        <f t="shared" ref="G1289:G1290" si="385">G1288</f>
        <v/>
      </c>
      <c r="H1289" s="1200" t="s">
        <v>4388</v>
      </c>
      <c r="I1289" s="140"/>
      <c r="J1289" s="643"/>
      <c r="K1289" s="812"/>
      <c r="L1289" s="1394" t="s">
        <v>3873</v>
      </c>
      <c r="M1289" s="799"/>
      <c r="N1289" s="850"/>
      <c r="O1289" s="802"/>
      <c r="P1289" s="1081"/>
      <c r="Q1289" s="1081"/>
      <c r="R1289" s="790"/>
      <c r="S1289" s="790"/>
      <c r="T1289" s="790"/>
      <c r="U1289" s="790"/>
      <c r="V1289" s="790"/>
      <c r="W1289" s="790"/>
      <c r="X1289" s="1312"/>
      <c r="Y1289" s="1522"/>
      <c r="Z1289" s="1586"/>
      <c r="AB1289" s="790"/>
      <c r="AC1289" s="790"/>
      <c r="AD1289" s="790"/>
      <c r="AE1289" s="790"/>
      <c r="AF1289" s="790"/>
      <c r="AG1289" s="790"/>
      <c r="AH1289" s="790"/>
      <c r="AI1289" s="790"/>
      <c r="AJ1289" s="790"/>
      <c r="AK1289" s="790"/>
      <c r="AL1289" s="790"/>
      <c r="AM1289" s="790"/>
      <c r="AN1289" s="790"/>
      <c r="AO1289" s="790"/>
      <c r="AP1289" s="790"/>
      <c r="AQ1289" s="790"/>
      <c r="AR1289" s="790"/>
      <c r="AS1289" s="790"/>
      <c r="AT1289" s="790"/>
      <c r="AU1289" s="790"/>
      <c r="AV1289" s="790"/>
      <c r="AW1289" s="790"/>
      <c r="AX1289" s="790"/>
      <c r="AY1289" s="790"/>
      <c r="AZ1289" s="790"/>
      <c r="BA1289" s="790"/>
      <c r="BB1289" s="790"/>
      <c r="BC1289" s="790"/>
      <c r="BD1289" s="790"/>
      <c r="BE1289" s="790"/>
      <c r="BF1289" s="790"/>
      <c r="BG1289" s="790"/>
      <c r="BH1289" s="790"/>
      <c r="BI1289" s="790"/>
      <c r="BJ1289" s="1184" t="s">
        <v>4763</v>
      </c>
    </row>
    <row r="1290" spans="1:62" x14ac:dyDescent="0.3">
      <c r="A1290" s="1200">
        <v>7</v>
      </c>
      <c r="B1290" s="1215" t="s">
        <v>1234</v>
      </c>
      <c r="C1290" s="1215"/>
      <c r="D1290" s="1203" t="s">
        <v>273</v>
      </c>
      <c r="E1290" s="1203"/>
      <c r="F1290" s="1203"/>
      <c r="G1290" s="1202" t="str">
        <f t="shared" si="385"/>
        <v/>
      </c>
      <c r="H1290" s="1200" t="s">
        <v>4388</v>
      </c>
      <c r="I1290" s="238"/>
      <c r="J1290" s="644"/>
      <c r="K1290" s="813"/>
      <c r="L1290" s="1396"/>
      <c r="M1290" s="799"/>
      <c r="N1290" s="850"/>
      <c r="O1290" s="802"/>
      <c r="P1290" s="1081"/>
      <c r="Q1290" s="1081"/>
      <c r="R1290" s="790"/>
      <c r="S1290" s="790"/>
      <c r="T1290" s="790"/>
      <c r="U1290" s="790"/>
      <c r="V1290" s="790"/>
      <c r="W1290" s="790"/>
      <c r="X1290" s="1304"/>
      <c r="Y1290" s="1522"/>
      <c r="Z1290" s="1586"/>
      <c r="AB1290" s="790"/>
      <c r="AC1290" s="790"/>
      <c r="AD1290" s="790"/>
      <c r="AE1290" s="790"/>
      <c r="AF1290" s="790"/>
      <c r="AG1290" s="790"/>
      <c r="AH1290" s="790"/>
      <c r="AI1290" s="790"/>
      <c r="AJ1290" s="790"/>
      <c r="AK1290" s="790"/>
      <c r="AL1290" s="790"/>
      <c r="AM1290" s="790"/>
      <c r="AN1290" s="790"/>
      <c r="AO1290" s="790"/>
      <c r="AP1290" s="790"/>
      <c r="AQ1290" s="790"/>
      <c r="AR1290" s="790"/>
      <c r="AS1290" s="790"/>
      <c r="AT1290" s="790"/>
      <c r="AU1290" s="790"/>
      <c r="AV1290" s="790"/>
      <c r="AW1290" s="790"/>
      <c r="AX1290" s="790"/>
      <c r="AY1290" s="790"/>
      <c r="AZ1290" s="790"/>
      <c r="BA1290" s="790"/>
      <c r="BB1290" s="790"/>
      <c r="BC1290" s="790"/>
      <c r="BD1290" s="790"/>
      <c r="BE1290" s="790"/>
      <c r="BF1290" s="790"/>
      <c r="BG1290" s="790"/>
      <c r="BH1290" s="790"/>
      <c r="BI1290" s="790"/>
      <c r="BJ1290" s="1184" t="s">
        <v>4763</v>
      </c>
    </row>
    <row r="1291" spans="1:62" x14ac:dyDescent="0.3">
      <c r="A1291" s="1200">
        <v>7</v>
      </c>
      <c r="B1291" s="1210" t="s">
        <v>1238</v>
      </c>
      <c r="C1291" s="1215"/>
      <c r="D1291" s="1203"/>
      <c r="E1291" s="1203"/>
      <c r="F1291" s="1203"/>
      <c r="G1291" s="1202" t="str">
        <f>IF(N1291&gt;0,"P","")</f>
        <v/>
      </c>
      <c r="H1291" s="1200" t="s">
        <v>4388</v>
      </c>
      <c r="I1291" s="68" t="s">
        <v>1238</v>
      </c>
      <c r="J1291" s="819"/>
      <c r="K1291" s="819"/>
      <c r="L1291" s="1292" t="s">
        <v>1239</v>
      </c>
      <c r="M1291" s="1335">
        <v>5</v>
      </c>
      <c r="N1291" s="1310">
        <f>'Ch7'!O528</f>
        <v>0</v>
      </c>
      <c r="O1291" s="1310">
        <f>M1291*S1291*W1291</f>
        <v>0</v>
      </c>
      <c r="P1291" s="97" t="b">
        <v>0</v>
      </c>
      <c r="Q1291" s="97" t="b">
        <v>1</v>
      </c>
      <c r="R1291" s="790" t="b">
        <v>0</v>
      </c>
      <c r="S1291" s="790" t="b">
        <v>1</v>
      </c>
      <c r="T1291" s="97" t="b">
        <v>0</v>
      </c>
      <c r="U1291" s="790"/>
      <c r="V1291" s="790"/>
      <c r="W1291" s="25"/>
      <c r="X1291" s="1303"/>
      <c r="Y1291" s="1522" t="str">
        <f>IF(LEN('Ch7'!X528)=0,"None",'Ch7'!X528)</f>
        <v>None</v>
      </c>
      <c r="Z1291" s="1586"/>
      <c r="AB1291" s="790"/>
      <c r="AC1291" s="790" t="b">
        <f>OR(AD1291:AE1291)</f>
        <v>0</v>
      </c>
      <c r="AD1291" s="985" t="b">
        <f>T1291</f>
        <v>0</v>
      </c>
      <c r="AE1291" s="790" t="b">
        <f>AND(W1291=TRUE,LEN(X1291)=0)</f>
        <v>0</v>
      </c>
      <c r="AF1291" s="1182" t="b">
        <f>AND(AE1291,NOT(Q1291))</f>
        <v>0</v>
      </c>
      <c r="AG1291" s="790"/>
      <c r="AH1291" s="790"/>
      <c r="AI1291" s="790"/>
      <c r="AJ1291" s="790"/>
      <c r="AK1291" s="790"/>
      <c r="AL1291" s="311" t="str">
        <f t="shared" ref="AL1291" si="386">SUBSTITUTE(SUBSTITUTE(SUBSTITUTE("vpa"&amp;$B1291&amp;$C1291&amp;$D1291&amp;$E1291&amp;$F1291,".","_"),"(","_"),")","")</f>
        <v>vpa705_6_2_2</v>
      </c>
      <c r="AM1291" s="311">
        <f>M1291</f>
        <v>5</v>
      </c>
      <c r="AN1291" s="311" t="str">
        <f>SUBSTITUTE(SUBSTITUTE(SUBSTITUTE("vpc"&amp;$B1291&amp;$C1291&amp;$D1291&amp;$E1291&amp;$F1291,".","_"),"(","_"),")","")</f>
        <v>vpc705_6_2_2</v>
      </c>
      <c r="AO1291" s="311">
        <f>O1291</f>
        <v>0</v>
      </c>
      <c r="AP1291" s="311" t="str">
        <f>SUBSTITUTE(SUBSTITUTE(SUBSTITUTE("vch"&amp;$B1291&amp;$C1291&amp;$D1291&amp;$E1291&amp;$F1291,".","_"),"(","_"),")","")</f>
        <v>vch705_6_2_2</v>
      </c>
      <c r="AQ1291" s="311">
        <f>W1291</f>
        <v>0</v>
      </c>
      <c r="AR1291" s="311" t="str">
        <f>SUBSTITUTE(SUBSTITUTE(SUBSTITUTE("vnt"&amp;$B1291&amp;$C1291&amp;$D1291&amp;$E1291&amp;$F1291,".","_"),"(","_"),")","")</f>
        <v>vnt705_6_2_2</v>
      </c>
      <c r="AS1291" s="311">
        <f>X1291</f>
        <v>0</v>
      </c>
      <c r="AT1291" s="790"/>
      <c r="AU1291" s="790"/>
      <c r="AV1291" s="790"/>
      <c r="AW1291" s="790"/>
      <c r="AX1291" s="790"/>
      <c r="AY1291" s="790"/>
      <c r="AZ1291" s="790"/>
      <c r="BA1291" s="790"/>
      <c r="BB1291" s="790"/>
      <c r="BC1291" s="790"/>
      <c r="BD1291" s="790"/>
      <c r="BE1291" s="790"/>
      <c r="BF1291" s="790"/>
      <c r="BG1291" s="790"/>
      <c r="BH1291" s="790"/>
      <c r="BI1291" s="790"/>
      <c r="BJ1291" s="1184" t="s">
        <v>4763</v>
      </c>
    </row>
    <row r="1292" spans="1:62" x14ac:dyDescent="0.3">
      <c r="A1292" s="1200">
        <v>7</v>
      </c>
      <c r="B1292" s="1210" t="s">
        <v>1238</v>
      </c>
      <c r="C1292" s="1215"/>
      <c r="D1292" s="1203"/>
      <c r="E1292" s="1203"/>
      <c r="F1292" s="1203"/>
      <c r="G1292" s="1202" t="str">
        <f t="shared" ref="G1292:G1298" si="387">G1291</f>
        <v/>
      </c>
      <c r="H1292" s="1200" t="s">
        <v>4388</v>
      </c>
      <c r="I1292" s="4"/>
      <c r="J1292" s="819"/>
      <c r="K1292" s="819"/>
      <c r="L1292" s="1292"/>
      <c r="M1292" s="1335"/>
      <c r="N1292" s="1310"/>
      <c r="O1292" s="1310"/>
      <c r="P1292" s="1081"/>
      <c r="Q1292" s="1081"/>
      <c r="R1292" s="790"/>
      <c r="S1292" s="790"/>
      <c r="T1292" s="790"/>
      <c r="U1292" s="790"/>
      <c r="V1292" s="790"/>
      <c r="W1292" s="790"/>
      <c r="X1292" s="1303"/>
      <c r="Y1292" s="1522"/>
      <c r="Z1292" s="1586"/>
      <c r="AB1292" s="790"/>
      <c r="AC1292" s="790"/>
      <c r="AD1292" s="790"/>
      <c r="AE1292" s="790"/>
      <c r="AF1292" s="790"/>
      <c r="AG1292" s="790"/>
      <c r="AH1292" s="790"/>
      <c r="AI1292" s="790"/>
      <c r="AJ1292" s="790"/>
      <c r="AK1292" s="790"/>
      <c r="AL1292" s="790"/>
      <c r="AM1292" s="790"/>
      <c r="AN1292" s="790"/>
      <c r="AO1292" s="790"/>
      <c r="AP1292" s="790"/>
      <c r="AQ1292" s="790"/>
      <c r="AR1292" s="790"/>
      <c r="AS1292" s="790"/>
      <c r="AT1292" s="790"/>
      <c r="AU1292" s="790"/>
      <c r="AV1292" s="790"/>
      <c r="AW1292" s="790"/>
      <c r="AX1292" s="790"/>
      <c r="AY1292" s="790"/>
      <c r="AZ1292" s="790"/>
      <c r="BA1292" s="790"/>
      <c r="BB1292" s="790"/>
      <c r="BC1292" s="790"/>
      <c r="BD1292" s="790"/>
      <c r="BE1292" s="790"/>
      <c r="BF1292" s="790"/>
      <c r="BG1292" s="790"/>
      <c r="BH1292" s="790"/>
      <c r="BI1292" s="790"/>
      <c r="BJ1292" s="1184" t="s">
        <v>4763</v>
      </c>
    </row>
    <row r="1293" spans="1:62" x14ac:dyDescent="0.3">
      <c r="A1293" s="1200">
        <v>7</v>
      </c>
      <c r="B1293" s="1210" t="s">
        <v>1238</v>
      </c>
      <c r="C1293" s="1215"/>
      <c r="D1293" s="1203"/>
      <c r="E1293" s="1203"/>
      <c r="F1293" s="1203"/>
      <c r="G1293" s="1202" t="str">
        <f t="shared" si="387"/>
        <v/>
      </c>
      <c r="H1293" s="1200" t="s">
        <v>4388</v>
      </c>
      <c r="I1293" s="4"/>
      <c r="J1293" s="819"/>
      <c r="K1293" s="819"/>
      <c r="L1293" s="1292"/>
      <c r="M1293" s="1335"/>
      <c r="N1293" s="1310"/>
      <c r="O1293" s="1310"/>
      <c r="P1293" s="1081"/>
      <c r="Q1293" s="1081"/>
      <c r="R1293" s="790"/>
      <c r="S1293" s="790"/>
      <c r="T1293" s="790"/>
      <c r="U1293" s="790"/>
      <c r="V1293" s="790"/>
      <c r="W1293" s="790"/>
      <c r="X1293" s="1303"/>
      <c r="Y1293" s="1522"/>
      <c r="Z1293" s="1586"/>
      <c r="AB1293" s="790"/>
      <c r="AC1293" s="790"/>
      <c r="AD1293" s="790"/>
      <c r="AE1293" s="790"/>
      <c r="AF1293" s="790"/>
      <c r="AG1293" s="790"/>
      <c r="AH1293" s="790"/>
      <c r="AI1293" s="790"/>
      <c r="AJ1293" s="790"/>
      <c r="AK1293" s="790"/>
      <c r="AL1293" s="790"/>
      <c r="AM1293" s="790"/>
      <c r="AN1293" s="790"/>
      <c r="AO1293" s="790"/>
      <c r="AP1293" s="790"/>
      <c r="AQ1293" s="790"/>
      <c r="AR1293" s="790"/>
      <c r="AS1293" s="790"/>
      <c r="AT1293" s="790"/>
      <c r="AU1293" s="790"/>
      <c r="AV1293" s="790"/>
      <c r="AW1293" s="790"/>
      <c r="AX1293" s="790"/>
      <c r="AY1293" s="790"/>
      <c r="AZ1293" s="790"/>
      <c r="BA1293" s="790"/>
      <c r="BB1293" s="790"/>
      <c r="BC1293" s="790"/>
      <c r="BD1293" s="790"/>
      <c r="BE1293" s="790"/>
      <c r="BF1293" s="790"/>
      <c r="BG1293" s="790"/>
      <c r="BH1293" s="790"/>
      <c r="BI1293" s="790"/>
      <c r="BJ1293" s="1184" t="s">
        <v>4763</v>
      </c>
    </row>
    <row r="1294" spans="1:62" x14ac:dyDescent="0.3">
      <c r="A1294" s="1200">
        <v>7</v>
      </c>
      <c r="B1294" s="1210" t="s">
        <v>1238</v>
      </c>
      <c r="C1294" s="1215"/>
      <c r="D1294" s="1203" t="s">
        <v>271</v>
      </c>
      <c r="E1294" s="1203"/>
      <c r="F1294" s="1203"/>
      <c r="G1294" s="1202" t="str">
        <f t="shared" si="387"/>
        <v/>
      </c>
      <c r="H1294" s="1200" t="s">
        <v>4388</v>
      </c>
      <c r="I1294" s="4"/>
      <c r="J1294" s="643" t="s">
        <v>271</v>
      </c>
      <c r="K1294" s="812"/>
      <c r="L1294" s="1305" t="s">
        <v>1240</v>
      </c>
      <c r="M1294" s="799"/>
      <c r="N1294" s="850"/>
      <c r="O1294" s="802"/>
      <c r="P1294" s="1081"/>
      <c r="Q1294" s="1081"/>
      <c r="R1294" s="790"/>
      <c r="S1294" s="790"/>
      <c r="T1294" s="790"/>
      <c r="U1294" s="790"/>
      <c r="V1294" s="790"/>
      <c r="W1294" s="790"/>
      <c r="X1294" s="1303"/>
      <c r="Y1294" s="1522"/>
      <c r="Z1294" s="1586"/>
      <c r="AB1294" s="790"/>
      <c r="AC1294" s="790"/>
      <c r="AD1294" s="790"/>
      <c r="AE1294" s="790"/>
      <c r="AF1294" s="790"/>
      <c r="AG1294" s="790"/>
      <c r="AH1294" s="790"/>
      <c r="AI1294" s="790"/>
      <c r="AJ1294" s="790"/>
      <c r="AK1294" s="790"/>
      <c r="AL1294" s="790"/>
      <c r="AM1294" s="790"/>
      <c r="AN1294" s="790"/>
      <c r="AO1294" s="790"/>
      <c r="AP1294" s="790"/>
      <c r="AQ1294" s="790"/>
      <c r="AR1294" s="790"/>
      <c r="AS1294" s="790"/>
      <c r="AT1294" s="790"/>
      <c r="AU1294" s="790"/>
      <c r="AV1294" s="790"/>
      <c r="AW1294" s="790"/>
      <c r="AX1294" s="790"/>
      <c r="AY1294" s="790"/>
      <c r="AZ1294" s="790"/>
      <c r="BA1294" s="790"/>
      <c r="BB1294" s="790"/>
      <c r="BC1294" s="790"/>
      <c r="BD1294" s="790"/>
      <c r="BE1294" s="790"/>
      <c r="BF1294" s="790"/>
      <c r="BG1294" s="790"/>
      <c r="BH1294" s="790"/>
      <c r="BI1294" s="790"/>
      <c r="BJ1294" s="1184" t="s">
        <v>4763</v>
      </c>
    </row>
    <row r="1295" spans="1:62" x14ac:dyDescent="0.3">
      <c r="A1295" s="1200">
        <v>7</v>
      </c>
      <c r="B1295" s="1210" t="s">
        <v>1238</v>
      </c>
      <c r="C1295" s="1215"/>
      <c r="D1295" s="1203" t="s">
        <v>271</v>
      </c>
      <c r="E1295" s="1203"/>
      <c r="F1295" s="1203"/>
      <c r="G1295" s="1202" t="str">
        <f t="shared" si="387"/>
        <v/>
      </c>
      <c r="H1295" s="1200" t="s">
        <v>4388</v>
      </c>
      <c r="I1295" s="4"/>
      <c r="J1295" s="644"/>
      <c r="K1295" s="813"/>
      <c r="L1295" s="1306"/>
      <c r="M1295" s="799"/>
      <c r="N1295" s="850"/>
      <c r="O1295" s="802"/>
      <c r="P1295" s="1081"/>
      <c r="Q1295" s="1081"/>
      <c r="R1295" s="790"/>
      <c r="S1295" s="790"/>
      <c r="T1295" s="790"/>
      <c r="U1295" s="790"/>
      <c r="V1295" s="790"/>
      <c r="W1295" s="790"/>
      <c r="X1295" s="1303"/>
      <c r="Y1295" s="1522"/>
      <c r="Z1295" s="1586"/>
      <c r="AB1295" s="790"/>
      <c r="AC1295" s="790"/>
      <c r="AD1295" s="790"/>
      <c r="AE1295" s="790"/>
      <c r="AF1295" s="790"/>
      <c r="AG1295" s="790"/>
      <c r="AH1295" s="790"/>
      <c r="AI1295" s="790"/>
      <c r="AJ1295" s="790"/>
      <c r="AK1295" s="790"/>
      <c r="AL1295" s="790"/>
      <c r="AM1295" s="790"/>
      <c r="AN1295" s="790"/>
      <c r="AO1295" s="790"/>
      <c r="AP1295" s="790"/>
      <c r="AQ1295" s="790"/>
      <c r="AR1295" s="790"/>
      <c r="AS1295" s="790"/>
      <c r="AT1295" s="790"/>
      <c r="AU1295" s="790"/>
      <c r="AV1295" s="790"/>
      <c r="AW1295" s="790"/>
      <c r="AX1295" s="790"/>
      <c r="AY1295" s="790"/>
      <c r="AZ1295" s="790"/>
      <c r="BA1295" s="790"/>
      <c r="BB1295" s="790"/>
      <c r="BC1295" s="790"/>
      <c r="BD1295" s="790"/>
      <c r="BE1295" s="790"/>
      <c r="BF1295" s="790"/>
      <c r="BG1295" s="790"/>
      <c r="BH1295" s="790"/>
      <c r="BI1295" s="790"/>
      <c r="BJ1295" s="1184" t="s">
        <v>4763</v>
      </c>
    </row>
    <row r="1296" spans="1:62" x14ac:dyDescent="0.3">
      <c r="A1296" s="1200">
        <v>7</v>
      </c>
      <c r="B1296" s="1210" t="s">
        <v>1238</v>
      </c>
      <c r="C1296" s="1215"/>
      <c r="D1296" s="1203" t="s">
        <v>273</v>
      </c>
      <c r="E1296" s="1203"/>
      <c r="F1296" s="1203"/>
      <c r="G1296" s="1202" t="str">
        <f t="shared" si="387"/>
        <v/>
      </c>
      <c r="H1296" s="1200" t="s">
        <v>4388</v>
      </c>
      <c r="I1296" s="4"/>
      <c r="J1296" s="264" t="s">
        <v>273</v>
      </c>
      <c r="K1296" s="819"/>
      <c r="L1296" s="819" t="s">
        <v>1241</v>
      </c>
      <c r="M1296" s="799"/>
      <c r="N1296" s="850"/>
      <c r="O1296" s="802"/>
      <c r="P1296" s="1081"/>
      <c r="Q1296" s="1081"/>
      <c r="R1296" s="790"/>
      <c r="S1296" s="790"/>
      <c r="T1296" s="790"/>
      <c r="U1296" s="97"/>
      <c r="V1296" s="790"/>
      <c r="W1296" s="790"/>
      <c r="X1296" s="1303"/>
      <c r="Y1296" s="1522"/>
      <c r="Z1296" s="1586"/>
      <c r="AB1296" s="790"/>
      <c r="AC1296" s="790"/>
      <c r="AD1296" s="790"/>
      <c r="AE1296" s="790"/>
      <c r="AF1296" s="790"/>
      <c r="AG1296" s="790"/>
      <c r="AH1296" s="790"/>
      <c r="AI1296" s="790"/>
      <c r="AJ1296" s="790"/>
      <c r="AK1296" s="790"/>
      <c r="AL1296" s="790"/>
      <c r="AM1296" s="790"/>
      <c r="AN1296" s="790"/>
      <c r="AO1296" s="790"/>
      <c r="AP1296" s="790"/>
      <c r="AQ1296" s="790"/>
      <c r="AR1296" s="790"/>
      <c r="AS1296" s="790"/>
      <c r="AT1296" s="790"/>
      <c r="AU1296" s="790"/>
      <c r="AV1296" s="790"/>
      <c r="AW1296" s="790"/>
      <c r="AX1296" s="790"/>
      <c r="AY1296" s="790"/>
      <c r="AZ1296" s="790"/>
      <c r="BA1296" s="790"/>
      <c r="BB1296" s="790"/>
      <c r="BC1296" s="790"/>
      <c r="BD1296" s="790"/>
      <c r="BE1296" s="790"/>
      <c r="BF1296" s="790"/>
      <c r="BG1296" s="790"/>
      <c r="BH1296" s="790"/>
      <c r="BI1296" s="790"/>
      <c r="BJ1296" s="1184" t="s">
        <v>4763</v>
      </c>
    </row>
    <row r="1297" spans="1:62" x14ac:dyDescent="0.3">
      <c r="A1297" s="1200">
        <v>7</v>
      </c>
      <c r="B1297" s="1210" t="s">
        <v>1238</v>
      </c>
      <c r="C1297" s="1215"/>
      <c r="D1297" s="1203"/>
      <c r="E1297" s="1203"/>
      <c r="F1297" s="1203"/>
      <c r="G1297" s="1202" t="str">
        <f t="shared" si="387"/>
        <v/>
      </c>
      <c r="H1297" s="1200" t="s">
        <v>4388</v>
      </c>
      <c r="I1297" s="140"/>
      <c r="J1297" s="643"/>
      <c r="K1297" s="812"/>
      <c r="L1297" s="1394" t="s">
        <v>3874</v>
      </c>
      <c r="M1297" s="799"/>
      <c r="N1297" s="850"/>
      <c r="O1297" s="802"/>
      <c r="P1297" s="1081"/>
      <c r="Q1297" s="1081"/>
      <c r="R1297" s="790"/>
      <c r="S1297" s="790"/>
      <c r="T1297" s="790"/>
      <c r="U1297" s="790"/>
      <c r="V1297" s="790"/>
      <c r="W1297" s="790"/>
      <c r="X1297" s="1303"/>
      <c r="Y1297" s="1522"/>
      <c r="Z1297" s="1586"/>
      <c r="AB1297" s="790"/>
      <c r="AC1297" s="790"/>
      <c r="AD1297" s="790"/>
      <c r="AE1297" s="790"/>
      <c r="AF1297" s="790"/>
      <c r="AG1297" s="790"/>
      <c r="AH1297" s="790"/>
      <c r="AI1297" s="790"/>
      <c r="AJ1297" s="790"/>
      <c r="AK1297" s="790"/>
      <c r="AL1297" s="790"/>
      <c r="AM1297" s="790"/>
      <c r="AN1297" s="790"/>
      <c r="AO1297" s="790"/>
      <c r="AP1297" s="790"/>
      <c r="AQ1297" s="790"/>
      <c r="AR1297" s="790"/>
      <c r="AS1297" s="790"/>
      <c r="AT1297" s="790"/>
      <c r="AU1297" s="790"/>
      <c r="AV1297" s="790"/>
      <c r="AW1297" s="790"/>
      <c r="AX1297" s="790"/>
      <c r="AY1297" s="790"/>
      <c r="AZ1297" s="790"/>
      <c r="BA1297" s="790"/>
      <c r="BB1297" s="790"/>
      <c r="BC1297" s="790"/>
      <c r="BD1297" s="790"/>
      <c r="BE1297" s="790"/>
      <c r="BF1297" s="790"/>
      <c r="BG1297" s="790"/>
      <c r="BH1297" s="790"/>
      <c r="BI1297" s="790"/>
      <c r="BJ1297" s="1184" t="s">
        <v>4763</v>
      </c>
    </row>
    <row r="1298" spans="1:62" x14ac:dyDescent="0.3">
      <c r="A1298" s="1200">
        <v>7</v>
      </c>
      <c r="B1298" s="1210" t="s">
        <v>1238</v>
      </c>
      <c r="C1298" s="1215"/>
      <c r="D1298" s="1203"/>
      <c r="E1298" s="1203"/>
      <c r="F1298" s="1203"/>
      <c r="G1298" s="1202" t="str">
        <f t="shared" si="387"/>
        <v/>
      </c>
      <c r="H1298" s="1200" t="s">
        <v>4388</v>
      </c>
      <c r="I1298" s="238"/>
      <c r="J1298" s="644"/>
      <c r="K1298" s="813"/>
      <c r="L1298" s="1396"/>
      <c r="M1298" s="799"/>
      <c r="N1298" s="850"/>
      <c r="O1298" s="802"/>
      <c r="P1298" s="1081"/>
      <c r="Q1298" s="1081"/>
      <c r="R1298" s="790"/>
      <c r="S1298" s="790"/>
      <c r="T1298" s="790"/>
      <c r="U1298" s="790"/>
      <c r="V1298" s="790"/>
      <c r="W1298" s="790"/>
      <c r="X1298" s="1303"/>
      <c r="Y1298" s="1522"/>
      <c r="Z1298" s="1586"/>
      <c r="AB1298" s="790"/>
      <c r="AC1298" s="790"/>
      <c r="AD1298" s="790"/>
      <c r="AE1298" s="790"/>
      <c r="AF1298" s="790"/>
      <c r="AG1298" s="790"/>
      <c r="AH1298" s="790"/>
      <c r="AI1298" s="790"/>
      <c r="AJ1298" s="790"/>
      <c r="AK1298" s="790"/>
      <c r="AL1298" s="790"/>
      <c r="AM1298" s="790"/>
      <c r="AN1298" s="790"/>
      <c r="AO1298" s="790"/>
      <c r="AP1298" s="790"/>
      <c r="AQ1298" s="790"/>
      <c r="AR1298" s="790"/>
      <c r="AS1298" s="790"/>
      <c r="AT1298" s="790"/>
      <c r="AU1298" s="790"/>
      <c r="AV1298" s="790"/>
      <c r="AW1298" s="790"/>
      <c r="AX1298" s="790"/>
      <c r="AY1298" s="790"/>
      <c r="AZ1298" s="790"/>
      <c r="BA1298" s="790"/>
      <c r="BB1298" s="790"/>
      <c r="BC1298" s="790"/>
      <c r="BD1298" s="790"/>
      <c r="BE1298" s="790"/>
      <c r="BF1298" s="790"/>
      <c r="BG1298" s="790"/>
      <c r="BH1298" s="790"/>
      <c r="BI1298" s="790"/>
      <c r="BJ1298" s="1184" t="s">
        <v>4763</v>
      </c>
    </row>
    <row r="1299" spans="1:62" x14ac:dyDescent="0.3">
      <c r="A1299" s="1200">
        <v>7</v>
      </c>
      <c r="B1299" s="1210" t="s">
        <v>1242</v>
      </c>
      <c r="C1299" s="1215"/>
      <c r="D1299" s="1203"/>
      <c r="E1299" s="1203"/>
      <c r="F1299" s="1203"/>
      <c r="G1299" s="1202" t="str">
        <f ca="1">IF(N1299&gt;0,"P","")</f>
        <v/>
      </c>
      <c r="H1299" s="1200" t="s">
        <v>4388</v>
      </c>
      <c r="I1299" s="68" t="s">
        <v>1242</v>
      </c>
      <c r="J1299" s="819"/>
      <c r="K1299" s="819"/>
      <c r="L1299" s="829" t="s">
        <v>1243</v>
      </c>
      <c r="M1299" s="799"/>
      <c r="N1299" s="1310">
        <f ca="1">'Ch7'!O536</f>
        <v>0</v>
      </c>
      <c r="O1299" s="1310">
        <f ca="1">IFERROR(INDEX({3,5},MATCH(W1299,INDIRECT(U1299),0)),0)*S1299</f>
        <v>0</v>
      </c>
      <c r="P1299" s="97" t="b">
        <v>0</v>
      </c>
      <c r="Q1299" s="97" t="b">
        <v>1</v>
      </c>
      <c r="R1299" s="790" t="b">
        <v>0</v>
      </c>
      <c r="S1299" s="790" t="b">
        <f>AND(OR(AY799&lt;&gt;INDEX(ddHDucts,2),AY803&lt;&gt;INDEX(ddCDucts,2)),LEN(W1076)=0)</f>
        <v>1</v>
      </c>
      <c r="T1299" s="97" t="b">
        <f>AND(NOT(S1299),LEN(W1299)&gt;0)</f>
        <v>0</v>
      </c>
      <c r="U1299" s="97" t="str">
        <f>SUBSTITUTE(SUBSTITUTE(SUBSTITUTE("dd"&amp;B1299&amp;C1299&amp;D1299&amp;E1299&amp;F1299,".","_"),"(","_"),")","")</f>
        <v>dd705_6_2_3</v>
      </c>
      <c r="V1299" s="790"/>
      <c r="W1299" s="12"/>
      <c r="X1299" s="1303"/>
      <c r="Y1299" s="1522" t="str">
        <f>IF(LEN('Ch7'!X536)=0,"None",'Ch7'!X536)</f>
        <v>None</v>
      </c>
      <c r="Z1299" s="1586"/>
      <c r="AB1299" s="790"/>
      <c r="AC1299" s="790" t="b">
        <f>OR(AD1299:AE1299)</f>
        <v>0</v>
      </c>
      <c r="AD1299" s="790" t="b">
        <f>T1299</f>
        <v>0</v>
      </c>
      <c r="AE1299" s="790" t="b">
        <f>AND(R1299,OR(W1299="Not Met",W1299=""))</f>
        <v>0</v>
      </c>
      <c r="AF1299" s="1182" t="b">
        <f>AND(AE1299,NOT(Q1299))</f>
        <v>0</v>
      </c>
      <c r="AG1299" s="790"/>
      <c r="AH1299" s="790"/>
      <c r="AI1299" s="790"/>
      <c r="AJ1299" s="790"/>
      <c r="AK1299" s="790"/>
      <c r="AL1299" s="790"/>
      <c r="AM1299" s="790"/>
      <c r="AN1299" s="311" t="str">
        <f>SUBSTITUTE(SUBSTITUTE(SUBSTITUTE("vpc"&amp;$B1299&amp;$C1299&amp;$D1299&amp;$E1299&amp;$F1299,".","_"),"(","_"),")","")</f>
        <v>vpc705_6_2_3</v>
      </c>
      <c r="AO1299" s="311">
        <f ca="1">O1299</f>
        <v>0</v>
      </c>
      <c r="AP1299" s="311" t="str">
        <f>SUBSTITUTE(SUBSTITUTE(SUBSTITUTE("vch"&amp;$B1299&amp;$C1299&amp;$D1299&amp;$E1299&amp;$F1299,".","_"),"(","_"),")","")</f>
        <v>vch705_6_2_3</v>
      </c>
      <c r="AQ1299" s="311">
        <f>W1299</f>
        <v>0</v>
      </c>
      <c r="AR1299" s="311" t="str">
        <f>SUBSTITUTE(SUBSTITUTE(SUBSTITUTE("vnt"&amp;$B1299&amp;$C1299&amp;$D1299&amp;$E1299&amp;$F1299,".","_"),"(","_"),")","")</f>
        <v>vnt705_6_2_3</v>
      </c>
      <c r="AS1299" s="311">
        <f>X1299</f>
        <v>0</v>
      </c>
      <c r="AT1299" s="790"/>
      <c r="AU1299" s="790"/>
      <c r="AV1299" s="790"/>
      <c r="AW1299" s="790"/>
      <c r="AX1299" s="790"/>
      <c r="AY1299" s="790"/>
      <c r="AZ1299" s="790"/>
      <c r="BA1299" s="790"/>
      <c r="BB1299" s="790"/>
      <c r="BC1299" s="790"/>
      <c r="BD1299" s="790"/>
      <c r="BE1299" s="790"/>
      <c r="BF1299" s="790"/>
      <c r="BG1299" s="790"/>
      <c r="BH1299" s="790"/>
      <c r="BI1299" s="790"/>
      <c r="BJ1299" s="1184" t="s">
        <v>4763</v>
      </c>
    </row>
    <row r="1300" spans="1:62" x14ac:dyDescent="0.3">
      <c r="A1300" s="1200">
        <v>7</v>
      </c>
      <c r="B1300" s="1210" t="s">
        <v>1242</v>
      </c>
      <c r="C1300" s="1215"/>
      <c r="D1300" s="1203"/>
      <c r="E1300" s="1203"/>
      <c r="F1300" s="1203"/>
      <c r="G1300" s="1202" t="str">
        <f t="shared" ref="G1300:G1304" ca="1" si="388">G1299</f>
        <v/>
      </c>
      <c r="H1300" s="1200" t="s">
        <v>4388</v>
      </c>
      <c r="I1300" s="4"/>
      <c r="J1300" s="819"/>
      <c r="K1300" s="819"/>
      <c r="L1300" s="818" t="s">
        <v>1244</v>
      </c>
      <c r="M1300" s="799"/>
      <c r="N1300" s="1310"/>
      <c r="O1300" s="1310"/>
      <c r="P1300" s="1081"/>
      <c r="Q1300" s="1081"/>
      <c r="R1300" s="790"/>
      <c r="S1300" s="790"/>
      <c r="T1300" s="790"/>
      <c r="U1300" s="790"/>
      <c r="V1300" s="790"/>
      <c r="W1300" s="790"/>
      <c r="X1300" s="1303"/>
      <c r="Y1300" s="1522"/>
      <c r="Z1300" s="1586"/>
      <c r="AB1300" s="790"/>
      <c r="AC1300" s="790"/>
      <c r="AD1300" s="790"/>
      <c r="AE1300" s="790"/>
      <c r="AF1300" s="790"/>
      <c r="AG1300" s="790"/>
      <c r="AH1300" s="790"/>
      <c r="AI1300" s="790"/>
      <c r="AJ1300" s="790"/>
      <c r="AK1300" s="790"/>
      <c r="AL1300" s="790"/>
      <c r="AM1300" s="790"/>
      <c r="AN1300" s="790"/>
      <c r="AO1300" s="790"/>
      <c r="AP1300" s="790"/>
      <c r="AQ1300" s="790"/>
      <c r="AR1300" s="790"/>
      <c r="AS1300" s="790"/>
      <c r="AT1300" s="790"/>
      <c r="AU1300" s="790"/>
      <c r="AV1300" s="790"/>
      <c r="AW1300" s="790"/>
      <c r="AX1300" s="790"/>
      <c r="AY1300" s="790"/>
      <c r="AZ1300" s="790"/>
      <c r="BA1300" s="790"/>
      <c r="BB1300" s="790"/>
      <c r="BC1300" s="790"/>
      <c r="BD1300" s="790"/>
      <c r="BE1300" s="790"/>
      <c r="BF1300" s="790"/>
      <c r="BG1300" s="790"/>
      <c r="BH1300" s="790"/>
      <c r="BI1300" s="790"/>
      <c r="BJ1300" s="1184" t="s">
        <v>4763</v>
      </c>
    </row>
    <row r="1301" spans="1:62" x14ac:dyDescent="0.3">
      <c r="A1301" s="1200">
        <v>7</v>
      </c>
      <c r="B1301" s="1210" t="s">
        <v>1242</v>
      </c>
      <c r="C1301" s="1215"/>
      <c r="D1301" s="1203"/>
      <c r="E1301" s="1203"/>
      <c r="F1301" s="1203"/>
      <c r="G1301" s="1202" t="str">
        <f t="shared" ca="1" si="388"/>
        <v/>
      </c>
      <c r="H1301" s="1200" t="s">
        <v>4388</v>
      </c>
      <c r="I1301" s="4"/>
      <c r="J1301" s="819"/>
      <c r="K1301" s="819"/>
      <c r="L1301" s="818" t="s">
        <v>3779</v>
      </c>
      <c r="M1301" s="799"/>
      <c r="N1301" s="1310"/>
      <c r="O1301" s="1310"/>
      <c r="P1301" s="1081"/>
      <c r="Q1301" s="1081"/>
      <c r="R1301" s="790"/>
      <c r="S1301" s="790"/>
      <c r="T1301" s="790"/>
      <c r="U1301" s="790"/>
      <c r="V1301" s="790"/>
      <c r="W1301" s="790"/>
      <c r="X1301" s="1303"/>
      <c r="Y1301" s="1522"/>
      <c r="Z1301" s="1586"/>
      <c r="AB1301" s="790"/>
      <c r="AC1301" s="790"/>
      <c r="AD1301" s="790"/>
      <c r="AE1301" s="790"/>
      <c r="AF1301" s="790"/>
      <c r="AG1301" s="790"/>
      <c r="AH1301" s="790"/>
      <c r="AI1301" s="790"/>
      <c r="AJ1301" s="790"/>
      <c r="AK1301" s="790"/>
      <c r="AL1301" s="790"/>
      <c r="AM1301" s="790"/>
      <c r="AN1301" s="790"/>
      <c r="AO1301" s="790"/>
      <c r="AP1301" s="790"/>
      <c r="AQ1301" s="790"/>
      <c r="AR1301" s="790"/>
      <c r="AS1301" s="790"/>
      <c r="AT1301" s="790"/>
      <c r="AU1301" s="790"/>
      <c r="AV1301" s="790"/>
      <c r="AW1301" s="790"/>
      <c r="AX1301" s="790"/>
      <c r="AY1301" s="790"/>
      <c r="AZ1301" s="790"/>
      <c r="BA1301" s="790"/>
      <c r="BB1301" s="790"/>
      <c r="BC1301" s="790"/>
      <c r="BD1301" s="790"/>
      <c r="BE1301" s="790"/>
      <c r="BF1301" s="790"/>
      <c r="BG1301" s="790"/>
      <c r="BH1301" s="790"/>
      <c r="BI1301" s="790"/>
      <c r="BJ1301" s="1184" t="s">
        <v>4763</v>
      </c>
    </row>
    <row r="1302" spans="1:62" x14ac:dyDescent="0.3">
      <c r="A1302" s="1200">
        <v>7</v>
      </c>
      <c r="B1302" s="1210" t="s">
        <v>1242</v>
      </c>
      <c r="C1302" s="1215"/>
      <c r="D1302" s="1203" t="s">
        <v>271</v>
      </c>
      <c r="E1302" s="1203"/>
      <c r="F1302" s="1203"/>
      <c r="G1302" s="1202" t="str">
        <f t="shared" ca="1" si="388"/>
        <v/>
      </c>
      <c r="H1302" s="1200" t="s">
        <v>4388</v>
      </c>
      <c r="I1302" s="4"/>
      <c r="J1302" s="644" t="s">
        <v>271</v>
      </c>
      <c r="K1302" s="813"/>
      <c r="L1302" s="813" t="s">
        <v>3780</v>
      </c>
      <c r="M1302" s="796">
        <v>3</v>
      </c>
      <c r="N1302" s="850"/>
      <c r="O1302" s="802"/>
      <c r="P1302" s="1081"/>
      <c r="Q1302" s="1081"/>
      <c r="R1302" s="790"/>
      <c r="S1302" s="790"/>
      <c r="T1302" s="790"/>
      <c r="U1302" s="790"/>
      <c r="V1302" s="790"/>
      <c r="W1302" s="790"/>
      <c r="X1302" s="1303"/>
      <c r="Y1302" s="1522"/>
      <c r="Z1302" s="1586"/>
      <c r="AB1302" s="790"/>
      <c r="AC1302" s="790"/>
      <c r="AD1302" s="790"/>
      <c r="AE1302" s="790"/>
      <c r="AF1302" s="790"/>
      <c r="AG1302" s="790"/>
      <c r="AH1302" s="790"/>
      <c r="AI1302" s="790"/>
      <c r="AJ1302" s="790"/>
      <c r="AK1302" s="790"/>
      <c r="AL1302" s="311" t="str">
        <f t="shared" ref="AL1302:AL1303" si="389">SUBSTITUTE(SUBSTITUTE(SUBSTITUTE("vpa"&amp;$B1302&amp;$C1302&amp;$D1302&amp;$E1302&amp;$F1302,".","_"),"(","_"),")","")</f>
        <v>vpa705_6_2_3_1</v>
      </c>
      <c r="AM1302" s="311">
        <f>M1302</f>
        <v>3</v>
      </c>
      <c r="AN1302" s="790"/>
      <c r="AO1302" s="790"/>
      <c r="AP1302" s="790"/>
      <c r="AQ1302" s="790"/>
      <c r="AR1302" s="790"/>
      <c r="AS1302" s="790"/>
      <c r="AT1302" s="790"/>
      <c r="AU1302" s="790"/>
      <c r="AV1302" s="790"/>
      <c r="AW1302" s="790"/>
      <c r="AX1302" s="790"/>
      <c r="AY1302" s="790"/>
      <c r="AZ1302" s="790"/>
      <c r="BA1302" s="790"/>
      <c r="BB1302" s="790"/>
      <c r="BC1302" s="790"/>
      <c r="BD1302" s="790"/>
      <c r="BE1302" s="790"/>
      <c r="BF1302" s="790"/>
      <c r="BG1302" s="790"/>
      <c r="BH1302" s="790"/>
      <c r="BI1302" s="790"/>
      <c r="BJ1302" s="1184" t="s">
        <v>4763</v>
      </c>
    </row>
    <row r="1303" spans="1:62" x14ac:dyDescent="0.3">
      <c r="A1303" s="1200">
        <v>7</v>
      </c>
      <c r="B1303" s="1210" t="s">
        <v>1242</v>
      </c>
      <c r="C1303" s="1215"/>
      <c r="D1303" s="1203" t="s">
        <v>273</v>
      </c>
      <c r="E1303" s="1203"/>
      <c r="F1303" s="1203"/>
      <c r="G1303" s="1202" t="str">
        <f t="shared" ca="1" si="388"/>
        <v/>
      </c>
      <c r="H1303" s="1200" t="s">
        <v>4388</v>
      </c>
      <c r="I1303" s="140"/>
      <c r="J1303" s="643" t="s">
        <v>273</v>
      </c>
      <c r="K1303" s="812"/>
      <c r="L1303" s="1305" t="s">
        <v>3781</v>
      </c>
      <c r="M1303" s="1318">
        <v>5</v>
      </c>
      <c r="N1303" s="850"/>
      <c r="O1303" s="802"/>
      <c r="P1303" s="1081"/>
      <c r="Q1303" s="1081"/>
      <c r="R1303" s="790"/>
      <c r="S1303" s="790"/>
      <c r="T1303" s="790"/>
      <c r="U1303" s="790"/>
      <c r="V1303" s="790"/>
      <c r="W1303" s="790"/>
      <c r="X1303" s="1303"/>
      <c r="Y1303" s="1522"/>
      <c r="Z1303" s="1586"/>
      <c r="AB1303" s="790"/>
      <c r="AC1303" s="790"/>
      <c r="AD1303" s="790"/>
      <c r="AE1303" s="790"/>
      <c r="AF1303" s="790"/>
      <c r="AG1303" s="790"/>
      <c r="AH1303" s="790"/>
      <c r="AI1303" s="790"/>
      <c r="AJ1303" s="790"/>
      <c r="AK1303" s="790"/>
      <c r="AL1303" s="311" t="str">
        <f t="shared" si="389"/>
        <v>vpa705_6_2_3_2</v>
      </c>
      <c r="AM1303" s="311">
        <f>M1303</f>
        <v>5</v>
      </c>
      <c r="AN1303" s="790"/>
      <c r="AO1303" s="790"/>
      <c r="AP1303" s="790"/>
      <c r="AQ1303" s="790"/>
      <c r="AR1303" s="790"/>
      <c r="AS1303" s="790"/>
      <c r="AT1303" s="790"/>
      <c r="AU1303" s="790"/>
      <c r="AV1303" s="790"/>
      <c r="AW1303" s="790"/>
      <c r="AX1303" s="790"/>
      <c r="AY1303" s="790"/>
      <c r="AZ1303" s="790"/>
      <c r="BA1303" s="790"/>
      <c r="BB1303" s="790"/>
      <c r="BC1303" s="790"/>
      <c r="BD1303" s="790"/>
      <c r="BE1303" s="790"/>
      <c r="BF1303" s="790"/>
      <c r="BG1303" s="790"/>
      <c r="BH1303" s="790"/>
      <c r="BI1303" s="790"/>
      <c r="BJ1303" s="1184" t="s">
        <v>4763</v>
      </c>
    </row>
    <row r="1304" spans="1:62" x14ac:dyDescent="0.3">
      <c r="A1304" s="1200">
        <v>7</v>
      </c>
      <c r="B1304" s="1210" t="s">
        <v>1242</v>
      </c>
      <c r="C1304" s="1215"/>
      <c r="D1304" s="1203"/>
      <c r="E1304" s="1203"/>
      <c r="F1304" s="1203"/>
      <c r="G1304" s="1202" t="str">
        <f t="shared" ca="1" si="388"/>
        <v/>
      </c>
      <c r="H1304" s="1200" t="s">
        <v>4388</v>
      </c>
      <c r="I1304" s="238"/>
      <c r="J1304" s="196"/>
      <c r="K1304" s="813"/>
      <c r="L1304" s="1306"/>
      <c r="M1304" s="1319"/>
      <c r="N1304" s="855"/>
      <c r="O1304" s="804"/>
      <c r="P1304" s="1081"/>
      <c r="Q1304" s="1081"/>
      <c r="R1304" s="790"/>
      <c r="S1304" s="790"/>
      <c r="T1304" s="790"/>
      <c r="U1304" s="790"/>
      <c r="V1304" s="790"/>
      <c r="W1304" s="790"/>
      <c r="X1304" s="1303"/>
      <c r="Y1304" s="1522"/>
      <c r="Z1304" s="1586"/>
      <c r="AB1304" s="790"/>
      <c r="AC1304" s="790"/>
      <c r="AD1304" s="790"/>
      <c r="AE1304" s="790"/>
      <c r="AF1304" s="790"/>
      <c r="AG1304" s="790"/>
      <c r="AH1304" s="790"/>
      <c r="AI1304" s="790"/>
      <c r="AJ1304" s="790"/>
      <c r="AK1304" s="790"/>
      <c r="AL1304" s="790"/>
      <c r="AM1304" s="790"/>
      <c r="AN1304" s="790"/>
      <c r="AO1304" s="790"/>
      <c r="AP1304" s="790"/>
      <c r="AQ1304" s="790"/>
      <c r="AR1304" s="790"/>
      <c r="AS1304" s="790"/>
      <c r="AT1304" s="790"/>
      <c r="AU1304" s="790"/>
      <c r="AV1304" s="790"/>
      <c r="AW1304" s="790"/>
      <c r="AX1304" s="790"/>
      <c r="AY1304" s="790"/>
      <c r="AZ1304" s="790"/>
      <c r="BA1304" s="790"/>
      <c r="BB1304" s="790"/>
      <c r="BC1304" s="790"/>
      <c r="BD1304" s="790"/>
      <c r="BE1304" s="790"/>
      <c r="BF1304" s="790"/>
      <c r="BG1304" s="790"/>
      <c r="BH1304" s="790"/>
      <c r="BI1304" s="790"/>
      <c r="BJ1304" s="1184" t="s">
        <v>4763</v>
      </c>
    </row>
    <row r="1305" spans="1:62" x14ac:dyDescent="0.3">
      <c r="A1305" s="1200">
        <v>7</v>
      </c>
      <c r="B1305" s="1210" t="s">
        <v>3778</v>
      </c>
      <c r="C1305" s="1215"/>
      <c r="D1305" s="1203"/>
      <c r="E1305" s="1203"/>
      <c r="F1305" s="1203"/>
      <c r="G1305" s="1202" t="str">
        <f>IF(N1305&gt;0,"P","")</f>
        <v/>
      </c>
      <c r="H1305" s="1200" t="s">
        <v>4387</v>
      </c>
      <c r="I1305" s="68" t="s">
        <v>3778</v>
      </c>
      <c r="J1305" s="819"/>
      <c r="K1305" s="819"/>
      <c r="L1305" s="1389" t="s">
        <v>3782</v>
      </c>
      <c r="M1305" s="1335">
        <v>1</v>
      </c>
      <c r="N1305" s="1310">
        <f>'Ch7'!O542</f>
        <v>0</v>
      </c>
      <c r="O1305" s="1324">
        <f>M1305*S1305*W1305*NOT(W1307)</f>
        <v>0</v>
      </c>
      <c r="P1305" s="97" t="b">
        <v>1</v>
      </c>
      <c r="Q1305" s="97" t="b">
        <v>0</v>
      </c>
      <c r="R1305" s="790" t="b">
        <v>0</v>
      </c>
      <c r="S1305" s="790" t="b">
        <v>1</v>
      </c>
      <c r="T1305" s="97" t="b">
        <v>0</v>
      </c>
      <c r="U1305" s="790"/>
      <c r="V1305" s="790"/>
      <c r="W1305" s="25"/>
      <c r="X1305" s="790"/>
      <c r="Y1305" s="790"/>
      <c r="Z1305" s="1055"/>
      <c r="AB1305" s="790"/>
      <c r="AC1305" s="790" t="b">
        <f>OR(AD1305:AE1305)</f>
        <v>0</v>
      </c>
      <c r="AD1305" s="790" t="b">
        <f>T1305</f>
        <v>0</v>
      </c>
      <c r="AE1305" s="790" t="b">
        <f>AND(R1305,NOT(W1305))</f>
        <v>0</v>
      </c>
      <c r="AF1305" s="1182" t="b">
        <f>AND(AE1305,NOT(Q1305))</f>
        <v>0</v>
      </c>
      <c r="AG1305" s="790"/>
      <c r="AH1305" s="790"/>
      <c r="AI1305" s="790"/>
      <c r="AJ1305" s="790"/>
      <c r="AK1305" s="790"/>
      <c r="AL1305" s="311" t="str">
        <f t="shared" ref="AL1305" si="390">SUBSTITUTE(SUBSTITUTE(SUBSTITUTE("vpa"&amp;$B1305&amp;$C1305&amp;$D1305&amp;$E1305&amp;$F1305,".","_"),"(","_"),")","")</f>
        <v>vpa705_6_3</v>
      </c>
      <c r="AM1305" s="311">
        <f>M1305</f>
        <v>1</v>
      </c>
      <c r="AN1305" s="311" t="str">
        <f>SUBSTITUTE(SUBSTITUTE(SUBSTITUTE("vpc"&amp;$B1305&amp;$C1305&amp;$D1305&amp;$E1305&amp;$F1305,".","_"),"(","_"),")","")</f>
        <v>vpc705_6_3</v>
      </c>
      <c r="AO1305" s="311">
        <f>O1305</f>
        <v>0</v>
      </c>
      <c r="AP1305" s="311" t="str">
        <f>SUBSTITUTE(SUBSTITUTE(SUBSTITUTE("vch"&amp;$B1305&amp;$C1305&amp;$D1305&amp;$E1305&amp;$F1305,".","_"),"(","_"),")","")</f>
        <v>vch705_6_3</v>
      </c>
      <c r="AQ1305" s="311">
        <f>W1305</f>
        <v>0</v>
      </c>
      <c r="AR1305" s="790"/>
      <c r="AS1305" s="790"/>
      <c r="AT1305" s="790"/>
      <c r="AU1305" s="790"/>
      <c r="AV1305" s="790"/>
      <c r="AW1305" s="790"/>
      <c r="AX1305" s="790"/>
      <c r="AY1305" s="790"/>
      <c r="AZ1305" s="790"/>
      <c r="BA1305" s="790"/>
      <c r="BB1305" s="790"/>
      <c r="BC1305" s="790"/>
      <c r="BD1305" s="790"/>
      <c r="BE1305" s="790"/>
      <c r="BF1305" s="790"/>
      <c r="BG1305" s="790"/>
      <c r="BH1305" s="790"/>
      <c r="BI1305" s="790"/>
      <c r="BJ1305" s="1184" t="s">
        <v>4763</v>
      </c>
    </row>
    <row r="1306" spans="1:62" x14ac:dyDescent="0.3">
      <c r="A1306" s="1200">
        <v>7</v>
      </c>
      <c r="B1306" s="1210" t="s">
        <v>3778</v>
      </c>
      <c r="C1306" s="1215"/>
      <c r="D1306" s="1203"/>
      <c r="E1306" s="1203"/>
      <c r="F1306" s="1203"/>
      <c r="G1306" s="1202" t="str">
        <f t="shared" ref="G1306:G1315" si="391">G1305</f>
        <v/>
      </c>
      <c r="H1306" s="1200" t="s">
        <v>4387</v>
      </c>
      <c r="I1306" s="4"/>
      <c r="J1306" s="819"/>
      <c r="K1306" s="819"/>
      <c r="L1306" s="1389"/>
      <c r="M1306" s="1335"/>
      <c r="N1306" s="1310"/>
      <c r="O1306" s="1310"/>
      <c r="P1306" s="1081"/>
      <c r="Q1306" s="1081"/>
      <c r="R1306" s="790"/>
      <c r="S1306" s="790"/>
      <c r="T1306" s="790"/>
      <c r="U1306" s="790"/>
      <c r="V1306" s="790"/>
      <c r="W1306" s="1104" t="s">
        <v>4712</v>
      </c>
      <c r="X1306" s="790"/>
      <c r="Y1306" s="790"/>
      <c r="Z1306" s="1055"/>
      <c r="AB1306" s="790"/>
      <c r="AC1306" s="790"/>
      <c r="AD1306" s="790"/>
      <c r="AE1306" s="790"/>
      <c r="AF1306" s="790"/>
      <c r="AG1306" s="790"/>
      <c r="AH1306" s="790"/>
      <c r="AI1306" s="790"/>
      <c r="AJ1306" s="790"/>
      <c r="AK1306" s="790"/>
      <c r="AL1306" s="790"/>
      <c r="AM1306" s="790"/>
      <c r="AN1306" s="790"/>
      <c r="AO1306" s="790"/>
      <c r="AP1306" s="790"/>
      <c r="AQ1306" s="790"/>
      <c r="AR1306" s="790"/>
      <c r="AS1306" s="790"/>
      <c r="AT1306" s="790"/>
      <c r="AU1306" s="790"/>
      <c r="AV1306" s="790"/>
      <c r="AW1306" s="790"/>
      <c r="AX1306" s="790"/>
      <c r="AY1306" s="790"/>
      <c r="AZ1306" s="790"/>
      <c r="BA1306" s="790"/>
      <c r="BB1306" s="790"/>
      <c r="BC1306" s="790"/>
      <c r="BD1306" s="790"/>
      <c r="BE1306" s="790"/>
      <c r="BF1306" s="790"/>
      <c r="BG1306" s="790"/>
      <c r="BH1306" s="790"/>
      <c r="BI1306" s="790"/>
      <c r="BJ1306" s="1184" t="s">
        <v>4763</v>
      </c>
    </row>
    <row r="1307" spans="1:62" x14ac:dyDescent="0.3">
      <c r="A1307" s="1200">
        <v>7</v>
      </c>
      <c r="B1307" s="1210" t="s">
        <v>3778</v>
      </c>
      <c r="C1307" s="1215"/>
      <c r="D1307" s="1203" t="s">
        <v>271</v>
      </c>
      <c r="E1307" s="1203"/>
      <c r="F1307" s="1203"/>
      <c r="G1307" s="1202" t="str">
        <f t="shared" si="391"/>
        <v/>
      </c>
      <c r="H1307" s="1200" t="s">
        <v>4387</v>
      </c>
      <c r="I1307" s="4"/>
      <c r="J1307" s="819"/>
      <c r="K1307" s="819"/>
      <c r="L1307" s="818" t="s">
        <v>1244</v>
      </c>
      <c r="M1307" s="799"/>
      <c r="N1307" s="850"/>
      <c r="O1307" s="802"/>
      <c r="P1307" s="97" t="b">
        <v>1</v>
      </c>
      <c r="Q1307" s="97" t="b">
        <v>0</v>
      </c>
      <c r="R1307" s="1104" t="b">
        <v>0</v>
      </c>
      <c r="S1307" s="1104" t="b">
        <v>1</v>
      </c>
      <c r="T1307" s="97" t="b">
        <v>0</v>
      </c>
      <c r="U1307" s="790"/>
      <c r="V1307" s="790"/>
      <c r="W1307" s="25"/>
      <c r="X1307" s="790"/>
      <c r="Y1307" s="790"/>
      <c r="Z1307" s="1055"/>
      <c r="AB1307" s="790"/>
      <c r="AC1307" s="1104" t="b">
        <f>OR(AD1307:AE1307)</f>
        <v>0</v>
      </c>
      <c r="AD1307" s="1104" t="b">
        <f>T1307</f>
        <v>0</v>
      </c>
      <c r="AE1307" s="1104" t="b">
        <f>AND(R1307,NOT(W1307))</f>
        <v>0</v>
      </c>
      <c r="AF1307" s="1182" t="b">
        <f>AND(AE1307,NOT(Q1307))</f>
        <v>0</v>
      </c>
      <c r="AG1307" s="790"/>
      <c r="AH1307" s="790"/>
      <c r="AI1307" s="790"/>
      <c r="AJ1307" s="790"/>
      <c r="AK1307" s="790"/>
      <c r="AL1307" s="790"/>
      <c r="AM1307" s="790"/>
      <c r="AN1307" s="790"/>
      <c r="AO1307" s="790"/>
      <c r="AP1307" s="311" t="str">
        <f>SUBSTITUTE(SUBSTITUTE(SUBSTITUTE("dch"&amp;$B1307&amp;$C1307&amp;$D1307&amp;$E1307&amp;$F1307,".","_"),"(","_"),")","")</f>
        <v>dch705_6_3_1</v>
      </c>
      <c r="AQ1307" s="311">
        <f>W1307</f>
        <v>0</v>
      </c>
      <c r="AR1307" s="790"/>
      <c r="AS1307" s="790"/>
      <c r="AT1307" s="790"/>
      <c r="AU1307" s="790"/>
      <c r="AV1307" s="790"/>
      <c r="AW1307" s="790"/>
      <c r="AX1307" s="790"/>
      <c r="AY1307" s="790"/>
      <c r="AZ1307" s="790"/>
      <c r="BA1307" s="790"/>
      <c r="BB1307" s="790"/>
      <c r="BC1307" s="790"/>
      <c r="BD1307" s="790"/>
      <c r="BE1307" s="790"/>
      <c r="BF1307" s="790"/>
      <c r="BG1307" s="790"/>
      <c r="BH1307" s="790"/>
      <c r="BI1307" s="790"/>
      <c r="BJ1307" s="1184" t="s">
        <v>4763</v>
      </c>
    </row>
    <row r="1308" spans="1:62" x14ac:dyDescent="0.3">
      <c r="A1308" s="1200">
        <v>7</v>
      </c>
      <c r="B1308" s="1210" t="s">
        <v>3778</v>
      </c>
      <c r="C1308" s="1215"/>
      <c r="D1308" s="1203"/>
      <c r="E1308" s="1203" t="s">
        <v>121</v>
      </c>
      <c r="F1308" s="1203"/>
      <c r="G1308" s="1202" t="str">
        <f t="shared" si="391"/>
        <v/>
      </c>
      <c r="H1308" s="1204" t="s">
        <v>4387</v>
      </c>
      <c r="I1308" s="4"/>
      <c r="J1308" s="819"/>
      <c r="K1308" s="260" t="s">
        <v>121</v>
      </c>
      <c r="L1308" s="819" t="s">
        <v>1245</v>
      </c>
      <c r="M1308" s="799"/>
      <c r="N1308" s="850"/>
      <c r="O1308" s="802"/>
      <c r="P1308" s="1081"/>
      <c r="Q1308" s="1081"/>
      <c r="R1308" s="790"/>
      <c r="S1308" s="790"/>
      <c r="T1308" s="790"/>
      <c r="U1308" s="790"/>
      <c r="V1308" s="790"/>
      <c r="W1308" s="790"/>
      <c r="X1308" s="809"/>
      <c r="Y1308" s="841" t="str">
        <f>IF(LEN('Ch7'!X545)=0,"None",'Ch7'!X545)</f>
        <v>None</v>
      </c>
      <c r="Z1308" s="1169"/>
      <c r="AB1308" s="790"/>
      <c r="AC1308" s="790"/>
      <c r="AD1308" s="790"/>
      <c r="AE1308" s="790"/>
      <c r="AF1308" s="790"/>
      <c r="AG1308" s="790"/>
      <c r="AH1308" s="790"/>
      <c r="AI1308" s="790"/>
      <c r="AJ1308" s="790"/>
      <c r="AK1308" s="790"/>
      <c r="AL1308" s="790"/>
      <c r="AM1308" s="790"/>
      <c r="AN1308" s="790"/>
      <c r="AO1308" s="790"/>
      <c r="AP1308" s="790"/>
      <c r="AQ1308" s="790"/>
      <c r="AR1308" s="311" t="str">
        <f t="shared" ref="AR1308:AR1314" si="392">SUBSTITUTE(SUBSTITUTE(SUBSTITUTE("vnt"&amp;$B1308&amp;$C1308&amp;$D1308&amp;$E1308&amp;$F1308,".","_"),"(","_"),")","")</f>
        <v>vnt705_6_3_a</v>
      </c>
      <c r="AS1308" s="311">
        <f t="shared" ref="AS1308:AS1314" si="393">X1308</f>
        <v>0</v>
      </c>
      <c r="AT1308" s="790"/>
      <c r="AU1308" s="790"/>
      <c r="AV1308" s="790"/>
      <c r="AW1308" s="790"/>
      <c r="AX1308" s="790"/>
      <c r="AY1308" s="790"/>
      <c r="AZ1308" s="790"/>
      <c r="BA1308" s="790"/>
      <c r="BB1308" s="790"/>
      <c r="BC1308" s="790"/>
      <c r="BD1308" s="790"/>
      <c r="BE1308" s="790"/>
      <c r="BF1308" s="790"/>
      <c r="BG1308" s="790"/>
      <c r="BH1308" s="790"/>
      <c r="BI1308" s="790"/>
      <c r="BJ1308" s="1184" t="s">
        <v>4763</v>
      </c>
    </row>
    <row r="1309" spans="1:62" x14ac:dyDescent="0.3">
      <c r="A1309" s="1200">
        <v>7</v>
      </c>
      <c r="B1309" s="1210" t="s">
        <v>3778</v>
      </c>
      <c r="C1309" s="1215"/>
      <c r="D1309" s="1203"/>
      <c r="E1309" s="1203" t="s">
        <v>122</v>
      </c>
      <c r="F1309" s="1203"/>
      <c r="G1309" s="1202" t="str">
        <f t="shared" si="391"/>
        <v/>
      </c>
      <c r="H1309" s="1204" t="s">
        <v>4387</v>
      </c>
      <c r="I1309" s="4"/>
      <c r="J1309" s="819"/>
      <c r="K1309" s="260" t="s">
        <v>122</v>
      </c>
      <c r="L1309" s="819" t="s">
        <v>1246</v>
      </c>
      <c r="M1309" s="799"/>
      <c r="N1309" s="850"/>
      <c r="O1309" s="802"/>
      <c r="P1309" s="1081"/>
      <c r="Q1309" s="1081"/>
      <c r="R1309" s="790"/>
      <c r="S1309" s="790"/>
      <c r="T1309" s="790"/>
      <c r="U1309" s="790"/>
      <c r="V1309" s="790"/>
      <c r="W1309" s="790"/>
      <c r="X1309" s="809"/>
      <c r="Y1309" s="841" t="str">
        <f>IF(LEN('Ch7'!X546)=0,"None",'Ch7'!X546)</f>
        <v>None</v>
      </c>
      <c r="Z1309" s="1169"/>
      <c r="AB1309" s="790"/>
      <c r="AC1309" s="790"/>
      <c r="AD1309" s="790"/>
      <c r="AE1309" s="790"/>
      <c r="AF1309" s="790"/>
      <c r="AG1309" s="790"/>
      <c r="AH1309" s="790"/>
      <c r="AI1309" s="790"/>
      <c r="AJ1309" s="790"/>
      <c r="AK1309" s="790"/>
      <c r="AL1309" s="790"/>
      <c r="AM1309" s="790"/>
      <c r="AN1309" s="790"/>
      <c r="AO1309" s="790"/>
      <c r="AP1309" s="790"/>
      <c r="AQ1309" s="790"/>
      <c r="AR1309" s="311" t="str">
        <f t="shared" si="392"/>
        <v>vnt705_6_3_b</v>
      </c>
      <c r="AS1309" s="311">
        <f t="shared" si="393"/>
        <v>0</v>
      </c>
      <c r="AT1309" s="790"/>
      <c r="AU1309" s="790"/>
      <c r="AV1309" s="790"/>
      <c r="AW1309" s="790"/>
      <c r="AX1309" s="790"/>
      <c r="AY1309" s="790"/>
      <c r="AZ1309" s="790"/>
      <c r="BA1309" s="790"/>
      <c r="BB1309" s="790"/>
      <c r="BC1309" s="790"/>
      <c r="BD1309" s="790"/>
      <c r="BE1309" s="790"/>
      <c r="BF1309" s="790"/>
      <c r="BG1309" s="790"/>
      <c r="BH1309" s="790"/>
      <c r="BI1309" s="790"/>
      <c r="BJ1309" s="1184" t="s">
        <v>4763</v>
      </c>
    </row>
    <row r="1310" spans="1:62" x14ac:dyDescent="0.3">
      <c r="A1310" s="1200">
        <v>7</v>
      </c>
      <c r="B1310" s="1210" t="s">
        <v>3778</v>
      </c>
      <c r="C1310" s="1215"/>
      <c r="D1310" s="1203"/>
      <c r="E1310" s="1205" t="s">
        <v>123</v>
      </c>
      <c r="F1310" s="1205"/>
      <c r="G1310" s="1202" t="str">
        <f t="shared" si="391"/>
        <v/>
      </c>
      <c r="H1310" s="1206" t="s">
        <v>4387</v>
      </c>
      <c r="I1310" s="4"/>
      <c r="J1310" s="819"/>
      <c r="K1310" s="261" t="s">
        <v>123</v>
      </c>
      <c r="L1310" s="819" t="s">
        <v>1247</v>
      </c>
      <c r="M1310" s="799"/>
      <c r="N1310" s="850"/>
      <c r="O1310" s="802"/>
      <c r="P1310" s="1081"/>
      <c r="Q1310" s="1081"/>
      <c r="R1310" s="790"/>
      <c r="S1310" s="790"/>
      <c r="T1310" s="790"/>
      <c r="U1310" s="790"/>
      <c r="V1310" s="790"/>
      <c r="W1310" s="790"/>
      <c r="X1310" s="809"/>
      <c r="Y1310" s="841" t="str">
        <f>IF(LEN('Ch7'!X547)=0,"None",'Ch7'!X547)</f>
        <v>None</v>
      </c>
      <c r="Z1310" s="1169"/>
      <c r="AB1310" s="790"/>
      <c r="AC1310" s="790"/>
      <c r="AD1310" s="790"/>
      <c r="AE1310" s="790"/>
      <c r="AF1310" s="790"/>
      <c r="AG1310" s="790"/>
      <c r="AH1310" s="790"/>
      <c r="AI1310" s="790"/>
      <c r="AJ1310" s="790"/>
      <c r="AK1310" s="790"/>
      <c r="AL1310" s="790"/>
      <c r="AM1310" s="790"/>
      <c r="AN1310" s="790"/>
      <c r="AO1310" s="790"/>
      <c r="AP1310" s="790"/>
      <c r="AQ1310" s="790"/>
      <c r="AR1310" s="311" t="str">
        <f t="shared" si="392"/>
        <v>vnt705_6_3_c</v>
      </c>
      <c r="AS1310" s="311">
        <f t="shared" si="393"/>
        <v>0</v>
      </c>
      <c r="AT1310" s="790"/>
      <c r="AU1310" s="790"/>
      <c r="AV1310" s="790"/>
      <c r="AW1310" s="790"/>
      <c r="AX1310" s="790"/>
      <c r="AY1310" s="790"/>
      <c r="AZ1310" s="790"/>
      <c r="BA1310" s="790"/>
      <c r="BB1310" s="790"/>
      <c r="BC1310" s="790"/>
      <c r="BD1310" s="790"/>
      <c r="BE1310" s="790"/>
      <c r="BF1310" s="790"/>
      <c r="BG1310" s="790"/>
      <c r="BH1310" s="790"/>
      <c r="BI1310" s="790"/>
      <c r="BJ1310" s="1184" t="s">
        <v>4763</v>
      </c>
    </row>
    <row r="1311" spans="1:62" x14ac:dyDescent="0.3">
      <c r="A1311" s="1200">
        <v>7</v>
      </c>
      <c r="B1311" s="1210" t="s">
        <v>3778</v>
      </c>
      <c r="C1311" s="1215"/>
      <c r="D1311" s="1203"/>
      <c r="E1311" s="1203" t="s">
        <v>423</v>
      </c>
      <c r="F1311" s="1203"/>
      <c r="G1311" s="1202" t="str">
        <f t="shared" si="391"/>
        <v/>
      </c>
      <c r="H1311" s="1200" t="s">
        <v>4387</v>
      </c>
      <c r="I1311" s="4"/>
      <c r="J1311" s="819"/>
      <c r="K1311" s="829" t="s">
        <v>423</v>
      </c>
      <c r="L1311" s="819" t="s">
        <v>1248</v>
      </c>
      <c r="M1311" s="799"/>
      <c r="N1311" s="850"/>
      <c r="O1311" s="802"/>
      <c r="P1311" s="1081"/>
      <c r="Q1311" s="1081"/>
      <c r="R1311" s="790"/>
      <c r="S1311" s="790"/>
      <c r="T1311" s="790"/>
      <c r="U1311" s="790"/>
      <c r="V1311" s="790"/>
      <c r="W1311" s="790"/>
      <c r="X1311" s="809"/>
      <c r="Y1311" s="841" t="str">
        <f>IF(LEN('Ch7'!X548)=0,"None",'Ch7'!X548)</f>
        <v>None</v>
      </c>
      <c r="Z1311" s="1169"/>
      <c r="AB1311" s="790"/>
      <c r="AC1311" s="790"/>
      <c r="AD1311" s="790"/>
      <c r="AE1311" s="790"/>
      <c r="AF1311" s="790"/>
      <c r="AG1311" s="790"/>
      <c r="AH1311" s="790"/>
      <c r="AI1311" s="790"/>
      <c r="AJ1311" s="790"/>
      <c r="AK1311" s="790"/>
      <c r="AL1311" s="790"/>
      <c r="AM1311" s="790"/>
      <c r="AN1311" s="790"/>
      <c r="AO1311" s="790"/>
      <c r="AP1311" s="790"/>
      <c r="AQ1311" s="790"/>
      <c r="AR1311" s="311" t="str">
        <f t="shared" si="392"/>
        <v>vnt705_6_3_d</v>
      </c>
      <c r="AS1311" s="311">
        <f t="shared" si="393"/>
        <v>0</v>
      </c>
      <c r="AT1311" s="790"/>
      <c r="AU1311" s="790"/>
      <c r="AV1311" s="790"/>
      <c r="AW1311" s="790"/>
      <c r="AX1311" s="790"/>
      <c r="AY1311" s="790"/>
      <c r="AZ1311" s="790"/>
      <c r="BA1311" s="790"/>
      <c r="BB1311" s="790"/>
      <c r="BC1311" s="790"/>
      <c r="BD1311" s="790"/>
      <c r="BE1311" s="790"/>
      <c r="BF1311" s="790"/>
      <c r="BG1311" s="790"/>
      <c r="BH1311" s="790"/>
      <c r="BI1311" s="790"/>
      <c r="BJ1311" s="1184" t="s">
        <v>4763</v>
      </c>
    </row>
    <row r="1312" spans="1:62" x14ac:dyDescent="0.3">
      <c r="A1312" s="1200">
        <v>7</v>
      </c>
      <c r="B1312" s="1210" t="s">
        <v>3778</v>
      </c>
      <c r="C1312" s="1215"/>
      <c r="D1312" s="1203"/>
      <c r="E1312" s="1203" t="s">
        <v>578</v>
      </c>
      <c r="F1312" s="1203"/>
      <c r="G1312" s="1202" t="str">
        <f t="shared" si="391"/>
        <v/>
      </c>
      <c r="H1312" s="1200" t="s">
        <v>4387</v>
      </c>
      <c r="I1312" s="4"/>
      <c r="J1312" s="819"/>
      <c r="K1312" s="829" t="s">
        <v>578</v>
      </c>
      <c r="L1312" s="819" t="s">
        <v>1249</v>
      </c>
      <c r="M1312" s="799"/>
      <c r="N1312" s="850"/>
      <c r="O1312" s="802"/>
      <c r="P1312" s="1081"/>
      <c r="Q1312" s="1081"/>
      <c r="R1312" s="790"/>
      <c r="S1312" s="790"/>
      <c r="T1312" s="790"/>
      <c r="U1312" s="790"/>
      <c r="V1312" s="790"/>
      <c r="W1312" s="790"/>
      <c r="X1312" s="809"/>
      <c r="Y1312" s="841" t="str">
        <f>IF(LEN('Ch7'!X549)=0,"None",'Ch7'!X549)</f>
        <v>None</v>
      </c>
      <c r="Z1312" s="1169"/>
      <c r="AB1312" s="790"/>
      <c r="AC1312" s="790"/>
      <c r="AD1312" s="790"/>
      <c r="AE1312" s="790"/>
      <c r="AF1312" s="790"/>
      <c r="AG1312" s="790"/>
      <c r="AH1312" s="790"/>
      <c r="AI1312" s="790"/>
      <c r="AJ1312" s="790"/>
      <c r="AK1312" s="790"/>
      <c r="AL1312" s="790"/>
      <c r="AM1312" s="790"/>
      <c r="AN1312" s="790"/>
      <c r="AO1312" s="790"/>
      <c r="AP1312" s="790"/>
      <c r="AQ1312" s="790"/>
      <c r="AR1312" s="311" t="str">
        <f t="shared" si="392"/>
        <v>vnt705_6_3_e</v>
      </c>
      <c r="AS1312" s="311">
        <f t="shared" si="393"/>
        <v>0</v>
      </c>
      <c r="AT1312" s="790"/>
      <c r="AU1312" s="790"/>
      <c r="AV1312" s="790"/>
      <c r="AW1312" s="790"/>
      <c r="AX1312" s="790"/>
      <c r="AY1312" s="790"/>
      <c r="AZ1312" s="790"/>
      <c r="BA1312" s="790"/>
      <c r="BB1312" s="790"/>
      <c r="BC1312" s="790"/>
      <c r="BD1312" s="790"/>
      <c r="BE1312" s="790"/>
      <c r="BF1312" s="790"/>
      <c r="BG1312" s="790"/>
      <c r="BH1312" s="790"/>
      <c r="BI1312" s="790"/>
      <c r="BJ1312" s="1184" t="s">
        <v>4763</v>
      </c>
    </row>
    <row r="1313" spans="1:62" x14ac:dyDescent="0.3">
      <c r="A1313" s="1200">
        <v>7</v>
      </c>
      <c r="B1313" s="1210" t="s">
        <v>3778</v>
      </c>
      <c r="C1313" s="1215"/>
      <c r="D1313" s="1203"/>
      <c r="E1313" s="1205" t="s">
        <v>645</v>
      </c>
      <c r="F1313" s="1205"/>
      <c r="G1313" s="1202" t="str">
        <f t="shared" si="391"/>
        <v/>
      </c>
      <c r="H1313" s="1206" t="s">
        <v>4387</v>
      </c>
      <c r="I1313" s="4"/>
      <c r="J1313" s="819"/>
      <c r="K1313" s="261" t="s">
        <v>645</v>
      </c>
      <c r="L1313" s="819" t="s">
        <v>1250</v>
      </c>
      <c r="M1313" s="799"/>
      <c r="N1313" s="850"/>
      <c r="O1313" s="802"/>
      <c r="P1313" s="1081"/>
      <c r="Q1313" s="1081"/>
      <c r="R1313" s="790"/>
      <c r="S1313" s="790"/>
      <c r="T1313" s="790"/>
      <c r="U1313" s="790"/>
      <c r="V1313" s="790"/>
      <c r="W1313" s="790"/>
      <c r="X1313" s="809"/>
      <c r="Y1313" s="841" t="str">
        <f>IF(LEN('Ch7'!X550)=0,"None",'Ch7'!X550)</f>
        <v>None</v>
      </c>
      <c r="Z1313" s="1169"/>
      <c r="AB1313" s="790"/>
      <c r="AC1313" s="790"/>
      <c r="AD1313" s="790"/>
      <c r="AE1313" s="790"/>
      <c r="AF1313" s="790"/>
      <c r="AG1313" s="790"/>
      <c r="AH1313" s="790"/>
      <c r="AI1313" s="790"/>
      <c r="AJ1313" s="790"/>
      <c r="AK1313" s="790"/>
      <c r="AL1313" s="790"/>
      <c r="AM1313" s="790"/>
      <c r="AN1313" s="790"/>
      <c r="AO1313" s="790"/>
      <c r="AP1313" s="790"/>
      <c r="AQ1313" s="790"/>
      <c r="AR1313" s="311" t="str">
        <f t="shared" si="392"/>
        <v>vnt705_6_3_f</v>
      </c>
      <c r="AS1313" s="311">
        <f t="shared" si="393"/>
        <v>0</v>
      </c>
      <c r="AT1313" s="790"/>
      <c r="AU1313" s="790"/>
      <c r="AV1313" s="790"/>
      <c r="AW1313" s="790"/>
      <c r="AX1313" s="790"/>
      <c r="AY1313" s="790"/>
      <c r="AZ1313" s="790"/>
      <c r="BA1313" s="790"/>
      <c r="BB1313" s="790"/>
      <c r="BC1313" s="790"/>
      <c r="BD1313" s="790"/>
      <c r="BE1313" s="790"/>
      <c r="BF1313" s="790"/>
      <c r="BG1313" s="790"/>
      <c r="BH1313" s="790"/>
      <c r="BI1313" s="790"/>
      <c r="BJ1313" s="1184" t="s">
        <v>4763</v>
      </c>
    </row>
    <row r="1314" spans="1:62" x14ac:dyDescent="0.3">
      <c r="A1314" s="1200">
        <v>7</v>
      </c>
      <c r="B1314" s="1210" t="s">
        <v>3778</v>
      </c>
      <c r="C1314" s="1215"/>
      <c r="D1314" s="1203"/>
      <c r="E1314" s="1203" t="s">
        <v>647</v>
      </c>
      <c r="F1314" s="1203"/>
      <c r="G1314" s="1202" t="str">
        <f t="shared" si="391"/>
        <v/>
      </c>
      <c r="H1314" s="1200" t="s">
        <v>4387</v>
      </c>
      <c r="I1314" s="140"/>
      <c r="J1314" s="812"/>
      <c r="K1314" s="830" t="s">
        <v>647</v>
      </c>
      <c r="L1314" s="1293" t="s">
        <v>1251</v>
      </c>
      <c r="M1314" s="799"/>
      <c r="N1314" s="850"/>
      <c r="O1314" s="802"/>
      <c r="P1314" s="1081"/>
      <c r="Q1314" s="1081"/>
      <c r="R1314" s="790"/>
      <c r="S1314" s="790"/>
      <c r="T1314" s="790"/>
      <c r="U1314" s="790"/>
      <c r="V1314" s="790"/>
      <c r="W1314" s="790"/>
      <c r="X1314" s="1303"/>
      <c r="Y1314" s="1522" t="str">
        <f>IF(LEN('Ch7'!X551)=0,"None",'Ch7'!X551)</f>
        <v>None</v>
      </c>
      <c r="Z1314" s="1586"/>
      <c r="AB1314" s="790"/>
      <c r="AC1314" s="790"/>
      <c r="AD1314" s="790"/>
      <c r="AE1314" s="790"/>
      <c r="AF1314" s="790"/>
      <c r="AG1314" s="790"/>
      <c r="AH1314" s="790"/>
      <c r="AI1314" s="790"/>
      <c r="AJ1314" s="790"/>
      <c r="AK1314" s="790"/>
      <c r="AL1314" s="790"/>
      <c r="AM1314" s="790"/>
      <c r="AN1314" s="790"/>
      <c r="AO1314" s="790"/>
      <c r="AP1314" s="790"/>
      <c r="AQ1314" s="790"/>
      <c r="AR1314" s="311" t="str">
        <f t="shared" si="392"/>
        <v>vnt705_6_3_g</v>
      </c>
      <c r="AS1314" s="311">
        <f t="shared" si="393"/>
        <v>0</v>
      </c>
      <c r="AT1314" s="790"/>
      <c r="AU1314" s="790"/>
      <c r="AV1314" s="790"/>
      <c r="AW1314" s="790"/>
      <c r="AX1314" s="790"/>
      <c r="AY1314" s="790"/>
      <c r="AZ1314" s="790"/>
      <c r="BA1314" s="790"/>
      <c r="BB1314" s="790"/>
      <c r="BC1314" s="790"/>
      <c r="BD1314" s="790"/>
      <c r="BE1314" s="790"/>
      <c r="BF1314" s="790"/>
      <c r="BG1314" s="790"/>
      <c r="BH1314" s="790"/>
      <c r="BI1314" s="790"/>
      <c r="BJ1314" s="1184" t="s">
        <v>4763</v>
      </c>
    </row>
    <row r="1315" spans="1:62" x14ac:dyDescent="0.3">
      <c r="A1315" s="1200">
        <v>7</v>
      </c>
      <c r="B1315" s="1210" t="s">
        <v>3778</v>
      </c>
      <c r="C1315" s="1215"/>
      <c r="D1315" s="1203"/>
      <c r="E1315" s="1203" t="s">
        <v>647</v>
      </c>
      <c r="F1315" s="1203"/>
      <c r="G1315" s="1202" t="str">
        <f t="shared" si="391"/>
        <v/>
      </c>
      <c r="H1315" s="1200" t="s">
        <v>4387</v>
      </c>
      <c r="I1315" s="238"/>
      <c r="J1315" s="813"/>
      <c r="K1315" s="831"/>
      <c r="L1315" s="1294"/>
      <c r="M1315" s="799"/>
      <c r="N1315" s="850"/>
      <c r="O1315" s="802"/>
      <c r="P1315" s="1081"/>
      <c r="Q1315" s="1081"/>
      <c r="R1315" s="790"/>
      <c r="S1315" s="790"/>
      <c r="T1315" s="790"/>
      <c r="U1315" s="790"/>
      <c r="V1315" s="790"/>
      <c r="W1315" s="790"/>
      <c r="X1315" s="1303"/>
      <c r="Y1315" s="1522"/>
      <c r="Z1315" s="1586"/>
      <c r="AB1315" s="790"/>
      <c r="AC1315" s="790"/>
      <c r="AD1315" s="790"/>
      <c r="AE1315" s="790"/>
      <c r="AF1315" s="790"/>
      <c r="AG1315" s="790"/>
      <c r="AH1315" s="790"/>
      <c r="AI1315" s="790"/>
      <c r="AJ1315" s="790"/>
      <c r="AK1315" s="790"/>
      <c r="AL1315" s="790"/>
      <c r="AM1315" s="790"/>
      <c r="AN1315" s="790"/>
      <c r="AO1315" s="790"/>
      <c r="AP1315" s="790"/>
      <c r="AQ1315" s="790"/>
      <c r="AR1315" s="790"/>
      <c r="AS1315" s="790"/>
      <c r="AT1315" s="790"/>
      <c r="AU1315" s="790"/>
      <c r="AV1315" s="790"/>
      <c r="AW1315" s="790"/>
      <c r="AX1315" s="790"/>
      <c r="AY1315" s="790"/>
      <c r="AZ1315" s="790"/>
      <c r="BA1315" s="790"/>
      <c r="BB1315" s="790"/>
      <c r="BC1315" s="790"/>
      <c r="BD1315" s="790"/>
      <c r="BE1315" s="790"/>
      <c r="BF1315" s="790"/>
      <c r="BG1315" s="790"/>
      <c r="BH1315" s="790"/>
      <c r="BI1315" s="790"/>
      <c r="BJ1315" s="1184" t="s">
        <v>4763</v>
      </c>
    </row>
    <row r="1316" spans="1:62" x14ac:dyDescent="0.3">
      <c r="A1316" s="1200">
        <v>7</v>
      </c>
      <c r="B1316" s="1210" t="s">
        <v>1252</v>
      </c>
      <c r="C1316" s="1215"/>
      <c r="D1316" s="1203"/>
      <c r="E1316" s="1203"/>
      <c r="F1316" s="1203"/>
      <c r="G1316" s="1196" t="str">
        <f ca="1">IF(COUNTIF(G1317,"P")&gt;0,"P","")</f>
        <v/>
      </c>
      <c r="H1316" s="1200" t="s">
        <v>4386</v>
      </c>
      <c r="I1316" s="68" t="s">
        <v>1252</v>
      </c>
      <c r="J1316" s="819"/>
      <c r="K1316" s="819"/>
      <c r="L1316" s="265" t="s">
        <v>1253</v>
      </c>
      <c r="M1316" s="799"/>
      <c r="N1316" s="850"/>
      <c r="O1316" s="802"/>
      <c r="P1316" s="1081"/>
      <c r="Q1316" s="1081"/>
      <c r="R1316" s="790"/>
      <c r="S1316" s="790"/>
      <c r="T1316" s="790"/>
      <c r="U1316" s="790"/>
      <c r="V1316" s="790"/>
      <c r="W1316" s="790"/>
      <c r="X1316" s="790"/>
      <c r="Y1316" s="790"/>
      <c r="Z1316" s="1055"/>
      <c r="AB1316" s="790"/>
      <c r="AC1316" s="790"/>
      <c r="AD1316" s="790"/>
      <c r="AE1316" s="790"/>
      <c r="AF1316" s="790"/>
      <c r="AG1316" s="790"/>
      <c r="AH1316" s="790"/>
      <c r="AI1316" s="790"/>
      <c r="AJ1316" s="790"/>
      <c r="AK1316" s="790"/>
      <c r="AL1316" s="790"/>
      <c r="AM1316" s="790"/>
      <c r="AN1316" s="790"/>
      <c r="AO1316" s="790"/>
      <c r="AP1316" s="790"/>
      <c r="AQ1316" s="790"/>
      <c r="AR1316" s="790"/>
      <c r="AS1316" s="790"/>
      <c r="AT1316" s="790"/>
      <c r="AU1316" s="790"/>
      <c r="AV1316" s="790"/>
      <c r="AW1316" s="790"/>
      <c r="AX1316" s="790"/>
      <c r="AY1316" s="790"/>
      <c r="AZ1316" s="790"/>
      <c r="BA1316" s="790"/>
      <c r="BB1316" s="790"/>
      <c r="BC1316" s="790"/>
      <c r="BD1316" s="790"/>
      <c r="BE1316" s="790"/>
      <c r="BF1316" s="790"/>
      <c r="BG1316" s="790"/>
      <c r="BH1316" s="790"/>
      <c r="BI1316" s="790"/>
      <c r="BJ1316" s="1184" t="s">
        <v>4763</v>
      </c>
    </row>
    <row r="1317" spans="1:62" x14ac:dyDescent="0.3">
      <c r="A1317" s="1200">
        <v>7</v>
      </c>
      <c r="B1317" s="1210" t="s">
        <v>1254</v>
      </c>
      <c r="C1317" s="1215"/>
      <c r="D1317" s="1203"/>
      <c r="E1317" s="1203"/>
      <c r="F1317" s="1203"/>
      <c r="G1317" s="1202" t="str">
        <f ca="1">IF(N1317&gt;0,"P","")</f>
        <v/>
      </c>
      <c r="H1317" s="1200" t="s">
        <v>4386</v>
      </c>
      <c r="I1317" s="606" t="s">
        <v>1254</v>
      </c>
      <c r="J1317" s="812"/>
      <c r="K1317" s="812"/>
      <c r="L1317" s="1402" t="s">
        <v>1255</v>
      </c>
      <c r="M1317" s="1318">
        <v>1</v>
      </c>
      <c r="N1317" s="1308">
        <f ca="1">'Ch7'!O554</f>
        <v>0</v>
      </c>
      <c r="O1317" s="1308">
        <f ca="1">M1317*S1317*W1317</f>
        <v>0</v>
      </c>
      <c r="P1317" s="97" t="b">
        <v>1</v>
      </c>
      <c r="Q1317" s="97" t="b">
        <v>1</v>
      </c>
      <c r="R1317" s="97" t="b">
        <v>0</v>
      </c>
      <c r="S1317" s="97" t="b">
        <f ca="1">IF($AY$18=INDEX(INDIRECT("ddSingleOrMulti"),1),TRUE,FALSE)</f>
        <v>0</v>
      </c>
      <c r="T1317" s="97" t="b">
        <f ca="1">AND(NOT(S1317),W1317=TRUE)</f>
        <v>0</v>
      </c>
      <c r="U1317" s="97"/>
      <c r="V1317" s="97"/>
      <c r="W1317" s="25"/>
      <c r="X1317" s="1303"/>
      <c r="Y1317" s="1522" t="str">
        <f>IF(LEN('Ch7'!X554)=0,"None",'Ch7'!X554)</f>
        <v>None</v>
      </c>
      <c r="Z1317" s="1586"/>
      <c r="AB1317" s="790"/>
      <c r="AC1317" s="790" t="b">
        <f ca="1">OR(AD1317:AE1317)</f>
        <v>0</v>
      </c>
      <c r="AD1317" s="790" t="b">
        <f ca="1">T1317</f>
        <v>0</v>
      </c>
      <c r="AE1317" s="790"/>
      <c r="AF1317" s="790"/>
      <c r="AG1317" s="790"/>
      <c r="AH1317" s="790"/>
      <c r="AI1317" s="790"/>
      <c r="AJ1317" s="790"/>
      <c r="AK1317" s="790"/>
      <c r="AL1317" s="311" t="str">
        <f t="shared" ref="AL1317" si="394">SUBSTITUTE(SUBSTITUTE(SUBSTITUTE("vpa"&amp;$B1317&amp;$C1317&amp;$D1317&amp;$E1317&amp;$F1317,".","_"),"(","_"),")","")</f>
        <v>vpa705_6_4_1</v>
      </c>
      <c r="AM1317" s="311">
        <f>M1317</f>
        <v>1</v>
      </c>
      <c r="AN1317" s="311" t="str">
        <f>SUBSTITUTE(SUBSTITUTE(SUBSTITUTE("vpc"&amp;$B1317&amp;$C1317&amp;$D1317&amp;$E1317&amp;$F1317,".","_"),"(","_"),")","")</f>
        <v>vpc705_6_4_1</v>
      </c>
      <c r="AO1317" s="311">
        <f ca="1">O1317</f>
        <v>0</v>
      </c>
      <c r="AP1317" s="311" t="str">
        <f>SUBSTITUTE(SUBSTITUTE(SUBSTITUTE("vch"&amp;$B1317&amp;$C1317&amp;$D1317&amp;$E1317&amp;$F1317,".","_"),"(","_"),")","")</f>
        <v>vch705_6_4_1</v>
      </c>
      <c r="AQ1317" s="311">
        <f>W1317</f>
        <v>0</v>
      </c>
      <c r="AR1317" s="311" t="str">
        <f>SUBSTITUTE(SUBSTITUTE(SUBSTITUTE("vnt"&amp;$B1317&amp;$C1317&amp;$D1317&amp;$E1317&amp;$F1317,".","_"),"(","_"),")","")</f>
        <v>vnt705_6_4_1</v>
      </c>
      <c r="AS1317" s="311">
        <f>X1317</f>
        <v>0</v>
      </c>
      <c r="AT1317" s="790"/>
      <c r="AU1317" s="790"/>
      <c r="AV1317" s="790"/>
      <c r="AW1317" s="790"/>
      <c r="AX1317" s="790"/>
      <c r="AY1317" s="790"/>
      <c r="AZ1317" s="790"/>
      <c r="BA1317" s="790"/>
      <c r="BB1317" s="790"/>
      <c r="BC1317" s="790"/>
      <c r="BD1317" s="790"/>
      <c r="BE1317" s="790"/>
      <c r="BF1317" s="790"/>
      <c r="BG1317" s="790"/>
      <c r="BH1317" s="790"/>
      <c r="BI1317" s="790"/>
      <c r="BJ1317" s="1184" t="s">
        <v>4763</v>
      </c>
    </row>
    <row r="1318" spans="1:62" x14ac:dyDescent="0.3">
      <c r="A1318" s="1200">
        <v>7</v>
      </c>
      <c r="B1318" s="1210" t="s">
        <v>1254</v>
      </c>
      <c r="C1318" s="1215"/>
      <c r="D1318" s="1203"/>
      <c r="E1318" s="1203"/>
      <c r="F1318" s="1203"/>
      <c r="G1318" s="1202" t="str">
        <f t="shared" ref="G1318" ca="1" si="395">G1317</f>
        <v/>
      </c>
      <c r="H1318" s="1200" t="s">
        <v>4386</v>
      </c>
      <c r="I1318" s="631"/>
      <c r="J1318" s="813"/>
      <c r="K1318" s="813"/>
      <c r="L1318" s="1403"/>
      <c r="M1318" s="1319"/>
      <c r="N1318" s="1309"/>
      <c r="O1318" s="1309"/>
      <c r="P1318" s="196"/>
      <c r="Q1318" s="196"/>
      <c r="R1318" s="196"/>
      <c r="S1318" s="196"/>
      <c r="T1318" s="196"/>
      <c r="U1318" s="196"/>
      <c r="V1318" s="196"/>
      <c r="W1318" s="636"/>
      <c r="X1318" s="1303"/>
      <c r="Y1318" s="1522"/>
      <c r="Z1318" s="1586"/>
      <c r="AB1318" s="790"/>
      <c r="AC1318" s="790"/>
      <c r="AD1318" s="790"/>
      <c r="AE1318" s="790"/>
      <c r="AF1318" s="790"/>
      <c r="AG1318" s="790"/>
      <c r="AH1318" s="790"/>
      <c r="AI1318" s="790"/>
      <c r="AJ1318" s="790"/>
      <c r="AK1318" s="790"/>
      <c r="AL1318" s="790"/>
      <c r="AM1318" s="790"/>
      <c r="AN1318" s="790"/>
      <c r="AO1318" s="790"/>
      <c r="AP1318" s="790"/>
      <c r="AQ1318" s="790"/>
      <c r="AR1318" s="790"/>
      <c r="AS1318" s="790"/>
      <c r="AT1318" s="790"/>
      <c r="AU1318" s="790"/>
      <c r="AV1318" s="790"/>
      <c r="AW1318" s="790"/>
      <c r="AX1318" s="790"/>
      <c r="AY1318" s="790"/>
      <c r="AZ1318" s="790"/>
      <c r="BA1318" s="790"/>
      <c r="BB1318" s="790"/>
      <c r="BC1318" s="790"/>
      <c r="BD1318" s="790"/>
      <c r="BE1318" s="790"/>
      <c r="BF1318" s="790"/>
      <c r="BG1318" s="790"/>
      <c r="BH1318" s="790"/>
      <c r="BI1318" s="790"/>
      <c r="BJ1318" s="1184" t="s">
        <v>4763</v>
      </c>
    </row>
    <row r="1319" spans="1:62" x14ac:dyDescent="0.3">
      <c r="A1319" s="1200">
        <v>7</v>
      </c>
      <c r="B1319" s="1210" t="s">
        <v>1256</v>
      </c>
      <c r="C1319" s="1215"/>
      <c r="D1319" s="1203"/>
      <c r="E1319" s="1203"/>
      <c r="F1319" s="1203"/>
      <c r="G1319" s="1202" t="str">
        <f ca="1">IF(N1319&gt;0,"P","")</f>
        <v/>
      </c>
      <c r="H1319" s="1200" t="s">
        <v>4386</v>
      </c>
      <c r="I1319" s="606" t="s">
        <v>1256</v>
      </c>
      <c r="J1319" s="812"/>
      <c r="K1319" s="812"/>
      <c r="L1319" s="1397" t="s">
        <v>1257</v>
      </c>
      <c r="M1319" s="1318">
        <v>2</v>
      </c>
      <c r="N1319" s="1308">
        <f ca="1">'Ch7'!O556</f>
        <v>0</v>
      </c>
      <c r="O1319" s="1308">
        <f ca="1">M1319*S1319*W1319</f>
        <v>0</v>
      </c>
      <c r="P1319" s="97" t="b">
        <v>1</v>
      </c>
      <c r="Q1319" s="97" t="b">
        <v>1</v>
      </c>
      <c r="R1319" s="97" t="b">
        <v>0</v>
      </c>
      <c r="S1319" s="97" t="b">
        <f ca="1">IF($AY$18=INDEX(INDIRECT("ddSingleOrMulti"),2),TRUE,FALSE)</f>
        <v>0</v>
      </c>
      <c r="T1319" s="97" t="b">
        <f ca="1">AND(NOT(S1319),W1319=TRUE)</f>
        <v>0</v>
      </c>
      <c r="U1319" s="97"/>
      <c r="V1319" s="97"/>
      <c r="W1319" s="25"/>
      <c r="X1319" s="1295"/>
      <c r="Y1319" s="1523" t="str">
        <f>IF(LEN('Ch7'!X556)=0,"None",'Ch7'!X556)</f>
        <v>None</v>
      </c>
      <c r="Z1319" s="1583"/>
      <c r="AB1319" s="790"/>
      <c r="AC1319" s="790" t="b">
        <f ca="1">OR(AD1319:AE1319)</f>
        <v>0</v>
      </c>
      <c r="AD1319" s="790" t="b">
        <f ca="1">T1319</f>
        <v>0</v>
      </c>
      <c r="AE1319" s="790"/>
      <c r="AF1319" s="790"/>
      <c r="AG1319" s="790"/>
      <c r="AH1319" s="790"/>
      <c r="AI1319" s="790"/>
      <c r="AJ1319" s="790"/>
      <c r="AK1319" s="790"/>
      <c r="AL1319" s="311" t="str">
        <f t="shared" ref="AL1319" si="396">SUBSTITUTE(SUBSTITUTE(SUBSTITUTE("vpa"&amp;$B1319&amp;$C1319&amp;$D1319&amp;$E1319&amp;$F1319,".","_"),"(","_"),")","")</f>
        <v>vpa705_6_4_2</v>
      </c>
      <c r="AM1319" s="311">
        <f>M1319</f>
        <v>2</v>
      </c>
      <c r="AN1319" s="311" t="str">
        <f>SUBSTITUTE(SUBSTITUTE(SUBSTITUTE("vpc"&amp;$B1319&amp;$C1319&amp;$D1319&amp;$E1319&amp;$F1319,".","_"),"(","_"),")","")</f>
        <v>vpc705_6_4_2</v>
      </c>
      <c r="AO1319" s="311">
        <f ca="1">O1319</f>
        <v>0</v>
      </c>
      <c r="AP1319" s="311" t="str">
        <f>SUBSTITUTE(SUBSTITUTE(SUBSTITUTE("vch"&amp;$B1319&amp;$C1319&amp;$D1319&amp;$E1319&amp;$F1319,".","_"),"(","_"),")","")</f>
        <v>vch705_6_4_2</v>
      </c>
      <c r="AQ1319" s="311">
        <f>W1319</f>
        <v>0</v>
      </c>
      <c r="AR1319" s="311" t="str">
        <f>SUBSTITUTE(SUBSTITUTE(SUBSTITUTE("vnt"&amp;$B1319&amp;$C1319&amp;$D1319&amp;$E1319&amp;$F1319,".","_"),"(","_"),")","")</f>
        <v>vnt705_6_4_2</v>
      </c>
      <c r="AS1319" s="311">
        <f>X1319</f>
        <v>0</v>
      </c>
      <c r="AT1319" s="790"/>
      <c r="AU1319" s="790"/>
      <c r="AV1319" s="790"/>
      <c r="AW1319" s="790"/>
      <c r="AX1319" s="790"/>
      <c r="AY1319" s="790"/>
      <c r="AZ1319" s="790"/>
      <c r="BA1319" s="790"/>
      <c r="BB1319" s="790"/>
      <c r="BC1319" s="790"/>
      <c r="BD1319" s="790"/>
      <c r="BE1319" s="790"/>
      <c r="BF1319" s="790"/>
      <c r="BG1319" s="790"/>
      <c r="BH1319" s="790"/>
      <c r="BI1319" s="790"/>
      <c r="BJ1319" s="1184" t="s">
        <v>4763</v>
      </c>
    </row>
    <row r="1320" spans="1:62" ht="15" thickBot="1" x14ac:dyDescent="0.35">
      <c r="A1320" s="1200">
        <v>7</v>
      </c>
      <c r="B1320" s="1210" t="s">
        <v>1256</v>
      </c>
      <c r="C1320" s="1215"/>
      <c r="D1320" s="1203"/>
      <c r="E1320" s="1203"/>
      <c r="F1320" s="1203"/>
      <c r="G1320" s="1202" t="str">
        <f t="shared" ref="G1320" ca="1" si="397">G1319</f>
        <v/>
      </c>
      <c r="H1320" s="1200" t="s">
        <v>4386</v>
      </c>
      <c r="I1320" s="270"/>
      <c r="J1320" s="824"/>
      <c r="K1320" s="824"/>
      <c r="L1320" s="1398"/>
      <c r="M1320" s="1334"/>
      <c r="N1320" s="1315"/>
      <c r="O1320" s="1315"/>
      <c r="P1320" s="104"/>
      <c r="Q1320" s="104"/>
      <c r="R1320" s="104"/>
      <c r="S1320" s="104"/>
      <c r="T1320" s="104"/>
      <c r="U1320" s="104"/>
      <c r="V1320" s="104"/>
      <c r="W1320" s="104"/>
      <c r="X1320" s="1296"/>
      <c r="Y1320" s="1524"/>
      <c r="Z1320" s="1584"/>
      <c r="AB1320" s="790"/>
      <c r="AC1320" s="790"/>
      <c r="AD1320" s="790"/>
      <c r="AE1320" s="790"/>
      <c r="AF1320" s="790"/>
      <c r="AG1320" s="790"/>
      <c r="AH1320" s="790"/>
      <c r="AI1320" s="790"/>
      <c r="AJ1320" s="790"/>
      <c r="AK1320" s="790"/>
      <c r="AL1320" s="790"/>
      <c r="AM1320" s="790"/>
      <c r="AN1320" s="790"/>
      <c r="AO1320" s="790"/>
      <c r="AP1320" s="790"/>
      <c r="AQ1320" s="790"/>
      <c r="AR1320" s="790"/>
      <c r="AS1320" s="790"/>
      <c r="AT1320" s="790"/>
      <c r="AU1320" s="790"/>
      <c r="AV1320" s="790"/>
      <c r="AW1320" s="790"/>
      <c r="AX1320" s="790"/>
      <c r="AY1320" s="790"/>
      <c r="AZ1320" s="790"/>
      <c r="BA1320" s="790"/>
      <c r="BB1320" s="790"/>
      <c r="BC1320" s="790"/>
      <c r="BD1320" s="790"/>
      <c r="BE1320" s="790"/>
      <c r="BF1320" s="790"/>
      <c r="BG1320" s="790"/>
      <c r="BH1320" s="790"/>
      <c r="BI1320" s="790"/>
      <c r="BJ1320" s="1184" t="s">
        <v>4763</v>
      </c>
    </row>
    <row r="1321" spans="1:62" ht="15" thickTop="1" x14ac:dyDescent="0.3">
      <c r="A1321" s="1200">
        <v>7</v>
      </c>
      <c r="B1321" s="1210">
        <v>705.7</v>
      </c>
      <c r="C1321" s="1215"/>
      <c r="D1321" s="1203"/>
      <c r="E1321" s="1203"/>
      <c r="F1321" s="1203"/>
      <c r="G1321" s="1202" t="str">
        <f ca="1">IF(N1321&gt;0,"P","")</f>
        <v/>
      </c>
      <c r="H1321" s="1200" t="s">
        <v>4388</v>
      </c>
      <c r="I1321" s="66">
        <v>705.7</v>
      </c>
      <c r="J1321" s="819"/>
      <c r="K1321" s="819"/>
      <c r="L1321" s="1401" t="s">
        <v>1258</v>
      </c>
      <c r="M1321" s="1335">
        <v>1</v>
      </c>
      <c r="N1321" s="1310">
        <f ca="1">'Ch7'!O558</f>
        <v>0</v>
      </c>
      <c r="O1321" s="1310">
        <f ca="1">M1321*S1321*W1321</f>
        <v>0</v>
      </c>
      <c r="P1321" s="97" t="b">
        <v>0</v>
      </c>
      <c r="Q1321" s="97" t="b">
        <v>1</v>
      </c>
      <c r="R1321" s="790" t="b">
        <v>0</v>
      </c>
      <c r="S1321" s="790" t="b">
        <f ca="1">IF($AY$18=INDEX(INDIRECT("ddSingleOrMulti"),2),TRUE,FALSE)</f>
        <v>0</v>
      </c>
      <c r="T1321" s="97" t="b">
        <f ca="1">AND(NOT(S1321),W1321=TRUE)</f>
        <v>0</v>
      </c>
      <c r="U1321" s="790"/>
      <c r="V1321" s="790"/>
      <c r="W1321" s="25"/>
      <c r="X1321" s="1304"/>
      <c r="Y1321" s="1525" t="str">
        <f>IF(LEN('Ch7'!X558)=0,"None",'Ch7'!X558)</f>
        <v>None</v>
      </c>
      <c r="Z1321" s="1585"/>
      <c r="AB1321" s="790"/>
      <c r="AC1321" s="790" t="b">
        <f ca="1">OR(AD1321:AE1321)</f>
        <v>0</v>
      </c>
      <c r="AD1321" s="790" t="b">
        <f ca="1">T1321</f>
        <v>0</v>
      </c>
      <c r="AE1321" s="790"/>
      <c r="AF1321" s="790"/>
      <c r="AG1321" s="790"/>
      <c r="AH1321" s="790"/>
      <c r="AI1321" s="790"/>
      <c r="AJ1321" s="790"/>
      <c r="AK1321" s="790"/>
      <c r="AL1321" s="311" t="str">
        <f t="shared" ref="AL1321" si="398">SUBSTITUTE(SUBSTITUTE(SUBSTITUTE("vpa"&amp;$B1321&amp;$C1321&amp;$D1321&amp;$E1321&amp;$F1321,".","_"),"(","_"),")","")</f>
        <v>vpa705_7</v>
      </c>
      <c r="AM1321" s="311">
        <f>M1321</f>
        <v>1</v>
      </c>
      <c r="AN1321" s="311" t="str">
        <f>SUBSTITUTE(SUBSTITUTE(SUBSTITUTE("vpc"&amp;$B1321&amp;$C1321&amp;$D1321&amp;$E1321&amp;$F1321,".","_"),"(","_"),")","")</f>
        <v>vpc705_7</v>
      </c>
      <c r="AO1321" s="311">
        <f ca="1">O1321</f>
        <v>0</v>
      </c>
      <c r="AP1321" s="311" t="str">
        <f>SUBSTITUTE(SUBSTITUTE(SUBSTITUTE("vch"&amp;$B1321&amp;$C1321&amp;$D1321&amp;$E1321&amp;$F1321,".","_"),"(","_"),")","")</f>
        <v>vch705_7</v>
      </c>
      <c r="AQ1321" s="311">
        <f>W1321</f>
        <v>0</v>
      </c>
      <c r="AR1321" s="311" t="str">
        <f>SUBSTITUTE(SUBSTITUTE(SUBSTITUTE("vnt"&amp;$B1321&amp;$C1321&amp;$D1321&amp;$E1321&amp;$F1321,".","_"),"(","_"),")","")</f>
        <v>vnt705_7</v>
      </c>
      <c r="AS1321" s="311">
        <f>X1321</f>
        <v>0</v>
      </c>
      <c r="AT1321" s="790"/>
      <c r="AU1321" s="790"/>
      <c r="AV1321" s="790"/>
      <c r="AW1321" s="790"/>
      <c r="AX1321" s="790"/>
      <c r="AY1321" s="790"/>
      <c r="AZ1321" s="790"/>
      <c r="BA1321" s="790"/>
      <c r="BB1321" s="790"/>
      <c r="BC1321" s="790"/>
      <c r="BD1321" s="790"/>
      <c r="BE1321" s="790"/>
      <c r="BF1321" s="790"/>
      <c r="BG1321" s="790"/>
      <c r="BH1321" s="790"/>
      <c r="BI1321" s="790"/>
      <c r="BJ1321" s="1184" t="s">
        <v>4763</v>
      </c>
    </row>
    <row r="1322" spans="1:62" x14ac:dyDescent="0.3">
      <c r="A1322" s="1200">
        <v>7</v>
      </c>
      <c r="B1322" s="1210">
        <v>705.7</v>
      </c>
      <c r="C1322" s="1215"/>
      <c r="D1322" s="1203"/>
      <c r="E1322" s="1203"/>
      <c r="F1322" s="1203"/>
      <c r="G1322" s="1202" t="str">
        <f t="shared" ref="G1322:G1324" ca="1" si="399">G1321</f>
        <v/>
      </c>
      <c r="H1322" s="1200" t="s">
        <v>4388</v>
      </c>
      <c r="I1322" s="4"/>
      <c r="J1322" s="819"/>
      <c r="K1322" s="819"/>
      <c r="L1322" s="1401"/>
      <c r="M1322" s="1335"/>
      <c r="N1322" s="1310"/>
      <c r="O1322" s="1310"/>
      <c r="P1322" s="1081"/>
      <c r="Q1322" s="1081"/>
      <c r="R1322" s="790"/>
      <c r="S1322" s="790"/>
      <c r="T1322" s="790"/>
      <c r="U1322" s="790"/>
      <c r="V1322" s="790"/>
      <c r="W1322" s="790"/>
      <c r="X1322" s="1303"/>
      <c r="Y1322" s="1522"/>
      <c r="Z1322" s="1586"/>
      <c r="AB1322" s="790"/>
      <c r="AC1322" s="790"/>
      <c r="AD1322" s="790"/>
      <c r="AE1322" s="790"/>
      <c r="AF1322" s="790"/>
      <c r="AG1322" s="790"/>
      <c r="AH1322" s="790"/>
      <c r="AI1322" s="790"/>
      <c r="AJ1322" s="790"/>
      <c r="AK1322" s="790"/>
      <c r="AL1322" s="790"/>
      <c r="AM1322" s="790"/>
      <c r="AN1322" s="790"/>
      <c r="AO1322" s="790"/>
      <c r="AP1322" s="790"/>
      <c r="AQ1322" s="790"/>
      <c r="AR1322" s="790"/>
      <c r="AS1322" s="790"/>
      <c r="AT1322" s="790"/>
      <c r="AU1322" s="790"/>
      <c r="AV1322" s="790"/>
      <c r="AW1322" s="790"/>
      <c r="AX1322" s="790"/>
      <c r="AY1322" s="790"/>
      <c r="AZ1322" s="790"/>
      <c r="BA1322" s="790"/>
      <c r="BB1322" s="790"/>
      <c r="BC1322" s="790"/>
      <c r="BD1322" s="790"/>
      <c r="BE1322" s="790"/>
      <c r="BF1322" s="790"/>
      <c r="BG1322" s="790"/>
      <c r="BH1322" s="790"/>
      <c r="BI1322" s="790"/>
      <c r="BJ1322" s="1184" t="s">
        <v>4763</v>
      </c>
    </row>
    <row r="1323" spans="1:62" x14ac:dyDescent="0.3">
      <c r="A1323" s="1200">
        <v>7</v>
      </c>
      <c r="B1323" s="1210">
        <v>705.7</v>
      </c>
      <c r="C1323" s="1215"/>
      <c r="D1323" s="1203"/>
      <c r="E1323" s="1203"/>
      <c r="F1323" s="1203"/>
      <c r="G1323" s="1202" t="str">
        <f t="shared" ca="1" si="399"/>
        <v/>
      </c>
      <c r="H1323" s="1200" t="s">
        <v>4388</v>
      </c>
      <c r="I1323" s="4"/>
      <c r="J1323" s="819"/>
      <c r="K1323" s="819"/>
      <c r="L1323" s="1401"/>
      <c r="M1323" s="1335"/>
      <c r="N1323" s="1310"/>
      <c r="O1323" s="1310"/>
      <c r="P1323" s="1081"/>
      <c r="Q1323" s="1081"/>
      <c r="R1323" s="790"/>
      <c r="S1323" s="790"/>
      <c r="T1323" s="790"/>
      <c r="U1323" s="790"/>
      <c r="V1323" s="790"/>
      <c r="W1323" s="790"/>
      <c r="X1323" s="1303"/>
      <c r="Y1323" s="1522"/>
      <c r="Z1323" s="1586"/>
      <c r="AB1323" s="790"/>
      <c r="AC1323" s="790"/>
      <c r="AD1323" s="790"/>
      <c r="AE1323" s="790"/>
      <c r="AF1323" s="790"/>
      <c r="AG1323" s="790"/>
      <c r="AH1323" s="790"/>
      <c r="AI1323" s="790"/>
      <c r="AJ1323" s="790"/>
      <c r="AK1323" s="790"/>
      <c r="AL1323" s="790"/>
      <c r="AM1323" s="790"/>
      <c r="AN1323" s="790"/>
      <c r="AO1323" s="790"/>
      <c r="AP1323" s="790"/>
      <c r="AQ1323" s="790"/>
      <c r="AR1323" s="790"/>
      <c r="AS1323" s="790"/>
      <c r="AT1323" s="790"/>
      <c r="AU1323" s="790"/>
      <c r="AV1323" s="790"/>
      <c r="AW1323" s="790"/>
      <c r="AX1323" s="790"/>
      <c r="AY1323" s="790"/>
      <c r="AZ1323" s="790"/>
      <c r="BA1323" s="790"/>
      <c r="BB1323" s="790"/>
      <c r="BC1323" s="790"/>
      <c r="BD1323" s="790"/>
      <c r="BE1323" s="790"/>
      <c r="BF1323" s="790"/>
      <c r="BG1323" s="790"/>
      <c r="BH1323" s="790"/>
      <c r="BI1323" s="790"/>
      <c r="BJ1323" s="1184" t="s">
        <v>4763</v>
      </c>
    </row>
    <row r="1324" spans="1:62" x14ac:dyDescent="0.3">
      <c r="A1324" s="1200">
        <v>7</v>
      </c>
      <c r="B1324" s="1210">
        <v>705.7</v>
      </c>
      <c r="C1324" s="1215"/>
      <c r="D1324" s="1203"/>
      <c r="E1324" s="1203"/>
      <c r="F1324" s="1203"/>
      <c r="G1324" s="1202" t="str">
        <f t="shared" ca="1" si="399"/>
        <v/>
      </c>
      <c r="H1324" s="1200" t="s">
        <v>4388</v>
      </c>
      <c r="I1324" s="4"/>
      <c r="J1324" s="819"/>
      <c r="K1324" s="819"/>
      <c r="L1324" s="1401"/>
      <c r="M1324" s="1335"/>
      <c r="N1324" s="1310"/>
      <c r="O1324" s="1310"/>
      <c r="P1324" s="1081"/>
      <c r="Q1324" s="1081"/>
      <c r="R1324" s="790"/>
      <c r="S1324" s="790"/>
      <c r="T1324" s="790"/>
      <c r="U1324" s="790"/>
      <c r="V1324" s="790"/>
      <c r="W1324" s="790"/>
      <c r="X1324" s="1303"/>
      <c r="Y1324" s="1522"/>
      <c r="Z1324" s="1586"/>
      <c r="AB1324" s="790"/>
      <c r="AC1324" s="790"/>
      <c r="AD1324" s="790"/>
      <c r="AE1324" s="790"/>
      <c r="AF1324" s="790"/>
      <c r="AG1324" s="790"/>
      <c r="AH1324" s="790"/>
      <c r="AI1324" s="790"/>
      <c r="AJ1324" s="790"/>
      <c r="AK1324" s="790"/>
      <c r="AL1324" s="790"/>
      <c r="AM1324" s="790"/>
      <c r="AN1324" s="790"/>
      <c r="AO1324" s="790"/>
      <c r="AP1324" s="790"/>
      <c r="AQ1324" s="790"/>
      <c r="AR1324" s="790"/>
      <c r="AS1324" s="790"/>
      <c r="AT1324" s="790"/>
      <c r="AU1324" s="790"/>
      <c r="AV1324" s="790"/>
      <c r="AW1324" s="790"/>
      <c r="AX1324" s="790"/>
      <c r="AY1324" s="790"/>
      <c r="AZ1324" s="790"/>
      <c r="BA1324" s="790"/>
      <c r="BB1324" s="790"/>
      <c r="BC1324" s="790"/>
      <c r="BD1324" s="790"/>
      <c r="BE1324" s="790"/>
      <c r="BF1324" s="790"/>
      <c r="BG1324" s="790"/>
      <c r="BH1324" s="790"/>
      <c r="BI1324" s="790"/>
      <c r="BJ1324" s="1184" t="s">
        <v>4763</v>
      </c>
    </row>
    <row r="1325" spans="1:62" ht="18" x14ac:dyDescent="0.35">
      <c r="A1325" s="1200">
        <v>7</v>
      </c>
      <c r="B1325" s="1210">
        <v>706</v>
      </c>
      <c r="C1325" s="1215"/>
      <c r="D1325" s="1203"/>
      <c r="E1325" s="1203"/>
      <c r="F1325" s="1203"/>
      <c r="G1325" s="1202" t="s">
        <v>4389</v>
      </c>
      <c r="H1325" s="1200" t="s">
        <v>4386</v>
      </c>
      <c r="I1325" s="14" t="s">
        <v>1259</v>
      </c>
      <c r="J1325" s="87"/>
      <c r="K1325" s="87"/>
      <c r="L1325" s="87"/>
      <c r="M1325" s="484"/>
      <c r="N1325" s="594"/>
      <c r="O1325" s="594"/>
      <c r="P1325" s="23"/>
      <c r="Q1325" s="23"/>
      <c r="R1325" s="23"/>
      <c r="S1325" s="23"/>
      <c r="T1325" s="23"/>
      <c r="U1325" s="23"/>
      <c r="V1325" s="23"/>
      <c r="W1325" s="23"/>
      <c r="X1325" s="23"/>
      <c r="Y1325" s="790"/>
      <c r="Z1325" s="1055"/>
      <c r="AB1325" s="790"/>
      <c r="AC1325" s="790"/>
      <c r="AD1325" s="790"/>
      <c r="AE1325" s="790"/>
      <c r="AF1325" s="790"/>
      <c r="AG1325" s="790"/>
      <c r="AH1325" s="790"/>
      <c r="AI1325" s="790"/>
      <c r="AJ1325" s="790"/>
      <c r="AK1325" s="790"/>
      <c r="AL1325" s="790"/>
      <c r="AM1325" s="790"/>
      <c r="AN1325" s="790"/>
      <c r="AO1325" s="790"/>
      <c r="AP1325" s="790"/>
      <c r="AQ1325" s="790"/>
      <c r="AR1325" s="790"/>
      <c r="AS1325" s="790"/>
      <c r="AT1325" s="790"/>
      <c r="AU1325" s="790"/>
      <c r="AV1325" s="790"/>
      <c r="AW1325" s="790"/>
      <c r="AX1325" s="790"/>
      <c r="AY1325" s="790"/>
      <c r="AZ1325" s="790"/>
      <c r="BA1325" s="790"/>
      <c r="BB1325" s="790"/>
      <c r="BC1325" s="790"/>
      <c r="BD1325" s="790"/>
      <c r="BE1325" s="790"/>
      <c r="BF1325" s="790"/>
      <c r="BG1325" s="790"/>
      <c r="BH1325" s="790"/>
      <c r="BI1325" s="790"/>
      <c r="BJ1325" s="1184" t="s">
        <v>4763</v>
      </c>
    </row>
    <row r="1326" spans="1:62" x14ac:dyDescent="0.3">
      <c r="A1326" s="1200">
        <v>7</v>
      </c>
      <c r="B1326" s="1210">
        <v>706.1</v>
      </c>
      <c r="C1326" s="1215"/>
      <c r="D1326" s="1203"/>
      <c r="E1326" s="1203"/>
      <c r="F1326" s="1203"/>
      <c r="G1326" s="1202" t="str">
        <f>IF(N1326&gt;0,"P","")</f>
        <v/>
      </c>
      <c r="H1326" s="1200" t="s">
        <v>4388</v>
      </c>
      <c r="I1326" s="66">
        <v>706.1</v>
      </c>
      <c r="J1326" s="819"/>
      <c r="K1326" s="819"/>
      <c r="L1326" s="1292" t="s">
        <v>1260</v>
      </c>
      <c r="M1326" s="1335" t="s">
        <v>878</v>
      </c>
      <c r="N1326" s="1310">
        <f>'Ch7'!O563</f>
        <v>0</v>
      </c>
      <c r="O1326" s="1310">
        <f>MIN(3,(M1328*S1328*W1328+M1329*S1329*W1329+M1330*S1330*W1330+M1331*S1331*W1331+M1333*S1333*W1333))</f>
        <v>0</v>
      </c>
      <c r="P1326" s="1081"/>
      <c r="Q1326" s="1081"/>
      <c r="R1326" s="790"/>
      <c r="S1326" s="790"/>
      <c r="T1326" s="790"/>
      <c r="U1326" s="790"/>
      <c r="V1326" s="790"/>
      <c r="W1326" s="790"/>
      <c r="X1326" s="790"/>
      <c r="Y1326" s="790"/>
      <c r="Z1326" s="1055"/>
      <c r="AB1326" s="790"/>
      <c r="AC1326" s="790"/>
      <c r="AD1326" s="790"/>
      <c r="AE1326" s="790"/>
      <c r="AF1326" s="790"/>
      <c r="AG1326" s="790"/>
      <c r="AH1326" s="790"/>
      <c r="AI1326" s="790"/>
      <c r="AJ1326" s="790"/>
      <c r="AK1326" s="790"/>
      <c r="AL1326" s="311" t="str">
        <f t="shared" ref="AL1326" si="400">SUBSTITUTE(SUBSTITUTE(SUBSTITUTE("vpa"&amp;$B1326&amp;$C1326&amp;$D1326&amp;$E1326&amp;$F1326,".","_"),"(","_"),")","")</f>
        <v>vpa706_1</v>
      </c>
      <c r="AM1326" s="311" t="str">
        <f>M1326</f>
        <v>3 Max</v>
      </c>
      <c r="AN1326" s="311" t="str">
        <f>SUBSTITUTE(SUBSTITUTE(SUBSTITUTE("vpc"&amp;$B1326&amp;$C1326&amp;$D1326&amp;$E1326&amp;$F1326,".","_"),"(","_"),")","")</f>
        <v>vpc706_1</v>
      </c>
      <c r="AO1326" s="311">
        <f>O1326</f>
        <v>0</v>
      </c>
      <c r="AP1326" s="790"/>
      <c r="AQ1326" s="790"/>
      <c r="AR1326" s="790"/>
      <c r="AS1326" s="790"/>
      <c r="AT1326" s="790"/>
      <c r="AU1326" s="790"/>
      <c r="AV1326" s="790"/>
      <c r="AW1326" s="790"/>
      <c r="AX1326" s="790"/>
      <c r="AY1326" s="790"/>
      <c r="AZ1326" s="790"/>
      <c r="BA1326" s="790"/>
      <c r="BB1326" s="790"/>
      <c r="BC1326" s="790"/>
      <c r="BD1326" s="790"/>
      <c r="BE1326" s="790"/>
      <c r="BF1326" s="790"/>
      <c r="BG1326" s="790"/>
      <c r="BH1326" s="790"/>
      <c r="BI1326" s="790"/>
      <c r="BJ1326" s="1184" t="s">
        <v>4763</v>
      </c>
    </row>
    <row r="1327" spans="1:62" x14ac:dyDescent="0.3">
      <c r="A1327" s="1200">
        <v>7</v>
      </c>
      <c r="B1327" s="1210">
        <v>706.1</v>
      </c>
      <c r="C1327" s="1215"/>
      <c r="D1327" s="1203"/>
      <c r="E1327" s="1203"/>
      <c r="F1327" s="1203"/>
      <c r="G1327" s="1202" t="str">
        <f t="shared" ref="G1327:G1333" si="401">G1326</f>
        <v/>
      </c>
      <c r="H1327" s="1200" t="s">
        <v>4388</v>
      </c>
      <c r="I1327" s="4"/>
      <c r="J1327" s="819"/>
      <c r="K1327" s="819"/>
      <c r="L1327" s="1292"/>
      <c r="M1327" s="1335"/>
      <c r="N1327" s="1310"/>
      <c r="O1327" s="1310"/>
      <c r="P1327" s="1081"/>
      <c r="Q1327" s="1081"/>
      <c r="R1327" s="790"/>
      <c r="S1327" s="790"/>
      <c r="T1327" s="790"/>
      <c r="U1327" s="790"/>
      <c r="V1327" s="790"/>
      <c r="W1327" s="790"/>
      <c r="X1327" s="790"/>
      <c r="Y1327" s="790"/>
      <c r="Z1327" s="1055"/>
      <c r="AB1327" s="790"/>
      <c r="AC1327" s="790"/>
      <c r="AD1327" s="790"/>
      <c r="AE1327" s="790"/>
      <c r="AF1327" s="790"/>
      <c r="AG1327" s="790"/>
      <c r="AH1327" s="790"/>
      <c r="AI1327" s="790"/>
      <c r="AJ1327" s="790"/>
      <c r="AK1327" s="790"/>
      <c r="AL1327" s="790"/>
      <c r="AM1327" s="790"/>
      <c r="AN1327" s="790"/>
      <c r="AO1327" s="790"/>
      <c r="AP1327" s="790"/>
      <c r="AQ1327" s="790"/>
      <c r="AR1327" s="790"/>
      <c r="AS1327" s="790"/>
      <c r="AT1327" s="790"/>
      <c r="AU1327" s="790"/>
      <c r="AV1327" s="790"/>
      <c r="AW1327" s="790"/>
      <c r="AX1327" s="790"/>
      <c r="AY1327" s="790"/>
      <c r="AZ1327" s="790"/>
      <c r="BA1327" s="790"/>
      <c r="BB1327" s="790"/>
      <c r="BC1327" s="790"/>
      <c r="BD1327" s="790"/>
      <c r="BE1327" s="790"/>
      <c r="BF1327" s="790"/>
      <c r="BG1327" s="790"/>
      <c r="BH1327" s="790"/>
      <c r="BI1327" s="790"/>
      <c r="BJ1327" s="1184" t="s">
        <v>4763</v>
      </c>
    </row>
    <row r="1328" spans="1:62" x14ac:dyDescent="0.3">
      <c r="A1328" s="1200">
        <v>7</v>
      </c>
      <c r="B1328" s="1210">
        <v>706.1</v>
      </c>
      <c r="C1328" s="1215"/>
      <c r="D1328" s="1203" t="s">
        <v>271</v>
      </c>
      <c r="E1328" s="1203"/>
      <c r="F1328" s="1203"/>
      <c r="G1328" s="1202" t="str">
        <f t="shared" si="401"/>
        <v/>
      </c>
      <c r="H1328" s="1200" t="s">
        <v>4388</v>
      </c>
      <c r="I1328" s="4"/>
      <c r="J1328" s="644" t="s">
        <v>271</v>
      </c>
      <c r="K1328" s="813"/>
      <c r="L1328" s="813" t="s">
        <v>1261</v>
      </c>
      <c r="M1328" s="796">
        <v>1</v>
      </c>
      <c r="N1328" s="850"/>
      <c r="O1328" s="802"/>
      <c r="P1328" s="1081"/>
      <c r="Q1328" s="97" t="b">
        <v>1</v>
      </c>
      <c r="R1328" s="790" t="b">
        <v>0</v>
      </c>
      <c r="S1328" s="790" t="b">
        <v>1</v>
      </c>
      <c r="T1328" s="97" t="b">
        <v>0</v>
      </c>
      <c r="U1328" s="790"/>
      <c r="V1328" s="790"/>
      <c r="W1328" s="25"/>
      <c r="X1328" s="809"/>
      <c r="Y1328" s="841" t="str">
        <f>IF(LEN('Ch7'!X565)=0,"None",'Ch7'!X565)</f>
        <v>None</v>
      </c>
      <c r="Z1328" s="1169"/>
      <c r="AB1328" s="790"/>
      <c r="AC1328" s="790" t="b">
        <f>OR(AD1328:AE1328)</f>
        <v>0</v>
      </c>
      <c r="AD1328" s="790" t="b">
        <f>T1328</f>
        <v>0</v>
      </c>
      <c r="AE1328" s="790" t="b">
        <f>AND(R1328,NOT(W1328))</f>
        <v>0</v>
      </c>
      <c r="AF1328" s="1182" t="b">
        <f t="shared" ref="AF1328:AF1331" si="402">AND(AE1328,NOT(Q1328))</f>
        <v>0</v>
      </c>
      <c r="AG1328" s="790"/>
      <c r="AH1328" s="790"/>
      <c r="AI1328" s="790"/>
      <c r="AJ1328" s="790"/>
      <c r="AK1328" s="790"/>
      <c r="AL1328" s="311" t="str">
        <f t="shared" ref="AL1328:AL1331" si="403">SUBSTITUTE(SUBSTITUTE(SUBSTITUTE("vpa"&amp;$B1328&amp;$C1328&amp;$D1328&amp;$E1328&amp;$F1328,".","_"),"(","_"),")","")</f>
        <v>vpa706_1_1</v>
      </c>
      <c r="AM1328" s="311">
        <f>M1328</f>
        <v>1</v>
      </c>
      <c r="AN1328" s="790"/>
      <c r="AO1328" s="790"/>
      <c r="AP1328" s="311" t="str">
        <f t="shared" ref="AP1328:AP1331" si="404">SUBSTITUTE(SUBSTITUTE(SUBSTITUTE("vch"&amp;$B1328&amp;$C1328&amp;$D1328&amp;$E1328&amp;$F1328,".","_"),"(","_"),")","")</f>
        <v>vch706_1_1</v>
      </c>
      <c r="AQ1328" s="311">
        <f>W1328</f>
        <v>0</v>
      </c>
      <c r="AR1328" s="311" t="str">
        <f t="shared" ref="AR1328:AR1331" si="405">SUBSTITUTE(SUBSTITUTE(SUBSTITUTE("vnt"&amp;$B1328&amp;$C1328&amp;$D1328&amp;$E1328&amp;$F1328,".","_"),"(","_"),")","")</f>
        <v>vnt706_1_1</v>
      </c>
      <c r="AS1328" s="311">
        <f>X1328</f>
        <v>0</v>
      </c>
      <c r="AT1328" s="790"/>
      <c r="AU1328" s="790"/>
      <c r="AV1328" s="790"/>
      <c r="AW1328" s="790"/>
      <c r="AX1328" s="790"/>
      <c r="AY1328" s="790"/>
      <c r="AZ1328" s="790"/>
      <c r="BA1328" s="790"/>
      <c r="BB1328" s="790"/>
      <c r="BC1328" s="790"/>
      <c r="BD1328" s="790"/>
      <c r="BE1328" s="790"/>
      <c r="BF1328" s="790"/>
      <c r="BG1328" s="790"/>
      <c r="BH1328" s="790"/>
      <c r="BI1328" s="790"/>
      <c r="BJ1328" s="1184" t="s">
        <v>4763</v>
      </c>
    </row>
    <row r="1329" spans="1:62" x14ac:dyDescent="0.3">
      <c r="A1329" s="1200">
        <v>7</v>
      </c>
      <c r="B1329" s="1210">
        <v>706.1</v>
      </c>
      <c r="C1329" s="1215"/>
      <c r="D1329" s="1203" t="s">
        <v>273</v>
      </c>
      <c r="E1329" s="1203"/>
      <c r="F1329" s="1203"/>
      <c r="G1329" s="1202" t="str">
        <f t="shared" si="401"/>
        <v/>
      </c>
      <c r="H1329" s="1200" t="s">
        <v>4388</v>
      </c>
      <c r="I1329" s="4"/>
      <c r="J1329" s="656" t="s">
        <v>273</v>
      </c>
      <c r="K1329" s="365"/>
      <c r="L1329" s="365" t="s">
        <v>1262</v>
      </c>
      <c r="M1329" s="846">
        <v>1</v>
      </c>
      <c r="N1329" s="850"/>
      <c r="O1329" s="802"/>
      <c r="P1329" s="1081"/>
      <c r="Q1329" s="97" t="b">
        <v>1</v>
      </c>
      <c r="R1329" s="790" t="b">
        <v>0</v>
      </c>
      <c r="S1329" s="790" t="b">
        <v>1</v>
      </c>
      <c r="T1329" s="97" t="b">
        <v>0</v>
      </c>
      <c r="U1329" s="790"/>
      <c r="V1329" s="790"/>
      <c r="W1329" s="25"/>
      <c r="X1329" s="809"/>
      <c r="Y1329" s="841" t="str">
        <f>IF(LEN('Ch7'!X566)=0,"None",'Ch7'!X566)</f>
        <v>None</v>
      </c>
      <c r="Z1329" s="1169"/>
      <c r="AB1329" s="790"/>
      <c r="AC1329" s="790" t="b">
        <f>OR(AD1329:AE1329)</f>
        <v>0</v>
      </c>
      <c r="AD1329" s="790" t="b">
        <f>T1329</f>
        <v>0</v>
      </c>
      <c r="AE1329" s="790" t="b">
        <f>AND(R1329,NOT(W1329))</f>
        <v>0</v>
      </c>
      <c r="AF1329" s="1182" t="b">
        <f t="shared" si="402"/>
        <v>0</v>
      </c>
      <c r="AG1329" s="790"/>
      <c r="AH1329" s="790"/>
      <c r="AI1329" s="790"/>
      <c r="AJ1329" s="790"/>
      <c r="AK1329" s="790"/>
      <c r="AL1329" s="311" t="str">
        <f t="shared" si="403"/>
        <v>vpa706_1_2</v>
      </c>
      <c r="AM1329" s="311">
        <f>M1329</f>
        <v>1</v>
      </c>
      <c r="AN1329" s="790"/>
      <c r="AO1329" s="790"/>
      <c r="AP1329" s="311" t="str">
        <f t="shared" si="404"/>
        <v>vch706_1_2</v>
      </c>
      <c r="AQ1329" s="311">
        <f>W1329</f>
        <v>0</v>
      </c>
      <c r="AR1329" s="311" t="str">
        <f t="shared" si="405"/>
        <v>vnt706_1_2</v>
      </c>
      <c r="AS1329" s="311">
        <f>X1329</f>
        <v>0</v>
      </c>
      <c r="AT1329" s="790"/>
      <c r="AU1329" s="790"/>
      <c r="AV1329" s="790"/>
      <c r="AW1329" s="790"/>
      <c r="AX1329" s="790"/>
      <c r="AY1329" s="790"/>
      <c r="AZ1329" s="790"/>
      <c r="BA1329" s="790"/>
      <c r="BB1329" s="790"/>
      <c r="BC1329" s="790"/>
      <c r="BD1329" s="790"/>
      <c r="BE1329" s="790"/>
      <c r="BF1329" s="790"/>
      <c r="BG1329" s="790"/>
      <c r="BH1329" s="790"/>
      <c r="BI1329" s="790"/>
      <c r="BJ1329" s="1184" t="s">
        <v>4763</v>
      </c>
    </row>
    <row r="1330" spans="1:62" x14ac:dyDescent="0.3">
      <c r="A1330" s="1200">
        <v>7</v>
      </c>
      <c r="B1330" s="1210">
        <v>706.1</v>
      </c>
      <c r="C1330" s="1215"/>
      <c r="D1330" s="1203" t="s">
        <v>275</v>
      </c>
      <c r="E1330" s="1203"/>
      <c r="F1330" s="1203"/>
      <c r="G1330" s="1202" t="str">
        <f t="shared" si="401"/>
        <v/>
      </c>
      <c r="H1330" s="1200" t="s">
        <v>4388</v>
      </c>
      <c r="I1330" s="4"/>
      <c r="J1330" s="656" t="s">
        <v>275</v>
      </c>
      <c r="K1330" s="365"/>
      <c r="L1330" s="365" t="s">
        <v>1263</v>
      </c>
      <c r="M1330" s="846">
        <v>3</v>
      </c>
      <c r="N1330" s="850"/>
      <c r="O1330" s="802"/>
      <c r="P1330" s="1081"/>
      <c r="Q1330" s="97" t="b">
        <v>1</v>
      </c>
      <c r="R1330" s="790" t="b">
        <v>0</v>
      </c>
      <c r="S1330" s="790" t="b">
        <v>1</v>
      </c>
      <c r="T1330" s="97" t="b">
        <v>0</v>
      </c>
      <c r="U1330" s="790"/>
      <c r="V1330" s="790"/>
      <c r="W1330" s="25"/>
      <c r="X1330" s="809"/>
      <c r="Y1330" s="841" t="str">
        <f>IF(LEN('Ch7'!X567)=0,"None",'Ch7'!X567)</f>
        <v>None</v>
      </c>
      <c r="Z1330" s="1169"/>
      <c r="AB1330" s="790"/>
      <c r="AC1330" s="790" t="b">
        <f>OR(AD1330:AE1330)</f>
        <v>0</v>
      </c>
      <c r="AD1330" s="790" t="b">
        <f>T1330</f>
        <v>0</v>
      </c>
      <c r="AE1330" s="790" t="b">
        <f>AND(R1330,NOT(W1330))</f>
        <v>0</v>
      </c>
      <c r="AF1330" s="1182" t="b">
        <f t="shared" si="402"/>
        <v>0</v>
      </c>
      <c r="AG1330" s="790"/>
      <c r="AH1330" s="790"/>
      <c r="AI1330" s="790"/>
      <c r="AJ1330" s="790"/>
      <c r="AK1330" s="790"/>
      <c r="AL1330" s="311" t="str">
        <f t="shared" si="403"/>
        <v>vpa706_1_3</v>
      </c>
      <c r="AM1330" s="311">
        <f>M1330</f>
        <v>3</v>
      </c>
      <c r="AN1330" s="790"/>
      <c r="AO1330" s="790"/>
      <c r="AP1330" s="311" t="str">
        <f t="shared" si="404"/>
        <v>vch706_1_3</v>
      </c>
      <c r="AQ1330" s="311">
        <f>W1330</f>
        <v>0</v>
      </c>
      <c r="AR1330" s="311" t="str">
        <f t="shared" si="405"/>
        <v>vnt706_1_3</v>
      </c>
      <c r="AS1330" s="311">
        <f>X1330</f>
        <v>0</v>
      </c>
      <c r="AT1330" s="790"/>
      <c r="AU1330" s="790"/>
      <c r="AV1330" s="790"/>
      <c r="AW1330" s="790"/>
      <c r="AX1330" s="790"/>
      <c r="AY1330" s="790"/>
      <c r="AZ1330" s="790"/>
      <c r="BA1330" s="790"/>
      <c r="BB1330" s="790"/>
      <c r="BC1330" s="790"/>
      <c r="BD1330" s="790"/>
      <c r="BE1330" s="790"/>
      <c r="BF1330" s="790"/>
      <c r="BG1330" s="790"/>
      <c r="BH1330" s="790"/>
      <c r="BI1330" s="790"/>
      <c r="BJ1330" s="1184" t="s">
        <v>4763</v>
      </c>
    </row>
    <row r="1331" spans="1:62" x14ac:dyDescent="0.3">
      <c r="A1331" s="1200">
        <v>7</v>
      </c>
      <c r="B1331" s="1210">
        <v>706.1</v>
      </c>
      <c r="C1331" s="1215"/>
      <c r="D1331" s="1203" t="s">
        <v>285</v>
      </c>
      <c r="E1331" s="1203"/>
      <c r="F1331" s="1203"/>
      <c r="G1331" s="1202" t="str">
        <f t="shared" si="401"/>
        <v/>
      </c>
      <c r="H1331" s="1200" t="s">
        <v>4388</v>
      </c>
      <c r="I1331" s="4"/>
      <c r="J1331" s="657" t="s">
        <v>285</v>
      </c>
      <c r="K1331" s="823"/>
      <c r="L1331" s="1355" t="s">
        <v>1264</v>
      </c>
      <c r="M1331" s="1323">
        <v>1</v>
      </c>
      <c r="N1331" s="850"/>
      <c r="O1331" s="802"/>
      <c r="P1331" s="1081"/>
      <c r="Q1331" s="97" t="b">
        <v>1</v>
      </c>
      <c r="R1331" s="790" t="b">
        <v>0</v>
      </c>
      <c r="S1331" s="790" t="b">
        <v>1</v>
      </c>
      <c r="T1331" s="97" t="b">
        <v>0</v>
      </c>
      <c r="U1331" s="790"/>
      <c r="V1331" s="790"/>
      <c r="W1331" s="25"/>
      <c r="X1331" s="1303"/>
      <c r="Y1331" s="1522" t="str">
        <f>IF(LEN('Ch7'!X568)=0,"None",'Ch7'!X568)</f>
        <v>None</v>
      </c>
      <c r="Z1331" s="1586"/>
      <c r="AB1331" s="790"/>
      <c r="AC1331" s="790" t="b">
        <f>OR(AD1331:AE1331)</f>
        <v>0</v>
      </c>
      <c r="AD1331" s="790" t="b">
        <f>T1331</f>
        <v>0</v>
      </c>
      <c r="AE1331" s="790" t="b">
        <f>AND(R1331,NOT(W1331))</f>
        <v>0</v>
      </c>
      <c r="AF1331" s="1182" t="b">
        <f t="shared" si="402"/>
        <v>0</v>
      </c>
      <c r="AG1331" s="790"/>
      <c r="AH1331" s="790"/>
      <c r="AI1331" s="790"/>
      <c r="AJ1331" s="790"/>
      <c r="AK1331" s="790"/>
      <c r="AL1331" s="311" t="str">
        <f t="shared" si="403"/>
        <v>vpa706_1_4</v>
      </c>
      <c r="AM1331" s="311">
        <f>M1331</f>
        <v>1</v>
      </c>
      <c r="AN1331" s="790"/>
      <c r="AO1331" s="790"/>
      <c r="AP1331" s="311" t="str">
        <f t="shared" si="404"/>
        <v>vch706_1_4</v>
      </c>
      <c r="AQ1331" s="311">
        <f>W1331</f>
        <v>0</v>
      </c>
      <c r="AR1331" s="311" t="str">
        <f t="shared" si="405"/>
        <v>vnt706_1_4</v>
      </c>
      <c r="AS1331" s="311">
        <f>X1331</f>
        <v>0</v>
      </c>
      <c r="AT1331" s="790"/>
      <c r="AU1331" s="790"/>
      <c r="AV1331" s="790"/>
      <c r="AW1331" s="790"/>
      <c r="AX1331" s="790"/>
      <c r="AY1331" s="790"/>
      <c r="AZ1331" s="790"/>
      <c r="BA1331" s="790"/>
      <c r="BB1331" s="790"/>
      <c r="BC1331" s="790"/>
      <c r="BD1331" s="790"/>
      <c r="BE1331" s="790"/>
      <c r="BF1331" s="790"/>
      <c r="BG1331" s="790"/>
      <c r="BH1331" s="790"/>
      <c r="BI1331" s="790"/>
      <c r="BJ1331" s="1184" t="s">
        <v>4763</v>
      </c>
    </row>
    <row r="1332" spans="1:62" x14ac:dyDescent="0.3">
      <c r="A1332" s="1200">
        <v>7</v>
      </c>
      <c r="B1332" s="1210">
        <v>706.1</v>
      </c>
      <c r="C1332" s="1215"/>
      <c r="D1332" s="1203" t="s">
        <v>285</v>
      </c>
      <c r="E1332" s="1203"/>
      <c r="F1332" s="1203"/>
      <c r="G1332" s="1202" t="str">
        <f t="shared" si="401"/>
        <v/>
      </c>
      <c r="H1332" s="1200" t="s">
        <v>4388</v>
      </c>
      <c r="I1332" s="4"/>
      <c r="J1332" s="644"/>
      <c r="K1332" s="813"/>
      <c r="L1332" s="1294"/>
      <c r="M1332" s="1319"/>
      <c r="N1332" s="850"/>
      <c r="O1332" s="802"/>
      <c r="P1332" s="1081"/>
      <c r="Q1332" s="1081"/>
      <c r="R1332" s="790"/>
      <c r="S1332" s="790"/>
      <c r="T1332" s="790"/>
      <c r="U1332" s="790"/>
      <c r="V1332" s="790"/>
      <c r="W1332" s="790"/>
      <c r="X1332" s="1303"/>
      <c r="Y1332" s="1522"/>
      <c r="Z1332" s="1586"/>
      <c r="AB1332" s="790"/>
      <c r="AC1332" s="790"/>
      <c r="AD1332" s="790"/>
      <c r="AE1332" s="790"/>
      <c r="AF1332" s="790"/>
      <c r="AG1332" s="790"/>
      <c r="AH1332" s="790"/>
      <c r="AI1332" s="790"/>
      <c r="AJ1332" s="790"/>
      <c r="AK1332" s="790"/>
      <c r="AL1332" s="790"/>
      <c r="AM1332" s="790"/>
      <c r="AN1332" s="790"/>
      <c r="AO1332" s="790"/>
      <c r="AP1332" s="790"/>
      <c r="AQ1332" s="790"/>
      <c r="AR1332" s="790"/>
      <c r="AS1332" s="790"/>
      <c r="AT1332" s="790"/>
      <c r="AU1332" s="790"/>
      <c r="AV1332" s="790"/>
      <c r="AW1332" s="790"/>
      <c r="AX1332" s="790"/>
      <c r="AY1332" s="790"/>
      <c r="AZ1332" s="790"/>
      <c r="BA1332" s="790"/>
      <c r="BB1332" s="790"/>
      <c r="BC1332" s="790"/>
      <c r="BD1332" s="790"/>
      <c r="BE1332" s="790"/>
      <c r="BF1332" s="790"/>
      <c r="BG1332" s="790"/>
      <c r="BH1332" s="790"/>
      <c r="BI1332" s="790"/>
      <c r="BJ1332" s="1184" t="s">
        <v>4763</v>
      </c>
    </row>
    <row r="1333" spans="1:62" ht="15" thickBot="1" x14ac:dyDescent="0.35">
      <c r="A1333" s="1200">
        <v>7</v>
      </c>
      <c r="B1333" s="1210">
        <v>706.1</v>
      </c>
      <c r="C1333" s="1215"/>
      <c r="D1333" s="1203" t="s">
        <v>291</v>
      </c>
      <c r="E1333" s="1203"/>
      <c r="F1333" s="1203"/>
      <c r="G1333" s="1202" t="str">
        <f t="shared" si="401"/>
        <v/>
      </c>
      <c r="H1333" s="1200" t="s">
        <v>4388</v>
      </c>
      <c r="I1333" s="270"/>
      <c r="J1333" s="646" t="s">
        <v>291</v>
      </c>
      <c r="K1333" s="824"/>
      <c r="L1333" s="824" t="s">
        <v>1265</v>
      </c>
      <c r="M1333" s="798">
        <v>1</v>
      </c>
      <c r="N1333" s="858"/>
      <c r="O1333" s="801"/>
      <c r="P1333" s="97" t="b">
        <v>0</v>
      </c>
      <c r="Q1333" s="97" t="b">
        <v>1</v>
      </c>
      <c r="R1333" s="104" t="b">
        <v>0</v>
      </c>
      <c r="S1333" s="104" t="b">
        <v>1</v>
      </c>
      <c r="T1333" s="104" t="b">
        <v>0</v>
      </c>
      <c r="U1333" s="104"/>
      <c r="V1333" s="104"/>
      <c r="W1333" s="105"/>
      <c r="X1333" s="794"/>
      <c r="Y1333" s="840" t="str">
        <f>IF(LEN('Ch7'!X570)=0,"None",'Ch7'!X570)</f>
        <v>None</v>
      </c>
      <c r="Z1333" s="1173"/>
      <c r="AB1333" s="790"/>
      <c r="AC1333" s="790" t="b">
        <f>OR(AD1333:AE1333)</f>
        <v>0</v>
      </c>
      <c r="AD1333" s="790" t="b">
        <f>T1333</f>
        <v>0</v>
      </c>
      <c r="AE1333" s="790" t="b">
        <f>AND(R1333,NOT(W1333))</f>
        <v>0</v>
      </c>
      <c r="AF1333" s="1182" t="b">
        <f>AND(AE1333,NOT(Q1333))</f>
        <v>0</v>
      </c>
      <c r="AG1333" s="790"/>
      <c r="AH1333" s="790"/>
      <c r="AI1333" s="790"/>
      <c r="AJ1333" s="790"/>
      <c r="AK1333" s="790"/>
      <c r="AL1333" s="311" t="str">
        <f t="shared" ref="AL1333" si="406">SUBSTITUTE(SUBSTITUTE(SUBSTITUTE("vpa"&amp;$B1333&amp;$C1333&amp;$D1333&amp;$E1333&amp;$F1333,".","_"),"(","_"),")","")</f>
        <v>vpa706_1_5</v>
      </c>
      <c r="AM1333" s="311">
        <f>M1333</f>
        <v>1</v>
      </c>
      <c r="AN1333" s="790"/>
      <c r="AO1333" s="790"/>
      <c r="AP1333" s="311" t="str">
        <f>SUBSTITUTE(SUBSTITUTE(SUBSTITUTE("vch"&amp;$B1333&amp;$C1333&amp;$D1333&amp;$E1333&amp;$F1333,".","_"),"(","_"),")","")</f>
        <v>vch706_1_5</v>
      </c>
      <c r="AQ1333" s="311">
        <f>W1333</f>
        <v>0</v>
      </c>
      <c r="AR1333" s="311" t="str">
        <f>SUBSTITUTE(SUBSTITUTE(SUBSTITUTE("vnt"&amp;$B1333&amp;$C1333&amp;$D1333&amp;$E1333&amp;$F1333,".","_"),"(","_"),")","")</f>
        <v>vnt706_1_5</v>
      </c>
      <c r="AS1333" s="311">
        <f>X1333</f>
        <v>0</v>
      </c>
      <c r="AT1333" s="790"/>
      <c r="AU1333" s="790"/>
      <c r="AV1333" s="790"/>
      <c r="AW1333" s="790"/>
      <c r="AX1333" s="790"/>
      <c r="AY1333" s="790"/>
      <c r="AZ1333" s="790"/>
      <c r="BA1333" s="790"/>
      <c r="BB1333" s="790"/>
      <c r="BC1333" s="790"/>
      <c r="BD1333" s="790"/>
      <c r="BE1333" s="790"/>
      <c r="BF1333" s="790"/>
      <c r="BG1333" s="790"/>
      <c r="BH1333" s="790"/>
      <c r="BI1333" s="790"/>
      <c r="BJ1333" s="1184" t="s">
        <v>4763</v>
      </c>
    </row>
    <row r="1334" spans="1:62" ht="15" thickTop="1" x14ac:dyDescent="0.3">
      <c r="A1334" s="1200">
        <v>7</v>
      </c>
      <c r="B1334" s="1210">
        <v>706.2</v>
      </c>
      <c r="C1334" s="1215"/>
      <c r="D1334" s="1203"/>
      <c r="E1334" s="1203"/>
      <c r="F1334" s="1203"/>
      <c r="G1334" s="1196" t="str">
        <f ca="1">IF(COUNTIF(G1336:G1339,"P")&gt;0,"P","")</f>
        <v/>
      </c>
      <c r="H1334" s="1200" t="s">
        <v>4388</v>
      </c>
      <c r="I1334" s="66">
        <v>706.2</v>
      </c>
      <c r="J1334" s="819"/>
      <c r="K1334" s="819"/>
      <c r="L1334" s="1389" t="s">
        <v>1266</v>
      </c>
      <c r="M1334" s="799"/>
      <c r="N1334" s="850"/>
      <c r="O1334" s="802"/>
      <c r="P1334" s="1081"/>
      <c r="Q1334" s="1081"/>
      <c r="R1334" s="790"/>
      <c r="S1334" s="790"/>
      <c r="T1334" s="790"/>
      <c r="U1334" s="790"/>
      <c r="V1334" s="790"/>
      <c r="W1334" s="790"/>
      <c r="X1334" s="790"/>
      <c r="Y1334" s="790"/>
      <c r="Z1334" s="1055"/>
      <c r="AB1334" s="790"/>
      <c r="AC1334" s="790"/>
      <c r="AD1334" s="790"/>
      <c r="AE1334" s="790"/>
      <c r="AF1334" s="790"/>
      <c r="AG1334" s="790"/>
      <c r="AH1334" s="790"/>
      <c r="AI1334" s="790"/>
      <c r="AJ1334" s="790"/>
      <c r="AK1334" s="790"/>
      <c r="AL1334" s="790"/>
      <c r="AM1334" s="790"/>
      <c r="AN1334" s="790"/>
      <c r="AO1334" s="790"/>
      <c r="AP1334" s="790"/>
      <c r="AQ1334" s="790"/>
      <c r="AR1334" s="790"/>
      <c r="AS1334" s="790"/>
      <c r="AT1334" s="790"/>
      <c r="AU1334" s="790"/>
      <c r="AV1334" s="790"/>
      <c r="AW1334" s="790"/>
      <c r="AX1334" s="790"/>
      <c r="AY1334" s="790"/>
      <c r="AZ1334" s="790"/>
      <c r="BA1334" s="790"/>
      <c r="BB1334" s="790"/>
      <c r="BC1334" s="790"/>
      <c r="BD1334" s="790"/>
      <c r="BE1334" s="790"/>
      <c r="BF1334" s="790"/>
      <c r="BG1334" s="790"/>
      <c r="BH1334" s="790"/>
      <c r="BI1334" s="790"/>
      <c r="BJ1334" s="1184" t="s">
        <v>4763</v>
      </c>
    </row>
    <row r="1335" spans="1:62" x14ac:dyDescent="0.3">
      <c r="A1335" s="1200">
        <v>7</v>
      </c>
      <c r="B1335" s="1210">
        <v>706.2</v>
      </c>
      <c r="C1335" s="1215"/>
      <c r="D1335" s="1203"/>
      <c r="E1335" s="1203"/>
      <c r="F1335" s="1203"/>
      <c r="G1335" s="1202" t="str">
        <f t="shared" ref="G1335" ca="1" si="407">G1334</f>
        <v/>
      </c>
      <c r="H1335" s="1200" t="s">
        <v>4388</v>
      </c>
      <c r="I1335" s="66"/>
      <c r="J1335" s="819"/>
      <c r="K1335" s="819"/>
      <c r="L1335" s="1389"/>
      <c r="M1335" s="799"/>
      <c r="N1335" s="850"/>
      <c r="O1335" s="802"/>
      <c r="P1335" s="1081"/>
      <c r="Q1335" s="1081"/>
      <c r="R1335" s="790"/>
      <c r="S1335" s="790"/>
      <c r="T1335" s="790"/>
      <c r="U1335" s="790"/>
      <c r="V1335" s="790"/>
      <c r="W1335" s="790"/>
      <c r="X1335" s="790"/>
      <c r="Y1335" s="790"/>
      <c r="Z1335" s="1055"/>
      <c r="AB1335" s="790"/>
      <c r="AC1335" s="790"/>
      <c r="AD1335" s="790"/>
      <c r="AE1335" s="790"/>
      <c r="AF1335" s="790"/>
      <c r="AG1335" s="790"/>
      <c r="AH1335" s="790"/>
      <c r="AI1335" s="790"/>
      <c r="AJ1335" s="790"/>
      <c r="AK1335" s="790"/>
      <c r="AL1335" s="790"/>
      <c r="AM1335" s="790"/>
      <c r="AN1335" s="790"/>
      <c r="AO1335" s="790"/>
      <c r="AP1335" s="790"/>
      <c r="AQ1335" s="790"/>
      <c r="AR1335" s="790"/>
      <c r="AS1335" s="790"/>
      <c r="AT1335" s="790"/>
      <c r="AU1335" s="790"/>
      <c r="AV1335" s="790"/>
      <c r="AW1335" s="790"/>
      <c r="AX1335" s="790"/>
      <c r="AY1335" s="790"/>
      <c r="AZ1335" s="790"/>
      <c r="BA1335" s="790"/>
      <c r="BB1335" s="790"/>
      <c r="BC1335" s="790"/>
      <c r="BD1335" s="790"/>
      <c r="BE1335" s="790"/>
      <c r="BF1335" s="790"/>
      <c r="BG1335" s="790"/>
      <c r="BH1335" s="790"/>
      <c r="BI1335" s="790"/>
      <c r="BJ1335" s="1184" t="s">
        <v>4763</v>
      </c>
    </row>
    <row r="1336" spans="1:62" x14ac:dyDescent="0.3">
      <c r="A1336" s="1200">
        <v>7</v>
      </c>
      <c r="B1336" s="1210">
        <v>706.2</v>
      </c>
      <c r="C1336" s="1215"/>
      <c r="D1336" s="1203" t="s">
        <v>271</v>
      </c>
      <c r="E1336" s="1203"/>
      <c r="F1336" s="1203"/>
      <c r="G1336" s="1202" t="str">
        <f>IF(N1336&gt;0,"P","")</f>
        <v/>
      </c>
      <c r="H1336" s="1200" t="s">
        <v>4388</v>
      </c>
      <c r="I1336" s="4"/>
      <c r="J1336" s="643" t="s">
        <v>271</v>
      </c>
      <c r="K1336" s="812"/>
      <c r="L1336" s="1305" t="s">
        <v>1267</v>
      </c>
      <c r="M1336" s="1335">
        <v>1</v>
      </c>
      <c r="N1336" s="1308">
        <f>'Ch7'!O573</f>
        <v>0</v>
      </c>
      <c r="O1336" s="1310">
        <f>M1336*S1336*W1336</f>
        <v>0</v>
      </c>
      <c r="P1336" s="97" t="b">
        <v>0</v>
      </c>
      <c r="Q1336" s="97" t="b">
        <v>1</v>
      </c>
      <c r="R1336" s="790" t="b">
        <v>0</v>
      </c>
      <c r="S1336" s="790" t="b">
        <v>1</v>
      </c>
      <c r="T1336" s="97" t="b">
        <v>0</v>
      </c>
      <c r="U1336" s="790"/>
      <c r="V1336" s="790"/>
      <c r="W1336" s="25"/>
      <c r="X1336" s="1303"/>
      <c r="Y1336" s="1522" t="str">
        <f>IF(LEN('Ch7'!X573)=0,"None",'Ch7'!X573)</f>
        <v>None</v>
      </c>
      <c r="Z1336" s="1586"/>
      <c r="AB1336" s="790"/>
      <c r="AC1336" s="790" t="b">
        <f>OR(AD1336:AE1336)</f>
        <v>0</v>
      </c>
      <c r="AD1336" s="790" t="b">
        <f>T1336</f>
        <v>0</v>
      </c>
      <c r="AE1336" s="790" t="b">
        <f>AND(R1336,NOT(W1336))</f>
        <v>0</v>
      </c>
      <c r="AF1336" s="1182" t="b">
        <f>AND(AE1336,NOT(Q1336))</f>
        <v>0</v>
      </c>
      <c r="AG1336" s="790"/>
      <c r="AH1336" s="790"/>
      <c r="AI1336" s="790"/>
      <c r="AJ1336" s="790"/>
      <c r="AK1336" s="790"/>
      <c r="AL1336" s="311" t="str">
        <f t="shared" ref="AL1336" si="408">SUBSTITUTE(SUBSTITUTE(SUBSTITUTE("vpa"&amp;$B1336&amp;$C1336&amp;$D1336&amp;$E1336&amp;$F1336,".","_"),"(","_"),")","")</f>
        <v>vpa706_2_1</v>
      </c>
      <c r="AM1336" s="311">
        <f>M1336</f>
        <v>1</v>
      </c>
      <c r="AN1336" s="311" t="str">
        <f>SUBSTITUTE(SUBSTITUTE(SUBSTITUTE("vpc"&amp;$B1336&amp;$C1336&amp;$D1336&amp;$E1336&amp;$F1336,".","_"),"(","_"),")","")</f>
        <v>vpc706_2_1</v>
      </c>
      <c r="AO1336" s="311">
        <f>O1336</f>
        <v>0</v>
      </c>
      <c r="AP1336" s="311" t="str">
        <f>SUBSTITUTE(SUBSTITUTE(SUBSTITUTE("vch"&amp;$B1336&amp;$C1336&amp;$D1336&amp;$E1336&amp;$F1336,".","_"),"(","_"),")","")</f>
        <v>vch706_2_1</v>
      </c>
      <c r="AQ1336" s="311">
        <f>W1336</f>
        <v>0</v>
      </c>
      <c r="AR1336" s="311" t="str">
        <f>SUBSTITUTE(SUBSTITUTE(SUBSTITUTE("vnt"&amp;$B1336&amp;$C1336&amp;$D1336&amp;$E1336&amp;$F1336,".","_"),"(","_"),")","")</f>
        <v>vnt706_2_1</v>
      </c>
      <c r="AS1336" s="311">
        <f>X1336</f>
        <v>0</v>
      </c>
      <c r="AT1336" s="790"/>
      <c r="AU1336" s="790"/>
      <c r="AV1336" s="790"/>
      <c r="AW1336" s="790"/>
      <c r="AX1336" s="790"/>
      <c r="AY1336" s="790"/>
      <c r="AZ1336" s="790"/>
      <c r="BA1336" s="790"/>
      <c r="BB1336" s="790"/>
      <c r="BC1336" s="790"/>
      <c r="BD1336" s="790"/>
      <c r="BE1336" s="790"/>
      <c r="BF1336" s="790"/>
      <c r="BG1336" s="790"/>
      <c r="BH1336" s="790"/>
      <c r="BI1336" s="790"/>
      <c r="BJ1336" s="1184" t="s">
        <v>4763</v>
      </c>
    </row>
    <row r="1337" spans="1:62" x14ac:dyDescent="0.3">
      <c r="A1337" s="1200">
        <v>7</v>
      </c>
      <c r="B1337" s="1210">
        <v>706.2</v>
      </c>
      <c r="C1337" s="1215"/>
      <c r="D1337" s="1203" t="s">
        <v>271</v>
      </c>
      <c r="E1337" s="1203"/>
      <c r="F1337" s="1203"/>
      <c r="G1337" s="1202" t="str">
        <f t="shared" ref="G1337:G1338" si="409">G1336</f>
        <v/>
      </c>
      <c r="H1337" s="1200" t="s">
        <v>4388</v>
      </c>
      <c r="I1337" s="4"/>
      <c r="J1337" s="812"/>
      <c r="K1337" s="812"/>
      <c r="L1337" s="1305"/>
      <c r="M1337" s="1335"/>
      <c r="N1337" s="1308"/>
      <c r="O1337" s="1310"/>
      <c r="P1337" s="1081"/>
      <c r="Q1337" s="1081"/>
      <c r="R1337" s="790"/>
      <c r="S1337" s="790"/>
      <c r="T1337" s="790"/>
      <c r="U1337" s="790"/>
      <c r="V1337" s="790"/>
      <c r="W1337" s="790"/>
      <c r="X1337" s="1303"/>
      <c r="Y1337" s="1522"/>
      <c r="Z1337" s="1586"/>
      <c r="AB1337" s="790"/>
      <c r="AC1337" s="790"/>
      <c r="AD1337" s="790"/>
      <c r="AE1337" s="790"/>
      <c r="AF1337" s="790"/>
      <c r="AG1337" s="790"/>
      <c r="AH1337" s="790"/>
      <c r="AI1337" s="790"/>
      <c r="AJ1337" s="790"/>
      <c r="AK1337" s="790"/>
      <c r="AL1337" s="790"/>
      <c r="AM1337" s="790"/>
      <c r="AN1337" s="790"/>
      <c r="AO1337" s="790"/>
      <c r="AP1337" s="790"/>
      <c r="AQ1337" s="790"/>
      <c r="AR1337" s="790"/>
      <c r="AS1337" s="790"/>
      <c r="AT1337" s="790"/>
      <c r="AU1337" s="790"/>
      <c r="AV1337" s="790"/>
      <c r="AW1337" s="790"/>
      <c r="AX1337" s="790"/>
      <c r="AY1337" s="790"/>
      <c r="AZ1337" s="790"/>
      <c r="BA1337" s="790"/>
      <c r="BB1337" s="790"/>
      <c r="BC1337" s="790"/>
      <c r="BD1337" s="790"/>
      <c r="BE1337" s="790"/>
      <c r="BF1337" s="790"/>
      <c r="BG1337" s="790"/>
      <c r="BH1337" s="790"/>
      <c r="BI1337" s="790"/>
      <c r="BJ1337" s="1184" t="s">
        <v>4763</v>
      </c>
    </row>
    <row r="1338" spans="1:62" x14ac:dyDescent="0.3">
      <c r="A1338" s="1200">
        <v>7</v>
      </c>
      <c r="B1338" s="1210">
        <v>706.2</v>
      </c>
      <c r="C1338" s="1215"/>
      <c r="D1338" s="1203" t="s">
        <v>271</v>
      </c>
      <c r="E1338" s="1203"/>
      <c r="F1338" s="1203"/>
      <c r="G1338" s="1202" t="str">
        <f t="shared" si="409"/>
        <v/>
      </c>
      <c r="H1338" s="1200" t="s">
        <v>4388</v>
      </c>
      <c r="I1338" s="4"/>
      <c r="J1338" s="813"/>
      <c r="K1338" s="813"/>
      <c r="L1338" s="1306"/>
      <c r="M1338" s="1335"/>
      <c r="N1338" s="1308"/>
      <c r="O1338" s="1310"/>
      <c r="P1338" s="1081"/>
      <c r="Q1338" s="1081"/>
      <c r="R1338" s="790"/>
      <c r="S1338" s="790"/>
      <c r="T1338" s="790"/>
      <c r="U1338" s="790"/>
      <c r="V1338" s="790"/>
      <c r="W1338" s="790"/>
      <c r="X1338" s="1303"/>
      <c r="Y1338" s="1522"/>
      <c r="Z1338" s="1586"/>
      <c r="AB1338" s="790"/>
      <c r="AC1338" s="790"/>
      <c r="AD1338" s="790"/>
      <c r="AE1338" s="790"/>
      <c r="AF1338" s="790"/>
      <c r="AG1338" s="790"/>
      <c r="AH1338" s="790"/>
      <c r="AI1338" s="790"/>
      <c r="AJ1338" s="790"/>
      <c r="AK1338" s="790"/>
      <c r="AL1338" s="790"/>
      <c r="AM1338" s="790"/>
      <c r="AN1338" s="790"/>
      <c r="AO1338" s="790"/>
      <c r="AP1338" s="790"/>
      <c r="AQ1338" s="790"/>
      <c r="AR1338" s="790"/>
      <c r="AS1338" s="790"/>
      <c r="AT1338" s="790"/>
      <c r="AU1338" s="790"/>
      <c r="AV1338" s="790"/>
      <c r="AW1338" s="790"/>
      <c r="AX1338" s="790"/>
      <c r="AY1338" s="790"/>
      <c r="AZ1338" s="790"/>
      <c r="BA1338" s="790"/>
      <c r="BB1338" s="790"/>
      <c r="BC1338" s="790"/>
      <c r="BD1338" s="790"/>
      <c r="BE1338" s="790"/>
      <c r="BF1338" s="790"/>
      <c r="BG1338" s="790"/>
      <c r="BH1338" s="790"/>
      <c r="BI1338" s="790"/>
      <c r="BJ1338" s="1184" t="s">
        <v>4763</v>
      </c>
    </row>
    <row r="1339" spans="1:62" x14ac:dyDescent="0.3">
      <c r="A1339" s="1200">
        <v>7</v>
      </c>
      <c r="B1339" s="1210">
        <v>706.2</v>
      </c>
      <c r="C1339" s="1215"/>
      <c r="D1339" s="1203" t="s">
        <v>273</v>
      </c>
      <c r="E1339" s="1203"/>
      <c r="F1339" s="1203"/>
      <c r="G1339" s="1202" t="str">
        <f ca="1">IF(N1339&gt;0,"P","")</f>
        <v/>
      </c>
      <c r="H1339" s="1200" t="s">
        <v>4388</v>
      </c>
      <c r="I1339" s="140"/>
      <c r="J1339" s="643" t="s">
        <v>273</v>
      </c>
      <c r="K1339" s="812"/>
      <c r="L1339" s="1305" t="s">
        <v>1268</v>
      </c>
      <c r="M1339" s="795"/>
      <c r="N1339" s="1308">
        <f ca="1">'Ch7'!O576</f>
        <v>0</v>
      </c>
      <c r="O1339" s="1308">
        <f ca="1">IFERROR(INDEX({1,2},MATCH(W1339,INDIRECT(U1339),0)),0)</f>
        <v>0</v>
      </c>
      <c r="P1339" s="97" t="b">
        <v>0</v>
      </c>
      <c r="Q1339" s="97" t="b">
        <v>1</v>
      </c>
      <c r="R1339" s="97" t="b">
        <v>0</v>
      </c>
      <c r="S1339" s="97" t="b">
        <v>1</v>
      </c>
      <c r="T1339" s="97" t="b">
        <v>0</v>
      </c>
      <c r="U1339" s="97" t="str">
        <f>SUBSTITUTE(SUBSTITUTE(SUBSTITUTE("dd"&amp;B1339&amp;C1339&amp;D1339&amp;E1339&amp;F1339,".","_"),"(","_"),")","")</f>
        <v>dd706_2_2</v>
      </c>
      <c r="V1339" s="97"/>
      <c r="W1339" s="12"/>
      <c r="X1339" s="1295"/>
      <c r="Y1339" s="1523" t="str">
        <f>IF(LEN('Ch7'!X576)=0,"None",'Ch7'!X576)</f>
        <v>None</v>
      </c>
      <c r="Z1339" s="1583"/>
      <c r="AB1339" s="790"/>
      <c r="AC1339" s="790" t="b">
        <f>OR(AD1339:AE1339)</f>
        <v>0</v>
      </c>
      <c r="AD1339" s="790" t="b">
        <f>T1339</f>
        <v>0</v>
      </c>
      <c r="AE1339" s="790" t="b">
        <f>AND(R1339,OR(W1339="Not Met",W1339=""))</f>
        <v>0</v>
      </c>
      <c r="AF1339" s="1182" t="b">
        <f>AND(AE1339,NOT(Q1339))</f>
        <v>0</v>
      </c>
      <c r="AG1339" s="790"/>
      <c r="AH1339" s="790"/>
      <c r="AI1339" s="790"/>
      <c r="AJ1339" s="790"/>
      <c r="AK1339" s="790"/>
      <c r="AL1339" s="790"/>
      <c r="AM1339" s="790"/>
      <c r="AN1339" s="311" t="str">
        <f>SUBSTITUTE(SUBSTITUTE(SUBSTITUTE("vpc"&amp;$B1339&amp;$C1339&amp;$D1339&amp;$E1339&amp;$F1339,".","_"),"(","_"),")","")</f>
        <v>vpc706_2_2</v>
      </c>
      <c r="AO1339" s="311">
        <f ca="1">O1339</f>
        <v>0</v>
      </c>
      <c r="AP1339" s="311" t="str">
        <f>SUBSTITUTE(SUBSTITUTE(SUBSTITUTE("vch"&amp;$B1339&amp;$C1339&amp;$D1339&amp;$E1339&amp;$F1339,".","_"),"(","_"),")","")</f>
        <v>vch706_2_2</v>
      </c>
      <c r="AQ1339" s="311">
        <f>W1339</f>
        <v>0</v>
      </c>
      <c r="AR1339" s="311" t="str">
        <f>SUBSTITUTE(SUBSTITUTE(SUBSTITUTE("vnt"&amp;$B1339&amp;$C1339&amp;$D1339&amp;$E1339&amp;$F1339,".","_"),"(","_"),")","")</f>
        <v>vnt706_2_2</v>
      </c>
      <c r="AS1339" s="311">
        <f>X1339</f>
        <v>0</v>
      </c>
      <c r="AT1339" s="790"/>
      <c r="AU1339" s="790"/>
      <c r="AV1339" s="790"/>
      <c r="AW1339" s="790"/>
      <c r="AX1339" s="790"/>
      <c r="AY1339" s="790"/>
      <c r="AZ1339" s="790"/>
      <c r="BA1339" s="790"/>
      <c r="BB1339" s="790"/>
      <c r="BC1339" s="790"/>
      <c r="BD1339" s="790"/>
      <c r="BE1339" s="790"/>
      <c r="BF1339" s="790"/>
      <c r="BG1339" s="790"/>
      <c r="BH1339" s="790"/>
      <c r="BI1339" s="790"/>
      <c r="BJ1339" s="1184" t="s">
        <v>4763</v>
      </c>
    </row>
    <row r="1340" spans="1:62" x14ac:dyDescent="0.3">
      <c r="A1340" s="1200">
        <v>7</v>
      </c>
      <c r="B1340" s="1210">
        <v>706.2</v>
      </c>
      <c r="C1340" s="1215"/>
      <c r="D1340" s="1203" t="s">
        <v>273</v>
      </c>
      <c r="E1340" s="1203"/>
      <c r="F1340" s="1203"/>
      <c r="G1340" s="1202" t="str">
        <f t="shared" ref="G1340:G1345" ca="1" si="410">G1339</f>
        <v/>
      </c>
      <c r="H1340" s="1200" t="s">
        <v>4388</v>
      </c>
      <c r="I1340" s="140"/>
      <c r="J1340" s="812"/>
      <c r="K1340" s="812"/>
      <c r="L1340" s="1305"/>
      <c r="M1340" s="795"/>
      <c r="N1340" s="1308"/>
      <c r="O1340" s="1308"/>
      <c r="P1340" s="97"/>
      <c r="Q1340" s="97"/>
      <c r="R1340" s="97"/>
      <c r="S1340" s="97"/>
      <c r="T1340" s="97"/>
      <c r="U1340" s="97"/>
      <c r="V1340" s="97"/>
      <c r="W1340" s="97"/>
      <c r="X1340" s="1295"/>
      <c r="Y1340" s="1523"/>
      <c r="Z1340" s="1583"/>
      <c r="AB1340" s="790"/>
      <c r="AC1340" s="790"/>
      <c r="AD1340" s="790"/>
      <c r="AE1340" s="790"/>
      <c r="AF1340" s="790"/>
      <c r="AG1340" s="790"/>
      <c r="AH1340" s="790"/>
      <c r="AI1340" s="790"/>
      <c r="AJ1340" s="790"/>
      <c r="AK1340" s="790"/>
      <c r="AL1340" s="790"/>
      <c r="AM1340" s="790"/>
      <c r="AN1340" s="790"/>
      <c r="AO1340" s="790"/>
      <c r="AP1340" s="790"/>
      <c r="AQ1340" s="790"/>
      <c r="AR1340" s="790"/>
      <c r="AS1340" s="790"/>
      <c r="AT1340" s="790"/>
      <c r="AU1340" s="790"/>
      <c r="AV1340" s="790"/>
      <c r="AW1340" s="790"/>
      <c r="AX1340" s="790"/>
      <c r="AY1340" s="790"/>
      <c r="AZ1340" s="790"/>
      <c r="BA1340" s="790"/>
      <c r="BB1340" s="790"/>
      <c r="BC1340" s="790"/>
      <c r="BD1340" s="790"/>
      <c r="BE1340" s="790"/>
      <c r="BF1340" s="790"/>
      <c r="BG1340" s="790"/>
      <c r="BH1340" s="790"/>
      <c r="BI1340" s="790"/>
      <c r="BJ1340" s="1184" t="s">
        <v>4763</v>
      </c>
    </row>
    <row r="1341" spans="1:62" x14ac:dyDescent="0.3">
      <c r="A1341" s="1200">
        <v>7</v>
      </c>
      <c r="B1341" s="1210">
        <v>706.2</v>
      </c>
      <c r="C1341" s="1215"/>
      <c r="D1341" s="1203" t="s">
        <v>273</v>
      </c>
      <c r="E1341" s="1203"/>
      <c r="F1341" s="1203"/>
      <c r="G1341" s="1202" t="str">
        <f t="shared" ca="1" si="410"/>
        <v/>
      </c>
      <c r="H1341" s="1200" t="s">
        <v>4388</v>
      </c>
      <c r="I1341" s="140"/>
      <c r="J1341" s="812"/>
      <c r="K1341" s="812"/>
      <c r="L1341" s="1305"/>
      <c r="M1341" s="795"/>
      <c r="N1341" s="1308"/>
      <c r="O1341" s="1308"/>
      <c r="P1341" s="97"/>
      <c r="Q1341" s="97"/>
      <c r="R1341" s="97"/>
      <c r="S1341" s="97"/>
      <c r="T1341" s="97"/>
      <c r="U1341" s="97"/>
      <c r="V1341" s="97"/>
      <c r="W1341" s="97"/>
      <c r="X1341" s="1295"/>
      <c r="Y1341" s="1523"/>
      <c r="Z1341" s="1583"/>
      <c r="AB1341" s="790"/>
      <c r="AC1341" s="790"/>
      <c r="AD1341" s="790"/>
      <c r="AE1341" s="790"/>
      <c r="AF1341" s="790"/>
      <c r="AG1341" s="790"/>
      <c r="AH1341" s="790"/>
      <c r="AI1341" s="790"/>
      <c r="AJ1341" s="790"/>
      <c r="AK1341" s="790"/>
      <c r="AL1341" s="790"/>
      <c r="AM1341" s="790"/>
      <c r="AN1341" s="790"/>
      <c r="AO1341" s="790"/>
      <c r="AP1341" s="790"/>
      <c r="AQ1341" s="790"/>
      <c r="AR1341" s="790"/>
      <c r="AS1341" s="790"/>
      <c r="AT1341" s="790"/>
      <c r="AU1341" s="790"/>
      <c r="AV1341" s="790"/>
      <c r="AW1341" s="790"/>
      <c r="AX1341" s="790"/>
      <c r="AY1341" s="790"/>
      <c r="AZ1341" s="790"/>
      <c r="BA1341" s="790"/>
      <c r="BB1341" s="790"/>
      <c r="BC1341" s="790"/>
      <c r="BD1341" s="790"/>
      <c r="BE1341" s="790"/>
      <c r="BF1341" s="790"/>
      <c r="BG1341" s="790"/>
      <c r="BH1341" s="790"/>
      <c r="BI1341" s="790"/>
      <c r="BJ1341" s="1184" t="s">
        <v>4763</v>
      </c>
    </row>
    <row r="1342" spans="1:62" x14ac:dyDescent="0.3">
      <c r="A1342" s="1200">
        <v>7</v>
      </c>
      <c r="B1342" s="1210">
        <v>706.2</v>
      </c>
      <c r="C1342" s="1215"/>
      <c r="D1342" s="1203" t="s">
        <v>273</v>
      </c>
      <c r="E1342" s="1203" t="s">
        <v>121</v>
      </c>
      <c r="F1342" s="1203"/>
      <c r="G1342" s="1202" t="str">
        <f t="shared" ca="1" si="410"/>
        <v/>
      </c>
      <c r="H1342" s="1200" t="s">
        <v>4388</v>
      </c>
      <c r="I1342" s="140"/>
      <c r="J1342" s="812"/>
      <c r="K1342" s="614" t="s">
        <v>121</v>
      </c>
      <c r="L1342" s="1305" t="s">
        <v>1269</v>
      </c>
      <c r="M1342" s="1318">
        <v>1</v>
      </c>
      <c r="N1342" s="854"/>
      <c r="O1342" s="803"/>
      <c r="P1342" s="97"/>
      <c r="Q1342" s="97"/>
      <c r="R1342" s="97"/>
      <c r="S1342" s="97"/>
      <c r="T1342" s="97"/>
      <c r="U1342" s="97"/>
      <c r="V1342" s="97"/>
      <c r="W1342" s="97"/>
      <c r="X1342" s="1295"/>
      <c r="Y1342" s="1523"/>
      <c r="Z1342" s="1583"/>
      <c r="AB1342" s="790"/>
      <c r="AC1342" s="790"/>
      <c r="AD1342" s="790"/>
      <c r="AE1342" s="790"/>
      <c r="AF1342" s="790"/>
      <c r="AG1342" s="790"/>
      <c r="AH1342" s="790"/>
      <c r="AI1342" s="790"/>
      <c r="AJ1342" s="790"/>
      <c r="AK1342" s="790"/>
      <c r="AL1342" s="311" t="str">
        <f t="shared" ref="AL1342" si="411">SUBSTITUTE(SUBSTITUTE(SUBSTITUTE("vpa"&amp;$B1342&amp;$C1342&amp;$D1342&amp;$E1342&amp;$F1342,".","_"),"(","_"),")","")</f>
        <v>vpa706_2_2_a</v>
      </c>
      <c r="AM1342" s="311">
        <f>M1342</f>
        <v>1</v>
      </c>
      <c r="AN1342" s="790"/>
      <c r="AO1342" s="790"/>
      <c r="AP1342" s="790"/>
      <c r="AQ1342" s="790"/>
      <c r="AR1342" s="790"/>
      <c r="AS1342" s="790"/>
      <c r="AT1342" s="790"/>
      <c r="AU1342" s="790"/>
      <c r="AV1342" s="790"/>
      <c r="AW1342" s="790"/>
      <c r="AX1342" s="790"/>
      <c r="AY1342" s="790"/>
      <c r="AZ1342" s="790"/>
      <c r="BA1342" s="790"/>
      <c r="BB1342" s="790"/>
      <c r="BC1342" s="790"/>
      <c r="BD1342" s="790"/>
      <c r="BE1342" s="790"/>
      <c r="BF1342" s="790"/>
      <c r="BG1342" s="790"/>
      <c r="BH1342" s="790"/>
      <c r="BI1342" s="790"/>
      <c r="BJ1342" s="1184" t="s">
        <v>4763</v>
      </c>
    </row>
    <row r="1343" spans="1:62" x14ac:dyDescent="0.3">
      <c r="A1343" s="1200">
        <v>7</v>
      </c>
      <c r="B1343" s="1210">
        <v>706.2</v>
      </c>
      <c r="C1343" s="1215"/>
      <c r="D1343" s="1203" t="s">
        <v>273</v>
      </c>
      <c r="E1343" s="1203" t="s">
        <v>121</v>
      </c>
      <c r="F1343" s="1203"/>
      <c r="G1343" s="1202" t="str">
        <f t="shared" ca="1" si="410"/>
        <v/>
      </c>
      <c r="H1343" s="1200" t="s">
        <v>4388</v>
      </c>
      <c r="I1343" s="140"/>
      <c r="J1343" s="812"/>
      <c r="K1343" s="626"/>
      <c r="L1343" s="1306"/>
      <c r="M1343" s="1319"/>
      <c r="N1343" s="854"/>
      <c r="O1343" s="803"/>
      <c r="P1343" s="97"/>
      <c r="Q1343" s="97"/>
      <c r="R1343" s="97"/>
      <c r="S1343" s="97"/>
      <c r="T1343" s="97"/>
      <c r="U1343" s="97"/>
      <c r="V1343" s="97"/>
      <c r="W1343" s="97"/>
      <c r="X1343" s="1295"/>
      <c r="Y1343" s="1523"/>
      <c r="Z1343" s="1583"/>
      <c r="AB1343" s="790"/>
      <c r="AC1343" s="790"/>
      <c r="AD1343" s="790"/>
      <c r="AE1343" s="790"/>
      <c r="AF1343" s="790"/>
      <c r="AG1343" s="790"/>
      <c r="AH1343" s="790"/>
      <c r="AI1343" s="790"/>
      <c r="AJ1343" s="790"/>
      <c r="AK1343" s="790"/>
      <c r="AL1343" s="790"/>
      <c r="AM1343" s="790"/>
      <c r="AN1343" s="790"/>
      <c r="AO1343" s="790"/>
      <c r="AP1343" s="790"/>
      <c r="AQ1343" s="790"/>
      <c r="AR1343" s="790"/>
      <c r="AS1343" s="790"/>
      <c r="AT1343" s="790"/>
      <c r="AU1343" s="790"/>
      <c r="AV1343" s="790"/>
      <c r="AW1343" s="790"/>
      <c r="AX1343" s="790"/>
      <c r="AY1343" s="790"/>
      <c r="AZ1343" s="790"/>
      <c r="BA1343" s="790"/>
      <c r="BB1343" s="790"/>
      <c r="BC1343" s="790"/>
      <c r="BD1343" s="790"/>
      <c r="BE1343" s="790"/>
      <c r="BF1343" s="790"/>
      <c r="BG1343" s="790"/>
      <c r="BH1343" s="790"/>
      <c r="BI1343" s="790"/>
      <c r="BJ1343" s="1184" t="s">
        <v>4763</v>
      </c>
    </row>
    <row r="1344" spans="1:62" x14ac:dyDescent="0.3">
      <c r="A1344" s="1200">
        <v>7</v>
      </c>
      <c r="B1344" s="1210">
        <v>706.2</v>
      </c>
      <c r="C1344" s="1215"/>
      <c r="D1344" s="1203" t="s">
        <v>273</v>
      </c>
      <c r="E1344" s="1203" t="s">
        <v>122</v>
      </c>
      <c r="F1344" s="1203"/>
      <c r="G1344" s="1202" t="str">
        <f t="shared" ca="1" si="410"/>
        <v/>
      </c>
      <c r="H1344" s="1200" t="s">
        <v>4388</v>
      </c>
      <c r="I1344" s="140"/>
      <c r="J1344" s="812"/>
      <c r="K1344" s="614" t="s">
        <v>122</v>
      </c>
      <c r="L1344" s="1305" t="s">
        <v>1270</v>
      </c>
      <c r="M1344" s="1318">
        <v>2</v>
      </c>
      <c r="N1344" s="854"/>
      <c r="O1344" s="803"/>
      <c r="P1344" s="97"/>
      <c r="Q1344" s="97"/>
      <c r="R1344" s="97"/>
      <c r="S1344" s="97"/>
      <c r="T1344" s="97"/>
      <c r="U1344" s="97"/>
      <c r="V1344" s="97"/>
      <c r="W1344" s="97"/>
      <c r="X1344" s="1295"/>
      <c r="Y1344" s="1523"/>
      <c r="Z1344" s="1583"/>
      <c r="AB1344" s="790"/>
      <c r="AC1344" s="790"/>
      <c r="AD1344" s="790"/>
      <c r="AE1344" s="790"/>
      <c r="AF1344" s="790"/>
      <c r="AG1344" s="790"/>
      <c r="AH1344" s="790"/>
      <c r="AI1344" s="790"/>
      <c r="AJ1344" s="790"/>
      <c r="AK1344" s="790"/>
      <c r="AL1344" s="311" t="str">
        <f t="shared" ref="AL1344" si="412">SUBSTITUTE(SUBSTITUTE(SUBSTITUTE("vpa"&amp;$B1344&amp;$C1344&amp;$D1344&amp;$E1344&amp;$F1344,".","_"),"(","_"),")","")</f>
        <v>vpa706_2_2_b</v>
      </c>
      <c r="AM1344" s="311">
        <f>M1344</f>
        <v>2</v>
      </c>
      <c r="AN1344" s="790"/>
      <c r="AO1344" s="790"/>
      <c r="AP1344" s="790"/>
      <c r="AQ1344" s="790"/>
      <c r="AR1344" s="790"/>
      <c r="AS1344" s="790"/>
      <c r="AT1344" s="790"/>
      <c r="AU1344" s="790"/>
      <c r="AV1344" s="790"/>
      <c r="AW1344" s="790"/>
      <c r="AX1344" s="790"/>
      <c r="AY1344" s="790"/>
      <c r="AZ1344" s="790"/>
      <c r="BA1344" s="790"/>
      <c r="BB1344" s="790"/>
      <c r="BC1344" s="790"/>
      <c r="BD1344" s="790"/>
      <c r="BE1344" s="790"/>
      <c r="BF1344" s="790"/>
      <c r="BG1344" s="790"/>
      <c r="BH1344" s="790"/>
      <c r="BI1344" s="790"/>
      <c r="BJ1344" s="1184" t="s">
        <v>4763</v>
      </c>
    </row>
    <row r="1345" spans="1:62" ht="15" thickBot="1" x14ac:dyDescent="0.35">
      <c r="A1345" s="1200">
        <v>7</v>
      </c>
      <c r="B1345" s="1210">
        <v>706.2</v>
      </c>
      <c r="C1345" s="1215"/>
      <c r="D1345" s="1203" t="s">
        <v>273</v>
      </c>
      <c r="E1345" s="1203" t="s">
        <v>122</v>
      </c>
      <c r="F1345" s="1203"/>
      <c r="G1345" s="1202" t="str">
        <f t="shared" ca="1" si="410"/>
        <v/>
      </c>
      <c r="H1345" s="1200" t="s">
        <v>4388</v>
      </c>
      <c r="I1345" s="270"/>
      <c r="J1345" s="824"/>
      <c r="K1345" s="824"/>
      <c r="L1345" s="1330"/>
      <c r="M1345" s="1334"/>
      <c r="N1345" s="858"/>
      <c r="O1345" s="801"/>
      <c r="P1345" s="104"/>
      <c r="Q1345" s="104"/>
      <c r="R1345" s="104"/>
      <c r="S1345" s="104"/>
      <c r="T1345" s="104"/>
      <c r="U1345" s="104"/>
      <c r="V1345" s="104"/>
      <c r="W1345" s="104"/>
      <c r="X1345" s="1296"/>
      <c r="Y1345" s="1524"/>
      <c r="Z1345" s="1584"/>
      <c r="AB1345" s="790"/>
      <c r="AC1345" s="790"/>
      <c r="AD1345" s="790"/>
      <c r="AE1345" s="790"/>
      <c r="AF1345" s="790"/>
      <c r="AG1345" s="790"/>
      <c r="AH1345" s="790"/>
      <c r="AI1345" s="790"/>
      <c r="AJ1345" s="790"/>
      <c r="AK1345" s="790"/>
      <c r="AL1345" s="790"/>
      <c r="AM1345" s="790"/>
      <c r="AN1345" s="790"/>
      <c r="AO1345" s="790"/>
      <c r="AP1345" s="790"/>
      <c r="AQ1345" s="790"/>
      <c r="AR1345" s="790"/>
      <c r="AS1345" s="790"/>
      <c r="AT1345" s="790"/>
      <c r="AU1345" s="790"/>
      <c r="AV1345" s="790"/>
      <c r="AW1345" s="790"/>
      <c r="AX1345" s="790"/>
      <c r="AY1345" s="790"/>
      <c r="AZ1345" s="790"/>
      <c r="BA1345" s="790"/>
      <c r="BB1345" s="790"/>
      <c r="BC1345" s="790"/>
      <c r="BD1345" s="790"/>
      <c r="BE1345" s="790"/>
      <c r="BF1345" s="790"/>
      <c r="BG1345" s="790"/>
      <c r="BH1345" s="790"/>
      <c r="BI1345" s="790"/>
      <c r="BJ1345" s="1184" t="s">
        <v>4763</v>
      </c>
    </row>
    <row r="1346" spans="1:62" ht="15" thickTop="1" x14ac:dyDescent="0.3">
      <c r="A1346" s="1200">
        <v>7</v>
      </c>
      <c r="B1346" s="1210">
        <v>706.3</v>
      </c>
      <c r="C1346" s="1215"/>
      <c r="D1346" s="1203"/>
      <c r="E1346" s="1203"/>
      <c r="F1346" s="1203"/>
      <c r="G1346" s="1202" t="str">
        <f>IF(N1346&gt;0,"P","")</f>
        <v/>
      </c>
      <c r="H1346" s="1200" t="s">
        <v>4388</v>
      </c>
      <c r="I1346" s="66">
        <v>706.3</v>
      </c>
      <c r="J1346" s="819"/>
      <c r="K1346" s="819"/>
      <c r="L1346" s="1389" t="s">
        <v>1271</v>
      </c>
      <c r="M1346" s="799"/>
      <c r="N1346" s="1310">
        <f>'Ch7'!O583</f>
        <v>0</v>
      </c>
      <c r="O1346" s="1310">
        <f>IFERROR(INDEX({0,1,2},MATCH((1*S1354*W1354+1*S1355*W1355+1*S1356*W1356+1*S1357*W1357+1*S1358*W1358+1*S1359*W1359+2*S1360*W1360+2*S1361*W1361),{0,3,6},1)),0)</f>
        <v>0</v>
      </c>
      <c r="P1346" s="1081"/>
      <c r="Q1346" s="1081"/>
      <c r="R1346" s="790"/>
      <c r="S1346" s="790"/>
      <c r="T1346" s="790"/>
      <c r="U1346" s="790"/>
      <c r="V1346" s="790"/>
      <c r="W1346" s="790"/>
      <c r="X1346" s="1304"/>
      <c r="Y1346" s="1525" t="str">
        <f>IF(LEN('Ch7'!X583)=0,"None",'Ch7'!X583)</f>
        <v>None</v>
      </c>
      <c r="Z1346" s="1585"/>
      <c r="AB1346" s="790"/>
      <c r="AC1346" s="790"/>
      <c r="AD1346" s="790"/>
      <c r="AE1346" s="790"/>
      <c r="AF1346" s="790"/>
      <c r="AG1346" s="790"/>
      <c r="AH1346" s="790"/>
      <c r="AI1346" s="790"/>
      <c r="AJ1346" s="790"/>
      <c r="AK1346" s="790"/>
      <c r="AL1346" s="790"/>
      <c r="AM1346" s="790"/>
      <c r="AN1346" s="311" t="str">
        <f>SUBSTITUTE(SUBSTITUTE(SUBSTITUTE("vpc"&amp;$B1346&amp;$C1346&amp;$D1346&amp;$E1346&amp;$F1346,".","_"),"(","_"),")","")</f>
        <v>vpc706_3</v>
      </c>
      <c r="AO1346" s="311">
        <f>O1346</f>
        <v>0</v>
      </c>
      <c r="AP1346" s="790"/>
      <c r="AQ1346" s="790"/>
      <c r="AR1346" s="311" t="str">
        <f>SUBSTITUTE(SUBSTITUTE(SUBSTITUTE("vnt"&amp;$B1346&amp;$C1346&amp;$D1346&amp;$E1346&amp;$F1346,".","_"),"(","_"),")","")</f>
        <v>vnt706_3</v>
      </c>
      <c r="AS1346" s="311">
        <f>X1346</f>
        <v>0</v>
      </c>
      <c r="AT1346" s="790"/>
      <c r="AU1346" s="790"/>
      <c r="AV1346" s="790"/>
      <c r="AW1346" s="790"/>
      <c r="AX1346" s="790"/>
      <c r="AY1346" s="790"/>
      <c r="AZ1346" s="790"/>
      <c r="BA1346" s="790"/>
      <c r="BB1346" s="790"/>
      <c r="BC1346" s="790"/>
      <c r="BD1346" s="790"/>
      <c r="BE1346" s="790"/>
      <c r="BF1346" s="790"/>
      <c r="BG1346" s="790"/>
      <c r="BH1346" s="790"/>
      <c r="BI1346" s="790"/>
      <c r="BJ1346" s="1184" t="s">
        <v>4763</v>
      </c>
    </row>
    <row r="1347" spans="1:62" x14ac:dyDescent="0.3">
      <c r="A1347" s="1200">
        <v>7</v>
      </c>
      <c r="B1347" s="1210">
        <v>706.3</v>
      </c>
      <c r="C1347" s="1215"/>
      <c r="D1347" s="1203"/>
      <c r="E1347" s="1203"/>
      <c r="F1347" s="1203"/>
      <c r="G1347" s="1202" t="str">
        <f t="shared" ref="G1347:G1361" si="413">G1346</f>
        <v/>
      </c>
      <c r="H1347" s="1200" t="s">
        <v>4388</v>
      </c>
      <c r="I1347" s="66"/>
      <c r="J1347" s="819"/>
      <c r="K1347" s="819"/>
      <c r="L1347" s="1389"/>
      <c r="M1347" s="799"/>
      <c r="N1347" s="1310"/>
      <c r="O1347" s="1310"/>
      <c r="P1347" s="1081"/>
      <c r="Q1347" s="1081"/>
      <c r="R1347" s="790"/>
      <c r="S1347" s="790"/>
      <c r="T1347" s="790"/>
      <c r="U1347" s="790"/>
      <c r="V1347" s="790"/>
      <c r="W1347" s="790"/>
      <c r="X1347" s="1303"/>
      <c r="Y1347" s="1522"/>
      <c r="Z1347" s="1586"/>
      <c r="AB1347" s="790"/>
      <c r="AC1347" s="790"/>
      <c r="AD1347" s="790"/>
      <c r="AE1347" s="790"/>
      <c r="AF1347" s="790"/>
      <c r="AG1347" s="790"/>
      <c r="AH1347" s="790"/>
      <c r="AI1347" s="790"/>
      <c r="AJ1347" s="790"/>
      <c r="AK1347" s="790"/>
      <c r="AL1347" s="790"/>
      <c r="AM1347" s="790"/>
      <c r="AN1347" s="790"/>
      <c r="AO1347" s="790"/>
      <c r="AP1347" s="790"/>
      <c r="AQ1347" s="790"/>
      <c r="AR1347" s="790"/>
      <c r="AS1347" s="790"/>
      <c r="AT1347" s="790"/>
      <c r="AU1347" s="790"/>
      <c r="AV1347" s="790"/>
      <c r="AW1347" s="790"/>
      <c r="AX1347" s="790"/>
      <c r="AY1347" s="790"/>
      <c r="AZ1347" s="790"/>
      <c r="BA1347" s="790"/>
      <c r="BB1347" s="790"/>
      <c r="BC1347" s="790"/>
      <c r="BD1347" s="790"/>
      <c r="BE1347" s="790"/>
      <c r="BF1347" s="790"/>
      <c r="BG1347" s="790"/>
      <c r="BH1347" s="790"/>
      <c r="BI1347" s="790"/>
      <c r="BJ1347" s="1184" t="s">
        <v>4763</v>
      </c>
    </row>
    <row r="1348" spans="1:62" x14ac:dyDescent="0.3">
      <c r="A1348" s="1200">
        <v>7</v>
      </c>
      <c r="B1348" s="1210">
        <v>706.3</v>
      </c>
      <c r="C1348" s="1215"/>
      <c r="D1348" s="1203"/>
      <c r="E1348" s="1203" t="s">
        <v>121</v>
      </c>
      <c r="F1348" s="1203"/>
      <c r="G1348" s="1202" t="str">
        <f t="shared" si="413"/>
        <v/>
      </c>
      <c r="H1348" s="1200" t="s">
        <v>4388</v>
      </c>
      <c r="I1348" s="4"/>
      <c r="J1348" s="819"/>
      <c r="K1348" s="819"/>
      <c r="L1348" s="828" t="s">
        <v>1272</v>
      </c>
      <c r="M1348" s="799">
        <v>1</v>
      </c>
      <c r="N1348" s="850"/>
      <c r="O1348" s="802"/>
      <c r="P1348" s="1081"/>
      <c r="Q1348" s="1081"/>
      <c r="R1348" s="790"/>
      <c r="S1348" s="790"/>
      <c r="T1348" s="790"/>
      <c r="U1348" s="790"/>
      <c r="V1348" s="790"/>
      <c r="W1348" s="790"/>
      <c r="X1348" s="1303"/>
      <c r="Y1348" s="1522"/>
      <c r="Z1348" s="1586"/>
      <c r="AB1348" s="790"/>
      <c r="AC1348" s="790"/>
      <c r="AD1348" s="790"/>
      <c r="AE1348" s="790"/>
      <c r="AF1348" s="790"/>
      <c r="AG1348" s="790"/>
      <c r="AH1348" s="790"/>
      <c r="AI1348" s="790"/>
      <c r="AJ1348" s="790"/>
      <c r="AK1348" s="790"/>
      <c r="AL1348" s="311" t="str">
        <f t="shared" ref="AL1348:AL1349" si="414">SUBSTITUTE(SUBSTITUTE(SUBSTITUTE("vpa"&amp;$B1348&amp;$C1348&amp;$D1348&amp;$E1348&amp;$F1348,".","_"),"(","_"),")","")</f>
        <v>vpa706_3_a</v>
      </c>
      <c r="AM1348" s="311">
        <f>M1348</f>
        <v>1</v>
      </c>
      <c r="AN1348" s="790"/>
      <c r="AO1348" s="790"/>
      <c r="AP1348" s="790"/>
      <c r="AQ1348" s="790"/>
      <c r="AR1348" s="790"/>
      <c r="AS1348" s="790"/>
      <c r="AT1348" s="790"/>
      <c r="AU1348" s="790"/>
      <c r="AV1348" s="790"/>
      <c r="AW1348" s="790"/>
      <c r="AX1348" s="790"/>
      <c r="AY1348" s="790"/>
      <c r="AZ1348" s="790"/>
      <c r="BA1348" s="790"/>
      <c r="BB1348" s="790"/>
      <c r="BC1348" s="790"/>
      <c r="BD1348" s="790"/>
      <c r="BE1348" s="790"/>
      <c r="BF1348" s="790"/>
      <c r="BG1348" s="790"/>
      <c r="BH1348" s="790"/>
      <c r="BI1348" s="790"/>
      <c r="BJ1348" s="1184" t="s">
        <v>4763</v>
      </c>
    </row>
    <row r="1349" spans="1:62" x14ac:dyDescent="0.3">
      <c r="A1349" s="1200">
        <v>7</v>
      </c>
      <c r="B1349" s="1210">
        <v>706.3</v>
      </c>
      <c r="C1349" s="1215"/>
      <c r="D1349" s="1203"/>
      <c r="E1349" s="1203" t="s">
        <v>122</v>
      </c>
      <c r="F1349" s="1203"/>
      <c r="G1349" s="1202" t="str">
        <f t="shared" si="413"/>
        <v/>
      </c>
      <c r="H1349" s="1200" t="s">
        <v>4388</v>
      </c>
      <c r="I1349" s="4"/>
      <c r="J1349" s="819"/>
      <c r="K1349" s="819"/>
      <c r="L1349" s="828" t="s">
        <v>1273</v>
      </c>
      <c r="M1349" s="799">
        <v>2</v>
      </c>
      <c r="N1349" s="850"/>
      <c r="O1349" s="802"/>
      <c r="P1349" s="1081"/>
      <c r="Q1349" s="1081"/>
      <c r="R1349" s="790"/>
      <c r="S1349" s="790"/>
      <c r="T1349" s="790"/>
      <c r="U1349" s="790"/>
      <c r="V1349" s="790"/>
      <c r="W1349" s="790"/>
      <c r="X1349" s="1303"/>
      <c r="Y1349" s="1522"/>
      <c r="Z1349" s="1586"/>
      <c r="AB1349" s="790"/>
      <c r="AC1349" s="790"/>
      <c r="AD1349" s="790"/>
      <c r="AE1349" s="790"/>
      <c r="AF1349" s="790"/>
      <c r="AG1349" s="790"/>
      <c r="AH1349" s="790"/>
      <c r="AI1349" s="790"/>
      <c r="AJ1349" s="790"/>
      <c r="AK1349" s="790"/>
      <c r="AL1349" s="311" t="str">
        <f t="shared" si="414"/>
        <v>vpa706_3_b</v>
      </c>
      <c r="AM1349" s="311">
        <f>M1349</f>
        <v>2</v>
      </c>
      <c r="AN1349" s="790"/>
      <c r="AO1349" s="790"/>
      <c r="AP1349" s="790"/>
      <c r="AQ1349" s="790"/>
      <c r="AR1349" s="790"/>
      <c r="AS1349" s="790"/>
      <c r="AT1349" s="790"/>
      <c r="AU1349" s="790"/>
      <c r="AV1349" s="790"/>
      <c r="AW1349" s="790"/>
      <c r="AX1349" s="790"/>
      <c r="AY1349" s="790"/>
      <c r="AZ1349" s="790"/>
      <c r="BA1349" s="790"/>
      <c r="BB1349" s="790"/>
      <c r="BC1349" s="790"/>
      <c r="BD1349" s="790"/>
      <c r="BE1349" s="790"/>
      <c r="BF1349" s="790"/>
      <c r="BG1349" s="790"/>
      <c r="BH1349" s="790"/>
      <c r="BI1349" s="790"/>
      <c r="BJ1349" s="1184" t="s">
        <v>4763</v>
      </c>
    </row>
    <row r="1350" spans="1:62" x14ac:dyDescent="0.3">
      <c r="A1350" s="1200">
        <v>7</v>
      </c>
      <c r="B1350" s="1210">
        <v>706.3</v>
      </c>
      <c r="C1350" s="1215"/>
      <c r="D1350" s="1203"/>
      <c r="E1350" s="1203"/>
      <c r="F1350" s="1203"/>
      <c r="G1350" s="1202" t="str">
        <f t="shared" si="413"/>
        <v/>
      </c>
      <c r="H1350" s="1200" t="s">
        <v>4388</v>
      </c>
      <c r="I1350" s="4"/>
      <c r="J1350" s="790"/>
      <c r="K1350" s="267"/>
      <c r="L1350" s="1365" t="s">
        <v>1274</v>
      </c>
      <c r="M1350" s="799"/>
      <c r="N1350" s="850"/>
      <c r="O1350" s="802"/>
      <c r="P1350" s="1081"/>
      <c r="Q1350" s="1081"/>
      <c r="R1350" s="790"/>
      <c r="S1350" s="790"/>
      <c r="T1350" s="790"/>
      <c r="U1350" s="790"/>
      <c r="V1350" s="790"/>
      <c r="W1350" s="790"/>
      <c r="X1350" s="1303"/>
      <c r="Y1350" s="1522"/>
      <c r="Z1350" s="1586"/>
      <c r="AB1350" s="790"/>
      <c r="AC1350" s="790"/>
      <c r="AD1350" s="790"/>
      <c r="AE1350" s="790"/>
      <c r="AF1350" s="790"/>
      <c r="AG1350" s="790"/>
      <c r="AH1350" s="790"/>
      <c r="AI1350" s="790"/>
      <c r="AJ1350" s="790"/>
      <c r="AK1350" s="790"/>
      <c r="AL1350" s="790"/>
      <c r="AM1350" s="790"/>
      <c r="AN1350" s="790"/>
      <c r="AO1350" s="790"/>
      <c r="AP1350" s="790"/>
      <c r="AQ1350" s="790"/>
      <c r="AR1350" s="790"/>
      <c r="AS1350" s="790"/>
      <c r="AT1350" s="790"/>
      <c r="AU1350" s="790"/>
      <c r="AV1350" s="790"/>
      <c r="AW1350" s="790"/>
      <c r="AX1350" s="790"/>
      <c r="AY1350" s="790"/>
      <c r="AZ1350" s="790"/>
      <c r="BA1350" s="790"/>
      <c r="BB1350" s="790"/>
      <c r="BC1350" s="790"/>
      <c r="BD1350" s="790"/>
      <c r="BE1350" s="790"/>
      <c r="BF1350" s="790"/>
      <c r="BG1350" s="790"/>
      <c r="BH1350" s="790"/>
      <c r="BI1350" s="790"/>
      <c r="BJ1350" s="1184" t="s">
        <v>4763</v>
      </c>
    </row>
    <row r="1351" spans="1:62" x14ac:dyDescent="0.3">
      <c r="A1351" s="1200">
        <v>7</v>
      </c>
      <c r="B1351" s="1210">
        <v>706.3</v>
      </c>
      <c r="C1351" s="1215"/>
      <c r="D1351" s="1203"/>
      <c r="E1351" s="1203"/>
      <c r="F1351" s="1203"/>
      <c r="G1351" s="1202" t="str">
        <f t="shared" si="413"/>
        <v/>
      </c>
      <c r="H1351" s="1200" t="s">
        <v>4388</v>
      </c>
      <c r="I1351" s="4"/>
      <c r="J1351" s="790"/>
      <c r="K1351" s="267"/>
      <c r="L1351" s="1365"/>
      <c r="M1351" s="799"/>
      <c r="N1351" s="850"/>
      <c r="O1351" s="802"/>
      <c r="P1351" s="1081"/>
      <c r="Q1351" s="1081"/>
      <c r="R1351" s="790"/>
      <c r="S1351" s="790"/>
      <c r="T1351" s="790"/>
      <c r="U1351" s="790"/>
      <c r="V1351" s="790"/>
      <c r="W1351" s="790"/>
      <c r="X1351" s="1303"/>
      <c r="Y1351" s="1522"/>
      <c r="Z1351" s="1586"/>
      <c r="AB1351" s="790"/>
      <c r="AC1351" s="790"/>
      <c r="AD1351" s="790"/>
      <c r="AE1351" s="790"/>
      <c r="AF1351" s="790"/>
      <c r="AG1351" s="790"/>
      <c r="AH1351" s="790"/>
      <c r="AI1351" s="790"/>
      <c r="AJ1351" s="790"/>
      <c r="AK1351" s="790"/>
      <c r="AL1351" s="790"/>
      <c r="AM1351" s="790"/>
      <c r="AN1351" s="790"/>
      <c r="AO1351" s="790"/>
      <c r="AP1351" s="790"/>
      <c r="AQ1351" s="790"/>
      <c r="AR1351" s="790"/>
      <c r="AS1351" s="790"/>
      <c r="AT1351" s="790"/>
      <c r="AU1351" s="790"/>
      <c r="AV1351" s="790"/>
      <c r="AW1351" s="790"/>
      <c r="AX1351" s="790"/>
      <c r="AY1351" s="790"/>
      <c r="AZ1351" s="790"/>
      <c r="BA1351" s="790"/>
      <c r="BB1351" s="790"/>
      <c r="BC1351" s="790"/>
      <c r="BD1351" s="790"/>
      <c r="BE1351" s="790"/>
      <c r="BF1351" s="790"/>
      <c r="BG1351" s="790"/>
      <c r="BH1351" s="790"/>
      <c r="BI1351" s="790"/>
      <c r="BJ1351" s="1184" t="s">
        <v>4763</v>
      </c>
    </row>
    <row r="1352" spans="1:62" x14ac:dyDescent="0.3">
      <c r="A1352" s="1200">
        <v>7</v>
      </c>
      <c r="B1352" s="1210">
        <v>706.3</v>
      </c>
      <c r="C1352" s="1215"/>
      <c r="D1352" s="1203"/>
      <c r="E1352" s="1203"/>
      <c r="F1352" s="1203"/>
      <c r="G1352" s="1202" t="str">
        <f t="shared" si="413"/>
        <v/>
      </c>
      <c r="H1352" s="1200" t="s">
        <v>4388</v>
      </c>
      <c r="I1352" s="4"/>
      <c r="J1352" s="819"/>
      <c r="K1352" s="790"/>
      <c r="L1352" s="1365" t="s">
        <v>1275</v>
      </c>
      <c r="M1352" s="799"/>
      <c r="N1352" s="850"/>
      <c r="O1352" s="802"/>
      <c r="P1352" s="1081"/>
      <c r="Q1352" s="1081"/>
      <c r="R1352" s="790"/>
      <c r="S1352" s="790"/>
      <c r="T1352" s="790"/>
      <c r="U1352" s="790"/>
      <c r="V1352" s="790"/>
      <c r="W1352" s="790"/>
      <c r="X1352" s="1303"/>
      <c r="Y1352" s="1522"/>
      <c r="Z1352" s="1586"/>
      <c r="AB1352" s="790"/>
      <c r="AC1352" s="790"/>
      <c r="AD1352" s="790"/>
      <c r="AE1352" s="790"/>
      <c r="AF1352" s="790"/>
      <c r="AG1352" s="790"/>
      <c r="AH1352" s="790"/>
      <c r="AI1352" s="790"/>
      <c r="AJ1352" s="790"/>
      <c r="AK1352" s="790"/>
      <c r="AL1352" s="790"/>
      <c r="AM1352" s="790"/>
      <c r="AN1352" s="790"/>
      <c r="AO1352" s="790"/>
      <c r="AP1352" s="790"/>
      <c r="AQ1352" s="790"/>
      <c r="AR1352" s="790"/>
      <c r="AS1352" s="790"/>
      <c r="AT1352" s="790"/>
      <c r="AU1352" s="790"/>
      <c r="AV1352" s="790"/>
      <c r="AW1352" s="790"/>
      <c r="AX1352" s="790"/>
      <c r="AY1352" s="790"/>
      <c r="AZ1352" s="790"/>
      <c r="BA1352" s="790"/>
      <c r="BB1352" s="790"/>
      <c r="BC1352" s="790"/>
      <c r="BD1352" s="790"/>
      <c r="BE1352" s="790"/>
      <c r="BF1352" s="790"/>
      <c r="BG1352" s="790"/>
      <c r="BH1352" s="790"/>
      <c r="BI1352" s="790"/>
      <c r="BJ1352" s="1184" t="s">
        <v>4763</v>
      </c>
    </row>
    <row r="1353" spans="1:62" x14ac:dyDescent="0.3">
      <c r="A1353" s="1200">
        <v>7</v>
      </c>
      <c r="B1353" s="1210">
        <v>706.3</v>
      </c>
      <c r="C1353" s="1215"/>
      <c r="D1353" s="1203"/>
      <c r="E1353" s="1203"/>
      <c r="F1353" s="1203"/>
      <c r="G1353" s="1202" t="str">
        <f t="shared" si="413"/>
        <v/>
      </c>
      <c r="H1353" s="1200" t="s">
        <v>4388</v>
      </c>
      <c r="I1353" s="4"/>
      <c r="J1353" s="819"/>
      <c r="K1353" s="790"/>
      <c r="L1353" s="1365"/>
      <c r="M1353" s="799"/>
      <c r="N1353" s="850"/>
      <c r="O1353" s="802"/>
      <c r="P1353" s="1081"/>
      <c r="Q1353" s="1081"/>
      <c r="R1353" s="790"/>
      <c r="S1353" s="790"/>
      <c r="T1353" s="790"/>
      <c r="U1353" s="790"/>
      <c r="V1353" s="790"/>
      <c r="W1353" s="790"/>
      <c r="X1353" s="1303"/>
      <c r="Y1353" s="1522"/>
      <c r="Z1353" s="1586"/>
      <c r="AB1353" s="790"/>
      <c r="AC1353" s="790"/>
      <c r="AD1353" s="790"/>
      <c r="AE1353" s="790"/>
      <c r="AF1353" s="790"/>
      <c r="AG1353" s="790"/>
      <c r="AH1353" s="790"/>
      <c r="AI1353" s="790"/>
      <c r="AJ1353" s="790"/>
      <c r="AK1353" s="790"/>
      <c r="AL1353" s="790"/>
      <c r="AM1353" s="790"/>
      <c r="AN1353" s="790"/>
      <c r="AO1353" s="790"/>
      <c r="AP1353" s="790"/>
      <c r="AQ1353" s="790"/>
      <c r="AR1353" s="790"/>
      <c r="AS1353" s="790"/>
      <c r="AT1353" s="790"/>
      <c r="AU1353" s="790"/>
      <c r="AV1353" s="790"/>
      <c r="AW1353" s="790"/>
      <c r="AX1353" s="790"/>
      <c r="AY1353" s="790"/>
      <c r="AZ1353" s="790"/>
      <c r="BA1353" s="790"/>
      <c r="BB1353" s="790"/>
      <c r="BC1353" s="790"/>
      <c r="BD1353" s="790"/>
      <c r="BE1353" s="790"/>
      <c r="BF1353" s="790"/>
      <c r="BG1353" s="790"/>
      <c r="BH1353" s="790"/>
      <c r="BI1353" s="790"/>
      <c r="BJ1353" s="1184" t="s">
        <v>4763</v>
      </c>
    </row>
    <row r="1354" spans="1:62" x14ac:dyDescent="0.3">
      <c r="A1354" s="1200">
        <v>7</v>
      </c>
      <c r="B1354" s="1210">
        <v>706.3</v>
      </c>
      <c r="C1354" s="1215"/>
      <c r="D1354" s="1203" t="s">
        <v>271</v>
      </c>
      <c r="E1354" s="1203"/>
      <c r="F1354" s="1203"/>
      <c r="G1354" s="1202" t="str">
        <f t="shared" si="413"/>
        <v/>
      </c>
      <c r="H1354" s="1200" t="s">
        <v>4388</v>
      </c>
      <c r="I1354" s="4"/>
      <c r="J1354" s="644" t="s">
        <v>271</v>
      </c>
      <c r="K1354" s="813"/>
      <c r="L1354" s="813" t="s">
        <v>1138</v>
      </c>
      <c r="M1354" s="799"/>
      <c r="N1354" s="850"/>
      <c r="O1354" s="802"/>
      <c r="P1354" s="97" t="b">
        <v>0</v>
      </c>
      <c r="Q1354" s="97" t="b">
        <v>1</v>
      </c>
      <c r="R1354" s="790" t="b">
        <v>0</v>
      </c>
      <c r="S1354" s="790" t="b">
        <f>IFERROR(NOT(OR(W1383:W1384,W1390)),TRUE)</f>
        <v>1</v>
      </c>
      <c r="T1354" s="97" t="b">
        <f t="shared" ref="T1354:T1361" si="415">AND(NOT(S1354),W1354=TRUE)</f>
        <v>0</v>
      </c>
      <c r="U1354" s="790"/>
      <c r="V1354" s="790"/>
      <c r="W1354" s="25"/>
      <c r="X1354" s="809"/>
      <c r="Y1354" s="841" t="str">
        <f>IF(LEN('Ch7'!X591)=0,"None",'Ch7'!X591)</f>
        <v>None</v>
      </c>
      <c r="Z1354" s="1169"/>
      <c r="AB1354" s="790"/>
      <c r="AC1354" s="790" t="b">
        <f t="shared" ref="AC1354:AC1361" si="416">OR(AD1354:AE1354)</f>
        <v>0</v>
      </c>
      <c r="AD1354" s="790" t="b">
        <f t="shared" ref="AD1354:AD1361" si="417">T1354</f>
        <v>0</v>
      </c>
      <c r="AE1354" s="790" t="b">
        <f t="shared" ref="AE1354:AE1361" si="418">AND(R1354,NOT(W1354))</f>
        <v>0</v>
      </c>
      <c r="AF1354" s="1182" t="b">
        <f t="shared" ref="AF1354:AF1361" si="419">AND(AE1354,NOT(Q1354))</f>
        <v>0</v>
      </c>
      <c r="AG1354" s="790"/>
      <c r="AH1354" s="790"/>
      <c r="AI1354" s="790"/>
      <c r="AJ1354" s="790"/>
      <c r="AK1354" s="790"/>
      <c r="AL1354" s="790"/>
      <c r="AM1354" s="790"/>
      <c r="AN1354" s="790"/>
      <c r="AO1354" s="790"/>
      <c r="AP1354" s="311" t="str">
        <f t="shared" ref="AP1354:AP1361" si="420">SUBSTITUTE(SUBSTITUTE(SUBSTITUTE("vch"&amp;$B1354&amp;$C1354&amp;$D1354&amp;$E1354&amp;$F1354,".","_"),"(","_"),")","")</f>
        <v>vch706_3_1</v>
      </c>
      <c r="AQ1354" s="311">
        <f t="shared" ref="AQ1354:AQ1361" si="421">W1354</f>
        <v>0</v>
      </c>
      <c r="AR1354" s="311" t="str">
        <f t="shared" ref="AR1354:AR1361" si="422">SUBSTITUTE(SUBSTITUTE(SUBSTITUTE("vnt"&amp;$B1354&amp;$C1354&amp;$D1354&amp;$E1354&amp;$F1354,".","_"),"(","_"),")","")</f>
        <v>vnt706_3_1</v>
      </c>
      <c r="AS1354" s="311">
        <f t="shared" ref="AS1354:AS1361" si="423">X1354</f>
        <v>0</v>
      </c>
      <c r="AT1354" s="790"/>
      <c r="AU1354" s="790"/>
      <c r="AV1354" s="790"/>
      <c r="AW1354" s="790"/>
      <c r="AX1354" s="790"/>
      <c r="AY1354" s="790"/>
      <c r="AZ1354" s="790"/>
      <c r="BA1354" s="790"/>
      <c r="BB1354" s="790"/>
      <c r="BC1354" s="790"/>
      <c r="BD1354" s="790"/>
      <c r="BE1354" s="790"/>
      <c r="BF1354" s="790"/>
      <c r="BG1354" s="790"/>
      <c r="BH1354" s="790"/>
      <c r="BI1354" s="790"/>
      <c r="BJ1354" s="1184" t="s">
        <v>4763</v>
      </c>
    </row>
    <row r="1355" spans="1:62" x14ac:dyDescent="0.3">
      <c r="A1355" s="1200">
        <v>7</v>
      </c>
      <c r="B1355" s="1210">
        <v>706.3</v>
      </c>
      <c r="C1355" s="1215"/>
      <c r="D1355" s="1203" t="s">
        <v>273</v>
      </c>
      <c r="E1355" s="1203"/>
      <c r="F1355" s="1203"/>
      <c r="G1355" s="1202" t="str">
        <f t="shared" si="413"/>
        <v/>
      </c>
      <c r="H1355" s="1200" t="s">
        <v>4388</v>
      </c>
      <c r="I1355" s="4"/>
      <c r="J1355" s="656" t="s">
        <v>273</v>
      </c>
      <c r="K1355" s="365"/>
      <c r="L1355" s="365" t="s">
        <v>1276</v>
      </c>
      <c r="M1355" s="799"/>
      <c r="N1355" s="850"/>
      <c r="O1355" s="802"/>
      <c r="P1355" s="97" t="b">
        <v>0</v>
      </c>
      <c r="Q1355" s="97" t="b">
        <v>1</v>
      </c>
      <c r="R1355" s="790" t="b">
        <v>0</v>
      </c>
      <c r="S1355" s="790" t="b">
        <f>IFERROR(NOT(OR(W1383:W1384,W1390)),TRUE)</f>
        <v>1</v>
      </c>
      <c r="T1355" s="97" t="b">
        <f t="shared" si="415"/>
        <v>0</v>
      </c>
      <c r="U1355" s="790"/>
      <c r="V1355" s="790"/>
      <c r="W1355" s="25"/>
      <c r="X1355" s="809"/>
      <c r="Y1355" s="841" t="str">
        <f>IF(LEN('Ch7'!X592)=0,"None",'Ch7'!X592)</f>
        <v>None</v>
      </c>
      <c r="Z1355" s="1169"/>
      <c r="AB1355" s="790"/>
      <c r="AC1355" s="790" t="b">
        <f t="shared" si="416"/>
        <v>0</v>
      </c>
      <c r="AD1355" s="790" t="b">
        <f t="shared" si="417"/>
        <v>0</v>
      </c>
      <c r="AE1355" s="790" t="b">
        <f t="shared" si="418"/>
        <v>0</v>
      </c>
      <c r="AF1355" s="1182" t="b">
        <f t="shared" si="419"/>
        <v>0</v>
      </c>
      <c r="AG1355" s="790"/>
      <c r="AH1355" s="790"/>
      <c r="AI1355" s="790"/>
      <c r="AJ1355" s="790"/>
      <c r="AK1355" s="790"/>
      <c r="AL1355" s="790"/>
      <c r="AM1355" s="790"/>
      <c r="AN1355" s="790"/>
      <c r="AO1355" s="790"/>
      <c r="AP1355" s="311" t="str">
        <f t="shared" si="420"/>
        <v>vch706_3_2</v>
      </c>
      <c r="AQ1355" s="311">
        <f t="shared" si="421"/>
        <v>0</v>
      </c>
      <c r="AR1355" s="311" t="str">
        <f t="shared" si="422"/>
        <v>vnt706_3_2</v>
      </c>
      <c r="AS1355" s="311">
        <f t="shared" si="423"/>
        <v>0</v>
      </c>
      <c r="AT1355" s="790"/>
      <c r="AU1355" s="790"/>
      <c r="AV1355" s="790"/>
      <c r="AW1355" s="790"/>
      <c r="AX1355" s="790"/>
      <c r="AY1355" s="790"/>
      <c r="AZ1355" s="790"/>
      <c r="BA1355" s="790"/>
      <c r="BB1355" s="790"/>
      <c r="BC1355" s="790"/>
      <c r="BD1355" s="790"/>
      <c r="BE1355" s="790"/>
      <c r="BF1355" s="790"/>
      <c r="BG1355" s="790"/>
      <c r="BH1355" s="790"/>
      <c r="BI1355" s="790"/>
      <c r="BJ1355" s="1184" t="s">
        <v>4763</v>
      </c>
    </row>
    <row r="1356" spans="1:62" x14ac:dyDescent="0.3">
      <c r="A1356" s="1200">
        <v>7</v>
      </c>
      <c r="B1356" s="1210">
        <v>706.3</v>
      </c>
      <c r="C1356" s="1215"/>
      <c r="D1356" s="1203" t="s">
        <v>275</v>
      </c>
      <c r="E1356" s="1203"/>
      <c r="F1356" s="1203"/>
      <c r="G1356" s="1202" t="str">
        <f t="shared" si="413"/>
        <v/>
      </c>
      <c r="H1356" s="1200" t="s">
        <v>4388</v>
      </c>
      <c r="I1356" s="4"/>
      <c r="J1356" s="656" t="s">
        <v>275</v>
      </c>
      <c r="K1356" s="365"/>
      <c r="L1356" s="365" t="s">
        <v>1139</v>
      </c>
      <c r="M1356" s="799"/>
      <c r="N1356" s="850"/>
      <c r="O1356" s="802"/>
      <c r="P1356" s="97" t="b">
        <v>0</v>
      </c>
      <c r="Q1356" s="97" t="b">
        <v>1</v>
      </c>
      <c r="R1356" s="790" t="b">
        <v>0</v>
      </c>
      <c r="S1356" s="790" t="b">
        <f>IFERROR(NOT(OR(W1383:W1384,W1390)),TRUE)</f>
        <v>1</v>
      </c>
      <c r="T1356" s="97" t="b">
        <f t="shared" si="415"/>
        <v>0</v>
      </c>
      <c r="U1356" s="790"/>
      <c r="V1356" s="790"/>
      <c r="W1356" s="25"/>
      <c r="X1356" s="809"/>
      <c r="Y1356" s="841" t="str">
        <f>IF(LEN('Ch7'!X593)=0,"None",'Ch7'!X593)</f>
        <v>None</v>
      </c>
      <c r="Z1356" s="1169"/>
      <c r="AB1356" s="790"/>
      <c r="AC1356" s="790" t="b">
        <f t="shared" si="416"/>
        <v>0</v>
      </c>
      <c r="AD1356" s="790" t="b">
        <f t="shared" si="417"/>
        <v>0</v>
      </c>
      <c r="AE1356" s="790" t="b">
        <f t="shared" si="418"/>
        <v>0</v>
      </c>
      <c r="AF1356" s="1182" t="b">
        <f t="shared" si="419"/>
        <v>0</v>
      </c>
      <c r="AG1356" s="790"/>
      <c r="AH1356" s="790"/>
      <c r="AI1356" s="790"/>
      <c r="AJ1356" s="790"/>
      <c r="AK1356" s="790"/>
      <c r="AL1356" s="790"/>
      <c r="AM1356" s="790"/>
      <c r="AN1356" s="790"/>
      <c r="AO1356" s="790"/>
      <c r="AP1356" s="311" t="str">
        <f t="shared" si="420"/>
        <v>vch706_3_3</v>
      </c>
      <c r="AQ1356" s="311">
        <f t="shared" si="421"/>
        <v>0</v>
      </c>
      <c r="AR1356" s="311" t="str">
        <f t="shared" si="422"/>
        <v>vnt706_3_3</v>
      </c>
      <c r="AS1356" s="311">
        <f t="shared" si="423"/>
        <v>0</v>
      </c>
      <c r="AT1356" s="790"/>
      <c r="AU1356" s="790"/>
      <c r="AV1356" s="790"/>
      <c r="AW1356" s="790"/>
      <c r="AX1356" s="790"/>
      <c r="AY1356" s="790"/>
      <c r="AZ1356" s="790"/>
      <c r="BA1356" s="790"/>
      <c r="BB1356" s="790"/>
      <c r="BC1356" s="790"/>
      <c r="BD1356" s="790"/>
      <c r="BE1356" s="790"/>
      <c r="BF1356" s="790"/>
      <c r="BG1356" s="790"/>
      <c r="BH1356" s="790"/>
      <c r="BI1356" s="790"/>
      <c r="BJ1356" s="1184" t="s">
        <v>4763</v>
      </c>
    </row>
    <row r="1357" spans="1:62" x14ac:dyDescent="0.3">
      <c r="A1357" s="1200">
        <v>7</v>
      </c>
      <c r="B1357" s="1210">
        <v>706.3</v>
      </c>
      <c r="C1357" s="1215"/>
      <c r="D1357" s="1203" t="s">
        <v>285</v>
      </c>
      <c r="E1357" s="1203"/>
      <c r="F1357" s="1203"/>
      <c r="G1357" s="1202" t="str">
        <f t="shared" si="413"/>
        <v/>
      </c>
      <c r="H1357" s="1200" t="s">
        <v>4388</v>
      </c>
      <c r="I1357" s="4"/>
      <c r="J1357" s="656" t="s">
        <v>285</v>
      </c>
      <c r="K1357" s="365"/>
      <c r="L1357" s="365" t="s">
        <v>1277</v>
      </c>
      <c r="M1357" s="799"/>
      <c r="N1357" s="850"/>
      <c r="O1357" s="802"/>
      <c r="P1357" s="97" t="b">
        <v>0</v>
      </c>
      <c r="Q1357" s="97" t="b">
        <v>1</v>
      </c>
      <c r="R1357" s="790" t="b">
        <v>0</v>
      </c>
      <c r="S1357" s="790" t="b">
        <f>IFERROR(NOT(OR(W1383:W1384,W1390)),TRUE)</f>
        <v>1</v>
      </c>
      <c r="T1357" s="97" t="b">
        <f t="shared" si="415"/>
        <v>0</v>
      </c>
      <c r="U1357" s="790"/>
      <c r="V1357" s="790"/>
      <c r="W1357" s="25"/>
      <c r="X1357" s="809"/>
      <c r="Y1357" s="841" t="str">
        <f>IF(LEN('Ch7'!X594)=0,"None",'Ch7'!X594)</f>
        <v>None</v>
      </c>
      <c r="Z1357" s="1169"/>
      <c r="AB1357" s="790"/>
      <c r="AC1357" s="790" t="b">
        <f t="shared" si="416"/>
        <v>0</v>
      </c>
      <c r="AD1357" s="790" t="b">
        <f t="shared" si="417"/>
        <v>0</v>
      </c>
      <c r="AE1357" s="790" t="b">
        <f t="shared" si="418"/>
        <v>0</v>
      </c>
      <c r="AF1357" s="1182" t="b">
        <f t="shared" si="419"/>
        <v>0</v>
      </c>
      <c r="AG1357" s="790"/>
      <c r="AH1357" s="790"/>
      <c r="AI1357" s="790"/>
      <c r="AJ1357" s="790"/>
      <c r="AK1357" s="790"/>
      <c r="AL1357" s="790"/>
      <c r="AM1357" s="790"/>
      <c r="AN1357" s="790"/>
      <c r="AO1357" s="790"/>
      <c r="AP1357" s="311" t="str">
        <f t="shared" si="420"/>
        <v>vch706_3_4</v>
      </c>
      <c r="AQ1357" s="311">
        <f t="shared" si="421"/>
        <v>0</v>
      </c>
      <c r="AR1357" s="311" t="str">
        <f t="shared" si="422"/>
        <v>vnt706_3_4</v>
      </c>
      <c r="AS1357" s="311">
        <f t="shared" si="423"/>
        <v>0</v>
      </c>
      <c r="AT1357" s="790"/>
      <c r="AU1357" s="790"/>
      <c r="AV1357" s="790"/>
      <c r="AW1357" s="790"/>
      <c r="AX1357" s="790"/>
      <c r="AY1357" s="790"/>
      <c r="AZ1357" s="790"/>
      <c r="BA1357" s="790"/>
      <c r="BB1357" s="790"/>
      <c r="BC1357" s="790"/>
      <c r="BD1357" s="790"/>
      <c r="BE1357" s="790"/>
      <c r="BF1357" s="790"/>
      <c r="BG1357" s="790"/>
      <c r="BH1357" s="790"/>
      <c r="BI1357" s="790"/>
      <c r="BJ1357" s="1184" t="s">
        <v>4763</v>
      </c>
    </row>
    <row r="1358" spans="1:62" x14ac:dyDescent="0.3">
      <c r="A1358" s="1200">
        <v>7</v>
      </c>
      <c r="B1358" s="1210">
        <v>706.3</v>
      </c>
      <c r="C1358" s="1215"/>
      <c r="D1358" s="1203" t="s">
        <v>291</v>
      </c>
      <c r="E1358" s="1203"/>
      <c r="F1358" s="1203"/>
      <c r="G1358" s="1202" t="str">
        <f t="shared" si="413"/>
        <v/>
      </c>
      <c r="H1358" s="1200" t="s">
        <v>4388</v>
      </c>
      <c r="I1358" s="4"/>
      <c r="J1358" s="656" t="s">
        <v>291</v>
      </c>
      <c r="K1358" s="365"/>
      <c r="L1358" s="365" t="s">
        <v>1278</v>
      </c>
      <c r="M1358" s="799"/>
      <c r="N1358" s="850"/>
      <c r="O1358" s="802"/>
      <c r="P1358" s="97" t="b">
        <v>0</v>
      </c>
      <c r="Q1358" s="97" t="b">
        <v>1</v>
      </c>
      <c r="R1358" s="790" t="b">
        <v>0</v>
      </c>
      <c r="S1358" s="790" t="b">
        <f>IFERROR(NOT(OR(W1383:W1384,W1390)),TRUE)</f>
        <v>1</v>
      </c>
      <c r="T1358" s="97" t="b">
        <f t="shared" si="415"/>
        <v>0</v>
      </c>
      <c r="U1358" s="790"/>
      <c r="V1358" s="790"/>
      <c r="W1358" s="25"/>
      <c r="X1358" s="809"/>
      <c r="Y1358" s="841" t="str">
        <f>IF(LEN('Ch7'!X595)=0,"None",'Ch7'!X595)</f>
        <v>None</v>
      </c>
      <c r="Z1358" s="1169"/>
      <c r="AB1358" s="790"/>
      <c r="AC1358" s="790" t="b">
        <f t="shared" si="416"/>
        <v>0</v>
      </c>
      <c r="AD1358" s="790" t="b">
        <f t="shared" si="417"/>
        <v>0</v>
      </c>
      <c r="AE1358" s="790" t="b">
        <f t="shared" si="418"/>
        <v>0</v>
      </c>
      <c r="AF1358" s="1182" t="b">
        <f t="shared" si="419"/>
        <v>0</v>
      </c>
      <c r="AG1358" s="790"/>
      <c r="AH1358" s="790"/>
      <c r="AI1358" s="790"/>
      <c r="AJ1358" s="790"/>
      <c r="AK1358" s="790"/>
      <c r="AL1358" s="790"/>
      <c r="AM1358" s="790"/>
      <c r="AN1358" s="790"/>
      <c r="AO1358" s="790"/>
      <c r="AP1358" s="311" t="str">
        <f t="shared" si="420"/>
        <v>vch706_3_5</v>
      </c>
      <c r="AQ1358" s="311">
        <f t="shared" si="421"/>
        <v>0</v>
      </c>
      <c r="AR1358" s="311" t="str">
        <f t="shared" si="422"/>
        <v>vnt706_3_5</v>
      </c>
      <c r="AS1358" s="311">
        <f t="shared" si="423"/>
        <v>0</v>
      </c>
      <c r="AT1358" s="790"/>
      <c r="AU1358" s="790"/>
      <c r="AV1358" s="790"/>
      <c r="AW1358" s="790"/>
      <c r="AX1358" s="790"/>
      <c r="AY1358" s="790"/>
      <c r="AZ1358" s="790"/>
      <c r="BA1358" s="790"/>
      <c r="BB1358" s="790"/>
      <c r="BC1358" s="790"/>
      <c r="BD1358" s="790"/>
      <c r="BE1358" s="790"/>
      <c r="BF1358" s="790"/>
      <c r="BG1358" s="790"/>
      <c r="BH1358" s="790"/>
      <c r="BI1358" s="790"/>
      <c r="BJ1358" s="1184" t="s">
        <v>4763</v>
      </c>
    </row>
    <row r="1359" spans="1:62" x14ac:dyDescent="0.3">
      <c r="A1359" s="1200">
        <v>7</v>
      </c>
      <c r="B1359" s="1210">
        <v>706.3</v>
      </c>
      <c r="C1359" s="1215"/>
      <c r="D1359" s="1203" t="s">
        <v>293</v>
      </c>
      <c r="E1359" s="1203"/>
      <c r="F1359" s="1203"/>
      <c r="G1359" s="1202" t="str">
        <f t="shared" si="413"/>
        <v/>
      </c>
      <c r="H1359" s="1200" t="s">
        <v>4388</v>
      </c>
      <c r="I1359" s="4"/>
      <c r="J1359" s="656" t="s">
        <v>293</v>
      </c>
      <c r="K1359" s="365"/>
      <c r="L1359" s="365" t="s">
        <v>1279</v>
      </c>
      <c r="M1359" s="799"/>
      <c r="N1359" s="850"/>
      <c r="O1359" s="802"/>
      <c r="P1359" s="97" t="b">
        <v>0</v>
      </c>
      <c r="Q1359" s="97" t="b">
        <v>1</v>
      </c>
      <c r="R1359" s="790" t="b">
        <v>0</v>
      </c>
      <c r="S1359" s="790" t="b">
        <f>IFERROR(NOT(OR(W1383:W1384,W1390)),TRUE)</f>
        <v>1</v>
      </c>
      <c r="T1359" s="97" t="b">
        <f t="shared" si="415"/>
        <v>0</v>
      </c>
      <c r="U1359" s="790"/>
      <c r="V1359" s="790"/>
      <c r="W1359" s="25"/>
      <c r="X1359" s="809"/>
      <c r="Y1359" s="841" t="str">
        <f>IF(LEN('Ch7'!X596)=0,"None",'Ch7'!X596)</f>
        <v>None</v>
      </c>
      <c r="Z1359" s="1169"/>
      <c r="AB1359" s="790"/>
      <c r="AC1359" s="790" t="b">
        <f t="shared" si="416"/>
        <v>0</v>
      </c>
      <c r="AD1359" s="790" t="b">
        <f t="shared" si="417"/>
        <v>0</v>
      </c>
      <c r="AE1359" s="790" t="b">
        <f t="shared" si="418"/>
        <v>0</v>
      </c>
      <c r="AF1359" s="1182" t="b">
        <f t="shared" si="419"/>
        <v>0</v>
      </c>
      <c r="AG1359" s="790"/>
      <c r="AH1359" s="790"/>
      <c r="AI1359" s="790"/>
      <c r="AJ1359" s="790"/>
      <c r="AK1359" s="790"/>
      <c r="AL1359" s="790"/>
      <c r="AM1359" s="790"/>
      <c r="AN1359" s="790"/>
      <c r="AO1359" s="790"/>
      <c r="AP1359" s="311" t="str">
        <f t="shared" si="420"/>
        <v>vch706_3_6</v>
      </c>
      <c r="AQ1359" s="311">
        <f t="shared" si="421"/>
        <v>0</v>
      </c>
      <c r="AR1359" s="311" t="str">
        <f t="shared" si="422"/>
        <v>vnt706_3_6</v>
      </c>
      <c r="AS1359" s="311">
        <f t="shared" si="423"/>
        <v>0</v>
      </c>
      <c r="AT1359" s="790"/>
      <c r="AU1359" s="790"/>
      <c r="AV1359" s="790"/>
      <c r="AW1359" s="790"/>
      <c r="AX1359" s="790"/>
      <c r="AY1359" s="790"/>
      <c r="AZ1359" s="790"/>
      <c r="BA1359" s="790"/>
      <c r="BB1359" s="790"/>
      <c r="BC1359" s="790"/>
      <c r="BD1359" s="790"/>
      <c r="BE1359" s="790"/>
      <c r="BF1359" s="790"/>
      <c r="BG1359" s="790"/>
      <c r="BH1359" s="790"/>
      <c r="BI1359" s="790"/>
      <c r="BJ1359" s="1184" t="s">
        <v>4763</v>
      </c>
    </row>
    <row r="1360" spans="1:62" x14ac:dyDescent="0.3">
      <c r="A1360" s="1200">
        <v>7</v>
      </c>
      <c r="B1360" s="1210">
        <v>706.3</v>
      </c>
      <c r="C1360" s="1215"/>
      <c r="D1360" s="1203" t="s">
        <v>405</v>
      </c>
      <c r="E1360" s="1203"/>
      <c r="F1360" s="1203"/>
      <c r="G1360" s="1202" t="str">
        <f t="shared" si="413"/>
        <v/>
      </c>
      <c r="H1360" s="1200" t="s">
        <v>4388</v>
      </c>
      <c r="I1360" s="4"/>
      <c r="J1360" s="656" t="s">
        <v>405</v>
      </c>
      <c r="K1360" s="365"/>
      <c r="L1360" s="365" t="s">
        <v>1280</v>
      </c>
      <c r="M1360" s="799"/>
      <c r="N1360" s="850"/>
      <c r="O1360" s="802"/>
      <c r="P1360" s="97" t="b">
        <v>0</v>
      </c>
      <c r="Q1360" s="97" t="b">
        <v>1</v>
      </c>
      <c r="R1360" s="790" t="b">
        <v>0</v>
      </c>
      <c r="S1360" s="790" t="b">
        <f>IFERROR(NOT(OR(W1383:W1384,W1390)),TRUE)</f>
        <v>1</v>
      </c>
      <c r="T1360" s="97" t="b">
        <f t="shared" si="415"/>
        <v>0</v>
      </c>
      <c r="U1360" s="790"/>
      <c r="V1360" s="790"/>
      <c r="W1360" s="25"/>
      <c r="X1360" s="809"/>
      <c r="Y1360" s="841" t="str">
        <f>IF(LEN('Ch7'!X597)=0,"None",'Ch7'!X597)</f>
        <v>None</v>
      </c>
      <c r="Z1360" s="1169"/>
      <c r="AB1360" s="790"/>
      <c r="AC1360" s="790" t="b">
        <f t="shared" si="416"/>
        <v>0</v>
      </c>
      <c r="AD1360" s="790" t="b">
        <f t="shared" si="417"/>
        <v>0</v>
      </c>
      <c r="AE1360" s="790" t="b">
        <f t="shared" si="418"/>
        <v>0</v>
      </c>
      <c r="AF1360" s="1182" t="b">
        <f t="shared" si="419"/>
        <v>0</v>
      </c>
      <c r="AG1360" s="790"/>
      <c r="AH1360" s="790"/>
      <c r="AI1360" s="790"/>
      <c r="AJ1360" s="790"/>
      <c r="AK1360" s="790"/>
      <c r="AL1360" s="790"/>
      <c r="AM1360" s="790"/>
      <c r="AN1360" s="790"/>
      <c r="AO1360" s="790"/>
      <c r="AP1360" s="311" t="str">
        <f t="shared" si="420"/>
        <v>vch706_3_7</v>
      </c>
      <c r="AQ1360" s="311">
        <f t="shared" si="421"/>
        <v>0</v>
      </c>
      <c r="AR1360" s="311" t="str">
        <f t="shared" si="422"/>
        <v>vnt706_3_7</v>
      </c>
      <c r="AS1360" s="311">
        <f t="shared" si="423"/>
        <v>0</v>
      </c>
      <c r="AT1360" s="790"/>
      <c r="AU1360" s="790"/>
      <c r="AV1360" s="790"/>
      <c r="AW1360" s="790"/>
      <c r="AX1360" s="790"/>
      <c r="AY1360" s="790"/>
      <c r="AZ1360" s="790"/>
      <c r="BA1360" s="790"/>
      <c r="BB1360" s="790"/>
      <c r="BC1360" s="790"/>
      <c r="BD1360" s="790"/>
      <c r="BE1360" s="790"/>
      <c r="BF1360" s="790"/>
      <c r="BG1360" s="790"/>
      <c r="BH1360" s="790"/>
      <c r="BI1360" s="790"/>
      <c r="BJ1360" s="1184" t="s">
        <v>4763</v>
      </c>
    </row>
    <row r="1361" spans="1:62" ht="15" thickBot="1" x14ac:dyDescent="0.35">
      <c r="A1361" s="1200">
        <v>7</v>
      </c>
      <c r="B1361" s="1210">
        <v>706.3</v>
      </c>
      <c r="C1361" s="1215"/>
      <c r="D1361" s="1203" t="s">
        <v>456</v>
      </c>
      <c r="E1361" s="1203"/>
      <c r="F1361" s="1203"/>
      <c r="G1361" s="1202" t="str">
        <f t="shared" si="413"/>
        <v/>
      </c>
      <c r="H1361" s="1200" t="s">
        <v>4388</v>
      </c>
      <c r="I1361" s="270"/>
      <c r="J1361" s="646" t="s">
        <v>456</v>
      </c>
      <c r="K1361" s="824"/>
      <c r="L1361" s="824" t="s">
        <v>1281</v>
      </c>
      <c r="M1361" s="798"/>
      <c r="N1361" s="858"/>
      <c r="O1361" s="801"/>
      <c r="P1361" s="97" t="b">
        <v>0</v>
      </c>
      <c r="Q1361" s="97" t="b">
        <v>1</v>
      </c>
      <c r="R1361" s="104" t="b">
        <v>0</v>
      </c>
      <c r="S1361" s="104" t="b">
        <f>IFERROR(NOT(OR(W1383:W1384,W1390)),TRUE)</f>
        <v>1</v>
      </c>
      <c r="T1361" s="104" t="b">
        <f t="shared" si="415"/>
        <v>0</v>
      </c>
      <c r="U1361" s="104"/>
      <c r="V1361" s="104"/>
      <c r="W1361" s="105"/>
      <c r="X1361" s="794"/>
      <c r="Y1361" s="840" t="str">
        <f>IF(LEN('Ch7'!X598)=0,"None",'Ch7'!X598)</f>
        <v>None</v>
      </c>
      <c r="Z1361" s="1173"/>
      <c r="AB1361" s="790"/>
      <c r="AC1361" s="790" t="b">
        <f t="shared" si="416"/>
        <v>0</v>
      </c>
      <c r="AD1361" s="790" t="b">
        <f t="shared" si="417"/>
        <v>0</v>
      </c>
      <c r="AE1361" s="790" t="b">
        <f t="shared" si="418"/>
        <v>0</v>
      </c>
      <c r="AF1361" s="1182" t="b">
        <f t="shared" si="419"/>
        <v>0</v>
      </c>
      <c r="AG1361" s="790"/>
      <c r="AH1361" s="790"/>
      <c r="AI1361" s="790"/>
      <c r="AJ1361" s="790"/>
      <c r="AK1361" s="790"/>
      <c r="AL1361" s="790"/>
      <c r="AM1361" s="790"/>
      <c r="AN1361" s="790"/>
      <c r="AO1361" s="790"/>
      <c r="AP1361" s="311" t="str">
        <f t="shared" si="420"/>
        <v>vch706_3_8</v>
      </c>
      <c r="AQ1361" s="311">
        <f t="shared" si="421"/>
        <v>0</v>
      </c>
      <c r="AR1361" s="311" t="str">
        <f t="shared" si="422"/>
        <v>vnt706_3_8</v>
      </c>
      <c r="AS1361" s="311">
        <f t="shared" si="423"/>
        <v>0</v>
      </c>
      <c r="AT1361" s="790"/>
      <c r="AU1361" s="790"/>
      <c r="AV1361" s="790"/>
      <c r="AW1361" s="790"/>
      <c r="AX1361" s="790"/>
      <c r="AY1361" s="790"/>
      <c r="AZ1361" s="790"/>
      <c r="BA1361" s="790"/>
      <c r="BB1361" s="790"/>
      <c r="BC1361" s="790"/>
      <c r="BD1361" s="790"/>
      <c r="BE1361" s="790"/>
      <c r="BF1361" s="790"/>
      <c r="BG1361" s="790"/>
      <c r="BH1361" s="790"/>
      <c r="BI1361" s="790"/>
      <c r="BJ1361" s="1184" t="s">
        <v>4763</v>
      </c>
    </row>
    <row r="1362" spans="1:62" ht="15" thickTop="1" x14ac:dyDescent="0.3">
      <c r="A1362" s="1200">
        <v>7</v>
      </c>
      <c r="B1362" s="1210">
        <v>706.4</v>
      </c>
      <c r="C1362" s="1215"/>
      <c r="D1362" s="1203"/>
      <c r="E1362" s="1203"/>
      <c r="F1362" s="1203"/>
      <c r="G1362" s="1196" t="str">
        <f>IF(COUNTIF(G1364:G1368,"P")&gt;0,"P","")</f>
        <v/>
      </c>
      <c r="H1362" s="1200" t="s">
        <v>4388</v>
      </c>
      <c r="I1362" s="66">
        <v>706.4</v>
      </c>
      <c r="J1362" s="819"/>
      <c r="K1362" s="819"/>
      <c r="L1362" s="829" t="s">
        <v>1282</v>
      </c>
      <c r="M1362" s="799"/>
      <c r="N1362" s="850"/>
      <c r="O1362" s="802"/>
      <c r="P1362" s="1081"/>
      <c r="Q1362" s="1081"/>
      <c r="R1362" s="790"/>
      <c r="S1362" s="790"/>
      <c r="T1362" s="790"/>
      <c r="U1362" s="790"/>
      <c r="V1362" s="790"/>
      <c r="W1362" s="790"/>
      <c r="X1362" s="790"/>
      <c r="Y1362" s="790"/>
      <c r="Z1362" s="1055"/>
      <c r="AB1362" s="790"/>
      <c r="AC1362" s="790"/>
      <c r="AD1362" s="790"/>
      <c r="AE1362" s="790"/>
      <c r="AF1362" s="790"/>
      <c r="AG1362" s="790"/>
      <c r="AH1362" s="790"/>
      <c r="AI1362" s="790"/>
      <c r="AJ1362" s="790"/>
      <c r="AK1362" s="790"/>
      <c r="AL1362" s="790"/>
      <c r="AM1362" s="790"/>
      <c r="AN1362" s="790"/>
      <c r="AO1362" s="790"/>
      <c r="AP1362" s="790"/>
      <c r="AQ1362" s="790"/>
      <c r="AR1362" s="790"/>
      <c r="AS1362" s="790"/>
      <c r="AT1362" s="790"/>
      <c r="AU1362" s="790"/>
      <c r="AV1362" s="790"/>
      <c r="AW1362" s="790"/>
      <c r="AX1362" s="790"/>
      <c r="AY1362" s="790"/>
      <c r="AZ1362" s="790"/>
      <c r="BA1362" s="790"/>
      <c r="BB1362" s="790"/>
      <c r="BC1362" s="790"/>
      <c r="BD1362" s="790"/>
      <c r="BE1362" s="790"/>
      <c r="BF1362" s="790"/>
      <c r="BG1362" s="790"/>
      <c r="BH1362" s="790"/>
      <c r="BI1362" s="790"/>
      <c r="BJ1362" s="1184" t="s">
        <v>4763</v>
      </c>
    </row>
    <row r="1363" spans="1:62" x14ac:dyDescent="0.3">
      <c r="A1363" s="1200">
        <v>7</v>
      </c>
      <c r="B1363" s="1210" t="s">
        <v>1283</v>
      </c>
      <c r="C1363" s="1215"/>
      <c r="D1363" s="1203"/>
      <c r="E1363" s="1203"/>
      <c r="F1363" s="1203"/>
      <c r="G1363" s="1196" t="str">
        <f>IF(COUNTIF(G1364:G1366,"P")&gt;0,"P","")</f>
        <v/>
      </c>
      <c r="H1363" s="1200" t="s">
        <v>4388</v>
      </c>
      <c r="I1363" s="66" t="s">
        <v>1283</v>
      </c>
      <c r="J1363" s="819"/>
      <c r="K1363" s="819"/>
      <c r="L1363" s="829" t="s">
        <v>1284</v>
      </c>
      <c r="M1363" s="799"/>
      <c r="N1363" s="850"/>
      <c r="O1363" s="802"/>
      <c r="P1363" s="1081"/>
      <c r="Q1363" s="1081"/>
      <c r="R1363" s="790"/>
      <c r="S1363" s="790"/>
      <c r="T1363" s="790"/>
      <c r="U1363" s="790"/>
      <c r="V1363" s="790"/>
      <c r="W1363" s="790"/>
      <c r="X1363" s="790"/>
      <c r="Y1363" s="790"/>
      <c r="Z1363" s="1055"/>
      <c r="AB1363" s="790"/>
      <c r="AC1363" s="790"/>
      <c r="AD1363" s="790"/>
      <c r="AE1363" s="790"/>
      <c r="AF1363" s="790"/>
      <c r="AG1363" s="790"/>
      <c r="AH1363" s="790"/>
      <c r="AI1363" s="790"/>
      <c r="AJ1363" s="790"/>
      <c r="AK1363" s="790"/>
      <c r="AL1363" s="790"/>
      <c r="AM1363" s="790"/>
      <c r="AN1363" s="790"/>
      <c r="AO1363" s="790"/>
      <c r="AP1363" s="790"/>
      <c r="AQ1363" s="790"/>
      <c r="AR1363" s="790"/>
      <c r="AS1363" s="790"/>
      <c r="AT1363" s="790"/>
      <c r="AU1363" s="790"/>
      <c r="AV1363" s="790"/>
      <c r="AW1363" s="790"/>
      <c r="AX1363" s="790"/>
      <c r="AY1363" s="790"/>
      <c r="AZ1363" s="790"/>
      <c r="BA1363" s="790"/>
      <c r="BB1363" s="790"/>
      <c r="BC1363" s="790"/>
      <c r="BD1363" s="790"/>
      <c r="BE1363" s="790"/>
      <c r="BF1363" s="790"/>
      <c r="BG1363" s="790"/>
      <c r="BH1363" s="790"/>
      <c r="BI1363" s="790"/>
      <c r="BJ1363" s="1184" t="s">
        <v>4763</v>
      </c>
    </row>
    <row r="1364" spans="1:62" x14ac:dyDescent="0.3">
      <c r="A1364" s="1200">
        <v>7</v>
      </c>
      <c r="B1364" s="1210" t="s">
        <v>1283</v>
      </c>
      <c r="C1364" s="1215"/>
      <c r="D1364" s="1203" t="s">
        <v>271</v>
      </c>
      <c r="E1364" s="1203"/>
      <c r="F1364" s="1203"/>
      <c r="G1364" s="1202" t="str">
        <f>IF(N1364&gt;0,"P","")</f>
        <v/>
      </c>
      <c r="H1364" s="1200" t="s">
        <v>4388</v>
      </c>
      <c r="I1364" s="4"/>
      <c r="J1364" s="643" t="s">
        <v>271</v>
      </c>
      <c r="K1364" s="812"/>
      <c r="L1364" s="1305" t="s">
        <v>1285</v>
      </c>
      <c r="M1364" s="1318">
        <v>1</v>
      </c>
      <c r="N1364" s="1308">
        <f>'Ch7'!O601</f>
        <v>0</v>
      </c>
      <c r="O1364" s="1308">
        <f>M1364*S1364*W1364</f>
        <v>0</v>
      </c>
      <c r="P1364" s="97" t="b">
        <v>1</v>
      </c>
      <c r="Q1364" s="97" t="b">
        <v>1</v>
      </c>
      <c r="R1364" s="790" t="b">
        <v>0</v>
      </c>
      <c r="S1364" s="790" t="b">
        <v>1</v>
      </c>
      <c r="T1364" s="97" t="b">
        <v>0</v>
      </c>
      <c r="U1364" s="790"/>
      <c r="V1364" s="790"/>
      <c r="W1364" s="25"/>
      <c r="X1364" s="1303"/>
      <c r="Y1364" s="1522" t="str">
        <f>IF(LEN('Ch7'!X601)=0,"None",'Ch7'!X601)</f>
        <v>None</v>
      </c>
      <c r="Z1364" s="1586"/>
      <c r="AB1364" s="790"/>
      <c r="AC1364" s="790" t="b">
        <f>OR(AD1364:AE1364)</f>
        <v>0</v>
      </c>
      <c r="AD1364" s="790" t="b">
        <f>T1364</f>
        <v>0</v>
      </c>
      <c r="AE1364" s="790" t="b">
        <f>AND(R1364,NOT(W1364))</f>
        <v>0</v>
      </c>
      <c r="AF1364" s="1182" t="b">
        <f>AND(AE1364,NOT(Q1364))</f>
        <v>0</v>
      </c>
      <c r="AG1364" s="790"/>
      <c r="AH1364" s="790"/>
      <c r="AI1364" s="790"/>
      <c r="AJ1364" s="790"/>
      <c r="AK1364" s="790"/>
      <c r="AL1364" s="311" t="str">
        <f t="shared" ref="AL1364" si="424">SUBSTITUTE(SUBSTITUTE(SUBSTITUTE("vpa"&amp;$B1364&amp;$C1364&amp;$D1364&amp;$E1364&amp;$F1364,".","_"),"(","_"),")","")</f>
        <v>vpa706_4_1_1</v>
      </c>
      <c r="AM1364" s="311">
        <f>M1364</f>
        <v>1</v>
      </c>
      <c r="AN1364" s="311" t="str">
        <f>SUBSTITUTE(SUBSTITUTE(SUBSTITUTE("vpc"&amp;$B1364&amp;$C1364&amp;$D1364&amp;$E1364&amp;$F1364,".","_"),"(","_"),")","")</f>
        <v>vpc706_4_1_1</v>
      </c>
      <c r="AO1364" s="311">
        <f>O1364</f>
        <v>0</v>
      </c>
      <c r="AP1364" s="311" t="str">
        <f>SUBSTITUTE(SUBSTITUTE(SUBSTITUTE("vch"&amp;$B1364&amp;$C1364&amp;$D1364&amp;$E1364&amp;$F1364,".","_"),"(","_"),")","")</f>
        <v>vch706_4_1_1</v>
      </c>
      <c r="AQ1364" s="311">
        <f>W1364</f>
        <v>0</v>
      </c>
      <c r="AR1364" s="311" t="str">
        <f>SUBSTITUTE(SUBSTITUTE(SUBSTITUTE("vnt"&amp;$B1364&amp;$C1364&amp;$D1364&amp;$E1364&amp;$F1364,".","_"),"(","_"),")","")</f>
        <v>vnt706_4_1_1</v>
      </c>
      <c r="AS1364" s="311">
        <f>X1364</f>
        <v>0</v>
      </c>
      <c r="AT1364" s="790"/>
      <c r="AU1364" s="790"/>
      <c r="AV1364" s="790"/>
      <c r="AW1364" s="790"/>
      <c r="AX1364" s="790"/>
      <c r="AY1364" s="790"/>
      <c r="AZ1364" s="790"/>
      <c r="BA1364" s="790"/>
      <c r="BB1364" s="790"/>
      <c r="BC1364" s="790"/>
      <c r="BD1364" s="790"/>
      <c r="BE1364" s="790"/>
      <c r="BF1364" s="790"/>
      <c r="BG1364" s="790"/>
      <c r="BH1364" s="790"/>
      <c r="BI1364" s="790"/>
      <c r="BJ1364" s="1184" t="s">
        <v>4763</v>
      </c>
    </row>
    <row r="1365" spans="1:62" x14ac:dyDescent="0.3">
      <c r="A1365" s="1200">
        <v>7</v>
      </c>
      <c r="B1365" s="1210" t="s">
        <v>1283</v>
      </c>
      <c r="C1365" s="1215"/>
      <c r="D1365" s="1203" t="s">
        <v>271</v>
      </c>
      <c r="E1365" s="1203"/>
      <c r="F1365" s="1203"/>
      <c r="G1365" s="1202" t="str">
        <f t="shared" ref="G1365" si="425">G1364</f>
        <v/>
      </c>
      <c r="H1365" s="1200" t="s">
        <v>4388</v>
      </c>
      <c r="I1365" s="4"/>
      <c r="J1365" s="644"/>
      <c r="K1365" s="813"/>
      <c r="L1365" s="1306"/>
      <c r="M1365" s="1319"/>
      <c r="N1365" s="1309"/>
      <c r="O1365" s="1309"/>
      <c r="P1365" s="1081"/>
      <c r="Q1365" s="1081"/>
      <c r="R1365" s="790"/>
      <c r="S1365" s="790"/>
      <c r="T1365" s="790"/>
      <c r="U1365" s="790"/>
      <c r="V1365" s="790"/>
      <c r="W1365" s="790"/>
      <c r="X1365" s="1303"/>
      <c r="Y1365" s="1522"/>
      <c r="Z1365" s="1586"/>
      <c r="AB1365" s="790"/>
      <c r="AC1365" s="790"/>
      <c r="AD1365" s="790"/>
      <c r="AE1365" s="790"/>
      <c r="AF1365" s="790"/>
      <c r="AG1365" s="790"/>
      <c r="AH1365" s="790"/>
      <c r="AI1365" s="790"/>
      <c r="AJ1365" s="790"/>
      <c r="AK1365" s="790"/>
      <c r="AL1365" s="790"/>
      <c r="AM1365" s="790"/>
      <c r="AN1365" s="790"/>
      <c r="AO1365" s="790"/>
      <c r="AP1365" s="790"/>
      <c r="AQ1365" s="790"/>
      <c r="AR1365" s="790"/>
      <c r="AS1365" s="790"/>
      <c r="AT1365" s="790"/>
      <c r="AU1365" s="790"/>
      <c r="AV1365" s="790"/>
      <c r="AW1365" s="790"/>
      <c r="AX1365" s="790"/>
      <c r="AY1365" s="790"/>
      <c r="AZ1365" s="790"/>
      <c r="BA1365" s="790"/>
      <c r="BB1365" s="790"/>
      <c r="BC1365" s="790"/>
      <c r="BD1365" s="790"/>
      <c r="BE1365" s="790"/>
      <c r="BF1365" s="790"/>
      <c r="BG1365" s="790"/>
      <c r="BH1365" s="790"/>
      <c r="BI1365" s="790"/>
      <c r="BJ1365" s="1184" t="s">
        <v>4763</v>
      </c>
    </row>
    <row r="1366" spans="1:62" x14ac:dyDescent="0.3">
      <c r="A1366" s="1200">
        <v>7</v>
      </c>
      <c r="B1366" s="1210" t="s">
        <v>1283</v>
      </c>
      <c r="C1366" s="1215"/>
      <c r="D1366" s="1203" t="s">
        <v>273</v>
      </c>
      <c r="E1366" s="1203"/>
      <c r="F1366" s="1203"/>
      <c r="G1366" s="1202" t="str">
        <f>IF(N1366&gt;0,"P","")</f>
        <v/>
      </c>
      <c r="H1366" s="1200" t="s">
        <v>4388</v>
      </c>
      <c r="I1366" s="140"/>
      <c r="J1366" s="643" t="s">
        <v>273</v>
      </c>
      <c r="K1366" s="812"/>
      <c r="L1366" s="1305" t="s">
        <v>1286</v>
      </c>
      <c r="M1366" s="1318">
        <v>3</v>
      </c>
      <c r="N1366" s="1308">
        <f>'Ch7'!O603</f>
        <v>0</v>
      </c>
      <c r="O1366" s="1308">
        <f>M1366*S1366*W1366</f>
        <v>0</v>
      </c>
      <c r="P1366" s="97" t="b">
        <v>1</v>
      </c>
      <c r="Q1366" s="97" t="b">
        <v>1</v>
      </c>
      <c r="R1366" s="97" t="b">
        <v>0</v>
      </c>
      <c r="S1366" s="97" t="b">
        <v>1</v>
      </c>
      <c r="T1366" s="97" t="b">
        <v>0</v>
      </c>
      <c r="U1366" s="97"/>
      <c r="V1366" s="97"/>
      <c r="W1366" s="25"/>
      <c r="X1366" s="1295"/>
      <c r="Y1366" s="1522" t="str">
        <f>IF(LEN('Ch7'!X603)=0,"None",'Ch7'!X603)</f>
        <v>None</v>
      </c>
      <c r="Z1366" s="1586"/>
      <c r="AB1366" s="790"/>
      <c r="AC1366" s="790" t="b">
        <f>OR(AD1366:AE1366)</f>
        <v>0</v>
      </c>
      <c r="AD1366" s="790" t="b">
        <f>T1366</f>
        <v>0</v>
      </c>
      <c r="AE1366" s="790" t="b">
        <f>AND(R1366,NOT(W1366))</f>
        <v>0</v>
      </c>
      <c r="AF1366" s="1182" t="b">
        <f>AND(AE1366,NOT(Q1366))</f>
        <v>0</v>
      </c>
      <c r="AG1366" s="790"/>
      <c r="AH1366" s="790"/>
      <c r="AI1366" s="790"/>
      <c r="AJ1366" s="790"/>
      <c r="AK1366" s="790"/>
      <c r="AL1366" s="311" t="str">
        <f t="shared" ref="AL1366" si="426">SUBSTITUTE(SUBSTITUTE(SUBSTITUTE("vpa"&amp;$B1366&amp;$C1366&amp;$D1366&amp;$E1366&amp;$F1366,".","_"),"(","_"),")","")</f>
        <v>vpa706_4_1_2</v>
      </c>
      <c r="AM1366" s="311">
        <f>M1366</f>
        <v>3</v>
      </c>
      <c r="AN1366" s="311" t="str">
        <f>SUBSTITUTE(SUBSTITUTE(SUBSTITUTE("vpc"&amp;$B1366&amp;$C1366&amp;$D1366&amp;$E1366&amp;$F1366,".","_"),"(","_"),")","")</f>
        <v>vpc706_4_1_2</v>
      </c>
      <c r="AO1366" s="311">
        <f>O1366</f>
        <v>0</v>
      </c>
      <c r="AP1366" s="311" t="str">
        <f>SUBSTITUTE(SUBSTITUTE(SUBSTITUTE("vch"&amp;$B1366&amp;$C1366&amp;$D1366&amp;$E1366&amp;$F1366,".","_"),"(","_"),")","")</f>
        <v>vch706_4_1_2</v>
      </c>
      <c r="AQ1366" s="311">
        <f>W1366</f>
        <v>0</v>
      </c>
      <c r="AR1366" s="311" t="str">
        <f>SUBSTITUTE(SUBSTITUTE(SUBSTITUTE("vnt"&amp;$B1366&amp;$C1366&amp;$D1366&amp;$E1366&amp;$F1366,".","_"),"(","_"),")","")</f>
        <v>vnt706_4_1_2</v>
      </c>
      <c r="AS1366" s="311">
        <f>X1366</f>
        <v>0</v>
      </c>
      <c r="AT1366" s="790"/>
      <c r="AU1366" s="790"/>
      <c r="AV1366" s="790"/>
      <c r="AW1366" s="790"/>
      <c r="AX1366" s="790"/>
      <c r="AY1366" s="790"/>
      <c r="AZ1366" s="790"/>
      <c r="BA1366" s="790"/>
      <c r="BB1366" s="790"/>
      <c r="BC1366" s="790"/>
      <c r="BD1366" s="790"/>
      <c r="BE1366" s="790"/>
      <c r="BF1366" s="790"/>
      <c r="BG1366" s="790"/>
      <c r="BH1366" s="790"/>
      <c r="BI1366" s="790"/>
      <c r="BJ1366" s="1184" t="s">
        <v>4763</v>
      </c>
    </row>
    <row r="1367" spans="1:62" x14ac:dyDescent="0.3">
      <c r="A1367" s="1200">
        <v>7</v>
      </c>
      <c r="B1367" s="1210" t="s">
        <v>1283</v>
      </c>
      <c r="C1367" s="1215"/>
      <c r="D1367" s="1203" t="s">
        <v>273</v>
      </c>
      <c r="E1367" s="1203"/>
      <c r="F1367" s="1203"/>
      <c r="G1367" s="1202" t="str">
        <f t="shared" ref="G1367" si="427">G1366</f>
        <v/>
      </c>
      <c r="H1367" s="1200" t="s">
        <v>4388</v>
      </c>
      <c r="I1367" s="238"/>
      <c r="J1367" s="813"/>
      <c r="K1367" s="813"/>
      <c r="L1367" s="1306"/>
      <c r="M1367" s="1319"/>
      <c r="N1367" s="1309"/>
      <c r="O1367" s="1309"/>
      <c r="P1367" s="196"/>
      <c r="Q1367" s="196"/>
      <c r="R1367" s="196"/>
      <c r="S1367" s="196"/>
      <c r="T1367" s="196"/>
      <c r="U1367" s="196"/>
      <c r="V1367" s="196"/>
      <c r="W1367" s="196"/>
      <c r="X1367" s="1295"/>
      <c r="Y1367" s="1522"/>
      <c r="Z1367" s="1586"/>
      <c r="AB1367" s="790"/>
      <c r="AC1367" s="790"/>
      <c r="AD1367" s="790"/>
      <c r="AE1367" s="790"/>
      <c r="AF1367" s="790"/>
      <c r="AG1367" s="790"/>
      <c r="AH1367" s="790"/>
      <c r="AI1367" s="790"/>
      <c r="AJ1367" s="790"/>
      <c r="AK1367" s="790"/>
      <c r="AL1367" s="790"/>
      <c r="AM1367" s="790"/>
      <c r="AN1367" s="790"/>
      <c r="AO1367" s="790"/>
      <c r="AP1367" s="790"/>
      <c r="AQ1367" s="790"/>
      <c r="AR1367" s="790"/>
      <c r="AS1367" s="790"/>
      <c r="AT1367" s="790"/>
      <c r="AU1367" s="790"/>
      <c r="AV1367" s="790"/>
      <c r="AW1367" s="790"/>
      <c r="AX1367" s="790"/>
      <c r="AY1367" s="790"/>
      <c r="AZ1367" s="790"/>
      <c r="BA1367" s="790"/>
      <c r="BB1367" s="790"/>
      <c r="BC1367" s="790"/>
      <c r="BD1367" s="790"/>
      <c r="BE1367" s="790"/>
      <c r="BF1367" s="790"/>
      <c r="BG1367" s="790"/>
      <c r="BH1367" s="790"/>
      <c r="BI1367" s="790"/>
      <c r="BJ1367" s="1184" t="s">
        <v>4763</v>
      </c>
    </row>
    <row r="1368" spans="1:62" x14ac:dyDescent="0.3">
      <c r="A1368" s="1200">
        <v>7</v>
      </c>
      <c r="B1368" s="1210" t="s">
        <v>1287</v>
      </c>
      <c r="C1368" s="1215"/>
      <c r="D1368" s="1203"/>
      <c r="E1368" s="1203"/>
      <c r="F1368" s="1203"/>
      <c r="G1368" s="1202" t="str">
        <f>IF(N1368&gt;0,"P","")</f>
        <v/>
      </c>
      <c r="H1368" s="1200" t="s">
        <v>4388</v>
      </c>
      <c r="I1368" s="215" t="s">
        <v>1287</v>
      </c>
      <c r="J1368" s="823"/>
      <c r="K1368" s="823"/>
      <c r="L1368" s="1364" t="s">
        <v>1288</v>
      </c>
      <c r="M1368" s="1323">
        <v>1</v>
      </c>
      <c r="N1368" s="1324">
        <f>'Ch7'!O605</f>
        <v>0</v>
      </c>
      <c r="O1368" s="1324">
        <f>M1368*S1368*W1368</f>
        <v>0</v>
      </c>
      <c r="P1368" s="97" t="b">
        <v>1</v>
      </c>
      <c r="Q1368" s="97" t="b">
        <v>1</v>
      </c>
      <c r="R1368" s="218" t="b">
        <v>0</v>
      </c>
      <c r="S1368" s="218" t="b">
        <v>1</v>
      </c>
      <c r="T1368" s="218" t="b">
        <v>0</v>
      </c>
      <c r="U1368" s="218"/>
      <c r="V1368" s="218"/>
      <c r="W1368" s="25"/>
      <c r="X1368" s="1295"/>
      <c r="Y1368" s="1523" t="str">
        <f>IF(LEN('Ch7'!X605)=0,"None",'Ch7'!X605)</f>
        <v>None</v>
      </c>
      <c r="Z1368" s="1583"/>
      <c r="AB1368" s="790"/>
      <c r="AC1368" s="790" t="b">
        <f>OR(AD1368:AE1368)</f>
        <v>0</v>
      </c>
      <c r="AD1368" s="790" t="b">
        <f>T1368</f>
        <v>0</v>
      </c>
      <c r="AE1368" s="790" t="b">
        <f>AND(R1368,NOT(W1368))</f>
        <v>0</v>
      </c>
      <c r="AF1368" s="1182" t="b">
        <f>AND(AE1368,NOT(Q1368))</f>
        <v>0</v>
      </c>
      <c r="AG1368" s="790"/>
      <c r="AH1368" s="790"/>
      <c r="AI1368" s="790"/>
      <c r="AJ1368" s="790"/>
      <c r="AK1368" s="790"/>
      <c r="AL1368" s="311" t="str">
        <f t="shared" ref="AL1368" si="428">SUBSTITUTE(SUBSTITUTE(SUBSTITUTE("vpa"&amp;$B1368&amp;$C1368&amp;$D1368&amp;$E1368&amp;$F1368,".","_"),"(","_"),")","")</f>
        <v>vpa706_4_2</v>
      </c>
      <c r="AM1368" s="311">
        <f>M1368</f>
        <v>1</v>
      </c>
      <c r="AN1368" s="311" t="str">
        <f>SUBSTITUTE(SUBSTITUTE(SUBSTITUTE("vpc"&amp;$B1368&amp;$C1368&amp;$D1368&amp;$E1368&amp;$F1368,".","_"),"(","_"),")","")</f>
        <v>vpc706_4_2</v>
      </c>
      <c r="AO1368" s="311">
        <f>O1368</f>
        <v>0</v>
      </c>
      <c r="AP1368" s="311" t="str">
        <f>SUBSTITUTE(SUBSTITUTE(SUBSTITUTE("vch"&amp;$B1368&amp;$C1368&amp;$D1368&amp;$E1368&amp;$F1368,".","_"),"(","_"),")","")</f>
        <v>vch706_4_2</v>
      </c>
      <c r="AQ1368" s="311">
        <f>W1368</f>
        <v>0</v>
      </c>
      <c r="AR1368" s="311" t="str">
        <f>SUBSTITUTE(SUBSTITUTE(SUBSTITUTE("vnt"&amp;$B1368&amp;$C1368&amp;$D1368&amp;$E1368&amp;$F1368,".","_"),"(","_"),")","")</f>
        <v>vnt706_4_2</v>
      </c>
      <c r="AS1368" s="311">
        <f>X1368</f>
        <v>0</v>
      </c>
      <c r="AT1368" s="790"/>
      <c r="AU1368" s="790"/>
      <c r="AV1368" s="790"/>
      <c r="AW1368" s="790"/>
      <c r="AX1368" s="790"/>
      <c r="AY1368" s="790"/>
      <c r="AZ1368" s="790"/>
      <c r="BA1368" s="790"/>
      <c r="BB1368" s="790"/>
      <c r="BC1368" s="790"/>
      <c r="BD1368" s="790"/>
      <c r="BE1368" s="790"/>
      <c r="BF1368" s="790"/>
      <c r="BG1368" s="790"/>
      <c r="BH1368" s="790"/>
      <c r="BI1368" s="790"/>
      <c r="BJ1368" s="1184" t="s">
        <v>4763</v>
      </c>
    </row>
    <row r="1369" spans="1:62" ht="15" thickBot="1" x14ac:dyDescent="0.35">
      <c r="A1369" s="1200">
        <v>7</v>
      </c>
      <c r="B1369" s="1210" t="s">
        <v>1287</v>
      </c>
      <c r="C1369" s="1215"/>
      <c r="D1369" s="1203"/>
      <c r="E1369" s="1203"/>
      <c r="F1369" s="1203"/>
      <c r="G1369" s="1202" t="str">
        <f t="shared" ref="G1369" si="429">G1368</f>
        <v/>
      </c>
      <c r="H1369" s="1200" t="s">
        <v>4388</v>
      </c>
      <c r="I1369" s="270"/>
      <c r="J1369" s="824"/>
      <c r="K1369" s="824"/>
      <c r="L1369" s="1332"/>
      <c r="M1369" s="1334"/>
      <c r="N1369" s="1315"/>
      <c r="O1369" s="1315"/>
      <c r="P1369" s="104"/>
      <c r="Q1369" s="104"/>
      <c r="R1369" s="104"/>
      <c r="S1369" s="104"/>
      <c r="T1369" s="104"/>
      <c r="U1369" s="104"/>
      <c r="V1369" s="104"/>
      <c r="W1369" s="104"/>
      <c r="X1369" s="1296"/>
      <c r="Y1369" s="1524"/>
      <c r="Z1369" s="1584"/>
      <c r="AB1369" s="790"/>
      <c r="AC1369" s="790"/>
      <c r="AD1369" s="790"/>
      <c r="AE1369" s="790"/>
      <c r="AF1369" s="790"/>
      <c r="AG1369" s="790"/>
      <c r="AH1369" s="790"/>
      <c r="AI1369" s="790"/>
      <c r="AJ1369" s="790"/>
      <c r="AK1369" s="790"/>
      <c r="AL1369" s="790"/>
      <c r="AM1369" s="790"/>
      <c r="AN1369" s="790"/>
      <c r="AO1369" s="790"/>
      <c r="AP1369" s="790"/>
      <c r="AQ1369" s="790"/>
      <c r="AR1369" s="790"/>
      <c r="AS1369" s="790"/>
      <c r="AT1369" s="790"/>
      <c r="AU1369" s="790"/>
      <c r="AV1369" s="790"/>
      <c r="AW1369" s="790"/>
      <c r="AX1369" s="790"/>
      <c r="AY1369" s="790"/>
      <c r="AZ1369" s="790"/>
      <c r="BA1369" s="790"/>
      <c r="BB1369" s="790"/>
      <c r="BC1369" s="790"/>
      <c r="BD1369" s="790"/>
      <c r="BE1369" s="790"/>
      <c r="BF1369" s="790"/>
      <c r="BG1369" s="790"/>
      <c r="BH1369" s="790"/>
      <c r="BI1369" s="790"/>
      <c r="BJ1369" s="1184" t="s">
        <v>4763</v>
      </c>
    </row>
    <row r="1370" spans="1:62" ht="15" thickTop="1" x14ac:dyDescent="0.3">
      <c r="A1370" s="1200">
        <v>7</v>
      </c>
      <c r="B1370" s="1210">
        <v>706.5</v>
      </c>
      <c r="C1370" s="1215"/>
      <c r="D1370" s="1203"/>
      <c r="E1370" s="1203"/>
      <c r="F1370" s="1203"/>
      <c r="G1370" s="1202" t="str">
        <f ca="1">IF(N1370&gt;0,"P","")</f>
        <v/>
      </c>
      <c r="H1370" s="1200" t="s">
        <v>4388</v>
      </c>
      <c r="I1370" s="200">
        <v>706.5</v>
      </c>
      <c r="J1370" s="616"/>
      <c r="K1370" s="616"/>
      <c r="L1370" s="1331" t="s">
        <v>1289</v>
      </c>
      <c r="M1370" s="1359" t="s">
        <v>3634</v>
      </c>
      <c r="N1370" s="1336">
        <f ca="1">'Ch7'!O607</f>
        <v>0</v>
      </c>
      <c r="O1370" s="1336">
        <f>IFERROR(ROUNDDOWN(2*W1371/S1372,0),0)</f>
        <v>0</v>
      </c>
      <c r="P1370" s="110"/>
      <c r="Q1370" s="110"/>
      <c r="R1370" s="110"/>
      <c r="S1370" s="110"/>
      <c r="T1370" s="110"/>
      <c r="U1370" s="110"/>
      <c r="V1370" s="110"/>
      <c r="W1370" s="110" t="str">
        <f ca="1">"kW per "&amp;IF($AY$18=INDEX(INDIRECT("ddSingleOrMulti"),1),"1 unit:",$AY$19&amp;" units:")</f>
        <v>kW per 0 units:</v>
      </c>
      <c r="X1370" s="1327"/>
      <c r="Y1370" s="1525" t="str">
        <f>IF(LEN('Ch7'!X607)=0,"None",'Ch7'!X607)</f>
        <v>None</v>
      </c>
      <c r="Z1370" s="1585"/>
      <c r="AB1370" s="790"/>
      <c r="AC1370" s="790"/>
      <c r="AD1370" s="790"/>
      <c r="AE1370" s="790"/>
      <c r="AF1370" s="790"/>
      <c r="AG1370" s="790"/>
      <c r="AH1370" s="790"/>
      <c r="AI1370" s="790"/>
      <c r="AJ1370" s="790"/>
      <c r="AK1370" s="790"/>
      <c r="AL1370" s="311" t="str">
        <f t="shared" ref="AL1370" si="430">SUBSTITUTE(SUBSTITUTE(SUBSTITUTE("vpa"&amp;$B1370&amp;$C1370&amp;$D1370&amp;$E1370&amp;$F1370,".","_"),"(","_"),")","")</f>
        <v>vpa706_5</v>
      </c>
      <c r="AM1370" s="311" t="str">
        <f>M1370</f>
        <v>2 points per kW Divided by number of dwelling units</v>
      </c>
      <c r="AN1370" s="311" t="str">
        <f>SUBSTITUTE(SUBSTITUTE(SUBSTITUTE("vpc"&amp;$B1370&amp;$C1370&amp;$D1370&amp;$E1370&amp;$F1370,".","_"),"(","_"),")","")</f>
        <v>vpc706_5</v>
      </c>
      <c r="AO1370" s="311">
        <f>O1370</f>
        <v>0</v>
      </c>
      <c r="AP1370" s="311"/>
      <c r="AQ1370" s="311"/>
      <c r="AR1370" s="311" t="str">
        <f>SUBSTITUTE(SUBSTITUTE(SUBSTITUTE("vnt"&amp;$B1370&amp;$C1370&amp;$D1370&amp;$E1370&amp;$F1370,".","_"),"(","_"),")","")</f>
        <v>vnt706_5</v>
      </c>
      <c r="AS1370" s="311">
        <f>X1370</f>
        <v>0</v>
      </c>
      <c r="AT1370" s="790"/>
      <c r="AU1370" s="790"/>
      <c r="AV1370" s="790"/>
      <c r="AW1370" s="790"/>
      <c r="AX1370" s="790"/>
      <c r="AY1370" s="790"/>
      <c r="AZ1370" s="790"/>
      <c r="BA1370" s="790"/>
      <c r="BB1370" s="790"/>
      <c r="BC1370" s="790"/>
      <c r="BD1370" s="790"/>
      <c r="BE1370" s="790"/>
      <c r="BF1370" s="790"/>
      <c r="BG1370" s="790"/>
      <c r="BH1370" s="790"/>
      <c r="BI1370" s="790"/>
      <c r="BJ1370" s="1184" t="s">
        <v>4763</v>
      </c>
    </row>
    <row r="1371" spans="1:62" x14ac:dyDescent="0.3">
      <c r="A1371" s="1200">
        <v>7</v>
      </c>
      <c r="B1371" s="1210">
        <v>706.5</v>
      </c>
      <c r="C1371" s="1215"/>
      <c r="D1371" s="1203"/>
      <c r="E1371" s="1203"/>
      <c r="F1371" s="1203"/>
      <c r="G1371" s="1202" t="str">
        <f t="shared" ref="G1371:G1378" ca="1" si="431">G1370</f>
        <v/>
      </c>
      <c r="H1371" s="1200" t="s">
        <v>4388</v>
      </c>
      <c r="I1371" s="140"/>
      <c r="J1371" s="812"/>
      <c r="K1371" s="812"/>
      <c r="L1371" s="1313"/>
      <c r="M1371" s="1360"/>
      <c r="N1371" s="1308"/>
      <c r="O1371" s="1308"/>
      <c r="P1371" s="97" t="b">
        <v>0</v>
      </c>
      <c r="Q1371" s="97" t="b">
        <v>1</v>
      </c>
      <c r="R1371" s="97" t="b">
        <v>0</v>
      </c>
      <c r="S1371" s="97" t="b">
        <v>1</v>
      </c>
      <c r="T1371" s="97" t="b">
        <v>0</v>
      </c>
      <c r="U1371" s="97"/>
      <c r="V1371" s="97"/>
      <c r="W1371" s="469"/>
      <c r="X1371" s="1295"/>
      <c r="Y1371" s="1523"/>
      <c r="Z1371" s="1583"/>
      <c r="AB1371" s="790"/>
      <c r="AC1371" s="790" t="b">
        <f>OR(AD1371:AE1371)</f>
        <v>0</v>
      </c>
      <c r="AD1371" s="790" t="b">
        <f>T1371</f>
        <v>0</v>
      </c>
      <c r="AE1371" s="790" t="b">
        <f>AND(R1371,OR(W1371="Not Met",W1371=""))</f>
        <v>0</v>
      </c>
      <c r="AF1371" s="1182" t="b">
        <f>AND(AE1371,NOT(Q1371))</f>
        <v>0</v>
      </c>
      <c r="AG1371" s="790"/>
      <c r="AH1371" s="790"/>
      <c r="AI1371" s="790"/>
      <c r="AJ1371" s="790"/>
      <c r="AK1371" s="790"/>
      <c r="AL1371" s="790"/>
      <c r="AM1371" s="790"/>
      <c r="AN1371" s="790"/>
      <c r="AO1371" s="790"/>
      <c r="AP1371" s="311" t="str">
        <f>SUBSTITUTE(SUBSTITUTE(SUBSTITUTE("vch"&amp;$B1371&amp;$C1371&amp;$D1371&amp;$E1371&amp;$F1371,".","_"),"(","_"),")","")</f>
        <v>vch706_5</v>
      </c>
      <c r="AQ1371" s="311">
        <f>W1371</f>
        <v>0</v>
      </c>
      <c r="AR1371" s="790"/>
      <c r="AS1371" s="790"/>
      <c r="AT1371" s="790"/>
      <c r="AU1371" s="790"/>
      <c r="AV1371" s="790"/>
      <c r="AW1371" s="790"/>
      <c r="AX1371" s="790"/>
      <c r="AY1371" s="790"/>
      <c r="AZ1371" s="790"/>
      <c r="BA1371" s="790"/>
      <c r="BB1371" s="790"/>
      <c r="BC1371" s="790"/>
      <c r="BD1371" s="790"/>
      <c r="BE1371" s="790"/>
      <c r="BF1371" s="790"/>
      <c r="BG1371" s="790"/>
      <c r="BH1371" s="790"/>
      <c r="BI1371" s="790"/>
      <c r="BJ1371" s="1184" t="s">
        <v>4763</v>
      </c>
    </row>
    <row r="1372" spans="1:62" x14ac:dyDescent="0.3">
      <c r="A1372" s="1200">
        <v>7</v>
      </c>
      <c r="B1372" s="1210">
        <v>706.5</v>
      </c>
      <c r="C1372" s="1215"/>
      <c r="D1372" s="1203"/>
      <c r="E1372" s="1203"/>
      <c r="F1372" s="1203"/>
      <c r="G1372" s="1202" t="str">
        <f t="shared" ca="1" si="431"/>
        <v/>
      </c>
      <c r="H1372" s="1200" t="s">
        <v>4388</v>
      </c>
      <c r="I1372" s="140"/>
      <c r="J1372" s="812"/>
      <c r="K1372" s="812"/>
      <c r="L1372" s="1313"/>
      <c r="M1372" s="1360"/>
      <c r="N1372" s="1308"/>
      <c r="O1372" s="1308"/>
      <c r="P1372" s="97"/>
      <c r="Q1372" s="97"/>
      <c r="R1372" s="97"/>
      <c r="S1372" s="221">
        <f>IF($AY$18=INDEX(ddSingleOrMulti,1),1,$AY$19)</f>
        <v>0</v>
      </c>
      <c r="T1372" s="97"/>
      <c r="U1372" s="97"/>
      <c r="V1372" s="97"/>
      <c r="W1372" s="97"/>
      <c r="X1372" s="1295"/>
      <c r="Y1372" s="1523"/>
      <c r="Z1372" s="1583"/>
      <c r="AB1372" s="790"/>
      <c r="AC1372" s="790"/>
      <c r="AD1372" s="790"/>
      <c r="AE1372" s="790"/>
      <c r="AF1372" s="790"/>
      <c r="AG1372" s="790"/>
      <c r="AH1372" s="790"/>
      <c r="AI1372" s="790"/>
      <c r="AJ1372" s="790"/>
      <c r="AK1372" s="790"/>
      <c r="AL1372" s="790"/>
      <c r="AM1372" s="790"/>
      <c r="AN1372" s="790"/>
      <c r="AO1372" s="790"/>
      <c r="AP1372" s="790"/>
      <c r="AQ1372" s="790"/>
      <c r="AR1372" s="790"/>
      <c r="AS1372" s="790"/>
      <c r="AT1372" s="790"/>
      <c r="AU1372" s="790"/>
      <c r="AV1372" s="790"/>
      <c r="AW1372" s="790"/>
      <c r="AX1372" s="790"/>
      <c r="AY1372" s="790"/>
      <c r="AZ1372" s="790"/>
      <c r="BA1372" s="790"/>
      <c r="BB1372" s="790"/>
      <c r="BC1372" s="790"/>
      <c r="BD1372" s="790"/>
      <c r="BE1372" s="790"/>
      <c r="BF1372" s="790"/>
      <c r="BG1372" s="790"/>
      <c r="BH1372" s="790"/>
      <c r="BI1372" s="790"/>
      <c r="BJ1372" s="1184" t="s">
        <v>4763</v>
      </c>
    </row>
    <row r="1373" spans="1:62" x14ac:dyDescent="0.3">
      <c r="A1373" s="1200">
        <v>7</v>
      </c>
      <c r="B1373" s="1210">
        <v>706.5</v>
      </c>
      <c r="C1373" s="1215"/>
      <c r="D1373" s="1203"/>
      <c r="E1373" s="1203"/>
      <c r="F1373" s="1203"/>
      <c r="G1373" s="1202" t="str">
        <f t="shared" ca="1" si="431"/>
        <v/>
      </c>
      <c r="H1373" s="1200" t="s">
        <v>4388</v>
      </c>
      <c r="I1373" s="140"/>
      <c r="J1373" s="812"/>
      <c r="K1373" s="812"/>
      <c r="L1373" s="1313"/>
      <c r="M1373" s="1360"/>
      <c r="N1373" s="1308"/>
      <c r="O1373" s="1308"/>
      <c r="P1373" s="97"/>
      <c r="Q1373" s="97"/>
      <c r="R1373" s="97"/>
      <c r="S1373" s="97"/>
      <c r="T1373" s="97"/>
      <c r="U1373" s="97"/>
      <c r="V1373" s="97"/>
      <c r="W1373" s="97"/>
      <c r="X1373" s="1295"/>
      <c r="Y1373" s="1523"/>
      <c r="Z1373" s="1583"/>
      <c r="AB1373" s="790"/>
      <c r="AC1373" s="790"/>
      <c r="AD1373" s="790"/>
      <c r="AE1373" s="790"/>
      <c r="AF1373" s="790"/>
      <c r="AG1373" s="790"/>
      <c r="AH1373" s="790"/>
      <c r="AI1373" s="790"/>
      <c r="AJ1373" s="790"/>
      <c r="AK1373" s="790"/>
      <c r="AL1373" s="790"/>
      <c r="AM1373" s="790"/>
      <c r="AN1373" s="790"/>
      <c r="AO1373" s="790"/>
      <c r="AP1373" s="790"/>
      <c r="AQ1373" s="790"/>
      <c r="AR1373" s="790"/>
      <c r="AS1373" s="790"/>
      <c r="AT1373" s="790"/>
      <c r="AU1373" s="790"/>
      <c r="AV1373" s="790"/>
      <c r="AW1373" s="790"/>
      <c r="AX1373" s="790"/>
      <c r="AY1373" s="790"/>
      <c r="AZ1373" s="790"/>
      <c r="BA1373" s="790"/>
      <c r="BB1373" s="790"/>
      <c r="BC1373" s="790"/>
      <c r="BD1373" s="790"/>
      <c r="BE1373" s="790"/>
      <c r="BF1373" s="790"/>
      <c r="BG1373" s="790"/>
      <c r="BH1373" s="790"/>
      <c r="BI1373" s="790"/>
      <c r="BJ1373" s="1184" t="s">
        <v>4763</v>
      </c>
    </row>
    <row r="1374" spans="1:62" x14ac:dyDescent="0.3">
      <c r="A1374" s="1200">
        <v>7</v>
      </c>
      <c r="B1374" s="1210">
        <v>706.5</v>
      </c>
      <c r="C1374" s="1215"/>
      <c r="D1374" s="1203"/>
      <c r="E1374" s="1203"/>
      <c r="F1374" s="1203"/>
      <c r="G1374" s="1202" t="str">
        <f t="shared" ca="1" si="431"/>
        <v/>
      </c>
      <c r="H1374" s="1200" t="s">
        <v>4388</v>
      </c>
      <c r="I1374" s="140"/>
      <c r="J1374" s="812"/>
      <c r="K1374" s="812"/>
      <c r="L1374" s="1368" t="s">
        <v>1290</v>
      </c>
      <c r="M1374" s="795"/>
      <c r="N1374" s="854"/>
      <c r="O1374" s="803"/>
      <c r="P1374" s="97"/>
      <c r="Q1374" s="97"/>
      <c r="R1374" s="97"/>
      <c r="S1374" s="97"/>
      <c r="T1374" s="97"/>
      <c r="U1374" s="97"/>
      <c r="V1374" s="97"/>
      <c r="W1374" s="97"/>
      <c r="X1374" s="1295"/>
      <c r="Y1374" s="1523"/>
      <c r="Z1374" s="1583"/>
      <c r="AB1374" s="790"/>
      <c r="AC1374" s="790"/>
      <c r="AD1374" s="790"/>
      <c r="AE1374" s="790"/>
      <c r="AF1374" s="790"/>
      <c r="AG1374" s="790"/>
      <c r="AH1374" s="790"/>
      <c r="AI1374" s="790"/>
      <c r="AJ1374" s="790"/>
      <c r="AK1374" s="790"/>
      <c r="AL1374" s="790"/>
      <c r="AM1374" s="790"/>
      <c r="AN1374" s="790"/>
      <c r="AO1374" s="790"/>
      <c r="AP1374" s="790"/>
      <c r="AQ1374" s="790"/>
      <c r="AR1374" s="790"/>
      <c r="AS1374" s="790"/>
      <c r="AT1374" s="790"/>
      <c r="AU1374" s="790"/>
      <c r="AV1374" s="790"/>
      <c r="AW1374" s="790"/>
      <c r="AX1374" s="790"/>
      <c r="AY1374" s="790"/>
      <c r="AZ1374" s="790"/>
      <c r="BA1374" s="790"/>
      <c r="BB1374" s="790"/>
      <c r="BC1374" s="790"/>
      <c r="BD1374" s="790"/>
      <c r="BE1374" s="790"/>
      <c r="BF1374" s="790"/>
      <c r="BG1374" s="790"/>
      <c r="BH1374" s="790"/>
      <c r="BI1374" s="790"/>
      <c r="BJ1374" s="1184" t="s">
        <v>4763</v>
      </c>
    </row>
    <row r="1375" spans="1:62" x14ac:dyDescent="0.3">
      <c r="A1375" s="1200">
        <v>7</v>
      </c>
      <c r="B1375" s="1210">
        <v>706.5</v>
      </c>
      <c r="C1375" s="1215"/>
      <c r="D1375" s="1203"/>
      <c r="E1375" s="1203"/>
      <c r="F1375" s="1203"/>
      <c r="G1375" s="1202" t="str">
        <f t="shared" ca="1" si="431"/>
        <v/>
      </c>
      <c r="H1375" s="1200" t="s">
        <v>4388</v>
      </c>
      <c r="I1375" s="140"/>
      <c r="J1375" s="812"/>
      <c r="K1375" s="812"/>
      <c r="L1375" s="1368"/>
      <c r="M1375" s="795"/>
      <c r="N1375" s="854"/>
      <c r="O1375" s="803"/>
      <c r="P1375" s="97"/>
      <c r="Q1375" s="97"/>
      <c r="R1375" s="97"/>
      <c r="S1375" s="97"/>
      <c r="T1375" s="97"/>
      <c r="U1375" s="97"/>
      <c r="V1375" s="97"/>
      <c r="W1375" s="97"/>
      <c r="X1375" s="1295"/>
      <c r="Y1375" s="1523"/>
      <c r="Z1375" s="1583"/>
      <c r="AB1375" s="790"/>
      <c r="AC1375" s="790"/>
      <c r="AD1375" s="790"/>
      <c r="AE1375" s="790"/>
      <c r="AF1375" s="790"/>
      <c r="AG1375" s="790"/>
      <c r="AH1375" s="790"/>
      <c r="AI1375" s="790"/>
      <c r="AJ1375" s="790"/>
      <c r="AK1375" s="790"/>
      <c r="AL1375" s="790"/>
      <c r="AM1375" s="790"/>
      <c r="AN1375" s="790"/>
      <c r="AO1375" s="790"/>
      <c r="AP1375" s="790"/>
      <c r="AQ1375" s="790"/>
      <c r="AR1375" s="790"/>
      <c r="AS1375" s="790"/>
      <c r="AT1375" s="790"/>
      <c r="AU1375" s="790"/>
      <c r="AV1375" s="790"/>
      <c r="AW1375" s="790"/>
      <c r="AX1375" s="790"/>
      <c r="AY1375" s="790"/>
      <c r="AZ1375" s="790"/>
      <c r="BA1375" s="790"/>
      <c r="BB1375" s="790"/>
      <c r="BC1375" s="790"/>
      <c r="BD1375" s="790"/>
      <c r="BE1375" s="790"/>
      <c r="BF1375" s="790"/>
      <c r="BG1375" s="790"/>
      <c r="BH1375" s="790"/>
      <c r="BI1375" s="790"/>
      <c r="BJ1375" s="1184" t="s">
        <v>4763</v>
      </c>
    </row>
    <row r="1376" spans="1:62" x14ac:dyDescent="0.3">
      <c r="A1376" s="1200">
        <v>7</v>
      </c>
      <c r="B1376" s="1210">
        <v>706.5</v>
      </c>
      <c r="C1376" s="1215"/>
      <c r="D1376" s="1203"/>
      <c r="E1376" s="1203"/>
      <c r="F1376" s="1203"/>
      <c r="G1376" s="1202" t="str">
        <f t="shared" ca="1" si="431"/>
        <v/>
      </c>
      <c r="H1376" s="1200" t="s">
        <v>4388</v>
      </c>
      <c r="I1376" s="140"/>
      <c r="J1376" s="812"/>
      <c r="K1376" s="812"/>
      <c r="L1376" s="1368"/>
      <c r="M1376" s="795"/>
      <c r="N1376" s="854"/>
      <c r="O1376" s="803"/>
      <c r="P1376" s="97"/>
      <c r="Q1376" s="97"/>
      <c r="R1376" s="97"/>
      <c r="S1376" s="97"/>
      <c r="T1376" s="97"/>
      <c r="U1376" s="97"/>
      <c r="V1376" s="97"/>
      <c r="W1376" s="97"/>
      <c r="X1376" s="1295"/>
      <c r="Y1376" s="1523"/>
      <c r="Z1376" s="1583"/>
      <c r="AB1376" s="790"/>
      <c r="AC1376" s="790"/>
      <c r="AD1376" s="790"/>
      <c r="AE1376" s="790"/>
      <c r="AF1376" s="790"/>
      <c r="AG1376" s="790"/>
      <c r="AH1376" s="790"/>
      <c r="AI1376" s="790"/>
      <c r="AJ1376" s="790"/>
      <c r="AK1376" s="790"/>
      <c r="AL1376" s="790"/>
      <c r="AM1376" s="790"/>
      <c r="AN1376" s="790"/>
      <c r="AO1376" s="790"/>
      <c r="AP1376" s="790"/>
      <c r="AQ1376" s="790"/>
      <c r="AR1376" s="790"/>
      <c r="AS1376" s="790"/>
      <c r="AT1376" s="790"/>
      <c r="AU1376" s="790"/>
      <c r="AV1376" s="790"/>
      <c r="AW1376" s="790"/>
      <c r="AX1376" s="790"/>
      <c r="AY1376" s="790"/>
      <c r="AZ1376" s="790"/>
      <c r="BA1376" s="790"/>
      <c r="BB1376" s="790"/>
      <c r="BC1376" s="790"/>
      <c r="BD1376" s="790"/>
      <c r="BE1376" s="790"/>
      <c r="BF1376" s="790"/>
      <c r="BG1376" s="790"/>
      <c r="BH1376" s="790"/>
      <c r="BI1376" s="790"/>
      <c r="BJ1376" s="1184" t="s">
        <v>4763</v>
      </c>
    </row>
    <row r="1377" spans="1:62" x14ac:dyDescent="0.3">
      <c r="A1377" s="1200">
        <v>7</v>
      </c>
      <c r="B1377" s="1210">
        <v>706.5</v>
      </c>
      <c r="C1377" s="1215"/>
      <c r="D1377" s="1203"/>
      <c r="E1377" s="1203"/>
      <c r="F1377" s="1203"/>
      <c r="G1377" s="1202" t="str">
        <f t="shared" ca="1" si="431"/>
        <v/>
      </c>
      <c r="H1377" s="1200" t="s">
        <v>4388</v>
      </c>
      <c r="I1377" s="140"/>
      <c r="J1377" s="812"/>
      <c r="K1377" s="812"/>
      <c r="L1377" s="1368" t="s">
        <v>1291</v>
      </c>
      <c r="M1377" s="795"/>
      <c r="N1377" s="854"/>
      <c r="O1377" s="803"/>
      <c r="P1377" s="97"/>
      <c r="Q1377" s="97"/>
      <c r="R1377" s="97"/>
      <c r="S1377" s="97"/>
      <c r="T1377" s="97"/>
      <c r="U1377" s="97"/>
      <c r="V1377" s="97"/>
      <c r="W1377" s="97"/>
      <c r="X1377" s="1295"/>
      <c r="Y1377" s="1523"/>
      <c r="Z1377" s="1583"/>
      <c r="AB1377" s="790"/>
      <c r="AC1377" s="790"/>
      <c r="AD1377" s="790"/>
      <c r="AE1377" s="790"/>
      <c r="AF1377" s="790"/>
      <c r="AG1377" s="790"/>
      <c r="AH1377" s="790"/>
      <c r="AI1377" s="790"/>
      <c r="AJ1377" s="790"/>
      <c r="AK1377" s="790"/>
      <c r="AL1377" s="790"/>
      <c r="AM1377" s="790"/>
      <c r="AN1377" s="790"/>
      <c r="AO1377" s="790"/>
      <c r="AP1377" s="790"/>
      <c r="AQ1377" s="790"/>
      <c r="AR1377" s="790"/>
      <c r="AS1377" s="790"/>
      <c r="AT1377" s="790"/>
      <c r="AU1377" s="790"/>
      <c r="AV1377" s="790"/>
      <c r="AW1377" s="790"/>
      <c r="AX1377" s="790"/>
      <c r="AY1377" s="790"/>
      <c r="AZ1377" s="790"/>
      <c r="BA1377" s="790"/>
      <c r="BB1377" s="790"/>
      <c r="BC1377" s="790"/>
      <c r="BD1377" s="790"/>
      <c r="BE1377" s="790"/>
      <c r="BF1377" s="790"/>
      <c r="BG1377" s="790"/>
      <c r="BH1377" s="790"/>
      <c r="BI1377" s="790"/>
      <c r="BJ1377" s="1184" t="s">
        <v>4763</v>
      </c>
    </row>
    <row r="1378" spans="1:62" ht="15" thickBot="1" x14ac:dyDescent="0.35">
      <c r="A1378" s="1200">
        <v>7</v>
      </c>
      <c r="B1378" s="1210">
        <v>706.5</v>
      </c>
      <c r="C1378" s="1215"/>
      <c r="D1378" s="1203"/>
      <c r="E1378" s="1203"/>
      <c r="F1378" s="1203"/>
      <c r="G1378" s="1202" t="str">
        <f t="shared" ca="1" si="431"/>
        <v/>
      </c>
      <c r="H1378" s="1200" t="s">
        <v>4388</v>
      </c>
      <c r="I1378" s="270"/>
      <c r="J1378" s="824"/>
      <c r="K1378" s="824"/>
      <c r="L1378" s="1400"/>
      <c r="M1378" s="798"/>
      <c r="N1378" s="858"/>
      <c r="O1378" s="801"/>
      <c r="P1378" s="104"/>
      <c r="Q1378" s="104"/>
      <c r="R1378" s="104"/>
      <c r="S1378" s="104"/>
      <c r="T1378" s="104"/>
      <c r="U1378" s="104"/>
      <c r="V1378" s="104"/>
      <c r="W1378" s="104"/>
      <c r="X1378" s="1296"/>
      <c r="Y1378" s="1524"/>
      <c r="Z1378" s="1584"/>
      <c r="AB1378" s="790"/>
      <c r="AC1378" s="790"/>
      <c r="AD1378" s="790"/>
      <c r="AE1378" s="790"/>
      <c r="AF1378" s="790"/>
      <c r="AG1378" s="790"/>
      <c r="AH1378" s="790"/>
      <c r="AI1378" s="790"/>
      <c r="AJ1378" s="790"/>
      <c r="AK1378" s="790"/>
      <c r="AL1378" s="790"/>
      <c r="AM1378" s="790"/>
      <c r="AN1378" s="790"/>
      <c r="AO1378" s="790"/>
      <c r="AP1378" s="790"/>
      <c r="AQ1378" s="790"/>
      <c r="AR1378" s="790"/>
      <c r="AS1378" s="790"/>
      <c r="AT1378" s="790"/>
      <c r="AU1378" s="790"/>
      <c r="AV1378" s="790"/>
      <c r="AW1378" s="790"/>
      <c r="AX1378" s="790"/>
      <c r="AY1378" s="790"/>
      <c r="AZ1378" s="790"/>
      <c r="BA1378" s="790"/>
      <c r="BB1378" s="790"/>
      <c r="BC1378" s="790"/>
      <c r="BD1378" s="790"/>
      <c r="BE1378" s="790"/>
      <c r="BF1378" s="790"/>
      <c r="BG1378" s="790"/>
      <c r="BH1378" s="790"/>
      <c r="BI1378" s="790"/>
      <c r="BJ1378" s="1184" t="s">
        <v>4763</v>
      </c>
    </row>
    <row r="1379" spans="1:62" ht="15" thickTop="1" x14ac:dyDescent="0.3">
      <c r="A1379" s="1200">
        <v>7</v>
      </c>
      <c r="B1379" s="1210">
        <v>706.6</v>
      </c>
      <c r="C1379" s="1215"/>
      <c r="D1379" s="1203"/>
      <c r="E1379" s="1203"/>
      <c r="F1379" s="1203"/>
      <c r="G1379" s="1202" t="str">
        <f ca="1">IF(N1379&gt;0,"P","")</f>
        <v/>
      </c>
      <c r="H1379" s="1200" t="s">
        <v>4386</v>
      </c>
      <c r="I1379" s="200">
        <v>706.6</v>
      </c>
      <c r="J1379" s="616"/>
      <c r="K1379" s="616"/>
      <c r="L1379" s="1331" t="s">
        <v>1292</v>
      </c>
      <c r="M1379" s="1343">
        <v>2</v>
      </c>
      <c r="N1379" s="1336">
        <f ca="1">'Ch7'!O616</f>
        <v>0</v>
      </c>
      <c r="O1379" s="1336">
        <f ca="1">M1379*S1379*W1379</f>
        <v>0</v>
      </c>
      <c r="P1379" s="97" t="b">
        <v>1</v>
      </c>
      <c r="Q1379" s="97" t="b">
        <v>1</v>
      </c>
      <c r="R1379" s="110" t="b">
        <v>0</v>
      </c>
      <c r="S1379" s="110" t="b">
        <f ca="1">$AY$18=INDEX(INDIRECT("ddSingleOrMulti"),2)</f>
        <v>0</v>
      </c>
      <c r="T1379" s="110" t="b">
        <f ca="1">AND(NOT(S1379),W1379=TRUE)</f>
        <v>0</v>
      </c>
      <c r="U1379" s="110"/>
      <c r="V1379" s="110"/>
      <c r="W1379" s="25"/>
      <c r="X1379" s="1327"/>
      <c r="Y1379" s="1525" t="str">
        <f>IF(LEN('Ch7'!X616)=0,"None",'Ch7'!X616)</f>
        <v>None</v>
      </c>
      <c r="Z1379" s="1585"/>
      <c r="AB1379" s="790"/>
      <c r="AC1379" s="790" t="b">
        <f ca="1">OR(AD1379:AE1379)</f>
        <v>0</v>
      </c>
      <c r="AD1379" s="790" t="b">
        <f ca="1">T1379</f>
        <v>0</v>
      </c>
      <c r="AE1379" s="790" t="b">
        <f>AND(R1379,NOT(W1379))</f>
        <v>0</v>
      </c>
      <c r="AF1379" s="1182" t="b">
        <f>AND(AE1379,NOT(Q1379))</f>
        <v>0</v>
      </c>
      <c r="AG1379" s="790"/>
      <c r="AH1379" s="790"/>
      <c r="AI1379" s="790"/>
      <c r="AJ1379" s="790"/>
      <c r="AK1379" s="790"/>
      <c r="AL1379" s="311" t="str">
        <f t="shared" ref="AL1379" si="432">SUBSTITUTE(SUBSTITUTE(SUBSTITUTE("vpa"&amp;$B1379&amp;$C1379&amp;$D1379&amp;$E1379&amp;$F1379,".","_"),"(","_"),")","")</f>
        <v>vpa706_6</v>
      </c>
      <c r="AM1379" s="311">
        <f>M1379</f>
        <v>2</v>
      </c>
      <c r="AN1379" s="311" t="str">
        <f>SUBSTITUTE(SUBSTITUTE(SUBSTITUTE("vpc"&amp;$B1379&amp;$C1379&amp;$D1379&amp;$E1379&amp;$F1379,".","_"),"(","_"),")","")</f>
        <v>vpc706_6</v>
      </c>
      <c r="AO1379" s="311">
        <f ca="1">O1379</f>
        <v>0</v>
      </c>
      <c r="AP1379" s="311" t="str">
        <f>SUBSTITUTE(SUBSTITUTE(SUBSTITUTE("vch"&amp;$B1379&amp;$C1379&amp;$D1379&amp;$E1379&amp;$F1379,".","_"),"(","_"),")","")</f>
        <v>vch706_6</v>
      </c>
      <c r="AQ1379" s="311">
        <f>W1379</f>
        <v>0</v>
      </c>
      <c r="AR1379" s="311" t="str">
        <f>SUBSTITUTE(SUBSTITUTE(SUBSTITUTE("vnt"&amp;$B1379&amp;$C1379&amp;$D1379&amp;$E1379&amp;$F1379,".","_"),"(","_"),")","")</f>
        <v>vnt706_6</v>
      </c>
      <c r="AS1379" s="311">
        <f>X1379</f>
        <v>0</v>
      </c>
      <c r="AT1379" s="790"/>
      <c r="AU1379" s="790"/>
      <c r="AV1379" s="790"/>
      <c r="AW1379" s="790"/>
      <c r="AX1379" s="790"/>
      <c r="AY1379" s="790"/>
      <c r="AZ1379" s="790"/>
      <c r="BA1379" s="790"/>
      <c r="BB1379" s="790"/>
      <c r="BC1379" s="790"/>
      <c r="BD1379" s="790"/>
      <c r="BE1379" s="790"/>
      <c r="BF1379" s="790"/>
      <c r="BG1379" s="790"/>
      <c r="BH1379" s="790"/>
      <c r="BI1379" s="790"/>
      <c r="BJ1379" s="1184" t="s">
        <v>4763</v>
      </c>
    </row>
    <row r="1380" spans="1:62" ht="15" thickBot="1" x14ac:dyDescent="0.35">
      <c r="A1380" s="1200">
        <v>7</v>
      </c>
      <c r="B1380" s="1210">
        <v>706.6</v>
      </c>
      <c r="C1380" s="1215"/>
      <c r="D1380" s="1203"/>
      <c r="E1380" s="1203"/>
      <c r="F1380" s="1203"/>
      <c r="G1380" s="1202" t="str">
        <f t="shared" ref="G1380" ca="1" si="433">G1379</f>
        <v/>
      </c>
      <c r="H1380" s="1200" t="s">
        <v>4386</v>
      </c>
      <c r="I1380" s="270"/>
      <c r="J1380" s="824"/>
      <c r="K1380" s="824"/>
      <c r="L1380" s="1332"/>
      <c r="M1380" s="1334"/>
      <c r="N1380" s="1315"/>
      <c r="O1380" s="1315"/>
      <c r="P1380" s="104"/>
      <c r="Q1380" s="104"/>
      <c r="R1380" s="104"/>
      <c r="S1380" s="104"/>
      <c r="T1380" s="104"/>
      <c r="U1380" s="104"/>
      <c r="V1380" s="104"/>
      <c r="W1380" s="104"/>
      <c r="X1380" s="1296"/>
      <c r="Y1380" s="1524"/>
      <c r="Z1380" s="1584"/>
      <c r="AB1380" s="790"/>
      <c r="AC1380" s="790"/>
      <c r="AD1380" s="790"/>
      <c r="AE1380" s="790"/>
      <c r="AF1380" s="790"/>
      <c r="AG1380" s="790"/>
      <c r="AH1380" s="790"/>
      <c r="AI1380" s="790"/>
      <c r="AJ1380" s="790"/>
      <c r="AK1380" s="790"/>
      <c r="AL1380" s="790"/>
      <c r="AM1380" s="790"/>
      <c r="AN1380" s="790"/>
      <c r="AO1380" s="790"/>
      <c r="AP1380" s="790"/>
      <c r="AQ1380" s="790"/>
      <c r="AR1380" s="790"/>
      <c r="AS1380" s="790"/>
      <c r="AT1380" s="790"/>
      <c r="AU1380" s="790"/>
      <c r="AV1380" s="790"/>
      <c r="AW1380" s="790"/>
      <c r="AX1380" s="790"/>
      <c r="AY1380" s="790"/>
      <c r="AZ1380" s="790"/>
      <c r="BA1380" s="790"/>
      <c r="BB1380" s="790"/>
      <c r="BC1380" s="790"/>
      <c r="BD1380" s="790"/>
      <c r="BE1380" s="790"/>
      <c r="BF1380" s="790"/>
      <c r="BG1380" s="790"/>
      <c r="BH1380" s="790"/>
      <c r="BI1380" s="790"/>
      <c r="BJ1380" s="1184" t="s">
        <v>4763</v>
      </c>
    </row>
    <row r="1381" spans="1:62" ht="15" thickTop="1" x14ac:dyDescent="0.3">
      <c r="A1381" s="1200">
        <v>7</v>
      </c>
      <c r="B1381" s="1210">
        <v>706.7</v>
      </c>
      <c r="C1381" s="1215"/>
      <c r="D1381" s="1203"/>
      <c r="E1381" s="1203"/>
      <c r="F1381" s="1203"/>
      <c r="G1381" s="1196" t="str">
        <f>IF(COUNTIF(G1383:G1384,"P")&gt;0,"P","")</f>
        <v/>
      </c>
      <c r="H1381" s="1200" t="s">
        <v>4388</v>
      </c>
      <c r="I1381" s="66">
        <v>706.7</v>
      </c>
      <c r="J1381" s="819"/>
      <c r="K1381" s="819"/>
      <c r="L1381" s="1292" t="s">
        <v>1293</v>
      </c>
      <c r="M1381" s="799"/>
      <c r="N1381" s="850"/>
      <c r="O1381" s="802"/>
      <c r="P1381" s="1081"/>
      <c r="Q1381" s="1081"/>
      <c r="R1381" s="790"/>
      <c r="S1381" s="790"/>
      <c r="T1381" s="790"/>
      <c r="U1381" s="790"/>
      <c r="V1381" s="790"/>
      <c r="W1381" s="790"/>
      <c r="X1381" s="790"/>
      <c r="Y1381" s="790"/>
      <c r="Z1381" s="1055"/>
      <c r="AB1381" s="790"/>
      <c r="AC1381" s="790"/>
      <c r="AD1381" s="790"/>
      <c r="AE1381" s="790"/>
      <c r="AF1381" s="790"/>
      <c r="AG1381" s="790"/>
      <c r="AH1381" s="790"/>
      <c r="AI1381" s="790"/>
      <c r="AJ1381" s="790"/>
      <c r="AK1381" s="790"/>
      <c r="AL1381" s="790"/>
      <c r="AM1381" s="790"/>
      <c r="AN1381" s="790"/>
      <c r="AO1381" s="790"/>
      <c r="AP1381" s="790"/>
      <c r="AQ1381" s="790"/>
      <c r="AR1381" s="790"/>
      <c r="AS1381" s="790"/>
      <c r="AT1381" s="790"/>
      <c r="AU1381" s="790"/>
      <c r="AV1381" s="790"/>
      <c r="AW1381" s="790"/>
      <c r="AX1381" s="790"/>
      <c r="AY1381" s="790"/>
      <c r="AZ1381" s="790"/>
      <c r="BA1381" s="790"/>
      <c r="BB1381" s="790"/>
      <c r="BC1381" s="790"/>
      <c r="BD1381" s="790"/>
      <c r="BE1381" s="790"/>
      <c r="BF1381" s="790"/>
      <c r="BG1381" s="790"/>
      <c r="BH1381" s="790"/>
      <c r="BI1381" s="790"/>
      <c r="BJ1381" s="1184" t="s">
        <v>4763</v>
      </c>
    </row>
    <row r="1382" spans="1:62" x14ac:dyDescent="0.3">
      <c r="A1382" s="1200">
        <v>7</v>
      </c>
      <c r="B1382" s="1210">
        <v>706.7</v>
      </c>
      <c r="C1382" s="1215"/>
      <c r="D1382" s="1203"/>
      <c r="E1382" s="1203"/>
      <c r="F1382" s="1203"/>
      <c r="G1382" s="1202" t="str">
        <f t="shared" ref="G1382" si="434">G1381</f>
        <v/>
      </c>
      <c r="H1382" s="1200" t="s">
        <v>4388</v>
      </c>
      <c r="I1382" s="4"/>
      <c r="J1382" s="819"/>
      <c r="K1382" s="819"/>
      <c r="L1382" s="1292"/>
      <c r="M1382" s="799"/>
      <c r="N1382" s="850"/>
      <c r="O1382" s="802"/>
      <c r="P1382" s="1081"/>
      <c r="Q1382" s="1081"/>
      <c r="R1382" s="790"/>
      <c r="S1382" s="790"/>
      <c r="T1382" s="790"/>
      <c r="U1382" s="790"/>
      <c r="V1382" s="790"/>
      <c r="W1382" s="790"/>
      <c r="X1382" s="790"/>
      <c r="Y1382" s="790"/>
      <c r="Z1382" s="1055"/>
      <c r="AB1382" s="790"/>
      <c r="AC1382" s="790"/>
      <c r="AD1382" s="790"/>
      <c r="AE1382" s="790"/>
      <c r="AF1382" s="790"/>
      <c r="AG1382" s="790"/>
      <c r="AH1382" s="790"/>
      <c r="AI1382" s="790"/>
      <c r="AJ1382" s="790"/>
      <c r="AK1382" s="790"/>
      <c r="AL1382" s="790"/>
      <c r="AM1382" s="790"/>
      <c r="AN1382" s="790"/>
      <c r="AO1382" s="790"/>
      <c r="AP1382" s="790"/>
      <c r="AQ1382" s="790"/>
      <c r="AR1382" s="790"/>
      <c r="AS1382" s="790"/>
      <c r="AT1382" s="790"/>
      <c r="AU1382" s="790"/>
      <c r="AV1382" s="790"/>
      <c r="AW1382" s="790"/>
      <c r="AX1382" s="790"/>
      <c r="AY1382" s="790"/>
      <c r="AZ1382" s="790"/>
      <c r="BA1382" s="790"/>
      <c r="BB1382" s="790"/>
      <c r="BC1382" s="790"/>
      <c r="BD1382" s="790"/>
      <c r="BE1382" s="790"/>
      <c r="BF1382" s="790"/>
      <c r="BG1382" s="790"/>
      <c r="BH1382" s="790"/>
      <c r="BI1382" s="790"/>
      <c r="BJ1382" s="1184" t="s">
        <v>4763</v>
      </c>
    </row>
    <row r="1383" spans="1:62" x14ac:dyDescent="0.3">
      <c r="A1383" s="1200">
        <v>7</v>
      </c>
      <c r="B1383" s="1210">
        <v>706.7</v>
      </c>
      <c r="C1383" s="1215"/>
      <c r="D1383" s="1203" t="s">
        <v>271</v>
      </c>
      <c r="E1383" s="1203"/>
      <c r="F1383" s="1203"/>
      <c r="G1383" s="1202" t="str">
        <f>IF(N1383&gt;0,"P","")</f>
        <v/>
      </c>
      <c r="H1383" s="1200" t="s">
        <v>4388</v>
      </c>
      <c r="I1383" s="4"/>
      <c r="J1383" s="644" t="s">
        <v>271</v>
      </c>
      <c r="K1383" s="813"/>
      <c r="L1383" s="813" t="s">
        <v>1294</v>
      </c>
      <c r="M1383" s="796">
        <v>1</v>
      </c>
      <c r="N1383" s="855">
        <f>'Ch7'!O620</f>
        <v>0</v>
      </c>
      <c r="O1383" s="804">
        <f>M1383*S1383*W1383</f>
        <v>0</v>
      </c>
      <c r="P1383" s="97" t="b">
        <v>0</v>
      </c>
      <c r="Q1383" s="97" t="b">
        <v>1</v>
      </c>
      <c r="R1383" s="790" t="b">
        <v>0</v>
      </c>
      <c r="S1383" s="790" t="b">
        <f>IFERROR(NOT(OR(W1354:W1361,W1390)),TRUE)</f>
        <v>1</v>
      </c>
      <c r="T1383" s="97" t="b">
        <f>AND(NOT(S1383),W1383=TRUE)</f>
        <v>0</v>
      </c>
      <c r="U1383" s="790"/>
      <c r="V1383" s="790"/>
      <c r="W1383" s="25"/>
      <c r="X1383" s="809"/>
      <c r="Y1383" s="841" t="str">
        <f>IF(LEN('Ch7'!X620)=0,"None",'Ch7'!X620)</f>
        <v>None</v>
      </c>
      <c r="Z1383" s="1169"/>
      <c r="AB1383" s="790"/>
      <c r="AC1383" s="790" t="b">
        <f>OR(AD1383:AE1383)</f>
        <v>0</v>
      </c>
      <c r="AD1383" s="790" t="b">
        <f>T1383</f>
        <v>0</v>
      </c>
      <c r="AE1383" s="790" t="b">
        <f>AND(R1383,NOT(W1383))</f>
        <v>0</v>
      </c>
      <c r="AF1383" s="1182" t="b">
        <f>AND(AE1383,NOT(Q1383))</f>
        <v>0</v>
      </c>
      <c r="AG1383" s="790"/>
      <c r="AH1383" s="790"/>
      <c r="AI1383" s="790"/>
      <c r="AJ1383" s="790"/>
      <c r="AK1383" s="790"/>
      <c r="AL1383" s="311" t="str">
        <f t="shared" ref="AL1383:AL1384" si="435">SUBSTITUTE(SUBSTITUTE(SUBSTITUTE("vpa"&amp;$B1383&amp;$C1383&amp;$D1383&amp;$E1383&amp;$F1383,".","_"),"(","_"),")","")</f>
        <v>vpa706_7_1</v>
      </c>
      <c r="AM1383" s="311">
        <f>M1383</f>
        <v>1</v>
      </c>
      <c r="AN1383" s="311" t="str">
        <f t="shared" ref="AN1383:AN1384" si="436">SUBSTITUTE(SUBSTITUTE(SUBSTITUTE("vpc"&amp;$B1383&amp;$C1383&amp;$D1383&amp;$E1383&amp;$F1383,".","_"),"(","_"),")","")</f>
        <v>vpc706_7_1</v>
      </c>
      <c r="AO1383" s="311">
        <f>O1383</f>
        <v>0</v>
      </c>
      <c r="AP1383" s="311" t="str">
        <f t="shared" ref="AP1383:AP1384" si="437">SUBSTITUTE(SUBSTITUTE(SUBSTITUTE("vch"&amp;$B1383&amp;$C1383&amp;$D1383&amp;$E1383&amp;$F1383,".","_"),"(","_"),")","")</f>
        <v>vch706_7_1</v>
      </c>
      <c r="AQ1383" s="311">
        <f>W1383</f>
        <v>0</v>
      </c>
      <c r="AR1383" s="311" t="str">
        <f t="shared" ref="AR1383:AR1384" si="438">SUBSTITUTE(SUBSTITUTE(SUBSTITUTE("vnt"&amp;$B1383&amp;$C1383&amp;$D1383&amp;$E1383&amp;$F1383,".","_"),"(","_"),")","")</f>
        <v>vnt706_7_1</v>
      </c>
      <c r="AS1383" s="311">
        <f>X1383</f>
        <v>0</v>
      </c>
      <c r="AT1383" s="790"/>
      <c r="AU1383" s="790"/>
      <c r="AV1383" s="790"/>
      <c r="AW1383" s="790"/>
      <c r="AX1383" s="790"/>
      <c r="AY1383" s="790"/>
      <c r="AZ1383" s="790"/>
      <c r="BA1383" s="790"/>
      <c r="BB1383" s="790"/>
      <c r="BC1383" s="790"/>
      <c r="BD1383" s="790"/>
      <c r="BE1383" s="790"/>
      <c r="BF1383" s="790"/>
      <c r="BG1383" s="790"/>
      <c r="BH1383" s="790"/>
      <c r="BI1383" s="790"/>
      <c r="BJ1383" s="1184" t="s">
        <v>4763</v>
      </c>
    </row>
    <row r="1384" spans="1:62" x14ac:dyDescent="0.3">
      <c r="A1384" s="1200">
        <v>7</v>
      </c>
      <c r="B1384" s="1210">
        <v>706.7</v>
      </c>
      <c r="C1384" s="1215"/>
      <c r="D1384" s="1203" t="s">
        <v>273</v>
      </c>
      <c r="E1384" s="1203"/>
      <c r="F1384" s="1203"/>
      <c r="G1384" s="1202" t="str">
        <f>IF(N1384&gt;0,"P","")</f>
        <v/>
      </c>
      <c r="H1384" s="1200" t="s">
        <v>4388</v>
      </c>
      <c r="I1384" s="140"/>
      <c r="J1384" s="643" t="s">
        <v>273</v>
      </c>
      <c r="K1384" s="812"/>
      <c r="L1384" s="812" t="s">
        <v>1295</v>
      </c>
      <c r="M1384" s="795">
        <v>1</v>
      </c>
      <c r="N1384" s="854">
        <f>'Ch7'!O621</f>
        <v>0</v>
      </c>
      <c r="O1384" s="803">
        <f>M1384*S1384*W1384</f>
        <v>0</v>
      </c>
      <c r="P1384" s="97" t="b">
        <v>0</v>
      </c>
      <c r="Q1384" s="97" t="b">
        <v>1</v>
      </c>
      <c r="R1384" s="97" t="b">
        <v>0</v>
      </c>
      <c r="S1384" s="97" t="b">
        <f>IFERROR(NOT(OR(W1354:W1361,W1390)),TRUE)</f>
        <v>1</v>
      </c>
      <c r="T1384" s="97" t="b">
        <f>AND(NOT(S1384),W1384=TRUE)</f>
        <v>0</v>
      </c>
      <c r="U1384" s="97"/>
      <c r="V1384" s="97"/>
      <c r="W1384" s="25"/>
      <c r="X1384" s="1295"/>
      <c r="Y1384" s="1523" t="str">
        <f>IF(LEN('Ch7'!X621)=0,"None",'Ch7'!X621)</f>
        <v>None</v>
      </c>
      <c r="Z1384" s="1583"/>
      <c r="AB1384" s="790"/>
      <c r="AC1384" s="790" t="b">
        <f>OR(AD1384:AE1384)</f>
        <v>0</v>
      </c>
      <c r="AD1384" s="790" t="b">
        <f>T1384</f>
        <v>0</v>
      </c>
      <c r="AE1384" s="790" t="b">
        <f>AND(R1384,NOT(W1384))</f>
        <v>0</v>
      </c>
      <c r="AF1384" s="1182" t="b">
        <f>AND(AE1384,NOT(Q1384))</f>
        <v>0</v>
      </c>
      <c r="AG1384" s="790"/>
      <c r="AH1384" s="790"/>
      <c r="AI1384" s="790"/>
      <c r="AJ1384" s="790"/>
      <c r="AK1384" s="790"/>
      <c r="AL1384" s="311" t="str">
        <f t="shared" si="435"/>
        <v>vpa706_7_2</v>
      </c>
      <c r="AM1384" s="311">
        <f>M1384</f>
        <v>1</v>
      </c>
      <c r="AN1384" s="311" t="str">
        <f t="shared" si="436"/>
        <v>vpc706_7_2</v>
      </c>
      <c r="AO1384" s="311">
        <f>O1384</f>
        <v>0</v>
      </c>
      <c r="AP1384" s="311" t="str">
        <f t="shared" si="437"/>
        <v>vch706_7_2</v>
      </c>
      <c r="AQ1384" s="311">
        <f>W1384</f>
        <v>0</v>
      </c>
      <c r="AR1384" s="311" t="str">
        <f t="shared" si="438"/>
        <v>vnt706_7_2</v>
      </c>
      <c r="AS1384" s="311">
        <f>X1384</f>
        <v>0</v>
      </c>
      <c r="AT1384" s="790"/>
      <c r="AU1384" s="790"/>
      <c r="AV1384" s="790"/>
      <c r="AW1384" s="790"/>
      <c r="AX1384" s="790"/>
      <c r="AY1384" s="790"/>
      <c r="AZ1384" s="790"/>
      <c r="BA1384" s="790"/>
      <c r="BB1384" s="790"/>
      <c r="BC1384" s="790"/>
      <c r="BD1384" s="790"/>
      <c r="BE1384" s="790"/>
      <c r="BF1384" s="790"/>
      <c r="BG1384" s="790"/>
      <c r="BH1384" s="790"/>
      <c r="BI1384" s="790"/>
      <c r="BJ1384" s="1184" t="s">
        <v>4763</v>
      </c>
    </row>
    <row r="1385" spans="1:62" x14ac:dyDescent="0.3">
      <c r="A1385" s="1200">
        <v>7</v>
      </c>
      <c r="B1385" s="1210">
        <v>706.7</v>
      </c>
      <c r="C1385" s="1215"/>
      <c r="D1385" s="1203"/>
      <c r="E1385" s="1203"/>
      <c r="F1385" s="1203"/>
      <c r="G1385" s="1202" t="str">
        <f t="shared" ref="G1385:G1394" si="439">G1384</f>
        <v/>
      </c>
      <c r="H1385" s="1200" t="s">
        <v>4388</v>
      </c>
      <c r="I1385" s="140"/>
      <c r="J1385" s="812"/>
      <c r="K1385" s="812"/>
      <c r="L1385" s="1313" t="s">
        <v>1296</v>
      </c>
      <c r="M1385" s="795"/>
      <c r="N1385" s="854"/>
      <c r="O1385" s="803"/>
      <c r="P1385" s="97"/>
      <c r="Q1385" s="97"/>
      <c r="R1385" s="97"/>
      <c r="S1385" s="97"/>
      <c r="T1385" s="97"/>
      <c r="U1385" s="97"/>
      <c r="V1385" s="97"/>
      <c r="W1385" s="97"/>
      <c r="X1385" s="1295"/>
      <c r="Y1385" s="1523"/>
      <c r="Z1385" s="1583"/>
      <c r="AB1385" s="790"/>
      <c r="AC1385" s="790"/>
      <c r="AD1385" s="790"/>
      <c r="AE1385" s="790"/>
      <c r="AF1385" s="790"/>
      <c r="AG1385" s="790"/>
      <c r="AH1385" s="790"/>
      <c r="AI1385" s="790"/>
      <c r="AJ1385" s="790"/>
      <c r="AK1385" s="790"/>
      <c r="AL1385" s="790"/>
      <c r="AM1385" s="790"/>
      <c r="AN1385" s="790"/>
      <c r="AO1385" s="790"/>
      <c r="AP1385" s="790"/>
      <c r="AQ1385" s="790"/>
      <c r="AR1385" s="790"/>
      <c r="AS1385" s="790"/>
      <c r="AT1385" s="790"/>
      <c r="AU1385" s="790"/>
      <c r="AV1385" s="790"/>
      <c r="AW1385" s="790"/>
      <c r="AX1385" s="790"/>
      <c r="AY1385" s="790"/>
      <c r="AZ1385" s="790"/>
      <c r="BA1385" s="790"/>
      <c r="BB1385" s="790"/>
      <c r="BC1385" s="790"/>
      <c r="BD1385" s="790"/>
      <c r="BE1385" s="790"/>
      <c r="BF1385" s="790"/>
      <c r="BG1385" s="790"/>
      <c r="BH1385" s="790"/>
      <c r="BI1385" s="790"/>
      <c r="BJ1385" s="1184" t="s">
        <v>4763</v>
      </c>
    </row>
    <row r="1386" spans="1:62" ht="15" thickBot="1" x14ac:dyDescent="0.35">
      <c r="A1386" s="1200">
        <v>7</v>
      </c>
      <c r="B1386" s="1210">
        <v>706.7</v>
      </c>
      <c r="C1386" s="1215"/>
      <c r="D1386" s="1203"/>
      <c r="E1386" s="1203"/>
      <c r="F1386" s="1203"/>
      <c r="G1386" s="1202" t="str">
        <f t="shared" si="439"/>
        <v/>
      </c>
      <c r="H1386" s="1200" t="s">
        <v>4388</v>
      </c>
      <c r="I1386" s="270"/>
      <c r="J1386" s="824"/>
      <c r="K1386" s="824"/>
      <c r="L1386" s="1332"/>
      <c r="M1386" s="798"/>
      <c r="N1386" s="858"/>
      <c r="O1386" s="801"/>
      <c r="P1386" s="104"/>
      <c r="Q1386" s="104"/>
      <c r="R1386" s="104"/>
      <c r="S1386" s="104"/>
      <c r="T1386" s="104"/>
      <c r="U1386" s="104"/>
      <c r="V1386" s="104"/>
      <c r="W1386" s="104"/>
      <c r="X1386" s="1296"/>
      <c r="Y1386" s="1524"/>
      <c r="Z1386" s="1584"/>
      <c r="AB1386" s="790"/>
      <c r="AC1386" s="790"/>
      <c r="AD1386" s="790"/>
      <c r="AE1386" s="790"/>
      <c r="AF1386" s="790"/>
      <c r="AG1386" s="790"/>
      <c r="AH1386" s="790"/>
      <c r="AI1386" s="790"/>
      <c r="AJ1386" s="790"/>
      <c r="AK1386" s="790"/>
      <c r="AL1386" s="790"/>
      <c r="AM1386" s="790"/>
      <c r="AN1386" s="790"/>
      <c r="AO1386" s="790"/>
      <c r="AP1386" s="790"/>
      <c r="AQ1386" s="790"/>
      <c r="AR1386" s="790"/>
      <c r="AS1386" s="790"/>
      <c r="AT1386" s="790"/>
      <c r="AU1386" s="790"/>
      <c r="AV1386" s="790"/>
      <c r="AW1386" s="790"/>
      <c r="AX1386" s="790"/>
      <c r="AY1386" s="790"/>
      <c r="AZ1386" s="790"/>
      <c r="BA1386" s="790"/>
      <c r="BB1386" s="790"/>
      <c r="BC1386" s="790"/>
      <c r="BD1386" s="790"/>
      <c r="BE1386" s="790"/>
      <c r="BF1386" s="790"/>
      <c r="BG1386" s="790"/>
      <c r="BH1386" s="790"/>
      <c r="BI1386" s="790"/>
      <c r="BJ1386" s="1184" t="s">
        <v>4763</v>
      </c>
    </row>
    <row r="1387" spans="1:62" ht="15" thickTop="1" x14ac:dyDescent="0.3">
      <c r="A1387" s="1200">
        <v>7</v>
      </c>
      <c r="B1387" s="1210">
        <v>706.8</v>
      </c>
      <c r="C1387" s="1215"/>
      <c r="D1387" s="1203"/>
      <c r="E1387" s="1203"/>
      <c r="F1387" s="1203"/>
      <c r="G1387" s="1202" t="str">
        <f>IF(N1387&gt;0,"P","")</f>
        <v/>
      </c>
      <c r="H1387" s="1200" t="s">
        <v>4386</v>
      </c>
      <c r="I1387" s="200">
        <v>706.8</v>
      </c>
      <c r="J1387" s="616"/>
      <c r="K1387" s="616"/>
      <c r="L1387" s="1331" t="s">
        <v>1297</v>
      </c>
      <c r="M1387" s="1343">
        <v>2</v>
      </c>
      <c r="N1387" s="1336">
        <f>'Ch7'!O624</f>
        <v>0</v>
      </c>
      <c r="O1387" s="1336">
        <f>M1387*S1387*W1387</f>
        <v>0</v>
      </c>
      <c r="P1387" s="97" t="b">
        <v>1</v>
      </c>
      <c r="Q1387" s="97" t="b">
        <v>1</v>
      </c>
      <c r="R1387" s="110" t="b">
        <v>0</v>
      </c>
      <c r="S1387" s="110" t="b">
        <v>1</v>
      </c>
      <c r="T1387" s="110" t="b">
        <v>0</v>
      </c>
      <c r="U1387" s="110"/>
      <c r="V1387" s="110"/>
      <c r="W1387" s="25"/>
      <c r="X1387" s="1327"/>
      <c r="Y1387" s="1525" t="str">
        <f>IF(LEN('Ch7'!X624)=0,"None",'Ch7'!X624)</f>
        <v>None</v>
      </c>
      <c r="Z1387" s="1585"/>
      <c r="AB1387" s="790"/>
      <c r="AC1387" s="790" t="b">
        <f>OR(AD1387:AE1387)</f>
        <v>0</v>
      </c>
      <c r="AD1387" s="790" t="b">
        <f>T1387</f>
        <v>0</v>
      </c>
      <c r="AE1387" s="790" t="b">
        <f>AND(R1387,NOT(W1387))</f>
        <v>0</v>
      </c>
      <c r="AF1387" s="1182" t="b">
        <f>AND(AE1387,NOT(Q1387))</f>
        <v>0</v>
      </c>
      <c r="AG1387" s="790"/>
      <c r="AH1387" s="790"/>
      <c r="AI1387" s="790"/>
      <c r="AJ1387" s="790"/>
      <c r="AK1387" s="790"/>
      <c r="AL1387" s="311" t="str">
        <f t="shared" ref="AL1387" si="440">SUBSTITUTE(SUBSTITUTE(SUBSTITUTE("vpa"&amp;$B1387&amp;$C1387&amp;$D1387&amp;$E1387&amp;$F1387,".","_"),"(","_"),")","")</f>
        <v>vpa706_8</v>
      </c>
      <c r="AM1387" s="311">
        <f>M1387</f>
        <v>2</v>
      </c>
      <c r="AN1387" s="311" t="str">
        <f>SUBSTITUTE(SUBSTITUTE(SUBSTITUTE("vpc"&amp;$B1387&amp;$C1387&amp;$D1387&amp;$E1387&amp;$F1387,".","_"),"(","_"),")","")</f>
        <v>vpc706_8</v>
      </c>
      <c r="AO1387" s="311">
        <f>O1387</f>
        <v>0</v>
      </c>
      <c r="AP1387" s="311" t="str">
        <f>SUBSTITUTE(SUBSTITUTE(SUBSTITUTE("vch"&amp;$B1387&amp;$C1387&amp;$D1387&amp;$E1387&amp;$F1387,".","_"),"(","_"),")","")</f>
        <v>vch706_8</v>
      </c>
      <c r="AQ1387" s="311">
        <f>W1387</f>
        <v>0</v>
      </c>
      <c r="AR1387" s="311" t="str">
        <f>SUBSTITUTE(SUBSTITUTE(SUBSTITUTE("vnt"&amp;$B1387&amp;$C1387&amp;$D1387&amp;$E1387&amp;$F1387,".","_"),"(","_"),")","")</f>
        <v>vnt706_8</v>
      </c>
      <c r="AS1387" s="311">
        <f>X1387</f>
        <v>0</v>
      </c>
      <c r="AT1387" s="790"/>
      <c r="AU1387" s="790"/>
      <c r="AV1387" s="790"/>
      <c r="AW1387" s="790"/>
      <c r="AX1387" s="790"/>
      <c r="AY1387" s="790"/>
      <c r="AZ1387" s="790"/>
      <c r="BA1387" s="790"/>
      <c r="BB1387" s="790"/>
      <c r="BC1387" s="790"/>
      <c r="BD1387" s="790"/>
      <c r="BE1387" s="790"/>
      <c r="BF1387" s="790"/>
      <c r="BG1387" s="790"/>
      <c r="BH1387" s="790"/>
      <c r="BI1387" s="790"/>
      <c r="BJ1387" s="1184" t="s">
        <v>4763</v>
      </c>
    </row>
    <row r="1388" spans="1:62" x14ac:dyDescent="0.3">
      <c r="A1388" s="1200">
        <v>7</v>
      </c>
      <c r="B1388" s="1210">
        <v>706.8</v>
      </c>
      <c r="C1388" s="1215"/>
      <c r="D1388" s="1203"/>
      <c r="E1388" s="1203"/>
      <c r="F1388" s="1203"/>
      <c r="G1388" s="1202" t="str">
        <f t="shared" si="439"/>
        <v/>
      </c>
      <c r="H1388" s="1200" t="s">
        <v>4386</v>
      </c>
      <c r="I1388" s="140"/>
      <c r="J1388" s="812"/>
      <c r="K1388" s="812"/>
      <c r="L1388" s="1313"/>
      <c r="M1388" s="1318"/>
      <c r="N1388" s="1308"/>
      <c r="O1388" s="1308"/>
      <c r="P1388" s="97"/>
      <c r="Q1388" s="97"/>
      <c r="R1388" s="97"/>
      <c r="S1388" s="97"/>
      <c r="T1388" s="97"/>
      <c r="U1388" s="97"/>
      <c r="V1388" s="97"/>
      <c r="W1388" s="97"/>
      <c r="X1388" s="1295"/>
      <c r="Y1388" s="1523"/>
      <c r="Z1388" s="1583"/>
      <c r="AB1388" s="790"/>
      <c r="AC1388" s="790"/>
      <c r="AD1388" s="790"/>
      <c r="AE1388" s="790"/>
      <c r="AF1388" s="790"/>
      <c r="AG1388" s="790"/>
      <c r="AH1388" s="790"/>
      <c r="AI1388" s="790"/>
      <c r="AJ1388" s="790"/>
      <c r="AK1388" s="790"/>
      <c r="AL1388" s="790"/>
      <c r="AM1388" s="790"/>
      <c r="AN1388" s="790"/>
      <c r="AO1388" s="790"/>
      <c r="AP1388" s="790"/>
      <c r="AQ1388" s="790"/>
      <c r="AR1388" s="790"/>
      <c r="AS1388" s="790"/>
      <c r="AT1388" s="790"/>
      <c r="AU1388" s="790"/>
      <c r="AV1388" s="790"/>
      <c r="AW1388" s="790"/>
      <c r="AX1388" s="790"/>
      <c r="AY1388" s="790"/>
      <c r="AZ1388" s="790"/>
      <c r="BA1388" s="790"/>
      <c r="BB1388" s="790"/>
      <c r="BC1388" s="790"/>
      <c r="BD1388" s="790"/>
      <c r="BE1388" s="790"/>
      <c r="BF1388" s="790"/>
      <c r="BG1388" s="790"/>
      <c r="BH1388" s="790"/>
      <c r="BI1388" s="790"/>
      <c r="BJ1388" s="1184" t="s">
        <v>4763</v>
      </c>
    </row>
    <row r="1389" spans="1:62" ht="15" thickBot="1" x14ac:dyDescent="0.35">
      <c r="A1389" s="1200">
        <v>7</v>
      </c>
      <c r="B1389" s="1210">
        <v>706.8</v>
      </c>
      <c r="C1389" s="1215"/>
      <c r="D1389" s="1203"/>
      <c r="E1389" s="1203"/>
      <c r="F1389" s="1203"/>
      <c r="G1389" s="1202" t="str">
        <f t="shared" si="439"/>
        <v/>
      </c>
      <c r="H1389" s="1200" t="s">
        <v>4386</v>
      </c>
      <c r="I1389" s="270"/>
      <c r="J1389" s="824"/>
      <c r="K1389" s="824"/>
      <c r="L1389" s="1332"/>
      <c r="M1389" s="1334"/>
      <c r="N1389" s="1315"/>
      <c r="O1389" s="1315"/>
      <c r="P1389" s="104"/>
      <c r="Q1389" s="104"/>
      <c r="R1389" s="104"/>
      <c r="S1389" s="104"/>
      <c r="T1389" s="104"/>
      <c r="U1389" s="104"/>
      <c r="V1389" s="104"/>
      <c r="W1389" s="104"/>
      <c r="X1389" s="1296"/>
      <c r="Y1389" s="1524"/>
      <c r="Z1389" s="1584"/>
      <c r="AB1389" s="790"/>
      <c r="AC1389" s="790"/>
      <c r="AD1389" s="790"/>
      <c r="AE1389" s="790"/>
      <c r="AF1389" s="790"/>
      <c r="AG1389" s="790"/>
      <c r="AH1389" s="790"/>
      <c r="AI1389" s="790"/>
      <c r="AJ1389" s="790"/>
      <c r="AK1389" s="790"/>
      <c r="AL1389" s="790"/>
      <c r="AM1389" s="790"/>
      <c r="AN1389" s="790"/>
      <c r="AO1389" s="790"/>
      <c r="AP1389" s="790"/>
      <c r="AQ1389" s="790"/>
      <c r="AR1389" s="790"/>
      <c r="AS1389" s="790"/>
      <c r="AT1389" s="790"/>
      <c r="AU1389" s="790"/>
      <c r="AV1389" s="790"/>
      <c r="AW1389" s="790"/>
      <c r="AX1389" s="790"/>
      <c r="AY1389" s="790"/>
      <c r="AZ1389" s="790"/>
      <c r="BA1389" s="790"/>
      <c r="BB1389" s="790"/>
      <c r="BC1389" s="790"/>
      <c r="BD1389" s="790"/>
      <c r="BE1389" s="790"/>
      <c r="BF1389" s="790"/>
      <c r="BG1389" s="790"/>
      <c r="BH1389" s="790"/>
      <c r="BI1389" s="790"/>
      <c r="BJ1389" s="1184" t="s">
        <v>4763</v>
      </c>
    </row>
    <row r="1390" spans="1:62" ht="15" thickTop="1" x14ac:dyDescent="0.3">
      <c r="A1390" s="1200">
        <v>7</v>
      </c>
      <c r="B1390" s="1210">
        <v>706.9</v>
      </c>
      <c r="C1390" s="1215"/>
      <c r="D1390" s="1203"/>
      <c r="E1390" s="1203"/>
      <c r="F1390" s="1203"/>
      <c r="G1390" s="1202" t="str">
        <f>IF(N1390&gt;0,"P","")</f>
        <v/>
      </c>
      <c r="H1390" s="1200" t="s">
        <v>4388</v>
      </c>
      <c r="I1390" s="66">
        <v>706.9</v>
      </c>
      <c r="J1390" s="819"/>
      <c r="K1390" s="819"/>
      <c r="L1390" s="1292" t="s">
        <v>1298</v>
      </c>
      <c r="M1390" s="1335">
        <v>1</v>
      </c>
      <c r="N1390" s="1310">
        <f>'Ch7'!O627</f>
        <v>0</v>
      </c>
      <c r="O1390" s="1310">
        <f>M1390*S1390*W1390</f>
        <v>0</v>
      </c>
      <c r="P1390" s="97" t="b">
        <v>0</v>
      </c>
      <c r="Q1390" s="97" t="b">
        <v>1</v>
      </c>
      <c r="R1390" s="790" t="b">
        <v>0</v>
      </c>
      <c r="S1390" s="790" t="b">
        <f>IFERROR(NOT(OR(W1354:W1361,W1383:W1384)),TRUE)</f>
        <v>1</v>
      </c>
      <c r="T1390" s="97" t="b">
        <f>AND(NOT(S1390),W1390=TRUE)</f>
        <v>0</v>
      </c>
      <c r="U1390" s="790"/>
      <c r="V1390" s="790"/>
      <c r="W1390" s="25"/>
      <c r="X1390" s="1304"/>
      <c r="Y1390" s="1525" t="str">
        <f>IF(LEN('Ch7'!X627)=0,"None",'Ch7'!X627)</f>
        <v>None</v>
      </c>
      <c r="Z1390" s="1585"/>
      <c r="AB1390" s="790"/>
      <c r="AC1390" s="790" t="b">
        <f>OR(AD1390:AE1390)</f>
        <v>0</v>
      </c>
      <c r="AD1390" s="790" t="b">
        <f>T1390</f>
        <v>0</v>
      </c>
      <c r="AE1390" s="790" t="b">
        <f>AND(R1390,NOT(W1390))</f>
        <v>0</v>
      </c>
      <c r="AF1390" s="1182" t="b">
        <f>AND(AE1390,NOT(Q1390))</f>
        <v>0</v>
      </c>
      <c r="AG1390" s="790"/>
      <c r="AH1390" s="790"/>
      <c r="AI1390" s="790"/>
      <c r="AJ1390" s="790"/>
      <c r="AK1390" s="790"/>
      <c r="AL1390" s="311" t="str">
        <f t="shared" ref="AL1390" si="441">SUBSTITUTE(SUBSTITUTE(SUBSTITUTE("vpa"&amp;$B1390&amp;$C1390&amp;$D1390&amp;$E1390&amp;$F1390,".","_"),"(","_"),")","")</f>
        <v>vpa706_9</v>
      </c>
      <c r="AM1390" s="311">
        <f>M1390</f>
        <v>1</v>
      </c>
      <c r="AN1390" s="311" t="str">
        <f>SUBSTITUTE(SUBSTITUTE(SUBSTITUTE("vpc"&amp;$B1390&amp;$C1390&amp;$D1390&amp;$E1390&amp;$F1390,".","_"),"(","_"),")","")</f>
        <v>vpc706_9</v>
      </c>
      <c r="AO1390" s="311">
        <f>O1390</f>
        <v>0</v>
      </c>
      <c r="AP1390" s="311" t="str">
        <f>SUBSTITUTE(SUBSTITUTE(SUBSTITUTE("vch"&amp;$B1390&amp;$C1390&amp;$D1390&amp;$E1390&amp;$F1390,".","_"),"(","_"),")","")</f>
        <v>vch706_9</v>
      </c>
      <c r="AQ1390" s="311">
        <f>W1390</f>
        <v>0</v>
      </c>
      <c r="AR1390" s="311" t="str">
        <f>SUBSTITUTE(SUBSTITUTE(SUBSTITUTE("vnt"&amp;$B1390&amp;$C1390&amp;$D1390&amp;$E1390&amp;$F1390,".","_"),"(","_"),")","")</f>
        <v>vnt706_9</v>
      </c>
      <c r="AS1390" s="311">
        <f>X1390</f>
        <v>0</v>
      </c>
      <c r="AT1390" s="790"/>
      <c r="AU1390" s="790"/>
      <c r="AV1390" s="790"/>
      <c r="AW1390" s="790"/>
      <c r="AX1390" s="790"/>
      <c r="AY1390" s="790"/>
      <c r="AZ1390" s="790"/>
      <c r="BA1390" s="790"/>
      <c r="BB1390" s="790"/>
      <c r="BC1390" s="790"/>
      <c r="BD1390" s="790"/>
      <c r="BE1390" s="790"/>
      <c r="BF1390" s="790"/>
      <c r="BG1390" s="790"/>
      <c r="BH1390" s="790"/>
      <c r="BI1390" s="790"/>
      <c r="BJ1390" s="1184" t="s">
        <v>4763</v>
      </c>
    </row>
    <row r="1391" spans="1:62" x14ac:dyDescent="0.3">
      <c r="A1391" s="1200">
        <v>7</v>
      </c>
      <c r="B1391" s="1210">
        <v>706.9</v>
      </c>
      <c r="C1391" s="1215"/>
      <c r="D1391" s="1203"/>
      <c r="E1391" s="1203"/>
      <c r="F1391" s="1203"/>
      <c r="G1391" s="1202" t="str">
        <f t="shared" si="439"/>
        <v/>
      </c>
      <c r="H1391" s="1200" t="s">
        <v>4388</v>
      </c>
      <c r="I1391" s="4"/>
      <c r="J1391" s="819"/>
      <c r="K1391" s="819"/>
      <c r="L1391" s="1292"/>
      <c r="M1391" s="1335"/>
      <c r="N1391" s="1310"/>
      <c r="O1391" s="1310"/>
      <c r="P1391" s="790"/>
      <c r="Q1391" s="790"/>
      <c r="R1391" s="790"/>
      <c r="S1391" s="790"/>
      <c r="T1391" s="790"/>
      <c r="U1391" s="790"/>
      <c r="V1391" s="790"/>
      <c r="W1391" s="790"/>
      <c r="X1391" s="1303"/>
      <c r="Y1391" s="1522"/>
      <c r="Z1391" s="1586"/>
      <c r="AB1391" s="790"/>
      <c r="AC1391" s="790"/>
      <c r="AD1391" s="790"/>
      <c r="AE1391" s="790"/>
      <c r="AF1391" s="790"/>
      <c r="AG1391" s="790"/>
      <c r="AH1391" s="790"/>
      <c r="AI1391" s="790"/>
      <c r="AJ1391" s="790"/>
      <c r="AK1391" s="790"/>
      <c r="AL1391" s="790"/>
      <c r="AM1391" s="790"/>
      <c r="AN1391" s="790"/>
      <c r="AO1391" s="790"/>
      <c r="AP1391" s="790"/>
      <c r="AQ1391" s="790"/>
      <c r="AR1391" s="790"/>
      <c r="AS1391" s="790"/>
      <c r="AT1391" s="790"/>
      <c r="AU1391" s="790"/>
      <c r="AV1391" s="790"/>
      <c r="AW1391" s="790"/>
      <c r="AX1391" s="790"/>
      <c r="AY1391" s="790"/>
      <c r="AZ1391" s="790"/>
      <c r="BA1391" s="790"/>
      <c r="BB1391" s="790"/>
      <c r="BC1391" s="790"/>
      <c r="BD1391" s="790"/>
      <c r="BE1391" s="790"/>
      <c r="BF1391" s="790"/>
      <c r="BG1391" s="790"/>
      <c r="BH1391" s="790"/>
      <c r="BI1391" s="790"/>
      <c r="BJ1391" s="1184" t="s">
        <v>4763</v>
      </c>
    </row>
    <row r="1392" spans="1:62" x14ac:dyDescent="0.3">
      <c r="A1392" s="1200">
        <v>7</v>
      </c>
      <c r="B1392" s="1210">
        <v>706.9</v>
      </c>
      <c r="C1392" s="1215"/>
      <c r="D1392" s="1203"/>
      <c r="E1392" s="1203"/>
      <c r="F1392" s="1203"/>
      <c r="G1392" s="1202" t="str">
        <f t="shared" si="439"/>
        <v/>
      </c>
      <c r="H1392" s="1200" t="s">
        <v>4388</v>
      </c>
      <c r="I1392" s="4"/>
      <c r="J1392" s="819"/>
      <c r="K1392" s="819"/>
      <c r="L1392" s="1292"/>
      <c r="M1392" s="1335"/>
      <c r="N1392" s="1310"/>
      <c r="O1392" s="1310"/>
      <c r="P1392" s="790"/>
      <c r="Q1392" s="790"/>
      <c r="R1392" s="790"/>
      <c r="S1392" s="790"/>
      <c r="T1392" s="790"/>
      <c r="U1392" s="790"/>
      <c r="V1392" s="790"/>
      <c r="W1392" s="790"/>
      <c r="X1392" s="1303"/>
      <c r="Y1392" s="1522"/>
      <c r="Z1392" s="1586"/>
      <c r="AB1392" s="790"/>
      <c r="AC1392" s="790"/>
      <c r="AD1392" s="790"/>
      <c r="AE1392" s="790"/>
      <c r="AF1392" s="790"/>
      <c r="AG1392" s="790"/>
      <c r="AH1392" s="790"/>
      <c r="AI1392" s="790"/>
      <c r="AJ1392" s="790"/>
      <c r="AK1392" s="790"/>
      <c r="AL1392" s="790"/>
      <c r="AM1392" s="790"/>
      <c r="AN1392" s="790"/>
      <c r="AO1392" s="790"/>
      <c r="AP1392" s="790"/>
      <c r="AQ1392" s="790"/>
      <c r="AR1392" s="790"/>
      <c r="AS1392" s="790"/>
      <c r="AT1392" s="790"/>
      <c r="AU1392" s="790"/>
      <c r="AV1392" s="790"/>
      <c r="AW1392" s="790"/>
      <c r="AX1392" s="790"/>
      <c r="AY1392" s="790"/>
      <c r="AZ1392" s="790"/>
      <c r="BA1392" s="790"/>
      <c r="BB1392" s="790"/>
      <c r="BC1392" s="790"/>
      <c r="BD1392" s="790"/>
      <c r="BE1392" s="790"/>
      <c r="BF1392" s="790"/>
      <c r="BG1392" s="790"/>
      <c r="BH1392" s="790"/>
      <c r="BI1392" s="790"/>
      <c r="BJ1392" s="1184" t="s">
        <v>4763</v>
      </c>
    </row>
    <row r="1393" spans="1:62" x14ac:dyDescent="0.3">
      <c r="A1393" s="1200">
        <v>7</v>
      </c>
      <c r="B1393" s="1210">
        <v>706.9</v>
      </c>
      <c r="C1393" s="1215"/>
      <c r="D1393" s="1203"/>
      <c r="E1393" s="1203"/>
      <c r="F1393" s="1203"/>
      <c r="G1393" s="1202" t="str">
        <f t="shared" si="439"/>
        <v/>
      </c>
      <c r="H1393" s="1200" t="s">
        <v>4388</v>
      </c>
      <c r="I1393" s="4"/>
      <c r="J1393" s="819"/>
      <c r="K1393" s="819"/>
      <c r="L1393" s="1292" t="s">
        <v>1299</v>
      </c>
      <c r="M1393" s="802"/>
      <c r="N1393" s="887"/>
      <c r="O1393" s="837"/>
      <c r="P1393" s="790"/>
      <c r="Q1393" s="790"/>
      <c r="R1393" s="790"/>
      <c r="S1393" s="790"/>
      <c r="T1393" s="790"/>
      <c r="U1393" s="790"/>
      <c r="V1393" s="790"/>
      <c r="W1393" s="790"/>
      <c r="X1393" s="1303"/>
      <c r="Y1393" s="1522"/>
      <c r="Z1393" s="1586"/>
      <c r="AB1393" s="790"/>
      <c r="AC1393" s="790"/>
      <c r="AD1393" s="790"/>
      <c r="AE1393" s="790"/>
      <c r="AF1393" s="790"/>
      <c r="AG1393" s="790"/>
      <c r="AH1393" s="790"/>
      <c r="AI1393" s="790"/>
      <c r="AJ1393" s="790"/>
      <c r="AK1393" s="790"/>
      <c r="AL1393" s="790"/>
      <c r="AM1393" s="790"/>
      <c r="AN1393" s="790"/>
      <c r="AO1393" s="790"/>
      <c r="AP1393" s="790"/>
      <c r="AQ1393" s="790"/>
      <c r="AR1393" s="790"/>
      <c r="AS1393" s="790"/>
      <c r="AT1393" s="790"/>
      <c r="AU1393" s="790"/>
      <c r="AV1393" s="790"/>
      <c r="AW1393" s="790"/>
      <c r="AX1393" s="790"/>
      <c r="AY1393" s="790"/>
      <c r="AZ1393" s="790"/>
      <c r="BA1393" s="790"/>
      <c r="BB1393" s="790"/>
      <c r="BC1393" s="790"/>
      <c r="BD1393" s="790"/>
      <c r="BE1393" s="790"/>
      <c r="BF1393" s="790"/>
      <c r="BG1393" s="790"/>
      <c r="BH1393" s="790"/>
      <c r="BI1393" s="790"/>
      <c r="BJ1393" s="1184" t="s">
        <v>4763</v>
      </c>
    </row>
    <row r="1394" spans="1:62" x14ac:dyDescent="0.3">
      <c r="A1394" s="1200">
        <v>7</v>
      </c>
      <c r="B1394" s="1210">
        <v>706.9</v>
      </c>
      <c r="C1394" s="1215"/>
      <c r="D1394" s="1203"/>
      <c r="E1394" s="1203"/>
      <c r="F1394" s="1203"/>
      <c r="G1394" s="1202" t="str">
        <f t="shared" si="439"/>
        <v/>
      </c>
      <c r="H1394" s="1200" t="s">
        <v>4388</v>
      </c>
      <c r="I1394" s="4"/>
      <c r="J1394" s="819"/>
      <c r="K1394" s="819"/>
      <c r="L1394" s="1292"/>
      <c r="M1394" s="802"/>
      <c r="N1394" s="887"/>
      <c r="O1394" s="837"/>
      <c r="P1394" s="790"/>
      <c r="Q1394" s="790"/>
      <c r="R1394" s="790"/>
      <c r="S1394" s="790"/>
      <c r="T1394" s="790"/>
      <c r="U1394" s="790"/>
      <c r="V1394" s="790"/>
      <c r="W1394" s="790"/>
      <c r="X1394" s="1303"/>
      <c r="Y1394" s="1522"/>
      <c r="Z1394" s="1586"/>
      <c r="AB1394" s="790"/>
      <c r="AC1394" s="790"/>
      <c r="AD1394" s="790"/>
      <c r="AE1394" s="790"/>
      <c r="AF1394" s="790"/>
      <c r="AG1394" s="790"/>
      <c r="AH1394" s="790"/>
      <c r="AI1394" s="790"/>
      <c r="AJ1394" s="790"/>
      <c r="AK1394" s="790"/>
      <c r="AL1394" s="790"/>
      <c r="AM1394" s="790"/>
      <c r="AN1394" s="790"/>
      <c r="AO1394" s="790"/>
      <c r="AP1394" s="790"/>
      <c r="AQ1394" s="790"/>
      <c r="AR1394" s="790"/>
      <c r="AS1394" s="790"/>
      <c r="AT1394" s="790"/>
      <c r="AU1394" s="790"/>
      <c r="AV1394" s="790"/>
      <c r="AW1394" s="790"/>
      <c r="AX1394" s="790"/>
      <c r="AY1394" s="790"/>
      <c r="AZ1394" s="790"/>
      <c r="BA1394" s="790"/>
      <c r="BB1394" s="790"/>
      <c r="BC1394" s="790"/>
      <c r="BD1394" s="790"/>
      <c r="BE1394" s="790"/>
      <c r="BF1394" s="790"/>
      <c r="BG1394" s="790"/>
      <c r="BH1394" s="790"/>
      <c r="BI1394" s="790"/>
      <c r="BJ1394" s="1184" t="s">
        <v>4763</v>
      </c>
    </row>
    <row r="1395" spans="1:62" ht="18" x14ac:dyDescent="0.35">
      <c r="A1395" s="1200">
        <v>8</v>
      </c>
      <c r="B1395" s="1214">
        <v>801</v>
      </c>
      <c r="C1395" s="1200"/>
      <c r="D1395" s="1200"/>
      <c r="E1395" s="1200"/>
      <c r="F1395" s="1200"/>
      <c r="G1395" s="1202" t="s">
        <v>4389</v>
      </c>
      <c r="H1395" s="1200" t="s">
        <v>4386</v>
      </c>
      <c r="I1395" s="22" t="s">
        <v>844</v>
      </c>
      <c r="J1395" s="22"/>
      <c r="K1395" s="22"/>
      <c r="L1395" s="23"/>
      <c r="M1395" s="24"/>
      <c r="N1395" s="24"/>
      <c r="O1395" s="24"/>
      <c r="P1395" s="848" t="s">
        <v>260</v>
      </c>
      <c r="Q1395" s="848" t="s">
        <v>260</v>
      </c>
      <c r="R1395" s="848" t="s">
        <v>260</v>
      </c>
      <c r="S1395" s="848" t="s">
        <v>260</v>
      </c>
      <c r="T1395" s="848" t="s">
        <v>260</v>
      </c>
      <c r="U1395" s="848" t="s">
        <v>260</v>
      </c>
      <c r="V1395" s="848" t="s">
        <v>260</v>
      </c>
      <c r="W1395" s="23"/>
      <c r="X1395" s="23"/>
      <c r="Y1395" s="23"/>
      <c r="Z1395" s="1168"/>
      <c r="AB1395" s="847"/>
      <c r="AC1395" s="847"/>
      <c r="AD1395" s="847"/>
      <c r="AE1395" s="847"/>
      <c r="AF1395" s="847"/>
      <c r="AG1395" s="847"/>
      <c r="AH1395" s="847"/>
      <c r="AI1395" s="847"/>
      <c r="AJ1395" s="847"/>
      <c r="AK1395" s="847"/>
      <c r="AL1395" s="847"/>
      <c r="AM1395" s="847"/>
      <c r="AN1395" s="847"/>
      <c r="AO1395" s="847"/>
      <c r="AP1395" s="847"/>
      <c r="AQ1395" s="847"/>
      <c r="AR1395" s="847"/>
      <c r="AS1395" s="847"/>
      <c r="AT1395" s="847"/>
      <c r="AU1395" s="847"/>
      <c r="AV1395" s="847"/>
      <c r="AW1395" s="847"/>
      <c r="AX1395" s="847"/>
      <c r="AY1395" s="847"/>
      <c r="AZ1395" s="847"/>
      <c r="BA1395" s="847"/>
      <c r="BB1395" s="847"/>
      <c r="BC1395" s="847"/>
      <c r="BD1395" s="847"/>
      <c r="BE1395" s="847"/>
      <c r="BF1395" s="847"/>
      <c r="BG1395" s="847"/>
      <c r="BH1395" s="847"/>
      <c r="BJ1395" s="1184" t="s">
        <v>4763</v>
      </c>
    </row>
    <row r="1396" spans="1:62" ht="15" thickBot="1" x14ac:dyDescent="0.35">
      <c r="A1396" s="1200">
        <v>8</v>
      </c>
      <c r="B1396" s="1210">
        <v>801</v>
      </c>
      <c r="C1396" s="1203"/>
      <c r="D1396" s="1203"/>
      <c r="E1396" s="1203"/>
      <c r="F1396" s="1203"/>
      <c r="G1396" s="1200"/>
      <c r="H1396" s="1200"/>
      <c r="I1396" s="450" t="s">
        <v>845</v>
      </c>
      <c r="J1396" s="270"/>
      <c r="K1396" s="270"/>
      <c r="L1396" s="880" t="s">
        <v>846</v>
      </c>
      <c r="M1396" s="865"/>
      <c r="N1396" s="888"/>
      <c r="O1396" s="888"/>
      <c r="P1396" s="104"/>
      <c r="Q1396" s="104"/>
      <c r="R1396" s="104"/>
      <c r="S1396" s="104"/>
      <c r="T1396" s="104"/>
      <c r="U1396" s="104"/>
      <c r="V1396" s="104"/>
      <c r="W1396" s="104"/>
      <c r="X1396" s="104"/>
      <c r="Y1396" s="104"/>
      <c r="Z1396" s="1172"/>
      <c r="AB1396" s="848"/>
      <c r="AC1396" s="848"/>
      <c r="AD1396" s="848"/>
      <c r="AE1396" s="848"/>
      <c r="AF1396" s="848"/>
      <c r="AG1396" s="848"/>
      <c r="AH1396" s="848"/>
      <c r="AI1396" s="848"/>
      <c r="AJ1396" s="848"/>
      <c r="AK1396" s="848"/>
      <c r="AL1396" s="848"/>
      <c r="AM1396" s="848"/>
      <c r="AN1396" s="848"/>
      <c r="AO1396" s="848"/>
      <c r="AP1396" s="848"/>
      <c r="AQ1396" s="848"/>
      <c r="AR1396" s="848"/>
      <c r="AS1396" s="848"/>
      <c r="AT1396" s="848"/>
      <c r="AU1396" s="848"/>
      <c r="AV1396" s="848"/>
      <c r="AW1396" s="848"/>
      <c r="AX1396" s="848"/>
      <c r="AY1396" s="848"/>
      <c r="AZ1396" s="848"/>
      <c r="BA1396" s="848"/>
      <c r="BB1396" s="848"/>
      <c r="BC1396" s="848"/>
      <c r="BD1396" s="848"/>
      <c r="BE1396" s="848"/>
      <c r="BF1396" s="848"/>
      <c r="BG1396" s="848"/>
      <c r="BH1396" s="848"/>
      <c r="BJ1396" s="1184" t="s">
        <v>4763</v>
      </c>
    </row>
    <row r="1397" spans="1:62" ht="15" thickTop="1" x14ac:dyDescent="0.3">
      <c r="A1397" s="1200">
        <v>8</v>
      </c>
      <c r="B1397" s="1210">
        <v>801.1</v>
      </c>
      <c r="C1397" s="1203"/>
      <c r="D1397" s="1203"/>
      <c r="E1397" s="1203"/>
      <c r="F1397" s="1203"/>
      <c r="G1397" s="1202" t="str">
        <f ca="1">IF(N1397&gt;0,"P","")</f>
        <v/>
      </c>
      <c r="H1397" s="1200" t="s">
        <v>4386</v>
      </c>
      <c r="I1397" s="66">
        <v>801.1</v>
      </c>
      <c r="J1397" s="4"/>
      <c r="K1397" s="4"/>
      <c r="L1397" s="1292" t="s">
        <v>847</v>
      </c>
      <c r="M1397" s="866"/>
      <c r="N1397" s="1310">
        <f ca="1">'Ch8'!O11</f>
        <v>0</v>
      </c>
      <c r="O1397" s="1310">
        <f ca="1">IFERROR(INDEX({11,17,29,35,39,9},MATCH(W1398,INDIRECT(U1398),0)),0)*S1398*NOT(T1398)</f>
        <v>0</v>
      </c>
      <c r="P1397" s="848"/>
      <c r="Q1397" s="848"/>
      <c r="R1397" s="848"/>
      <c r="S1397" s="848"/>
      <c r="T1397" s="848"/>
      <c r="U1397" s="848"/>
      <c r="V1397" s="848"/>
      <c r="W1397" s="848"/>
      <c r="X1397" s="848"/>
      <c r="Y1397" s="848"/>
      <c r="Z1397" s="1055"/>
      <c r="AB1397" s="848"/>
      <c r="AC1397" s="848"/>
      <c r="AD1397" s="848"/>
      <c r="AE1397" s="848"/>
      <c r="AF1397" s="848"/>
      <c r="AG1397" s="848"/>
      <c r="AH1397" s="848"/>
      <c r="AI1397" s="848"/>
      <c r="AJ1397" s="848"/>
      <c r="AK1397" s="848"/>
      <c r="AL1397" s="848"/>
      <c r="AM1397" s="848"/>
      <c r="AN1397" s="311" t="str">
        <f>SUBSTITUTE(SUBSTITUTE(SUBSTITUTE("vpc"&amp;$B1397&amp;$C1397&amp;$D1397&amp;$E1397&amp;$F1397,".","_"),"(","_"),")","")</f>
        <v>vpc801_1</v>
      </c>
      <c r="AO1397" s="311">
        <f ca="1">O1397</f>
        <v>0</v>
      </c>
      <c r="AP1397" s="848"/>
      <c r="AQ1397" s="848"/>
      <c r="AR1397" s="848"/>
      <c r="AS1397" s="848"/>
      <c r="AT1397" s="848"/>
      <c r="AU1397" s="848"/>
      <c r="AV1397" s="848"/>
      <c r="AW1397" s="848"/>
      <c r="AX1397" s="908" t="str">
        <f>'Overview (Verification)'!A8</f>
        <v>Builder Name:</v>
      </c>
      <c r="AY1397" s="1077">
        <f>IF(LEN('Overview (Verification)'!P8)=0,0,'Overview (Verification)'!P8)</f>
        <v>0</v>
      </c>
      <c r="AZ1397" s="848"/>
      <c r="BA1397" s="848"/>
      <c r="BB1397" s="848"/>
      <c r="BC1397" s="848"/>
      <c r="BD1397" s="848"/>
      <c r="BE1397" s="848"/>
      <c r="BF1397" s="848"/>
      <c r="BG1397" s="848"/>
      <c r="BH1397" s="848"/>
      <c r="BJ1397" s="1184" t="s">
        <v>4763</v>
      </c>
    </row>
    <row r="1398" spans="1:62" x14ac:dyDescent="0.3">
      <c r="A1398" s="1200">
        <v>8</v>
      </c>
      <c r="B1398" s="1210">
        <v>801.1</v>
      </c>
      <c r="C1398" s="1203"/>
      <c r="D1398" s="1203"/>
      <c r="E1398" s="1203"/>
      <c r="F1398" s="1203"/>
      <c r="G1398" s="1202" t="str">
        <f t="shared" ref="G1398:G1426" ca="1" si="442">G1397</f>
        <v/>
      </c>
      <c r="H1398" s="1200" t="s">
        <v>4386</v>
      </c>
      <c r="I1398" s="66"/>
      <c r="J1398" s="4"/>
      <c r="K1398" s="4"/>
      <c r="L1398" s="1292"/>
      <c r="M1398" s="866"/>
      <c r="N1398" s="1310"/>
      <c r="O1398" s="1310"/>
      <c r="P1398" s="848" t="b">
        <v>1</v>
      </c>
      <c r="Q1398" s="848" t="b">
        <v>1</v>
      </c>
      <c r="R1398" s="848" t="b">
        <v>0</v>
      </c>
      <c r="S1398" s="1105" t="b">
        <f>AND(S1400,S1401=TRUE)</f>
        <v>0</v>
      </c>
      <c r="T1398" s="97" t="b">
        <f ca="1">OR(IF(AND(NOT(S1398),LEN(W1398)&gt;0),TRUE,FALSE),AND(W1398=INDEX(INDIRECT(U1398),6),NOT(AY1405=INDEX(ddSingleOrMulti,2))))</f>
        <v>0</v>
      </c>
      <c r="U1398" s="97" t="str">
        <f>SUBSTITUTE(SUBSTITUTE(SUBSTITUTE("dd"&amp;B1398&amp;C1398&amp;D1398&amp;E1398&amp;F1398,".","_"),"(","_"),")","")</f>
        <v>dd801_1</v>
      </c>
      <c r="V1398" s="848"/>
      <c r="W1398" s="12"/>
      <c r="X1398" s="848"/>
      <c r="Y1398" s="848"/>
      <c r="Z1398" s="1055"/>
      <c r="AB1398" s="848"/>
      <c r="AC1398" s="848" t="b">
        <f ca="1">OR(AD1398:AE1398)</f>
        <v>0</v>
      </c>
      <c r="AD1398" s="848" t="b">
        <f ca="1">T1398</f>
        <v>0</v>
      </c>
      <c r="AE1398" s="848" t="b">
        <f>AND(R1398,OR(W1398="Not Met",W1398=""))</f>
        <v>0</v>
      </c>
      <c r="AF1398" s="1182" t="b">
        <f>AND(AE1398,NOT(Q1398))</f>
        <v>0</v>
      </c>
      <c r="AG1398" s="848"/>
      <c r="AH1398" s="848"/>
      <c r="AI1398" s="848"/>
      <c r="AJ1398" s="848"/>
      <c r="AK1398" s="848"/>
      <c r="AL1398" s="311"/>
      <c r="AM1398" s="311"/>
      <c r="AN1398" s="311"/>
      <c r="AO1398" s="311"/>
      <c r="AP1398" s="311" t="str">
        <f>SUBSTITUTE(SUBSTITUTE(SUBSTITUTE("vch"&amp;$B1398&amp;$C1398&amp;$D1398&amp;$E1398&amp;$F1398,".","_"),"(","_"),")","")</f>
        <v>vch801_1</v>
      </c>
      <c r="AQ1398" s="311">
        <f>W1398</f>
        <v>0</v>
      </c>
      <c r="AR1398" s="311"/>
      <c r="AS1398" s="311"/>
      <c r="AT1398" s="848"/>
      <c r="AU1398" s="848"/>
      <c r="AV1398" s="848"/>
      <c r="AW1398" s="848"/>
      <c r="AX1398" s="908" t="str">
        <f>'Overview (Verification)'!A9</f>
        <v>Physical Address of Home:</v>
      </c>
      <c r="AY1398" s="1077">
        <f>IF(LEN('Overview (Verification)'!P9)=0,0,'Overview (Verification)'!P9)</f>
        <v>0</v>
      </c>
      <c r="AZ1398" s="848"/>
      <c r="BA1398" s="848"/>
      <c r="BB1398" s="848"/>
      <c r="BC1398" s="848"/>
      <c r="BD1398" s="848"/>
      <c r="BE1398" s="848"/>
      <c r="BF1398" s="848"/>
      <c r="BG1398" s="848"/>
      <c r="BH1398" s="848"/>
      <c r="BJ1398" s="1184" t="s">
        <v>4763</v>
      </c>
    </row>
    <row r="1399" spans="1:62" x14ac:dyDescent="0.3">
      <c r="A1399" s="1200">
        <v>8</v>
      </c>
      <c r="B1399" s="1210">
        <v>801.1</v>
      </c>
      <c r="C1399" s="1203"/>
      <c r="D1399" s="1203"/>
      <c r="E1399" s="1203"/>
      <c r="F1399" s="1203"/>
      <c r="G1399" s="1202" t="str">
        <f t="shared" ca="1" si="442"/>
        <v/>
      </c>
      <c r="H1399" s="1200" t="s">
        <v>4386</v>
      </c>
      <c r="I1399" s="66"/>
      <c r="J1399" s="4"/>
      <c r="K1399" s="4"/>
      <c r="L1399" s="1292"/>
      <c r="M1399" s="866"/>
      <c r="N1399" s="1310"/>
      <c r="O1399" s="1310"/>
      <c r="P1399" s="848"/>
      <c r="Q1399" s="848"/>
      <c r="R1399" s="848"/>
      <c r="S1399" s="1105"/>
      <c r="T1399" s="848"/>
      <c r="U1399" s="848"/>
      <c r="V1399" s="848"/>
      <c r="W1399" s="848"/>
      <c r="X1399" s="848"/>
      <c r="Y1399" s="848"/>
      <c r="Z1399" s="1055"/>
      <c r="AB1399" s="848"/>
      <c r="AC1399" s="848"/>
      <c r="AD1399" s="848"/>
      <c r="AE1399" s="848"/>
      <c r="AF1399" s="848"/>
      <c r="AG1399" s="848"/>
      <c r="AH1399" s="848"/>
      <c r="AI1399" s="848"/>
      <c r="AJ1399" s="848"/>
      <c r="AK1399" s="848"/>
      <c r="AL1399" s="848"/>
      <c r="AM1399" s="848"/>
      <c r="AN1399" s="848"/>
      <c r="AO1399" s="848"/>
      <c r="AP1399" s="848"/>
      <c r="AQ1399" s="848"/>
      <c r="AR1399" s="848"/>
      <c r="AS1399" s="848"/>
      <c r="AT1399" s="848"/>
      <c r="AU1399" s="848"/>
      <c r="AV1399" s="848"/>
      <c r="AW1399" s="848"/>
      <c r="AX1399" s="908" t="str">
        <f>'Overview (Verification)'!A10</f>
        <v>Community/Lot #:</v>
      </c>
      <c r="AY1399" s="1077">
        <f>IF(LEN('Overview (Verification)'!P10)=0,0,'Overview (Verification)'!P10)</f>
        <v>0</v>
      </c>
      <c r="AZ1399" s="848"/>
      <c r="BA1399" s="848"/>
      <c r="BB1399" s="848"/>
      <c r="BC1399" s="848"/>
      <c r="BD1399" s="848"/>
      <c r="BE1399" s="848"/>
      <c r="BF1399" s="848"/>
      <c r="BG1399" s="848"/>
      <c r="BH1399" s="848"/>
      <c r="BJ1399" s="1184" t="s">
        <v>4763</v>
      </c>
    </row>
    <row r="1400" spans="1:62" x14ac:dyDescent="0.3">
      <c r="A1400" s="1200">
        <v>8</v>
      </c>
      <c r="B1400" s="1210">
        <v>801.1</v>
      </c>
      <c r="C1400" s="1203"/>
      <c r="D1400" s="1203"/>
      <c r="E1400" s="1203"/>
      <c r="F1400" s="1203"/>
      <c r="G1400" s="1202" t="str">
        <f t="shared" ca="1" si="442"/>
        <v/>
      </c>
      <c r="H1400" s="1200" t="s">
        <v>4386</v>
      </c>
      <c r="I1400" s="66"/>
      <c r="J1400" s="4"/>
      <c r="K1400" s="4"/>
      <c r="L1400" s="1292"/>
      <c r="M1400" s="866"/>
      <c r="N1400" s="1310"/>
      <c r="O1400" s="1310"/>
      <c r="P1400" s="848"/>
      <c r="Q1400" s="848"/>
      <c r="R1400" s="848"/>
      <c r="S1400" s="1" t="b">
        <f>S1305</f>
        <v>1</v>
      </c>
      <c r="T1400" s="848"/>
      <c r="U1400" s="848"/>
      <c r="V1400" s="848"/>
      <c r="W1400" s="848"/>
      <c r="X1400" s="848"/>
      <c r="Y1400" s="848"/>
      <c r="Z1400" s="1055"/>
      <c r="AB1400" s="848"/>
      <c r="AC1400" s="848"/>
      <c r="AD1400" s="848"/>
      <c r="AE1400" s="848"/>
      <c r="AF1400" s="848"/>
      <c r="AG1400" s="848"/>
      <c r="AH1400" s="848"/>
      <c r="AI1400" s="848"/>
      <c r="AJ1400" s="848"/>
      <c r="AK1400" s="848"/>
      <c r="AL1400" s="848"/>
      <c r="AM1400" s="848"/>
      <c r="AN1400" s="848"/>
      <c r="AO1400" s="848"/>
      <c r="AP1400" s="848"/>
      <c r="AQ1400" s="848"/>
      <c r="AR1400" s="848"/>
      <c r="AS1400" s="848"/>
      <c r="AT1400" s="848"/>
      <c r="AU1400" s="848"/>
      <c r="AV1400" s="848"/>
      <c r="AW1400" s="848"/>
      <c r="AX1400" s="908" t="str">
        <f>'Overview (Verification)'!A11</f>
        <v>City:</v>
      </c>
      <c r="AY1400" s="1077">
        <f>IF(LEN('Overview (Verification)'!P11)=0,0,'Overview (Verification)'!P11)</f>
        <v>0</v>
      </c>
      <c r="AZ1400" s="848"/>
      <c r="BA1400" s="848"/>
      <c r="BB1400" s="848"/>
      <c r="BC1400" s="848"/>
      <c r="BD1400" s="848"/>
      <c r="BE1400" s="848"/>
      <c r="BF1400" s="848"/>
      <c r="BG1400" s="848"/>
      <c r="BH1400" s="848"/>
      <c r="BJ1400" s="1184" t="s">
        <v>4763</v>
      </c>
    </row>
    <row r="1401" spans="1:62" x14ac:dyDescent="0.3">
      <c r="A1401" s="1200">
        <v>8</v>
      </c>
      <c r="B1401" s="1210">
        <v>801.1</v>
      </c>
      <c r="C1401" s="1203"/>
      <c r="D1401" s="1203"/>
      <c r="E1401" s="1203"/>
      <c r="F1401" s="1203"/>
      <c r="G1401" s="1202" t="str">
        <f t="shared" ca="1" si="442"/>
        <v/>
      </c>
      <c r="H1401" s="1200" t="s">
        <v>4386</v>
      </c>
      <c r="I1401" s="66"/>
      <c r="J1401" s="4"/>
      <c r="K1401" s="4"/>
      <c r="L1401" s="1292"/>
      <c r="M1401" s="866"/>
      <c r="N1401" s="1310"/>
      <c r="O1401" s="1310"/>
      <c r="P1401" s="848"/>
      <c r="Q1401" s="848"/>
      <c r="R1401" s="848"/>
      <c r="S1401" s="1">
        <f>W1305</f>
        <v>0</v>
      </c>
      <c r="T1401" s="848"/>
      <c r="U1401" s="848"/>
      <c r="V1401" s="848"/>
      <c r="W1401" s="848"/>
      <c r="X1401" s="848"/>
      <c r="Y1401" s="848"/>
      <c r="Z1401" s="1055"/>
      <c r="AB1401" s="848"/>
      <c r="AC1401" s="848"/>
      <c r="AD1401" s="848"/>
      <c r="AE1401" s="848"/>
      <c r="AF1401" s="848"/>
      <c r="AG1401" s="848"/>
      <c r="AH1401" s="848"/>
      <c r="AI1401" s="848"/>
      <c r="AJ1401" s="848"/>
      <c r="AK1401" s="848"/>
      <c r="AL1401" s="848"/>
      <c r="AM1401" s="848"/>
      <c r="AN1401" s="848"/>
      <c r="AO1401" s="848"/>
      <c r="AP1401" s="848"/>
      <c r="AQ1401" s="848"/>
      <c r="AR1401" s="848"/>
      <c r="AS1401" s="848"/>
      <c r="AT1401" s="848"/>
      <c r="AU1401" s="848"/>
      <c r="AV1401" s="848"/>
      <c r="AW1401" s="848"/>
      <c r="AX1401" s="908" t="str">
        <f>'Overview (Verification)'!A12</f>
        <v>State:</v>
      </c>
      <c r="AY1401" s="1077">
        <f>IF(LEN('Overview (Verification)'!P12)=0,0,'Overview (Verification)'!P12)</f>
        <v>0</v>
      </c>
      <c r="AZ1401" s="848"/>
      <c r="BA1401" s="848"/>
      <c r="BB1401" s="848"/>
      <c r="BC1401" s="1077" t="str">
        <f>'Overview (Verification)'!T12</f>
        <v>State</v>
      </c>
      <c r="BD1401" s="1077" t="str">
        <f>'Overview (Verification)'!U12</f>
        <v>County</v>
      </c>
      <c r="BE1401" s="1077" t="str">
        <f>'Overview (Verification)'!V12</f>
        <v>Radon</v>
      </c>
      <c r="BF1401" s="1077" t="str">
        <f>'Overview (Verification)'!W12</f>
        <v>Climate</v>
      </c>
      <c r="BG1401" s="1077" t="str">
        <f>'Overview (Verification)'!X12</f>
        <v>Moist</v>
      </c>
      <c r="BH1401" s="1077" t="str">
        <f>'Overview (Verification)'!Y12</f>
        <v>WarmHumid</v>
      </c>
      <c r="BJ1401" s="1184" t="s">
        <v>4763</v>
      </c>
    </row>
    <row r="1402" spans="1:62" x14ac:dyDescent="0.3">
      <c r="A1402" s="1200">
        <v>8</v>
      </c>
      <c r="B1402" s="1210">
        <v>801.1</v>
      </c>
      <c r="C1402" s="1203"/>
      <c r="D1402" s="1203"/>
      <c r="E1402" s="1203"/>
      <c r="F1402" s="1203"/>
      <c r="G1402" s="1202" t="str">
        <f t="shared" ca="1" si="442"/>
        <v/>
      </c>
      <c r="H1402" s="1200" t="s">
        <v>4386</v>
      </c>
      <c r="I1402" s="66"/>
      <c r="J1402" s="4"/>
      <c r="K1402" s="4"/>
      <c r="L1402" s="1431" t="s">
        <v>848</v>
      </c>
      <c r="M1402" s="866"/>
      <c r="N1402" s="850"/>
      <c r="O1402" s="850"/>
      <c r="P1402" s="848"/>
      <c r="Q1402" s="848"/>
      <c r="R1402" s="848"/>
      <c r="S1402" s="848"/>
      <c r="T1402" s="848"/>
      <c r="U1402" s="848"/>
      <c r="V1402" s="848"/>
      <c r="W1402" s="848"/>
      <c r="X1402" s="848"/>
      <c r="Y1402" s="848"/>
      <c r="Z1402" s="1055"/>
      <c r="AB1402" s="848"/>
      <c r="AC1402" s="848"/>
      <c r="AD1402" s="848"/>
      <c r="AE1402" s="848"/>
      <c r="AF1402" s="848"/>
      <c r="AG1402" s="848"/>
      <c r="AH1402" s="848"/>
      <c r="AI1402" s="848"/>
      <c r="AJ1402" s="848"/>
      <c r="AK1402" s="848"/>
      <c r="AL1402" s="848"/>
      <c r="AM1402" s="848"/>
      <c r="AN1402" s="848"/>
      <c r="AO1402" s="848"/>
      <c r="AP1402" s="848"/>
      <c r="AQ1402" s="848"/>
      <c r="AR1402" s="848"/>
      <c r="AS1402" s="848"/>
      <c r="AT1402" s="848"/>
      <c r="AU1402" s="848"/>
      <c r="AV1402" s="848"/>
      <c r="AW1402" s="848"/>
      <c r="AX1402" s="908" t="str">
        <f>'Overview (Verification)'!A13</f>
        <v>County:</v>
      </c>
      <c r="AY1402" s="1077">
        <f>IF(LEN('Overview (Verification)'!P13)=0,0,'Overview (Verification)'!P13)</f>
        <v>0</v>
      </c>
      <c r="AZ1402" s="848"/>
      <c r="BA1402" s="848"/>
      <c r="BB1402" s="848"/>
      <c r="BC1402" s="1077" t="str">
        <f>'Overview (Verification)'!T13</f>
        <v/>
      </c>
      <c r="BD1402" s="1077" t="str">
        <f>'Overview (Verification)'!U13</f>
        <v/>
      </c>
      <c r="BE1402" s="1077" t="str">
        <f>'Overview (Verification)'!V13</f>
        <v>!!</v>
      </c>
      <c r="BF1402" s="1077" t="str">
        <f>'Overview (Verification)'!W13</f>
        <v>!!</v>
      </c>
      <c r="BG1402" s="1077" t="str">
        <f>'Overview (Verification)'!X13</f>
        <v>!!</v>
      </c>
      <c r="BH1402" s="1077" t="str">
        <f>'Overview (Verification)'!Y13</f>
        <v>!!</v>
      </c>
      <c r="BJ1402" s="1184" t="s">
        <v>4763</v>
      </c>
    </row>
    <row r="1403" spans="1:62" x14ac:dyDescent="0.3">
      <c r="A1403" s="1200">
        <v>8</v>
      </c>
      <c r="B1403" s="1210">
        <v>801.1</v>
      </c>
      <c r="C1403" s="1203"/>
      <c r="D1403" s="1203"/>
      <c r="E1403" s="1203"/>
      <c r="F1403" s="1203"/>
      <c r="G1403" s="1202" t="str">
        <f t="shared" ca="1" si="442"/>
        <v/>
      </c>
      <c r="H1403" s="1200" t="s">
        <v>4386</v>
      </c>
      <c r="I1403" s="66"/>
      <c r="J1403" s="4"/>
      <c r="K1403" s="4"/>
      <c r="L1403" s="1431"/>
      <c r="M1403" s="866"/>
      <c r="N1403" s="850"/>
      <c r="O1403" s="850"/>
      <c r="P1403" s="848"/>
      <c r="Q1403" s="848"/>
      <c r="R1403" s="848"/>
      <c r="S1403" s="848"/>
      <c r="T1403" s="848"/>
      <c r="U1403" s="848"/>
      <c r="V1403" s="848"/>
      <c r="W1403" s="848"/>
      <c r="X1403" s="848"/>
      <c r="Y1403" s="848"/>
      <c r="Z1403" s="1055"/>
      <c r="AB1403" s="848"/>
      <c r="AC1403" s="848"/>
      <c r="AD1403" s="848"/>
      <c r="AE1403" s="848"/>
      <c r="AF1403" s="848"/>
      <c r="AG1403" s="848"/>
      <c r="AH1403" s="848"/>
      <c r="AI1403" s="848"/>
      <c r="AJ1403" s="848"/>
      <c r="AK1403" s="848"/>
      <c r="AL1403" s="848"/>
      <c r="AM1403" s="848"/>
      <c r="AN1403" s="848"/>
      <c r="AO1403" s="848"/>
      <c r="AP1403" s="848"/>
      <c r="AQ1403" s="848"/>
      <c r="AR1403" s="848"/>
      <c r="AS1403" s="848"/>
      <c r="AT1403" s="848"/>
      <c r="AU1403" s="848"/>
      <c r="AV1403" s="848"/>
      <c r="AW1403" s="848"/>
      <c r="AX1403" s="908" t="str">
        <f>'Overview (Verification)'!A14</f>
        <v>Zip:</v>
      </c>
      <c r="AY1403" s="1077">
        <f>IF(LEN('Overview (Verification)'!P14)=0,0,'Overview (Verification)'!P14)</f>
        <v>0</v>
      </c>
      <c r="AZ1403" s="848"/>
      <c r="BA1403" s="848"/>
      <c r="BB1403" s="848"/>
      <c r="BC1403" s="848"/>
      <c r="BD1403" s="848"/>
      <c r="BE1403" s="848"/>
      <c r="BF1403" s="848"/>
      <c r="BG1403" s="848"/>
      <c r="BH1403" s="848"/>
      <c r="BJ1403" s="1184" t="s">
        <v>4763</v>
      </c>
    </row>
    <row r="1404" spans="1:62" x14ac:dyDescent="0.3">
      <c r="A1404" s="1200">
        <v>8</v>
      </c>
      <c r="B1404" s="1210">
        <v>801.1</v>
      </c>
      <c r="C1404" s="1203"/>
      <c r="D1404" s="1203"/>
      <c r="E1404" s="1203"/>
      <c r="F1404" s="1203"/>
      <c r="G1404" s="1202" t="str">
        <f t="shared" ca="1" si="442"/>
        <v/>
      </c>
      <c r="H1404" s="1200" t="s">
        <v>4386</v>
      </c>
      <c r="I1404" s="66"/>
      <c r="J1404" s="4"/>
      <c r="K1404" s="4"/>
      <c r="L1404" s="1431"/>
      <c r="M1404" s="866"/>
      <c r="N1404" s="850"/>
      <c r="O1404" s="850"/>
      <c r="P1404" s="848"/>
      <c r="Q1404" s="848"/>
      <c r="R1404" s="848"/>
      <c r="S1404" s="848"/>
      <c r="T1404" s="848"/>
      <c r="U1404" s="848"/>
      <c r="V1404" s="848"/>
      <c r="W1404" s="848"/>
      <c r="X1404" s="848"/>
      <c r="Y1404" s="848"/>
      <c r="Z1404" s="1055"/>
      <c r="AB1404" s="848"/>
      <c r="AC1404" s="848"/>
      <c r="AD1404" s="848"/>
      <c r="AE1404" s="848"/>
      <c r="AF1404" s="848"/>
      <c r="AG1404" s="848"/>
      <c r="AH1404" s="848"/>
      <c r="AI1404" s="848"/>
      <c r="AJ1404" s="848"/>
      <c r="AK1404" s="848"/>
      <c r="AL1404" s="848"/>
      <c r="AM1404" s="848"/>
      <c r="AN1404" s="848"/>
      <c r="AO1404" s="848"/>
      <c r="AP1404" s="848"/>
      <c r="AQ1404" s="848"/>
      <c r="AR1404" s="848"/>
      <c r="AS1404" s="848"/>
      <c r="AT1404" s="848"/>
      <c r="AU1404" s="848"/>
      <c r="AV1404" s="848"/>
      <c r="AW1404" s="848"/>
      <c r="AX1404" s="849"/>
      <c r="AY1404" s="1077"/>
      <c r="AZ1404" s="848"/>
      <c r="BA1404" s="848"/>
      <c r="BB1404" s="848"/>
      <c r="BC1404" s="848"/>
      <c r="BD1404" s="848"/>
      <c r="BE1404" s="848"/>
      <c r="BF1404" s="848"/>
      <c r="BG1404" s="848"/>
      <c r="BH1404" s="848"/>
      <c r="BJ1404" s="1184" t="s">
        <v>4763</v>
      </c>
    </row>
    <row r="1405" spans="1:62" x14ac:dyDescent="0.3">
      <c r="A1405" s="1200">
        <v>8</v>
      </c>
      <c r="B1405" s="1210">
        <v>801.1</v>
      </c>
      <c r="C1405" s="1203"/>
      <c r="D1405" s="1203"/>
      <c r="E1405" s="1203"/>
      <c r="F1405" s="1203"/>
      <c r="G1405" s="1202" t="str">
        <f t="shared" ca="1" si="442"/>
        <v/>
      </c>
      <c r="H1405" s="1200" t="s">
        <v>4386</v>
      </c>
      <c r="I1405" s="66"/>
      <c r="J1405" s="4"/>
      <c r="K1405" s="4"/>
      <c r="L1405" s="1431" t="s">
        <v>849</v>
      </c>
      <c r="M1405" s="866"/>
      <c r="N1405" s="850"/>
      <c r="O1405" s="850"/>
      <c r="P1405" s="848"/>
      <c r="Q1405" s="848"/>
      <c r="R1405" s="848"/>
      <c r="S1405" s="848"/>
      <c r="T1405" s="848"/>
      <c r="U1405" s="848"/>
      <c r="V1405" s="848"/>
      <c r="W1405" s="848"/>
      <c r="X1405" s="848"/>
      <c r="Y1405" s="848"/>
      <c r="Z1405" s="1055"/>
      <c r="AB1405" s="848"/>
      <c r="AC1405" s="848"/>
      <c r="AD1405" s="848"/>
      <c r="AE1405" s="848"/>
      <c r="AF1405" s="848"/>
      <c r="AG1405" s="848"/>
      <c r="AH1405" s="848"/>
      <c r="AI1405" s="848"/>
      <c r="AJ1405" s="848"/>
      <c r="AK1405" s="848"/>
      <c r="AL1405" s="848"/>
      <c r="AM1405" s="848"/>
      <c r="AN1405" s="848"/>
      <c r="AO1405" s="848"/>
      <c r="AP1405" s="848"/>
      <c r="AQ1405" s="848"/>
      <c r="AR1405" s="848"/>
      <c r="AS1405" s="848"/>
      <c r="AT1405" s="848"/>
      <c r="AU1405" s="848"/>
      <c r="AV1405" s="848"/>
      <c r="AW1405" s="848"/>
      <c r="AX1405" s="908" t="str">
        <f>'Overview (Verification)'!A16</f>
        <v>Single-Family or Multifamily:</v>
      </c>
      <c r="AY1405" s="1077">
        <f>IF(LEN('Overview (Verification)'!P16)=0,0,'Overview (Verification)'!P16)</f>
        <v>0</v>
      </c>
      <c r="AZ1405" s="848"/>
      <c r="BA1405" s="848"/>
      <c r="BB1405" s="848"/>
      <c r="BC1405" s="848"/>
      <c r="BD1405" s="848"/>
      <c r="BE1405" s="848"/>
      <c r="BF1405" s="848"/>
      <c r="BG1405" s="848"/>
      <c r="BH1405" s="848"/>
      <c r="BJ1405" s="1184" t="s">
        <v>4763</v>
      </c>
    </row>
    <row r="1406" spans="1:62" x14ac:dyDescent="0.3">
      <c r="A1406" s="1200">
        <v>8</v>
      </c>
      <c r="B1406" s="1210">
        <v>801.1</v>
      </c>
      <c r="C1406" s="1203"/>
      <c r="D1406" s="1203"/>
      <c r="E1406" s="1203"/>
      <c r="F1406" s="1203"/>
      <c r="G1406" s="1202" t="str">
        <f t="shared" ca="1" si="442"/>
        <v/>
      </c>
      <c r="H1406" s="1200" t="s">
        <v>4386</v>
      </c>
      <c r="I1406" s="66"/>
      <c r="J1406" s="4"/>
      <c r="K1406" s="4"/>
      <c r="L1406" s="1431"/>
      <c r="M1406" s="866"/>
      <c r="N1406" s="850"/>
      <c r="O1406" s="850"/>
      <c r="P1406" s="848"/>
      <c r="Q1406" s="848"/>
      <c r="R1406" s="848"/>
      <c r="S1406" s="848"/>
      <c r="T1406" s="848"/>
      <c r="U1406" s="848"/>
      <c r="V1406" s="848"/>
      <c r="W1406" s="848"/>
      <c r="X1406" s="848"/>
      <c r="Y1406" s="848"/>
      <c r="Z1406" s="1055"/>
      <c r="AB1406" s="848"/>
      <c r="AC1406" s="848"/>
      <c r="AD1406" s="848"/>
      <c r="AE1406" s="848"/>
      <c r="AF1406" s="848"/>
      <c r="AG1406" s="848"/>
      <c r="AH1406" s="848"/>
      <c r="AI1406" s="848"/>
      <c r="AJ1406" s="848"/>
      <c r="AK1406" s="848"/>
      <c r="AL1406" s="848"/>
      <c r="AM1406" s="848"/>
      <c r="AN1406" s="848"/>
      <c r="AO1406" s="848"/>
      <c r="AP1406" s="848"/>
      <c r="AQ1406" s="848"/>
      <c r="AR1406" s="848"/>
      <c r="AS1406" s="848"/>
      <c r="AT1406" s="848"/>
      <c r="AU1406" s="848"/>
      <c r="AV1406" s="848"/>
      <c r="AW1406" s="848"/>
      <c r="AX1406" s="908" t="str">
        <f>'Overview (Verification)'!A17</f>
        <v>Number of Units:</v>
      </c>
      <c r="AY1406" s="1077">
        <f>IF(LEN('Overview (Verification)'!P17)=0,0,'Overview (Verification)'!P17)</f>
        <v>0</v>
      </c>
      <c r="AZ1406" s="848"/>
      <c r="BA1406" s="848"/>
      <c r="BB1406" s="848"/>
      <c r="BC1406" s="848"/>
      <c r="BD1406" s="848"/>
      <c r="BE1406" s="848"/>
      <c r="BF1406" s="848"/>
      <c r="BG1406" s="848"/>
      <c r="BH1406" s="848"/>
      <c r="BJ1406" s="1184" t="s">
        <v>4763</v>
      </c>
    </row>
    <row r="1407" spans="1:62" x14ac:dyDescent="0.3">
      <c r="A1407" s="1200">
        <v>8</v>
      </c>
      <c r="B1407" s="1210">
        <v>801.1</v>
      </c>
      <c r="C1407" s="1203"/>
      <c r="D1407" s="1203"/>
      <c r="E1407" s="1203"/>
      <c r="F1407" s="1203"/>
      <c r="G1407" s="1202" t="str">
        <f t="shared" ca="1" si="442"/>
        <v/>
      </c>
      <c r="H1407" s="1200" t="s">
        <v>4386</v>
      </c>
      <c r="I1407" s="66"/>
      <c r="J1407" s="4"/>
      <c r="K1407" s="4"/>
      <c r="L1407" s="1431"/>
      <c r="M1407" s="866"/>
      <c r="N1407" s="850"/>
      <c r="O1407" s="850"/>
      <c r="P1407" s="848"/>
      <c r="Q1407" s="848"/>
      <c r="R1407" s="848"/>
      <c r="S1407" s="848"/>
      <c r="T1407" s="848"/>
      <c r="U1407" s="848"/>
      <c r="V1407" s="848"/>
      <c r="W1407" s="848"/>
      <c r="X1407" s="848"/>
      <c r="Y1407" s="848"/>
      <c r="Z1407" s="1055"/>
      <c r="AB1407" s="848"/>
      <c r="AC1407" s="848"/>
      <c r="AD1407" s="848"/>
      <c r="AE1407" s="848"/>
      <c r="AF1407" s="848"/>
      <c r="AG1407" s="848"/>
      <c r="AH1407" s="848"/>
      <c r="AI1407" s="848"/>
      <c r="AJ1407" s="848"/>
      <c r="AK1407" s="848"/>
      <c r="AL1407" s="848"/>
      <c r="AM1407" s="848"/>
      <c r="AN1407" s="848"/>
      <c r="AO1407" s="848"/>
      <c r="AP1407" s="848"/>
      <c r="AQ1407" s="848"/>
      <c r="AR1407" s="848"/>
      <c r="AS1407" s="848"/>
      <c r="AT1407" s="848"/>
      <c r="AU1407" s="848"/>
      <c r="AV1407" s="848"/>
      <c r="AW1407" s="848"/>
      <c r="AX1407" s="908" t="str">
        <f>'Overview (Verification)'!A18</f>
        <v>Project Name:</v>
      </c>
      <c r="AY1407" s="1077">
        <f>IF(LEN('Overview (Verification)'!P18)=0,0,'Overview (Verification)'!P18)</f>
        <v>0</v>
      </c>
      <c r="AZ1407" s="848"/>
      <c r="BA1407" s="848"/>
      <c r="BB1407" s="848"/>
      <c r="BC1407" s="848"/>
      <c r="BD1407" s="848"/>
      <c r="BE1407" s="848"/>
      <c r="BF1407" s="848"/>
      <c r="BG1407" s="848"/>
      <c r="BH1407" s="848"/>
      <c r="BJ1407" s="1184" t="s">
        <v>4763</v>
      </c>
    </row>
    <row r="1408" spans="1:62" x14ac:dyDescent="0.3">
      <c r="A1408" s="1200">
        <v>8</v>
      </c>
      <c r="B1408" s="1210">
        <v>801.1</v>
      </c>
      <c r="C1408" s="1203"/>
      <c r="D1408" s="1203"/>
      <c r="E1408" s="1203"/>
      <c r="F1408" s="1203"/>
      <c r="G1408" s="1202" t="str">
        <f t="shared" ca="1" si="442"/>
        <v/>
      </c>
      <c r="H1408" s="1200" t="s">
        <v>4386</v>
      </c>
      <c r="I1408" s="66"/>
      <c r="J1408" s="4"/>
      <c r="K1408" s="4"/>
      <c r="L1408" s="860" t="s">
        <v>850</v>
      </c>
      <c r="M1408" s="866"/>
      <c r="N1408" s="850"/>
      <c r="O1408" s="850"/>
      <c r="P1408" s="848"/>
      <c r="Q1408" s="848"/>
      <c r="R1408" s="848"/>
      <c r="S1408" s="848"/>
      <c r="T1408" s="848"/>
      <c r="U1408" s="848"/>
      <c r="V1408" s="848"/>
      <c r="W1408" s="848"/>
      <c r="X1408" s="848"/>
      <c r="Y1408" s="848"/>
      <c r="Z1408" s="1055"/>
      <c r="AB1408" s="848"/>
      <c r="AC1408" s="848"/>
      <c r="AD1408" s="848"/>
      <c r="AE1408" s="848"/>
      <c r="AF1408" s="848"/>
      <c r="AG1408" s="848"/>
      <c r="AH1408" s="848"/>
      <c r="AI1408" s="848"/>
      <c r="AJ1408" s="848"/>
      <c r="AK1408" s="848"/>
      <c r="AL1408" s="848"/>
      <c r="AM1408" s="848"/>
      <c r="AN1408" s="848"/>
      <c r="AO1408" s="848"/>
      <c r="AP1408" s="848"/>
      <c r="AQ1408" s="848"/>
      <c r="AR1408" s="848"/>
      <c r="AS1408" s="848"/>
      <c r="AT1408" s="848"/>
      <c r="AU1408" s="848"/>
      <c r="AV1408" s="848"/>
      <c r="AW1408" s="848"/>
      <c r="AX1408" s="849"/>
      <c r="AY1408" s="1077"/>
      <c r="AZ1408" s="848"/>
      <c r="BA1408" s="848"/>
      <c r="BB1408" s="848"/>
      <c r="BC1408" s="848"/>
      <c r="BD1408" s="848"/>
      <c r="BE1408" s="848"/>
      <c r="BF1408" s="848"/>
      <c r="BG1408" s="848"/>
      <c r="BH1408" s="848"/>
      <c r="BJ1408" s="1184" t="s">
        <v>4763</v>
      </c>
    </row>
    <row r="1409" spans="1:62" x14ac:dyDescent="0.3">
      <c r="A1409" s="1200">
        <v>8</v>
      </c>
      <c r="B1409" s="1210">
        <v>801.1</v>
      </c>
      <c r="C1409" s="1203"/>
      <c r="D1409" s="1203"/>
      <c r="E1409" s="1203"/>
      <c r="F1409" s="1203"/>
      <c r="G1409" s="1202" t="str">
        <f t="shared" ca="1" si="442"/>
        <v/>
      </c>
      <c r="H1409" s="1200" t="s">
        <v>4386</v>
      </c>
      <c r="I1409" s="66"/>
      <c r="J1409" s="4"/>
      <c r="K1409" s="4"/>
      <c r="L1409" s="891" t="s">
        <v>3783</v>
      </c>
      <c r="M1409" s="866"/>
      <c r="N1409" s="850"/>
      <c r="O1409" s="850"/>
      <c r="P1409" s="848"/>
      <c r="Q1409" s="848"/>
      <c r="R1409" s="848"/>
      <c r="S1409" s="848"/>
      <c r="T1409" s="848"/>
      <c r="U1409" s="848"/>
      <c r="V1409" s="848"/>
      <c r="W1409" s="848"/>
      <c r="X1409" s="848"/>
      <c r="Y1409" s="848"/>
      <c r="Z1409" s="1055"/>
      <c r="AB1409" s="848"/>
      <c r="AC1409" s="848"/>
      <c r="AD1409" s="848"/>
      <c r="AE1409" s="848"/>
      <c r="AF1409" s="848"/>
      <c r="AG1409" s="848"/>
      <c r="AH1409" s="848"/>
      <c r="AI1409" s="848"/>
      <c r="AJ1409" s="848"/>
      <c r="AK1409" s="848"/>
      <c r="AL1409" s="848"/>
      <c r="AM1409" s="848"/>
      <c r="AN1409" s="848"/>
      <c r="AO1409" s="848"/>
      <c r="AP1409" s="848"/>
      <c r="AQ1409" s="848"/>
      <c r="AR1409" s="848"/>
      <c r="AS1409" s="848"/>
      <c r="AT1409" s="848"/>
      <c r="AU1409" s="848"/>
      <c r="AV1409" s="848"/>
      <c r="AW1409" s="848"/>
      <c r="AX1409" s="908" t="str">
        <f>'Overview (Verification)'!A20</f>
        <v>Above grade plane finished floor area:</v>
      </c>
      <c r="AY1409" s="1077">
        <f>IF(LEN('Overview (Verification)'!P20)=0,0,'Overview (Verification)'!P20)</f>
        <v>0</v>
      </c>
      <c r="AZ1409" s="848"/>
      <c r="BA1409" s="848"/>
      <c r="BB1409" s="848"/>
      <c r="BC1409" s="848"/>
      <c r="BD1409" s="848"/>
      <c r="BE1409" s="848"/>
      <c r="BF1409" s="848"/>
      <c r="BG1409" s="848"/>
      <c r="BH1409" s="848"/>
      <c r="BJ1409" s="1184" t="s">
        <v>4763</v>
      </c>
    </row>
    <row r="1410" spans="1:62" x14ac:dyDescent="0.3">
      <c r="A1410" s="1200">
        <v>8</v>
      </c>
      <c r="B1410" s="1210">
        <v>801.1</v>
      </c>
      <c r="C1410" s="1203"/>
      <c r="D1410" s="1203"/>
      <c r="E1410" s="1203"/>
      <c r="F1410" s="1203"/>
      <c r="G1410" s="1202" t="str">
        <f t="shared" ca="1" si="442"/>
        <v/>
      </c>
      <c r="H1410" s="1200" t="s">
        <v>4386</v>
      </c>
      <c r="I1410" s="66"/>
      <c r="J1410" s="4"/>
      <c r="K1410" s="4"/>
      <c r="L1410" s="891" t="s">
        <v>3784</v>
      </c>
      <c r="M1410" s="866"/>
      <c r="N1410" s="850"/>
      <c r="O1410" s="850"/>
      <c r="P1410" s="848"/>
      <c r="Q1410" s="848"/>
      <c r="R1410" s="848"/>
      <c r="S1410" s="848"/>
      <c r="T1410" s="848"/>
      <c r="U1410" s="848"/>
      <c r="V1410" s="848"/>
      <c r="W1410" s="848"/>
      <c r="X1410" s="848"/>
      <c r="Y1410" s="848"/>
      <c r="Z1410" s="1055"/>
      <c r="AB1410" s="848"/>
      <c r="AC1410" s="848"/>
      <c r="AD1410" s="848"/>
      <c r="AE1410" s="848"/>
      <c r="AF1410" s="848"/>
      <c r="AG1410" s="848"/>
      <c r="AH1410" s="848"/>
      <c r="AI1410" s="848"/>
      <c r="AJ1410" s="848"/>
      <c r="AK1410" s="848"/>
      <c r="AL1410" s="848"/>
      <c r="AM1410" s="848"/>
      <c r="AN1410" s="848"/>
      <c r="AO1410" s="848"/>
      <c r="AP1410" s="848"/>
      <c r="AQ1410" s="848"/>
      <c r="AR1410" s="848"/>
      <c r="AS1410" s="848"/>
      <c r="AT1410" s="848"/>
      <c r="AU1410" s="848"/>
      <c r="AV1410" s="848"/>
      <c r="AW1410" s="848"/>
      <c r="AX1410" s="908" t="str">
        <f>'Overview (Verification)'!A21</f>
        <v>Total conditioned floor area:</v>
      </c>
      <c r="AY1410" s="1077">
        <f>IF(LEN('Overview (Verification)'!P21)=0,0,'Overview (Verification)'!P21)</f>
        <v>0</v>
      </c>
      <c r="AZ1410" s="848"/>
      <c r="BA1410" s="848"/>
      <c r="BB1410" s="848"/>
      <c r="BC1410" s="848"/>
      <c r="BD1410" s="848"/>
      <c r="BE1410" s="848"/>
      <c r="BF1410" s="848"/>
      <c r="BG1410" s="848"/>
      <c r="BH1410" s="848"/>
      <c r="BJ1410" s="1184" t="s">
        <v>4763</v>
      </c>
    </row>
    <row r="1411" spans="1:62" x14ac:dyDescent="0.3">
      <c r="A1411" s="1200">
        <v>8</v>
      </c>
      <c r="B1411" s="1210">
        <v>801.1</v>
      </c>
      <c r="C1411" s="1203"/>
      <c r="D1411" s="1203"/>
      <c r="E1411" s="1203" t="s">
        <v>271</v>
      </c>
      <c r="F1411" s="1203"/>
      <c r="G1411" s="1202" t="str">
        <f t="shared" ca="1" si="442"/>
        <v/>
      </c>
      <c r="H1411" s="1200" t="s">
        <v>4386</v>
      </c>
      <c r="I1411" s="66"/>
      <c r="J1411" s="203" t="s">
        <v>271</v>
      </c>
      <c r="K1411" s="140"/>
      <c r="L1411" s="1305" t="s">
        <v>851</v>
      </c>
      <c r="M1411" s="1318">
        <v>11</v>
      </c>
      <c r="N1411" s="850"/>
      <c r="O1411" s="850"/>
      <c r="P1411" s="848"/>
      <c r="Q1411" s="848"/>
      <c r="R1411" s="848"/>
      <c r="S1411" s="848"/>
      <c r="T1411" s="848"/>
      <c r="U1411" s="848"/>
      <c r="V1411" s="848"/>
      <c r="W1411" s="848"/>
      <c r="X1411" s="1303"/>
      <c r="Y1411" s="1522" t="str">
        <f>IF(LEN('Ch8'!X25)=0,"None",'Ch8'!X25)</f>
        <v>None</v>
      </c>
      <c r="Z1411" s="1586"/>
      <c r="AB1411" s="848"/>
      <c r="AC1411" s="848"/>
      <c r="AD1411" s="848"/>
      <c r="AE1411" s="848"/>
      <c r="AF1411" s="848"/>
      <c r="AG1411" s="848"/>
      <c r="AH1411" s="848"/>
      <c r="AI1411" s="848"/>
      <c r="AJ1411" s="848"/>
      <c r="AK1411" s="848"/>
      <c r="AL1411" s="311" t="str">
        <f t="shared" ref="AL1411:AL1413" si="443">SUBSTITUTE(SUBSTITUTE(SUBSTITUTE("vpa"&amp;$B1411&amp;$C1411&amp;$D1411&amp;$E1411&amp;$F1411,".","_"),"(","_"),")","")</f>
        <v>vpa801_1_1</v>
      </c>
      <c r="AM1411" s="311">
        <f>M1411</f>
        <v>11</v>
      </c>
      <c r="AN1411" s="848"/>
      <c r="AO1411" s="848"/>
      <c r="AP1411" s="848"/>
      <c r="AQ1411" s="848"/>
      <c r="AR1411" s="311" t="str">
        <f>SUBSTITUTE(SUBSTITUTE(SUBSTITUTE("vnt"&amp;$B1411&amp;$C1411&amp;$D1411&amp;$E1411&amp;$F1411,".","_"),"(","_"),")","")</f>
        <v>vnt801_1_1</v>
      </c>
      <c r="AS1411" s="311">
        <f>X1411</f>
        <v>0</v>
      </c>
      <c r="AT1411" s="848"/>
      <c r="AU1411" s="848"/>
      <c r="AV1411" s="848"/>
      <c r="AW1411" s="848"/>
      <c r="AX1411" s="908" t="str">
        <f>'Overview (Verification)'!A22</f>
        <v>Stories above grade:</v>
      </c>
      <c r="AY1411" s="1077">
        <f>IF(LEN('Overview (Verification)'!P22)=0,0,'Overview (Verification)'!P22)</f>
        <v>0</v>
      </c>
      <c r="AZ1411" s="848"/>
      <c r="BA1411" s="848"/>
      <c r="BB1411" s="848"/>
      <c r="BC1411" s="848"/>
      <c r="BD1411" s="848"/>
      <c r="BE1411" s="848"/>
      <c r="BF1411" s="848"/>
      <c r="BG1411" s="848"/>
      <c r="BH1411" s="848"/>
      <c r="BJ1411" s="1184" t="s">
        <v>4763</v>
      </c>
    </row>
    <row r="1412" spans="1:62" x14ac:dyDescent="0.3">
      <c r="A1412" s="1200">
        <v>8</v>
      </c>
      <c r="B1412" s="1210">
        <v>801.1</v>
      </c>
      <c r="C1412" s="1203"/>
      <c r="D1412" s="1203"/>
      <c r="E1412" s="1203" t="s">
        <v>271</v>
      </c>
      <c r="F1412" s="1203"/>
      <c r="G1412" s="1202" t="str">
        <f t="shared" ca="1" si="442"/>
        <v/>
      </c>
      <c r="H1412" s="1200" t="s">
        <v>4386</v>
      </c>
      <c r="I1412" s="66"/>
      <c r="J1412" s="231"/>
      <c r="K1412" s="238"/>
      <c r="L1412" s="1306"/>
      <c r="M1412" s="1319"/>
      <c r="N1412" s="850"/>
      <c r="O1412" s="850"/>
      <c r="P1412" s="848"/>
      <c r="Q1412" s="848"/>
      <c r="R1412" s="848"/>
      <c r="S1412" s="848"/>
      <c r="T1412" s="848"/>
      <c r="U1412" s="848"/>
      <c r="V1412" s="848"/>
      <c r="W1412" s="848"/>
      <c r="X1412" s="1303"/>
      <c r="Y1412" s="1522"/>
      <c r="Z1412" s="1586"/>
      <c r="AB1412" s="848"/>
      <c r="AC1412" s="848"/>
      <c r="AD1412" s="848"/>
      <c r="AE1412" s="848"/>
      <c r="AF1412" s="848"/>
      <c r="AG1412" s="848"/>
      <c r="AH1412" s="848"/>
      <c r="AI1412" s="848"/>
      <c r="AJ1412" s="848"/>
      <c r="AK1412" s="848"/>
      <c r="AL1412" s="848"/>
      <c r="AM1412" s="848"/>
      <c r="AN1412" s="848"/>
      <c r="AO1412" s="848"/>
      <c r="AP1412" s="848"/>
      <c r="AQ1412" s="848"/>
      <c r="AR1412" s="848"/>
      <c r="AS1412" s="848"/>
      <c r="AT1412" s="848"/>
      <c r="AU1412" s="848"/>
      <c r="AV1412" s="848"/>
      <c r="AW1412" s="848"/>
      <c r="AX1412" s="848"/>
      <c r="AY1412" s="1077"/>
      <c r="AZ1412" s="848"/>
      <c r="BA1412" s="848"/>
      <c r="BB1412" s="848"/>
      <c r="BC1412" s="848"/>
      <c r="BD1412" s="848"/>
      <c r="BE1412" s="848"/>
      <c r="BF1412" s="848"/>
      <c r="BG1412" s="848"/>
      <c r="BH1412" s="848"/>
      <c r="BJ1412" s="1184" t="s">
        <v>4763</v>
      </c>
    </row>
    <row r="1413" spans="1:62" x14ac:dyDescent="0.3">
      <c r="A1413" s="1200">
        <v>8</v>
      </c>
      <c r="B1413" s="1210">
        <v>801.1</v>
      </c>
      <c r="C1413" s="1203"/>
      <c r="D1413" s="1203"/>
      <c r="E1413" s="1203" t="s">
        <v>273</v>
      </c>
      <c r="F1413" s="1203"/>
      <c r="G1413" s="1202" t="str">
        <f t="shared" ca="1" si="442"/>
        <v/>
      </c>
      <c r="H1413" s="1200" t="s">
        <v>4386</v>
      </c>
      <c r="I1413" s="66"/>
      <c r="J1413" s="203" t="s">
        <v>273</v>
      </c>
      <c r="K1413" s="140"/>
      <c r="L1413" s="1305" t="s">
        <v>852</v>
      </c>
      <c r="M1413" s="1318">
        <v>17</v>
      </c>
      <c r="N1413" s="850"/>
      <c r="O1413" s="850"/>
      <c r="P1413" s="848"/>
      <c r="Q1413" s="848"/>
      <c r="R1413" s="848"/>
      <c r="S1413" s="848"/>
      <c r="T1413" s="848"/>
      <c r="U1413" s="848"/>
      <c r="V1413" s="848"/>
      <c r="W1413" s="848"/>
      <c r="X1413" s="1303"/>
      <c r="Y1413" s="1522"/>
      <c r="Z1413" s="1586"/>
      <c r="AB1413" s="848"/>
      <c r="AC1413" s="848"/>
      <c r="AD1413" s="848"/>
      <c r="AE1413" s="848"/>
      <c r="AF1413" s="848"/>
      <c r="AG1413" s="848"/>
      <c r="AH1413" s="848"/>
      <c r="AI1413" s="848"/>
      <c r="AJ1413" s="848"/>
      <c r="AK1413" s="848"/>
      <c r="AL1413" s="311" t="str">
        <f t="shared" si="443"/>
        <v>vpa801_1_2</v>
      </c>
      <c r="AM1413" s="311">
        <f>M1413</f>
        <v>17</v>
      </c>
      <c r="AN1413" s="848"/>
      <c r="AO1413" s="848"/>
      <c r="AP1413" s="848"/>
      <c r="AQ1413" s="848"/>
      <c r="AR1413" s="848"/>
      <c r="AS1413" s="848"/>
      <c r="AT1413" s="848"/>
      <c r="AU1413" s="848"/>
      <c r="AV1413" s="848"/>
      <c r="AW1413" s="848"/>
      <c r="AX1413" s="908" t="str">
        <f>'Overview (Verification)'!A24</f>
        <v xml:space="preserve">Project Description (optional): </v>
      </c>
      <c r="AY1413" s="1077">
        <f>IF(LEN('Overview (Verification)'!P24)=0,0,'Overview (Verification)'!P24)</f>
        <v>0</v>
      </c>
      <c r="AZ1413" s="848"/>
      <c r="BA1413" s="848"/>
      <c r="BB1413" s="848"/>
      <c r="BC1413" s="848"/>
      <c r="BD1413" s="848"/>
      <c r="BE1413" s="848"/>
      <c r="BF1413" s="848"/>
      <c r="BG1413" s="848"/>
      <c r="BH1413" s="848"/>
      <c r="BJ1413" s="1184" t="s">
        <v>4763</v>
      </c>
    </row>
    <row r="1414" spans="1:62" x14ac:dyDescent="0.3">
      <c r="A1414" s="1200">
        <v>8</v>
      </c>
      <c r="B1414" s="1210">
        <v>801.1</v>
      </c>
      <c r="C1414" s="1203"/>
      <c r="D1414" s="1203"/>
      <c r="E1414" s="1203" t="s">
        <v>273</v>
      </c>
      <c r="F1414" s="1203"/>
      <c r="G1414" s="1202" t="str">
        <f t="shared" ca="1" si="442"/>
        <v/>
      </c>
      <c r="H1414" s="1200" t="s">
        <v>4386</v>
      </c>
      <c r="I1414" s="66"/>
      <c r="J1414" s="231"/>
      <c r="K1414" s="238"/>
      <c r="L1414" s="1306"/>
      <c r="M1414" s="1319"/>
      <c r="N1414" s="850"/>
      <c r="O1414" s="850"/>
      <c r="P1414" s="848"/>
      <c r="Q1414" s="848"/>
      <c r="R1414" s="848"/>
      <c r="S1414" s="848"/>
      <c r="T1414" s="848"/>
      <c r="U1414" s="848"/>
      <c r="V1414" s="848"/>
      <c r="W1414" s="848"/>
      <c r="X1414" s="1303"/>
      <c r="Y1414" s="1522"/>
      <c r="Z1414" s="1586"/>
      <c r="AB1414" s="848"/>
      <c r="AC1414" s="848"/>
      <c r="AD1414" s="848"/>
      <c r="AE1414" s="848"/>
      <c r="AF1414" s="848"/>
      <c r="AG1414" s="848"/>
      <c r="AH1414" s="848"/>
      <c r="AI1414" s="848"/>
      <c r="AJ1414" s="848"/>
      <c r="AK1414" s="848"/>
      <c r="AL1414" s="848"/>
      <c r="AM1414" s="848"/>
      <c r="AN1414" s="848"/>
      <c r="AO1414" s="848"/>
      <c r="AP1414" s="848"/>
      <c r="AQ1414" s="848"/>
      <c r="AR1414" s="848"/>
      <c r="AS1414" s="848"/>
      <c r="AT1414" s="848"/>
      <c r="AU1414" s="848"/>
      <c r="AV1414" s="848"/>
      <c r="AW1414" s="848"/>
      <c r="AX1414" s="848"/>
      <c r="AY1414" s="1077"/>
      <c r="AZ1414" s="848"/>
      <c r="BA1414" s="848"/>
      <c r="BB1414" s="848"/>
      <c r="BC1414" s="848"/>
      <c r="BD1414" s="848"/>
      <c r="BE1414" s="848"/>
      <c r="BF1414" s="848"/>
      <c r="BG1414" s="848"/>
      <c r="BH1414" s="848"/>
      <c r="BJ1414" s="1184" t="s">
        <v>4763</v>
      </c>
    </row>
    <row r="1415" spans="1:62" x14ac:dyDescent="0.3">
      <c r="A1415" s="1200">
        <v>8</v>
      </c>
      <c r="B1415" s="1210">
        <v>801.1</v>
      </c>
      <c r="C1415" s="1203"/>
      <c r="D1415" s="1203"/>
      <c r="E1415" s="1203" t="s">
        <v>275</v>
      </c>
      <c r="F1415" s="1203"/>
      <c r="G1415" s="1202" t="str">
        <f t="shared" ca="1" si="442"/>
        <v/>
      </c>
      <c r="H1415" s="1200" t="s">
        <v>4386</v>
      </c>
      <c r="I1415" s="66"/>
      <c r="J1415" s="203" t="s">
        <v>275</v>
      </c>
      <c r="K1415" s="140"/>
      <c r="L1415" s="1305" t="s">
        <v>853</v>
      </c>
      <c r="M1415" s="1318">
        <v>29</v>
      </c>
      <c r="N1415" s="850"/>
      <c r="O1415" s="850"/>
      <c r="P1415" s="848"/>
      <c r="Q1415" s="848"/>
      <c r="R1415" s="848"/>
      <c r="S1415" s="848"/>
      <c r="T1415" s="848"/>
      <c r="U1415" s="848"/>
      <c r="V1415" s="848"/>
      <c r="W1415" s="848"/>
      <c r="X1415" s="1303"/>
      <c r="Y1415" s="1522"/>
      <c r="Z1415" s="1586"/>
      <c r="AB1415" s="848"/>
      <c r="AC1415" s="848"/>
      <c r="AD1415" s="848"/>
      <c r="AE1415" s="848"/>
      <c r="AF1415" s="848"/>
      <c r="AG1415" s="848"/>
      <c r="AH1415" s="848"/>
      <c r="AI1415" s="848"/>
      <c r="AJ1415" s="848"/>
      <c r="AK1415" s="848"/>
      <c r="AL1415" s="311" t="str">
        <f t="shared" ref="AL1415" si="444">SUBSTITUTE(SUBSTITUTE(SUBSTITUTE("vpa"&amp;$B1415&amp;$C1415&amp;$D1415&amp;$E1415&amp;$F1415,".","_"),"(","_"),")","")</f>
        <v>vpa801_1_3</v>
      </c>
      <c r="AM1415" s="311">
        <f>M1415</f>
        <v>29</v>
      </c>
      <c r="AN1415" s="848"/>
      <c r="AO1415" s="848"/>
      <c r="AP1415" s="848"/>
      <c r="AQ1415" s="848"/>
      <c r="AR1415" s="848"/>
      <c r="AS1415" s="848"/>
      <c r="AT1415" s="848"/>
      <c r="AU1415" s="848"/>
      <c r="AV1415" s="848"/>
      <c r="AW1415" s="848"/>
      <c r="AX1415" s="908" t="str">
        <f>'Overview (Verification)'!A26</f>
        <v>HERS Index (if available):</v>
      </c>
      <c r="AY1415" s="1077">
        <f>IF(LEN('Overview (Verification)'!P26)=0,0,'Overview (Verification)'!P26)</f>
        <v>0</v>
      </c>
      <c r="AZ1415" s="848"/>
      <c r="BA1415" s="848"/>
      <c r="BB1415" s="848"/>
      <c r="BC1415" s="848"/>
      <c r="BD1415" s="848"/>
      <c r="BE1415" s="848"/>
      <c r="BF1415" s="848"/>
      <c r="BG1415" s="848"/>
      <c r="BH1415" s="848"/>
      <c r="BJ1415" s="1184" t="s">
        <v>4763</v>
      </c>
    </row>
    <row r="1416" spans="1:62" x14ac:dyDescent="0.3">
      <c r="A1416" s="1200">
        <v>8</v>
      </c>
      <c r="B1416" s="1210">
        <v>801.1</v>
      </c>
      <c r="C1416" s="1203"/>
      <c r="D1416" s="1203"/>
      <c r="E1416" s="1203" t="s">
        <v>275</v>
      </c>
      <c r="F1416" s="1203"/>
      <c r="G1416" s="1202" t="str">
        <f t="shared" ca="1" si="442"/>
        <v/>
      </c>
      <c r="H1416" s="1200" t="s">
        <v>4386</v>
      </c>
      <c r="I1416" s="66"/>
      <c r="J1416" s="231"/>
      <c r="K1416" s="238"/>
      <c r="L1416" s="1306"/>
      <c r="M1416" s="1319"/>
      <c r="N1416" s="850"/>
      <c r="O1416" s="850"/>
      <c r="P1416" s="848"/>
      <c r="Q1416" s="848"/>
      <c r="R1416" s="848"/>
      <c r="S1416" s="848"/>
      <c r="T1416" s="848"/>
      <c r="U1416" s="848"/>
      <c r="V1416" s="848"/>
      <c r="W1416" s="848"/>
      <c r="X1416" s="1303"/>
      <c r="Y1416" s="1522"/>
      <c r="Z1416" s="1586"/>
      <c r="AB1416" s="848"/>
      <c r="AC1416" s="848"/>
      <c r="AD1416" s="848"/>
      <c r="AE1416" s="848"/>
      <c r="AF1416" s="848"/>
      <c r="AG1416" s="848"/>
      <c r="AH1416" s="848"/>
      <c r="AI1416" s="848"/>
      <c r="AJ1416" s="848"/>
      <c r="AK1416" s="848"/>
      <c r="AL1416" s="848"/>
      <c r="AM1416" s="848"/>
      <c r="AN1416" s="848"/>
      <c r="AO1416" s="848"/>
      <c r="AP1416" s="848"/>
      <c r="AQ1416" s="848"/>
      <c r="AR1416" s="848"/>
      <c r="AS1416" s="848"/>
      <c r="AT1416" s="848"/>
      <c r="AU1416" s="848"/>
      <c r="AV1416" s="848"/>
      <c r="AW1416" s="848"/>
      <c r="AX1416" s="908" t="str">
        <f>'Overview (Verification)'!A27</f>
        <v>Foundation Type:</v>
      </c>
      <c r="AY1416" s="1077">
        <f>IF(LEN('Overview (Verification)'!P27)=0,0,'Overview (Verification)'!P27)</f>
        <v>0</v>
      </c>
      <c r="AZ1416" s="848"/>
      <c r="BA1416" s="848"/>
      <c r="BB1416" s="848"/>
      <c r="BC1416" s="848"/>
      <c r="BD1416" s="848"/>
      <c r="BE1416" s="848"/>
      <c r="BF1416" s="848"/>
      <c r="BG1416" s="848"/>
      <c r="BH1416" s="848"/>
      <c r="BJ1416" s="1184" t="s">
        <v>4763</v>
      </c>
    </row>
    <row r="1417" spans="1:62" x14ac:dyDescent="0.3">
      <c r="A1417" s="1200">
        <v>8</v>
      </c>
      <c r="B1417" s="1210">
        <v>801.1</v>
      </c>
      <c r="C1417" s="1203"/>
      <c r="D1417" s="1203"/>
      <c r="E1417" s="1203" t="s">
        <v>285</v>
      </c>
      <c r="F1417" s="1203"/>
      <c r="G1417" s="1202" t="str">
        <f t="shared" ca="1" si="442"/>
        <v/>
      </c>
      <c r="H1417" s="1200" t="s">
        <v>4386</v>
      </c>
      <c r="I1417" s="66"/>
      <c r="J1417" s="27" t="s">
        <v>285</v>
      </c>
      <c r="K1417" s="4"/>
      <c r="L1417" s="1329" t="s">
        <v>854</v>
      </c>
      <c r="M1417" s="1335">
        <v>35</v>
      </c>
      <c r="N1417" s="850"/>
      <c r="O1417" s="850"/>
      <c r="P1417" s="848"/>
      <c r="Q1417" s="848"/>
      <c r="R1417" s="848"/>
      <c r="S1417" s="848"/>
      <c r="T1417" s="848"/>
      <c r="U1417" s="848"/>
      <c r="V1417" s="848"/>
      <c r="W1417" s="848"/>
      <c r="X1417" s="1303"/>
      <c r="Y1417" s="1522"/>
      <c r="Z1417" s="1586"/>
      <c r="AB1417" s="848"/>
      <c r="AC1417" s="848"/>
      <c r="AD1417" s="848"/>
      <c r="AE1417" s="848"/>
      <c r="AF1417" s="848"/>
      <c r="AG1417" s="848"/>
      <c r="AH1417" s="848"/>
      <c r="AI1417" s="848"/>
      <c r="AJ1417" s="848"/>
      <c r="AK1417" s="848"/>
      <c r="AL1417" s="311" t="str">
        <f t="shared" ref="AL1417" si="445">SUBSTITUTE(SUBSTITUTE(SUBSTITUTE("vpa"&amp;$B1417&amp;$C1417&amp;$D1417&amp;$E1417&amp;$F1417,".","_"),"(","_"),")","")</f>
        <v>vpa801_1_4</v>
      </c>
      <c r="AM1417" s="311">
        <f>M1417</f>
        <v>35</v>
      </c>
      <c r="AN1417" s="848"/>
      <c r="AO1417" s="848"/>
      <c r="AP1417" s="848"/>
      <c r="AQ1417" s="848"/>
      <c r="AR1417" s="848"/>
      <c r="AS1417" s="848"/>
      <c r="AT1417" s="848"/>
      <c r="AU1417" s="848"/>
      <c r="AV1417" s="848"/>
      <c r="AW1417" s="848"/>
      <c r="AX1417" s="849"/>
      <c r="AY1417" s="1077"/>
      <c r="AZ1417" s="848"/>
      <c r="BA1417" s="848"/>
      <c r="BB1417" s="848"/>
      <c r="BC1417" s="848"/>
      <c r="BD1417" s="848"/>
      <c r="BE1417" s="848"/>
      <c r="BF1417" s="848"/>
      <c r="BG1417" s="848"/>
      <c r="BH1417" s="848"/>
      <c r="BJ1417" s="1184" t="s">
        <v>4763</v>
      </c>
    </row>
    <row r="1418" spans="1:62" x14ac:dyDescent="0.3">
      <c r="A1418" s="1200">
        <v>8</v>
      </c>
      <c r="B1418" s="1210">
        <v>801.1</v>
      </c>
      <c r="C1418" s="1203"/>
      <c r="D1418" s="1203"/>
      <c r="E1418" s="1203" t="s">
        <v>285</v>
      </c>
      <c r="F1418" s="1203"/>
      <c r="G1418" s="1202" t="str">
        <f t="shared" ca="1" si="442"/>
        <v/>
      </c>
      <c r="H1418" s="1200" t="s">
        <v>4386</v>
      </c>
      <c r="I1418" s="66"/>
      <c r="J1418" s="4"/>
      <c r="K1418" s="4"/>
      <c r="L1418" s="1329"/>
      <c r="M1418" s="1335"/>
      <c r="N1418" s="850"/>
      <c r="O1418" s="850"/>
      <c r="P1418" s="848"/>
      <c r="Q1418" s="848"/>
      <c r="R1418" s="848"/>
      <c r="S1418" s="848"/>
      <c r="T1418" s="848"/>
      <c r="U1418" s="848"/>
      <c r="V1418" s="848"/>
      <c r="W1418" s="848"/>
      <c r="X1418" s="1303"/>
      <c r="Y1418" s="1522"/>
      <c r="Z1418" s="1586"/>
      <c r="AB1418" s="848"/>
      <c r="AC1418" s="848"/>
      <c r="AD1418" s="848"/>
      <c r="AE1418" s="848"/>
      <c r="AF1418" s="848"/>
      <c r="AG1418" s="848"/>
      <c r="AH1418" s="848"/>
      <c r="AI1418" s="848"/>
      <c r="AJ1418" s="848"/>
      <c r="AK1418" s="848"/>
      <c r="AL1418" s="848"/>
      <c r="AM1418" s="848"/>
      <c r="AN1418" s="848"/>
      <c r="AO1418" s="848"/>
      <c r="AP1418" s="848"/>
      <c r="AQ1418" s="848"/>
      <c r="AR1418" s="848"/>
      <c r="AS1418" s="848"/>
      <c r="AT1418" s="848"/>
      <c r="AU1418" s="848"/>
      <c r="AV1418" s="848"/>
      <c r="AW1418" s="848"/>
      <c r="AX1418" s="908" t="str">
        <f>'Overview (Verification)'!A29</f>
        <v>Type of Heating System (main system):</v>
      </c>
      <c r="AY1418" s="1077">
        <f>IF(LEN('Overview (Verification)'!P29)=0,0,'Overview (Verification)'!P29)</f>
        <v>0</v>
      </c>
      <c r="AZ1418" s="848"/>
      <c r="BA1418" s="848"/>
      <c r="BB1418" s="848"/>
      <c r="BC1418" s="848"/>
      <c r="BD1418" s="848"/>
      <c r="BE1418" s="848"/>
      <c r="BF1418" s="848"/>
      <c r="BG1418" s="848"/>
      <c r="BH1418" s="848"/>
      <c r="BJ1418" s="1184" t="s">
        <v>4763</v>
      </c>
    </row>
    <row r="1419" spans="1:62" x14ac:dyDescent="0.3">
      <c r="A1419" s="1200">
        <v>8</v>
      </c>
      <c r="B1419" s="1210">
        <v>801.1</v>
      </c>
      <c r="C1419" s="1203"/>
      <c r="D1419" s="1203"/>
      <c r="E1419" s="1203" t="s">
        <v>285</v>
      </c>
      <c r="F1419" s="1203"/>
      <c r="G1419" s="1202" t="str">
        <f t="shared" ca="1" si="442"/>
        <v/>
      </c>
      <c r="H1419" s="1200" t="s">
        <v>4386</v>
      </c>
      <c r="I1419" s="66"/>
      <c r="J1419" s="4"/>
      <c r="K1419" s="4"/>
      <c r="L1419" s="1329"/>
      <c r="M1419" s="1335"/>
      <c r="N1419" s="850"/>
      <c r="O1419" s="850"/>
      <c r="P1419" s="848"/>
      <c r="Q1419" s="848"/>
      <c r="R1419" s="848"/>
      <c r="S1419" s="848"/>
      <c r="T1419" s="848"/>
      <c r="U1419" s="848"/>
      <c r="V1419" s="848"/>
      <c r="W1419" s="848"/>
      <c r="X1419" s="1303"/>
      <c r="Y1419" s="1522"/>
      <c r="Z1419" s="1586"/>
      <c r="AB1419" s="848"/>
      <c r="AC1419" s="848"/>
      <c r="AD1419" s="848"/>
      <c r="AE1419" s="848"/>
      <c r="AF1419" s="848"/>
      <c r="AG1419" s="848"/>
      <c r="AH1419" s="848"/>
      <c r="AI1419" s="848"/>
      <c r="AJ1419" s="848"/>
      <c r="AK1419" s="848"/>
      <c r="AL1419" s="848"/>
      <c r="AM1419" s="848"/>
      <c r="AN1419" s="848"/>
      <c r="AO1419" s="848"/>
      <c r="AP1419" s="848"/>
      <c r="AQ1419" s="848"/>
      <c r="AR1419" s="848"/>
      <c r="AS1419" s="848"/>
      <c r="AT1419" s="848"/>
      <c r="AU1419" s="848"/>
      <c r="AV1419" s="848"/>
      <c r="AW1419" s="848"/>
      <c r="AX1419" s="908" t="str">
        <f>'Overview (Verification)'!A30</f>
        <v>Type of Heating System (system 2):</v>
      </c>
      <c r="AY1419" s="1077">
        <f>IF(LEN('Overview (Verification)'!P30)=0,0,'Overview (Verification)'!P30)</f>
        <v>0</v>
      </c>
      <c r="AZ1419" s="848"/>
      <c r="BA1419" s="848"/>
      <c r="BB1419" s="848"/>
      <c r="BC1419" s="848"/>
      <c r="BD1419" s="848"/>
      <c r="BE1419" s="848"/>
      <c r="BF1419" s="848"/>
      <c r="BG1419" s="848"/>
      <c r="BH1419" s="848"/>
      <c r="BJ1419" s="1184" t="s">
        <v>4763</v>
      </c>
    </row>
    <row r="1420" spans="1:62" x14ac:dyDescent="0.3">
      <c r="A1420" s="1200">
        <v>8</v>
      </c>
      <c r="B1420" s="1210">
        <v>801.1</v>
      </c>
      <c r="C1420" s="1203"/>
      <c r="D1420" s="1203"/>
      <c r="E1420" s="1203" t="s">
        <v>285</v>
      </c>
      <c r="F1420" s="1203" t="s">
        <v>121</v>
      </c>
      <c r="G1420" s="1202" t="str">
        <f t="shared" ca="1" si="442"/>
        <v/>
      </c>
      <c r="H1420" s="1204" t="s">
        <v>4386</v>
      </c>
      <c r="I1420" s="4"/>
      <c r="J1420" s="140"/>
      <c r="K1420" s="203" t="s">
        <v>121</v>
      </c>
      <c r="L1420" s="1305" t="s">
        <v>855</v>
      </c>
      <c r="M1420" s="1318" t="s">
        <v>856</v>
      </c>
      <c r="N1420" s="850"/>
      <c r="O1420" s="850"/>
      <c r="P1420" s="848"/>
      <c r="Q1420" s="848"/>
      <c r="R1420" s="848"/>
      <c r="S1420" s="848"/>
      <c r="T1420" s="848"/>
      <c r="U1420" s="848"/>
      <c r="V1420" s="848"/>
      <c r="W1420" s="848"/>
      <c r="X1420" s="1303"/>
      <c r="Y1420" s="1522"/>
      <c r="Z1420" s="1586"/>
      <c r="AB1420" s="848"/>
      <c r="AC1420" s="848"/>
      <c r="AD1420" s="848"/>
      <c r="AE1420" s="848"/>
      <c r="AF1420" s="848"/>
      <c r="AG1420" s="848"/>
      <c r="AH1420" s="848"/>
      <c r="AI1420" s="848"/>
      <c r="AJ1420" s="848"/>
      <c r="AK1420" s="848"/>
      <c r="AL1420" s="311" t="str">
        <f t="shared" ref="AL1420" si="446">SUBSTITUTE(SUBSTITUTE(SUBSTITUTE("vpa"&amp;$B1420&amp;$C1420&amp;$D1420&amp;$E1420&amp;$F1420,".","_"),"(","_"),")","")</f>
        <v>vpa801_1_4_a</v>
      </c>
      <c r="AM1420" s="311" t="str">
        <f>M1420</f>
        <v>4 Additional</v>
      </c>
      <c r="AN1420" s="848"/>
      <c r="AO1420" s="848"/>
      <c r="AP1420" s="848"/>
      <c r="AQ1420" s="848"/>
      <c r="AR1420" s="848"/>
      <c r="AS1420" s="848"/>
      <c r="AT1420" s="848"/>
      <c r="AU1420" s="848"/>
      <c r="AV1420" s="848"/>
      <c r="AW1420" s="848"/>
      <c r="AX1420" s="908" t="str">
        <f>'Overview (Verification)'!A31</f>
        <v>Type of Heating System (system 3):</v>
      </c>
      <c r="AY1420" s="1077">
        <f>IF(LEN('Overview (Verification)'!P31)=0,0,'Overview (Verification)'!P31)</f>
        <v>0</v>
      </c>
      <c r="AZ1420" s="848"/>
      <c r="BA1420" s="848"/>
      <c r="BB1420" s="848"/>
      <c r="BC1420" s="848"/>
      <c r="BD1420" s="848"/>
      <c r="BE1420" s="848"/>
      <c r="BF1420" s="848"/>
      <c r="BG1420" s="848"/>
      <c r="BH1420" s="848"/>
      <c r="BJ1420" s="1184" t="s">
        <v>4763</v>
      </c>
    </row>
    <row r="1421" spans="1:62" x14ac:dyDescent="0.3">
      <c r="A1421" s="1200">
        <v>8</v>
      </c>
      <c r="B1421" s="1210">
        <v>801.1</v>
      </c>
      <c r="C1421" s="1203"/>
      <c r="D1421" s="1203"/>
      <c r="E1421" s="1203" t="s">
        <v>285</v>
      </c>
      <c r="F1421" s="1203" t="s">
        <v>121</v>
      </c>
      <c r="G1421" s="1202" t="str">
        <f t="shared" ca="1" si="442"/>
        <v/>
      </c>
      <c r="H1421" s="1204" t="s">
        <v>4386</v>
      </c>
      <c r="I1421" s="66"/>
      <c r="J1421" s="238"/>
      <c r="K1421" s="238"/>
      <c r="L1421" s="1306"/>
      <c r="M1421" s="1319"/>
      <c r="N1421" s="850"/>
      <c r="O1421" s="850"/>
      <c r="P1421" s="848"/>
      <c r="Q1421" s="848"/>
      <c r="R1421" s="848"/>
      <c r="S1421" s="848"/>
      <c r="T1421" s="848"/>
      <c r="U1421" s="848"/>
      <c r="V1421" s="848"/>
      <c r="W1421" s="848"/>
      <c r="X1421" s="1303"/>
      <c r="Y1421" s="1522"/>
      <c r="Z1421" s="1586"/>
      <c r="AB1421" s="848"/>
      <c r="AC1421" s="848"/>
      <c r="AD1421" s="848"/>
      <c r="AE1421" s="848"/>
      <c r="AF1421" s="848"/>
      <c r="AG1421" s="848"/>
      <c r="AH1421" s="848"/>
      <c r="AI1421" s="848"/>
      <c r="AJ1421" s="848"/>
      <c r="AK1421" s="848"/>
      <c r="AL1421" s="848"/>
      <c r="AM1421" s="848"/>
      <c r="AN1421" s="848"/>
      <c r="AO1421" s="848"/>
      <c r="AP1421" s="848"/>
      <c r="AQ1421" s="848"/>
      <c r="AR1421" s="848"/>
      <c r="AS1421" s="848"/>
      <c r="AT1421" s="848"/>
      <c r="AU1421" s="848"/>
      <c r="AV1421" s="848"/>
      <c r="AW1421" s="848"/>
      <c r="AX1421" s="908" t="str">
        <f>'Overview (Verification)'!A32</f>
        <v>Heating Fuel:</v>
      </c>
      <c r="AY1421" s="1077">
        <f>IF(LEN('Overview (Verification)'!P32)=0,0,'Overview (Verification)'!P32)</f>
        <v>0</v>
      </c>
      <c r="AZ1421" s="848"/>
      <c r="BA1421" s="848"/>
      <c r="BB1421" s="848"/>
      <c r="BC1421" s="848"/>
      <c r="BD1421" s="848"/>
      <c r="BE1421" s="848"/>
      <c r="BF1421" s="848"/>
      <c r="BG1421" s="848"/>
      <c r="BH1421" s="848"/>
      <c r="BJ1421" s="1184" t="s">
        <v>4763</v>
      </c>
    </row>
    <row r="1422" spans="1:62" x14ac:dyDescent="0.3">
      <c r="A1422" s="1200">
        <v>8</v>
      </c>
      <c r="B1422" s="1210">
        <v>801.1</v>
      </c>
      <c r="C1422" s="1203"/>
      <c r="D1422" s="1203"/>
      <c r="E1422" s="1203" t="s">
        <v>291</v>
      </c>
      <c r="F1422" s="1203"/>
      <c r="G1422" s="1202" t="str">
        <f t="shared" ca="1" si="442"/>
        <v/>
      </c>
      <c r="H1422" s="1200" t="s">
        <v>4386</v>
      </c>
      <c r="I1422" s="66"/>
      <c r="J1422" s="203" t="s">
        <v>291</v>
      </c>
      <c r="K1422" s="140"/>
      <c r="L1422" s="1305" t="s">
        <v>857</v>
      </c>
      <c r="M1422" s="1318">
        <v>9</v>
      </c>
      <c r="N1422" s="854"/>
      <c r="O1422" s="854"/>
      <c r="P1422" s="848"/>
      <c r="Q1422" s="848"/>
      <c r="R1422" s="848"/>
      <c r="S1422" s="848"/>
      <c r="T1422" s="848"/>
      <c r="U1422" s="848"/>
      <c r="V1422" s="848"/>
      <c r="W1422" s="848"/>
      <c r="X1422" s="1303"/>
      <c r="Y1422" s="1522" t="str">
        <f>IF(LEN('Ch8'!X36)=0,"None",'Ch8'!X36)</f>
        <v>None</v>
      </c>
      <c r="Z1422" s="1586"/>
      <c r="AB1422" s="848"/>
      <c r="AC1422" s="848"/>
      <c r="AD1422" s="848"/>
      <c r="AE1422" s="848"/>
      <c r="AF1422" s="848"/>
      <c r="AG1422" s="848"/>
      <c r="AH1422" s="848"/>
      <c r="AI1422" s="848"/>
      <c r="AJ1422" s="848"/>
      <c r="AK1422" s="848"/>
      <c r="AL1422" s="311" t="str">
        <f t="shared" ref="AL1422" si="447">SUBSTITUTE(SUBSTITUTE(SUBSTITUTE("vpa"&amp;$B1422&amp;$C1422&amp;$D1422&amp;$E1422&amp;$F1422,".","_"),"(","_"),")","")</f>
        <v>vpa801_1_5</v>
      </c>
      <c r="AM1422" s="311">
        <f>M1422</f>
        <v>9</v>
      </c>
      <c r="AN1422" s="848"/>
      <c r="AO1422" s="848"/>
      <c r="AP1422" s="848"/>
      <c r="AQ1422" s="848"/>
      <c r="AR1422" s="311" t="str">
        <f>SUBSTITUTE(SUBSTITUTE(SUBSTITUTE("vnt"&amp;$B1422&amp;$C1422&amp;$D1422&amp;$E1422&amp;$F1422,".","_"),"(","_"),")","")</f>
        <v>vnt801_1_5</v>
      </c>
      <c r="AS1422" s="311">
        <f>X1422</f>
        <v>0</v>
      </c>
      <c r="AT1422" s="848"/>
      <c r="AU1422" s="848"/>
      <c r="AV1422" s="848"/>
      <c r="AW1422" s="848"/>
      <c r="AX1422" s="908" t="str">
        <f>'Overview (Verification)'!A33</f>
        <v>Heating Ducts:</v>
      </c>
      <c r="AY1422" s="1077">
        <f>IF(LEN('Overview (Verification)'!P33)=0,0,'Overview (Verification)'!P33)</f>
        <v>0</v>
      </c>
      <c r="AZ1422" s="848"/>
      <c r="BA1422" s="848"/>
      <c r="BB1422" s="848"/>
      <c r="BC1422" s="848"/>
      <c r="BD1422" s="848"/>
      <c r="BE1422" s="848"/>
      <c r="BF1422" s="848"/>
      <c r="BG1422" s="848"/>
      <c r="BH1422" s="848"/>
      <c r="BJ1422" s="1184" t="s">
        <v>4763</v>
      </c>
    </row>
    <row r="1423" spans="1:62" x14ac:dyDescent="0.3">
      <c r="A1423" s="1200">
        <v>8</v>
      </c>
      <c r="B1423" s="1210">
        <v>801.1</v>
      </c>
      <c r="C1423" s="1203"/>
      <c r="D1423" s="1203"/>
      <c r="E1423" s="1203" t="s">
        <v>291</v>
      </c>
      <c r="F1423" s="1203"/>
      <c r="G1423" s="1202" t="str">
        <f t="shared" ca="1" si="442"/>
        <v/>
      </c>
      <c r="H1423" s="1200" t="s">
        <v>4386</v>
      </c>
      <c r="I1423" s="66"/>
      <c r="J1423" s="140"/>
      <c r="K1423" s="140"/>
      <c r="L1423" s="1305"/>
      <c r="M1423" s="1318"/>
      <c r="N1423" s="854"/>
      <c r="O1423" s="854"/>
      <c r="P1423" s="848"/>
      <c r="Q1423" s="848"/>
      <c r="R1423" s="848"/>
      <c r="S1423" s="848"/>
      <c r="T1423" s="848"/>
      <c r="U1423" s="848"/>
      <c r="V1423" s="848"/>
      <c r="W1423" s="848"/>
      <c r="X1423" s="1303"/>
      <c r="Y1423" s="1522"/>
      <c r="Z1423" s="1586"/>
      <c r="AB1423" s="848"/>
      <c r="AC1423" s="848"/>
      <c r="AD1423" s="848"/>
      <c r="AE1423" s="848"/>
      <c r="AF1423" s="848"/>
      <c r="AG1423" s="848"/>
      <c r="AH1423" s="848"/>
      <c r="AI1423" s="848"/>
      <c r="AJ1423" s="848"/>
      <c r="AK1423" s="848"/>
      <c r="AL1423" s="848"/>
      <c r="AM1423" s="848"/>
      <c r="AN1423" s="848"/>
      <c r="AO1423" s="848"/>
      <c r="AP1423" s="848"/>
      <c r="AQ1423" s="848"/>
      <c r="AR1423" s="848"/>
      <c r="AS1423" s="848"/>
      <c r="AT1423" s="848"/>
      <c r="AU1423" s="848"/>
      <c r="AV1423" s="848"/>
      <c r="AW1423" s="848"/>
      <c r="AX1423" s="908" t="str">
        <f>'Overview (Verification)'!A34</f>
        <v>Type of Cooling System (main system):</v>
      </c>
      <c r="AY1423" s="1077">
        <f>IF(LEN('Overview (Verification)'!P34)=0,0,'Overview (Verification)'!P34)</f>
        <v>0</v>
      </c>
      <c r="AZ1423" s="848"/>
      <c r="BA1423" s="848"/>
      <c r="BB1423" s="848"/>
      <c r="BC1423" s="848"/>
      <c r="BD1423" s="848"/>
      <c r="BE1423" s="848"/>
      <c r="BF1423" s="848"/>
      <c r="BG1423" s="848"/>
      <c r="BH1423" s="848"/>
      <c r="BJ1423" s="1184" t="s">
        <v>4763</v>
      </c>
    </row>
    <row r="1424" spans="1:62" x14ac:dyDescent="0.3">
      <c r="A1424" s="1200">
        <v>8</v>
      </c>
      <c r="B1424" s="1210">
        <v>801.1</v>
      </c>
      <c r="C1424" s="1203"/>
      <c r="D1424" s="1203"/>
      <c r="E1424" s="1203" t="s">
        <v>291</v>
      </c>
      <c r="F1424" s="1203"/>
      <c r="G1424" s="1202" t="str">
        <f t="shared" ca="1" si="442"/>
        <v/>
      </c>
      <c r="H1424" s="1200" t="s">
        <v>4386</v>
      </c>
      <c r="I1424" s="66"/>
      <c r="J1424" s="140"/>
      <c r="K1424" s="140"/>
      <c r="L1424" s="1305"/>
      <c r="M1424" s="1318"/>
      <c r="N1424" s="854"/>
      <c r="O1424" s="854"/>
      <c r="P1424" s="848"/>
      <c r="Q1424" s="848"/>
      <c r="R1424" s="848"/>
      <c r="S1424" s="848"/>
      <c r="T1424" s="848"/>
      <c r="U1424" s="848"/>
      <c r="V1424" s="848"/>
      <c r="W1424" s="848"/>
      <c r="X1424" s="1303"/>
      <c r="Y1424" s="1522"/>
      <c r="Z1424" s="1586"/>
      <c r="AB1424" s="848"/>
      <c r="AC1424" s="848"/>
      <c r="AD1424" s="848"/>
      <c r="AE1424" s="848"/>
      <c r="AF1424" s="848"/>
      <c r="AG1424" s="848"/>
      <c r="AH1424" s="848"/>
      <c r="AI1424" s="848"/>
      <c r="AJ1424" s="848"/>
      <c r="AK1424" s="848"/>
      <c r="AL1424" s="848"/>
      <c r="AM1424" s="848"/>
      <c r="AN1424" s="848"/>
      <c r="AO1424" s="848"/>
      <c r="AP1424" s="848"/>
      <c r="AQ1424" s="848"/>
      <c r="AR1424" s="848"/>
      <c r="AS1424" s="848"/>
      <c r="AT1424" s="848"/>
      <c r="AU1424" s="848"/>
      <c r="AV1424" s="848"/>
      <c r="AW1424" s="848"/>
      <c r="AX1424" s="908" t="str">
        <f>'Overview (Verification)'!A35</f>
        <v>Type of Cooling System (system 2):</v>
      </c>
      <c r="AY1424" s="1077">
        <f>IF(LEN('Overview (Verification)'!P35)=0,0,'Overview (Verification)'!P35)</f>
        <v>0</v>
      </c>
      <c r="AZ1424" s="848"/>
      <c r="BA1424" s="848"/>
      <c r="BB1424" s="848"/>
      <c r="BC1424" s="848"/>
      <c r="BD1424" s="848"/>
      <c r="BE1424" s="848"/>
      <c r="BF1424" s="848"/>
      <c r="BG1424" s="848"/>
      <c r="BH1424" s="848"/>
      <c r="BJ1424" s="1184" t="s">
        <v>4763</v>
      </c>
    </row>
    <row r="1425" spans="1:62" x14ac:dyDescent="0.3">
      <c r="A1425" s="1200">
        <v>8</v>
      </c>
      <c r="B1425" s="1210">
        <v>801.1</v>
      </c>
      <c r="C1425" s="1203"/>
      <c r="D1425" s="1203"/>
      <c r="E1425" s="1203" t="s">
        <v>291</v>
      </c>
      <c r="F1425" s="1203"/>
      <c r="G1425" s="1202" t="str">
        <f t="shared" ca="1" si="442"/>
        <v/>
      </c>
      <c r="H1425" s="1200" t="s">
        <v>4386</v>
      </c>
      <c r="I1425" s="66"/>
      <c r="J1425" s="140"/>
      <c r="K1425" s="140"/>
      <c r="L1425" s="1305"/>
      <c r="M1425" s="1318"/>
      <c r="N1425" s="854"/>
      <c r="O1425" s="854"/>
      <c r="P1425" s="848"/>
      <c r="Q1425" s="848"/>
      <c r="R1425" s="848"/>
      <c r="S1425" s="848"/>
      <c r="T1425" s="848"/>
      <c r="U1425" s="848"/>
      <c r="V1425" s="848"/>
      <c r="W1425" s="848"/>
      <c r="X1425" s="1303"/>
      <c r="Y1425" s="1522"/>
      <c r="Z1425" s="1586"/>
      <c r="AB1425" s="848"/>
      <c r="AC1425" s="848"/>
      <c r="AD1425" s="848"/>
      <c r="AE1425" s="848"/>
      <c r="AF1425" s="848"/>
      <c r="AG1425" s="848"/>
      <c r="AH1425" s="848"/>
      <c r="AI1425" s="848"/>
      <c r="AJ1425" s="848"/>
      <c r="AK1425" s="848"/>
      <c r="AL1425" s="848"/>
      <c r="AM1425" s="848"/>
      <c r="AN1425" s="848"/>
      <c r="AO1425" s="848"/>
      <c r="AP1425" s="848"/>
      <c r="AQ1425" s="848"/>
      <c r="AR1425" s="848"/>
      <c r="AS1425" s="848"/>
      <c r="AT1425" s="848"/>
      <c r="AU1425" s="848"/>
      <c r="AV1425" s="848"/>
      <c r="AW1425" s="848"/>
      <c r="AX1425" s="908" t="str">
        <f>'Overview (Verification)'!A36</f>
        <v>Type of Cooling System (system 3):</v>
      </c>
      <c r="AY1425" s="1077">
        <f>IF(LEN('Overview (Verification)'!P36)=0,0,'Overview (Verification)'!P36)</f>
        <v>0</v>
      </c>
      <c r="AZ1425" s="848"/>
      <c r="BA1425" s="848"/>
      <c r="BB1425" s="848"/>
      <c r="BC1425" s="848"/>
      <c r="BD1425" s="848"/>
      <c r="BE1425" s="848"/>
      <c r="BF1425" s="848"/>
      <c r="BG1425" s="848"/>
      <c r="BH1425" s="848"/>
      <c r="BJ1425" s="1184" t="s">
        <v>4763</v>
      </c>
    </row>
    <row r="1426" spans="1:62" x14ac:dyDescent="0.3">
      <c r="A1426" s="1200">
        <v>8</v>
      </c>
      <c r="B1426" s="1210">
        <v>801.1</v>
      </c>
      <c r="C1426" s="1203"/>
      <c r="D1426" s="1203"/>
      <c r="E1426" s="1203" t="s">
        <v>291</v>
      </c>
      <c r="F1426" s="1203"/>
      <c r="G1426" s="1202" t="str">
        <f t="shared" ca="1" si="442"/>
        <v/>
      </c>
      <c r="H1426" s="1200" t="s">
        <v>4386</v>
      </c>
      <c r="I1426" s="66"/>
      <c r="J1426" s="238"/>
      <c r="K1426" s="238"/>
      <c r="L1426" s="1306"/>
      <c r="M1426" s="1319"/>
      <c r="N1426" s="855"/>
      <c r="O1426" s="855"/>
      <c r="P1426" s="848"/>
      <c r="Q1426" s="848"/>
      <c r="R1426" s="848"/>
      <c r="S1426" s="848"/>
      <c r="T1426" s="848"/>
      <c r="U1426" s="848"/>
      <c r="V1426" s="848"/>
      <c r="W1426" s="848"/>
      <c r="X1426" s="1303"/>
      <c r="Y1426" s="1522"/>
      <c r="Z1426" s="1586"/>
      <c r="AB1426" s="848"/>
      <c r="AC1426" s="848"/>
      <c r="AD1426" s="848"/>
      <c r="AE1426" s="848"/>
      <c r="AF1426" s="848"/>
      <c r="AG1426" s="848"/>
      <c r="AH1426" s="848"/>
      <c r="AI1426" s="848"/>
      <c r="AJ1426" s="848"/>
      <c r="AK1426" s="848"/>
      <c r="AL1426" s="848"/>
      <c r="AM1426" s="848"/>
      <c r="AN1426" s="848"/>
      <c r="AO1426" s="848"/>
      <c r="AP1426" s="848"/>
      <c r="AQ1426" s="848"/>
      <c r="AR1426" s="848"/>
      <c r="AS1426" s="848"/>
      <c r="AT1426" s="848"/>
      <c r="AU1426" s="848"/>
      <c r="AV1426" s="848"/>
      <c r="AW1426" s="848"/>
      <c r="AX1426" s="908" t="str">
        <f>'Overview (Verification)'!A37</f>
        <v>Cooling Ducts:</v>
      </c>
      <c r="AY1426" s="1077">
        <f>IF(LEN('Overview (Verification)'!P37)=0,0,'Overview (Verification)'!P37)</f>
        <v>0</v>
      </c>
      <c r="AZ1426" s="848"/>
      <c r="BA1426" s="848"/>
      <c r="BB1426" s="848"/>
      <c r="BC1426" s="848"/>
      <c r="BD1426" s="848"/>
      <c r="BE1426" s="848"/>
      <c r="BF1426" s="848"/>
      <c r="BG1426" s="848"/>
      <c r="BH1426" s="848"/>
      <c r="BJ1426" s="1184" t="s">
        <v>4763</v>
      </c>
    </row>
    <row r="1427" spans="1:62" x14ac:dyDescent="0.3">
      <c r="A1427" s="1200">
        <v>8</v>
      </c>
      <c r="B1427" s="1210">
        <v>801.1</v>
      </c>
      <c r="C1427" s="1203"/>
      <c r="D1427" s="1203"/>
      <c r="E1427" s="1203" t="s">
        <v>293</v>
      </c>
      <c r="F1427" s="1203"/>
      <c r="G1427" s="1202" t="str">
        <f>IF(N1427&gt;0,"P","")</f>
        <v/>
      </c>
      <c r="H1427" s="1200" t="s">
        <v>4386</v>
      </c>
      <c r="I1427" s="141"/>
      <c r="J1427" s="203" t="s">
        <v>293</v>
      </c>
      <c r="K1427" s="140"/>
      <c r="L1427" s="1305" t="s">
        <v>858</v>
      </c>
      <c r="M1427" s="1318" t="s">
        <v>856</v>
      </c>
      <c r="N1427" s="1308">
        <f>'Ch8'!O41</f>
        <v>0</v>
      </c>
      <c r="O1427" s="1308">
        <f>4*S1427*W1427</f>
        <v>0</v>
      </c>
      <c r="P1427" s="848" t="b">
        <v>1</v>
      </c>
      <c r="Q1427" s="848" t="b">
        <v>1</v>
      </c>
      <c r="R1427" s="97" t="b">
        <v>0</v>
      </c>
      <c r="S1427" s="97" t="b">
        <f>AND(S1398,NOT(W1398=""))</f>
        <v>0</v>
      </c>
      <c r="T1427" s="97" t="b">
        <f>IF(AND(NOT(S1427),W1427=TRUE),TRUE,FALSE)</f>
        <v>0</v>
      </c>
      <c r="U1427" s="97"/>
      <c r="V1427" s="97"/>
      <c r="W1427" s="25"/>
      <c r="X1427" s="1295"/>
      <c r="Y1427" s="1523" t="str">
        <f>IF(LEN('Ch8'!X41)=0,"None",'Ch8'!X41)</f>
        <v>None</v>
      </c>
      <c r="Z1427" s="1583"/>
      <c r="AB1427" s="848"/>
      <c r="AC1427" s="848" t="b">
        <f>OR(AD1427:AE1427)</f>
        <v>0</v>
      </c>
      <c r="AD1427" s="848" t="b">
        <f>T1427</f>
        <v>0</v>
      </c>
      <c r="AE1427" s="848" t="b">
        <v>0</v>
      </c>
      <c r="AF1427" s="1182" t="b">
        <f>AND(AE1427,NOT(Q1427))</f>
        <v>0</v>
      </c>
      <c r="AG1427" s="848"/>
      <c r="AH1427" s="848"/>
      <c r="AI1427" s="848"/>
      <c r="AJ1427" s="848"/>
      <c r="AK1427" s="848"/>
      <c r="AL1427" s="311" t="str">
        <f t="shared" ref="AL1427" si="448">SUBSTITUTE(SUBSTITUTE(SUBSTITUTE("vpa"&amp;$B1427&amp;$C1427&amp;$D1427&amp;$E1427&amp;$F1427,".","_"),"(","_"),")","")</f>
        <v>vpa801_1_6</v>
      </c>
      <c r="AM1427" s="311" t="str">
        <f>M1427</f>
        <v>4 Additional</v>
      </c>
      <c r="AN1427" s="311" t="str">
        <f>SUBSTITUTE(SUBSTITUTE(SUBSTITUTE("vpc"&amp;$B1427&amp;$C1427&amp;$D1427&amp;$E1427&amp;$F1427,".","_"),"(","_"),")","")</f>
        <v>vpc801_1_6</v>
      </c>
      <c r="AO1427" s="311">
        <f>O1427</f>
        <v>0</v>
      </c>
      <c r="AP1427" s="311" t="str">
        <f>SUBSTITUTE(SUBSTITUTE(SUBSTITUTE("vch"&amp;$B1427&amp;$C1427&amp;$D1427&amp;$E1427&amp;$F1427,".","_"),"(","_"),")","")</f>
        <v>vch801_1_6</v>
      </c>
      <c r="AQ1427" s="311">
        <f>W1427</f>
        <v>0</v>
      </c>
      <c r="AR1427" s="311" t="str">
        <f>SUBSTITUTE(SUBSTITUTE(SUBSTITUTE("vnt"&amp;$B1427&amp;$C1427&amp;$D1427&amp;$E1427&amp;$F1427,".","_"),"(","_"),")","")</f>
        <v>vnt801_1_6</v>
      </c>
      <c r="AS1427" s="311">
        <f>X1427</f>
        <v>0</v>
      </c>
      <c r="AT1427" s="848"/>
      <c r="AU1427" s="848"/>
      <c r="AV1427" s="848"/>
      <c r="AW1427" s="848"/>
      <c r="AX1427" s="908"/>
      <c r="AY1427" s="1077"/>
      <c r="AZ1427" s="848"/>
      <c r="BA1427" s="848"/>
      <c r="BB1427" s="848"/>
      <c r="BC1427" s="848"/>
      <c r="BD1427" s="848"/>
      <c r="BE1427" s="848"/>
      <c r="BF1427" s="848"/>
      <c r="BG1427" s="848"/>
      <c r="BH1427" s="848"/>
      <c r="BJ1427" s="1184" t="s">
        <v>4763</v>
      </c>
    </row>
    <row r="1428" spans="1:62" x14ac:dyDescent="0.3">
      <c r="A1428" s="1200">
        <v>8</v>
      </c>
      <c r="B1428" s="1210">
        <v>801.1</v>
      </c>
      <c r="C1428" s="1203"/>
      <c r="D1428" s="1203"/>
      <c r="E1428" s="1203" t="s">
        <v>293</v>
      </c>
      <c r="F1428" s="1203"/>
      <c r="G1428" s="1202" t="str">
        <f t="shared" ref="G1428:G1429" si="449">G1427</f>
        <v/>
      </c>
      <c r="H1428" s="1200" t="s">
        <v>4386</v>
      </c>
      <c r="I1428" s="141"/>
      <c r="J1428" s="140"/>
      <c r="K1428" s="140"/>
      <c r="L1428" s="1305"/>
      <c r="M1428" s="1318"/>
      <c r="N1428" s="1308"/>
      <c r="O1428" s="1308"/>
      <c r="P1428" s="97"/>
      <c r="Q1428" s="97"/>
      <c r="R1428" s="97"/>
      <c r="S1428" s="97"/>
      <c r="T1428" s="97"/>
      <c r="U1428" s="97"/>
      <c r="V1428" s="97"/>
      <c r="W1428" s="97"/>
      <c r="X1428" s="1295"/>
      <c r="Y1428" s="1523"/>
      <c r="Z1428" s="1583"/>
      <c r="AB1428" s="848"/>
      <c r="AC1428" s="848"/>
      <c r="AD1428" s="848"/>
      <c r="AE1428" s="848"/>
      <c r="AF1428" s="848"/>
      <c r="AG1428" s="848"/>
      <c r="AH1428" s="848"/>
      <c r="AI1428" s="848"/>
      <c r="AJ1428" s="848"/>
      <c r="AK1428" s="848"/>
      <c r="AL1428" s="848"/>
      <c r="AM1428" s="848"/>
      <c r="AN1428" s="848"/>
      <c r="AO1428" s="848"/>
      <c r="AP1428" s="848"/>
      <c r="AQ1428" s="848"/>
      <c r="AR1428" s="848"/>
      <c r="AS1428" s="848"/>
      <c r="AT1428" s="848"/>
      <c r="AU1428" s="848"/>
      <c r="AV1428" s="848"/>
      <c r="AW1428" s="848"/>
      <c r="AX1428" s="908" t="str">
        <f>'Overview (Verification)'!A39</f>
        <v>Maximum window and door SHGC:</v>
      </c>
      <c r="AY1428" s="1077">
        <f>IF(LEN('Overview (Verification)'!P39)=0,0,'Overview (Verification)'!P39)</f>
        <v>0</v>
      </c>
      <c r="AZ1428" s="848"/>
      <c r="BA1428" s="848"/>
      <c r="BB1428" s="848"/>
      <c r="BC1428" s="848"/>
      <c r="BD1428" s="848"/>
      <c r="BE1428" s="848"/>
      <c r="BF1428" s="848"/>
      <c r="BG1428" s="848"/>
      <c r="BH1428" s="848"/>
      <c r="BJ1428" s="1184" t="s">
        <v>4763</v>
      </c>
    </row>
    <row r="1429" spans="1:62" ht="15" thickBot="1" x14ac:dyDescent="0.35">
      <c r="A1429" s="1200">
        <v>8</v>
      </c>
      <c r="B1429" s="1210">
        <v>801.1</v>
      </c>
      <c r="C1429" s="1203"/>
      <c r="D1429" s="1203"/>
      <c r="E1429" s="1203" t="s">
        <v>293</v>
      </c>
      <c r="F1429" s="1203"/>
      <c r="G1429" s="1202" t="str">
        <f t="shared" si="449"/>
        <v/>
      </c>
      <c r="H1429" s="1200" t="s">
        <v>4386</v>
      </c>
      <c r="I1429" s="212"/>
      <c r="J1429" s="270"/>
      <c r="K1429" s="270"/>
      <c r="L1429" s="1330"/>
      <c r="M1429" s="1334"/>
      <c r="N1429" s="1315"/>
      <c r="O1429" s="1315"/>
      <c r="P1429" s="104"/>
      <c r="Q1429" s="104"/>
      <c r="R1429" s="104"/>
      <c r="S1429" s="104"/>
      <c r="T1429" s="104"/>
      <c r="U1429" s="104"/>
      <c r="V1429" s="104"/>
      <c r="W1429" s="104"/>
      <c r="X1429" s="1296"/>
      <c r="Y1429" s="1524"/>
      <c r="Z1429" s="1584"/>
      <c r="AB1429" s="848"/>
      <c r="AC1429" s="848"/>
      <c r="AD1429" s="848"/>
      <c r="AE1429" s="848"/>
      <c r="AF1429" s="848"/>
      <c r="AG1429" s="848"/>
      <c r="AH1429" s="848"/>
      <c r="AI1429" s="848"/>
      <c r="AJ1429" s="848"/>
      <c r="AK1429" s="848"/>
      <c r="AL1429" s="848"/>
      <c r="AM1429" s="848"/>
      <c r="AN1429" s="848"/>
      <c r="AO1429" s="848"/>
      <c r="AP1429" s="848"/>
      <c r="AQ1429" s="848"/>
      <c r="AR1429" s="848"/>
      <c r="AS1429" s="848"/>
      <c r="AT1429" s="848"/>
      <c r="AU1429" s="848"/>
      <c r="AV1429" s="848"/>
      <c r="AW1429" s="848"/>
      <c r="AX1429" s="908" t="str">
        <f>'Overview (Verification)'!A40</f>
        <v>Maximum skylight SHGC:</v>
      </c>
      <c r="AY1429" s="1077">
        <f>IF(LEN('Overview (Verification)'!P40)=0,0,'Overview (Verification)'!P40)</f>
        <v>0</v>
      </c>
      <c r="AZ1429" s="848"/>
      <c r="BA1429" s="848"/>
      <c r="BB1429" s="848"/>
      <c r="BC1429" s="848"/>
      <c r="BD1429" s="848"/>
      <c r="BE1429" s="848"/>
      <c r="BF1429" s="848"/>
      <c r="BG1429" s="848"/>
      <c r="BH1429" s="848"/>
      <c r="BJ1429" s="1184" t="s">
        <v>4763</v>
      </c>
    </row>
    <row r="1430" spans="1:62" ht="15" thickTop="1" x14ac:dyDescent="0.3">
      <c r="A1430" s="1200">
        <v>8</v>
      </c>
      <c r="B1430" s="1210">
        <v>801.2</v>
      </c>
      <c r="C1430" s="1203"/>
      <c r="D1430" s="1203"/>
      <c r="E1430" s="1203"/>
      <c r="F1430" s="1203"/>
      <c r="G1430" s="1196" t="str">
        <f ca="1">IF(COUNTIF(G1432:G1433,"P")&gt;0,"P","")</f>
        <v>P</v>
      </c>
      <c r="H1430" s="1200" t="s">
        <v>4388</v>
      </c>
      <c r="I1430" s="66">
        <v>801.2</v>
      </c>
      <c r="J1430" s="4"/>
      <c r="K1430" s="4"/>
      <c r="L1430" s="1292" t="s">
        <v>859</v>
      </c>
      <c r="M1430" s="866"/>
      <c r="N1430" s="850"/>
      <c r="O1430" s="850"/>
      <c r="P1430" s="848"/>
      <c r="Q1430" s="848"/>
      <c r="R1430" s="848"/>
      <c r="S1430" s="848"/>
      <c r="T1430" s="848"/>
      <c r="U1430" s="848"/>
      <c r="V1430" s="848"/>
      <c r="W1430" s="848"/>
      <c r="X1430" s="848"/>
      <c r="Y1430" s="848"/>
      <c r="Z1430" s="1055"/>
      <c r="AB1430" s="848"/>
      <c r="AC1430" s="848"/>
      <c r="AD1430" s="848"/>
      <c r="AE1430" s="848"/>
      <c r="AF1430" s="848"/>
      <c r="AG1430" s="848"/>
      <c r="AH1430" s="848"/>
      <c r="AI1430" s="848"/>
      <c r="AJ1430" s="848"/>
      <c r="AK1430" s="848"/>
      <c r="AL1430" s="848"/>
      <c r="AM1430" s="848"/>
      <c r="AN1430" s="848"/>
      <c r="AO1430" s="848"/>
      <c r="AP1430" s="848"/>
      <c r="AQ1430" s="848"/>
      <c r="AR1430" s="848"/>
      <c r="AS1430" s="848"/>
      <c r="AT1430" s="848"/>
      <c r="AU1430" s="848"/>
      <c r="AV1430" s="848"/>
      <c r="AW1430" s="848"/>
      <c r="AX1430" s="908" t="str">
        <f>'Overview (Verification)'!A41</f>
        <v>Maximum window and door U-value:</v>
      </c>
      <c r="AY1430" s="1077">
        <f>IF(LEN('Overview (Verification)'!P41)=0,0,'Overview (Verification)'!P41)</f>
        <v>0</v>
      </c>
      <c r="AZ1430" s="848"/>
      <c r="BA1430" s="848"/>
      <c r="BB1430" s="848"/>
      <c r="BC1430" s="848"/>
      <c r="BD1430" s="848"/>
      <c r="BE1430" s="848"/>
      <c r="BF1430" s="848"/>
      <c r="BG1430" s="848"/>
      <c r="BH1430" s="848"/>
      <c r="BJ1430" s="1184" t="s">
        <v>4763</v>
      </c>
    </row>
    <row r="1431" spans="1:62" x14ac:dyDescent="0.3">
      <c r="A1431" s="1200">
        <v>8</v>
      </c>
      <c r="B1431" s="1210">
        <v>801.2</v>
      </c>
      <c r="C1431" s="1203"/>
      <c r="D1431" s="1203"/>
      <c r="E1431" s="1203"/>
      <c r="F1431" s="1203"/>
      <c r="G1431" s="1202" t="str">
        <f t="shared" ref="G1431" ca="1" si="450">G1430</f>
        <v>P</v>
      </c>
      <c r="H1431" s="1200" t="s">
        <v>4388</v>
      </c>
      <c r="I1431" s="66"/>
      <c r="J1431" s="4"/>
      <c r="K1431" s="4"/>
      <c r="L1431" s="1292"/>
      <c r="M1431" s="866"/>
      <c r="N1431" s="850"/>
      <c r="O1431" s="850"/>
      <c r="P1431" s="848"/>
      <c r="Q1431" s="848"/>
      <c r="R1431" s="848"/>
      <c r="S1431" s="848"/>
      <c r="T1431" s="848"/>
      <c r="U1431" s="848"/>
      <c r="V1431" s="848"/>
      <c r="W1431" s="848"/>
      <c r="X1431" s="848"/>
      <c r="Y1431" s="848"/>
      <c r="Z1431" s="1055"/>
      <c r="AB1431" s="848"/>
      <c r="AC1431" s="848"/>
      <c r="AD1431" s="848"/>
      <c r="AE1431" s="848"/>
      <c r="AF1431" s="848"/>
      <c r="AG1431" s="848"/>
      <c r="AH1431" s="848"/>
      <c r="AI1431" s="848"/>
      <c r="AJ1431" s="848"/>
      <c r="AK1431" s="848"/>
      <c r="AL1431" s="848"/>
      <c r="AM1431" s="848"/>
      <c r="AN1431" s="848"/>
      <c r="AO1431" s="848"/>
      <c r="AP1431" s="848"/>
      <c r="AQ1431" s="848"/>
      <c r="AR1431" s="848"/>
      <c r="AS1431" s="848"/>
      <c r="AT1431" s="848"/>
      <c r="AU1431" s="848"/>
      <c r="AV1431" s="848"/>
      <c r="AW1431" s="848"/>
      <c r="AX1431" s="908" t="str">
        <f>'Overview (Verification)'!A42</f>
        <v>Maximum skylight U-value:</v>
      </c>
      <c r="AY1431" s="1077">
        <f>IF(LEN('Overview (Verification)'!P42)=0,0,'Overview (Verification)'!P42)</f>
        <v>0</v>
      </c>
      <c r="AZ1431" s="848"/>
      <c r="BA1431" s="848"/>
      <c r="BB1431" s="848"/>
      <c r="BC1431" s="848"/>
      <c r="BD1431" s="848"/>
      <c r="BE1431" s="848"/>
      <c r="BF1431" s="848"/>
      <c r="BG1431" s="848"/>
      <c r="BH1431" s="848"/>
      <c r="BJ1431" s="1184" t="s">
        <v>4763</v>
      </c>
    </row>
    <row r="1432" spans="1:62" ht="28.8" x14ac:dyDescent="0.3">
      <c r="A1432" s="1200">
        <v>8</v>
      </c>
      <c r="B1432" s="1210">
        <v>801.2</v>
      </c>
      <c r="C1432" s="1203"/>
      <c r="D1432" s="1203"/>
      <c r="E1432" s="1203" t="s">
        <v>271</v>
      </c>
      <c r="F1432" s="1203"/>
      <c r="G1432" s="1202" t="str">
        <f>IF(N1432&gt;0,"P","")</f>
        <v>P</v>
      </c>
      <c r="H1432" s="1200" t="s">
        <v>4388</v>
      </c>
      <c r="I1432" s="66"/>
      <c r="J1432" s="231" t="s">
        <v>271</v>
      </c>
      <c r="K1432" s="238"/>
      <c r="L1432" s="862" t="s">
        <v>860</v>
      </c>
      <c r="M1432" s="857">
        <v>2</v>
      </c>
      <c r="N1432" s="855">
        <f>'Ch8'!O46</f>
        <v>2</v>
      </c>
      <c r="O1432" s="855">
        <f>2*S1432*W1432</f>
        <v>0</v>
      </c>
      <c r="P1432" s="97" t="b">
        <v>0</v>
      </c>
      <c r="Q1432" s="848" t="b">
        <v>1</v>
      </c>
      <c r="R1432" s="848" t="b">
        <v>0</v>
      </c>
      <c r="S1432" s="848" t="b">
        <v>1</v>
      </c>
      <c r="T1432" s="97" t="b">
        <f>IF(AND(NOT(S1432),W1432=TRUE),TRUE,FALSE)</f>
        <v>0</v>
      </c>
      <c r="U1432" s="848"/>
      <c r="V1432" s="848"/>
      <c r="W1432" s="25"/>
      <c r="X1432" s="851"/>
      <c r="Y1432" s="889" t="str">
        <f>IF(LEN('Ch8'!X46)=0,"None",'Ch8'!X46)</f>
        <v>ZERH Requirement - Exhibit 1 Efficient Appliances</v>
      </c>
      <c r="Z1432" s="1169"/>
      <c r="AB1432" s="848"/>
      <c r="AC1432" s="848" t="b">
        <f>OR(AD1432:AE1432)</f>
        <v>0</v>
      </c>
      <c r="AD1432" s="848" t="b">
        <f>T1432</f>
        <v>0</v>
      </c>
      <c r="AE1432" s="848" t="b">
        <v>0</v>
      </c>
      <c r="AF1432" s="1182" t="b">
        <f>AND(AE1432,NOT(Q1432))</f>
        <v>0</v>
      </c>
      <c r="AG1432" s="848"/>
      <c r="AH1432" s="848"/>
      <c r="AI1432" s="848"/>
      <c r="AJ1432" s="848"/>
      <c r="AK1432" s="848"/>
      <c r="AL1432" s="311" t="str">
        <f t="shared" ref="AL1432:AL1434" si="451">SUBSTITUTE(SUBSTITUTE(SUBSTITUTE("vpa"&amp;$B1432&amp;$C1432&amp;$D1432&amp;$E1432&amp;$F1432,".","_"),"(","_"),")","")</f>
        <v>vpa801_2_1</v>
      </c>
      <c r="AM1432" s="311">
        <f>M1432</f>
        <v>2</v>
      </c>
      <c r="AN1432" s="311" t="str">
        <f t="shared" ref="AN1432:AN1433" si="452">SUBSTITUTE(SUBSTITUTE(SUBSTITUTE("vpc"&amp;$B1432&amp;$C1432&amp;$D1432&amp;$E1432&amp;$F1432,".","_"),"(","_"),")","")</f>
        <v>vpc801_2_1</v>
      </c>
      <c r="AO1432" s="311">
        <f>O1432</f>
        <v>0</v>
      </c>
      <c r="AP1432" s="311" t="str">
        <f>SUBSTITUTE(SUBSTITUTE(SUBSTITUTE("vch"&amp;$B1432&amp;$C1432&amp;$D1432&amp;$E1432&amp;$F1432,".","_"),"(","_"),")","")</f>
        <v>vch801_2_1</v>
      </c>
      <c r="AQ1432" s="311">
        <f>W1432</f>
        <v>0</v>
      </c>
      <c r="AR1432" s="311" t="str">
        <f t="shared" ref="AR1432:AR1433" si="453">SUBSTITUTE(SUBSTITUTE(SUBSTITUTE("vnt"&amp;$B1432&amp;$C1432&amp;$D1432&amp;$E1432&amp;$F1432,".","_"),"(","_"),")","")</f>
        <v>vnt801_2_1</v>
      </c>
      <c r="AS1432" s="311">
        <f>X1432</f>
        <v>0</v>
      </c>
      <c r="AT1432" s="848"/>
      <c r="AU1432" s="848"/>
      <c r="AV1432" s="848"/>
      <c r="AW1432" s="848"/>
      <c r="AX1432" s="908" t="str">
        <f>'Overview (Verification)'!A43</f>
        <v>Renewable Energy:</v>
      </c>
      <c r="AY1432" s="1077">
        <f>IF(LEN('Overview (Verification)'!P43)=0,0,'Overview (Verification)'!P43)</f>
        <v>0</v>
      </c>
      <c r="AZ1432" s="848"/>
      <c r="BA1432" s="848"/>
      <c r="BB1432" s="848"/>
      <c r="BC1432" s="848"/>
      <c r="BD1432" s="848"/>
      <c r="BE1432" s="848"/>
      <c r="BF1432" s="848"/>
      <c r="BG1432" s="848"/>
      <c r="BH1432" s="848"/>
      <c r="BJ1432" s="1184" t="s">
        <v>4763</v>
      </c>
    </row>
    <row r="1433" spans="1:62" x14ac:dyDescent="0.3">
      <c r="A1433" s="1200">
        <v>8</v>
      </c>
      <c r="B1433" s="1210">
        <v>801.2</v>
      </c>
      <c r="C1433" s="1203"/>
      <c r="D1433" s="1203"/>
      <c r="E1433" s="1203" t="s">
        <v>273</v>
      </c>
      <c r="F1433" s="1203"/>
      <c r="G1433" s="1202" t="str">
        <f ca="1">IF(N1433&gt;0,"P","")</f>
        <v>P</v>
      </c>
      <c r="H1433" s="1200" t="s">
        <v>4388</v>
      </c>
      <c r="I1433" s="141"/>
      <c r="J1433" s="231" t="s">
        <v>273</v>
      </c>
      <c r="K1433" s="238"/>
      <c r="L1433" s="862" t="s">
        <v>861</v>
      </c>
      <c r="M1433" s="857">
        <v>13</v>
      </c>
      <c r="N1433" s="1308">
        <f ca="1">'Ch8'!O47</f>
        <v>13</v>
      </c>
      <c r="O1433" s="1308">
        <f ca="1">IFERROR(INDEX({13,24},MATCH(W1433,INDIRECT(U1433),0)),0)</f>
        <v>0</v>
      </c>
      <c r="P1433" s="97" t="b">
        <v>0</v>
      </c>
      <c r="Q1433" s="848" t="b">
        <v>1</v>
      </c>
      <c r="R1433" s="97" t="b">
        <v>0</v>
      </c>
      <c r="S1433" s="97" t="b">
        <v>1</v>
      </c>
      <c r="T1433" s="97" t="b">
        <f>IF(AND(NOT(S1433),LEN(W1433)&gt;0),TRUE,FALSE)</f>
        <v>0</v>
      </c>
      <c r="U1433" s="97" t="str">
        <f>SUBSTITUTE(SUBSTITUTE(SUBSTITUTE("dd"&amp;B1433&amp;C1433&amp;D1433&amp;E1433&amp;F1433,".","_"),"(","_"),")","")</f>
        <v>dd801_2_2</v>
      </c>
      <c r="V1433" s="97"/>
      <c r="W1433" s="12"/>
      <c r="X1433" s="1295"/>
      <c r="Y1433" s="1523" t="str">
        <f>IF(LEN('Ch8'!X47)=0,"None",'Ch8'!X47)</f>
        <v>ZERH Requirement - Exhibit 1 Efficient Appliances</v>
      </c>
      <c r="Z1433" s="1583"/>
      <c r="AB1433" s="848"/>
      <c r="AC1433" s="848" t="b">
        <f>OR(AD1433:AE1433)</f>
        <v>0</v>
      </c>
      <c r="AD1433" s="848" t="b">
        <f>T1433</f>
        <v>0</v>
      </c>
      <c r="AE1433" s="848" t="b">
        <f>AND(R1433,OR(W1433="Not Met",W1433=""))</f>
        <v>0</v>
      </c>
      <c r="AF1433" s="1182" t="b">
        <f>AND(AE1433,NOT(Q1433))</f>
        <v>0</v>
      </c>
      <c r="AG1433" s="848"/>
      <c r="AH1433" s="848"/>
      <c r="AI1433" s="848"/>
      <c r="AJ1433" s="848"/>
      <c r="AK1433" s="848"/>
      <c r="AL1433" s="311" t="str">
        <f t="shared" si="451"/>
        <v>vpa801_2_2</v>
      </c>
      <c r="AM1433" s="311">
        <f>M1433</f>
        <v>13</v>
      </c>
      <c r="AN1433" s="311" t="str">
        <f t="shared" si="452"/>
        <v>vpc801_2_2</v>
      </c>
      <c r="AO1433" s="311">
        <f ca="1">O1433</f>
        <v>0</v>
      </c>
      <c r="AP1433" s="311" t="str">
        <f>SUBSTITUTE(SUBSTITUTE(SUBSTITUTE("vch"&amp;$B1433&amp;$C1433&amp;$D1433&amp;$E1433&amp;$F1433,".","_"),"(","_"),")","")</f>
        <v>vch801_2_2</v>
      </c>
      <c r="AQ1433" s="311">
        <f>W1433</f>
        <v>0</v>
      </c>
      <c r="AR1433" s="311" t="str">
        <f t="shared" si="453"/>
        <v>vnt801_2_2</v>
      </c>
      <c r="AS1433" s="311">
        <f>X1433</f>
        <v>0</v>
      </c>
      <c r="AT1433" s="848"/>
      <c r="AU1433" s="848"/>
      <c r="AV1433" s="848"/>
      <c r="AW1433" s="848"/>
      <c r="AX1433" s="908" t="str">
        <f>'Overview (Verification)'!A44</f>
        <v>Thermal Envelope Insulation:</v>
      </c>
      <c r="AY1433" s="1077">
        <f>IF(LEN('Overview (Verification)'!P44)=0,0,'Overview (Verification)'!P44)</f>
        <v>0</v>
      </c>
      <c r="AZ1433" s="848"/>
      <c r="BA1433" s="848"/>
      <c r="BB1433" s="848"/>
      <c r="BC1433" s="848"/>
      <c r="BD1433" s="848"/>
      <c r="BE1433" s="848"/>
      <c r="BF1433" s="848"/>
      <c r="BG1433" s="848"/>
      <c r="BH1433" s="848"/>
      <c r="BJ1433" s="1184" t="s">
        <v>4763</v>
      </c>
    </row>
    <row r="1434" spans="1:62" x14ac:dyDescent="0.3">
      <c r="A1434" s="1200">
        <v>8</v>
      </c>
      <c r="B1434" s="1210">
        <v>801.2</v>
      </c>
      <c r="C1434" s="1203"/>
      <c r="D1434" s="1203"/>
      <c r="E1434" s="1203" t="s">
        <v>275</v>
      </c>
      <c r="F1434" s="1203"/>
      <c r="G1434" s="1202" t="str">
        <f t="shared" ref="G1434:G1438" ca="1" si="454">G1433</f>
        <v>P</v>
      </c>
      <c r="H1434" s="1200" t="s">
        <v>4388</v>
      </c>
      <c r="I1434" s="141"/>
      <c r="J1434" s="203" t="s">
        <v>275</v>
      </c>
      <c r="K1434" s="140"/>
      <c r="L1434" s="861" t="s">
        <v>862</v>
      </c>
      <c r="M1434" s="856">
        <v>24</v>
      </c>
      <c r="N1434" s="1308"/>
      <c r="O1434" s="1308"/>
      <c r="P1434" s="97"/>
      <c r="Q1434" s="97"/>
      <c r="R1434" s="97"/>
      <c r="S1434" s="97"/>
      <c r="T1434" s="97"/>
      <c r="U1434" s="97"/>
      <c r="V1434" s="97"/>
      <c r="W1434" s="97"/>
      <c r="X1434" s="1295"/>
      <c r="Y1434" s="1523"/>
      <c r="Z1434" s="1583"/>
      <c r="AB1434" s="848"/>
      <c r="AC1434" s="848"/>
      <c r="AD1434" s="848"/>
      <c r="AE1434" s="848"/>
      <c r="AF1434" s="848"/>
      <c r="AG1434" s="848"/>
      <c r="AH1434" s="848"/>
      <c r="AI1434" s="848"/>
      <c r="AJ1434" s="848"/>
      <c r="AK1434" s="848"/>
      <c r="AL1434" s="311" t="str">
        <f t="shared" si="451"/>
        <v>vpa801_2_3</v>
      </c>
      <c r="AM1434" s="311">
        <f>M1434</f>
        <v>24</v>
      </c>
      <c r="AN1434" s="848"/>
      <c r="AO1434" s="848"/>
      <c r="AP1434" s="848"/>
      <c r="AQ1434" s="848"/>
      <c r="AR1434" s="848"/>
      <c r="AS1434" s="848"/>
      <c r="AT1434" s="848"/>
      <c r="AU1434" s="848"/>
      <c r="AV1434" s="848"/>
      <c r="AW1434" s="848"/>
      <c r="AX1434" s="908" t="str">
        <f>'Overview (Verification)'!A45</f>
        <v>Attic Type:</v>
      </c>
      <c r="AY1434" s="1077">
        <f>IF(LEN('Overview (Verification)'!P45)=0,0,'Overview (Verification)'!P45)</f>
        <v>0</v>
      </c>
      <c r="AZ1434" s="848"/>
      <c r="BA1434" s="848"/>
      <c r="BB1434" s="848"/>
      <c r="BC1434" s="848"/>
      <c r="BD1434" s="848"/>
      <c r="BE1434" s="848"/>
      <c r="BF1434" s="848"/>
      <c r="BG1434" s="848"/>
      <c r="BH1434" s="848"/>
      <c r="BJ1434" s="1184" t="s">
        <v>4763</v>
      </c>
    </row>
    <row r="1435" spans="1:62" x14ac:dyDescent="0.3">
      <c r="A1435" s="1200">
        <v>8</v>
      </c>
      <c r="B1435" s="1210">
        <v>801.2</v>
      </c>
      <c r="C1435" s="1203"/>
      <c r="D1435" s="1203"/>
      <c r="E1435" s="1203"/>
      <c r="F1435" s="1203"/>
      <c r="G1435" s="1202" t="str">
        <f t="shared" ca="1" si="454"/>
        <v>P</v>
      </c>
      <c r="H1435" s="1200" t="s">
        <v>4388</v>
      </c>
      <c r="I1435" s="141"/>
      <c r="J1435" s="203"/>
      <c r="K1435" s="140"/>
      <c r="L1435" s="1432" t="s">
        <v>3828</v>
      </c>
      <c r="M1435" s="856"/>
      <c r="N1435" s="854"/>
      <c r="O1435" s="854"/>
      <c r="P1435" s="97"/>
      <c r="Q1435" s="97"/>
      <c r="R1435" s="97"/>
      <c r="S1435" s="97"/>
      <c r="T1435" s="97"/>
      <c r="U1435" s="97"/>
      <c r="V1435" s="97"/>
      <c r="W1435" s="97"/>
      <c r="X1435" s="1295"/>
      <c r="Y1435" s="1523"/>
      <c r="Z1435" s="1583"/>
      <c r="AB1435" s="848"/>
      <c r="AC1435" s="848"/>
      <c r="AD1435" s="848"/>
      <c r="AE1435" s="848"/>
      <c r="AF1435" s="848"/>
      <c r="AG1435" s="848"/>
      <c r="AH1435" s="848"/>
      <c r="AI1435" s="848"/>
      <c r="AJ1435" s="848"/>
      <c r="AK1435" s="848"/>
      <c r="AL1435" s="848"/>
      <c r="AM1435" s="848"/>
      <c r="AN1435" s="848"/>
      <c r="AO1435" s="848"/>
      <c r="AP1435" s="848"/>
      <c r="AQ1435" s="848"/>
      <c r="AR1435" s="848"/>
      <c r="AS1435" s="848"/>
      <c r="AT1435" s="848"/>
      <c r="AU1435" s="848"/>
      <c r="AV1435" s="848"/>
      <c r="AW1435" s="848"/>
      <c r="AX1435" s="908" t="str">
        <f>'Overview (Verification)'!A46</f>
        <v>Attached Garage:</v>
      </c>
      <c r="AY1435" s="1077">
        <f>IF(LEN('Overview (Verification)'!P46)=0,0,'Overview (Verification)'!P46)</f>
        <v>0</v>
      </c>
      <c r="AZ1435" s="848"/>
      <c r="BA1435" s="848"/>
      <c r="BB1435" s="848"/>
      <c r="BC1435" s="848"/>
      <c r="BD1435" s="848"/>
      <c r="BE1435" s="848"/>
      <c r="BF1435" s="848"/>
      <c r="BG1435" s="848"/>
      <c r="BH1435" s="848"/>
      <c r="BJ1435" s="1184" t="s">
        <v>4763</v>
      </c>
    </row>
    <row r="1436" spans="1:62" x14ac:dyDescent="0.3">
      <c r="A1436" s="1200">
        <v>8</v>
      </c>
      <c r="B1436" s="1210">
        <v>801.2</v>
      </c>
      <c r="C1436" s="1203"/>
      <c r="D1436" s="1203"/>
      <c r="E1436" s="1203"/>
      <c r="F1436" s="1203"/>
      <c r="G1436" s="1202" t="str">
        <f t="shared" ca="1" si="454"/>
        <v>P</v>
      </c>
      <c r="H1436" s="1200" t="s">
        <v>4388</v>
      </c>
      <c r="I1436" s="141"/>
      <c r="J1436" s="203"/>
      <c r="K1436" s="140"/>
      <c r="L1436" s="1433"/>
      <c r="M1436" s="856"/>
      <c r="N1436" s="854"/>
      <c r="O1436" s="854"/>
      <c r="P1436" s="97"/>
      <c r="Q1436" s="97"/>
      <c r="R1436" s="97"/>
      <c r="S1436" s="97"/>
      <c r="T1436" s="97"/>
      <c r="U1436" s="97"/>
      <c r="V1436" s="97"/>
      <c r="W1436" s="97"/>
      <c r="X1436" s="1295"/>
      <c r="Y1436" s="1523"/>
      <c r="Z1436" s="1583"/>
      <c r="AB1436" s="848"/>
      <c r="AC1436" s="848"/>
      <c r="AD1436" s="848"/>
      <c r="AE1436" s="848"/>
      <c r="AF1436" s="848"/>
      <c r="AG1436" s="848"/>
      <c r="AH1436" s="848"/>
      <c r="AI1436" s="848"/>
      <c r="AJ1436" s="848"/>
      <c r="AK1436" s="848"/>
      <c r="AL1436" s="848"/>
      <c r="AM1436" s="848"/>
      <c r="AN1436" s="848"/>
      <c r="AO1436" s="848"/>
      <c r="AP1436" s="848"/>
      <c r="AQ1436" s="848"/>
      <c r="AR1436" s="848"/>
      <c r="AS1436" s="848"/>
      <c r="AT1436" s="848"/>
      <c r="AU1436" s="848"/>
      <c r="AV1436" s="848"/>
      <c r="AW1436" s="848"/>
      <c r="AX1436" s="908" t="str">
        <f>'Overview (Verification)'!A47</f>
        <v>Recessed Lighting:</v>
      </c>
      <c r="AY1436" s="1077">
        <f>IF(LEN('Overview (Verification)'!P47)=0,0,'Overview (Verification)'!P47)</f>
        <v>0</v>
      </c>
      <c r="AZ1436" s="848"/>
      <c r="BA1436" s="848"/>
      <c r="BB1436" s="848"/>
      <c r="BC1436" s="848"/>
      <c r="BD1436" s="848"/>
      <c r="BE1436" s="848"/>
      <c r="BF1436" s="848"/>
      <c r="BG1436" s="848"/>
      <c r="BH1436" s="848"/>
      <c r="BJ1436" s="1184" t="s">
        <v>4763</v>
      </c>
    </row>
    <row r="1437" spans="1:62" x14ac:dyDescent="0.3">
      <c r="A1437" s="1200">
        <v>8</v>
      </c>
      <c r="B1437" s="1210">
        <v>801.2</v>
      </c>
      <c r="C1437" s="1203"/>
      <c r="D1437" s="1203"/>
      <c r="E1437" s="1203"/>
      <c r="F1437" s="1203"/>
      <c r="G1437" s="1202" t="str">
        <f t="shared" ca="1" si="454"/>
        <v>P</v>
      </c>
      <c r="H1437" s="1200" t="s">
        <v>4388</v>
      </c>
      <c r="I1437" s="141"/>
      <c r="J1437" s="97"/>
      <c r="K1437" s="97"/>
      <c r="L1437" s="1394" t="s">
        <v>3829</v>
      </c>
      <c r="M1437" s="608"/>
      <c r="N1437" s="854"/>
      <c r="O1437" s="854"/>
      <c r="P1437" s="97"/>
      <c r="Q1437" s="97"/>
      <c r="R1437" s="97"/>
      <c r="S1437" s="97"/>
      <c r="T1437" s="97"/>
      <c r="U1437" s="97"/>
      <c r="V1437" s="97"/>
      <c r="W1437" s="97"/>
      <c r="X1437" s="1295"/>
      <c r="Y1437" s="1523"/>
      <c r="Z1437" s="1583"/>
      <c r="AB1437" s="848"/>
      <c r="AC1437" s="848"/>
      <c r="AD1437" s="848"/>
      <c r="AE1437" s="848"/>
      <c r="AF1437" s="848"/>
      <c r="AG1437" s="848"/>
      <c r="AH1437" s="848"/>
      <c r="AI1437" s="848"/>
      <c r="AJ1437" s="848"/>
      <c r="AK1437" s="848"/>
      <c r="AL1437" s="848"/>
      <c r="AM1437" s="848"/>
      <c r="AN1437" s="848"/>
      <c r="AO1437" s="848"/>
      <c r="AP1437" s="848"/>
      <c r="AQ1437" s="848"/>
      <c r="AR1437" s="848"/>
      <c r="AS1437" s="848"/>
      <c r="AT1437" s="848"/>
      <c r="AU1437" s="848"/>
      <c r="AV1437" s="848"/>
      <c r="AW1437" s="848"/>
      <c r="AX1437" s="849"/>
      <c r="AY1437" s="1077"/>
      <c r="AZ1437" s="848"/>
      <c r="BA1437" s="848"/>
      <c r="BB1437" s="848"/>
      <c r="BC1437" s="848"/>
      <c r="BD1437" s="848"/>
      <c r="BE1437" s="848"/>
      <c r="BF1437" s="848"/>
      <c r="BG1437" s="848"/>
      <c r="BH1437" s="848"/>
      <c r="BJ1437" s="1184" t="s">
        <v>4763</v>
      </c>
    </row>
    <row r="1438" spans="1:62" ht="15" thickBot="1" x14ac:dyDescent="0.35">
      <c r="A1438" s="1200">
        <v>8</v>
      </c>
      <c r="B1438" s="1210">
        <v>801.2</v>
      </c>
      <c r="C1438" s="1203"/>
      <c r="D1438" s="1203"/>
      <c r="E1438" s="1203"/>
      <c r="F1438" s="1203"/>
      <c r="G1438" s="1202" t="str">
        <f t="shared" ca="1" si="454"/>
        <v>P</v>
      </c>
      <c r="H1438" s="1200" t="s">
        <v>4388</v>
      </c>
      <c r="I1438" s="212"/>
      <c r="J1438" s="104"/>
      <c r="K1438" s="104"/>
      <c r="L1438" s="1395"/>
      <c r="M1438" s="607"/>
      <c r="N1438" s="858"/>
      <c r="O1438" s="858"/>
      <c r="P1438" s="104"/>
      <c r="Q1438" s="104"/>
      <c r="R1438" s="104"/>
      <c r="S1438" s="104"/>
      <c r="T1438" s="104"/>
      <c r="U1438" s="104"/>
      <c r="V1438" s="104"/>
      <c r="W1438" s="104"/>
      <c r="X1438" s="1296"/>
      <c r="Y1438" s="1524"/>
      <c r="Z1438" s="1584"/>
      <c r="AB1438" s="848"/>
      <c r="AC1438" s="848"/>
      <c r="AD1438" s="848"/>
      <c r="AE1438" s="848"/>
      <c r="AF1438" s="848"/>
      <c r="AG1438" s="848"/>
      <c r="AH1438" s="848"/>
      <c r="AI1438" s="848"/>
      <c r="AJ1438" s="848"/>
      <c r="AK1438" s="848"/>
      <c r="AL1438" s="848"/>
      <c r="AM1438" s="848"/>
      <c r="AN1438" s="848"/>
      <c r="AO1438" s="848"/>
      <c r="AP1438" s="848"/>
      <c r="AQ1438" s="848"/>
      <c r="AR1438" s="848"/>
      <c r="AS1438" s="848"/>
      <c r="AT1438" s="848"/>
      <c r="AU1438" s="848"/>
      <c r="AV1438" s="848"/>
      <c r="AW1438" s="848"/>
      <c r="AX1438" s="908" t="str">
        <f>'Overview (Verification)'!A49</f>
        <v>Special Design Features:</v>
      </c>
      <c r="AY1438" s="1077"/>
      <c r="AZ1438" s="848"/>
      <c r="BA1438" s="848"/>
      <c r="BB1438" s="848"/>
      <c r="BC1438" s="848"/>
      <c r="BD1438" s="848"/>
      <c r="BE1438" s="848"/>
      <c r="BF1438" s="848"/>
      <c r="BG1438" s="848"/>
      <c r="BH1438" s="848"/>
      <c r="BJ1438" s="1184" t="s">
        <v>4763</v>
      </c>
    </row>
    <row r="1439" spans="1:62" ht="15" thickTop="1" x14ac:dyDescent="0.3">
      <c r="A1439" s="1200">
        <v>8</v>
      </c>
      <c r="B1439" s="1210">
        <v>801.3</v>
      </c>
      <c r="C1439" s="1203"/>
      <c r="D1439" s="1203"/>
      <c r="E1439" s="1203"/>
      <c r="F1439" s="1203"/>
      <c r="G1439" s="1196" t="str">
        <f ca="1">IF(COUNTIF(G1440:G1454,"P")&gt;0,"P","")</f>
        <v/>
      </c>
      <c r="H1439" s="1200" t="s">
        <v>4388</v>
      </c>
      <c r="I1439" s="66">
        <v>801.3</v>
      </c>
      <c r="J1439" s="4"/>
      <c r="K1439" s="4"/>
      <c r="L1439" s="872" t="s">
        <v>863</v>
      </c>
      <c r="M1439" s="585"/>
      <c r="N1439" s="850"/>
      <c r="O1439" s="850"/>
      <c r="P1439" s="848"/>
      <c r="Q1439" s="848"/>
      <c r="R1439" s="848"/>
      <c r="S1439" s="848"/>
      <c r="T1439" s="848"/>
      <c r="U1439" s="848"/>
      <c r="V1439" s="848"/>
      <c r="W1439" s="848" t="s">
        <v>3830</v>
      </c>
      <c r="X1439" s="848"/>
      <c r="Y1439" s="848"/>
      <c r="Z1439" s="1055"/>
      <c r="AB1439" s="848"/>
      <c r="AC1439" s="848"/>
      <c r="AD1439" s="848"/>
      <c r="AE1439" s="848"/>
      <c r="AF1439" s="848"/>
      <c r="AG1439" s="848"/>
      <c r="AH1439" s="848"/>
      <c r="AI1439" s="848"/>
      <c r="AJ1439" s="848"/>
      <c r="AK1439" s="848"/>
      <c r="AL1439" s="848"/>
      <c r="AM1439" s="848"/>
      <c r="AN1439" s="848"/>
      <c r="AO1439" s="848"/>
      <c r="AP1439" s="848"/>
      <c r="AQ1439" s="848"/>
      <c r="AR1439" s="848"/>
      <c r="AS1439" s="848"/>
      <c r="AT1439" s="848"/>
      <c r="AU1439" s="848"/>
      <c r="AV1439" s="848"/>
      <c r="AW1439" s="848"/>
      <c r="AX1439" s="908" t="str">
        <f>'Overview (Verification)'!A50</f>
        <v>Passive Solar:</v>
      </c>
      <c r="AY1439" s="1077">
        <f>IF(LEN('Overview (Verification)'!P50)=0,0,'Overview (Verification)'!P50)</f>
        <v>0</v>
      </c>
      <c r="AZ1439" s="848"/>
      <c r="BA1439" s="848"/>
      <c r="BB1439" s="848"/>
      <c r="BC1439" s="848"/>
      <c r="BD1439" s="848"/>
      <c r="BE1439" s="848"/>
      <c r="BF1439" s="848"/>
      <c r="BG1439" s="848"/>
      <c r="BH1439" s="848"/>
      <c r="BJ1439" s="1184" t="s">
        <v>4763</v>
      </c>
    </row>
    <row r="1440" spans="1:62" x14ac:dyDescent="0.3">
      <c r="A1440" s="1200">
        <v>8</v>
      </c>
      <c r="B1440" s="1210">
        <v>801.3</v>
      </c>
      <c r="C1440" s="1203"/>
      <c r="D1440" s="1203"/>
      <c r="E1440" s="1203" t="s">
        <v>271</v>
      </c>
      <c r="F1440" s="1203"/>
      <c r="G1440" s="1202" t="str">
        <f ca="1">IF(N1440&gt;0,"P","")</f>
        <v/>
      </c>
      <c r="H1440" s="1200" t="s">
        <v>4388</v>
      </c>
      <c r="I1440" s="66"/>
      <c r="J1440" s="27" t="s">
        <v>271</v>
      </c>
      <c r="K1440" s="4"/>
      <c r="L1440" s="1329" t="s">
        <v>865</v>
      </c>
      <c r="M1440" s="1387" t="s">
        <v>864</v>
      </c>
      <c r="N1440" s="1310">
        <f ca="1">'Ch8'!O54</f>
        <v>0</v>
      </c>
      <c r="O1440" s="1310">
        <f ca="1">IFERROR(INDEX({4,5,6,7},MATCH(W1440,INDIRECT(U1440),0)),0)*S1440</f>
        <v>0</v>
      </c>
      <c r="P1440" s="97" t="b">
        <v>0</v>
      </c>
      <c r="Q1440" s="848" t="b">
        <v>1</v>
      </c>
      <c r="R1440" s="848" t="b">
        <v>0</v>
      </c>
      <c r="S1440" s="848" t="b">
        <v>1</v>
      </c>
      <c r="T1440" s="97" t="b">
        <f>IF(AND(NOT(S1440),LEN(W1440)&gt;0),TRUE,FALSE)</f>
        <v>0</v>
      </c>
      <c r="U1440" s="97" t="str">
        <f>SUBSTITUTE(SUBSTITUTE(SUBSTITUTE("dd"&amp;B1440&amp;C1440&amp;D1440&amp;E1440&amp;F1440,".","_"),"(","_"),")","")</f>
        <v>dd801_3_1</v>
      </c>
      <c r="V1440" s="848"/>
      <c r="W1440" s="12"/>
      <c r="X1440" s="1303"/>
      <c r="Y1440" s="1522" t="str">
        <f>IF(LEN('Ch8'!X54)=0,"None",'Ch8'!X54)</f>
        <v>None</v>
      </c>
      <c r="Z1440" s="1586"/>
      <c r="AB1440" s="848"/>
      <c r="AC1440" s="848" t="b">
        <f>OR(AD1440:AE1440)</f>
        <v>0</v>
      </c>
      <c r="AD1440" s="848" t="b">
        <f>T1440</f>
        <v>0</v>
      </c>
      <c r="AE1440" s="848" t="b">
        <f>AND(R1440,OR(W1440="Not Met",W1440=""))</f>
        <v>0</v>
      </c>
      <c r="AF1440" s="1182" t="b">
        <f>AND(AE1440,NOT(Q1440))</f>
        <v>0</v>
      </c>
      <c r="AG1440" s="848"/>
      <c r="AH1440" s="848"/>
      <c r="AI1440" s="848"/>
      <c r="AJ1440" s="848"/>
      <c r="AK1440" s="848"/>
      <c r="AL1440" s="311" t="str">
        <f t="shared" ref="AL1440" si="455">SUBSTITUTE(SUBSTITUTE(SUBSTITUTE("vpa"&amp;$B1440&amp;$C1440&amp;$D1440&amp;$E1440&amp;$F1440,".","_"),"(","_"),")","")</f>
        <v>vpa801_3_1</v>
      </c>
      <c r="AM1440" s="311" t="str">
        <f>M1440</f>
        <v xml:space="preserve">4 for first compartment </v>
      </c>
      <c r="AN1440" s="311" t="str">
        <f>SUBSTITUTE(SUBSTITUTE(SUBSTITUTE("vpc"&amp;$B1440&amp;$C1440&amp;$D1440&amp;$E1440&amp;$F1440,".","_"),"(","_"),")","")</f>
        <v>vpc801_3_1</v>
      </c>
      <c r="AO1440" s="311">
        <f ca="1">O1440</f>
        <v>0</v>
      </c>
      <c r="AP1440" s="311" t="str">
        <f>SUBSTITUTE(SUBSTITUTE(SUBSTITUTE("vch"&amp;$B1440&amp;$C1440&amp;$D1440&amp;$E1440&amp;$F1440,".","_"),"(","_"),")","")</f>
        <v>vch801_3_1</v>
      </c>
      <c r="AQ1440" s="311">
        <f>W1440</f>
        <v>0</v>
      </c>
      <c r="AR1440" s="311" t="str">
        <f>SUBSTITUTE(SUBSTITUTE(SUBSTITUTE("vnt"&amp;$B1440&amp;$C1440&amp;$D1440&amp;$E1440&amp;$F1440,".","_"),"(","_"),")","")</f>
        <v>vnt801_3_1</v>
      </c>
      <c r="AS1440" s="311">
        <f>X1440</f>
        <v>0</v>
      </c>
      <c r="AT1440" s="848"/>
      <c r="AU1440" s="848"/>
      <c r="AV1440" s="848"/>
      <c r="AW1440" s="848"/>
      <c r="AX1440" s="908" t="str">
        <f>'Overview (Verification)'!A51</f>
        <v>Mass Walls:</v>
      </c>
      <c r="AY1440" s="1077">
        <f>IF(LEN('Overview (Verification)'!P51)=0,0,'Overview (Verification)'!P51)</f>
        <v>0</v>
      </c>
      <c r="AZ1440" s="848"/>
      <c r="BA1440" s="848"/>
      <c r="BB1440" s="848"/>
      <c r="BC1440" s="848"/>
      <c r="BD1440" s="848"/>
      <c r="BE1440" s="848"/>
      <c r="BF1440" s="848"/>
      <c r="BG1440" s="848"/>
      <c r="BH1440" s="848"/>
      <c r="BJ1440" s="1184" t="s">
        <v>4763</v>
      </c>
    </row>
    <row r="1441" spans="1:62" x14ac:dyDescent="0.3">
      <c r="A1441" s="1200">
        <v>8</v>
      </c>
      <c r="B1441" s="1210">
        <v>801.3</v>
      </c>
      <c r="C1441" s="1203"/>
      <c r="D1441" s="1203"/>
      <c r="E1441" s="1203" t="s">
        <v>271</v>
      </c>
      <c r="F1441" s="1203"/>
      <c r="G1441" s="1202" t="str">
        <f t="shared" ref="G1441:G1448" ca="1" si="456">G1440</f>
        <v/>
      </c>
      <c r="H1441" s="1200" t="s">
        <v>4388</v>
      </c>
      <c r="I1441" s="66"/>
      <c r="J1441" s="4"/>
      <c r="K1441" s="4"/>
      <c r="L1441" s="1329"/>
      <c r="M1441" s="1387"/>
      <c r="N1441" s="1310"/>
      <c r="O1441" s="1310"/>
      <c r="P1441" s="848"/>
      <c r="Q1441" s="848"/>
      <c r="R1441" s="848"/>
      <c r="S1441" s="848"/>
      <c r="T1441" s="848"/>
      <c r="U1441" s="848"/>
      <c r="V1441" s="848"/>
      <c r="W1441" s="848"/>
      <c r="X1441" s="1303"/>
      <c r="Y1441" s="1522"/>
      <c r="Z1441" s="1586"/>
      <c r="AB1441" s="848"/>
      <c r="AC1441" s="848"/>
      <c r="AD1441" s="848"/>
      <c r="AE1441" s="848"/>
      <c r="AF1441" s="848"/>
      <c r="AG1441" s="848"/>
      <c r="AH1441" s="848"/>
      <c r="AI1441" s="848"/>
      <c r="AJ1441" s="848"/>
      <c r="AK1441" s="848"/>
      <c r="AL1441" s="848"/>
      <c r="AM1441" s="848"/>
      <c r="AN1441" s="848"/>
      <c r="AO1441" s="848"/>
      <c r="AP1441" s="848"/>
      <c r="AQ1441" s="848"/>
      <c r="AR1441" s="848"/>
      <c r="AS1441" s="848"/>
      <c r="AT1441" s="848"/>
      <c r="AU1441" s="848"/>
      <c r="AV1441" s="848"/>
      <c r="AW1441" s="848"/>
      <c r="AX1441" s="908" t="str">
        <f>'Overview (Verification)'!A52</f>
        <v>Ductless:</v>
      </c>
      <c r="AY1441" s="1077">
        <f>IF(LEN('Overview (Verification)'!P52)=0,0,'Overview (Verification)'!P52)</f>
        <v>0</v>
      </c>
      <c r="AZ1441" s="848"/>
      <c r="BA1441" s="848"/>
      <c r="BB1441" s="848"/>
      <c r="BC1441" s="848"/>
      <c r="BD1441" s="848"/>
      <c r="BE1441" s="848"/>
      <c r="BF1441" s="848"/>
      <c r="BG1441" s="848"/>
      <c r="BH1441" s="848"/>
      <c r="BJ1441" s="1184" t="s">
        <v>4763</v>
      </c>
    </row>
    <row r="1442" spans="1:62" x14ac:dyDescent="0.3">
      <c r="A1442" s="1200">
        <v>8</v>
      </c>
      <c r="B1442" s="1210">
        <v>801.3</v>
      </c>
      <c r="C1442" s="1203"/>
      <c r="D1442" s="1203"/>
      <c r="E1442" s="1203" t="s">
        <v>271</v>
      </c>
      <c r="F1442" s="1203"/>
      <c r="G1442" s="1202" t="str">
        <f t="shared" ca="1" si="456"/>
        <v/>
      </c>
      <c r="H1442" s="1200" t="s">
        <v>4388</v>
      </c>
      <c r="I1442" s="66"/>
      <c r="J1442" s="4"/>
      <c r="K1442" s="4"/>
      <c r="L1442" s="1329"/>
      <c r="M1442" s="1387" t="s">
        <v>866</v>
      </c>
      <c r="N1442" s="1310"/>
      <c r="O1442" s="1310"/>
      <c r="P1442" s="848"/>
      <c r="Q1442" s="848"/>
      <c r="R1442" s="848"/>
      <c r="S1442" s="848"/>
      <c r="T1442" s="848"/>
      <c r="U1442" s="848"/>
      <c r="V1442" s="848"/>
      <c r="W1442" s="848"/>
      <c r="X1442" s="1303"/>
      <c r="Y1442" s="1522"/>
      <c r="Z1442" s="1586"/>
      <c r="AB1442" s="848"/>
      <c r="AC1442" s="848"/>
      <c r="AD1442" s="848"/>
      <c r="AE1442" s="848"/>
      <c r="AF1442" s="848"/>
      <c r="AG1442" s="848"/>
      <c r="AH1442" s="848"/>
      <c r="AI1442" s="848"/>
      <c r="AJ1442" s="848"/>
      <c r="AK1442" s="848"/>
      <c r="AL1442" s="848"/>
      <c r="AM1442" s="848"/>
      <c r="AN1442" s="848"/>
      <c r="AO1442" s="848"/>
      <c r="AP1442" s="848"/>
      <c r="AQ1442" s="848"/>
      <c r="AR1442" s="848"/>
      <c r="AS1442" s="848"/>
      <c r="AT1442" s="848"/>
      <c r="AU1442" s="848"/>
      <c r="AV1442" s="848"/>
      <c r="AW1442" s="848"/>
      <c r="AX1442" s="908" t="str">
        <f>'Overview (Verification)'!A53</f>
        <v>Radiant/Hydronic:</v>
      </c>
      <c r="AY1442" s="1077">
        <f>IF(LEN('Overview (Verification)'!P53)=0,0,'Overview (Verification)'!P53)</f>
        <v>0</v>
      </c>
      <c r="AZ1442" s="848"/>
      <c r="BA1442" s="848"/>
      <c r="BB1442" s="848"/>
      <c r="BC1442" s="848"/>
      <c r="BD1442" s="848"/>
      <c r="BE1442" s="848"/>
      <c r="BF1442" s="848"/>
      <c r="BG1442" s="848"/>
      <c r="BH1442" s="848"/>
      <c r="BJ1442" s="1184" t="s">
        <v>4763</v>
      </c>
    </row>
    <row r="1443" spans="1:62" x14ac:dyDescent="0.3">
      <c r="A1443" s="1200">
        <v>8</v>
      </c>
      <c r="B1443" s="1210">
        <v>801.3</v>
      </c>
      <c r="C1443" s="1203"/>
      <c r="D1443" s="1203"/>
      <c r="E1443" s="1203" t="s">
        <v>271</v>
      </c>
      <c r="F1443" s="1203"/>
      <c r="G1443" s="1202" t="str">
        <f t="shared" ca="1" si="456"/>
        <v/>
      </c>
      <c r="H1443" s="1200" t="s">
        <v>4388</v>
      </c>
      <c r="I1443" s="66"/>
      <c r="J1443" s="4"/>
      <c r="K1443" s="4"/>
      <c r="L1443" s="1329"/>
      <c r="M1443" s="1387"/>
      <c r="N1443" s="1310"/>
      <c r="O1443" s="1310"/>
      <c r="P1443" s="848"/>
      <c r="Q1443" s="848"/>
      <c r="R1443" s="848"/>
      <c r="S1443" s="848"/>
      <c r="T1443" s="848"/>
      <c r="U1443" s="848"/>
      <c r="V1443" s="848"/>
      <c r="W1443" s="848"/>
      <c r="X1443" s="1303"/>
      <c r="Y1443" s="1522"/>
      <c r="Z1443" s="1586"/>
      <c r="AB1443" s="848"/>
      <c r="AC1443" s="848"/>
      <c r="AD1443" s="848"/>
      <c r="AE1443" s="848"/>
      <c r="AF1443" s="848"/>
      <c r="AG1443" s="848"/>
      <c r="AH1443" s="848"/>
      <c r="AI1443" s="848"/>
      <c r="AJ1443" s="848"/>
      <c r="AK1443" s="848"/>
      <c r="AL1443" s="848"/>
      <c r="AM1443" s="848"/>
      <c r="AN1443" s="848"/>
      <c r="AO1443" s="848"/>
      <c r="AP1443" s="848"/>
      <c r="AQ1443" s="848"/>
      <c r="AR1443" s="848"/>
      <c r="AS1443" s="848"/>
      <c r="AT1443" s="848"/>
      <c r="AU1443" s="848"/>
      <c r="AV1443" s="848"/>
      <c r="AW1443" s="848"/>
      <c r="AX1443" s="908" t="str">
        <f>'Overview (Verification)'!A54</f>
        <v>Tankless Water Heater:</v>
      </c>
      <c r="AY1443" s="1077">
        <f>IF(LEN('Overview (Verification)'!P54)=0,0,'Overview (Verification)'!P54)</f>
        <v>0</v>
      </c>
      <c r="AZ1443" s="848"/>
      <c r="BA1443" s="848"/>
      <c r="BB1443" s="848"/>
      <c r="BC1443" s="848"/>
      <c r="BD1443" s="848"/>
      <c r="BE1443" s="848"/>
      <c r="BF1443" s="848"/>
      <c r="BG1443" s="848"/>
      <c r="BH1443" s="848"/>
      <c r="BJ1443" s="1184" t="s">
        <v>4763</v>
      </c>
    </row>
    <row r="1444" spans="1:62" x14ac:dyDescent="0.3">
      <c r="A1444" s="1200">
        <v>8</v>
      </c>
      <c r="B1444" s="1210">
        <v>801.3</v>
      </c>
      <c r="C1444" s="1203"/>
      <c r="D1444" s="1203"/>
      <c r="E1444" s="1203" t="s">
        <v>271</v>
      </c>
      <c r="F1444" s="1203"/>
      <c r="G1444" s="1202" t="str">
        <f t="shared" ca="1" si="456"/>
        <v/>
      </c>
      <c r="H1444" s="1200" t="s">
        <v>4388</v>
      </c>
      <c r="I1444" s="66"/>
      <c r="J1444" s="4"/>
      <c r="K1444" s="4"/>
      <c r="L1444" s="1329"/>
      <c r="M1444" s="1387"/>
      <c r="N1444" s="1310"/>
      <c r="O1444" s="1310"/>
      <c r="P1444" s="848"/>
      <c r="Q1444" s="848"/>
      <c r="R1444" s="848"/>
      <c r="S1444" s="848"/>
      <c r="T1444" s="848"/>
      <c r="U1444" s="848"/>
      <c r="V1444" s="848"/>
      <c r="W1444" s="848"/>
      <c r="X1444" s="1303"/>
      <c r="Y1444" s="1522"/>
      <c r="Z1444" s="1586"/>
      <c r="AB1444" s="848"/>
      <c r="AC1444" s="848"/>
      <c r="AD1444" s="848"/>
      <c r="AE1444" s="848"/>
      <c r="AF1444" s="848"/>
      <c r="AG1444" s="848"/>
      <c r="AH1444" s="848"/>
      <c r="AI1444" s="848"/>
      <c r="AJ1444" s="848"/>
      <c r="AK1444" s="848"/>
      <c r="AL1444" s="848"/>
      <c r="AM1444" s="848"/>
      <c r="AN1444" s="848"/>
      <c r="AO1444" s="848"/>
      <c r="AP1444" s="848"/>
      <c r="AQ1444" s="848"/>
      <c r="AR1444" s="848"/>
      <c r="AS1444" s="848"/>
      <c r="AT1444" s="848"/>
      <c r="AU1444" s="848"/>
      <c r="AV1444" s="848"/>
      <c r="AW1444" s="848"/>
      <c r="AX1444" s="908" t="str">
        <f>'Overview (Verification)'!A55</f>
        <v>Composting Toilet:</v>
      </c>
      <c r="AY1444" s="1077">
        <f>IF(LEN('Overview (Verification)'!P55)=0,0,'Overview (Verification)'!P55)</f>
        <v>0</v>
      </c>
      <c r="AZ1444" s="848"/>
      <c r="BA1444" s="848"/>
      <c r="BB1444" s="848"/>
      <c r="BC1444" s="848"/>
      <c r="BD1444" s="848"/>
      <c r="BE1444" s="848"/>
      <c r="BF1444" s="848"/>
      <c r="BG1444" s="848"/>
      <c r="BH1444" s="848"/>
      <c r="BJ1444" s="1184" t="s">
        <v>4763</v>
      </c>
    </row>
    <row r="1445" spans="1:62" x14ac:dyDescent="0.3">
      <c r="A1445" s="1200">
        <v>8</v>
      </c>
      <c r="B1445" s="1210">
        <v>801.3</v>
      </c>
      <c r="C1445" s="1203"/>
      <c r="D1445" s="1203"/>
      <c r="E1445" s="1203" t="s">
        <v>271</v>
      </c>
      <c r="F1445" s="1203"/>
      <c r="G1445" s="1202" t="str">
        <f t="shared" ca="1" si="456"/>
        <v/>
      </c>
      <c r="H1445" s="1200" t="s">
        <v>4388</v>
      </c>
      <c r="I1445" s="66"/>
      <c r="J1445" s="4"/>
      <c r="K1445" s="4"/>
      <c r="L1445" s="1329"/>
      <c r="M1445" s="1387"/>
      <c r="N1445" s="1310"/>
      <c r="O1445" s="1310"/>
      <c r="P1445" s="848"/>
      <c r="Q1445" s="848"/>
      <c r="R1445" s="848"/>
      <c r="S1445" s="848"/>
      <c r="T1445" s="848"/>
      <c r="U1445" s="848"/>
      <c r="V1445" s="848"/>
      <c r="W1445" s="848"/>
      <c r="X1445" s="1303"/>
      <c r="Y1445" s="1522"/>
      <c r="Z1445" s="1586"/>
      <c r="AB1445" s="848"/>
      <c r="AC1445" s="848"/>
      <c r="AD1445" s="848"/>
      <c r="AE1445" s="848"/>
      <c r="AF1445" s="848"/>
      <c r="AG1445" s="848"/>
      <c r="AH1445" s="848"/>
      <c r="AI1445" s="848"/>
      <c r="AJ1445" s="848"/>
      <c r="AK1445" s="848"/>
      <c r="AL1445" s="848"/>
      <c r="AM1445" s="848"/>
      <c r="AN1445" s="848"/>
      <c r="AO1445" s="848"/>
      <c r="AP1445" s="848"/>
      <c r="AQ1445" s="848"/>
      <c r="AR1445" s="848"/>
      <c r="AS1445" s="848"/>
      <c r="AT1445" s="848"/>
      <c r="AU1445" s="848"/>
      <c r="AV1445" s="848"/>
      <c r="AW1445" s="848"/>
      <c r="AX1445" s="849"/>
      <c r="AY1445" s="1077"/>
      <c r="AZ1445" s="848"/>
      <c r="BA1445" s="848"/>
      <c r="BB1445" s="848"/>
      <c r="BC1445" s="848"/>
      <c r="BD1445" s="848"/>
      <c r="BE1445" s="848"/>
      <c r="BF1445" s="848"/>
      <c r="BG1445" s="848"/>
      <c r="BH1445" s="848"/>
      <c r="BJ1445" s="1184" t="s">
        <v>4763</v>
      </c>
    </row>
    <row r="1446" spans="1:62" x14ac:dyDescent="0.3">
      <c r="A1446" s="1200">
        <v>8</v>
      </c>
      <c r="B1446" s="1210">
        <v>801.3</v>
      </c>
      <c r="C1446" s="1203"/>
      <c r="D1446" s="1203"/>
      <c r="E1446" s="1203" t="s">
        <v>271</v>
      </c>
      <c r="F1446" s="1203"/>
      <c r="G1446" s="1202" t="str">
        <f t="shared" ca="1" si="456"/>
        <v/>
      </c>
      <c r="H1446" s="1200" t="s">
        <v>4388</v>
      </c>
      <c r="I1446" s="66"/>
      <c r="J1446" s="140"/>
      <c r="K1446" s="140"/>
      <c r="L1446" s="1368" t="s">
        <v>867</v>
      </c>
      <c r="M1446" s="1318" t="s">
        <v>868</v>
      </c>
      <c r="N1446" s="854"/>
      <c r="O1446" s="854"/>
      <c r="P1446" s="848"/>
      <c r="Q1446" s="848"/>
      <c r="R1446" s="848"/>
      <c r="S1446" s="848"/>
      <c r="T1446" s="848"/>
      <c r="U1446" s="848"/>
      <c r="V1446" s="848"/>
      <c r="W1446" s="848"/>
      <c r="X1446" s="1303"/>
      <c r="Y1446" s="1522"/>
      <c r="Z1446" s="1586"/>
      <c r="AB1446" s="848"/>
      <c r="AC1446" s="848"/>
      <c r="AD1446" s="848"/>
      <c r="AE1446" s="848"/>
      <c r="AF1446" s="848"/>
      <c r="AG1446" s="848"/>
      <c r="AH1446" s="848"/>
      <c r="AI1446" s="848"/>
      <c r="AJ1446" s="848"/>
      <c r="AK1446" s="848"/>
      <c r="AL1446" s="311"/>
      <c r="AM1446" s="311"/>
      <c r="AN1446" s="848"/>
      <c r="AO1446" s="848"/>
      <c r="AP1446" s="848"/>
      <c r="AQ1446" s="848"/>
      <c r="AR1446" s="848"/>
      <c r="AS1446" s="848"/>
      <c r="AT1446" s="848"/>
      <c r="AU1446" s="848"/>
      <c r="AV1446" s="848"/>
      <c r="AW1446" s="848"/>
      <c r="AX1446" s="908" t="str">
        <f>'Overview (Verification)'!A57</f>
        <v>Local Energy Code:</v>
      </c>
      <c r="AY1446" s="1077">
        <f>IF(LEN('Overview (Verification)'!P57)=0,0,'Overview (Verification)'!P57)</f>
        <v>0</v>
      </c>
      <c r="AZ1446" s="848"/>
      <c r="BA1446" s="848"/>
      <c r="BB1446" s="848"/>
      <c r="BC1446" s="848"/>
      <c r="BD1446" s="848"/>
      <c r="BE1446" s="848"/>
      <c r="BF1446" s="848"/>
      <c r="BG1446" s="848"/>
      <c r="BH1446" s="848"/>
      <c r="BJ1446" s="1184" t="s">
        <v>4763</v>
      </c>
    </row>
    <row r="1447" spans="1:62" x14ac:dyDescent="0.3">
      <c r="A1447" s="1200">
        <v>8</v>
      </c>
      <c r="B1447" s="1210">
        <v>801.3</v>
      </c>
      <c r="C1447" s="1203"/>
      <c r="D1447" s="1203"/>
      <c r="E1447" s="1203" t="s">
        <v>271</v>
      </c>
      <c r="F1447" s="1203"/>
      <c r="G1447" s="1202" t="str">
        <f t="shared" ca="1" si="456"/>
        <v/>
      </c>
      <c r="H1447" s="1200" t="s">
        <v>4388</v>
      </c>
      <c r="I1447" s="66"/>
      <c r="J1447" s="140"/>
      <c r="K1447" s="140"/>
      <c r="L1447" s="1368"/>
      <c r="M1447" s="1318"/>
      <c r="N1447" s="854"/>
      <c r="O1447" s="854"/>
      <c r="P1447" s="848"/>
      <c r="Q1447" s="848"/>
      <c r="R1447" s="848"/>
      <c r="S1447" s="848"/>
      <c r="T1447" s="848"/>
      <c r="U1447" s="848"/>
      <c r="V1447" s="848"/>
      <c r="W1447" s="848"/>
      <c r="X1447" s="1303"/>
      <c r="Y1447" s="1522"/>
      <c r="Z1447" s="1586"/>
      <c r="AB1447" s="848"/>
      <c r="AC1447" s="848"/>
      <c r="AD1447" s="848"/>
      <c r="AE1447" s="848"/>
      <c r="AF1447" s="848"/>
      <c r="AG1447" s="848"/>
      <c r="AH1447" s="848"/>
      <c r="AI1447" s="848"/>
      <c r="AJ1447" s="848"/>
      <c r="AK1447" s="848"/>
      <c r="AL1447" s="848"/>
      <c r="AM1447" s="848"/>
      <c r="AN1447" s="848"/>
      <c r="AO1447" s="848"/>
      <c r="AP1447" s="848"/>
      <c r="AQ1447" s="848"/>
      <c r="AR1447" s="848"/>
      <c r="AS1447" s="848"/>
      <c r="AT1447" s="848"/>
      <c r="AU1447" s="848"/>
      <c r="AV1447" s="848"/>
      <c r="AW1447" s="848"/>
      <c r="AX1447" s="908" t="str">
        <f>'Overview (Verification)'!A58</f>
        <v>Local Building Code:</v>
      </c>
      <c r="AY1447" s="1077">
        <f>IF(LEN('Overview (Verification)'!P58)=0,0,'Overview (Verification)'!P58)</f>
        <v>0</v>
      </c>
      <c r="AZ1447" s="848"/>
      <c r="BA1447" s="848"/>
      <c r="BB1447" s="848"/>
      <c r="BC1447" s="848"/>
      <c r="BD1447" s="848"/>
      <c r="BE1447" s="848"/>
      <c r="BF1447" s="848"/>
      <c r="BG1447" s="848"/>
      <c r="BH1447" s="848"/>
      <c r="BJ1447" s="1184" t="s">
        <v>4763</v>
      </c>
    </row>
    <row r="1448" spans="1:62" x14ac:dyDescent="0.3">
      <c r="A1448" s="1200">
        <v>8</v>
      </c>
      <c r="B1448" s="1210">
        <v>801.3</v>
      </c>
      <c r="C1448" s="1203"/>
      <c r="D1448" s="1203"/>
      <c r="E1448" s="1203" t="s">
        <v>271</v>
      </c>
      <c r="F1448" s="1203"/>
      <c r="G1448" s="1202" t="str">
        <f t="shared" ca="1" si="456"/>
        <v/>
      </c>
      <c r="H1448" s="1200" t="s">
        <v>4388</v>
      </c>
      <c r="I1448" s="66"/>
      <c r="J1448" s="238"/>
      <c r="K1448" s="238"/>
      <c r="L1448" s="1424"/>
      <c r="M1448" s="1319"/>
      <c r="N1448" s="855"/>
      <c r="O1448" s="855"/>
      <c r="P1448" s="848"/>
      <c r="Q1448" s="848"/>
      <c r="R1448" s="848"/>
      <c r="S1448" s="848"/>
      <c r="T1448" s="848"/>
      <c r="U1448" s="848"/>
      <c r="V1448" s="848"/>
      <c r="W1448" s="848"/>
      <c r="X1448" s="1303"/>
      <c r="Y1448" s="1522"/>
      <c r="Z1448" s="1586"/>
      <c r="AB1448" s="848"/>
      <c r="AC1448" s="848"/>
      <c r="AD1448" s="848"/>
      <c r="AE1448" s="848"/>
      <c r="AF1448" s="848"/>
      <c r="AG1448" s="848"/>
      <c r="AH1448" s="848"/>
      <c r="AI1448" s="848"/>
      <c r="AJ1448" s="848"/>
      <c r="AK1448" s="848"/>
      <c r="AL1448" s="848"/>
      <c r="AM1448" s="848"/>
      <c r="AN1448" s="848"/>
      <c r="AO1448" s="848"/>
      <c r="AP1448" s="848"/>
      <c r="AQ1448" s="848"/>
      <c r="AR1448" s="848"/>
      <c r="AS1448" s="848"/>
      <c r="AT1448" s="848"/>
      <c r="AU1448" s="848"/>
      <c r="AV1448" s="848"/>
      <c r="AW1448" s="848"/>
      <c r="AX1448" s="848"/>
      <c r="AY1448" s="848"/>
      <c r="AZ1448" s="848"/>
      <c r="BA1448" s="848"/>
      <c r="BB1448" s="848"/>
      <c r="BC1448" s="848"/>
      <c r="BD1448" s="848"/>
      <c r="BE1448" s="848"/>
      <c r="BF1448" s="848"/>
      <c r="BG1448" s="848"/>
      <c r="BH1448" s="848"/>
      <c r="BJ1448" s="1184" t="s">
        <v>4763</v>
      </c>
    </row>
    <row r="1449" spans="1:62" x14ac:dyDescent="0.3">
      <c r="A1449" s="1200">
        <v>8</v>
      </c>
      <c r="B1449" s="1210">
        <v>801.3</v>
      </c>
      <c r="C1449" s="1203"/>
      <c r="D1449" s="1203"/>
      <c r="E1449" s="1203" t="s">
        <v>273</v>
      </c>
      <c r="F1449" s="1203"/>
      <c r="G1449" s="1202" t="str">
        <f ca="1">IF(N1449&gt;0,"P","")</f>
        <v/>
      </c>
      <c r="H1449" s="1200" t="s">
        <v>4388</v>
      </c>
      <c r="I1449" s="66"/>
      <c r="J1449" s="27" t="s">
        <v>273</v>
      </c>
      <c r="K1449" s="4"/>
      <c r="L1449" s="1329" t="s">
        <v>869</v>
      </c>
      <c r="M1449" s="866"/>
      <c r="N1449" s="1310">
        <f ca="1">'Ch8'!O63</f>
        <v>0</v>
      </c>
      <c r="O1449" s="1310">
        <f ca="1">IFERROR(INDEX({6,10,14},MATCH(W1449,INDIRECT(U1449),0)),0)*S1449</f>
        <v>0</v>
      </c>
      <c r="P1449" s="97" t="b">
        <v>0</v>
      </c>
      <c r="Q1449" s="848" t="b">
        <v>1</v>
      </c>
      <c r="R1449" s="848" t="b">
        <v>0</v>
      </c>
      <c r="S1449" s="848" t="b">
        <f>LEN(W1440)&gt;0</f>
        <v>0</v>
      </c>
      <c r="T1449" s="97" t="b">
        <f>IF(AND(NOT(S1449),LEN(W1449)&gt;0),TRUE,FALSE)</f>
        <v>0</v>
      </c>
      <c r="U1449" s="97" t="str">
        <f>SUBSTITUTE(SUBSTITUTE(SUBSTITUTE("dd"&amp;B1449&amp;C1449&amp;D1449&amp;E1449&amp;F1449,".","_"),"(","_"),")","")</f>
        <v>dd801_3_2</v>
      </c>
      <c r="V1449" s="848"/>
      <c r="W1449" s="12"/>
      <c r="X1449" s="1303"/>
      <c r="Y1449" s="1522" t="str">
        <f>IF(LEN('Ch8'!X63)=0,"None",'Ch8'!X63)</f>
        <v>None</v>
      </c>
      <c r="Z1449" s="1586"/>
      <c r="AB1449" s="848"/>
      <c r="AC1449" s="848" t="b">
        <f>OR(AD1449:AE1449)</f>
        <v>0</v>
      </c>
      <c r="AD1449" s="848" t="b">
        <f>T1449</f>
        <v>0</v>
      </c>
      <c r="AE1449" s="848" t="b">
        <f>AND(R1449,OR(W1449="Not Met",W1449=""))</f>
        <v>0</v>
      </c>
      <c r="AF1449" s="1182" t="b">
        <f>AND(AE1449,NOT(Q1449))</f>
        <v>0</v>
      </c>
      <c r="AG1449" s="848"/>
      <c r="AH1449" s="848"/>
      <c r="AI1449" s="848"/>
      <c r="AJ1449" s="848"/>
      <c r="AK1449" s="848"/>
      <c r="AL1449" s="848"/>
      <c r="AM1449" s="848"/>
      <c r="AN1449" s="311" t="str">
        <f>SUBSTITUTE(SUBSTITUTE(SUBSTITUTE("vpc"&amp;$B1449&amp;$C1449&amp;$D1449&amp;$E1449&amp;$F1449,".","_"),"(","_"),")","")</f>
        <v>vpc801_3_2</v>
      </c>
      <c r="AO1449" s="311">
        <f ca="1">O1449</f>
        <v>0</v>
      </c>
      <c r="AP1449" s="311" t="str">
        <f>SUBSTITUTE(SUBSTITUTE(SUBSTITUTE("vch"&amp;$B1449&amp;$C1449&amp;$D1449&amp;$E1449&amp;$F1449,".","_"),"(","_"),")","")</f>
        <v>vch801_3_2</v>
      </c>
      <c r="AQ1449" s="311">
        <f>W1449</f>
        <v>0</v>
      </c>
      <c r="AR1449" s="311" t="str">
        <f>SUBSTITUTE(SUBSTITUTE(SUBSTITUTE("vnt"&amp;$B1449&amp;$C1449&amp;$D1449&amp;$E1449&amp;$F1449,".","_"),"(","_"),")","")</f>
        <v>vnt801_3_2</v>
      </c>
      <c r="AS1449" s="311">
        <f>X1449</f>
        <v>0</v>
      </c>
      <c r="AT1449" s="848"/>
      <c r="AU1449" s="848"/>
      <c r="AV1449" s="848"/>
      <c r="AW1449" s="848"/>
      <c r="AX1449" s="848"/>
      <c r="AY1449" s="848"/>
      <c r="AZ1449" s="848"/>
      <c r="BA1449" s="848"/>
      <c r="BB1449" s="848"/>
      <c r="BC1449" s="848"/>
      <c r="BD1449" s="848"/>
      <c r="BE1449" s="848"/>
      <c r="BF1449" s="848"/>
      <c r="BG1449" s="848"/>
      <c r="BH1449" s="848"/>
      <c r="BJ1449" s="1184" t="s">
        <v>4763</v>
      </c>
    </row>
    <row r="1450" spans="1:62" x14ac:dyDescent="0.3">
      <c r="A1450" s="1200">
        <v>8</v>
      </c>
      <c r="B1450" s="1210">
        <v>801.3</v>
      </c>
      <c r="C1450" s="1203"/>
      <c r="D1450" s="1203"/>
      <c r="E1450" s="1203" t="s">
        <v>273</v>
      </c>
      <c r="F1450" s="1203"/>
      <c r="G1450" s="1202" t="str">
        <f t="shared" ref="G1450:G1453" ca="1" si="457">G1449</f>
        <v/>
      </c>
      <c r="H1450" s="1200" t="s">
        <v>4388</v>
      </c>
      <c r="I1450" s="66"/>
      <c r="J1450" s="4"/>
      <c r="K1450" s="4"/>
      <c r="L1450" s="1329"/>
      <c r="M1450" s="866"/>
      <c r="N1450" s="1310"/>
      <c r="O1450" s="1310"/>
      <c r="P1450" s="848"/>
      <c r="Q1450" s="848"/>
      <c r="R1450" s="848"/>
      <c r="S1450" s="848"/>
      <c r="T1450" s="848"/>
      <c r="U1450" s="848"/>
      <c r="V1450" s="848"/>
      <c r="W1450" s="848"/>
      <c r="X1450" s="1303"/>
      <c r="Y1450" s="1522"/>
      <c r="Z1450" s="1586"/>
      <c r="AB1450" s="848"/>
      <c r="AC1450" s="848"/>
      <c r="AD1450" s="848"/>
      <c r="AE1450" s="848"/>
      <c r="AF1450" s="848"/>
      <c r="AG1450" s="848"/>
      <c r="AH1450" s="848"/>
      <c r="AI1450" s="848"/>
      <c r="AJ1450" s="848"/>
      <c r="AK1450" s="848"/>
      <c r="AL1450" s="848"/>
      <c r="AM1450" s="848"/>
      <c r="AN1450" s="848"/>
      <c r="AO1450" s="848"/>
      <c r="AP1450" s="848"/>
      <c r="AQ1450" s="848"/>
      <c r="AR1450" s="848"/>
      <c r="AS1450" s="848"/>
      <c r="AT1450" s="848"/>
      <c r="AU1450" s="848"/>
      <c r="AV1450" s="848"/>
      <c r="AW1450" s="848"/>
      <c r="AX1450" s="848"/>
      <c r="AY1450" s="848"/>
      <c r="AZ1450" s="848"/>
      <c r="BA1450" s="848"/>
      <c r="BB1450" s="848"/>
      <c r="BC1450" s="848"/>
      <c r="BD1450" s="848"/>
      <c r="BE1450" s="848"/>
      <c r="BF1450" s="848"/>
      <c r="BG1450" s="848"/>
      <c r="BH1450" s="848"/>
      <c r="BJ1450" s="1184" t="s">
        <v>4763</v>
      </c>
    </row>
    <row r="1451" spans="1:62" x14ac:dyDescent="0.3">
      <c r="A1451" s="1200">
        <v>8</v>
      </c>
      <c r="B1451" s="1210">
        <v>801.3</v>
      </c>
      <c r="C1451" s="1203"/>
      <c r="D1451" s="1203"/>
      <c r="E1451" s="1203" t="s">
        <v>273</v>
      </c>
      <c r="F1451" s="1203" t="s">
        <v>121</v>
      </c>
      <c r="G1451" s="1202" t="str">
        <f t="shared" ca="1" si="457"/>
        <v/>
      </c>
      <c r="H1451" s="1204" t="s">
        <v>4388</v>
      </c>
      <c r="I1451" s="4"/>
      <c r="J1451" s="4"/>
      <c r="K1451" s="27" t="s">
        <v>121</v>
      </c>
      <c r="L1451" s="871" t="s">
        <v>870</v>
      </c>
      <c r="M1451" s="866" t="s">
        <v>871</v>
      </c>
      <c r="N1451" s="850"/>
      <c r="O1451" s="850"/>
      <c r="P1451" s="848"/>
      <c r="Q1451" s="848"/>
      <c r="R1451" s="848"/>
      <c r="S1451" s="848"/>
      <c r="T1451" s="848"/>
      <c r="U1451" s="848"/>
      <c r="V1451" s="848"/>
      <c r="W1451" s="848"/>
      <c r="X1451" s="1303"/>
      <c r="Y1451" s="1522"/>
      <c r="Z1451" s="1586"/>
      <c r="AB1451" s="848"/>
      <c r="AC1451" s="848"/>
      <c r="AD1451" s="848"/>
      <c r="AE1451" s="848"/>
      <c r="AF1451" s="848"/>
      <c r="AG1451" s="848"/>
      <c r="AH1451" s="848"/>
      <c r="AI1451" s="848"/>
      <c r="AJ1451" s="848"/>
      <c r="AK1451" s="848"/>
      <c r="AL1451" s="311" t="str">
        <f t="shared" ref="AL1451:AL1454" si="458">SUBSTITUTE(SUBSTITUTE(SUBSTITUTE("vpa"&amp;$B1451&amp;$C1451&amp;$D1451&amp;$E1451&amp;$F1451,".","_"),"(","_"),")","")</f>
        <v>vpa801_3_2_a</v>
      </c>
      <c r="AM1451" s="311" t="str">
        <f>M1451</f>
        <v xml:space="preserve">6 Additional </v>
      </c>
      <c r="AN1451" s="848"/>
      <c r="AO1451" s="848"/>
      <c r="AP1451" s="848"/>
      <c r="AQ1451" s="848"/>
      <c r="AR1451" s="848"/>
      <c r="AS1451" s="848"/>
      <c r="AT1451" s="848"/>
      <c r="AU1451" s="848"/>
      <c r="AV1451" s="848"/>
      <c r="AW1451" s="848"/>
      <c r="AX1451" s="848"/>
      <c r="AY1451" s="848"/>
      <c r="AZ1451" s="848"/>
      <c r="BA1451" s="848"/>
      <c r="BB1451" s="848"/>
      <c r="BC1451" s="848"/>
      <c r="BD1451" s="848"/>
      <c r="BE1451" s="848"/>
      <c r="BF1451" s="848"/>
      <c r="BG1451" s="848"/>
      <c r="BH1451" s="848"/>
      <c r="BJ1451" s="1184" t="s">
        <v>4763</v>
      </c>
    </row>
    <row r="1452" spans="1:62" x14ac:dyDescent="0.3">
      <c r="A1452" s="1200">
        <v>8</v>
      </c>
      <c r="B1452" s="1210">
        <v>801.3</v>
      </c>
      <c r="C1452" s="1203"/>
      <c r="D1452" s="1203"/>
      <c r="E1452" s="1203" t="s">
        <v>273</v>
      </c>
      <c r="F1452" s="1203" t="s">
        <v>122</v>
      </c>
      <c r="G1452" s="1202" t="str">
        <f t="shared" ca="1" si="457"/>
        <v/>
      </c>
      <c r="H1452" s="1204" t="s">
        <v>4388</v>
      </c>
      <c r="I1452" s="4"/>
      <c r="J1452" s="4"/>
      <c r="K1452" s="27" t="s">
        <v>122</v>
      </c>
      <c r="L1452" s="871" t="s">
        <v>872</v>
      </c>
      <c r="M1452" s="866" t="s">
        <v>873</v>
      </c>
      <c r="N1452" s="850"/>
      <c r="O1452" s="850"/>
      <c r="P1452" s="848"/>
      <c r="Q1452" s="848"/>
      <c r="R1452" s="848"/>
      <c r="S1452" s="848"/>
      <c r="T1452" s="848"/>
      <c r="U1452" s="848"/>
      <c r="V1452" s="848"/>
      <c r="W1452" s="848"/>
      <c r="X1452" s="1303"/>
      <c r="Y1452" s="1522"/>
      <c r="Z1452" s="1586"/>
      <c r="AB1452" s="848"/>
      <c r="AC1452" s="848"/>
      <c r="AD1452" s="848"/>
      <c r="AE1452" s="848"/>
      <c r="AF1452" s="848"/>
      <c r="AG1452" s="848"/>
      <c r="AH1452" s="848"/>
      <c r="AI1452" s="848"/>
      <c r="AJ1452" s="848"/>
      <c r="AK1452" s="848"/>
      <c r="AL1452" s="311" t="str">
        <f t="shared" si="458"/>
        <v>vpa801_3_2_b</v>
      </c>
      <c r="AM1452" s="311" t="str">
        <f>M1452</f>
        <v xml:space="preserve">10 Additional </v>
      </c>
      <c r="AN1452" s="848"/>
      <c r="AO1452" s="848"/>
      <c r="AP1452" s="848"/>
      <c r="AQ1452" s="848"/>
      <c r="AR1452" s="848"/>
      <c r="AS1452" s="848"/>
      <c r="AT1452" s="848"/>
      <c r="AU1452" s="848"/>
      <c r="AV1452" s="848"/>
      <c r="AW1452" s="848"/>
      <c r="AX1452" s="848"/>
      <c r="AY1452" s="848"/>
      <c r="AZ1452" s="848"/>
      <c r="BA1452" s="848"/>
      <c r="BB1452" s="848"/>
      <c r="BC1452" s="848"/>
      <c r="BD1452" s="848"/>
      <c r="BE1452" s="848"/>
      <c r="BF1452" s="848"/>
      <c r="BG1452" s="848"/>
      <c r="BH1452" s="848"/>
      <c r="BJ1452" s="1184" t="s">
        <v>4763</v>
      </c>
    </row>
    <row r="1453" spans="1:62" x14ac:dyDescent="0.3">
      <c r="A1453" s="1200">
        <v>8</v>
      </c>
      <c r="B1453" s="1210">
        <v>801.3</v>
      </c>
      <c r="C1453" s="1203"/>
      <c r="D1453" s="1203"/>
      <c r="E1453" s="1203" t="s">
        <v>273</v>
      </c>
      <c r="F1453" s="1203" t="s">
        <v>123</v>
      </c>
      <c r="G1453" s="1202" t="str">
        <f t="shared" ca="1" si="457"/>
        <v/>
      </c>
      <c r="H1453" s="1204" t="s">
        <v>4388</v>
      </c>
      <c r="I1453" s="4"/>
      <c r="J1453" s="238"/>
      <c r="K1453" s="231" t="s">
        <v>123</v>
      </c>
      <c r="L1453" s="862" t="s">
        <v>874</v>
      </c>
      <c r="M1453" s="857" t="s">
        <v>875</v>
      </c>
      <c r="N1453" s="855"/>
      <c r="O1453" s="855"/>
      <c r="P1453" s="848"/>
      <c r="Q1453" s="848"/>
      <c r="R1453" s="848"/>
      <c r="S1453" s="848"/>
      <c r="T1453" s="848"/>
      <c r="U1453" s="848"/>
      <c r="V1453" s="848"/>
      <c r="W1453" s="848"/>
      <c r="X1453" s="1303"/>
      <c r="Y1453" s="1522"/>
      <c r="Z1453" s="1586"/>
      <c r="AB1453" s="848"/>
      <c r="AC1453" s="848"/>
      <c r="AD1453" s="848"/>
      <c r="AE1453" s="848"/>
      <c r="AF1453" s="848"/>
      <c r="AG1453" s="848"/>
      <c r="AH1453" s="848"/>
      <c r="AI1453" s="848"/>
      <c r="AJ1453" s="848"/>
      <c r="AK1453" s="848"/>
      <c r="AL1453" s="311" t="str">
        <f t="shared" si="458"/>
        <v>vpa801_3_2_c</v>
      </c>
      <c r="AM1453" s="311" t="str">
        <f>M1453</f>
        <v>14 Additional</v>
      </c>
      <c r="AN1453" s="848"/>
      <c r="AO1453" s="848"/>
      <c r="AP1453" s="848"/>
      <c r="AQ1453" s="848"/>
      <c r="AR1453" s="848"/>
      <c r="AS1453" s="848"/>
      <c r="AT1453" s="848"/>
      <c r="AU1453" s="848"/>
      <c r="AV1453" s="848"/>
      <c r="AW1453" s="848"/>
      <c r="AX1453" s="848"/>
      <c r="AY1453" s="848"/>
      <c r="AZ1453" s="848"/>
      <c r="BA1453" s="848"/>
      <c r="BB1453" s="848"/>
      <c r="BC1453" s="848"/>
      <c r="BD1453" s="848"/>
      <c r="BE1453" s="848"/>
      <c r="BF1453" s="848"/>
      <c r="BG1453" s="848"/>
      <c r="BH1453" s="848"/>
      <c r="BJ1453" s="1184" t="s">
        <v>4763</v>
      </c>
    </row>
    <row r="1454" spans="1:62" ht="15" customHeight="1" x14ac:dyDescent="0.3">
      <c r="A1454" s="1200">
        <v>8</v>
      </c>
      <c r="B1454" s="1210">
        <v>801.3</v>
      </c>
      <c r="C1454" s="1203"/>
      <c r="D1454" s="1203"/>
      <c r="E1454" s="1203" t="s">
        <v>275</v>
      </c>
      <c r="F1454" s="1203"/>
      <c r="G1454" s="1202" t="str">
        <f ca="1">IF(N1454&gt;0,"P","")</f>
        <v/>
      </c>
      <c r="H1454" s="1200" t="s">
        <v>4388</v>
      </c>
      <c r="I1454" s="141"/>
      <c r="J1454" s="203" t="s">
        <v>275</v>
      </c>
      <c r="K1454" s="140"/>
      <c r="L1454" s="861" t="s">
        <v>876</v>
      </c>
      <c r="M1454" s="1360" t="s">
        <v>3841</v>
      </c>
      <c r="N1454" s="1308">
        <f ca="1">'Ch8'!O68</f>
        <v>0</v>
      </c>
      <c r="O1454" s="1308">
        <f ca="1">IFERROR(MATCH(W1454,INDIRECT(U1454),0),0)*S1454</f>
        <v>0</v>
      </c>
      <c r="P1454" s="97" t="b">
        <v>0</v>
      </c>
      <c r="Q1454" s="848" t="b">
        <v>1</v>
      </c>
      <c r="R1454" s="97" t="b">
        <v>0</v>
      </c>
      <c r="S1454" s="97" t="b">
        <v>1</v>
      </c>
      <c r="T1454" s="97" t="b">
        <f>IF(AND(NOT(S1454),LEN(W1454)&gt;0),TRUE,FALSE)</f>
        <v>0</v>
      </c>
      <c r="U1454" s="97" t="str">
        <f>SUBSTITUTE(SUBSTITUTE(SUBSTITUTE("dd"&amp;B1454&amp;C1454&amp;D1454&amp;E1454&amp;F1454,".","_"),"(","_"),")","")</f>
        <v>dd801_3_3</v>
      </c>
      <c r="V1454" s="97"/>
      <c r="W1454" s="12"/>
      <c r="X1454" s="1295"/>
      <c r="Y1454" s="1523" t="str">
        <f>IF(LEN('Ch8'!X68)=0,"None",'Ch8'!X68)</f>
        <v>None</v>
      </c>
      <c r="Z1454" s="1583"/>
      <c r="AB1454" s="848"/>
      <c r="AC1454" s="848" t="b">
        <f>OR(AD1454:AE1454)</f>
        <v>0</v>
      </c>
      <c r="AD1454" s="848" t="b">
        <f>T1454</f>
        <v>0</v>
      </c>
      <c r="AE1454" s="848" t="b">
        <f>AND(R1454,OR(W1454="Not Met",W1454=""))</f>
        <v>0</v>
      </c>
      <c r="AF1454" s="1182" t="b">
        <f>AND(AE1454,NOT(Q1454))</f>
        <v>0</v>
      </c>
      <c r="AG1454" s="848"/>
      <c r="AH1454" s="848"/>
      <c r="AI1454" s="848"/>
      <c r="AJ1454" s="848"/>
      <c r="AK1454" s="848"/>
      <c r="AL1454" s="311" t="str">
        <f t="shared" si="458"/>
        <v>vpa801_3_3</v>
      </c>
      <c r="AM1454" s="311" t="str">
        <f>M1454</f>
        <v>1
3 Max</v>
      </c>
      <c r="AN1454" s="311" t="str">
        <f>SUBSTITUTE(SUBSTITUTE(SUBSTITUTE("vpc"&amp;$B1454&amp;$C1454&amp;$D1454&amp;$E1454&amp;$F1454,".","_"),"(","_"),")","")</f>
        <v>vpc801_3_3</v>
      </c>
      <c r="AO1454" s="311">
        <f ca="1">O1454</f>
        <v>0</v>
      </c>
      <c r="AP1454" s="311" t="str">
        <f>SUBSTITUTE(SUBSTITUTE(SUBSTITUTE("vch"&amp;$B1454&amp;$C1454&amp;$D1454&amp;$E1454&amp;$F1454,".","_"),"(","_"),")","")</f>
        <v>vch801_3_3</v>
      </c>
      <c r="AQ1454" s="311">
        <f>W1454</f>
        <v>0</v>
      </c>
      <c r="AR1454" s="311" t="str">
        <f>SUBSTITUTE(SUBSTITUTE(SUBSTITUTE("vnt"&amp;$B1454&amp;$C1454&amp;$D1454&amp;$E1454&amp;$F1454,".","_"),"(","_"),")","")</f>
        <v>vnt801_3_3</v>
      </c>
      <c r="AS1454" s="311">
        <f>X1454</f>
        <v>0</v>
      </c>
      <c r="AT1454" s="848"/>
      <c r="AU1454" s="848"/>
      <c r="AV1454" s="848"/>
      <c r="AW1454" s="848"/>
      <c r="AX1454" s="848"/>
      <c r="AY1454" s="848"/>
      <c r="AZ1454" s="848"/>
      <c r="BA1454" s="848"/>
      <c r="BB1454" s="848"/>
      <c r="BC1454" s="848"/>
      <c r="BD1454" s="848"/>
      <c r="BE1454" s="848"/>
      <c r="BF1454" s="848"/>
      <c r="BG1454" s="848"/>
      <c r="BH1454" s="848"/>
      <c r="BJ1454" s="1184" t="s">
        <v>4763</v>
      </c>
    </row>
    <row r="1455" spans="1:62" ht="15" thickBot="1" x14ac:dyDescent="0.35">
      <c r="A1455" s="1200">
        <v>8</v>
      </c>
      <c r="B1455" s="1210">
        <v>801.3</v>
      </c>
      <c r="C1455" s="1203"/>
      <c r="D1455" s="1203"/>
      <c r="E1455" s="1203" t="s">
        <v>275</v>
      </c>
      <c r="F1455" s="1203"/>
      <c r="G1455" s="1202" t="str">
        <f t="shared" ref="G1455" ca="1" si="459">G1454</f>
        <v/>
      </c>
      <c r="H1455" s="1200" t="s">
        <v>4388</v>
      </c>
      <c r="I1455" s="212"/>
      <c r="J1455" s="270"/>
      <c r="K1455" s="270"/>
      <c r="L1455" s="876" t="s">
        <v>877</v>
      </c>
      <c r="M1455" s="1421"/>
      <c r="N1455" s="1315"/>
      <c r="O1455" s="1315"/>
      <c r="P1455" s="104"/>
      <c r="Q1455" s="104"/>
      <c r="R1455" s="104"/>
      <c r="S1455" s="104"/>
      <c r="T1455" s="104"/>
      <c r="U1455" s="104"/>
      <c r="V1455" s="104"/>
      <c r="W1455" s="104"/>
      <c r="X1455" s="1296"/>
      <c r="Y1455" s="1524"/>
      <c r="Z1455" s="1584"/>
      <c r="AB1455" s="848"/>
      <c r="AC1455" s="848"/>
      <c r="AD1455" s="848"/>
      <c r="AE1455" s="848"/>
      <c r="AF1455" s="848"/>
      <c r="AG1455" s="848"/>
      <c r="AH1455" s="848"/>
      <c r="AI1455" s="848"/>
      <c r="AJ1455" s="848"/>
      <c r="AK1455" s="848"/>
      <c r="AL1455" s="848"/>
      <c r="AM1455" s="848"/>
      <c r="AN1455" s="848"/>
      <c r="AO1455" s="848"/>
      <c r="AP1455" s="848"/>
      <c r="AQ1455" s="848"/>
      <c r="AR1455" s="848"/>
      <c r="AS1455" s="848"/>
      <c r="AT1455" s="848"/>
      <c r="AU1455" s="848"/>
      <c r="AV1455" s="848"/>
      <c r="AW1455" s="848"/>
      <c r="AX1455" s="848"/>
      <c r="AY1455" s="848"/>
      <c r="AZ1455" s="848"/>
      <c r="BA1455" s="848"/>
      <c r="BB1455" s="848"/>
      <c r="BC1455" s="848"/>
      <c r="BD1455" s="848"/>
      <c r="BE1455" s="848"/>
      <c r="BF1455" s="848"/>
      <c r="BG1455" s="848"/>
      <c r="BH1455" s="848"/>
      <c r="BJ1455" s="1184" t="s">
        <v>4763</v>
      </c>
    </row>
    <row r="1456" spans="1:62" ht="15" thickTop="1" x14ac:dyDescent="0.3">
      <c r="A1456" s="1200">
        <v>8</v>
      </c>
      <c r="B1456" s="1210">
        <v>801.4</v>
      </c>
      <c r="C1456" s="1203"/>
      <c r="D1456" s="1203"/>
      <c r="E1456" s="1203"/>
      <c r="F1456" s="1203"/>
      <c r="G1456" s="1196" t="str">
        <f ca="1">IF(COUNTIF(G1459:G1464,"P")&gt;0,"P","")</f>
        <v>P</v>
      </c>
      <c r="H1456" s="1200" t="s">
        <v>4388</v>
      </c>
      <c r="I1456" s="200">
        <v>801.4</v>
      </c>
      <c r="J1456" s="201"/>
      <c r="K1456" s="201"/>
      <c r="L1456" s="879" t="s">
        <v>879</v>
      </c>
      <c r="M1456" s="868"/>
      <c r="N1456" s="859"/>
      <c r="O1456" s="859"/>
      <c r="P1456" s="110"/>
      <c r="Q1456" s="110"/>
      <c r="R1456" s="110"/>
      <c r="S1456" s="110"/>
      <c r="T1456" s="110"/>
      <c r="U1456" s="110"/>
      <c r="V1456" s="110"/>
      <c r="W1456" s="110"/>
      <c r="X1456" s="110"/>
      <c r="Y1456" s="848"/>
      <c r="Z1456" s="1055"/>
      <c r="AB1456" s="848"/>
      <c r="AC1456" s="848"/>
      <c r="AD1456" s="848"/>
      <c r="AE1456" s="848"/>
      <c r="AF1456" s="848"/>
      <c r="AG1456" s="848"/>
      <c r="AH1456" s="848"/>
      <c r="AI1456" s="848"/>
      <c r="AJ1456" s="848"/>
      <c r="AK1456" s="848"/>
      <c r="AL1456" s="848"/>
      <c r="AM1456" s="848"/>
      <c r="AN1456" s="848"/>
      <c r="AO1456" s="848"/>
      <c r="AP1456" s="848"/>
      <c r="AQ1456" s="848"/>
      <c r="AR1456" s="848"/>
      <c r="AS1456" s="848"/>
      <c r="AT1456" s="848"/>
      <c r="AU1456" s="848"/>
      <c r="AV1456" s="848"/>
      <c r="AW1456" s="848"/>
      <c r="AX1456" s="848"/>
      <c r="AY1456" s="848"/>
      <c r="AZ1456" s="848"/>
      <c r="BA1456" s="848"/>
      <c r="BB1456" s="848"/>
      <c r="BC1456" s="848"/>
      <c r="BD1456" s="848"/>
      <c r="BE1456" s="848"/>
      <c r="BF1456" s="848"/>
      <c r="BG1456" s="848"/>
      <c r="BH1456" s="848"/>
      <c r="BJ1456" s="1184" t="s">
        <v>4763</v>
      </c>
    </row>
    <row r="1457" spans="1:62" x14ac:dyDescent="0.3">
      <c r="A1457" s="1200">
        <v>8</v>
      </c>
      <c r="B1457" s="1210" t="s">
        <v>880</v>
      </c>
      <c r="C1457" s="1203"/>
      <c r="D1457" s="1203"/>
      <c r="E1457" s="1203"/>
      <c r="F1457" s="1203"/>
      <c r="G1457" s="1196" t="str">
        <f ca="1">IF(COUNTIF(G1459:G1463,"P")&gt;0,"P","")</f>
        <v>P</v>
      </c>
      <c r="H1457" s="1200" t="s">
        <v>4388</v>
      </c>
      <c r="I1457" s="141" t="s">
        <v>880</v>
      </c>
      <c r="J1457" s="140"/>
      <c r="K1457" s="140"/>
      <c r="L1457" s="1313" t="s">
        <v>881</v>
      </c>
      <c r="M1457" s="856"/>
      <c r="N1457" s="854"/>
      <c r="O1457" s="854"/>
      <c r="P1457" s="97"/>
      <c r="Q1457" s="97"/>
      <c r="R1457" s="97"/>
      <c r="S1457" s="97"/>
      <c r="T1457" s="97"/>
      <c r="U1457" s="97"/>
      <c r="V1457" s="97"/>
      <c r="W1457" s="97"/>
      <c r="X1457" s="97"/>
      <c r="Y1457" s="848"/>
      <c r="Z1457" s="1055"/>
      <c r="AB1457" s="848"/>
      <c r="AC1457" s="848"/>
      <c r="AD1457" s="848"/>
      <c r="AE1457" s="848"/>
      <c r="AF1457" s="848"/>
      <c r="AG1457" s="848"/>
      <c r="AH1457" s="848"/>
      <c r="AI1457" s="848"/>
      <c r="AJ1457" s="848"/>
      <c r="AK1457" s="848"/>
      <c r="AL1457" s="848"/>
      <c r="AM1457" s="848"/>
      <c r="AN1457" s="848"/>
      <c r="AO1457" s="848"/>
      <c r="AP1457" s="848"/>
      <c r="AQ1457" s="848"/>
      <c r="AR1457" s="848"/>
      <c r="AS1457" s="848"/>
      <c r="AT1457" s="848"/>
      <c r="AU1457" s="848"/>
      <c r="AV1457" s="848"/>
      <c r="AW1457" s="848"/>
      <c r="AX1457" s="848"/>
      <c r="AY1457" s="848"/>
      <c r="AZ1457" s="848"/>
      <c r="BA1457" s="848"/>
      <c r="BB1457" s="848"/>
      <c r="BC1457" s="848"/>
      <c r="BD1457" s="848"/>
      <c r="BE1457" s="848"/>
      <c r="BF1457" s="848"/>
      <c r="BG1457" s="848"/>
      <c r="BH1457" s="848"/>
      <c r="BJ1457" s="1184" t="s">
        <v>4763</v>
      </c>
    </row>
    <row r="1458" spans="1:62" x14ac:dyDescent="0.3">
      <c r="A1458" s="1200">
        <v>8</v>
      </c>
      <c r="B1458" s="1210" t="s">
        <v>880</v>
      </c>
      <c r="C1458" s="1203"/>
      <c r="D1458" s="1203"/>
      <c r="E1458" s="1203"/>
      <c r="F1458" s="1203"/>
      <c r="G1458" s="1202" t="str">
        <f t="shared" ref="G1458" ca="1" si="460">G1457</f>
        <v>P</v>
      </c>
      <c r="H1458" s="1200" t="s">
        <v>4388</v>
      </c>
      <c r="I1458" s="141"/>
      <c r="J1458" s="140"/>
      <c r="K1458" s="140"/>
      <c r="L1458" s="1313"/>
      <c r="M1458" s="866"/>
      <c r="N1458" s="850"/>
      <c r="O1458" s="850"/>
      <c r="P1458" s="848"/>
      <c r="Q1458" s="848"/>
      <c r="R1458" s="848"/>
      <c r="S1458" s="848"/>
      <c r="T1458" s="848"/>
      <c r="U1458" s="848"/>
      <c r="V1458" s="848"/>
      <c r="W1458" s="848"/>
      <c r="X1458" s="848"/>
      <c r="Y1458" s="848"/>
      <c r="Z1458" s="1055"/>
      <c r="AB1458" s="848"/>
      <c r="AC1458" s="848"/>
      <c r="AD1458" s="848"/>
      <c r="AE1458" s="848"/>
      <c r="AF1458" s="848"/>
      <c r="AG1458" s="848"/>
      <c r="AH1458" s="848"/>
      <c r="AI1458" s="848"/>
      <c r="AJ1458" s="848"/>
      <c r="AK1458" s="848"/>
      <c r="AL1458" s="848"/>
      <c r="AM1458" s="848"/>
      <c r="AN1458" s="848"/>
      <c r="AO1458" s="848"/>
      <c r="AP1458" s="848"/>
      <c r="AQ1458" s="848"/>
      <c r="AR1458" s="848"/>
      <c r="AS1458" s="848"/>
      <c r="AT1458" s="848"/>
      <c r="AU1458" s="848"/>
      <c r="AV1458" s="848"/>
      <c r="AW1458" s="848"/>
      <c r="AX1458" s="848"/>
      <c r="AY1458" s="848"/>
      <c r="AZ1458" s="848"/>
      <c r="BA1458" s="848"/>
      <c r="BB1458" s="848"/>
      <c r="BC1458" s="848"/>
      <c r="BD1458" s="848"/>
      <c r="BE1458" s="848"/>
      <c r="BF1458" s="848"/>
      <c r="BG1458" s="848"/>
      <c r="BH1458" s="848"/>
      <c r="BJ1458" s="1184" t="s">
        <v>4763</v>
      </c>
    </row>
    <row r="1459" spans="1:62" x14ac:dyDescent="0.3">
      <c r="A1459" s="1200">
        <v>8</v>
      </c>
      <c r="B1459" s="1210" t="s">
        <v>880</v>
      </c>
      <c r="C1459" s="1203"/>
      <c r="D1459" s="1203"/>
      <c r="E1459" s="1203" t="s">
        <v>271</v>
      </c>
      <c r="F1459" s="1203"/>
      <c r="G1459" s="1202" t="str">
        <f ca="1">IF(N1459&gt;0,"P","")</f>
        <v>P</v>
      </c>
      <c r="H1459" s="1200" t="s">
        <v>4388</v>
      </c>
      <c r="I1459" s="66"/>
      <c r="J1459" s="203" t="s">
        <v>271</v>
      </c>
      <c r="K1459" s="140"/>
      <c r="L1459" s="861" t="s">
        <v>882</v>
      </c>
      <c r="M1459" s="1360" t="s">
        <v>3841</v>
      </c>
      <c r="N1459" s="1308">
        <f ca="1">'Ch8'!O73</f>
        <v>2</v>
      </c>
      <c r="O1459" s="1308">
        <f ca="1">IFERROR(MATCH(W1459,INDIRECT(U1459),0),0)*S1459</f>
        <v>0</v>
      </c>
      <c r="P1459" s="97" t="b">
        <v>0</v>
      </c>
      <c r="Q1459" s="848" t="b">
        <v>1</v>
      </c>
      <c r="R1459" s="848" t="b">
        <v>0</v>
      </c>
      <c r="S1459" s="848" t="b">
        <v>1</v>
      </c>
      <c r="T1459" s="97" t="b">
        <f>IF(AND(NOT(S1459),LEN(W1459)&gt;0),TRUE,FALSE)</f>
        <v>0</v>
      </c>
      <c r="U1459" s="97" t="str">
        <f>SUBSTITUTE(SUBSTITUTE(SUBSTITUTE("dd"&amp;B1459&amp;C1459&amp;D1459&amp;E1459&amp;F1459,".","_"),"(","_"),")","")</f>
        <v>dd801_4_1_1</v>
      </c>
      <c r="V1459" s="848"/>
      <c r="W1459" s="12"/>
      <c r="X1459" s="1303"/>
      <c r="Y1459" s="1522" t="str">
        <f>IF(LEN('Ch8'!X73)=0,"None",'Ch8'!X73)</f>
        <v>None</v>
      </c>
      <c r="Z1459" s="1586"/>
      <c r="AB1459" s="848"/>
      <c r="AC1459" s="848" t="b">
        <f>OR(AD1459:AE1459)</f>
        <v>0</v>
      </c>
      <c r="AD1459" s="848" t="b">
        <f>T1459</f>
        <v>0</v>
      </c>
      <c r="AE1459" s="848" t="b">
        <f>AND(R1459,OR(W1459="Not Met",W1459=""))</f>
        <v>0</v>
      </c>
      <c r="AF1459" s="1182" t="b">
        <f>AND(AE1459,NOT(Q1459))</f>
        <v>0</v>
      </c>
      <c r="AG1459" s="848"/>
      <c r="AH1459" s="848"/>
      <c r="AI1459" s="848"/>
      <c r="AJ1459" s="848"/>
      <c r="AK1459" s="848"/>
      <c r="AL1459" s="311" t="str">
        <f t="shared" ref="AL1459" si="461">SUBSTITUTE(SUBSTITUTE(SUBSTITUTE("vpa"&amp;$B1459&amp;$C1459&amp;$D1459&amp;$E1459&amp;$F1459,".","_"),"(","_"),")","")</f>
        <v>vpa801_4_1_1</v>
      </c>
      <c r="AM1459" s="311" t="str">
        <f>M1459</f>
        <v>1
3 Max</v>
      </c>
      <c r="AN1459" s="311" t="str">
        <f>SUBSTITUTE(SUBSTITUTE(SUBSTITUTE("vpc"&amp;$B1459&amp;$C1459&amp;$D1459&amp;$E1459&amp;$F1459,".","_"),"(","_"),")","")</f>
        <v>vpc801_4_1_1</v>
      </c>
      <c r="AO1459" s="311">
        <f ca="1">O1459</f>
        <v>0</v>
      </c>
      <c r="AP1459" s="311" t="str">
        <f>SUBSTITUTE(SUBSTITUTE(SUBSTITUTE("vch"&amp;$B1459&amp;$C1459&amp;$D1459&amp;$E1459&amp;$F1459,".","_"),"(","_"),")","")</f>
        <v>vch801_4_1_1</v>
      </c>
      <c r="AQ1459" s="311">
        <f>W1459</f>
        <v>0</v>
      </c>
      <c r="AR1459" s="311" t="str">
        <f>SUBSTITUTE(SUBSTITUTE(SUBSTITUTE("vnt"&amp;$B1459&amp;$C1459&amp;$D1459&amp;$E1459&amp;$F1459,".","_"),"(","_"),")","")</f>
        <v>vnt801_4_1_1</v>
      </c>
      <c r="AS1459" s="311">
        <f>X1459</f>
        <v>0</v>
      </c>
      <c r="AT1459" s="848"/>
      <c r="AU1459" s="848"/>
      <c r="AV1459" s="848"/>
      <c r="AW1459" s="848"/>
      <c r="AX1459" s="848"/>
      <c r="AY1459" s="848"/>
      <c r="AZ1459" s="848"/>
      <c r="BA1459" s="848"/>
      <c r="BB1459" s="848"/>
      <c r="BC1459" s="848"/>
      <c r="BD1459" s="848"/>
      <c r="BE1459" s="848"/>
      <c r="BF1459" s="848"/>
      <c r="BG1459" s="848"/>
      <c r="BH1459" s="848"/>
      <c r="BJ1459" s="1184" t="s">
        <v>4763</v>
      </c>
    </row>
    <row r="1460" spans="1:62" x14ac:dyDescent="0.3">
      <c r="A1460" s="1200">
        <v>8</v>
      </c>
      <c r="B1460" s="1210" t="s">
        <v>880</v>
      </c>
      <c r="C1460" s="1203"/>
      <c r="D1460" s="1203"/>
      <c r="E1460" s="1203" t="s">
        <v>271</v>
      </c>
      <c r="F1460" s="1203"/>
      <c r="G1460" s="1202" t="str">
        <f t="shared" ref="G1460:G1462" ca="1" si="462">G1459</f>
        <v>P</v>
      </c>
      <c r="H1460" s="1200" t="s">
        <v>4388</v>
      </c>
      <c r="I1460" s="66"/>
      <c r="J1460" s="140"/>
      <c r="K1460" s="140"/>
      <c r="L1460" s="1368" t="s">
        <v>883</v>
      </c>
      <c r="M1460" s="1318"/>
      <c r="N1460" s="1308"/>
      <c r="O1460" s="1308"/>
      <c r="P1460" s="848"/>
      <c r="Q1460" s="848"/>
      <c r="R1460" s="848"/>
      <c r="S1460" s="848"/>
      <c r="T1460" s="848"/>
      <c r="U1460" s="848"/>
      <c r="V1460" s="848"/>
      <c r="W1460" s="848"/>
      <c r="X1460" s="1303"/>
      <c r="Y1460" s="1522"/>
      <c r="Z1460" s="1586"/>
      <c r="AB1460" s="848"/>
      <c r="AC1460" s="848"/>
      <c r="AD1460" s="848"/>
      <c r="AE1460" s="848"/>
      <c r="AF1460" s="848"/>
      <c r="AG1460" s="848"/>
      <c r="AH1460" s="848"/>
      <c r="AI1460" s="848"/>
      <c r="AJ1460" s="848"/>
      <c r="AK1460" s="848"/>
      <c r="AL1460" s="848"/>
      <c r="AM1460" s="848"/>
      <c r="AN1460" s="848"/>
      <c r="AO1460" s="848"/>
      <c r="AP1460" s="848"/>
      <c r="AQ1460" s="848"/>
      <c r="AR1460" s="848"/>
      <c r="AS1460" s="848"/>
      <c r="AT1460" s="848"/>
      <c r="AU1460" s="848"/>
      <c r="AV1460" s="848"/>
      <c r="AW1460" s="848"/>
      <c r="AX1460" s="848"/>
      <c r="AY1460" s="848"/>
      <c r="AZ1460" s="848"/>
      <c r="BA1460" s="848"/>
      <c r="BB1460" s="848"/>
      <c r="BC1460" s="848"/>
      <c r="BD1460" s="848"/>
      <c r="BE1460" s="848"/>
      <c r="BF1460" s="848"/>
      <c r="BG1460" s="848"/>
      <c r="BH1460" s="848"/>
      <c r="BJ1460" s="1184" t="s">
        <v>4763</v>
      </c>
    </row>
    <row r="1461" spans="1:62" x14ac:dyDescent="0.3">
      <c r="A1461" s="1200">
        <v>8</v>
      </c>
      <c r="B1461" s="1210" t="s">
        <v>880</v>
      </c>
      <c r="C1461" s="1203"/>
      <c r="D1461" s="1203"/>
      <c r="E1461" s="1203" t="s">
        <v>271</v>
      </c>
      <c r="F1461" s="1203"/>
      <c r="G1461" s="1202" t="str">
        <f t="shared" ca="1" si="462"/>
        <v>P</v>
      </c>
      <c r="H1461" s="1200" t="s">
        <v>4388</v>
      </c>
      <c r="I1461" s="66"/>
      <c r="J1461" s="140"/>
      <c r="K1461" s="140"/>
      <c r="L1461" s="1368"/>
      <c r="M1461" s="1318"/>
      <c r="N1461" s="1308"/>
      <c r="O1461" s="1308"/>
      <c r="P1461" s="848"/>
      <c r="Q1461" s="848"/>
      <c r="R1461" s="848"/>
      <c r="S1461" s="848"/>
      <c r="T1461" s="848"/>
      <c r="U1461" s="848"/>
      <c r="V1461" s="848"/>
      <c r="W1461" s="848"/>
      <c r="X1461" s="1303"/>
      <c r="Y1461" s="1522"/>
      <c r="Z1461" s="1586"/>
      <c r="AB1461" s="848"/>
      <c r="AC1461" s="848"/>
      <c r="AD1461" s="848"/>
      <c r="AE1461" s="848"/>
      <c r="AF1461" s="848"/>
      <c r="AG1461" s="848"/>
      <c r="AH1461" s="848"/>
      <c r="AI1461" s="848"/>
      <c r="AJ1461" s="848"/>
      <c r="AK1461" s="848"/>
      <c r="AL1461" s="848"/>
      <c r="AM1461" s="848"/>
      <c r="AN1461" s="848"/>
      <c r="AO1461" s="848"/>
      <c r="AP1461" s="848"/>
      <c r="AQ1461" s="848"/>
      <c r="AR1461" s="848"/>
      <c r="AS1461" s="848"/>
      <c r="AT1461" s="848"/>
      <c r="AU1461" s="848"/>
      <c r="AV1461" s="848"/>
      <c r="AW1461" s="848"/>
      <c r="AX1461" s="848"/>
      <c r="AY1461" s="848"/>
      <c r="AZ1461" s="848"/>
      <c r="BA1461" s="848"/>
      <c r="BB1461" s="848"/>
      <c r="BC1461" s="848"/>
      <c r="BD1461" s="848"/>
      <c r="BE1461" s="848"/>
      <c r="BF1461" s="848"/>
      <c r="BG1461" s="848"/>
      <c r="BH1461" s="848"/>
      <c r="BJ1461" s="1184" t="s">
        <v>4763</v>
      </c>
    </row>
    <row r="1462" spans="1:62" x14ac:dyDescent="0.3">
      <c r="A1462" s="1200">
        <v>8</v>
      </c>
      <c r="B1462" s="1210" t="s">
        <v>880</v>
      </c>
      <c r="C1462" s="1203"/>
      <c r="D1462" s="1203"/>
      <c r="E1462" s="1203" t="s">
        <v>271</v>
      </c>
      <c r="F1462" s="1203"/>
      <c r="G1462" s="1202" t="str">
        <f t="shared" ca="1" si="462"/>
        <v>P</v>
      </c>
      <c r="H1462" s="1200" t="s">
        <v>4388</v>
      </c>
      <c r="I1462" s="66"/>
      <c r="J1462" s="238"/>
      <c r="K1462" s="238"/>
      <c r="L1462" s="1424"/>
      <c r="M1462" s="1319"/>
      <c r="N1462" s="1309"/>
      <c r="O1462" s="1309"/>
      <c r="P1462" s="848"/>
      <c r="Q1462" s="848"/>
      <c r="R1462" s="848"/>
      <c r="S1462" s="848"/>
      <c r="T1462" s="848"/>
      <c r="U1462" s="848"/>
      <c r="V1462" s="848"/>
      <c r="W1462" s="848"/>
      <c r="X1462" s="1303"/>
      <c r="Y1462" s="1522"/>
      <c r="Z1462" s="1586"/>
      <c r="AB1462" s="848"/>
      <c r="AC1462" s="848"/>
      <c r="AD1462" s="848"/>
      <c r="AE1462" s="848"/>
      <c r="AF1462" s="848"/>
      <c r="AG1462" s="848"/>
      <c r="AH1462" s="848"/>
      <c r="AI1462" s="848"/>
      <c r="AJ1462" s="848"/>
      <c r="AK1462" s="848"/>
      <c r="AL1462" s="848"/>
      <c r="AM1462" s="848"/>
      <c r="AN1462" s="848"/>
      <c r="AO1462" s="848"/>
      <c r="AP1462" s="848"/>
      <c r="AQ1462" s="848"/>
      <c r="AR1462" s="848"/>
      <c r="AS1462" s="848"/>
      <c r="AT1462" s="848"/>
      <c r="AU1462" s="848"/>
      <c r="AV1462" s="848"/>
      <c r="AW1462" s="848"/>
      <c r="AX1462" s="848"/>
      <c r="AY1462" s="848"/>
      <c r="AZ1462" s="848"/>
      <c r="BA1462" s="848"/>
      <c r="BB1462" s="848"/>
      <c r="BC1462" s="848"/>
      <c r="BD1462" s="848"/>
      <c r="BE1462" s="848"/>
      <c r="BF1462" s="848"/>
      <c r="BG1462" s="848"/>
      <c r="BH1462" s="848"/>
      <c r="BJ1462" s="1184" t="s">
        <v>4763</v>
      </c>
    </row>
    <row r="1463" spans="1:62" x14ac:dyDescent="0.3">
      <c r="A1463" s="1200">
        <v>8</v>
      </c>
      <c r="B1463" s="1210" t="s">
        <v>880</v>
      </c>
      <c r="C1463" s="1203"/>
      <c r="D1463" s="1203"/>
      <c r="E1463" s="1203" t="s">
        <v>273</v>
      </c>
      <c r="F1463" s="1203"/>
      <c r="G1463" s="1202" t="str">
        <f>IF(N1463&gt;0,"P","")</f>
        <v>P</v>
      </c>
      <c r="H1463" s="1200" t="s">
        <v>4388</v>
      </c>
      <c r="I1463" s="244"/>
      <c r="J1463" s="231" t="s">
        <v>273</v>
      </c>
      <c r="K1463" s="238"/>
      <c r="L1463" s="862" t="s">
        <v>884</v>
      </c>
      <c r="M1463" s="894" t="s">
        <v>871</v>
      </c>
      <c r="N1463" s="855">
        <f>'Ch8'!O77</f>
        <v>6</v>
      </c>
      <c r="O1463" s="855">
        <f>6*S1463*W1463</f>
        <v>0</v>
      </c>
      <c r="P1463" s="97" t="b">
        <v>0</v>
      </c>
      <c r="Q1463" s="848" t="b">
        <v>1</v>
      </c>
      <c r="R1463" s="196" t="b">
        <v>0</v>
      </c>
      <c r="S1463" s="196" t="b">
        <f>LEN(W1459)&gt;0</f>
        <v>0</v>
      </c>
      <c r="T1463" s="196" t="b">
        <f>IF(AND(NOT(S1463),W1463=TRUE),TRUE,FALSE)</f>
        <v>0</v>
      </c>
      <c r="U1463" s="196"/>
      <c r="V1463" s="196"/>
      <c r="W1463" s="25"/>
      <c r="X1463" s="852"/>
      <c r="Y1463" s="889" t="str">
        <f>IF(LEN('Ch8'!X77)=0,"None",'Ch8'!X77)</f>
        <v>None</v>
      </c>
      <c r="Z1463" s="1169"/>
      <c r="AB1463" s="848"/>
      <c r="AC1463" s="848" t="b">
        <f>OR(AD1463:AE1463)</f>
        <v>0</v>
      </c>
      <c r="AD1463" s="848" t="b">
        <f>T1463</f>
        <v>0</v>
      </c>
      <c r="AE1463" s="848" t="b">
        <v>0</v>
      </c>
      <c r="AF1463" s="1182" t="b">
        <f>AND(AE1463,NOT(Q1463))</f>
        <v>0</v>
      </c>
      <c r="AG1463" s="848"/>
      <c r="AH1463" s="848"/>
      <c r="AI1463" s="848"/>
      <c r="AJ1463" s="848"/>
      <c r="AK1463" s="848"/>
      <c r="AL1463" s="311" t="str">
        <f t="shared" ref="AL1463:AL1464" si="463">SUBSTITUTE(SUBSTITUTE(SUBSTITUTE("vpa"&amp;$B1463&amp;$C1463&amp;$D1463&amp;$E1463&amp;$F1463,".","_"),"(","_"),")","")</f>
        <v>vpa801_4_1_2</v>
      </c>
      <c r="AM1463" s="311" t="str">
        <f>M1463</f>
        <v xml:space="preserve">6 Additional </v>
      </c>
      <c r="AN1463" s="311" t="str">
        <f t="shared" ref="AN1463:AN1464" si="464">SUBSTITUTE(SUBSTITUTE(SUBSTITUTE("vpc"&amp;$B1463&amp;$C1463&amp;$D1463&amp;$E1463&amp;$F1463,".","_"),"(","_"),")","")</f>
        <v>vpc801_4_1_2</v>
      </c>
      <c r="AO1463" s="311">
        <f>O1463</f>
        <v>0</v>
      </c>
      <c r="AP1463" s="311" t="str">
        <f t="shared" ref="AP1463:AP1464" si="465">SUBSTITUTE(SUBSTITUTE(SUBSTITUTE("vch"&amp;$B1463&amp;$C1463&amp;$D1463&amp;$E1463&amp;$F1463,".","_"),"(","_"),")","")</f>
        <v>vch801_4_1_2</v>
      </c>
      <c r="AQ1463" s="311">
        <f>W1463</f>
        <v>0</v>
      </c>
      <c r="AR1463" s="311" t="str">
        <f t="shared" ref="AR1463:AR1464" si="466">SUBSTITUTE(SUBSTITUTE(SUBSTITUTE("vnt"&amp;$B1463&amp;$C1463&amp;$D1463&amp;$E1463&amp;$F1463,".","_"),"(","_"),")","")</f>
        <v>vnt801_4_1_2</v>
      </c>
      <c r="AS1463" s="311">
        <f>X1463</f>
        <v>0</v>
      </c>
      <c r="AT1463" s="848"/>
      <c r="AU1463" s="848"/>
      <c r="AV1463" s="848"/>
      <c r="AW1463" s="848"/>
      <c r="AX1463" s="97"/>
      <c r="AY1463" s="97"/>
      <c r="AZ1463" s="848"/>
      <c r="BA1463" s="848"/>
      <c r="BB1463" s="848"/>
      <c r="BC1463" s="848"/>
      <c r="BD1463" s="848"/>
      <c r="BE1463" s="848"/>
      <c r="BF1463" s="848"/>
      <c r="BG1463" s="848"/>
      <c r="BH1463" s="848"/>
      <c r="BJ1463" s="1184" t="s">
        <v>4763</v>
      </c>
    </row>
    <row r="1464" spans="1:62" x14ac:dyDescent="0.3">
      <c r="A1464" s="1200">
        <v>8</v>
      </c>
      <c r="B1464" s="1210" t="s">
        <v>885</v>
      </c>
      <c r="C1464" s="1203"/>
      <c r="D1464" s="1203"/>
      <c r="E1464" s="1203"/>
      <c r="F1464" s="1203"/>
      <c r="G1464" s="1202" t="str">
        <f ca="1">IF(N1464&gt;0,"P","")</f>
        <v/>
      </c>
      <c r="H1464" s="1200" t="s">
        <v>4388</v>
      </c>
      <c r="I1464" s="141" t="s">
        <v>885</v>
      </c>
      <c r="J1464" s="140"/>
      <c r="K1464" s="140"/>
      <c r="L1464" s="1313" t="s">
        <v>886</v>
      </c>
      <c r="M1464" s="1360" t="s">
        <v>3841</v>
      </c>
      <c r="N1464" s="1308">
        <f ca="1">'Ch8'!O78</f>
        <v>0</v>
      </c>
      <c r="O1464" s="1308">
        <f ca="1">IFERROR(MATCH(W1464,INDIRECT(U1464),0),0)*S1464</f>
        <v>0</v>
      </c>
      <c r="P1464" s="97" t="b">
        <v>0</v>
      </c>
      <c r="Q1464" s="848" t="b">
        <v>1</v>
      </c>
      <c r="R1464" s="97" t="b">
        <v>0</v>
      </c>
      <c r="S1464" s="97" t="b">
        <v>1</v>
      </c>
      <c r="T1464" s="97" t="b">
        <v>0</v>
      </c>
      <c r="U1464" s="97" t="str">
        <f>SUBSTITUTE(SUBSTITUTE(SUBSTITUTE("dd"&amp;B1464&amp;C1464&amp;D1464&amp;E1464&amp;F1464,".","_"),"(","_"),")","")</f>
        <v>dd801_4_2</v>
      </c>
      <c r="V1464" s="97"/>
      <c r="W1464" s="12"/>
      <c r="X1464" s="1304"/>
      <c r="Y1464" s="1523" t="str">
        <f>IF(LEN('Ch8'!X78)=0,"None",'Ch8'!X78)</f>
        <v>None</v>
      </c>
      <c r="Z1464" s="1583"/>
      <c r="AB1464" s="848"/>
      <c r="AC1464" s="848" t="b">
        <f>OR(AD1464:AE1464)</f>
        <v>0</v>
      </c>
      <c r="AD1464" s="848" t="b">
        <f>T1464</f>
        <v>0</v>
      </c>
      <c r="AE1464" s="848" t="b">
        <f>AND(R1464,OR(W1464="Not Met",W1464=""))</f>
        <v>0</v>
      </c>
      <c r="AF1464" s="1182" t="b">
        <f>AND(AE1464,NOT(Q1464))</f>
        <v>0</v>
      </c>
      <c r="AG1464" s="848"/>
      <c r="AH1464" s="848"/>
      <c r="AI1464" s="848"/>
      <c r="AJ1464" s="848"/>
      <c r="AK1464" s="848"/>
      <c r="AL1464" s="311" t="str">
        <f t="shared" si="463"/>
        <v>vpa801_4_2</v>
      </c>
      <c r="AM1464" s="311" t="str">
        <f>M1464</f>
        <v>1
3 Max</v>
      </c>
      <c r="AN1464" s="311" t="str">
        <f t="shared" si="464"/>
        <v>vpc801_4_2</v>
      </c>
      <c r="AO1464" s="311">
        <f ca="1">O1464</f>
        <v>0</v>
      </c>
      <c r="AP1464" s="311" t="str">
        <f t="shared" si="465"/>
        <v>vch801_4_2</v>
      </c>
      <c r="AQ1464" s="311">
        <f>W1464</f>
        <v>0</v>
      </c>
      <c r="AR1464" s="311" t="str">
        <f t="shared" si="466"/>
        <v>vnt801_4_2</v>
      </c>
      <c r="AS1464" s="311">
        <f>X1464</f>
        <v>0</v>
      </c>
      <c r="AT1464" s="848"/>
      <c r="AU1464" s="848"/>
      <c r="AV1464" s="848"/>
      <c r="AW1464" s="848"/>
      <c r="AX1464" s="848"/>
      <c r="AY1464" s="848"/>
      <c r="AZ1464" s="848"/>
      <c r="BA1464" s="848"/>
      <c r="BB1464" s="848"/>
      <c r="BC1464" s="848"/>
      <c r="BD1464" s="848"/>
      <c r="BE1464" s="848"/>
      <c r="BF1464" s="848"/>
      <c r="BG1464" s="848"/>
      <c r="BH1464" s="848"/>
      <c r="BJ1464" s="1184" t="s">
        <v>4763</v>
      </c>
    </row>
    <row r="1465" spans="1:62" x14ac:dyDescent="0.3">
      <c r="A1465" s="1200">
        <v>8</v>
      </c>
      <c r="B1465" s="1210" t="s">
        <v>885</v>
      </c>
      <c r="C1465" s="1203"/>
      <c r="D1465" s="1203"/>
      <c r="E1465" s="1203"/>
      <c r="F1465" s="1203"/>
      <c r="G1465" s="1202" t="str">
        <f t="shared" ref="G1465:G1466" ca="1" si="467">G1464</f>
        <v/>
      </c>
      <c r="H1465" s="1200" t="s">
        <v>4388</v>
      </c>
      <c r="I1465" s="141"/>
      <c r="J1465" s="140"/>
      <c r="K1465" s="140"/>
      <c r="L1465" s="1313"/>
      <c r="M1465" s="1360"/>
      <c r="N1465" s="1308"/>
      <c r="O1465" s="1308"/>
      <c r="P1465" s="97"/>
      <c r="Q1465" s="97"/>
      <c r="R1465" s="97"/>
      <c r="S1465" s="97"/>
      <c r="T1465" s="97"/>
      <c r="U1465" s="97"/>
      <c r="V1465" s="97"/>
      <c r="W1465" s="97"/>
      <c r="X1465" s="1295"/>
      <c r="Y1465" s="1523"/>
      <c r="Z1465" s="1583"/>
      <c r="AB1465" s="848"/>
      <c r="AC1465" s="848"/>
      <c r="AD1465" s="848"/>
      <c r="AE1465" s="848"/>
      <c r="AF1465" s="848"/>
      <c r="AG1465" s="848"/>
      <c r="AH1465" s="848"/>
      <c r="AI1465" s="848"/>
      <c r="AJ1465" s="848"/>
      <c r="AK1465" s="848"/>
      <c r="AL1465" s="848"/>
      <c r="AM1465" s="848"/>
      <c r="AN1465" s="848"/>
      <c r="AO1465" s="848"/>
      <c r="AP1465" s="848"/>
      <c r="AQ1465" s="848"/>
      <c r="AR1465" s="848"/>
      <c r="AS1465" s="848"/>
      <c r="AT1465" s="848"/>
      <c r="AU1465" s="848"/>
      <c r="AV1465" s="848"/>
      <c r="AW1465" s="848"/>
      <c r="AX1465" s="848"/>
      <c r="AY1465" s="848"/>
      <c r="AZ1465" s="848"/>
      <c r="BA1465" s="848"/>
      <c r="BB1465" s="848"/>
      <c r="BC1465" s="848"/>
      <c r="BD1465" s="848"/>
      <c r="BE1465" s="848"/>
      <c r="BF1465" s="848"/>
      <c r="BG1465" s="848"/>
      <c r="BH1465" s="848"/>
      <c r="BJ1465" s="1184" t="s">
        <v>4763</v>
      </c>
    </row>
    <row r="1466" spans="1:62" ht="15" thickBot="1" x14ac:dyDescent="0.35">
      <c r="A1466" s="1200">
        <v>8</v>
      </c>
      <c r="B1466" s="1210" t="s">
        <v>885</v>
      </c>
      <c r="C1466" s="1203"/>
      <c r="D1466" s="1203"/>
      <c r="E1466" s="1203"/>
      <c r="F1466" s="1203"/>
      <c r="G1466" s="1202" t="str">
        <f t="shared" ca="1" si="467"/>
        <v/>
      </c>
      <c r="H1466" s="1200" t="s">
        <v>4388</v>
      </c>
      <c r="I1466" s="212"/>
      <c r="J1466" s="270"/>
      <c r="K1466" s="270"/>
      <c r="L1466" s="876" t="s">
        <v>887</v>
      </c>
      <c r="M1466" s="1421"/>
      <c r="N1466" s="1315"/>
      <c r="O1466" s="1315"/>
      <c r="P1466" s="104"/>
      <c r="Q1466" s="104"/>
      <c r="R1466" s="104"/>
      <c r="S1466" s="104"/>
      <c r="T1466" s="104"/>
      <c r="U1466" s="104"/>
      <c r="V1466" s="104"/>
      <c r="W1466" s="104"/>
      <c r="X1466" s="1296"/>
      <c r="Y1466" s="1524"/>
      <c r="Z1466" s="1584"/>
      <c r="AB1466" s="848"/>
      <c r="AC1466" s="848"/>
      <c r="AD1466" s="848"/>
      <c r="AE1466" s="848"/>
      <c r="AF1466" s="848"/>
      <c r="AG1466" s="848"/>
      <c r="AH1466" s="848"/>
      <c r="AI1466" s="848"/>
      <c r="AJ1466" s="848"/>
      <c r="AK1466" s="848"/>
      <c r="AL1466" s="848"/>
      <c r="AM1466" s="848"/>
      <c r="AN1466" s="848"/>
      <c r="AO1466" s="848"/>
      <c r="AP1466" s="848"/>
      <c r="AQ1466" s="848"/>
      <c r="AR1466" s="848"/>
      <c r="AS1466" s="848"/>
      <c r="AT1466" s="848"/>
      <c r="AU1466" s="848"/>
      <c r="AV1466" s="848"/>
      <c r="AW1466" s="848"/>
      <c r="AX1466" s="848"/>
      <c r="AY1466" s="848"/>
      <c r="AZ1466" s="848"/>
      <c r="BA1466" s="848"/>
      <c r="BB1466" s="848"/>
      <c r="BC1466" s="848"/>
      <c r="BD1466" s="848"/>
      <c r="BE1466" s="848"/>
      <c r="BF1466" s="848"/>
      <c r="BG1466" s="848"/>
      <c r="BH1466" s="848"/>
      <c r="BJ1466" s="1184" t="s">
        <v>4763</v>
      </c>
    </row>
    <row r="1467" spans="1:62" ht="15" thickTop="1" x14ac:dyDescent="0.3">
      <c r="A1467" s="1200">
        <v>8</v>
      </c>
      <c r="B1467" s="1210">
        <v>801.5</v>
      </c>
      <c r="C1467" s="1203"/>
      <c r="D1467" s="1203"/>
      <c r="E1467" s="1203"/>
      <c r="F1467" s="1203"/>
      <c r="G1467" s="1202" t="s">
        <v>4389</v>
      </c>
      <c r="H1467" s="1200" t="s">
        <v>4388</v>
      </c>
      <c r="I1467" s="66">
        <v>801.5</v>
      </c>
      <c r="J1467" s="4"/>
      <c r="K1467" s="4"/>
      <c r="L1467" s="1389" t="s">
        <v>888</v>
      </c>
      <c r="M1467" s="866"/>
      <c r="N1467" s="850"/>
      <c r="O1467" s="850"/>
      <c r="P1467" s="848"/>
      <c r="Q1467" s="848"/>
      <c r="R1467" s="848"/>
      <c r="S1467" s="848"/>
      <c r="T1467" s="848"/>
      <c r="U1467" s="848"/>
      <c r="V1467" s="848"/>
      <c r="W1467" s="848"/>
      <c r="X1467" s="848"/>
      <c r="Y1467" s="848"/>
      <c r="Z1467" s="1055"/>
      <c r="AB1467" s="848"/>
      <c r="AC1467" s="848"/>
      <c r="AD1467" s="848"/>
      <c r="AE1467" s="848"/>
      <c r="AF1467" s="848"/>
      <c r="AG1467" s="848"/>
      <c r="AH1467" s="848"/>
      <c r="AI1467" s="848"/>
      <c r="AJ1467" s="848"/>
      <c r="AK1467" s="848"/>
      <c r="AL1467" s="848"/>
      <c r="AM1467" s="848"/>
      <c r="AN1467" s="848"/>
      <c r="AO1467" s="848"/>
      <c r="AP1467" s="848"/>
      <c r="AQ1467" s="848"/>
      <c r="AR1467" s="848"/>
      <c r="AS1467" s="848"/>
      <c r="AT1467" s="848"/>
      <c r="AU1467" s="848"/>
      <c r="AV1467" s="97"/>
      <c r="AW1467" s="97"/>
      <c r="AX1467" s="848"/>
      <c r="AY1467" s="848"/>
      <c r="AZ1467" s="97"/>
      <c r="BA1467" s="97"/>
      <c r="BB1467" s="97"/>
      <c r="BC1467" s="97"/>
      <c r="BD1467" s="97"/>
      <c r="BE1467" s="97"/>
      <c r="BF1467" s="97"/>
      <c r="BG1467" s="97"/>
      <c r="BH1467" s="97"/>
      <c r="BJ1467" s="1184" t="s">
        <v>4763</v>
      </c>
    </row>
    <row r="1468" spans="1:62" x14ac:dyDescent="0.3">
      <c r="A1468" s="1200">
        <v>8</v>
      </c>
      <c r="B1468" s="1210">
        <v>801.5</v>
      </c>
      <c r="C1468" s="1203"/>
      <c r="D1468" s="1203"/>
      <c r="E1468" s="1203"/>
      <c r="F1468" s="1203"/>
      <c r="G1468" s="1202" t="s">
        <v>4389</v>
      </c>
      <c r="H1468" s="1200" t="s">
        <v>4388</v>
      </c>
      <c r="I1468" s="66"/>
      <c r="J1468" s="4"/>
      <c r="K1468" s="4"/>
      <c r="L1468" s="1389"/>
      <c r="M1468" s="866"/>
      <c r="N1468" s="850"/>
      <c r="O1468" s="850"/>
      <c r="P1468" s="848"/>
      <c r="Q1468" s="848"/>
      <c r="R1468" s="848"/>
      <c r="S1468" s="848"/>
      <c r="T1468" s="848"/>
      <c r="U1468" s="848"/>
      <c r="V1468" s="848"/>
      <c r="W1468" s="848"/>
      <c r="X1468" s="848"/>
      <c r="Y1468" s="848"/>
      <c r="Z1468" s="1055"/>
      <c r="AB1468" s="848"/>
      <c r="AC1468" s="848"/>
      <c r="AD1468" s="848"/>
      <c r="AE1468" s="848"/>
      <c r="AF1468" s="848"/>
      <c r="AG1468" s="848"/>
      <c r="AH1468" s="848"/>
      <c r="AI1468" s="848"/>
      <c r="AJ1468" s="848"/>
      <c r="AK1468" s="848"/>
      <c r="AL1468" s="848"/>
      <c r="AM1468" s="848"/>
      <c r="AN1468" s="848"/>
      <c r="AO1468" s="848"/>
      <c r="AP1468" s="848"/>
      <c r="AQ1468" s="848"/>
      <c r="AR1468" s="848"/>
      <c r="AS1468" s="848"/>
      <c r="AT1468" s="848"/>
      <c r="AU1468" s="848"/>
      <c r="AV1468" s="848"/>
      <c r="AW1468" s="848"/>
      <c r="AX1468" s="848"/>
      <c r="AY1468" s="848"/>
      <c r="AZ1468" s="848"/>
      <c r="BA1468" s="848"/>
      <c r="BB1468" s="848"/>
      <c r="BC1468" s="848"/>
      <c r="BD1468" s="848"/>
      <c r="BE1468" s="848"/>
      <c r="BF1468" s="848"/>
      <c r="BG1468" s="848"/>
      <c r="BH1468" s="848"/>
      <c r="BJ1468" s="1184" t="s">
        <v>4763</v>
      </c>
    </row>
    <row r="1469" spans="1:62" x14ac:dyDescent="0.3">
      <c r="A1469" s="1200">
        <v>8</v>
      </c>
      <c r="B1469" s="1210">
        <v>801.5</v>
      </c>
      <c r="C1469" s="1203"/>
      <c r="D1469" s="1203"/>
      <c r="E1469" s="1203" t="s">
        <v>271</v>
      </c>
      <c r="F1469" s="1203"/>
      <c r="G1469" s="1202" t="s">
        <v>4389</v>
      </c>
      <c r="H1469" s="1200" t="s">
        <v>4388</v>
      </c>
      <c r="I1469" s="66"/>
      <c r="J1469" s="203" t="s">
        <v>271</v>
      </c>
      <c r="K1469" s="140"/>
      <c r="L1469" s="1293" t="s">
        <v>889</v>
      </c>
      <c r="M1469" s="1425" t="str">
        <f ca="1">IF(O1477&gt;0,"Met","Gold/Emerald not available")</f>
        <v>Gold/Emerald not available</v>
      </c>
      <c r="N1469" s="854"/>
      <c r="O1469" s="854"/>
      <c r="P1469" s="848"/>
      <c r="Q1469" s="848"/>
      <c r="R1469" s="848"/>
      <c r="S1469" s="848"/>
      <c r="T1469" s="848"/>
      <c r="U1469" s="848"/>
      <c r="V1469" s="848"/>
      <c r="W1469" s="848"/>
      <c r="X1469" s="1303"/>
      <c r="Y1469" s="1522" t="str">
        <f>IF(LEN('Ch8'!X83)=0,"None",'Ch8'!X83)</f>
        <v>None</v>
      </c>
      <c r="Z1469" s="1586"/>
      <c r="AB1469" s="848"/>
      <c r="AC1469" s="848"/>
      <c r="AD1469" s="848"/>
      <c r="AE1469" s="848"/>
      <c r="AF1469" s="848"/>
      <c r="AG1469" s="848"/>
      <c r="AH1469" s="848"/>
      <c r="AI1469" s="848"/>
      <c r="AJ1469" s="848"/>
      <c r="AK1469" s="848"/>
      <c r="AL1469" s="848"/>
      <c r="AM1469" s="848"/>
      <c r="AN1469" s="848"/>
      <c r="AO1469" s="848"/>
      <c r="AP1469" s="848"/>
      <c r="AQ1469" s="848"/>
      <c r="AR1469" s="311" t="str">
        <f>SUBSTITUTE(SUBSTITUTE(SUBSTITUTE("vnt"&amp;$B1469&amp;$C1469&amp;$D1469&amp;$E1469&amp;$F1469,".","_"),"(","_"),")","")</f>
        <v>vnt801_5_1</v>
      </c>
      <c r="AS1469" s="311">
        <f>X1469</f>
        <v>0</v>
      </c>
      <c r="AT1469" s="848"/>
      <c r="AU1469" s="848"/>
      <c r="AV1469" s="848"/>
      <c r="AW1469" s="848"/>
      <c r="AX1469" s="848"/>
      <c r="AY1469" s="848"/>
      <c r="AZ1469" s="848"/>
      <c r="BA1469" s="848"/>
      <c r="BB1469" s="848"/>
      <c r="BC1469" s="848"/>
      <c r="BD1469" s="848"/>
      <c r="BE1469" s="848"/>
      <c r="BF1469" s="848"/>
      <c r="BG1469" s="848"/>
      <c r="BH1469" s="848"/>
      <c r="BJ1469" s="1184" t="s">
        <v>4763</v>
      </c>
    </row>
    <row r="1470" spans="1:62" x14ac:dyDescent="0.3">
      <c r="A1470" s="1200">
        <v>8</v>
      </c>
      <c r="B1470" s="1210">
        <v>801.5</v>
      </c>
      <c r="C1470" s="1218"/>
      <c r="D1470" s="1218"/>
      <c r="E1470" s="1218"/>
      <c r="F1470" s="1218"/>
      <c r="G1470" s="1219" t="s">
        <v>4389</v>
      </c>
      <c r="H1470" s="1220" t="s">
        <v>4388</v>
      </c>
      <c r="I1470" s="141"/>
      <c r="J1470" s="231"/>
      <c r="K1470" s="238"/>
      <c r="L1470" s="1294"/>
      <c r="M1470" s="1426"/>
      <c r="N1470" s="855"/>
      <c r="O1470" s="855"/>
      <c r="P1470" s="97"/>
      <c r="Q1470" s="97"/>
      <c r="R1470" s="97"/>
      <c r="S1470" s="97"/>
      <c r="T1470" s="97"/>
      <c r="U1470" s="97"/>
      <c r="V1470" s="97"/>
      <c r="W1470" s="97"/>
      <c r="X1470" s="1303"/>
      <c r="Y1470" s="1522"/>
      <c r="Z1470" s="1586"/>
      <c r="AB1470" s="97"/>
      <c r="AC1470" s="97"/>
      <c r="AD1470" s="97"/>
      <c r="AE1470" s="97"/>
      <c r="AF1470" s="97"/>
      <c r="AG1470" s="97"/>
      <c r="AH1470" s="97"/>
      <c r="AI1470" s="97"/>
      <c r="AJ1470" s="97"/>
      <c r="AK1470" s="97"/>
      <c r="AL1470" s="97"/>
      <c r="AM1470" s="97"/>
      <c r="AN1470" s="97"/>
      <c r="AO1470" s="97"/>
      <c r="AP1470" s="97"/>
      <c r="AQ1470" s="97"/>
      <c r="AR1470" s="848"/>
      <c r="AS1470" s="848"/>
      <c r="AT1470" s="848"/>
      <c r="AU1470" s="848"/>
      <c r="AV1470" s="848"/>
      <c r="AW1470" s="848"/>
      <c r="AX1470" s="848"/>
      <c r="AY1470" s="848"/>
      <c r="AZ1470" s="848"/>
      <c r="BA1470" s="848"/>
      <c r="BB1470" s="848"/>
      <c r="BC1470" s="848"/>
      <c r="BD1470" s="848"/>
      <c r="BE1470" s="848"/>
      <c r="BF1470" s="848"/>
      <c r="BG1470" s="848"/>
      <c r="BH1470" s="848"/>
      <c r="BJ1470" s="1184" t="s">
        <v>4763</v>
      </c>
    </row>
    <row r="1471" spans="1:62" x14ac:dyDescent="0.3">
      <c r="A1471" s="1200">
        <v>8</v>
      </c>
      <c r="B1471" s="1210">
        <v>801.5</v>
      </c>
      <c r="C1471" s="1203"/>
      <c r="D1471" s="1203"/>
      <c r="E1471" s="1203" t="s">
        <v>273</v>
      </c>
      <c r="F1471" s="1203"/>
      <c r="G1471" s="1202" t="str">
        <f ca="1">IF(N1471&gt;0,"P","")</f>
        <v>P</v>
      </c>
      <c r="H1471" s="1200" t="s">
        <v>4388</v>
      </c>
      <c r="I1471" s="66"/>
      <c r="J1471" s="27" t="s">
        <v>273</v>
      </c>
      <c r="K1471" s="4"/>
      <c r="L1471" s="1329" t="s">
        <v>890</v>
      </c>
      <c r="M1471" s="1387" t="s">
        <v>3845</v>
      </c>
      <c r="N1471" s="1310">
        <f ca="1">'Ch8'!O85</f>
        <v>4</v>
      </c>
      <c r="O1471" s="1310">
        <f ca="1">IFERROR(2*MATCH(W1471,INDIRECT(U1471),0),0)*S1471</f>
        <v>0</v>
      </c>
      <c r="P1471" s="97" t="b">
        <v>0</v>
      </c>
      <c r="Q1471" s="848" t="b">
        <v>1</v>
      </c>
      <c r="R1471" s="848" t="b">
        <v>0</v>
      </c>
      <c r="S1471" s="848" t="b">
        <v>1</v>
      </c>
      <c r="T1471" s="97" t="b">
        <f>IF(AND(NOT(S1471),LEN(W1471)&gt;0),TRUE,FALSE)</f>
        <v>0</v>
      </c>
      <c r="U1471" s="97" t="str">
        <f>SUBSTITUTE(SUBSTITUTE(SUBSTITUTE("dd"&amp;B1471&amp;C1471&amp;D1471&amp;E1471&amp;F1471,".","_"),"(","_"),")","")</f>
        <v>dd801_5_2</v>
      </c>
      <c r="V1471" s="848"/>
      <c r="W1471" s="12"/>
      <c r="X1471" s="1303"/>
      <c r="Y1471" s="1522" t="str">
        <f>IF(LEN('Ch8'!X85)=0,"None",'Ch8'!X85)</f>
        <v>None</v>
      </c>
      <c r="Z1471" s="1586"/>
      <c r="AB1471" s="848"/>
      <c r="AC1471" s="848" t="b">
        <f>OR(AD1471:AE1471)</f>
        <v>0</v>
      </c>
      <c r="AD1471" s="848" t="b">
        <f>T1471</f>
        <v>0</v>
      </c>
      <c r="AE1471" s="848" t="b">
        <f>AND(R1471,OR(W1471="Not Met",W1471=""))</f>
        <v>0</v>
      </c>
      <c r="AF1471" s="1182" t="b">
        <f>AND(AE1471,NOT(Q1471))</f>
        <v>0</v>
      </c>
      <c r="AG1471" s="848"/>
      <c r="AH1471" s="848"/>
      <c r="AI1471" s="848"/>
      <c r="AJ1471" s="848"/>
      <c r="AK1471" s="848"/>
      <c r="AL1471" s="311" t="str">
        <f t="shared" ref="AL1471" si="468">SUBSTITUTE(SUBSTITUTE(SUBSTITUTE("vpa"&amp;$B1471&amp;$C1471&amp;$D1471&amp;$E1471&amp;$F1471,".","_"),"(","_"),")","")</f>
        <v>vpa801_5_2</v>
      </c>
      <c r="AM1471" s="311" t="str">
        <f>M1471</f>
        <v>2 
6 Max</v>
      </c>
      <c r="AN1471" s="311" t="str">
        <f>SUBSTITUTE(SUBSTITUTE(SUBSTITUTE("vpc"&amp;$B1471&amp;$C1471&amp;$D1471&amp;$E1471&amp;$F1471,".","_"),"(","_"),")","")</f>
        <v>vpc801_5_2</v>
      </c>
      <c r="AO1471" s="311">
        <f ca="1">O1471</f>
        <v>0</v>
      </c>
      <c r="AP1471" s="311" t="str">
        <f>SUBSTITUTE(SUBSTITUTE(SUBSTITUTE("vch"&amp;$B1471&amp;$C1471&amp;$D1471&amp;$E1471&amp;$F1471,".","_"),"(","_"),")","")</f>
        <v>vch801_5_2</v>
      </c>
      <c r="AQ1471" s="311">
        <f>W1471</f>
        <v>0</v>
      </c>
      <c r="AR1471" s="311" t="str">
        <f>SUBSTITUTE(SUBSTITUTE(SUBSTITUTE("vnt"&amp;$B1471&amp;$C1471&amp;$D1471&amp;$E1471&amp;$F1471,".","_"),"(","_"),")","")</f>
        <v>vnt801_5_2</v>
      </c>
      <c r="AS1471" s="311">
        <f>X1471</f>
        <v>0</v>
      </c>
      <c r="AT1471" s="848"/>
      <c r="AU1471" s="848"/>
      <c r="AV1471" s="848"/>
      <c r="AW1471" s="848"/>
      <c r="AX1471" s="848"/>
      <c r="AY1471" s="848"/>
      <c r="AZ1471" s="848"/>
      <c r="BA1471" s="848"/>
      <c r="BB1471" s="848"/>
      <c r="BC1471" s="848"/>
      <c r="BD1471" s="848"/>
      <c r="BE1471" s="848"/>
      <c r="BF1471" s="848"/>
      <c r="BG1471" s="848"/>
      <c r="BH1471" s="848"/>
      <c r="BJ1471" s="1184" t="s">
        <v>4763</v>
      </c>
    </row>
    <row r="1472" spans="1:62" x14ac:dyDescent="0.3">
      <c r="A1472" s="1200">
        <v>8</v>
      </c>
      <c r="B1472" s="1210">
        <v>801.5</v>
      </c>
      <c r="C1472" s="1203"/>
      <c r="D1472" s="1203"/>
      <c r="E1472" s="1203" t="s">
        <v>273</v>
      </c>
      <c r="F1472" s="1203"/>
      <c r="G1472" s="1202" t="str">
        <f t="shared" ref="G1472:G1476" ca="1" si="469">G1471</f>
        <v>P</v>
      </c>
      <c r="H1472" s="1200" t="s">
        <v>4388</v>
      </c>
      <c r="I1472" s="66"/>
      <c r="J1472" s="4"/>
      <c r="K1472" s="4"/>
      <c r="L1472" s="1329"/>
      <c r="M1472" s="1387"/>
      <c r="N1472" s="1310"/>
      <c r="O1472" s="1310"/>
      <c r="P1472" s="848"/>
      <c r="Q1472" s="848"/>
      <c r="R1472" s="848"/>
      <c r="S1472" s="848"/>
      <c r="T1472" s="848"/>
      <c r="U1472" s="848"/>
      <c r="V1472" s="848"/>
      <c r="W1472" s="848"/>
      <c r="X1472" s="1303"/>
      <c r="Y1472" s="1522"/>
      <c r="Z1472" s="1586"/>
      <c r="AB1472" s="848"/>
      <c r="AC1472" s="848"/>
      <c r="AD1472" s="848"/>
      <c r="AE1472" s="848"/>
      <c r="AF1472" s="848"/>
      <c r="AG1472" s="848"/>
      <c r="AH1472" s="848"/>
      <c r="AI1472" s="848"/>
      <c r="AJ1472" s="848"/>
      <c r="AK1472" s="848"/>
      <c r="AL1472" s="848"/>
      <c r="AM1472" s="848"/>
      <c r="AN1472" s="848"/>
      <c r="AO1472" s="848"/>
      <c r="AP1472" s="848"/>
      <c r="AQ1472" s="848"/>
      <c r="AR1472" s="848"/>
      <c r="AS1472" s="848"/>
      <c r="AT1472" s="848"/>
      <c r="AU1472" s="848"/>
      <c r="AV1472" s="848"/>
      <c r="AW1472" s="848"/>
      <c r="AX1472" s="848"/>
      <c r="AY1472" s="848"/>
      <c r="AZ1472" s="848"/>
      <c r="BA1472" s="848"/>
      <c r="BB1472" s="848"/>
      <c r="BC1472" s="848"/>
      <c r="BD1472" s="848"/>
      <c r="BE1472" s="848"/>
      <c r="BF1472" s="848"/>
      <c r="BG1472" s="848"/>
      <c r="BH1472" s="848"/>
      <c r="BJ1472" s="1184" t="s">
        <v>4763</v>
      </c>
    </row>
    <row r="1473" spans="1:62" x14ac:dyDescent="0.3">
      <c r="A1473" s="1200">
        <v>8</v>
      </c>
      <c r="B1473" s="1210">
        <v>801.5</v>
      </c>
      <c r="C1473" s="1203"/>
      <c r="D1473" s="1203"/>
      <c r="E1473" s="1203" t="s">
        <v>273</v>
      </c>
      <c r="F1473" s="1203"/>
      <c r="G1473" s="1202" t="str">
        <f t="shared" ca="1" si="469"/>
        <v>P</v>
      </c>
      <c r="H1473" s="1200" t="s">
        <v>4388</v>
      </c>
      <c r="I1473" s="66"/>
      <c r="J1473" s="4"/>
      <c r="K1473" s="4"/>
      <c r="L1473" s="1329"/>
      <c r="M1473" s="1387"/>
      <c r="N1473" s="1310"/>
      <c r="O1473" s="1310"/>
      <c r="P1473" s="848"/>
      <c r="Q1473" s="848"/>
      <c r="R1473" s="848"/>
      <c r="S1473" s="848"/>
      <c r="T1473" s="848"/>
      <c r="U1473" s="848"/>
      <c r="V1473" s="848"/>
      <c r="W1473" s="848"/>
      <c r="X1473" s="1303"/>
      <c r="Y1473" s="1522"/>
      <c r="Z1473" s="1586"/>
      <c r="AB1473" s="848"/>
      <c r="AC1473" s="848"/>
      <c r="AD1473" s="848"/>
      <c r="AE1473" s="848"/>
      <c r="AF1473" s="848"/>
      <c r="AG1473" s="848"/>
      <c r="AH1473" s="848"/>
      <c r="AI1473" s="848"/>
      <c r="AJ1473" s="848"/>
      <c r="AK1473" s="848"/>
      <c r="AL1473" s="848"/>
      <c r="AM1473" s="848"/>
      <c r="AN1473" s="848"/>
      <c r="AO1473" s="848"/>
      <c r="AP1473" s="848"/>
      <c r="AQ1473" s="848"/>
      <c r="AR1473" s="848"/>
      <c r="AS1473" s="848"/>
      <c r="AT1473" s="848"/>
      <c r="AU1473" s="848"/>
      <c r="AV1473" s="848"/>
      <c r="AW1473" s="848"/>
      <c r="AX1473" s="848"/>
      <c r="AY1473" s="848"/>
      <c r="AZ1473" s="848"/>
      <c r="BA1473" s="848"/>
      <c r="BB1473" s="848"/>
      <c r="BC1473" s="848"/>
      <c r="BD1473" s="848"/>
      <c r="BE1473" s="848"/>
      <c r="BF1473" s="848"/>
      <c r="BG1473" s="848"/>
      <c r="BH1473" s="848"/>
      <c r="BJ1473" s="1184" t="s">
        <v>4763</v>
      </c>
    </row>
    <row r="1474" spans="1:62" x14ac:dyDescent="0.3">
      <c r="A1474" s="1200">
        <v>8</v>
      </c>
      <c r="B1474" s="1210">
        <v>801.5</v>
      </c>
      <c r="C1474" s="1203"/>
      <c r="D1474" s="1203"/>
      <c r="E1474" s="1203" t="s">
        <v>273</v>
      </c>
      <c r="F1474" s="1203"/>
      <c r="G1474" s="1202" t="str">
        <f t="shared" ca="1" si="469"/>
        <v>P</v>
      </c>
      <c r="H1474" s="1200" t="s">
        <v>4388</v>
      </c>
      <c r="I1474" s="66"/>
      <c r="J1474" s="140"/>
      <c r="K1474" s="140"/>
      <c r="L1474" s="1368" t="s">
        <v>891</v>
      </c>
      <c r="M1474" s="866"/>
      <c r="N1474" s="850"/>
      <c r="O1474" s="850"/>
      <c r="P1474" s="848"/>
      <c r="Q1474" s="848"/>
      <c r="R1474" s="848"/>
      <c r="S1474" s="848"/>
      <c r="T1474" s="848"/>
      <c r="U1474" s="848"/>
      <c r="V1474" s="848"/>
      <c r="W1474" s="848"/>
      <c r="X1474" s="1303"/>
      <c r="Y1474" s="1522"/>
      <c r="Z1474" s="1586"/>
      <c r="AB1474" s="848"/>
      <c r="AC1474" s="848"/>
      <c r="AD1474" s="848"/>
      <c r="AE1474" s="848"/>
      <c r="AF1474" s="848"/>
      <c r="AG1474" s="848"/>
      <c r="AH1474" s="848"/>
      <c r="AI1474" s="848"/>
      <c r="AJ1474" s="848"/>
      <c r="AK1474" s="848"/>
      <c r="AL1474" s="848"/>
      <c r="AM1474" s="848"/>
      <c r="AN1474" s="848"/>
      <c r="AO1474" s="848"/>
      <c r="AP1474" s="848"/>
      <c r="AQ1474" s="848"/>
      <c r="AR1474" s="848"/>
      <c r="AS1474" s="848"/>
      <c r="AT1474" s="848"/>
      <c r="AU1474" s="848"/>
      <c r="AV1474" s="848"/>
      <c r="AW1474" s="848"/>
      <c r="AX1474" s="848"/>
      <c r="AY1474" s="848"/>
      <c r="AZ1474" s="848"/>
      <c r="BA1474" s="848"/>
      <c r="BB1474" s="848"/>
      <c r="BC1474" s="848"/>
      <c r="BD1474" s="848"/>
      <c r="BE1474" s="848"/>
      <c r="BF1474" s="848"/>
      <c r="BG1474" s="848"/>
      <c r="BH1474" s="848"/>
      <c r="BJ1474" s="1184" t="s">
        <v>4763</v>
      </c>
    </row>
    <row r="1475" spans="1:62" x14ac:dyDescent="0.3">
      <c r="A1475" s="1200">
        <v>8</v>
      </c>
      <c r="B1475" s="1210">
        <v>801.5</v>
      </c>
      <c r="C1475" s="1203"/>
      <c r="D1475" s="1203"/>
      <c r="E1475" s="1203" t="s">
        <v>273</v>
      </c>
      <c r="F1475" s="1203"/>
      <c r="G1475" s="1202" t="str">
        <f t="shared" ca="1" si="469"/>
        <v>P</v>
      </c>
      <c r="H1475" s="1200" t="s">
        <v>4388</v>
      </c>
      <c r="I1475" s="66"/>
      <c r="J1475" s="140"/>
      <c r="K1475" s="140"/>
      <c r="L1475" s="1368"/>
      <c r="M1475" s="866"/>
      <c r="N1475" s="850"/>
      <c r="O1475" s="850"/>
      <c r="P1475" s="848"/>
      <c r="Q1475" s="848"/>
      <c r="R1475" s="848"/>
      <c r="S1475" s="848"/>
      <c r="T1475" s="848"/>
      <c r="U1475" s="848"/>
      <c r="V1475" s="848"/>
      <c r="W1475" s="848"/>
      <c r="X1475" s="1303"/>
      <c r="Y1475" s="1522"/>
      <c r="Z1475" s="1586"/>
      <c r="AB1475" s="848"/>
      <c r="AC1475" s="848"/>
      <c r="AD1475" s="848"/>
      <c r="AE1475" s="848"/>
      <c r="AF1475" s="848"/>
      <c r="AG1475" s="848"/>
      <c r="AH1475" s="848"/>
      <c r="AI1475" s="848"/>
      <c r="AJ1475" s="848"/>
      <c r="AK1475" s="848"/>
      <c r="AL1475" s="848"/>
      <c r="AM1475" s="848"/>
      <c r="AN1475" s="848"/>
      <c r="AO1475" s="848"/>
      <c r="AP1475" s="848"/>
      <c r="AQ1475" s="848"/>
      <c r="AR1475" s="848"/>
      <c r="AS1475" s="848"/>
      <c r="AT1475" s="848"/>
      <c r="AU1475" s="848"/>
      <c r="AV1475" s="848"/>
      <c r="AW1475" s="848"/>
      <c r="AX1475" s="848"/>
      <c r="AY1475" s="848"/>
      <c r="AZ1475" s="848"/>
      <c r="BA1475" s="848"/>
      <c r="BB1475" s="848"/>
      <c r="BC1475" s="848"/>
      <c r="BD1475" s="848"/>
      <c r="BE1475" s="848"/>
      <c r="BF1475" s="848"/>
      <c r="BG1475" s="848"/>
      <c r="BH1475" s="848"/>
      <c r="BJ1475" s="1184" t="s">
        <v>4763</v>
      </c>
    </row>
    <row r="1476" spans="1:62" x14ac:dyDescent="0.3">
      <c r="A1476" s="1200">
        <v>8</v>
      </c>
      <c r="B1476" s="1210">
        <v>801.5</v>
      </c>
      <c r="C1476" s="1203"/>
      <c r="D1476" s="1203"/>
      <c r="E1476" s="1203" t="s">
        <v>273</v>
      </c>
      <c r="F1476" s="1203"/>
      <c r="G1476" s="1202" t="str">
        <f t="shared" ca="1" si="469"/>
        <v>P</v>
      </c>
      <c r="H1476" s="1200" t="s">
        <v>4388</v>
      </c>
      <c r="I1476" s="66"/>
      <c r="J1476" s="238"/>
      <c r="K1476" s="238"/>
      <c r="L1476" s="1424"/>
      <c r="M1476" s="857"/>
      <c r="N1476" s="855"/>
      <c r="O1476" s="855"/>
      <c r="P1476" s="848"/>
      <c r="Q1476" s="848"/>
      <c r="R1476" s="848"/>
      <c r="S1476" s="848"/>
      <c r="T1476" s="848"/>
      <c r="U1476" s="848"/>
      <c r="V1476" s="848"/>
      <c r="W1476" s="848"/>
      <c r="X1476" s="1303"/>
      <c r="Y1476" s="1522"/>
      <c r="Z1476" s="1586"/>
      <c r="AB1476" s="848"/>
      <c r="AC1476" s="848"/>
      <c r="AD1476" s="848"/>
      <c r="AE1476" s="848"/>
      <c r="AF1476" s="848"/>
      <c r="AG1476" s="848"/>
      <c r="AH1476" s="848"/>
      <c r="AI1476" s="848"/>
      <c r="AJ1476" s="848"/>
      <c r="AK1476" s="848"/>
      <c r="AL1476" s="848"/>
      <c r="AM1476" s="848"/>
      <c r="AN1476" s="848"/>
      <c r="AO1476" s="848"/>
      <c r="AP1476" s="848"/>
      <c r="AQ1476" s="848"/>
      <c r="AR1476" s="848"/>
      <c r="AS1476" s="848"/>
      <c r="AT1476" s="848"/>
      <c r="AU1476" s="848"/>
      <c r="AV1476" s="848"/>
      <c r="AW1476" s="848"/>
      <c r="AX1476" s="848"/>
      <c r="AY1476" s="848"/>
      <c r="AZ1476" s="848"/>
      <c r="BA1476" s="848"/>
      <c r="BB1476" s="848"/>
      <c r="BC1476" s="848"/>
      <c r="BD1476" s="848"/>
      <c r="BE1476" s="848"/>
      <c r="BF1476" s="848"/>
      <c r="BG1476" s="848"/>
      <c r="BH1476" s="848"/>
      <c r="BJ1476" s="1184" t="s">
        <v>4763</v>
      </c>
    </row>
    <row r="1477" spans="1:62" x14ac:dyDescent="0.3">
      <c r="A1477" s="1200">
        <v>8</v>
      </c>
      <c r="B1477" s="1210">
        <v>801.5</v>
      </c>
      <c r="C1477" s="1203"/>
      <c r="D1477" s="1203"/>
      <c r="E1477" s="1203" t="s">
        <v>275</v>
      </c>
      <c r="F1477" s="1203"/>
      <c r="G1477" s="1202" t="str">
        <f ca="1">IF(N1477&gt;0,"P","")</f>
        <v>P</v>
      </c>
      <c r="H1477" s="1200" t="s">
        <v>4388</v>
      </c>
      <c r="I1477" s="66"/>
      <c r="J1477" s="231" t="s">
        <v>275</v>
      </c>
      <c r="K1477" s="238"/>
      <c r="L1477" s="862" t="s">
        <v>892</v>
      </c>
      <c r="M1477" s="461">
        <f ca="1">11-O1471</f>
        <v>11</v>
      </c>
      <c r="N1477" s="855">
        <f ca="1">'Ch8'!O91</f>
        <v>7</v>
      </c>
      <c r="O1477" s="855">
        <f ca="1">M1477*W1477*S1477</f>
        <v>0</v>
      </c>
      <c r="P1477" s="97" t="b">
        <v>0</v>
      </c>
      <c r="Q1477" s="848" t="b">
        <v>1</v>
      </c>
      <c r="R1477" s="848" t="b">
        <v>0</v>
      </c>
      <c r="S1477" s="848" t="b">
        <f>LEN(W1471)&gt;0</f>
        <v>0</v>
      </c>
      <c r="T1477" s="97" t="b">
        <f>IF(AND(NOT(S1477),W1477=TRUE),TRUE,FALSE)</f>
        <v>0</v>
      </c>
      <c r="U1477" s="848"/>
      <c r="V1477" s="848"/>
      <c r="W1477" s="25"/>
      <c r="X1477" s="851"/>
      <c r="Y1477" s="889" t="str">
        <f>IF(LEN('Ch8'!X91)=0,"None",'Ch8'!X91)</f>
        <v>None</v>
      </c>
      <c r="Z1477" s="1169"/>
      <c r="AB1477" s="848"/>
      <c r="AC1477" s="848" t="b">
        <f>OR(AD1477:AE1477)</f>
        <v>0</v>
      </c>
      <c r="AD1477" s="848" t="b">
        <f>T1477</f>
        <v>0</v>
      </c>
      <c r="AE1477" s="848" t="b">
        <v>0</v>
      </c>
      <c r="AF1477" s="1182" t="b">
        <f>AND(AE1477,NOT(Q1477))</f>
        <v>0</v>
      </c>
      <c r="AG1477" s="848"/>
      <c r="AH1477" s="848"/>
      <c r="AI1477" s="848"/>
      <c r="AJ1477" s="848"/>
      <c r="AK1477" s="848"/>
      <c r="AL1477" s="311" t="str">
        <f t="shared" ref="AL1477" si="470">SUBSTITUTE(SUBSTITUTE(SUBSTITUTE("vpa"&amp;$B1477&amp;$C1477&amp;$D1477&amp;$E1477&amp;$F1477,".","_"),"(","_"),")","")</f>
        <v>vpa801_5_3</v>
      </c>
      <c r="AM1477" s="311">
        <f ca="1">M1477</f>
        <v>11</v>
      </c>
      <c r="AN1477" s="311" t="str">
        <f>SUBSTITUTE(SUBSTITUTE(SUBSTITUTE("vpc"&amp;$B1477&amp;$C1477&amp;$D1477&amp;$E1477&amp;$F1477,".","_"),"(","_"),")","")</f>
        <v>vpc801_5_3</v>
      </c>
      <c r="AO1477" s="311">
        <f ca="1">O1477</f>
        <v>0</v>
      </c>
      <c r="AP1477" s="311" t="str">
        <f>SUBSTITUTE(SUBSTITUTE(SUBSTITUTE("vch"&amp;$B1477&amp;$C1477&amp;$D1477&amp;$E1477&amp;$F1477,".","_"),"(","_"),")","")</f>
        <v>vch801_5_3</v>
      </c>
      <c r="AQ1477" s="311">
        <f>W1477</f>
        <v>0</v>
      </c>
      <c r="AR1477" s="311" t="str">
        <f>SUBSTITUTE(SUBSTITUTE(SUBSTITUTE("vnt"&amp;$B1477&amp;$C1477&amp;$D1477&amp;$E1477&amp;$F1477,".","_"),"(","_"),")","")</f>
        <v>vnt801_5_3</v>
      </c>
      <c r="AS1477" s="311">
        <f>X1477</f>
        <v>0</v>
      </c>
      <c r="AT1477" s="848"/>
      <c r="AU1477" s="848"/>
      <c r="AV1477" s="848"/>
      <c r="AW1477" s="848"/>
      <c r="AX1477" s="848"/>
      <c r="AY1477" s="848"/>
      <c r="AZ1477" s="848"/>
      <c r="BA1477" s="848"/>
      <c r="BB1477" s="848"/>
      <c r="BC1477" s="848"/>
      <c r="BD1477" s="848"/>
      <c r="BE1477" s="848"/>
      <c r="BF1477" s="848"/>
      <c r="BG1477" s="848"/>
      <c r="BH1477" s="848"/>
      <c r="BJ1477" s="1184" t="s">
        <v>4763</v>
      </c>
    </row>
    <row r="1478" spans="1:62" x14ac:dyDescent="0.3">
      <c r="A1478" s="1200">
        <v>8</v>
      </c>
      <c r="B1478" s="1210">
        <v>801.5</v>
      </c>
      <c r="C1478" s="1203"/>
      <c r="D1478" s="1203"/>
      <c r="E1478" s="1203" t="s">
        <v>285</v>
      </c>
      <c r="F1478" s="1203"/>
      <c r="G1478" s="1196" t="str">
        <f ca="1">IF(COUNTIF(G1480:G1486,"P")&gt;0,"P","")</f>
        <v/>
      </c>
      <c r="H1478" s="1200" t="s">
        <v>4388</v>
      </c>
      <c r="I1478" s="66"/>
      <c r="J1478" s="27" t="s">
        <v>285</v>
      </c>
      <c r="K1478" s="4"/>
      <c r="L1478" s="1329" t="s">
        <v>893</v>
      </c>
      <c r="M1478" s="866"/>
      <c r="N1478" s="850"/>
      <c r="O1478" s="850"/>
      <c r="P1478" s="848"/>
      <c r="Q1478" s="848"/>
      <c r="R1478" s="848"/>
      <c r="S1478" s="848"/>
      <c r="T1478" s="848"/>
      <c r="U1478" s="848"/>
      <c r="V1478" s="848"/>
      <c r="W1478" s="848"/>
      <c r="X1478" s="848"/>
      <c r="Y1478" s="848"/>
      <c r="Z1478" s="1055"/>
      <c r="AB1478" s="848"/>
      <c r="AC1478" s="848"/>
      <c r="AD1478" s="848"/>
      <c r="AE1478" s="848"/>
      <c r="AF1478" s="848"/>
      <c r="AG1478" s="848"/>
      <c r="AH1478" s="848"/>
      <c r="AI1478" s="848"/>
      <c r="AJ1478" s="848"/>
      <c r="AK1478" s="848"/>
      <c r="AL1478" s="848"/>
      <c r="AM1478" s="848"/>
      <c r="AN1478" s="848"/>
      <c r="AO1478" s="848"/>
      <c r="AP1478" s="848"/>
      <c r="AQ1478" s="848"/>
      <c r="AR1478" s="848"/>
      <c r="AS1478" s="848"/>
      <c r="AT1478" s="848"/>
      <c r="AU1478" s="848"/>
      <c r="AV1478" s="848"/>
      <c r="AW1478" s="848"/>
      <c r="AX1478" s="848"/>
      <c r="AY1478" s="848"/>
      <c r="AZ1478" s="848"/>
      <c r="BA1478" s="848"/>
      <c r="BB1478" s="848"/>
      <c r="BC1478" s="848"/>
      <c r="BD1478" s="848"/>
      <c r="BE1478" s="848"/>
      <c r="BF1478" s="848"/>
      <c r="BG1478" s="848"/>
      <c r="BH1478" s="848"/>
      <c r="BJ1478" s="1184" t="s">
        <v>4763</v>
      </c>
    </row>
    <row r="1479" spans="1:62" x14ac:dyDescent="0.3">
      <c r="A1479" s="1200">
        <v>8</v>
      </c>
      <c r="B1479" s="1210">
        <v>801.5</v>
      </c>
      <c r="C1479" s="1203"/>
      <c r="D1479" s="1203"/>
      <c r="E1479" s="1203" t="s">
        <v>285</v>
      </c>
      <c r="F1479" s="1203"/>
      <c r="G1479" s="1202" t="str">
        <f t="shared" ref="G1479" ca="1" si="471">G1478</f>
        <v/>
      </c>
      <c r="H1479" s="1200" t="s">
        <v>4388</v>
      </c>
      <c r="I1479" s="66"/>
      <c r="J1479" s="4"/>
      <c r="K1479" s="4"/>
      <c r="L1479" s="1329"/>
      <c r="M1479" s="866"/>
      <c r="N1479" s="850"/>
      <c r="O1479" s="850"/>
      <c r="P1479" s="848"/>
      <c r="Q1479" s="848"/>
      <c r="R1479" s="848"/>
      <c r="S1479" s="848"/>
      <c r="T1479" s="848"/>
      <c r="U1479" s="848"/>
      <c r="V1479" s="848"/>
      <c r="W1479" s="848"/>
      <c r="X1479" s="848"/>
      <c r="Y1479" s="848"/>
      <c r="Z1479" s="1055"/>
      <c r="AB1479" s="848"/>
      <c r="AC1479" s="848"/>
      <c r="AD1479" s="848"/>
      <c r="AE1479" s="848"/>
      <c r="AF1479" s="848"/>
      <c r="AG1479" s="848"/>
      <c r="AH1479" s="848"/>
      <c r="AI1479" s="848"/>
      <c r="AJ1479" s="848"/>
      <c r="AK1479" s="848"/>
      <c r="AL1479" s="848"/>
      <c r="AM1479" s="848"/>
      <c r="AN1479" s="848"/>
      <c r="AO1479" s="848"/>
      <c r="AP1479" s="848"/>
      <c r="AQ1479" s="848"/>
      <c r="AR1479" s="848"/>
      <c r="AS1479" s="848"/>
      <c r="AT1479" s="848"/>
      <c r="AU1479" s="848"/>
      <c r="AV1479" s="848"/>
      <c r="AW1479" s="848"/>
      <c r="AX1479" s="848"/>
      <c r="AY1479" s="848"/>
      <c r="AZ1479" s="848"/>
      <c r="BA1479" s="848"/>
      <c r="BB1479" s="848"/>
      <c r="BC1479" s="848"/>
      <c r="BD1479" s="848"/>
      <c r="BE1479" s="848"/>
      <c r="BF1479" s="848"/>
      <c r="BG1479" s="848"/>
      <c r="BH1479" s="848"/>
      <c r="BJ1479" s="1184" t="s">
        <v>4763</v>
      </c>
    </row>
    <row r="1480" spans="1:62" x14ac:dyDescent="0.3">
      <c r="A1480" s="1200">
        <v>8</v>
      </c>
      <c r="B1480" s="1210">
        <v>801.5</v>
      </c>
      <c r="C1480" s="1203"/>
      <c r="D1480" s="1203"/>
      <c r="E1480" s="1203" t="s">
        <v>285</v>
      </c>
      <c r="F1480" s="1203" t="s">
        <v>121</v>
      </c>
      <c r="G1480" s="1202" t="str">
        <f ca="1">IF(N1480&gt;0,"P","")</f>
        <v/>
      </c>
      <c r="H1480" s="1204" t="s">
        <v>4388</v>
      </c>
      <c r="I1480" s="4"/>
      <c r="J1480" s="4"/>
      <c r="K1480" s="203" t="s">
        <v>121</v>
      </c>
      <c r="L1480" s="861" t="s">
        <v>894</v>
      </c>
      <c r="M1480" s="1372" t="s">
        <v>3846</v>
      </c>
      <c r="N1480" s="1308">
        <f ca="1">'Ch8'!O94</f>
        <v>0</v>
      </c>
      <c r="O1480" s="1308">
        <f ca="1">IFERROR(MATCH(W1480,INDIRECT(U1480),0),0)*S1480</f>
        <v>0</v>
      </c>
      <c r="P1480" s="97" t="b">
        <v>0</v>
      </c>
      <c r="Q1480" s="848" t="b">
        <v>1</v>
      </c>
      <c r="R1480" s="848" t="b">
        <v>0</v>
      </c>
      <c r="S1480" s="848" t="b">
        <f>AND(W1477=TRUE,S1477)</f>
        <v>0</v>
      </c>
      <c r="T1480" s="97" t="b">
        <f>IF(AND(NOT(S1480),LEN(W1480)&gt;0),TRUE,FALSE)</f>
        <v>0</v>
      </c>
      <c r="U1480" s="97" t="str">
        <f>SUBSTITUTE(SUBSTITUTE(SUBSTITUTE("dd"&amp;B1480&amp;C1480&amp;D1480&amp;E1480&amp;F1480,".","_"),"(","_"),")","")</f>
        <v>dd801_5_4_a</v>
      </c>
      <c r="V1480" s="848"/>
      <c r="W1480" s="12"/>
      <c r="X1480" s="1303"/>
      <c r="Y1480" s="1522" t="str">
        <f>IF(LEN('Ch8'!X94)=0,"None",'Ch8'!X94)</f>
        <v>None</v>
      </c>
      <c r="Z1480" s="1586"/>
      <c r="AB1480" s="848"/>
      <c r="AC1480" s="848" t="b">
        <f>OR(AD1480:AE1480)</f>
        <v>0</v>
      </c>
      <c r="AD1480" s="848" t="b">
        <f>T1480</f>
        <v>0</v>
      </c>
      <c r="AE1480" s="848" t="b">
        <f>AND(R1480,OR(W1480="Not Met",W1480=""))</f>
        <v>0</v>
      </c>
      <c r="AF1480" s="1182" t="b">
        <f>AND(AE1480,NOT(Q1480))</f>
        <v>0</v>
      </c>
      <c r="AG1480" s="848"/>
      <c r="AH1480" s="848"/>
      <c r="AI1480" s="848"/>
      <c r="AJ1480" s="848"/>
      <c r="AK1480" s="848"/>
      <c r="AL1480" s="311" t="str">
        <f t="shared" ref="AL1480" si="472">SUBSTITUTE(SUBSTITUTE(SUBSTITUTE("vpa"&amp;$B1480&amp;$C1480&amp;$D1480&amp;$E1480&amp;$F1480,".","_"),"(","_"),")","")</f>
        <v>vpa801_5_4_a</v>
      </c>
      <c r="AM1480" s="311" t="str">
        <f>M1480</f>
        <v>1 Additional
3 Max</v>
      </c>
      <c r="AN1480" s="311" t="str">
        <f>SUBSTITUTE(SUBSTITUTE(SUBSTITUTE("vpc"&amp;$B1480&amp;$C1480&amp;$D1480&amp;$E1480&amp;$F1480,".","_"),"(","_"),")","")</f>
        <v>vpc801_5_4_a</v>
      </c>
      <c r="AO1480" s="311">
        <f ca="1">O1480</f>
        <v>0</v>
      </c>
      <c r="AP1480" s="311" t="str">
        <f>SUBSTITUTE(SUBSTITUTE(SUBSTITUTE("vch"&amp;$B1480&amp;$C1480&amp;$D1480&amp;$E1480&amp;$F1480,".","_"),"(","_"),")","")</f>
        <v>vch801_5_4_a</v>
      </c>
      <c r="AQ1480" s="311">
        <f>W1480</f>
        <v>0</v>
      </c>
      <c r="AR1480" s="311" t="str">
        <f>SUBSTITUTE(SUBSTITUTE(SUBSTITUTE("vnt"&amp;$B1480&amp;$C1480&amp;$D1480&amp;$E1480&amp;$F1480,".","_"),"(","_"),")","")</f>
        <v>vnt801_5_4_a</v>
      </c>
      <c r="AS1480" s="311">
        <f>X1480</f>
        <v>0</v>
      </c>
      <c r="AT1480" s="848"/>
      <c r="AU1480" s="848"/>
      <c r="AV1480" s="848"/>
      <c r="AW1480" s="848"/>
      <c r="AX1480" s="848"/>
      <c r="AY1480" s="848"/>
      <c r="AZ1480" s="848"/>
      <c r="BA1480" s="848"/>
      <c r="BB1480" s="848"/>
      <c r="BC1480" s="848"/>
      <c r="BD1480" s="848"/>
      <c r="BE1480" s="848"/>
      <c r="BF1480" s="848"/>
      <c r="BG1480" s="848"/>
      <c r="BH1480" s="848"/>
      <c r="BJ1480" s="1184" t="s">
        <v>4763</v>
      </c>
    </row>
    <row r="1481" spans="1:62" x14ac:dyDescent="0.3">
      <c r="A1481" s="1200">
        <v>8</v>
      </c>
      <c r="B1481" s="1210">
        <v>801.5</v>
      </c>
      <c r="C1481" s="1203"/>
      <c r="D1481" s="1203"/>
      <c r="E1481" s="1203" t="s">
        <v>285</v>
      </c>
      <c r="F1481" s="1203" t="s">
        <v>121</v>
      </c>
      <c r="G1481" s="1202" t="str">
        <f t="shared" ref="G1481:G1483" ca="1" si="473">G1480</f>
        <v/>
      </c>
      <c r="H1481" s="1204" t="s">
        <v>4388</v>
      </c>
      <c r="I1481" s="4"/>
      <c r="J1481" s="4"/>
      <c r="K1481" s="140"/>
      <c r="L1481" s="1368" t="s">
        <v>896</v>
      </c>
      <c r="M1481" s="1422"/>
      <c r="N1481" s="1308"/>
      <c r="O1481" s="1308"/>
      <c r="P1481" s="848"/>
      <c r="Q1481" s="848"/>
      <c r="R1481" s="848"/>
      <c r="S1481" s="848"/>
      <c r="T1481" s="848"/>
      <c r="U1481" s="848"/>
      <c r="V1481" s="848"/>
      <c r="W1481" s="848"/>
      <c r="X1481" s="1303"/>
      <c r="Y1481" s="1522"/>
      <c r="Z1481" s="1586"/>
      <c r="AB1481" s="848"/>
      <c r="AC1481" s="848"/>
      <c r="AD1481" s="848"/>
      <c r="AE1481" s="848"/>
      <c r="AF1481" s="848"/>
      <c r="AG1481" s="848"/>
      <c r="AH1481" s="848"/>
      <c r="AI1481" s="848"/>
      <c r="AJ1481" s="848"/>
      <c r="AK1481" s="848"/>
      <c r="AL1481" s="848"/>
      <c r="AM1481" s="848"/>
      <c r="AN1481" s="848"/>
      <c r="AO1481" s="848"/>
      <c r="AP1481" s="848"/>
      <c r="AQ1481" s="848"/>
      <c r="AR1481" s="848"/>
      <c r="AS1481" s="848"/>
      <c r="AT1481" s="848"/>
      <c r="AU1481" s="848"/>
      <c r="AV1481" s="848"/>
      <c r="AW1481" s="848"/>
      <c r="AX1481" s="848"/>
      <c r="AY1481" s="848"/>
      <c r="AZ1481" s="848"/>
      <c r="BA1481" s="848"/>
      <c r="BB1481" s="848"/>
      <c r="BC1481" s="848"/>
      <c r="BD1481" s="848"/>
      <c r="BE1481" s="848"/>
      <c r="BF1481" s="848"/>
      <c r="BG1481" s="848"/>
      <c r="BH1481" s="848"/>
      <c r="BJ1481" s="1184" t="s">
        <v>4763</v>
      </c>
    </row>
    <row r="1482" spans="1:62" x14ac:dyDescent="0.3">
      <c r="A1482" s="1200">
        <v>8</v>
      </c>
      <c r="B1482" s="1210">
        <v>801.5</v>
      </c>
      <c r="C1482" s="1203"/>
      <c r="D1482" s="1203"/>
      <c r="E1482" s="1203" t="s">
        <v>285</v>
      </c>
      <c r="F1482" s="1203" t="s">
        <v>121</v>
      </c>
      <c r="G1482" s="1202" t="str">
        <f t="shared" ca="1" si="473"/>
        <v/>
      </c>
      <c r="H1482" s="1204" t="s">
        <v>4388</v>
      </c>
      <c r="I1482" s="4"/>
      <c r="J1482" s="4"/>
      <c r="K1482" s="140"/>
      <c r="L1482" s="1368"/>
      <c r="M1482" s="1422"/>
      <c r="N1482" s="1308"/>
      <c r="O1482" s="1308"/>
      <c r="P1482" s="848"/>
      <c r="Q1482" s="848"/>
      <c r="R1482" s="848"/>
      <c r="S1482" s="848"/>
      <c r="T1482" s="848"/>
      <c r="U1482" s="848"/>
      <c r="V1482" s="848"/>
      <c r="W1482" s="848"/>
      <c r="X1482" s="1303"/>
      <c r="Y1482" s="1522"/>
      <c r="Z1482" s="1586"/>
      <c r="AB1482" s="848"/>
      <c r="AC1482" s="848"/>
      <c r="AD1482" s="848"/>
      <c r="AE1482" s="848"/>
      <c r="AF1482" s="848"/>
      <c r="AG1482" s="848"/>
      <c r="AH1482" s="848"/>
      <c r="AI1482" s="848"/>
      <c r="AJ1482" s="848"/>
      <c r="AK1482" s="848"/>
      <c r="AL1482" s="848"/>
      <c r="AM1482" s="848"/>
      <c r="AN1482" s="848"/>
      <c r="AO1482" s="848"/>
      <c r="AP1482" s="848"/>
      <c r="AQ1482" s="848"/>
      <c r="AR1482" s="848"/>
      <c r="AS1482" s="848"/>
      <c r="AT1482" s="848"/>
      <c r="AU1482" s="848"/>
      <c r="AV1482" s="848"/>
      <c r="AW1482" s="848"/>
      <c r="AX1482" s="848"/>
      <c r="AY1482" s="848"/>
      <c r="AZ1482" s="848"/>
      <c r="BA1482" s="848"/>
      <c r="BB1482" s="848"/>
      <c r="BC1482" s="848"/>
      <c r="BD1482" s="848"/>
      <c r="BE1482" s="848"/>
      <c r="BF1482" s="848"/>
      <c r="BG1482" s="848"/>
      <c r="BH1482" s="848"/>
      <c r="BJ1482" s="1184" t="s">
        <v>4763</v>
      </c>
    </row>
    <row r="1483" spans="1:62" x14ac:dyDescent="0.3">
      <c r="A1483" s="1200">
        <v>8</v>
      </c>
      <c r="B1483" s="1210">
        <v>801.5</v>
      </c>
      <c r="C1483" s="1203"/>
      <c r="D1483" s="1203"/>
      <c r="E1483" s="1203" t="s">
        <v>285</v>
      </c>
      <c r="F1483" s="1203" t="s">
        <v>121</v>
      </c>
      <c r="G1483" s="1202" t="str">
        <f t="shared" ca="1" si="473"/>
        <v/>
      </c>
      <c r="H1483" s="1204" t="s">
        <v>4388</v>
      </c>
      <c r="I1483" s="4"/>
      <c r="J1483" s="4"/>
      <c r="K1483" s="238"/>
      <c r="L1483" s="1424"/>
      <c r="M1483" s="1423"/>
      <c r="N1483" s="1309"/>
      <c r="O1483" s="1309"/>
      <c r="P1483" s="848"/>
      <c r="Q1483" s="848"/>
      <c r="R1483" s="848"/>
      <c r="S1483" s="848"/>
      <c r="T1483" s="848"/>
      <c r="U1483" s="848"/>
      <c r="V1483" s="848"/>
      <c r="W1483" s="848"/>
      <c r="X1483" s="1303"/>
      <c r="Y1483" s="1522"/>
      <c r="Z1483" s="1586"/>
      <c r="AB1483" s="848"/>
      <c r="AC1483" s="848"/>
      <c r="AD1483" s="848"/>
      <c r="AE1483" s="848"/>
      <c r="AF1483" s="848"/>
      <c r="AG1483" s="848"/>
      <c r="AH1483" s="848"/>
      <c r="AI1483" s="848"/>
      <c r="AJ1483" s="848"/>
      <c r="AK1483" s="848"/>
      <c r="AL1483" s="848"/>
      <c r="AM1483" s="848"/>
      <c r="AN1483" s="848"/>
      <c r="AO1483" s="848"/>
      <c r="AP1483" s="848"/>
      <c r="AQ1483" s="848"/>
      <c r="AR1483" s="848"/>
      <c r="AS1483" s="848"/>
      <c r="AT1483" s="848"/>
      <c r="AU1483" s="848"/>
      <c r="AV1483" s="848"/>
      <c r="AW1483" s="848"/>
      <c r="AX1483" s="848"/>
      <c r="AY1483" s="848"/>
      <c r="AZ1483" s="848"/>
      <c r="BA1483" s="848"/>
      <c r="BB1483" s="848"/>
      <c r="BC1483" s="848"/>
      <c r="BD1483" s="848"/>
      <c r="BE1483" s="848"/>
      <c r="BF1483" s="848"/>
      <c r="BG1483" s="848"/>
      <c r="BH1483" s="848"/>
      <c r="BJ1483" s="1184" t="s">
        <v>4763</v>
      </c>
    </row>
    <row r="1484" spans="1:62" x14ac:dyDescent="0.3">
      <c r="A1484" s="1200">
        <v>8</v>
      </c>
      <c r="B1484" s="1210">
        <v>801.5</v>
      </c>
      <c r="C1484" s="1203"/>
      <c r="D1484" s="1203"/>
      <c r="E1484" s="1203" t="s">
        <v>285</v>
      </c>
      <c r="F1484" s="1203" t="s">
        <v>122</v>
      </c>
      <c r="G1484" s="1202" t="str">
        <f>IF(N1484&gt;0,"P","")</f>
        <v/>
      </c>
      <c r="H1484" s="1204" t="s">
        <v>4388</v>
      </c>
      <c r="I1484" s="4"/>
      <c r="J1484" s="4"/>
      <c r="K1484" s="203" t="s">
        <v>122</v>
      </c>
      <c r="L1484" s="1305" t="s">
        <v>897</v>
      </c>
      <c r="M1484" s="1318" t="s">
        <v>895</v>
      </c>
      <c r="N1484" s="1308">
        <f>'Ch8'!O98</f>
        <v>0</v>
      </c>
      <c r="O1484" s="1308">
        <f>1*W1484*S1484</f>
        <v>0</v>
      </c>
      <c r="P1484" s="97" t="b">
        <v>0</v>
      </c>
      <c r="Q1484" s="848" t="b">
        <v>1</v>
      </c>
      <c r="R1484" s="848" t="b">
        <v>0</v>
      </c>
      <c r="S1484" s="848" t="b">
        <f>AND(W1477=TRUE,S1477)</f>
        <v>0</v>
      </c>
      <c r="T1484" s="97" t="b">
        <f>IF(AND(NOT(S1484),W1484=TRUE),TRUE,FALSE)</f>
        <v>0</v>
      </c>
      <c r="U1484" s="848"/>
      <c r="V1484" s="848"/>
      <c r="W1484" s="25"/>
      <c r="X1484" s="1303"/>
      <c r="Y1484" s="1522" t="str">
        <f>IF(LEN('Ch8'!X98)=0,"None",'Ch8'!X98)</f>
        <v>None</v>
      </c>
      <c r="Z1484" s="1586"/>
      <c r="AB1484" s="848"/>
      <c r="AC1484" s="848" t="b">
        <f>OR(AD1484:AE1484)</f>
        <v>0</v>
      </c>
      <c r="AD1484" s="848" t="b">
        <f>T1484</f>
        <v>0</v>
      </c>
      <c r="AE1484" s="848" t="b">
        <v>0</v>
      </c>
      <c r="AF1484" s="1182" t="b">
        <f>AND(AE1484,NOT(Q1484))</f>
        <v>0</v>
      </c>
      <c r="AG1484" s="848"/>
      <c r="AH1484" s="848"/>
      <c r="AI1484" s="848"/>
      <c r="AJ1484" s="848"/>
      <c r="AK1484" s="848"/>
      <c r="AL1484" s="311" t="str">
        <f t="shared" ref="AL1484" si="474">SUBSTITUTE(SUBSTITUTE(SUBSTITUTE("vpa"&amp;$B1484&amp;$C1484&amp;$D1484&amp;$E1484&amp;$F1484,".","_"),"(","_"),")","")</f>
        <v>vpa801_5_4_b</v>
      </c>
      <c r="AM1484" s="311" t="str">
        <f>M1484</f>
        <v>1 Additional</v>
      </c>
      <c r="AN1484" s="311" t="str">
        <f>SUBSTITUTE(SUBSTITUTE(SUBSTITUTE("vpc"&amp;$B1484&amp;$C1484&amp;$D1484&amp;$E1484&amp;$F1484,".","_"),"(","_"),")","")</f>
        <v>vpc801_5_4_b</v>
      </c>
      <c r="AO1484" s="311">
        <f>O1484</f>
        <v>0</v>
      </c>
      <c r="AP1484" s="311" t="str">
        <f>SUBSTITUTE(SUBSTITUTE(SUBSTITUTE("vch"&amp;$B1484&amp;$C1484&amp;$D1484&amp;$E1484&amp;$F1484,".","_"),"(","_"),")","")</f>
        <v>vch801_5_4_b</v>
      </c>
      <c r="AQ1484" s="311">
        <f>W1484</f>
        <v>0</v>
      </c>
      <c r="AR1484" s="311" t="str">
        <f>SUBSTITUTE(SUBSTITUTE(SUBSTITUTE("vnt"&amp;$B1484&amp;$C1484&amp;$D1484&amp;$E1484&amp;$F1484,".","_"),"(","_"),")","")</f>
        <v>vnt801_5_4_b</v>
      </c>
      <c r="AS1484" s="311">
        <f>X1484</f>
        <v>0</v>
      </c>
      <c r="AT1484" s="848"/>
      <c r="AU1484" s="848"/>
      <c r="AV1484" s="848"/>
      <c r="AW1484" s="848"/>
      <c r="AX1484" s="848"/>
      <c r="AY1484" s="848"/>
      <c r="AZ1484" s="848"/>
      <c r="BA1484" s="848"/>
      <c r="BB1484" s="848"/>
      <c r="BC1484" s="848"/>
      <c r="BD1484" s="848"/>
      <c r="BE1484" s="848"/>
      <c r="BF1484" s="848"/>
      <c r="BG1484" s="848"/>
      <c r="BH1484" s="848"/>
      <c r="BJ1484" s="1184" t="s">
        <v>4763</v>
      </c>
    </row>
    <row r="1485" spans="1:62" x14ac:dyDescent="0.3">
      <c r="A1485" s="1200">
        <v>8</v>
      </c>
      <c r="B1485" s="1210">
        <v>801.5</v>
      </c>
      <c r="C1485" s="1203"/>
      <c r="D1485" s="1203"/>
      <c r="E1485" s="1203" t="s">
        <v>285</v>
      </c>
      <c r="F1485" s="1203" t="s">
        <v>122</v>
      </c>
      <c r="G1485" s="1202" t="str">
        <f t="shared" ref="G1485" si="475">G1484</f>
        <v/>
      </c>
      <c r="H1485" s="1204" t="s">
        <v>4388</v>
      </c>
      <c r="I1485" s="4"/>
      <c r="J1485" s="4"/>
      <c r="K1485" s="231"/>
      <c r="L1485" s="1306"/>
      <c r="M1485" s="1319"/>
      <c r="N1485" s="1309"/>
      <c r="O1485" s="1309"/>
      <c r="P1485" s="848"/>
      <c r="Q1485" s="848"/>
      <c r="R1485" s="848"/>
      <c r="S1485" s="848"/>
      <c r="T1485" s="848"/>
      <c r="U1485" s="848"/>
      <c r="V1485" s="848"/>
      <c r="W1485" s="848"/>
      <c r="X1485" s="1303"/>
      <c r="Y1485" s="1522"/>
      <c r="Z1485" s="1586"/>
      <c r="AB1485" s="848"/>
      <c r="AC1485" s="848"/>
      <c r="AD1485" s="848"/>
      <c r="AE1485" s="848"/>
      <c r="AF1485" s="848"/>
      <c r="AG1485" s="848"/>
      <c r="AH1485" s="848"/>
      <c r="AI1485" s="848"/>
      <c r="AJ1485" s="848"/>
      <c r="AK1485" s="848"/>
      <c r="AL1485" s="848"/>
      <c r="AM1485" s="848"/>
      <c r="AN1485" s="848"/>
      <c r="AO1485" s="848"/>
      <c r="AP1485" s="848"/>
      <c r="AQ1485" s="848"/>
      <c r="AR1485" s="848"/>
      <c r="AS1485" s="848"/>
      <c r="AT1485" s="848"/>
      <c r="AU1485" s="848"/>
      <c r="AV1485" s="848"/>
      <c r="AW1485" s="848"/>
      <c r="AX1485" s="848"/>
      <c r="AY1485" s="848"/>
      <c r="AZ1485" s="848"/>
      <c r="BA1485" s="848"/>
      <c r="BB1485" s="848"/>
      <c r="BC1485" s="848"/>
      <c r="BD1485" s="848"/>
      <c r="BE1485" s="848"/>
      <c r="BF1485" s="848"/>
      <c r="BG1485" s="848"/>
      <c r="BH1485" s="848"/>
      <c r="BJ1485" s="1184" t="s">
        <v>4763</v>
      </c>
    </row>
    <row r="1486" spans="1:62" ht="15" thickBot="1" x14ac:dyDescent="0.35">
      <c r="A1486" s="1200">
        <v>8</v>
      </c>
      <c r="B1486" s="1210">
        <v>801.5</v>
      </c>
      <c r="C1486" s="1203"/>
      <c r="D1486" s="1203"/>
      <c r="E1486" s="1203" t="s">
        <v>285</v>
      </c>
      <c r="F1486" s="1203" t="s">
        <v>123</v>
      </c>
      <c r="G1486" s="1202" t="str">
        <f>IF(N1486&gt;0,"P","")</f>
        <v/>
      </c>
      <c r="H1486" s="1204" t="s">
        <v>4388</v>
      </c>
      <c r="I1486" s="270"/>
      <c r="J1486" s="270"/>
      <c r="K1486" s="213" t="s">
        <v>123</v>
      </c>
      <c r="L1486" s="869" t="s">
        <v>898</v>
      </c>
      <c r="M1486" s="865" t="s">
        <v>899</v>
      </c>
      <c r="N1486" s="858">
        <f>'Ch8'!O100</f>
        <v>0</v>
      </c>
      <c r="O1486" s="858">
        <f>6*S1486*W1486</f>
        <v>0</v>
      </c>
      <c r="P1486" s="97" t="b">
        <v>0</v>
      </c>
      <c r="Q1486" s="848" t="b">
        <v>1</v>
      </c>
      <c r="R1486" s="104" t="b">
        <v>0</v>
      </c>
      <c r="S1486" s="104" t="b">
        <f>AND(W1477=TRUE,S1477)</f>
        <v>0</v>
      </c>
      <c r="T1486" s="104" t="b">
        <f>IF(AND(NOT(S1486),W1486=TRUE),TRUE,FALSE)</f>
        <v>0</v>
      </c>
      <c r="U1486" s="104"/>
      <c r="V1486" s="104"/>
      <c r="W1486" s="105"/>
      <c r="X1486" s="853"/>
      <c r="Y1486" s="890" t="str">
        <f>IF(LEN('Ch8'!X100)=0,"None",'Ch8'!X100)</f>
        <v>None</v>
      </c>
      <c r="Z1486" s="1173"/>
      <c r="AB1486" s="848"/>
      <c r="AC1486" s="848" t="b">
        <f>OR(AD1486:AE1486)</f>
        <v>0</v>
      </c>
      <c r="AD1486" s="848" t="b">
        <f>T1486</f>
        <v>0</v>
      </c>
      <c r="AE1486" s="848" t="b">
        <v>0</v>
      </c>
      <c r="AF1486" s="1182" t="b">
        <f>AND(AE1486,NOT(Q1486))</f>
        <v>0</v>
      </c>
      <c r="AG1486" s="848"/>
      <c r="AH1486" s="848"/>
      <c r="AI1486" s="848"/>
      <c r="AJ1486" s="848"/>
      <c r="AK1486" s="848"/>
      <c r="AL1486" s="311" t="str">
        <f t="shared" ref="AL1486" si="476">SUBSTITUTE(SUBSTITUTE(SUBSTITUTE("vpa"&amp;$B1486&amp;$C1486&amp;$D1486&amp;$E1486&amp;$F1486,".","_"),"(","_"),")","")</f>
        <v>vpa801_5_4_c</v>
      </c>
      <c r="AM1486" s="311" t="str">
        <f>M1486</f>
        <v>6 Additional</v>
      </c>
      <c r="AN1486" s="311" t="str">
        <f>SUBSTITUTE(SUBSTITUTE(SUBSTITUTE("vpc"&amp;$B1486&amp;$C1486&amp;$D1486&amp;$E1486&amp;$F1486,".","_"),"(","_"),")","")</f>
        <v>vpc801_5_4_c</v>
      </c>
      <c r="AO1486" s="311">
        <f>O1486</f>
        <v>0</v>
      </c>
      <c r="AP1486" s="311" t="str">
        <f>SUBSTITUTE(SUBSTITUTE(SUBSTITUTE("vch"&amp;$B1486&amp;$C1486&amp;$D1486&amp;$E1486&amp;$F1486,".","_"),"(","_"),")","")</f>
        <v>vch801_5_4_c</v>
      </c>
      <c r="AQ1486" s="311">
        <f>W1486</f>
        <v>0</v>
      </c>
      <c r="AR1486" s="311" t="str">
        <f>SUBSTITUTE(SUBSTITUTE(SUBSTITUTE("vnt"&amp;$B1486&amp;$C1486&amp;$D1486&amp;$E1486&amp;$F1486,".","_"),"(","_"),")","")</f>
        <v>vnt801_5_4_c</v>
      </c>
      <c r="AS1486" s="311">
        <f>X1486</f>
        <v>0</v>
      </c>
      <c r="AT1486" s="848"/>
      <c r="AU1486" s="848"/>
      <c r="AV1486" s="848"/>
      <c r="AW1486" s="848"/>
      <c r="AX1486" s="848"/>
      <c r="AY1486" s="848"/>
      <c r="AZ1486" s="848"/>
      <c r="BA1486" s="848"/>
      <c r="BB1486" s="848"/>
      <c r="BC1486" s="848"/>
      <c r="BD1486" s="848"/>
      <c r="BE1486" s="848"/>
      <c r="BF1486" s="848"/>
      <c r="BG1486" s="848"/>
      <c r="BH1486" s="848"/>
      <c r="BJ1486" s="1184" t="s">
        <v>4763</v>
      </c>
    </row>
    <row r="1487" spans="1:62" ht="15" thickTop="1" x14ac:dyDescent="0.3">
      <c r="A1487" s="1200">
        <v>8</v>
      </c>
      <c r="B1487" s="1210">
        <v>801.6</v>
      </c>
      <c r="C1487" s="1203"/>
      <c r="D1487" s="1203"/>
      <c r="E1487" s="1203"/>
      <c r="F1487" s="1203"/>
      <c r="G1487" s="1196" t="str">
        <f ca="1">IF(COUNTIF(G1488:G1509,"P")&gt;0,"P","")</f>
        <v>P</v>
      </c>
      <c r="H1487" s="1200" t="s">
        <v>4388</v>
      </c>
      <c r="I1487" s="141">
        <v>801.6</v>
      </c>
      <c r="J1487" s="140"/>
      <c r="K1487" s="140"/>
      <c r="L1487" s="874" t="s">
        <v>900</v>
      </c>
      <c r="M1487" s="856"/>
      <c r="N1487" s="854"/>
      <c r="O1487" s="854"/>
      <c r="P1487" s="97"/>
      <c r="Q1487" s="97"/>
      <c r="R1487" s="97"/>
      <c r="S1487" s="97"/>
      <c r="T1487" s="97"/>
      <c r="U1487" s="97"/>
      <c r="V1487" s="97"/>
      <c r="W1487" s="196"/>
      <c r="X1487" s="97"/>
      <c r="Y1487" s="848"/>
      <c r="Z1487" s="1055"/>
      <c r="AB1487" s="848"/>
      <c r="AC1487" s="848"/>
      <c r="AD1487" s="848"/>
      <c r="AE1487" s="848"/>
      <c r="AF1487" s="848"/>
      <c r="AG1487" s="848"/>
      <c r="AH1487" s="848"/>
      <c r="AI1487" s="848"/>
      <c r="AJ1487" s="848"/>
      <c r="AK1487" s="848"/>
      <c r="AL1487" s="848"/>
      <c r="AM1487" s="848"/>
      <c r="AN1487" s="848"/>
      <c r="AO1487" s="848"/>
      <c r="AP1487" s="848"/>
      <c r="AQ1487" s="848"/>
      <c r="AR1487" s="848"/>
      <c r="AS1487" s="848"/>
      <c r="AT1487" s="848"/>
      <c r="AU1487" s="848"/>
      <c r="AV1487" s="848"/>
      <c r="AW1487" s="848"/>
      <c r="AX1487" s="848"/>
      <c r="AY1487" s="848"/>
      <c r="AZ1487" s="848"/>
      <c r="BA1487" s="848"/>
      <c r="BB1487" s="848"/>
      <c r="BC1487" s="848"/>
      <c r="BD1487" s="848"/>
      <c r="BE1487" s="848"/>
      <c r="BF1487" s="848"/>
      <c r="BG1487" s="848"/>
      <c r="BH1487" s="848"/>
      <c r="BJ1487" s="1184" t="s">
        <v>4763</v>
      </c>
    </row>
    <row r="1488" spans="1:62" x14ac:dyDescent="0.3">
      <c r="A1488" s="1200">
        <v>8</v>
      </c>
      <c r="B1488" s="1210" t="s">
        <v>901</v>
      </c>
      <c r="C1488" s="1203"/>
      <c r="D1488" s="1203"/>
      <c r="E1488" s="1203"/>
      <c r="F1488" s="1203"/>
      <c r="G1488" s="1202" t="str">
        <f>IF(N1488&gt;0,"P","")</f>
        <v/>
      </c>
      <c r="H1488" s="1200" t="s">
        <v>4388</v>
      </c>
      <c r="I1488" s="141" t="s">
        <v>901</v>
      </c>
      <c r="J1488" s="140"/>
      <c r="K1488" s="140"/>
      <c r="L1488" s="1313" t="s">
        <v>902</v>
      </c>
      <c r="M1488" s="1318">
        <v>6</v>
      </c>
      <c r="N1488" s="1308">
        <f>'Ch8'!O102</f>
        <v>0</v>
      </c>
      <c r="O1488" s="1308">
        <f>6*S1488*W1488</f>
        <v>0</v>
      </c>
      <c r="P1488" s="97" t="b">
        <v>0</v>
      </c>
      <c r="Q1488" s="848" t="b">
        <v>1</v>
      </c>
      <c r="R1488" s="97" t="b">
        <v>0</v>
      </c>
      <c r="S1488" s="97" t="b">
        <f>NOT(W1505=TRUE)</f>
        <v>1</v>
      </c>
      <c r="T1488" s="97" t="b">
        <f>IF(AND(NOT(S1488),W1488=TRUE),TRUE,FALSE)</f>
        <v>0</v>
      </c>
      <c r="U1488" s="97"/>
      <c r="V1488" s="97"/>
      <c r="W1488" s="25"/>
      <c r="X1488" s="1303"/>
      <c r="Y1488" s="1522" t="str">
        <f>IF(LEN('Ch8'!X102)=0,"None",'Ch8'!X102)</f>
        <v>None</v>
      </c>
      <c r="Z1488" s="1586"/>
      <c r="AB1488" s="848"/>
      <c r="AC1488" s="848" t="b">
        <f>OR(AD1488:AE1488)</f>
        <v>0</v>
      </c>
      <c r="AD1488" s="848" t="b">
        <f>T1488</f>
        <v>0</v>
      </c>
      <c r="AE1488" s="848" t="b">
        <v>0</v>
      </c>
      <c r="AF1488" s="1182" t="b">
        <f>AND(AE1488,NOT(Q1488))</f>
        <v>0</v>
      </c>
      <c r="AG1488" s="848"/>
      <c r="AH1488" s="848"/>
      <c r="AI1488" s="848"/>
      <c r="AJ1488" s="848"/>
      <c r="AK1488" s="848"/>
      <c r="AL1488" s="311" t="str">
        <f t="shared" ref="AL1488" si="477">SUBSTITUTE(SUBSTITUTE(SUBSTITUTE("vpa"&amp;$B1488&amp;$C1488&amp;$D1488&amp;$E1488&amp;$F1488,".","_"),"(","_"),")","")</f>
        <v>vpa801_6_1</v>
      </c>
      <c r="AM1488" s="311">
        <f>M1488</f>
        <v>6</v>
      </c>
      <c r="AN1488" s="311" t="str">
        <f>SUBSTITUTE(SUBSTITUTE(SUBSTITUTE("vpc"&amp;$B1488&amp;$C1488&amp;$D1488&amp;$E1488&amp;$F1488,".","_"),"(","_"),")","")</f>
        <v>vpc801_6_1</v>
      </c>
      <c r="AO1488" s="311">
        <f>O1488</f>
        <v>0</v>
      </c>
      <c r="AP1488" s="311" t="str">
        <f>SUBSTITUTE(SUBSTITUTE(SUBSTITUTE("vch"&amp;$B1488&amp;$C1488&amp;$D1488&amp;$E1488&amp;$F1488,".","_"),"(","_"),")","")</f>
        <v>vch801_6_1</v>
      </c>
      <c r="AQ1488" s="311">
        <f>W1488</f>
        <v>0</v>
      </c>
      <c r="AR1488" s="311" t="str">
        <f>SUBSTITUTE(SUBSTITUTE(SUBSTITUTE("vnt"&amp;$B1488&amp;$C1488&amp;$D1488&amp;$E1488&amp;$F1488,".","_"),"(","_"),")","")</f>
        <v>vnt801_6_1</v>
      </c>
      <c r="AS1488" s="311">
        <f>X1488</f>
        <v>0</v>
      </c>
      <c r="AT1488" s="848"/>
      <c r="AU1488" s="848"/>
      <c r="AV1488" s="848"/>
      <c r="AW1488" s="848"/>
      <c r="AX1488" s="848"/>
      <c r="AY1488" s="848"/>
      <c r="AZ1488" s="848"/>
      <c r="BA1488" s="848"/>
      <c r="BB1488" s="848"/>
      <c r="BC1488" s="848"/>
      <c r="BD1488" s="848"/>
      <c r="BE1488" s="848"/>
      <c r="BF1488" s="848"/>
      <c r="BG1488" s="848"/>
      <c r="BH1488" s="848"/>
      <c r="BJ1488" s="1184" t="s">
        <v>4763</v>
      </c>
    </row>
    <row r="1489" spans="1:62" x14ac:dyDescent="0.3">
      <c r="A1489" s="1200">
        <v>8</v>
      </c>
      <c r="B1489" s="1210" t="s">
        <v>901</v>
      </c>
      <c r="C1489" s="1203"/>
      <c r="D1489" s="1203"/>
      <c r="E1489" s="1203"/>
      <c r="F1489" s="1203"/>
      <c r="G1489" s="1202" t="str">
        <f t="shared" ref="G1489:G1490" si="478">G1488</f>
        <v/>
      </c>
      <c r="H1489" s="1200" t="s">
        <v>4388</v>
      </c>
      <c r="I1489" s="141"/>
      <c r="J1489" s="140"/>
      <c r="K1489" s="140"/>
      <c r="L1489" s="1313"/>
      <c r="M1489" s="1318"/>
      <c r="N1489" s="1308"/>
      <c r="O1489" s="1308"/>
      <c r="P1489" s="97"/>
      <c r="Q1489" s="97"/>
      <c r="R1489" s="97"/>
      <c r="S1489" s="97"/>
      <c r="T1489" s="97"/>
      <c r="U1489" s="97"/>
      <c r="V1489" s="97"/>
      <c r="W1489" s="97"/>
      <c r="X1489" s="1303"/>
      <c r="Y1489" s="1522"/>
      <c r="Z1489" s="1586"/>
      <c r="AB1489" s="848"/>
      <c r="AC1489" s="848"/>
      <c r="AD1489" s="848"/>
      <c r="AE1489" s="848"/>
      <c r="AF1489" s="848"/>
      <c r="AG1489" s="848"/>
      <c r="AH1489" s="848"/>
      <c r="AI1489" s="848"/>
      <c r="AJ1489" s="848"/>
      <c r="AK1489" s="848"/>
      <c r="AL1489" s="848"/>
      <c r="AM1489" s="848"/>
      <c r="AN1489" s="848"/>
      <c r="AO1489" s="848"/>
      <c r="AP1489" s="848"/>
      <c r="AQ1489" s="848"/>
      <c r="AR1489" s="848"/>
      <c r="AS1489" s="848"/>
      <c r="AT1489" s="848"/>
      <c r="AU1489" s="848"/>
      <c r="AV1489" s="848"/>
      <c r="AW1489" s="848"/>
      <c r="AX1489" s="848"/>
      <c r="AY1489" s="848"/>
      <c r="AZ1489" s="848"/>
      <c r="BA1489" s="848"/>
      <c r="BB1489" s="848"/>
      <c r="BC1489" s="848"/>
      <c r="BD1489" s="848"/>
      <c r="BE1489" s="848"/>
      <c r="BF1489" s="848"/>
      <c r="BG1489" s="848"/>
      <c r="BH1489" s="848"/>
      <c r="BJ1489" s="1184" t="s">
        <v>4763</v>
      </c>
    </row>
    <row r="1490" spans="1:62" x14ac:dyDescent="0.3">
      <c r="A1490" s="1200">
        <v>8</v>
      </c>
      <c r="B1490" s="1210" t="s">
        <v>901</v>
      </c>
      <c r="C1490" s="1203"/>
      <c r="D1490" s="1203"/>
      <c r="E1490" s="1203"/>
      <c r="F1490" s="1203"/>
      <c r="G1490" s="1202" t="str">
        <f t="shared" si="478"/>
        <v/>
      </c>
      <c r="H1490" s="1200" t="s">
        <v>4388</v>
      </c>
      <c r="I1490" s="244"/>
      <c r="J1490" s="238"/>
      <c r="K1490" s="238"/>
      <c r="L1490" s="1350"/>
      <c r="M1490" s="1319"/>
      <c r="N1490" s="1309"/>
      <c r="O1490" s="1309"/>
      <c r="P1490" s="196"/>
      <c r="Q1490" s="196"/>
      <c r="R1490" s="196"/>
      <c r="S1490" s="196"/>
      <c r="T1490" s="196"/>
      <c r="U1490" s="196"/>
      <c r="V1490" s="196"/>
      <c r="W1490" s="636"/>
      <c r="X1490" s="1303"/>
      <c r="Y1490" s="1522"/>
      <c r="Z1490" s="1586"/>
      <c r="AB1490" s="848"/>
      <c r="AC1490" s="848"/>
      <c r="AD1490" s="848"/>
      <c r="AE1490" s="848"/>
      <c r="AF1490" s="848"/>
      <c r="AG1490" s="848"/>
      <c r="AH1490" s="848"/>
      <c r="AI1490" s="848"/>
      <c r="AJ1490" s="848"/>
      <c r="AK1490" s="848"/>
      <c r="AL1490" s="848"/>
      <c r="AM1490" s="848"/>
      <c r="AN1490" s="848"/>
      <c r="AO1490" s="848"/>
      <c r="AP1490" s="848"/>
      <c r="AQ1490" s="848"/>
      <c r="AR1490" s="848"/>
      <c r="AS1490" s="848"/>
      <c r="AT1490" s="848"/>
      <c r="AU1490" s="848"/>
      <c r="AV1490" s="848"/>
      <c r="AW1490" s="848"/>
      <c r="AX1490" s="848"/>
      <c r="AY1490" s="848"/>
      <c r="AZ1490" s="848"/>
      <c r="BA1490" s="848"/>
      <c r="BB1490" s="848"/>
      <c r="BC1490" s="848"/>
      <c r="BD1490" s="848"/>
      <c r="BE1490" s="848"/>
      <c r="BF1490" s="848"/>
      <c r="BG1490" s="848"/>
      <c r="BH1490" s="848"/>
      <c r="BJ1490" s="1184" t="s">
        <v>4763</v>
      </c>
    </row>
    <row r="1491" spans="1:62" x14ac:dyDescent="0.3">
      <c r="A1491" s="1200">
        <v>8</v>
      </c>
      <c r="B1491" s="1210" t="s">
        <v>903</v>
      </c>
      <c r="C1491" s="1203"/>
      <c r="D1491" s="1203"/>
      <c r="E1491" s="1203"/>
      <c r="F1491" s="1203"/>
      <c r="G1491" s="1196" t="str">
        <f>IF(COUNTIF(G1492:G1494,"P")&gt;0,"P","")</f>
        <v/>
      </c>
      <c r="H1491" s="1200" t="s">
        <v>4388</v>
      </c>
      <c r="I1491" s="66" t="s">
        <v>903</v>
      </c>
      <c r="J1491" s="4"/>
      <c r="K1491" s="4"/>
      <c r="L1491" s="872" t="s">
        <v>904</v>
      </c>
      <c r="M1491" s="866"/>
      <c r="N1491" s="850"/>
      <c r="O1491" s="850"/>
      <c r="P1491" s="848"/>
      <c r="Q1491" s="848"/>
      <c r="R1491" s="848"/>
      <c r="S1491" s="848"/>
      <c r="T1491" s="848"/>
      <c r="U1491" s="848"/>
      <c r="V1491" s="848"/>
      <c r="W1491" s="848"/>
      <c r="X1491" s="848"/>
      <c r="Y1491" s="848"/>
      <c r="Z1491" s="1055"/>
      <c r="AB1491" s="848"/>
      <c r="AC1491" s="848"/>
      <c r="AD1491" s="848"/>
      <c r="AE1491" s="848"/>
      <c r="AF1491" s="848"/>
      <c r="AG1491" s="848"/>
      <c r="AH1491" s="848"/>
      <c r="AI1491" s="848"/>
      <c r="AJ1491" s="848"/>
      <c r="AK1491" s="848"/>
      <c r="AL1491" s="848"/>
      <c r="AM1491" s="848"/>
      <c r="AN1491" s="848"/>
      <c r="AO1491" s="848"/>
      <c r="AP1491" s="848"/>
      <c r="AQ1491" s="848"/>
      <c r="AR1491" s="848"/>
      <c r="AS1491" s="848"/>
      <c r="AT1491" s="848"/>
      <c r="AU1491" s="848"/>
      <c r="AV1491" s="848"/>
      <c r="AW1491" s="848"/>
      <c r="AX1491" s="848"/>
      <c r="AY1491" s="848"/>
      <c r="AZ1491" s="848"/>
      <c r="BA1491" s="848"/>
      <c r="BB1491" s="848"/>
      <c r="BC1491" s="848"/>
      <c r="BD1491" s="848"/>
      <c r="BE1491" s="848"/>
      <c r="BF1491" s="848"/>
      <c r="BG1491" s="848"/>
      <c r="BH1491" s="848"/>
      <c r="BJ1491" s="1184" t="s">
        <v>4763</v>
      </c>
    </row>
    <row r="1492" spans="1:62" x14ac:dyDescent="0.3">
      <c r="A1492" s="1200">
        <v>8</v>
      </c>
      <c r="B1492" s="1210" t="s">
        <v>903</v>
      </c>
      <c r="C1492" s="1203"/>
      <c r="D1492" s="1203"/>
      <c r="E1492" s="1203" t="s">
        <v>271</v>
      </c>
      <c r="F1492" s="1203"/>
      <c r="G1492" s="1202" t="str">
        <f>IF(N1492&gt;0,"P","")</f>
        <v/>
      </c>
      <c r="H1492" s="1200" t="s">
        <v>4388</v>
      </c>
      <c r="I1492" s="66"/>
      <c r="J1492" s="231" t="s">
        <v>271</v>
      </c>
      <c r="K1492" s="238"/>
      <c r="L1492" s="862" t="s">
        <v>905</v>
      </c>
      <c r="M1492" s="857">
        <v>4</v>
      </c>
      <c r="N1492" s="855">
        <f>'Ch8'!O106</f>
        <v>0</v>
      </c>
      <c r="O1492" s="855">
        <f>M1492*S1492*W1492</f>
        <v>0</v>
      </c>
      <c r="P1492" s="97" t="b">
        <v>0</v>
      </c>
      <c r="Q1492" s="848" t="b">
        <v>1</v>
      </c>
      <c r="R1492" s="848" t="b">
        <v>0</v>
      </c>
      <c r="S1492" s="848" t="b">
        <f>NOT(W1505=TRUE)</f>
        <v>1</v>
      </c>
      <c r="T1492" s="97" t="b">
        <f>IF(AND(NOT(S1492),W1492=TRUE),TRUE,FALSE)</f>
        <v>0</v>
      </c>
      <c r="U1492" s="848"/>
      <c r="V1492" s="848"/>
      <c r="W1492" s="25"/>
      <c r="X1492" s="851"/>
      <c r="Y1492" s="889" t="str">
        <f>IF(LEN('Ch8'!X106)=0,"None",'Ch8'!X106)</f>
        <v>None</v>
      </c>
      <c r="Z1492" s="1169"/>
      <c r="AB1492" s="848"/>
      <c r="AC1492" s="848" t="b">
        <f>OR(AD1492:AE1492)</f>
        <v>0</v>
      </c>
      <c r="AD1492" s="848" t="b">
        <f>T1492</f>
        <v>0</v>
      </c>
      <c r="AE1492" s="848" t="b">
        <v>0</v>
      </c>
      <c r="AF1492" s="1182" t="b">
        <f>AND(AE1492,NOT(Q1492))</f>
        <v>0</v>
      </c>
      <c r="AG1492" s="848"/>
      <c r="AH1492" s="848"/>
      <c r="AI1492" s="848"/>
      <c r="AJ1492" s="848"/>
      <c r="AK1492" s="848"/>
      <c r="AL1492" s="311" t="str">
        <f t="shared" ref="AL1492:AL1494" si="479">SUBSTITUTE(SUBSTITUTE(SUBSTITUTE("vpa"&amp;$B1492&amp;$C1492&amp;$D1492&amp;$E1492&amp;$F1492,".","_"),"(","_"),")","")</f>
        <v>vpa801_6_2_1</v>
      </c>
      <c r="AM1492" s="311">
        <f>M1492</f>
        <v>4</v>
      </c>
      <c r="AN1492" s="311" t="str">
        <f t="shared" ref="AN1492:AN1494" si="480">SUBSTITUTE(SUBSTITUTE(SUBSTITUTE("vpc"&amp;$B1492&amp;$C1492&amp;$D1492&amp;$E1492&amp;$F1492,".","_"),"(","_"),")","")</f>
        <v>vpc801_6_2_1</v>
      </c>
      <c r="AO1492" s="311">
        <f>O1492</f>
        <v>0</v>
      </c>
      <c r="AP1492" s="311" t="str">
        <f t="shared" ref="AP1492:AP1494" si="481">SUBSTITUTE(SUBSTITUTE(SUBSTITUTE("vch"&amp;$B1492&amp;$C1492&amp;$D1492&amp;$E1492&amp;$F1492,".","_"),"(","_"),")","")</f>
        <v>vch801_6_2_1</v>
      </c>
      <c r="AQ1492" s="311">
        <f>W1492</f>
        <v>0</v>
      </c>
      <c r="AR1492" s="311" t="str">
        <f t="shared" ref="AR1492:AR1494" si="482">SUBSTITUTE(SUBSTITUTE(SUBSTITUTE("vnt"&amp;$B1492&amp;$C1492&amp;$D1492&amp;$E1492&amp;$F1492,".","_"),"(","_"),")","")</f>
        <v>vnt801_6_2_1</v>
      </c>
      <c r="AS1492" s="311">
        <f>X1492</f>
        <v>0</v>
      </c>
      <c r="AT1492" s="848"/>
      <c r="AU1492" s="848"/>
      <c r="AV1492" s="848"/>
      <c r="AW1492" s="848"/>
      <c r="AX1492" s="848"/>
      <c r="AY1492" s="848"/>
      <c r="AZ1492" s="848"/>
      <c r="BA1492" s="848"/>
      <c r="BB1492" s="848"/>
      <c r="BC1492" s="848"/>
      <c r="BD1492" s="848"/>
      <c r="BE1492" s="848"/>
      <c r="BF1492" s="848"/>
      <c r="BG1492" s="848"/>
      <c r="BH1492" s="848"/>
      <c r="BJ1492" s="1184" t="s">
        <v>4763</v>
      </c>
    </row>
    <row r="1493" spans="1:62" x14ac:dyDescent="0.3">
      <c r="A1493" s="1200">
        <v>8</v>
      </c>
      <c r="B1493" s="1210" t="s">
        <v>903</v>
      </c>
      <c r="C1493" s="1203"/>
      <c r="D1493" s="1203"/>
      <c r="E1493" s="1203" t="s">
        <v>273</v>
      </c>
      <c r="F1493" s="1203"/>
      <c r="G1493" s="1202" t="str">
        <f>IF(N1493&gt;0,"P","")</f>
        <v/>
      </c>
      <c r="H1493" s="1200" t="s">
        <v>4388</v>
      </c>
      <c r="I1493" s="66"/>
      <c r="J1493" s="231" t="s">
        <v>273</v>
      </c>
      <c r="K1493" s="238"/>
      <c r="L1493" s="862" t="s">
        <v>906</v>
      </c>
      <c r="M1493" s="857">
        <v>4</v>
      </c>
      <c r="N1493" s="855">
        <f>'Ch8'!O107</f>
        <v>0</v>
      </c>
      <c r="O1493" s="855">
        <f>M1493*S1493*W1493</f>
        <v>0</v>
      </c>
      <c r="P1493" s="97" t="b">
        <v>0</v>
      </c>
      <c r="Q1493" s="848" t="b">
        <v>1</v>
      </c>
      <c r="R1493" s="848" t="b">
        <v>0</v>
      </c>
      <c r="S1493" s="848" t="b">
        <f>NOT(W1505=TRUE)</f>
        <v>1</v>
      </c>
      <c r="T1493" s="97" t="b">
        <f>IF(AND(NOT(S1493),W1493=TRUE),TRUE,FALSE)</f>
        <v>0</v>
      </c>
      <c r="U1493" s="848"/>
      <c r="V1493" s="848"/>
      <c r="W1493" s="25"/>
      <c r="X1493" s="851"/>
      <c r="Y1493" s="889" t="str">
        <f>IF(LEN('Ch8'!X107)=0,"None",'Ch8'!X107)</f>
        <v>None</v>
      </c>
      <c r="Z1493" s="1169"/>
      <c r="AB1493" s="848"/>
      <c r="AC1493" s="848" t="b">
        <f>OR(AD1493:AE1493)</f>
        <v>0</v>
      </c>
      <c r="AD1493" s="848" t="b">
        <f>T1493</f>
        <v>0</v>
      </c>
      <c r="AE1493" s="848" t="b">
        <v>0</v>
      </c>
      <c r="AF1493" s="1182" t="b">
        <f>AND(AE1493,NOT(Q1493))</f>
        <v>0</v>
      </c>
      <c r="AG1493" s="848"/>
      <c r="AH1493" s="848"/>
      <c r="AI1493" s="848"/>
      <c r="AJ1493" s="848"/>
      <c r="AK1493" s="848"/>
      <c r="AL1493" s="311" t="str">
        <f t="shared" si="479"/>
        <v>vpa801_6_2_2</v>
      </c>
      <c r="AM1493" s="311">
        <f>M1493</f>
        <v>4</v>
      </c>
      <c r="AN1493" s="311" t="str">
        <f t="shared" si="480"/>
        <v>vpc801_6_2_2</v>
      </c>
      <c r="AO1493" s="311">
        <f>O1493</f>
        <v>0</v>
      </c>
      <c r="AP1493" s="311" t="str">
        <f t="shared" si="481"/>
        <v>vch801_6_2_2</v>
      </c>
      <c r="AQ1493" s="311">
        <f>W1493</f>
        <v>0</v>
      </c>
      <c r="AR1493" s="311" t="str">
        <f t="shared" si="482"/>
        <v>vnt801_6_2_2</v>
      </c>
      <c r="AS1493" s="311">
        <f>X1493</f>
        <v>0</v>
      </c>
      <c r="AT1493" s="848"/>
      <c r="AU1493" s="848"/>
      <c r="AV1493" s="848"/>
      <c r="AW1493" s="848"/>
      <c r="AX1493" s="848"/>
      <c r="AY1493" s="848"/>
      <c r="AZ1493" s="848"/>
      <c r="BA1493" s="848"/>
      <c r="BB1493" s="848"/>
      <c r="BC1493" s="848"/>
      <c r="BD1493" s="848"/>
      <c r="BE1493" s="848"/>
      <c r="BF1493" s="848"/>
      <c r="BG1493" s="848"/>
      <c r="BH1493" s="848"/>
      <c r="BJ1493" s="1184" t="s">
        <v>4763</v>
      </c>
    </row>
    <row r="1494" spans="1:62" x14ac:dyDescent="0.3">
      <c r="A1494" s="1200">
        <v>8</v>
      </c>
      <c r="B1494" s="1210" t="s">
        <v>903</v>
      </c>
      <c r="C1494" s="1203"/>
      <c r="D1494" s="1203"/>
      <c r="E1494" s="1203" t="s">
        <v>275</v>
      </c>
      <c r="F1494" s="1203"/>
      <c r="G1494" s="1202" t="str">
        <f>IF(N1494&gt;0,"P","")</f>
        <v/>
      </c>
      <c r="H1494" s="1200" t="s">
        <v>4388</v>
      </c>
      <c r="I1494" s="141"/>
      <c r="J1494" s="203" t="s">
        <v>275</v>
      </c>
      <c r="K1494" s="140"/>
      <c r="L1494" s="1305" t="s">
        <v>907</v>
      </c>
      <c r="M1494" s="1318">
        <v>5</v>
      </c>
      <c r="N1494" s="1308">
        <f>'Ch8'!O108</f>
        <v>0</v>
      </c>
      <c r="O1494" s="1308">
        <f>M1494*S1494*W1494</f>
        <v>0</v>
      </c>
      <c r="P1494" s="97" t="b">
        <v>0</v>
      </c>
      <c r="Q1494" s="848" t="b">
        <v>1</v>
      </c>
      <c r="R1494" s="97" t="b">
        <v>0</v>
      </c>
      <c r="S1494" s="97" t="b">
        <f>AND(W1492=TRUE,NOT(W1505=TRUE))</f>
        <v>0</v>
      </c>
      <c r="T1494" s="97" t="b">
        <f>IF(AND(NOT(S1494),W1494=TRUE),TRUE,FALSE)</f>
        <v>0</v>
      </c>
      <c r="U1494" s="97"/>
      <c r="V1494" s="97"/>
      <c r="W1494" s="25"/>
      <c r="X1494" s="1295"/>
      <c r="Y1494" s="1522" t="str">
        <f>IF(LEN('Ch8'!X108)=0,"None",'Ch8'!X108)</f>
        <v>None</v>
      </c>
      <c r="Z1494" s="1586"/>
      <c r="AB1494" s="848"/>
      <c r="AC1494" s="848" t="b">
        <f>OR(AD1494:AE1494)</f>
        <v>0</v>
      </c>
      <c r="AD1494" s="848" t="b">
        <f>T1494</f>
        <v>0</v>
      </c>
      <c r="AE1494" s="848" t="b">
        <v>0</v>
      </c>
      <c r="AF1494" s="1182" t="b">
        <f>AND(AE1494,NOT(Q1494))</f>
        <v>0</v>
      </c>
      <c r="AG1494" s="848"/>
      <c r="AH1494" s="848"/>
      <c r="AI1494" s="848"/>
      <c r="AJ1494" s="848"/>
      <c r="AK1494" s="848"/>
      <c r="AL1494" s="311" t="str">
        <f t="shared" si="479"/>
        <v>vpa801_6_2_3</v>
      </c>
      <c r="AM1494" s="311">
        <f>M1494</f>
        <v>5</v>
      </c>
      <c r="AN1494" s="311" t="str">
        <f t="shared" si="480"/>
        <v>vpc801_6_2_3</v>
      </c>
      <c r="AO1494" s="311">
        <f>O1494</f>
        <v>0</v>
      </c>
      <c r="AP1494" s="311" t="str">
        <f t="shared" si="481"/>
        <v>vch801_6_2_3</v>
      </c>
      <c r="AQ1494" s="311">
        <f>W1494</f>
        <v>0</v>
      </c>
      <c r="AR1494" s="311" t="str">
        <f t="shared" si="482"/>
        <v>vnt801_6_2_3</v>
      </c>
      <c r="AS1494" s="311">
        <f>X1494</f>
        <v>0</v>
      </c>
      <c r="AT1494" s="848"/>
      <c r="AU1494" s="848"/>
      <c r="AV1494" s="848"/>
      <c r="AW1494" s="848"/>
      <c r="AX1494" s="848"/>
      <c r="AY1494" s="848"/>
      <c r="AZ1494" s="848"/>
      <c r="BA1494" s="848"/>
      <c r="BB1494" s="848"/>
      <c r="BC1494" s="848"/>
      <c r="BD1494" s="848"/>
      <c r="BE1494" s="848"/>
      <c r="BF1494" s="848"/>
      <c r="BG1494" s="848"/>
      <c r="BH1494" s="848"/>
      <c r="BJ1494" s="1184" t="s">
        <v>4763</v>
      </c>
    </row>
    <row r="1495" spans="1:62" x14ac:dyDescent="0.3">
      <c r="A1495" s="1200">
        <v>8</v>
      </c>
      <c r="B1495" s="1210" t="s">
        <v>903</v>
      </c>
      <c r="C1495" s="1203"/>
      <c r="D1495" s="1203"/>
      <c r="E1495" s="1203" t="s">
        <v>275</v>
      </c>
      <c r="F1495" s="1203"/>
      <c r="G1495" s="1202" t="str">
        <f t="shared" ref="G1495" si="483">G1494</f>
        <v/>
      </c>
      <c r="H1495" s="1200" t="s">
        <v>4388</v>
      </c>
      <c r="I1495" s="244"/>
      <c r="J1495" s="238"/>
      <c r="K1495" s="238"/>
      <c r="L1495" s="1306"/>
      <c r="M1495" s="1319"/>
      <c r="N1495" s="1309"/>
      <c r="O1495" s="1309"/>
      <c r="P1495" s="196"/>
      <c r="Q1495" s="196"/>
      <c r="R1495" s="196"/>
      <c r="S1495" s="196"/>
      <c r="T1495" s="196"/>
      <c r="U1495" s="196"/>
      <c r="V1495" s="196"/>
      <c r="W1495" s="196"/>
      <c r="X1495" s="1295"/>
      <c r="Y1495" s="1522"/>
      <c r="Z1495" s="1586"/>
      <c r="AB1495" s="848"/>
      <c r="AC1495" s="848"/>
      <c r="AD1495" s="848"/>
      <c r="AE1495" s="848"/>
      <c r="AF1495" s="848"/>
      <c r="AG1495" s="848"/>
      <c r="AH1495" s="848"/>
      <c r="AI1495" s="848"/>
      <c r="AJ1495" s="848"/>
      <c r="AK1495" s="848"/>
      <c r="AL1495" s="848"/>
      <c r="AM1495" s="848"/>
      <c r="AN1495" s="848"/>
      <c r="AO1495" s="848"/>
      <c r="AP1495" s="848"/>
      <c r="AQ1495" s="848"/>
      <c r="AR1495" s="848"/>
      <c r="AS1495" s="848"/>
      <c r="AT1495" s="848"/>
      <c r="AU1495" s="848"/>
      <c r="AV1495" s="848"/>
      <c r="AW1495" s="848"/>
      <c r="AX1495" s="848"/>
      <c r="AY1495" s="848"/>
      <c r="AZ1495" s="848"/>
      <c r="BA1495" s="848"/>
      <c r="BB1495" s="848"/>
      <c r="BC1495" s="848"/>
      <c r="BD1495" s="848"/>
      <c r="BE1495" s="848"/>
      <c r="BF1495" s="848"/>
      <c r="BG1495" s="848"/>
      <c r="BH1495" s="848"/>
      <c r="BJ1495" s="1184" t="s">
        <v>4763</v>
      </c>
    </row>
    <row r="1496" spans="1:62" x14ac:dyDescent="0.3">
      <c r="A1496" s="1200">
        <v>8</v>
      </c>
      <c r="B1496" s="1210" t="s">
        <v>908</v>
      </c>
      <c r="C1496" s="1203"/>
      <c r="D1496" s="1203"/>
      <c r="E1496" s="1203"/>
      <c r="F1496" s="1203"/>
      <c r="G1496" s="1202" t="s">
        <v>4389</v>
      </c>
      <c r="H1496" s="1200" t="s">
        <v>4388</v>
      </c>
      <c r="I1496" s="141" t="s">
        <v>908</v>
      </c>
      <c r="J1496" s="140"/>
      <c r="K1496" s="140"/>
      <c r="L1496" s="1313" t="s">
        <v>909</v>
      </c>
      <c r="M1496" s="1351" t="str">
        <f>IF(R1496,"Mandatory","N/A")</f>
        <v>Mandatory</v>
      </c>
      <c r="N1496" s="854"/>
      <c r="O1496" s="854"/>
      <c r="P1496" s="97" t="b">
        <v>0</v>
      </c>
      <c r="Q1496" s="848" t="b">
        <v>1</v>
      </c>
      <c r="R1496" s="97" t="b">
        <f>NOT(W1505=TRUE)</f>
        <v>1</v>
      </c>
      <c r="S1496" s="97" t="b">
        <f>NOT(W1505=TRUE)</f>
        <v>1</v>
      </c>
      <c r="T1496" s="97" t="b">
        <f>IF(AND(NOT(S1496),LEN(W1496)&gt;0),TRUE,FALSE)</f>
        <v>0</v>
      </c>
      <c r="U1496" s="97" t="str">
        <f>SUBSTITUTE(SUBSTITUTE(SUBSTITUTE("dd"&amp;B1496&amp;C1496&amp;D1496&amp;E1496&amp;F1496,".","_"),"(","_"),")","")</f>
        <v>dd801_6_3</v>
      </c>
      <c r="V1496" s="97"/>
      <c r="W1496" s="12"/>
      <c r="X1496" s="1303"/>
      <c r="Y1496" s="1522" t="str">
        <f>IF(LEN('Ch8'!X110)=0,"None",'Ch8'!X110)</f>
        <v>None</v>
      </c>
      <c r="Z1496" s="1586"/>
      <c r="AB1496" s="848"/>
      <c r="AC1496" s="848" t="b">
        <f>OR(AD1496:AE1496)</f>
        <v>1</v>
      </c>
      <c r="AD1496" s="848" t="b">
        <f>T1496</f>
        <v>0</v>
      </c>
      <c r="AE1496" s="1077" t="b">
        <f>AND(R1496,NOT(W1496="Met"),NOT(W1496="N/A"))</f>
        <v>1</v>
      </c>
      <c r="AF1496" s="1182" t="b">
        <f>AND(AE1496,NOT(Q1496))</f>
        <v>0</v>
      </c>
      <c r="AG1496" s="848"/>
      <c r="AH1496" s="848"/>
      <c r="AI1496" s="848"/>
      <c r="AJ1496" s="848"/>
      <c r="AK1496" s="848"/>
      <c r="AL1496" s="848"/>
      <c r="AM1496" s="848"/>
      <c r="AN1496" s="848"/>
      <c r="AO1496" s="848"/>
      <c r="AP1496" s="311" t="str">
        <f>SUBSTITUTE(SUBSTITUTE(SUBSTITUTE("vch"&amp;$B1496&amp;$C1496&amp;$D1496&amp;$E1496&amp;$F1496,".","_"),"(","_"),")","")</f>
        <v>vch801_6_3</v>
      </c>
      <c r="AQ1496" s="311">
        <f>W1496</f>
        <v>0</v>
      </c>
      <c r="AR1496" s="311" t="str">
        <f>SUBSTITUTE(SUBSTITUTE(SUBSTITUTE("vnt"&amp;$B1496&amp;$C1496&amp;$D1496&amp;$E1496&amp;$F1496,".","_"),"(","_"),")","")</f>
        <v>vnt801_6_3</v>
      </c>
      <c r="AS1496" s="311">
        <f>X1496</f>
        <v>0</v>
      </c>
      <c r="AT1496" s="848"/>
      <c r="AU1496" s="848"/>
      <c r="AV1496" s="848"/>
      <c r="AW1496" s="848"/>
      <c r="AX1496" s="848"/>
      <c r="AY1496" s="848"/>
      <c r="AZ1496" s="848"/>
      <c r="BA1496" s="848"/>
      <c r="BB1496" s="848"/>
      <c r="BC1496" s="848"/>
      <c r="BD1496" s="848"/>
      <c r="BE1496" s="848"/>
      <c r="BF1496" s="848"/>
      <c r="BG1496" s="848"/>
      <c r="BH1496" s="848"/>
      <c r="BJ1496" s="1184" t="s">
        <v>4763</v>
      </c>
    </row>
    <row r="1497" spans="1:62" x14ac:dyDescent="0.3">
      <c r="A1497" s="1200">
        <v>8</v>
      </c>
      <c r="B1497" s="1210" t="s">
        <v>908</v>
      </c>
      <c r="C1497" s="1203"/>
      <c r="D1497" s="1203"/>
      <c r="E1497" s="1203"/>
      <c r="F1497" s="1203"/>
      <c r="G1497" s="1202" t="s">
        <v>4389</v>
      </c>
      <c r="H1497" s="1200" t="s">
        <v>4388</v>
      </c>
      <c r="I1497" s="141"/>
      <c r="J1497" s="140"/>
      <c r="K1497" s="140"/>
      <c r="L1497" s="1313"/>
      <c r="M1497" s="1351"/>
      <c r="N1497" s="854"/>
      <c r="O1497" s="854"/>
      <c r="P1497" s="97"/>
      <c r="Q1497" s="97"/>
      <c r="R1497" s="97"/>
      <c r="S1497" s="97"/>
      <c r="T1497" s="97"/>
      <c r="U1497" s="97"/>
      <c r="V1497" s="97"/>
      <c r="W1497" s="97"/>
      <c r="X1497" s="1303"/>
      <c r="Y1497" s="1522"/>
      <c r="Z1497" s="1586"/>
      <c r="AB1497" s="848"/>
      <c r="AC1497" s="848"/>
      <c r="AD1497" s="848"/>
      <c r="AE1497" s="848"/>
      <c r="AF1497" s="848"/>
      <c r="AG1497" s="848"/>
      <c r="AH1497" s="848"/>
      <c r="AI1497" s="848"/>
      <c r="AJ1497" s="848"/>
      <c r="AK1497" s="848"/>
      <c r="AL1497" s="848"/>
      <c r="AM1497" s="848"/>
      <c r="AN1497" s="848"/>
      <c r="AO1497" s="848"/>
      <c r="AP1497" s="848"/>
      <c r="AQ1497" s="848"/>
      <c r="AR1497" s="848"/>
      <c r="AS1497" s="848"/>
      <c r="AT1497" s="848"/>
      <c r="AU1497" s="848"/>
      <c r="AV1497" s="848"/>
      <c r="AW1497" s="848"/>
      <c r="AX1497" s="848"/>
      <c r="AY1497" s="848"/>
      <c r="AZ1497" s="848"/>
      <c r="BA1497" s="848"/>
      <c r="BB1497" s="848"/>
      <c r="BC1497" s="848"/>
      <c r="BD1497" s="848"/>
      <c r="BE1497" s="848"/>
      <c r="BF1497" s="848"/>
      <c r="BG1497" s="848"/>
      <c r="BH1497" s="848"/>
      <c r="BJ1497" s="1184" t="s">
        <v>4763</v>
      </c>
    </row>
    <row r="1498" spans="1:62" x14ac:dyDescent="0.3">
      <c r="A1498" s="1200">
        <v>8</v>
      </c>
      <c r="B1498" s="1210" t="s">
        <v>908</v>
      </c>
      <c r="C1498" s="1203"/>
      <c r="D1498" s="1203"/>
      <c r="E1498" s="1203"/>
      <c r="F1498" s="1203"/>
      <c r="G1498" s="1202" t="s">
        <v>4389</v>
      </c>
      <c r="H1498" s="1200" t="s">
        <v>4388</v>
      </c>
      <c r="I1498" s="244"/>
      <c r="J1498" s="238"/>
      <c r="K1498" s="238"/>
      <c r="L1498" s="1350"/>
      <c r="M1498" s="1352"/>
      <c r="N1498" s="855"/>
      <c r="O1498" s="855"/>
      <c r="P1498" s="196"/>
      <c r="Q1498" s="196"/>
      <c r="R1498" s="196"/>
      <c r="S1498" s="196"/>
      <c r="T1498" s="196"/>
      <c r="U1498" s="196"/>
      <c r="V1498" s="196"/>
      <c r="W1498" s="636"/>
      <c r="X1498" s="1303"/>
      <c r="Y1498" s="1522"/>
      <c r="Z1498" s="1586"/>
      <c r="AB1498" s="848"/>
      <c r="AC1498" s="848"/>
      <c r="AD1498" s="848"/>
      <c r="AE1498" s="848"/>
      <c r="AF1498" s="848"/>
      <c r="AG1498" s="848"/>
      <c r="AH1498" s="848"/>
      <c r="AI1498" s="848"/>
      <c r="AJ1498" s="848"/>
      <c r="AK1498" s="848"/>
      <c r="AL1498" s="848"/>
      <c r="AM1498" s="848"/>
      <c r="AN1498" s="848"/>
      <c r="AO1498" s="848"/>
      <c r="AP1498" s="848"/>
      <c r="AQ1498" s="848"/>
      <c r="AR1498" s="848"/>
      <c r="AS1498" s="848"/>
      <c r="AT1498" s="848"/>
      <c r="AU1498" s="848"/>
      <c r="AV1498" s="848"/>
      <c r="AW1498" s="848"/>
      <c r="AX1498" s="848"/>
      <c r="AY1498" s="848"/>
      <c r="AZ1498" s="848"/>
      <c r="BA1498" s="848"/>
      <c r="BB1498" s="848"/>
      <c r="BC1498" s="848"/>
      <c r="BD1498" s="848"/>
      <c r="BE1498" s="848"/>
      <c r="BF1498" s="848"/>
      <c r="BG1498" s="848"/>
      <c r="BH1498" s="848"/>
      <c r="BJ1498" s="1184" t="s">
        <v>4763</v>
      </c>
    </row>
    <row r="1499" spans="1:62" x14ac:dyDescent="0.3">
      <c r="A1499" s="1200">
        <v>8</v>
      </c>
      <c r="B1499" s="1210" t="s">
        <v>910</v>
      </c>
      <c r="C1499" s="1203"/>
      <c r="D1499" s="1203"/>
      <c r="E1499" s="1203"/>
      <c r="F1499" s="1203"/>
      <c r="G1499" s="1196" t="str">
        <f ca="1">IF(COUNTIF(G1502:G1505,"P")&gt;0,"P","")</f>
        <v>P</v>
      </c>
      <c r="H1499" s="1200" t="s">
        <v>4388</v>
      </c>
      <c r="I1499" s="66" t="s">
        <v>910</v>
      </c>
      <c r="J1499" s="4"/>
      <c r="K1499" s="4"/>
      <c r="L1499" s="1389" t="s">
        <v>911</v>
      </c>
      <c r="M1499" s="866"/>
      <c r="N1499" s="850"/>
      <c r="O1499" s="850"/>
      <c r="P1499" s="848"/>
      <c r="Q1499" s="848"/>
      <c r="R1499" s="848"/>
      <c r="S1499" s="848"/>
      <c r="T1499" s="848"/>
      <c r="U1499" s="848"/>
      <c r="V1499" s="848"/>
      <c r="W1499" s="848"/>
      <c r="X1499" s="848"/>
      <c r="Y1499" s="848"/>
      <c r="Z1499" s="1055"/>
      <c r="AB1499" s="848"/>
      <c r="AC1499" s="848"/>
      <c r="AD1499" s="848"/>
      <c r="AE1499" s="848"/>
      <c r="AF1499" s="848"/>
      <c r="AG1499" s="848"/>
      <c r="AH1499" s="848"/>
      <c r="AI1499" s="848"/>
      <c r="AJ1499" s="848"/>
      <c r="AK1499" s="848"/>
      <c r="AL1499" s="848"/>
      <c r="AM1499" s="848"/>
      <c r="AN1499" s="848"/>
      <c r="AO1499" s="848"/>
      <c r="AP1499" s="848"/>
      <c r="AQ1499" s="848"/>
      <c r="AR1499" s="848"/>
      <c r="AS1499" s="848"/>
      <c r="AT1499" s="848"/>
      <c r="AU1499" s="848"/>
      <c r="AV1499" s="848"/>
      <c r="AW1499" s="848"/>
      <c r="AX1499" s="848"/>
      <c r="AY1499" s="848"/>
      <c r="AZ1499" s="848"/>
      <c r="BA1499" s="848"/>
      <c r="BB1499" s="848"/>
      <c r="BC1499" s="848"/>
      <c r="BD1499" s="848"/>
      <c r="BE1499" s="848"/>
      <c r="BF1499" s="848"/>
      <c r="BG1499" s="848"/>
      <c r="BH1499" s="848"/>
      <c r="BJ1499" s="1184" t="s">
        <v>4763</v>
      </c>
    </row>
    <row r="1500" spans="1:62" x14ac:dyDescent="0.3">
      <c r="A1500" s="1200">
        <v>8</v>
      </c>
      <c r="B1500" s="1210" t="s">
        <v>910</v>
      </c>
      <c r="C1500" s="1203"/>
      <c r="D1500" s="1203"/>
      <c r="E1500" s="1203"/>
      <c r="F1500" s="1203"/>
      <c r="G1500" s="1202" t="str">
        <f t="shared" ref="G1500:G1501" ca="1" si="484">G1499</f>
        <v>P</v>
      </c>
      <c r="H1500" s="1200" t="s">
        <v>4388</v>
      </c>
      <c r="I1500" s="66"/>
      <c r="J1500" s="4"/>
      <c r="K1500" s="4"/>
      <c r="L1500" s="1389"/>
      <c r="M1500" s="866"/>
      <c r="N1500" s="850"/>
      <c r="O1500" s="850"/>
      <c r="P1500" s="848"/>
      <c r="Q1500" s="848"/>
      <c r="R1500" s="848"/>
      <c r="S1500" s="848"/>
      <c r="T1500" s="848"/>
      <c r="U1500" s="848"/>
      <c r="V1500" s="848"/>
      <c r="W1500" s="848"/>
      <c r="X1500" s="848"/>
      <c r="Y1500" s="848"/>
      <c r="Z1500" s="1055"/>
      <c r="AB1500" s="848"/>
      <c r="AC1500" s="848"/>
      <c r="AD1500" s="848"/>
      <c r="AE1500" s="848"/>
      <c r="AF1500" s="848"/>
      <c r="AG1500" s="848"/>
      <c r="AH1500" s="848"/>
      <c r="AI1500" s="848"/>
      <c r="AJ1500" s="848"/>
      <c r="AK1500" s="848"/>
      <c r="AL1500" s="848"/>
      <c r="AM1500" s="848"/>
      <c r="AN1500" s="848"/>
      <c r="AO1500" s="848"/>
      <c r="AP1500" s="848"/>
      <c r="AQ1500" s="848"/>
      <c r="AR1500" s="848"/>
      <c r="AS1500" s="848"/>
      <c r="AT1500" s="848"/>
      <c r="AU1500" s="848"/>
      <c r="AV1500" s="848"/>
      <c r="AW1500" s="848"/>
      <c r="AX1500" s="848"/>
      <c r="AY1500" s="848"/>
      <c r="AZ1500" s="848"/>
      <c r="BA1500" s="848"/>
      <c r="BB1500" s="848"/>
      <c r="BC1500" s="848"/>
      <c r="BD1500" s="848"/>
      <c r="BE1500" s="848"/>
      <c r="BF1500" s="848"/>
      <c r="BG1500" s="848"/>
      <c r="BH1500" s="848"/>
      <c r="BJ1500" s="1184" t="s">
        <v>4763</v>
      </c>
    </row>
    <row r="1501" spans="1:62" x14ac:dyDescent="0.3">
      <c r="A1501" s="1200">
        <v>8</v>
      </c>
      <c r="B1501" s="1210" t="s">
        <v>910</v>
      </c>
      <c r="C1501" s="1203"/>
      <c r="D1501" s="1203"/>
      <c r="E1501" s="1203"/>
      <c r="F1501" s="1203"/>
      <c r="G1501" s="1202" t="str">
        <f t="shared" ca="1" si="484"/>
        <v>P</v>
      </c>
      <c r="H1501" s="1200" t="s">
        <v>4388</v>
      </c>
      <c r="I1501" s="66"/>
      <c r="J1501" s="4"/>
      <c r="K1501" s="4"/>
      <c r="L1501" s="870" t="s">
        <v>912</v>
      </c>
      <c r="M1501" s="866"/>
      <c r="N1501" s="850"/>
      <c r="O1501" s="850"/>
      <c r="P1501" s="848"/>
      <c r="Q1501" s="848"/>
      <c r="R1501" s="848"/>
      <c r="S1501" s="848"/>
      <c r="T1501" s="848"/>
      <c r="U1501" s="848"/>
      <c r="V1501" s="848"/>
      <c r="W1501" s="848"/>
      <c r="X1501" s="848"/>
      <c r="Y1501" s="848"/>
      <c r="Z1501" s="1055"/>
      <c r="AB1501" s="848"/>
      <c r="AC1501" s="848"/>
      <c r="AD1501" s="848"/>
      <c r="AE1501" s="848"/>
      <c r="AF1501" s="848"/>
      <c r="AG1501" s="848"/>
      <c r="AH1501" s="848"/>
      <c r="AI1501" s="848"/>
      <c r="AJ1501" s="848"/>
      <c r="AK1501" s="848"/>
      <c r="AL1501" s="848"/>
      <c r="AM1501" s="848"/>
      <c r="AN1501" s="848"/>
      <c r="AO1501" s="848"/>
      <c r="AP1501" s="848"/>
      <c r="AQ1501" s="848"/>
      <c r="AR1501" s="848"/>
      <c r="AS1501" s="848"/>
      <c r="AT1501" s="848"/>
      <c r="AU1501" s="848"/>
      <c r="AV1501" s="848"/>
      <c r="AW1501" s="848"/>
      <c r="AX1501" s="848"/>
      <c r="AY1501" s="848"/>
      <c r="AZ1501" s="848"/>
      <c r="BA1501" s="848"/>
      <c r="BB1501" s="848"/>
      <c r="BC1501" s="848"/>
      <c r="BD1501" s="848"/>
      <c r="BE1501" s="848"/>
      <c r="BF1501" s="848"/>
      <c r="BG1501" s="848"/>
      <c r="BH1501" s="848"/>
      <c r="BJ1501" s="1184" t="s">
        <v>4763</v>
      </c>
    </row>
    <row r="1502" spans="1:62" x14ac:dyDescent="0.3">
      <c r="A1502" s="1200">
        <v>8</v>
      </c>
      <c r="B1502" s="1210" t="s">
        <v>910</v>
      </c>
      <c r="C1502" s="1203"/>
      <c r="D1502" s="1203"/>
      <c r="E1502" s="1203" t="s">
        <v>271</v>
      </c>
      <c r="F1502" s="1203"/>
      <c r="G1502" s="1202" t="str">
        <f>IF(N1502&gt;0,"P","")</f>
        <v/>
      </c>
      <c r="H1502" s="1200" t="s">
        <v>4388</v>
      </c>
      <c r="I1502" s="66"/>
      <c r="J1502" s="203" t="s">
        <v>271</v>
      </c>
      <c r="K1502" s="140"/>
      <c r="L1502" s="1305" t="s">
        <v>913</v>
      </c>
      <c r="M1502" s="1318">
        <v>8</v>
      </c>
      <c r="N1502" s="1308">
        <f>'Ch8'!O116</f>
        <v>0</v>
      </c>
      <c r="O1502" s="1308">
        <f>MAX(M1502*S1502*W1502,M1504*S1504*W1504)</f>
        <v>0</v>
      </c>
      <c r="P1502" s="97" t="b">
        <v>0</v>
      </c>
      <c r="Q1502" s="848" t="b">
        <v>1</v>
      </c>
      <c r="R1502" s="848" t="b">
        <v>0</v>
      </c>
      <c r="S1502" s="848" t="b">
        <f>NOT(W1505=TRUE)</f>
        <v>1</v>
      </c>
      <c r="T1502" s="97" t="b">
        <f>IF(AND(NOT(S1502),W1502=TRUE),TRUE,FALSE)</f>
        <v>0</v>
      </c>
      <c r="U1502" s="848"/>
      <c r="V1502" s="848"/>
      <c r="W1502" s="25"/>
      <c r="X1502" s="1303"/>
      <c r="Y1502" s="1522" t="str">
        <f>IF(LEN('Ch8'!X116)=0,"None",'Ch8'!X116)</f>
        <v>None</v>
      </c>
      <c r="Z1502" s="1586"/>
      <c r="AB1502" s="848"/>
      <c r="AC1502" s="848" t="b">
        <f>OR(AD1502:AE1502)</f>
        <v>0</v>
      </c>
      <c r="AD1502" s="848" t="b">
        <f>T1502</f>
        <v>0</v>
      </c>
      <c r="AE1502" s="848" t="b">
        <v>0</v>
      </c>
      <c r="AF1502" s="1182" t="b">
        <f>AND(AE1502,NOT(Q1502))</f>
        <v>0</v>
      </c>
      <c r="AG1502" s="848"/>
      <c r="AH1502" s="848"/>
      <c r="AI1502" s="848"/>
      <c r="AJ1502" s="848"/>
      <c r="AK1502" s="848"/>
      <c r="AL1502" s="311" t="str">
        <f t="shared" ref="AL1502" si="485">SUBSTITUTE(SUBSTITUTE(SUBSTITUTE("vpa"&amp;$B1502&amp;$C1502&amp;$D1502&amp;$E1502&amp;$F1502,".","_"),"(","_"),")","")</f>
        <v>vpa801_6_4_1</v>
      </c>
      <c r="AM1502" s="311">
        <f>M1502</f>
        <v>8</v>
      </c>
      <c r="AN1502" s="311" t="str">
        <f>SUBSTITUTE(SUBSTITUTE(SUBSTITUTE("vpc"&amp;$B1502&amp;$C1502&amp;$D1502&amp;$E1502&amp;$F1502,".","_"),"(","_"),")","")</f>
        <v>vpc801_6_4_1</v>
      </c>
      <c r="AO1502" s="311">
        <f>O1502</f>
        <v>0</v>
      </c>
      <c r="AP1502" s="311" t="str">
        <f>SUBSTITUTE(SUBSTITUTE(SUBSTITUTE("vch"&amp;$B1502&amp;$C1502&amp;$D1502&amp;$E1502&amp;$F1502,".","_"),"(","_"),")","")</f>
        <v>vch801_6_4_1</v>
      </c>
      <c r="AQ1502" s="311">
        <f>W1502</f>
        <v>0</v>
      </c>
      <c r="AR1502" s="311" t="str">
        <f>SUBSTITUTE(SUBSTITUTE(SUBSTITUTE("vnt"&amp;$B1502&amp;$C1502&amp;$D1502&amp;$E1502&amp;$F1502,".","_"),"(","_"),")","")</f>
        <v>vnt801_6_4_1</v>
      </c>
      <c r="AS1502" s="311">
        <f>X1502</f>
        <v>0</v>
      </c>
      <c r="AT1502" s="848"/>
      <c r="AU1502" s="848"/>
      <c r="AV1502" s="848"/>
      <c r="AW1502" s="848"/>
      <c r="AX1502" s="848"/>
      <c r="AY1502" s="848"/>
      <c r="AZ1502" s="848"/>
      <c r="BA1502" s="848"/>
      <c r="BB1502" s="848"/>
      <c r="BC1502" s="848"/>
      <c r="BD1502" s="848"/>
      <c r="BE1502" s="848"/>
      <c r="BF1502" s="848"/>
      <c r="BG1502" s="848"/>
      <c r="BH1502" s="848"/>
      <c r="BJ1502" s="1184" t="s">
        <v>4763</v>
      </c>
    </row>
    <row r="1503" spans="1:62" x14ac:dyDescent="0.3">
      <c r="A1503" s="1200">
        <v>8</v>
      </c>
      <c r="B1503" s="1210" t="s">
        <v>910</v>
      </c>
      <c r="C1503" s="1203"/>
      <c r="D1503" s="1203"/>
      <c r="E1503" s="1203" t="s">
        <v>271</v>
      </c>
      <c r="F1503" s="1203"/>
      <c r="G1503" s="1202" t="str">
        <f t="shared" ref="G1503:G1504" si="486">G1502</f>
        <v/>
      </c>
      <c r="H1503" s="1200" t="s">
        <v>4388</v>
      </c>
      <c r="I1503" s="66"/>
      <c r="J1503" s="238"/>
      <c r="K1503" s="238"/>
      <c r="L1503" s="1306"/>
      <c r="M1503" s="1319"/>
      <c r="N1503" s="1308"/>
      <c r="O1503" s="1308"/>
      <c r="P1503" s="848"/>
      <c r="Q1503" s="848"/>
      <c r="R1503" s="848"/>
      <c r="S1503" s="848"/>
      <c r="T1503" s="848"/>
      <c r="U1503" s="848"/>
      <c r="V1503" s="848"/>
      <c r="W1503" s="848"/>
      <c r="X1503" s="1303"/>
      <c r="Y1503" s="1522"/>
      <c r="Z1503" s="1586"/>
      <c r="AB1503" s="848"/>
      <c r="AC1503" s="848"/>
      <c r="AD1503" s="848"/>
      <c r="AE1503" s="848"/>
      <c r="AF1503" s="848"/>
      <c r="AG1503" s="848"/>
      <c r="AH1503" s="848"/>
      <c r="AI1503" s="848"/>
      <c r="AJ1503" s="848"/>
      <c r="AK1503" s="848"/>
      <c r="AL1503" s="848"/>
      <c r="AM1503" s="848"/>
      <c r="AN1503" s="848"/>
      <c r="AO1503" s="848"/>
      <c r="AP1503" s="848"/>
      <c r="AQ1503" s="848"/>
      <c r="AR1503" s="848"/>
      <c r="AS1503" s="848"/>
      <c r="AT1503" s="848"/>
      <c r="AU1503" s="848"/>
      <c r="AV1503" s="848"/>
      <c r="AW1503" s="848"/>
      <c r="AX1503" s="848"/>
      <c r="AY1503" s="848"/>
      <c r="AZ1503" s="848"/>
      <c r="BA1503" s="848"/>
      <c r="BB1503" s="848"/>
      <c r="BC1503" s="848"/>
      <c r="BD1503" s="848"/>
      <c r="BE1503" s="848"/>
      <c r="BF1503" s="848"/>
      <c r="BG1503" s="848"/>
      <c r="BH1503" s="848"/>
      <c r="BJ1503" s="1184" t="s">
        <v>4763</v>
      </c>
    </row>
    <row r="1504" spans="1:62" x14ac:dyDescent="0.3">
      <c r="A1504" s="1200">
        <v>8</v>
      </c>
      <c r="B1504" s="1210" t="s">
        <v>910</v>
      </c>
      <c r="C1504" s="1203"/>
      <c r="D1504" s="1203"/>
      <c r="E1504" s="1203" t="s">
        <v>273</v>
      </c>
      <c r="F1504" s="1203"/>
      <c r="G1504" s="1202" t="str">
        <f t="shared" si="486"/>
        <v/>
      </c>
      <c r="H1504" s="1200" t="s">
        <v>4388</v>
      </c>
      <c r="I1504" s="66"/>
      <c r="J1504" s="231" t="s">
        <v>273</v>
      </c>
      <c r="K1504" s="238"/>
      <c r="L1504" s="862" t="s">
        <v>914</v>
      </c>
      <c r="M1504" s="857">
        <v>10</v>
      </c>
      <c r="N1504" s="1309"/>
      <c r="O1504" s="1309"/>
      <c r="P1504" s="97" t="b">
        <v>0</v>
      </c>
      <c r="Q1504" s="848" t="b">
        <v>1</v>
      </c>
      <c r="R1504" s="848" t="b">
        <v>0</v>
      </c>
      <c r="S1504" s="848" t="b">
        <f>NOT(W1505=TRUE)</f>
        <v>1</v>
      </c>
      <c r="T1504" s="97" t="b">
        <f>IF(AND(NOT(S1504),W1504=TRUE),TRUE,FALSE)</f>
        <v>0</v>
      </c>
      <c r="U1504" s="848"/>
      <c r="V1504" s="848"/>
      <c r="W1504" s="25"/>
      <c r="X1504" s="851"/>
      <c r="Y1504" s="889" t="str">
        <f>IF(LEN('Ch8'!X118)=0,"None",'Ch8'!X118)</f>
        <v>None</v>
      </c>
      <c r="Z1504" s="1169"/>
      <c r="AB1504" s="848"/>
      <c r="AC1504" s="848" t="b">
        <f>OR(AD1504:AE1504)</f>
        <v>0</v>
      </c>
      <c r="AD1504" s="848" t="b">
        <f>T1504</f>
        <v>0</v>
      </c>
      <c r="AE1504" s="848" t="b">
        <v>0</v>
      </c>
      <c r="AF1504" s="1182" t="b">
        <f>AND(AE1504,NOT(Q1504))</f>
        <v>0</v>
      </c>
      <c r="AG1504" s="848"/>
      <c r="AH1504" s="848"/>
      <c r="AI1504" s="848"/>
      <c r="AJ1504" s="848"/>
      <c r="AK1504" s="848"/>
      <c r="AL1504" s="311" t="str">
        <f t="shared" ref="AL1504:AL1505" si="487">SUBSTITUTE(SUBSTITUTE(SUBSTITUTE("vpa"&amp;$B1504&amp;$C1504&amp;$D1504&amp;$E1504&amp;$F1504,".","_"),"(","_"),")","")</f>
        <v>vpa801_6_4_2</v>
      </c>
      <c r="AM1504" s="311">
        <f>M1504</f>
        <v>10</v>
      </c>
      <c r="AN1504" s="848"/>
      <c r="AO1504" s="848"/>
      <c r="AP1504" s="311" t="str">
        <f t="shared" ref="AP1504:AP1505" si="488">SUBSTITUTE(SUBSTITUTE(SUBSTITUTE("vch"&amp;$B1504&amp;$C1504&amp;$D1504&amp;$E1504&amp;$F1504,".","_"),"(","_"),")","")</f>
        <v>vch801_6_4_2</v>
      </c>
      <c r="AQ1504" s="311">
        <f>W1504</f>
        <v>0</v>
      </c>
      <c r="AR1504" s="311" t="str">
        <f t="shared" ref="AR1504:AR1505" si="489">SUBSTITUTE(SUBSTITUTE(SUBSTITUTE("vnt"&amp;$B1504&amp;$C1504&amp;$D1504&amp;$E1504&amp;$F1504,".","_"),"(","_"),")","")</f>
        <v>vnt801_6_4_2</v>
      </c>
      <c r="AS1504" s="311">
        <f>X1504</f>
        <v>0</v>
      </c>
      <c r="AT1504" s="848"/>
      <c r="AU1504" s="848"/>
      <c r="AV1504" s="848"/>
      <c r="AW1504" s="848"/>
      <c r="AX1504" s="848"/>
      <c r="AY1504" s="848"/>
      <c r="AZ1504" s="848"/>
      <c r="BA1504" s="848"/>
      <c r="BB1504" s="848"/>
      <c r="BC1504" s="848"/>
      <c r="BD1504" s="848"/>
      <c r="BE1504" s="848"/>
      <c r="BF1504" s="848"/>
      <c r="BG1504" s="848"/>
      <c r="BH1504" s="848"/>
      <c r="BJ1504" s="1184" t="s">
        <v>4763</v>
      </c>
    </row>
    <row r="1505" spans="1:62" x14ac:dyDescent="0.3">
      <c r="A1505" s="1200">
        <v>8</v>
      </c>
      <c r="B1505" s="1210" t="s">
        <v>910</v>
      </c>
      <c r="C1505" s="1203"/>
      <c r="D1505" s="1203"/>
      <c r="E1505" s="1203" t="s">
        <v>275</v>
      </c>
      <c r="F1505" s="1203"/>
      <c r="G1505" s="1202" t="str">
        <f ca="1">IF(N1505&gt;0,"P","")</f>
        <v>P</v>
      </c>
      <c r="H1505" s="1200" t="s">
        <v>4388</v>
      </c>
      <c r="I1505" s="141"/>
      <c r="J1505" s="203" t="s">
        <v>275</v>
      </c>
      <c r="K1505" s="140"/>
      <c r="L1505" s="1305" t="s">
        <v>915</v>
      </c>
      <c r="M1505" s="1318">
        <v>15</v>
      </c>
      <c r="N1505" s="1308">
        <f ca="1">'Ch8'!O119</f>
        <v>15</v>
      </c>
      <c r="O1505" s="1308">
        <f ca="1">M1505*S1505*W1505</f>
        <v>0</v>
      </c>
      <c r="P1505" s="97" t="b">
        <v>0</v>
      </c>
      <c r="Q1505" s="848" t="b">
        <v>1</v>
      </c>
      <c r="R1505" s="97" t="b">
        <v>0</v>
      </c>
      <c r="S1505" s="97" t="b">
        <f ca="1">AND(NOT(W1488=TRUE),NOT(W1492=TRUE),NOT(W1493=TRUE),NOT(W1494=TRUE),NOT(W1496=TRUE),NOT(W1502=TRUE),NOT(W1504=TRUE),NOT(W1509=TRUE),S1507)</f>
        <v>0</v>
      </c>
      <c r="T1505" s="97" t="b">
        <f ca="1">IF(AND(NOT(S1505),W1505=TRUE),TRUE,FALSE)</f>
        <v>0</v>
      </c>
      <c r="U1505" s="97"/>
      <c r="V1505" s="97"/>
      <c r="W1505" s="25"/>
      <c r="X1505" s="1295"/>
      <c r="Y1505" s="1522" t="str">
        <f>IF(LEN('Ch8'!X119)=0,"None",'Ch8'!X119)</f>
        <v>None</v>
      </c>
      <c r="Z1505" s="1586"/>
      <c r="AB1505" s="848"/>
      <c r="AC1505" s="848" t="b">
        <f ca="1">OR(AD1505:AE1505)</f>
        <v>0</v>
      </c>
      <c r="AD1505" s="848" t="b">
        <f ca="1">T1505</f>
        <v>0</v>
      </c>
      <c r="AE1505" s="848" t="b">
        <v>0</v>
      </c>
      <c r="AF1505" s="1182" t="b">
        <f>AND(AE1505,NOT(Q1505))</f>
        <v>0</v>
      </c>
      <c r="AG1505" s="848"/>
      <c r="AH1505" s="848"/>
      <c r="AI1505" s="848"/>
      <c r="AJ1505" s="848"/>
      <c r="AK1505" s="848"/>
      <c r="AL1505" s="311" t="str">
        <f t="shared" si="487"/>
        <v>vpa801_6_4_3</v>
      </c>
      <c r="AM1505" s="311">
        <f>M1505</f>
        <v>15</v>
      </c>
      <c r="AN1505" s="311" t="str">
        <f>SUBSTITUTE(SUBSTITUTE(SUBSTITUTE("vpc"&amp;$B1505&amp;$C1505&amp;$D1505&amp;$E1505&amp;$F1505,".","_"),"(","_"),")","")</f>
        <v>vpc801_6_4_3</v>
      </c>
      <c r="AO1505" s="311">
        <f ca="1">O1505</f>
        <v>0</v>
      </c>
      <c r="AP1505" s="311" t="str">
        <f t="shared" si="488"/>
        <v>vch801_6_4_3</v>
      </c>
      <c r="AQ1505" s="311">
        <f>W1505</f>
        <v>0</v>
      </c>
      <c r="AR1505" s="311" t="str">
        <f t="shared" si="489"/>
        <v>vnt801_6_4_3</v>
      </c>
      <c r="AS1505" s="311">
        <f>X1505</f>
        <v>0</v>
      </c>
      <c r="AT1505" s="848"/>
      <c r="AU1505" s="848"/>
      <c r="AV1505" s="848"/>
      <c r="AW1505" s="848"/>
      <c r="AX1505" s="848"/>
      <c r="AY1505" s="848"/>
      <c r="AZ1505" s="848"/>
      <c r="BA1505" s="848"/>
      <c r="BB1505" s="848"/>
      <c r="BC1505" s="848"/>
      <c r="BD1505" s="848"/>
      <c r="BE1505" s="848"/>
      <c r="BF1505" s="848"/>
      <c r="BG1505" s="848"/>
      <c r="BH1505" s="848"/>
      <c r="BJ1505" s="1184" t="s">
        <v>4763</v>
      </c>
    </row>
    <row r="1506" spans="1:62" x14ac:dyDescent="0.3">
      <c r="A1506" s="1200">
        <v>8</v>
      </c>
      <c r="B1506" s="1210" t="s">
        <v>910</v>
      </c>
      <c r="C1506" s="1203"/>
      <c r="D1506" s="1203"/>
      <c r="E1506" s="1203" t="s">
        <v>275</v>
      </c>
      <c r="F1506" s="1203"/>
      <c r="G1506" s="1202" t="str">
        <f t="shared" ref="G1506:G1508" ca="1" si="490">G1505</f>
        <v>P</v>
      </c>
      <c r="H1506" s="1200" t="s">
        <v>4388</v>
      </c>
      <c r="I1506" s="141"/>
      <c r="J1506" s="140"/>
      <c r="K1506" s="140"/>
      <c r="L1506" s="1305"/>
      <c r="M1506" s="1318"/>
      <c r="N1506" s="1308"/>
      <c r="O1506" s="1308"/>
      <c r="P1506" s="97"/>
      <c r="Q1506" s="97"/>
      <c r="R1506" s="97"/>
      <c r="S1506" s="97"/>
      <c r="T1506" s="97"/>
      <c r="U1506" s="97"/>
      <c r="V1506" s="97"/>
      <c r="W1506" s="97"/>
      <c r="X1506" s="1295"/>
      <c r="Y1506" s="1522"/>
      <c r="Z1506" s="1586"/>
      <c r="AB1506" s="848"/>
      <c r="AC1506" s="848"/>
      <c r="AD1506" s="848"/>
      <c r="AE1506" s="848"/>
      <c r="AF1506" s="848"/>
      <c r="AG1506" s="848"/>
      <c r="AH1506" s="848"/>
      <c r="AI1506" s="848"/>
      <c r="AJ1506" s="848"/>
      <c r="AK1506" s="848"/>
      <c r="AL1506" s="848"/>
      <c r="AM1506" s="848"/>
      <c r="AN1506" s="848"/>
      <c r="AO1506" s="848"/>
      <c r="AP1506" s="848"/>
      <c r="AQ1506" s="848"/>
      <c r="AR1506" s="848"/>
      <c r="AS1506" s="848"/>
      <c r="AT1506" s="848"/>
      <c r="AU1506" s="848"/>
      <c r="AV1506" s="848"/>
      <c r="AW1506" s="848"/>
      <c r="AX1506" s="848"/>
      <c r="AY1506" s="848"/>
      <c r="AZ1506" s="848"/>
      <c r="BA1506" s="848"/>
      <c r="BB1506" s="848"/>
      <c r="BC1506" s="848"/>
      <c r="BD1506" s="848"/>
      <c r="BE1506" s="848"/>
      <c r="BF1506" s="848"/>
      <c r="BG1506" s="848"/>
      <c r="BH1506" s="848"/>
      <c r="BJ1506" s="1184" t="s">
        <v>4763</v>
      </c>
    </row>
    <row r="1507" spans="1:62" x14ac:dyDescent="0.3">
      <c r="A1507" s="1200">
        <v>8</v>
      </c>
      <c r="B1507" s="1210" t="s">
        <v>910</v>
      </c>
      <c r="C1507" s="1203"/>
      <c r="D1507" s="1203"/>
      <c r="E1507" s="1203" t="s">
        <v>275</v>
      </c>
      <c r="F1507" s="1203"/>
      <c r="G1507" s="1202" t="str">
        <f t="shared" ca="1" si="490"/>
        <v>P</v>
      </c>
      <c r="H1507" s="1200" t="s">
        <v>4388</v>
      </c>
      <c r="I1507" s="141"/>
      <c r="J1507" s="140"/>
      <c r="K1507" s="140"/>
      <c r="L1507" s="1394" t="s">
        <v>3851</v>
      </c>
      <c r="M1507" s="856"/>
      <c r="N1507" s="854"/>
      <c r="O1507" s="854"/>
      <c r="P1507" s="97"/>
      <c r="Q1507" s="97"/>
      <c r="R1507" s="97"/>
      <c r="S1507" s="221" t="b">
        <f ca="1">IFERROR(AND(MATCH(W120,INDIRECT(U120),0)=3,SUM(O122:O139)&gt;=5),FALSE)</f>
        <v>0</v>
      </c>
      <c r="T1507" s="97"/>
      <c r="U1507" s="97"/>
      <c r="V1507" s="97"/>
      <c r="W1507" s="97"/>
      <c r="X1507" s="1295"/>
      <c r="Y1507" s="1522"/>
      <c r="Z1507" s="1586"/>
      <c r="AB1507" s="848"/>
      <c r="AC1507" s="848"/>
      <c r="AD1507" s="848"/>
      <c r="AE1507" s="848"/>
      <c r="AF1507" s="848"/>
      <c r="AG1507" s="848"/>
      <c r="AH1507" s="848"/>
      <c r="AI1507" s="848"/>
      <c r="AJ1507" s="848"/>
      <c r="AK1507" s="848"/>
      <c r="AL1507" s="848"/>
      <c r="AM1507" s="848"/>
      <c r="AN1507" s="848"/>
      <c r="AO1507" s="848"/>
      <c r="AP1507" s="848"/>
      <c r="AQ1507" s="848"/>
      <c r="AR1507" s="848"/>
      <c r="AS1507" s="848"/>
      <c r="AT1507" s="848"/>
      <c r="AU1507" s="848"/>
      <c r="AV1507" s="848"/>
      <c r="AW1507" s="848"/>
      <c r="AX1507" s="848"/>
      <c r="AY1507" s="848"/>
      <c r="AZ1507" s="848"/>
      <c r="BA1507" s="848"/>
      <c r="BB1507" s="848"/>
      <c r="BC1507" s="848"/>
      <c r="BD1507" s="848"/>
      <c r="BE1507" s="848"/>
      <c r="BF1507" s="848"/>
      <c r="BG1507" s="848"/>
      <c r="BH1507" s="848"/>
      <c r="BJ1507" s="1184" t="s">
        <v>4763</v>
      </c>
    </row>
    <row r="1508" spans="1:62" x14ac:dyDescent="0.3">
      <c r="A1508" s="1200">
        <v>8</v>
      </c>
      <c r="B1508" s="1210" t="s">
        <v>910</v>
      </c>
      <c r="C1508" s="1203"/>
      <c r="D1508" s="1203"/>
      <c r="E1508" s="1203" t="s">
        <v>275</v>
      </c>
      <c r="F1508" s="1203"/>
      <c r="G1508" s="1202" t="str">
        <f t="shared" ca="1" si="490"/>
        <v>P</v>
      </c>
      <c r="H1508" s="1200" t="s">
        <v>4388</v>
      </c>
      <c r="I1508" s="244"/>
      <c r="J1508" s="238"/>
      <c r="K1508" s="238"/>
      <c r="L1508" s="1396"/>
      <c r="M1508" s="857"/>
      <c r="N1508" s="855"/>
      <c r="O1508" s="855"/>
      <c r="P1508" s="196"/>
      <c r="Q1508" s="196"/>
      <c r="R1508" s="196"/>
      <c r="S1508" s="196"/>
      <c r="T1508" s="196"/>
      <c r="U1508" s="196"/>
      <c r="V1508" s="196"/>
      <c r="W1508" s="196"/>
      <c r="X1508" s="1295"/>
      <c r="Y1508" s="1522"/>
      <c r="Z1508" s="1586"/>
      <c r="AB1508" s="848"/>
      <c r="AC1508" s="848"/>
      <c r="AD1508" s="848"/>
      <c r="AE1508" s="848"/>
      <c r="AF1508" s="848"/>
      <c r="AG1508" s="848"/>
      <c r="AH1508" s="848"/>
      <c r="AI1508" s="848"/>
      <c r="AJ1508" s="848"/>
      <c r="AK1508" s="848"/>
      <c r="AL1508" s="848"/>
      <c r="AM1508" s="848"/>
      <c r="AN1508" s="848"/>
      <c r="AO1508" s="848"/>
      <c r="AP1508" s="848"/>
      <c r="AQ1508" s="848"/>
      <c r="AR1508" s="848"/>
      <c r="AS1508" s="848"/>
      <c r="AT1508" s="848"/>
      <c r="AU1508" s="848"/>
      <c r="AV1508" s="848"/>
      <c r="AW1508" s="848"/>
      <c r="AX1508" s="848"/>
      <c r="AY1508" s="848"/>
      <c r="AZ1508" s="848"/>
      <c r="BA1508" s="848"/>
      <c r="BB1508" s="848"/>
      <c r="BC1508" s="848"/>
      <c r="BD1508" s="848"/>
      <c r="BE1508" s="848"/>
      <c r="BF1508" s="848"/>
      <c r="BG1508" s="848"/>
      <c r="BH1508" s="848"/>
      <c r="BJ1508" s="1184" t="s">
        <v>4763</v>
      </c>
    </row>
    <row r="1509" spans="1:62" x14ac:dyDescent="0.3">
      <c r="A1509" s="1200">
        <v>8</v>
      </c>
      <c r="B1509" s="1210" t="s">
        <v>916</v>
      </c>
      <c r="C1509" s="1203"/>
      <c r="D1509" s="1203"/>
      <c r="E1509" s="1203"/>
      <c r="F1509" s="1203"/>
      <c r="G1509" s="1202" t="str">
        <f>IF(N1509&gt;0,"P","")</f>
        <v/>
      </c>
      <c r="H1509" s="1200" t="s">
        <v>4388</v>
      </c>
      <c r="I1509" s="141" t="s">
        <v>916</v>
      </c>
      <c r="J1509" s="140"/>
      <c r="K1509" s="140"/>
      <c r="L1509" s="1313" t="s">
        <v>917</v>
      </c>
      <c r="M1509" s="1318">
        <v>3</v>
      </c>
      <c r="N1509" s="1308">
        <f>'Ch8'!O123</f>
        <v>0</v>
      </c>
      <c r="O1509" s="1308">
        <f>M1509*S1509*W1509</f>
        <v>0</v>
      </c>
      <c r="P1509" s="97" t="b">
        <v>0</v>
      </c>
      <c r="Q1509" s="848" t="b">
        <v>1</v>
      </c>
      <c r="R1509" s="97" t="b">
        <v>0</v>
      </c>
      <c r="S1509" s="97" t="b">
        <f>NOT(W1505=TRUE)</f>
        <v>1</v>
      </c>
      <c r="T1509" s="97" t="b">
        <f>IF(AND(NOT(S1509),W1509=TRUE),TRUE,FALSE)</f>
        <v>0</v>
      </c>
      <c r="U1509" s="97"/>
      <c r="V1509" s="97"/>
      <c r="W1509" s="25"/>
      <c r="X1509" s="1304"/>
      <c r="Y1509" s="1523" t="str">
        <f>IF(LEN('Ch8'!X123)=0,"None",'Ch8'!X123)</f>
        <v>None</v>
      </c>
      <c r="Z1509" s="1583"/>
      <c r="AB1509" s="848"/>
      <c r="AC1509" s="848" t="b">
        <f>OR(AD1509:AE1509)</f>
        <v>0</v>
      </c>
      <c r="AD1509" s="848" t="b">
        <f>T1509</f>
        <v>0</v>
      </c>
      <c r="AE1509" s="848" t="b">
        <v>0</v>
      </c>
      <c r="AF1509" s="1182" t="b">
        <f>AND(AE1509,NOT(Q1509))</f>
        <v>0</v>
      </c>
      <c r="AG1509" s="848"/>
      <c r="AH1509" s="848"/>
      <c r="AI1509" s="848"/>
      <c r="AJ1509" s="848"/>
      <c r="AK1509" s="848"/>
      <c r="AL1509" s="311" t="str">
        <f t="shared" ref="AL1509" si="491">SUBSTITUTE(SUBSTITUTE(SUBSTITUTE("vpa"&amp;$B1509&amp;$C1509&amp;$D1509&amp;$E1509&amp;$F1509,".","_"),"(","_"),")","")</f>
        <v>vpa801_6_5</v>
      </c>
      <c r="AM1509" s="311">
        <f>M1509</f>
        <v>3</v>
      </c>
      <c r="AN1509" s="311" t="str">
        <f>SUBSTITUTE(SUBSTITUTE(SUBSTITUTE("vpc"&amp;$B1509&amp;$C1509&amp;$D1509&amp;$E1509&amp;$F1509,".","_"),"(","_"),")","")</f>
        <v>vpc801_6_5</v>
      </c>
      <c r="AO1509" s="311">
        <f>O1509</f>
        <v>0</v>
      </c>
      <c r="AP1509" s="311" t="str">
        <f>SUBSTITUTE(SUBSTITUTE(SUBSTITUTE("vch"&amp;$B1509&amp;$C1509&amp;$D1509&amp;$E1509&amp;$F1509,".","_"),"(","_"),")","")</f>
        <v>vch801_6_5</v>
      </c>
      <c r="AQ1509" s="311">
        <f>W1509</f>
        <v>0</v>
      </c>
      <c r="AR1509" s="311" t="str">
        <f>SUBSTITUTE(SUBSTITUTE(SUBSTITUTE("vnt"&amp;$B1509&amp;$C1509&amp;$D1509&amp;$E1509&amp;$F1509,".","_"),"(","_"),")","")</f>
        <v>vnt801_6_5</v>
      </c>
      <c r="AS1509" s="311">
        <f>X1509</f>
        <v>0</v>
      </c>
      <c r="AT1509" s="848"/>
      <c r="AU1509" s="848"/>
      <c r="AV1509" s="848"/>
      <c r="AW1509" s="848"/>
      <c r="AX1509" s="848"/>
      <c r="AY1509" s="848"/>
      <c r="AZ1509" s="848"/>
      <c r="BA1509" s="848"/>
      <c r="BB1509" s="848"/>
      <c r="BC1509" s="848"/>
      <c r="BD1509" s="848"/>
      <c r="BE1509" s="848"/>
      <c r="BF1509" s="848"/>
      <c r="BG1509" s="848"/>
      <c r="BH1509" s="848"/>
      <c r="BJ1509" s="1184" t="s">
        <v>4763</v>
      </c>
    </row>
    <row r="1510" spans="1:62" ht="15" thickBot="1" x14ac:dyDescent="0.35">
      <c r="A1510" s="1200">
        <v>8</v>
      </c>
      <c r="B1510" s="1210" t="s">
        <v>916</v>
      </c>
      <c r="C1510" s="1203"/>
      <c r="D1510" s="1203"/>
      <c r="E1510" s="1203"/>
      <c r="F1510" s="1203"/>
      <c r="G1510" s="1202" t="str">
        <f t="shared" ref="G1510" si="492">G1509</f>
        <v/>
      </c>
      <c r="H1510" s="1200" t="s">
        <v>4388</v>
      </c>
      <c r="I1510" s="212"/>
      <c r="J1510" s="270"/>
      <c r="K1510" s="270"/>
      <c r="L1510" s="1332"/>
      <c r="M1510" s="1334"/>
      <c r="N1510" s="1315"/>
      <c r="O1510" s="1315"/>
      <c r="P1510" s="104"/>
      <c r="Q1510" s="104"/>
      <c r="R1510" s="104"/>
      <c r="S1510" s="104"/>
      <c r="T1510" s="104"/>
      <c r="U1510" s="104"/>
      <c r="V1510" s="104"/>
      <c r="W1510" s="104"/>
      <c r="X1510" s="1296"/>
      <c r="Y1510" s="1524"/>
      <c r="Z1510" s="1584"/>
      <c r="AB1510" s="848"/>
      <c r="AC1510" s="848"/>
      <c r="AD1510" s="848"/>
      <c r="AE1510" s="848"/>
      <c r="AF1510" s="848"/>
      <c r="AG1510" s="848"/>
      <c r="AH1510" s="848"/>
      <c r="AI1510" s="848"/>
      <c r="AJ1510" s="848"/>
      <c r="AK1510" s="848"/>
      <c r="AL1510" s="848"/>
      <c r="AM1510" s="848"/>
      <c r="AN1510" s="848"/>
      <c r="AO1510" s="848"/>
      <c r="AP1510" s="848"/>
      <c r="AQ1510" s="848"/>
      <c r="AR1510" s="848"/>
      <c r="AS1510" s="848"/>
      <c r="AT1510" s="848"/>
      <c r="AU1510" s="848"/>
      <c r="AV1510" s="848"/>
      <c r="AW1510" s="848"/>
      <c r="AX1510" s="848"/>
      <c r="AY1510" s="848"/>
      <c r="AZ1510" s="848"/>
      <c r="BA1510" s="848"/>
      <c r="BB1510" s="848"/>
      <c r="BC1510" s="848"/>
      <c r="BD1510" s="848"/>
      <c r="BE1510" s="848"/>
      <c r="BF1510" s="848"/>
      <c r="BG1510" s="848"/>
      <c r="BH1510" s="848"/>
      <c r="BJ1510" s="1184" t="s">
        <v>4763</v>
      </c>
    </row>
    <row r="1511" spans="1:62" ht="15" thickTop="1" x14ac:dyDescent="0.3">
      <c r="A1511" s="1200">
        <v>8</v>
      </c>
      <c r="B1511" s="1221">
        <v>801.7</v>
      </c>
      <c r="C1511" s="1218"/>
      <c r="D1511" s="1218"/>
      <c r="E1511" s="1218"/>
      <c r="F1511" s="1218"/>
      <c r="G1511" s="1196" t="str">
        <f ca="1">IF(COUNTIF(G1513:G1524,"P")&gt;0,"P","")</f>
        <v/>
      </c>
      <c r="H1511" s="1220" t="s">
        <v>4388</v>
      </c>
      <c r="I1511" s="200">
        <v>801.7</v>
      </c>
      <c r="J1511" s="201"/>
      <c r="K1511" s="201"/>
      <c r="L1511" s="1429" t="s">
        <v>918</v>
      </c>
      <c r="M1511" s="868"/>
      <c r="N1511" s="859"/>
      <c r="O1511" s="859"/>
      <c r="P1511" s="110"/>
      <c r="Q1511" s="110"/>
      <c r="R1511" s="110"/>
      <c r="S1511" s="110"/>
      <c r="T1511" s="110"/>
      <c r="U1511" s="110"/>
      <c r="V1511" s="110"/>
      <c r="W1511" s="110"/>
      <c r="X1511" s="110"/>
      <c r="Y1511" s="848"/>
      <c r="Z1511" s="1055"/>
      <c r="AB1511" s="848"/>
      <c r="AC1511" s="848"/>
      <c r="AD1511" s="848"/>
      <c r="AE1511" s="848"/>
      <c r="AF1511" s="848"/>
      <c r="AG1511" s="848"/>
      <c r="AH1511" s="848"/>
      <c r="AI1511" s="848"/>
      <c r="AJ1511" s="848"/>
      <c r="AK1511" s="848"/>
      <c r="AL1511" s="848"/>
      <c r="AM1511" s="848"/>
      <c r="AN1511" s="848"/>
      <c r="AO1511" s="848"/>
      <c r="AP1511" s="848"/>
      <c r="AQ1511" s="848"/>
      <c r="AR1511" s="848"/>
      <c r="AS1511" s="848"/>
      <c r="AT1511" s="848"/>
      <c r="AU1511" s="848"/>
      <c r="AV1511" s="848"/>
      <c r="AW1511" s="848"/>
      <c r="AX1511" s="848"/>
      <c r="AY1511" s="848"/>
      <c r="AZ1511" s="848"/>
      <c r="BA1511" s="848"/>
      <c r="BB1511" s="848"/>
      <c r="BC1511" s="848"/>
      <c r="BD1511" s="848"/>
      <c r="BE1511" s="848"/>
      <c r="BF1511" s="848"/>
      <c r="BG1511" s="848"/>
      <c r="BH1511" s="848"/>
      <c r="BJ1511" s="1184" t="s">
        <v>4763</v>
      </c>
    </row>
    <row r="1512" spans="1:62" x14ac:dyDescent="0.3">
      <c r="A1512" s="1200">
        <v>8</v>
      </c>
      <c r="B1512" s="1221">
        <v>801.7</v>
      </c>
      <c r="C1512" s="1218"/>
      <c r="D1512" s="1218"/>
      <c r="E1512" s="1218"/>
      <c r="F1512" s="1218"/>
      <c r="G1512" s="1202" t="str">
        <f t="shared" ref="G1512" ca="1" si="493">G1511</f>
        <v/>
      </c>
      <c r="H1512" s="1220" t="s">
        <v>4388</v>
      </c>
      <c r="I1512" s="141"/>
      <c r="J1512" s="140"/>
      <c r="K1512" s="140"/>
      <c r="L1512" s="1430"/>
      <c r="M1512" s="856"/>
      <c r="N1512" s="854"/>
      <c r="O1512" s="854"/>
      <c r="P1512" s="97"/>
      <c r="Q1512" s="97"/>
      <c r="R1512" s="97"/>
      <c r="S1512" s="97"/>
      <c r="T1512" s="97"/>
      <c r="U1512" s="97"/>
      <c r="V1512" s="97"/>
      <c r="W1512" s="97"/>
      <c r="X1512" s="97"/>
      <c r="Y1512" s="848"/>
      <c r="Z1512" s="1055"/>
      <c r="AB1512" s="848"/>
      <c r="AC1512" s="848"/>
      <c r="AD1512" s="848"/>
      <c r="AE1512" s="848"/>
      <c r="AF1512" s="848"/>
      <c r="AG1512" s="848"/>
      <c r="AH1512" s="848"/>
      <c r="AI1512" s="848"/>
      <c r="AJ1512" s="848"/>
      <c r="AK1512" s="848"/>
      <c r="AL1512" s="848"/>
      <c r="AM1512" s="848"/>
      <c r="AN1512" s="848"/>
      <c r="AO1512" s="848"/>
      <c r="AP1512" s="848"/>
      <c r="AQ1512" s="848"/>
      <c r="AR1512" s="848"/>
      <c r="AS1512" s="848"/>
      <c r="AT1512" s="848"/>
      <c r="AU1512" s="848"/>
      <c r="AV1512" s="848"/>
      <c r="AW1512" s="848"/>
      <c r="AX1512" s="848"/>
      <c r="AY1512" s="848"/>
      <c r="AZ1512" s="848"/>
      <c r="BA1512" s="848"/>
      <c r="BB1512" s="848"/>
      <c r="BC1512" s="848"/>
      <c r="BD1512" s="848"/>
      <c r="BE1512" s="848"/>
      <c r="BF1512" s="848"/>
      <c r="BG1512" s="848"/>
      <c r="BH1512" s="848"/>
      <c r="BJ1512" s="1184" t="s">
        <v>4763</v>
      </c>
    </row>
    <row r="1513" spans="1:62" x14ac:dyDescent="0.3">
      <c r="A1513" s="1200">
        <v>8</v>
      </c>
      <c r="B1513" s="1221" t="s">
        <v>1307</v>
      </c>
      <c r="C1513" s="1218"/>
      <c r="D1513" s="1218"/>
      <c r="E1513" s="1218"/>
      <c r="F1513" s="1218"/>
      <c r="G1513" s="1202" t="str">
        <f ca="1">IF(N1513&gt;0,"P","")</f>
        <v/>
      </c>
      <c r="H1513" s="1220" t="s">
        <v>4388</v>
      </c>
      <c r="I1513" s="141" t="s">
        <v>1307</v>
      </c>
      <c r="J1513" s="140"/>
      <c r="K1513" s="140"/>
      <c r="L1513" s="881" t="s">
        <v>1308</v>
      </c>
      <c r="M1513" s="856"/>
      <c r="N1513" s="854">
        <f ca="1">'Ch8'!O127</f>
        <v>0</v>
      </c>
      <c r="O1513" s="854">
        <f ca="1">IFERROR(INDEX({5,5,10,15,25},MATCH(W1513,INDIRECT(U1513),0)),0)*S1513</f>
        <v>0</v>
      </c>
      <c r="P1513" s="97" t="b">
        <v>0</v>
      </c>
      <c r="Q1513" s="848" t="b">
        <v>1</v>
      </c>
      <c r="R1513" s="97" t="b">
        <v>0</v>
      </c>
      <c r="S1513" s="97" t="b">
        <v>1</v>
      </c>
      <c r="T1513" s="97" t="b">
        <f>IF(AND(NOT(S1513),LEN(W1513)&gt;0),TRUE,FALSE)</f>
        <v>0</v>
      </c>
      <c r="U1513" s="97" t="str">
        <f>SUBSTITUTE(SUBSTITUTE(SUBSTITUTE("dd"&amp;B1513&amp;C1513&amp;D1513&amp;E1513&amp;F1513,".","_"),"(","_"),")","")</f>
        <v>dd801_7_1</v>
      </c>
      <c r="V1513" s="97"/>
      <c r="W1513" s="12"/>
      <c r="X1513" s="1295"/>
      <c r="Y1513" s="1522" t="str">
        <f>IF(LEN('Ch8'!X127)=0,"None",'Ch8'!X127)</f>
        <v>None</v>
      </c>
      <c r="Z1513" s="1586"/>
      <c r="AB1513" s="848"/>
      <c r="AC1513" s="848" t="b">
        <f>OR(AD1513:AE1513)</f>
        <v>0</v>
      </c>
      <c r="AD1513" s="848" t="b">
        <f>T1513</f>
        <v>0</v>
      </c>
      <c r="AE1513" s="848"/>
      <c r="AF1513" s="848"/>
      <c r="AG1513" s="848"/>
      <c r="AH1513" s="848"/>
      <c r="AI1513" s="848"/>
      <c r="AJ1513" s="848"/>
      <c r="AK1513" s="848"/>
      <c r="AL1513" s="848"/>
      <c r="AM1513" s="848"/>
      <c r="AN1513" s="311" t="str">
        <f>SUBSTITUTE(SUBSTITUTE(SUBSTITUTE("vpc"&amp;$B1513&amp;$C1513&amp;$D1513&amp;$E1513&amp;$F1513,".","_"),"(","_"),")","")</f>
        <v>vpc801_7_1</v>
      </c>
      <c r="AO1513" s="311">
        <f ca="1">O1513</f>
        <v>0</v>
      </c>
      <c r="AP1513" s="311" t="str">
        <f>SUBSTITUTE(SUBSTITUTE(SUBSTITUTE("vch"&amp;$B1513&amp;$C1513&amp;$D1513&amp;$E1513&amp;$F1513,".","_"),"(","_"),")","")</f>
        <v>vch801_7_1</v>
      </c>
      <c r="AQ1513" s="311">
        <f>W1513</f>
        <v>0</v>
      </c>
      <c r="AR1513" s="311" t="str">
        <f>SUBSTITUTE(SUBSTITUTE(SUBSTITUTE("vnt"&amp;$B1513&amp;$C1513&amp;$D1513&amp;$E1513&amp;$F1513,".","_"),"(","_"),")","")</f>
        <v>vnt801_7_1</v>
      </c>
      <c r="AS1513" s="311">
        <f>X1513</f>
        <v>0</v>
      </c>
      <c r="AT1513" s="848"/>
      <c r="AU1513" s="848"/>
      <c r="AV1513" s="848"/>
      <c r="AW1513" s="848"/>
      <c r="AX1513" s="848"/>
      <c r="AY1513" s="848"/>
      <c r="AZ1513" s="848"/>
      <c r="BA1513" s="848"/>
      <c r="BB1513" s="848"/>
      <c r="BC1513" s="848"/>
      <c r="BD1513" s="848"/>
      <c r="BE1513" s="848"/>
      <c r="BF1513" s="848"/>
      <c r="BG1513" s="848"/>
      <c r="BH1513" s="848"/>
      <c r="BJ1513" s="1184" t="s">
        <v>4763</v>
      </c>
    </row>
    <row r="1514" spans="1:62" x14ac:dyDescent="0.3">
      <c r="A1514" s="1200">
        <v>8</v>
      </c>
      <c r="B1514" s="1221" t="s">
        <v>1307</v>
      </c>
      <c r="C1514" s="1203"/>
      <c r="D1514" s="1203"/>
      <c r="E1514" s="1203" t="s">
        <v>271</v>
      </c>
      <c r="F1514" s="1203"/>
      <c r="G1514" s="1202" t="str">
        <f t="shared" ref="G1514:G1523" ca="1" si="494">G1513</f>
        <v/>
      </c>
      <c r="H1514" s="1200" t="s">
        <v>4388</v>
      </c>
      <c r="I1514" s="141"/>
      <c r="J1514" s="231" t="s">
        <v>271</v>
      </c>
      <c r="K1514" s="238"/>
      <c r="L1514" s="862" t="s">
        <v>919</v>
      </c>
      <c r="M1514" s="857">
        <v>5</v>
      </c>
      <c r="N1514" s="854"/>
      <c r="O1514" s="854"/>
      <c r="P1514" s="97"/>
      <c r="Q1514" s="97"/>
      <c r="R1514" s="97"/>
      <c r="S1514" s="97"/>
      <c r="T1514" s="97"/>
      <c r="U1514" s="97"/>
      <c r="V1514" s="97"/>
      <c r="W1514" s="97"/>
      <c r="X1514" s="1295"/>
      <c r="Y1514" s="1522"/>
      <c r="Z1514" s="1586"/>
      <c r="AB1514" s="848"/>
      <c r="AC1514" s="848"/>
      <c r="AD1514" s="848"/>
      <c r="AE1514" s="848"/>
      <c r="AF1514" s="848"/>
      <c r="AG1514" s="848"/>
      <c r="AH1514" s="848"/>
      <c r="AI1514" s="848"/>
      <c r="AJ1514" s="848"/>
      <c r="AK1514" s="848"/>
      <c r="AL1514" s="311" t="str">
        <f t="shared" ref="AL1514" si="495">SUBSTITUTE(SUBSTITUTE(SUBSTITUTE("vpa"&amp;$B1514&amp;$C1514&amp;$D1514&amp;$E1514&amp;$F1514,".","_"),"(","_"),")","")</f>
        <v>vpa801_7_1_1</v>
      </c>
      <c r="AM1514" s="311">
        <f>M1514</f>
        <v>5</v>
      </c>
      <c r="AN1514" s="848"/>
      <c r="AO1514" s="848"/>
      <c r="AP1514" s="848"/>
      <c r="AQ1514" s="848"/>
      <c r="AR1514" s="848"/>
      <c r="AS1514" s="848"/>
      <c r="AT1514" s="848"/>
      <c r="AU1514" s="848"/>
      <c r="AV1514" s="848"/>
      <c r="AW1514" s="848"/>
      <c r="AX1514" s="848"/>
      <c r="AY1514" s="848"/>
      <c r="AZ1514" s="848"/>
      <c r="BA1514" s="848"/>
      <c r="BB1514" s="848"/>
      <c r="BC1514" s="848"/>
      <c r="BD1514" s="848"/>
      <c r="BE1514" s="848"/>
      <c r="BF1514" s="848"/>
      <c r="BG1514" s="848"/>
      <c r="BH1514" s="848"/>
      <c r="BJ1514" s="1184" t="s">
        <v>4763</v>
      </c>
    </row>
    <row r="1515" spans="1:62" x14ac:dyDescent="0.3">
      <c r="A1515" s="1200">
        <v>8</v>
      </c>
      <c r="B1515" s="1221" t="s">
        <v>1307</v>
      </c>
      <c r="C1515" s="1203"/>
      <c r="D1515" s="1203"/>
      <c r="E1515" s="1203" t="s">
        <v>273</v>
      </c>
      <c r="F1515" s="1203"/>
      <c r="G1515" s="1202" t="str">
        <f t="shared" ca="1" si="494"/>
        <v/>
      </c>
      <c r="H1515" s="1200" t="s">
        <v>4388</v>
      </c>
      <c r="I1515" s="141"/>
      <c r="J1515" s="203" t="s">
        <v>273</v>
      </c>
      <c r="K1515" s="140"/>
      <c r="L1515" s="1305" t="s">
        <v>920</v>
      </c>
      <c r="M1515" s="856"/>
      <c r="N1515" s="854"/>
      <c r="O1515" s="854"/>
      <c r="P1515" s="97"/>
      <c r="Q1515" s="97"/>
      <c r="R1515" s="97"/>
      <c r="S1515" s="97"/>
      <c r="T1515" s="97"/>
      <c r="U1515" s="97"/>
      <c r="V1515" s="97"/>
      <c r="W1515" s="97"/>
      <c r="X1515" s="1295"/>
      <c r="Y1515" s="1522"/>
      <c r="Z1515" s="1586"/>
      <c r="AB1515" s="848"/>
      <c r="AC1515" s="848"/>
      <c r="AD1515" s="848"/>
      <c r="AE1515" s="848"/>
      <c r="AF1515" s="848"/>
      <c r="AG1515" s="848"/>
      <c r="AH1515" s="848"/>
      <c r="AI1515" s="848"/>
      <c r="AJ1515" s="848"/>
      <c r="AK1515" s="848"/>
      <c r="AL1515" s="848"/>
      <c r="AM1515" s="848"/>
      <c r="AN1515" s="848"/>
      <c r="AO1515" s="848"/>
      <c r="AP1515" s="848"/>
      <c r="AQ1515" s="848"/>
      <c r="AR1515" s="848"/>
      <c r="AS1515" s="848"/>
      <c r="AT1515" s="848"/>
      <c r="AU1515" s="848"/>
      <c r="AV1515" s="848"/>
      <c r="AW1515" s="848"/>
      <c r="AX1515" s="848"/>
      <c r="AY1515" s="848"/>
      <c r="AZ1515" s="848"/>
      <c r="BA1515" s="848"/>
      <c r="BB1515" s="848"/>
      <c r="BC1515" s="848"/>
      <c r="BD1515" s="848"/>
      <c r="BE1515" s="848"/>
      <c r="BF1515" s="848"/>
      <c r="BG1515" s="848"/>
      <c r="BH1515" s="848"/>
      <c r="BJ1515" s="1184" t="s">
        <v>4763</v>
      </c>
    </row>
    <row r="1516" spans="1:62" x14ac:dyDescent="0.3">
      <c r="A1516" s="1200">
        <v>8</v>
      </c>
      <c r="B1516" s="1221" t="s">
        <v>1307</v>
      </c>
      <c r="C1516" s="1203"/>
      <c r="D1516" s="1203"/>
      <c r="E1516" s="1203" t="s">
        <v>273</v>
      </c>
      <c r="F1516" s="1203"/>
      <c r="G1516" s="1202" t="str">
        <f t="shared" ca="1" si="494"/>
        <v/>
      </c>
      <c r="H1516" s="1200" t="s">
        <v>4388</v>
      </c>
      <c r="I1516" s="141"/>
      <c r="J1516" s="140"/>
      <c r="K1516" s="140"/>
      <c r="L1516" s="1305"/>
      <c r="M1516" s="856"/>
      <c r="N1516" s="854"/>
      <c r="O1516" s="854"/>
      <c r="P1516" s="97"/>
      <c r="Q1516" s="97"/>
      <c r="R1516" s="97"/>
      <c r="S1516" s="97"/>
      <c r="T1516" s="97"/>
      <c r="U1516" s="97"/>
      <c r="V1516" s="97"/>
      <c r="W1516" s="97"/>
      <c r="X1516" s="1295"/>
      <c r="Y1516" s="1522"/>
      <c r="Z1516" s="1586"/>
      <c r="AB1516" s="848"/>
      <c r="AC1516" s="848"/>
      <c r="AD1516" s="848"/>
      <c r="AE1516" s="848"/>
      <c r="AF1516" s="848"/>
      <c r="AG1516" s="848"/>
      <c r="AH1516" s="848"/>
      <c r="AI1516" s="848"/>
      <c r="AJ1516" s="848"/>
      <c r="AK1516" s="848"/>
      <c r="AL1516" s="848"/>
      <c r="AM1516" s="848"/>
      <c r="AN1516" s="848"/>
      <c r="AO1516" s="848"/>
      <c r="AP1516" s="848"/>
      <c r="AQ1516" s="848"/>
      <c r="AR1516" s="848"/>
      <c r="AS1516" s="848"/>
      <c r="AT1516" s="848"/>
      <c r="AU1516" s="848"/>
      <c r="AV1516" s="848"/>
      <c r="AW1516" s="848"/>
      <c r="AX1516" s="848"/>
      <c r="AY1516" s="848"/>
      <c r="AZ1516" s="848"/>
      <c r="BA1516" s="848"/>
      <c r="BB1516" s="848"/>
      <c r="BC1516" s="848"/>
      <c r="BD1516" s="848"/>
      <c r="BE1516" s="848"/>
      <c r="BF1516" s="848"/>
      <c r="BG1516" s="848"/>
      <c r="BH1516" s="848"/>
      <c r="BJ1516" s="1184" t="s">
        <v>4763</v>
      </c>
    </row>
    <row r="1517" spans="1:62" x14ac:dyDescent="0.3">
      <c r="A1517" s="1200">
        <v>8</v>
      </c>
      <c r="B1517" s="1221" t="s">
        <v>1307</v>
      </c>
      <c r="C1517" s="1203"/>
      <c r="D1517" s="1203"/>
      <c r="E1517" s="1203" t="s">
        <v>273</v>
      </c>
      <c r="F1517" s="1203" t="s">
        <v>121</v>
      </c>
      <c r="G1517" s="1202" t="str">
        <f t="shared" ca="1" si="494"/>
        <v/>
      </c>
      <c r="H1517" s="1204" t="s">
        <v>4388</v>
      </c>
      <c r="I1517" s="140"/>
      <c r="J1517" s="140"/>
      <c r="K1517" s="231" t="s">
        <v>121</v>
      </c>
      <c r="L1517" s="862" t="s">
        <v>921</v>
      </c>
      <c r="M1517" s="857">
        <v>5</v>
      </c>
      <c r="N1517" s="854"/>
      <c r="O1517" s="854"/>
      <c r="P1517" s="97"/>
      <c r="Q1517" s="97"/>
      <c r="R1517" s="97"/>
      <c r="S1517" s="97"/>
      <c r="T1517" s="97"/>
      <c r="U1517" s="97"/>
      <c r="V1517" s="97"/>
      <c r="W1517" s="97"/>
      <c r="X1517" s="1295"/>
      <c r="Y1517" s="1522"/>
      <c r="Z1517" s="1586"/>
      <c r="AB1517" s="848"/>
      <c r="AC1517" s="848"/>
      <c r="AD1517" s="848"/>
      <c r="AE1517" s="848"/>
      <c r="AF1517" s="848"/>
      <c r="AG1517" s="848"/>
      <c r="AH1517" s="848"/>
      <c r="AI1517" s="848"/>
      <c r="AJ1517" s="848"/>
      <c r="AK1517" s="848"/>
      <c r="AL1517" s="311" t="str">
        <f t="shared" ref="AL1517:AL1519" si="496">SUBSTITUTE(SUBSTITUTE(SUBSTITUTE("vpa"&amp;$B1517&amp;$C1517&amp;$D1517&amp;$E1517&amp;$F1517,".","_"),"(","_"),")","")</f>
        <v>vpa801_7_1_2_a</v>
      </c>
      <c r="AM1517" s="311">
        <f>M1517</f>
        <v>5</v>
      </c>
      <c r="AN1517" s="848"/>
      <c r="AO1517" s="848"/>
      <c r="AP1517" s="848"/>
      <c r="AQ1517" s="848"/>
      <c r="AR1517" s="848"/>
      <c r="AS1517" s="848"/>
      <c r="AT1517" s="848"/>
      <c r="AU1517" s="848"/>
      <c r="AV1517" s="848"/>
      <c r="AW1517" s="848"/>
      <c r="AX1517" s="848"/>
      <c r="AY1517" s="848"/>
      <c r="AZ1517" s="848"/>
      <c r="BA1517" s="848"/>
      <c r="BB1517" s="848"/>
      <c r="BC1517" s="848"/>
      <c r="BD1517" s="848"/>
      <c r="BE1517" s="848"/>
      <c r="BF1517" s="848"/>
      <c r="BG1517" s="848"/>
      <c r="BH1517" s="848"/>
      <c r="BJ1517" s="1184" t="s">
        <v>4763</v>
      </c>
    </row>
    <row r="1518" spans="1:62" x14ac:dyDescent="0.3">
      <c r="A1518" s="1200">
        <v>8</v>
      </c>
      <c r="B1518" s="1221" t="s">
        <v>1307</v>
      </c>
      <c r="C1518" s="1203"/>
      <c r="D1518" s="1203"/>
      <c r="E1518" s="1203" t="s">
        <v>273</v>
      </c>
      <c r="F1518" s="1203" t="s">
        <v>122</v>
      </c>
      <c r="G1518" s="1202" t="str">
        <f t="shared" ca="1" si="494"/>
        <v/>
      </c>
      <c r="H1518" s="1204" t="s">
        <v>4388</v>
      </c>
      <c r="I1518" s="140"/>
      <c r="J1518" s="140"/>
      <c r="K1518" s="231" t="s">
        <v>122</v>
      </c>
      <c r="L1518" s="862" t="s">
        <v>922</v>
      </c>
      <c r="M1518" s="857">
        <v>10</v>
      </c>
      <c r="N1518" s="854"/>
      <c r="O1518" s="854"/>
      <c r="P1518" s="97"/>
      <c r="Q1518" s="97"/>
      <c r="R1518" s="97"/>
      <c r="S1518" s="97"/>
      <c r="T1518" s="97"/>
      <c r="U1518" s="97"/>
      <c r="V1518" s="97"/>
      <c r="W1518" s="97"/>
      <c r="X1518" s="1295"/>
      <c r="Y1518" s="1522"/>
      <c r="Z1518" s="1586"/>
      <c r="AB1518" s="848"/>
      <c r="AC1518" s="848"/>
      <c r="AD1518" s="848"/>
      <c r="AE1518" s="848"/>
      <c r="AF1518" s="848"/>
      <c r="AG1518" s="848"/>
      <c r="AH1518" s="848"/>
      <c r="AI1518" s="848"/>
      <c r="AJ1518" s="848"/>
      <c r="AK1518" s="848"/>
      <c r="AL1518" s="311" t="str">
        <f t="shared" si="496"/>
        <v>vpa801_7_1_2_b</v>
      </c>
      <c r="AM1518" s="311">
        <f>M1518</f>
        <v>10</v>
      </c>
      <c r="AN1518" s="848"/>
      <c r="AO1518" s="848"/>
      <c r="AP1518" s="848"/>
      <c r="AQ1518" s="848"/>
      <c r="AR1518" s="848"/>
      <c r="AS1518" s="848"/>
      <c r="AT1518" s="848"/>
      <c r="AU1518" s="848"/>
      <c r="AV1518" s="848"/>
      <c r="AW1518" s="848"/>
      <c r="AX1518" s="848"/>
      <c r="AY1518" s="848"/>
      <c r="AZ1518" s="848"/>
      <c r="BA1518" s="848"/>
      <c r="BB1518" s="848"/>
      <c r="BC1518" s="848"/>
      <c r="BD1518" s="848"/>
      <c r="BE1518" s="848"/>
      <c r="BF1518" s="848"/>
      <c r="BG1518" s="848"/>
      <c r="BH1518" s="848"/>
      <c r="BJ1518" s="1184" t="s">
        <v>4763</v>
      </c>
    </row>
    <row r="1519" spans="1:62" x14ac:dyDescent="0.3">
      <c r="A1519" s="1200">
        <v>8</v>
      </c>
      <c r="B1519" s="1221" t="s">
        <v>1307</v>
      </c>
      <c r="C1519" s="1203"/>
      <c r="D1519" s="1203"/>
      <c r="E1519" s="1203" t="s">
        <v>273</v>
      </c>
      <c r="F1519" s="1203" t="s">
        <v>123</v>
      </c>
      <c r="G1519" s="1202" t="str">
        <f t="shared" ca="1" si="494"/>
        <v/>
      </c>
      <c r="H1519" s="1204" t="s">
        <v>4388</v>
      </c>
      <c r="I1519" s="140"/>
      <c r="J1519" s="140"/>
      <c r="K1519" s="203" t="s">
        <v>123</v>
      </c>
      <c r="L1519" s="1305" t="s">
        <v>923</v>
      </c>
      <c r="M1519" s="1318">
        <v>15</v>
      </c>
      <c r="N1519" s="854"/>
      <c r="O1519" s="854"/>
      <c r="P1519" s="97"/>
      <c r="Q1519" s="97"/>
      <c r="R1519" s="97"/>
      <c r="S1519" s="97"/>
      <c r="T1519" s="97"/>
      <c r="U1519" s="97"/>
      <c r="V1519" s="97"/>
      <c r="W1519" s="97"/>
      <c r="X1519" s="1295"/>
      <c r="Y1519" s="1522"/>
      <c r="Z1519" s="1586"/>
      <c r="AB1519" s="848"/>
      <c r="AC1519" s="848"/>
      <c r="AD1519" s="848"/>
      <c r="AE1519" s="848"/>
      <c r="AF1519" s="848"/>
      <c r="AG1519" s="848"/>
      <c r="AH1519" s="848"/>
      <c r="AI1519" s="848"/>
      <c r="AJ1519" s="848"/>
      <c r="AK1519" s="848"/>
      <c r="AL1519" s="311" t="str">
        <f t="shared" si="496"/>
        <v>vpa801_7_1_2_c</v>
      </c>
      <c r="AM1519" s="311">
        <f>M1519</f>
        <v>15</v>
      </c>
      <c r="AN1519" s="848"/>
      <c r="AO1519" s="848"/>
      <c r="AP1519" s="848"/>
      <c r="AQ1519" s="848"/>
      <c r="AR1519" s="848"/>
      <c r="AS1519" s="848"/>
      <c r="AT1519" s="848"/>
      <c r="AU1519" s="848"/>
      <c r="AV1519" s="848"/>
      <c r="AW1519" s="848"/>
      <c r="AX1519" s="848"/>
      <c r="AY1519" s="848"/>
      <c r="AZ1519" s="848"/>
      <c r="BA1519" s="848"/>
      <c r="BB1519" s="848"/>
      <c r="BC1519" s="848"/>
      <c r="BD1519" s="848"/>
      <c r="BE1519" s="848"/>
      <c r="BF1519" s="848"/>
      <c r="BG1519" s="848"/>
      <c r="BH1519" s="848"/>
      <c r="BJ1519" s="1184" t="s">
        <v>4763</v>
      </c>
    </row>
    <row r="1520" spans="1:62" x14ac:dyDescent="0.3">
      <c r="A1520" s="1200">
        <v>8</v>
      </c>
      <c r="B1520" s="1221" t="s">
        <v>1307</v>
      </c>
      <c r="C1520" s="1203"/>
      <c r="D1520" s="1203"/>
      <c r="E1520" s="1203" t="s">
        <v>273</v>
      </c>
      <c r="F1520" s="1203" t="s">
        <v>123</v>
      </c>
      <c r="G1520" s="1202" t="str">
        <f t="shared" ca="1" si="494"/>
        <v/>
      </c>
      <c r="H1520" s="1204" t="s">
        <v>4388</v>
      </c>
      <c r="I1520" s="140"/>
      <c r="J1520" s="140"/>
      <c r="K1520" s="238"/>
      <c r="L1520" s="1306"/>
      <c r="M1520" s="1319"/>
      <c r="N1520" s="854"/>
      <c r="O1520" s="854"/>
      <c r="P1520" s="97"/>
      <c r="Q1520" s="97"/>
      <c r="R1520" s="97"/>
      <c r="S1520" s="97"/>
      <c r="T1520" s="97"/>
      <c r="U1520" s="97"/>
      <c r="V1520" s="97"/>
      <c r="W1520" s="97"/>
      <c r="X1520" s="1295"/>
      <c r="Y1520" s="1522"/>
      <c r="Z1520" s="1586"/>
      <c r="AB1520" s="848"/>
      <c r="AC1520" s="848"/>
      <c r="AD1520" s="848"/>
      <c r="AE1520" s="848"/>
      <c r="AF1520" s="848"/>
      <c r="AG1520" s="848"/>
      <c r="AH1520" s="848"/>
      <c r="AI1520" s="848"/>
      <c r="AJ1520" s="848"/>
      <c r="AK1520" s="848"/>
      <c r="AL1520" s="848"/>
      <c r="AM1520" s="848"/>
      <c r="AN1520" s="848"/>
      <c r="AO1520" s="848"/>
      <c r="AP1520" s="848"/>
      <c r="AQ1520" s="848"/>
      <c r="AR1520" s="848"/>
      <c r="AS1520" s="848"/>
      <c r="AT1520" s="848"/>
      <c r="AU1520" s="848"/>
      <c r="AV1520" s="848"/>
      <c r="AW1520" s="848"/>
      <c r="AX1520" s="848"/>
      <c r="AY1520" s="848"/>
      <c r="AZ1520" s="848"/>
      <c r="BA1520" s="848"/>
      <c r="BB1520" s="848"/>
      <c r="BC1520" s="848"/>
      <c r="BD1520" s="848"/>
      <c r="BE1520" s="848"/>
      <c r="BF1520" s="848"/>
      <c r="BG1520" s="848"/>
      <c r="BH1520" s="848"/>
      <c r="BJ1520" s="1184" t="s">
        <v>4763</v>
      </c>
    </row>
    <row r="1521" spans="1:62" x14ac:dyDescent="0.3">
      <c r="A1521" s="1200">
        <v>8</v>
      </c>
      <c r="B1521" s="1221" t="s">
        <v>1307</v>
      </c>
      <c r="C1521" s="1203"/>
      <c r="D1521" s="1203"/>
      <c r="E1521" s="1203" t="s">
        <v>273</v>
      </c>
      <c r="F1521" s="1203" t="s">
        <v>423</v>
      </c>
      <c r="G1521" s="1202" t="str">
        <f t="shared" ca="1" si="494"/>
        <v/>
      </c>
      <c r="H1521" s="1204" t="s">
        <v>4388</v>
      </c>
      <c r="I1521" s="140"/>
      <c r="J1521" s="140"/>
      <c r="K1521" s="203" t="s">
        <v>423</v>
      </c>
      <c r="L1521" s="1305" t="s">
        <v>924</v>
      </c>
      <c r="M1521" s="1318">
        <v>25</v>
      </c>
      <c r="N1521" s="854"/>
      <c r="O1521" s="854"/>
      <c r="P1521" s="97"/>
      <c r="Q1521" s="97"/>
      <c r="R1521" s="97"/>
      <c r="S1521" s="97"/>
      <c r="T1521" s="97"/>
      <c r="U1521" s="97"/>
      <c r="V1521" s="97"/>
      <c r="W1521" s="97"/>
      <c r="X1521" s="1295"/>
      <c r="Y1521" s="1522"/>
      <c r="Z1521" s="1586"/>
      <c r="AB1521" s="848"/>
      <c r="AC1521" s="848"/>
      <c r="AD1521" s="848"/>
      <c r="AE1521" s="848"/>
      <c r="AF1521" s="848"/>
      <c r="AG1521" s="848"/>
      <c r="AH1521" s="848"/>
      <c r="AI1521" s="848"/>
      <c r="AJ1521" s="848"/>
      <c r="AK1521" s="848"/>
      <c r="AL1521" s="311" t="str">
        <f t="shared" ref="AL1521" si="497">SUBSTITUTE(SUBSTITUTE(SUBSTITUTE("vpa"&amp;$B1521&amp;$C1521&amp;$D1521&amp;$E1521&amp;$F1521,".","_"),"(","_"),")","")</f>
        <v>vpa801_7_1_2_d</v>
      </c>
      <c r="AM1521" s="311">
        <f>M1521</f>
        <v>25</v>
      </c>
      <c r="AN1521" s="848"/>
      <c r="AO1521" s="848"/>
      <c r="AP1521" s="848"/>
      <c r="AQ1521" s="848"/>
      <c r="AR1521" s="848"/>
      <c r="AS1521" s="848"/>
      <c r="AT1521" s="848"/>
      <c r="AU1521" s="848"/>
      <c r="AV1521" s="848"/>
      <c r="AW1521" s="848"/>
      <c r="AX1521" s="848"/>
      <c r="AY1521" s="848"/>
      <c r="AZ1521" s="848"/>
      <c r="BA1521" s="848"/>
      <c r="BB1521" s="848"/>
      <c r="BC1521" s="848"/>
      <c r="BD1521" s="848"/>
      <c r="BE1521" s="848"/>
      <c r="BF1521" s="848"/>
      <c r="BG1521" s="848"/>
      <c r="BH1521" s="848"/>
      <c r="BJ1521" s="1184" t="s">
        <v>4763</v>
      </c>
    </row>
    <row r="1522" spans="1:62" x14ac:dyDescent="0.3">
      <c r="A1522" s="1200">
        <v>8</v>
      </c>
      <c r="B1522" s="1221" t="s">
        <v>1307</v>
      </c>
      <c r="C1522" s="1203"/>
      <c r="D1522" s="1203"/>
      <c r="E1522" s="1203" t="s">
        <v>273</v>
      </c>
      <c r="F1522" s="1203" t="s">
        <v>423</v>
      </c>
      <c r="G1522" s="1202" t="str">
        <f t="shared" ca="1" si="494"/>
        <v/>
      </c>
      <c r="H1522" s="1204" t="s">
        <v>4388</v>
      </c>
      <c r="I1522" s="141"/>
      <c r="J1522" s="140"/>
      <c r="K1522" s="140"/>
      <c r="L1522" s="1305"/>
      <c r="M1522" s="1318"/>
      <c r="N1522" s="854"/>
      <c r="O1522" s="854"/>
      <c r="P1522" s="97"/>
      <c r="Q1522" s="97"/>
      <c r="R1522" s="97"/>
      <c r="S1522" s="97"/>
      <c r="T1522" s="97"/>
      <c r="U1522" s="97"/>
      <c r="V1522" s="97"/>
      <c r="W1522" s="97"/>
      <c r="X1522" s="1295"/>
      <c r="Y1522" s="1522"/>
      <c r="Z1522" s="1586"/>
      <c r="AB1522" s="848"/>
      <c r="AC1522" s="848"/>
      <c r="AD1522" s="848"/>
      <c r="AE1522" s="848"/>
      <c r="AF1522" s="848"/>
      <c r="AG1522" s="848"/>
      <c r="AH1522" s="848"/>
      <c r="AI1522" s="848"/>
      <c r="AJ1522" s="848"/>
      <c r="AK1522" s="848"/>
      <c r="AL1522" s="848"/>
      <c r="AM1522" s="848"/>
      <c r="AN1522" s="848"/>
      <c r="AO1522" s="848"/>
      <c r="AP1522" s="848"/>
      <c r="AQ1522" s="848"/>
      <c r="AR1522" s="848"/>
      <c r="AS1522" s="848"/>
      <c r="AT1522" s="848"/>
      <c r="AU1522" s="848"/>
      <c r="AV1522" s="848"/>
      <c r="AW1522" s="848"/>
      <c r="AX1522" s="848"/>
      <c r="AY1522" s="848"/>
      <c r="AZ1522" s="848"/>
      <c r="BA1522" s="848"/>
      <c r="BB1522" s="848"/>
      <c r="BC1522" s="848"/>
      <c r="BD1522" s="848"/>
      <c r="BE1522" s="848"/>
      <c r="BF1522" s="848"/>
      <c r="BG1522" s="848"/>
      <c r="BH1522" s="848"/>
      <c r="BJ1522" s="1184" t="s">
        <v>4763</v>
      </c>
    </row>
    <row r="1523" spans="1:62" x14ac:dyDescent="0.3">
      <c r="A1523" s="1200">
        <v>8</v>
      </c>
      <c r="B1523" s="1221" t="s">
        <v>1307</v>
      </c>
      <c r="C1523" s="1203"/>
      <c r="D1523" s="1203"/>
      <c r="E1523" s="1203" t="s">
        <v>273</v>
      </c>
      <c r="F1523" s="1203" t="s">
        <v>423</v>
      </c>
      <c r="G1523" s="1202" t="str">
        <f t="shared" ca="1" si="494"/>
        <v/>
      </c>
      <c r="H1523" s="1204" t="s">
        <v>4388</v>
      </c>
      <c r="I1523" s="244"/>
      <c r="J1523" s="238"/>
      <c r="K1523" s="238"/>
      <c r="L1523" s="1306"/>
      <c r="M1523" s="1319"/>
      <c r="N1523" s="855"/>
      <c r="O1523" s="855"/>
      <c r="P1523" s="196"/>
      <c r="Q1523" s="196"/>
      <c r="R1523" s="196"/>
      <c r="S1523" s="196"/>
      <c r="T1523" s="196"/>
      <c r="U1523" s="196"/>
      <c r="V1523" s="196"/>
      <c r="W1523" s="196"/>
      <c r="X1523" s="1295"/>
      <c r="Y1523" s="1522"/>
      <c r="Z1523" s="1586"/>
      <c r="AB1523" s="848"/>
      <c r="AC1523" s="848"/>
      <c r="AD1523" s="848"/>
      <c r="AE1523" s="848"/>
      <c r="AF1523" s="848"/>
      <c r="AG1523" s="848"/>
      <c r="AH1523" s="848"/>
      <c r="AI1523" s="848"/>
      <c r="AJ1523" s="848"/>
      <c r="AK1523" s="848"/>
      <c r="AL1523" s="848"/>
      <c r="AM1523" s="848"/>
      <c r="AN1523" s="848"/>
      <c r="AO1523" s="848"/>
      <c r="AP1523" s="848"/>
      <c r="AQ1523" s="848"/>
      <c r="AR1523" s="848"/>
      <c r="AS1523" s="848"/>
      <c r="AT1523" s="848"/>
      <c r="AU1523" s="848"/>
      <c r="AV1523" s="848"/>
      <c r="AW1523" s="848"/>
      <c r="AX1523" s="848"/>
      <c r="AY1523" s="848"/>
      <c r="AZ1523" s="848"/>
      <c r="BA1523" s="848"/>
      <c r="BB1523" s="848"/>
      <c r="BC1523" s="848"/>
      <c r="BD1523" s="848"/>
      <c r="BE1523" s="848"/>
      <c r="BF1523" s="848"/>
      <c r="BG1523" s="848"/>
      <c r="BH1523" s="848"/>
      <c r="BJ1523" s="1184" t="s">
        <v>4763</v>
      </c>
    </row>
    <row r="1524" spans="1:62" x14ac:dyDescent="0.3">
      <c r="A1524" s="1200">
        <v>8</v>
      </c>
      <c r="B1524" s="1210" t="s">
        <v>925</v>
      </c>
      <c r="C1524" s="1203"/>
      <c r="D1524" s="1203"/>
      <c r="E1524" s="1203"/>
      <c r="F1524" s="1203"/>
      <c r="G1524" s="1202" t="str">
        <f ca="1">IF(N1524&gt;0,"P","")</f>
        <v/>
      </c>
      <c r="H1524" s="1200" t="s">
        <v>4388</v>
      </c>
      <c r="I1524" s="66" t="s">
        <v>925</v>
      </c>
      <c r="J1524" s="4"/>
      <c r="K1524" s="4"/>
      <c r="L1524" s="1292" t="s">
        <v>926</v>
      </c>
      <c r="M1524" s="866"/>
      <c r="N1524" s="1310">
        <f ca="1">'Ch8'!O138</f>
        <v>0</v>
      </c>
      <c r="O1524" s="1310">
        <f ca="1">MAX(IFERROR(5*MATCH(W1527,INDIRECT(U1527),0),0)*S1527,M1529*S1529*W1529)*S1527</f>
        <v>0</v>
      </c>
      <c r="P1524" s="848"/>
      <c r="Q1524" s="848"/>
      <c r="R1524" s="848"/>
      <c r="S1524" s="848"/>
      <c r="T1524" s="848"/>
      <c r="U1524" s="848"/>
      <c r="V1524" s="848"/>
      <c r="W1524" s="848"/>
      <c r="X1524" s="848"/>
      <c r="Y1524" s="848"/>
      <c r="Z1524" s="1055"/>
      <c r="AB1524" s="848"/>
      <c r="AC1524" s="848"/>
      <c r="AD1524" s="848"/>
      <c r="AE1524" s="848"/>
      <c r="AF1524" s="848"/>
      <c r="AG1524" s="848"/>
      <c r="AH1524" s="848"/>
      <c r="AI1524" s="848"/>
      <c r="AJ1524" s="848"/>
      <c r="AK1524" s="848"/>
      <c r="AL1524" s="848"/>
      <c r="AM1524" s="848"/>
      <c r="AN1524" s="311" t="str">
        <f>SUBSTITUTE(SUBSTITUTE(SUBSTITUTE("vpc"&amp;$B1524&amp;$C1524&amp;$D1524&amp;$E1524&amp;$F1524,".","_"),"(","_"),")","")</f>
        <v>vpc801_7_2</v>
      </c>
      <c r="AO1524" s="311">
        <f ca="1">O1524</f>
        <v>0</v>
      </c>
      <c r="AP1524" s="848"/>
      <c r="AQ1524" s="848"/>
      <c r="AR1524" s="848"/>
      <c r="AS1524" s="848"/>
      <c r="AT1524" s="848"/>
      <c r="AU1524" s="848"/>
      <c r="AV1524" s="848"/>
      <c r="AW1524" s="848"/>
      <c r="AX1524" s="848"/>
      <c r="AY1524" s="848"/>
      <c r="AZ1524" s="848"/>
      <c r="BA1524" s="848"/>
      <c r="BB1524" s="848"/>
      <c r="BC1524" s="848"/>
      <c r="BD1524" s="848"/>
      <c r="BE1524" s="848"/>
      <c r="BF1524" s="848"/>
      <c r="BG1524" s="848"/>
      <c r="BH1524" s="848"/>
      <c r="BJ1524" s="1184" t="s">
        <v>4763</v>
      </c>
    </row>
    <row r="1525" spans="1:62" x14ac:dyDescent="0.3">
      <c r="A1525" s="1200">
        <v>8</v>
      </c>
      <c r="B1525" s="1210" t="s">
        <v>925</v>
      </c>
      <c r="C1525" s="1203"/>
      <c r="D1525" s="1203"/>
      <c r="E1525" s="1203"/>
      <c r="F1525" s="1203"/>
      <c r="G1525" s="1202" t="str">
        <f t="shared" ref="G1525:G1531" ca="1" si="498">G1524</f>
        <v/>
      </c>
      <c r="H1525" s="1200" t="s">
        <v>4388</v>
      </c>
      <c r="I1525" s="66"/>
      <c r="J1525" s="4"/>
      <c r="K1525" s="4"/>
      <c r="L1525" s="1292"/>
      <c r="M1525" s="866"/>
      <c r="N1525" s="1310"/>
      <c r="O1525" s="1310"/>
      <c r="P1525" s="848"/>
      <c r="Q1525" s="848"/>
      <c r="R1525" s="848"/>
      <c r="S1525" s="848"/>
      <c r="T1525" s="848"/>
      <c r="U1525" s="848"/>
      <c r="V1525" s="848"/>
      <c r="W1525" s="848"/>
      <c r="X1525" s="848"/>
      <c r="Y1525" s="848"/>
      <c r="Z1525" s="1055"/>
      <c r="AB1525" s="848"/>
      <c r="AC1525" s="848"/>
      <c r="AD1525" s="848"/>
      <c r="AE1525" s="848"/>
      <c r="AF1525" s="848"/>
      <c r="AG1525" s="848"/>
      <c r="AH1525" s="848"/>
      <c r="AI1525" s="848"/>
      <c r="AJ1525" s="848"/>
      <c r="AK1525" s="848"/>
      <c r="AL1525" s="848"/>
      <c r="AM1525" s="848"/>
      <c r="AN1525" s="848"/>
      <c r="AO1525" s="848"/>
      <c r="AP1525" s="848"/>
      <c r="AQ1525" s="848"/>
      <c r="AR1525" s="848"/>
      <c r="AS1525" s="848"/>
      <c r="AT1525" s="848"/>
      <c r="AU1525" s="848"/>
      <c r="AV1525" s="848"/>
      <c r="AW1525" s="848"/>
      <c r="AX1525" s="848"/>
      <c r="AY1525" s="848"/>
      <c r="AZ1525" s="848"/>
      <c r="BA1525" s="848"/>
      <c r="BB1525" s="848"/>
      <c r="BC1525" s="848"/>
      <c r="BD1525" s="848"/>
      <c r="BE1525" s="848"/>
      <c r="BF1525" s="848"/>
      <c r="BG1525" s="848"/>
      <c r="BH1525" s="848"/>
      <c r="BJ1525" s="1184" t="s">
        <v>4763</v>
      </c>
    </row>
    <row r="1526" spans="1:62" x14ac:dyDescent="0.3">
      <c r="A1526" s="1200">
        <v>8</v>
      </c>
      <c r="B1526" s="1210" t="s">
        <v>925</v>
      </c>
      <c r="C1526" s="1203"/>
      <c r="D1526" s="1203"/>
      <c r="E1526" s="1203"/>
      <c r="F1526" s="1203"/>
      <c r="G1526" s="1202" t="str">
        <f t="shared" ca="1" si="498"/>
        <v/>
      </c>
      <c r="H1526" s="1200" t="s">
        <v>4388</v>
      </c>
      <c r="I1526" s="66"/>
      <c r="J1526" s="4"/>
      <c r="K1526" s="4"/>
      <c r="L1526" s="1292"/>
      <c r="M1526" s="866"/>
      <c r="N1526" s="1310"/>
      <c r="O1526" s="1310"/>
      <c r="P1526" s="848"/>
      <c r="Q1526" s="848"/>
      <c r="R1526" s="848"/>
      <c r="S1526" s="848"/>
      <c r="T1526" s="848"/>
      <c r="U1526" s="848"/>
      <c r="V1526" s="848"/>
      <c r="W1526" s="848"/>
      <c r="X1526" s="848"/>
      <c r="Y1526" s="848"/>
      <c r="Z1526" s="1055"/>
      <c r="AB1526" s="848"/>
      <c r="AC1526" s="848"/>
      <c r="AD1526" s="848"/>
      <c r="AE1526" s="848"/>
      <c r="AF1526" s="848"/>
      <c r="AG1526" s="848"/>
      <c r="AH1526" s="848"/>
      <c r="AI1526" s="848"/>
      <c r="AJ1526" s="848"/>
      <c r="AK1526" s="848"/>
      <c r="AL1526" s="848"/>
      <c r="AM1526" s="848"/>
      <c r="AN1526" s="848"/>
      <c r="AO1526" s="848"/>
      <c r="AP1526" s="848"/>
      <c r="AQ1526" s="848"/>
      <c r="AR1526" s="848"/>
      <c r="AS1526" s="848"/>
      <c r="AT1526" s="848"/>
      <c r="AU1526" s="848"/>
      <c r="AV1526" s="848"/>
      <c r="AW1526" s="848"/>
      <c r="AX1526" s="848"/>
      <c r="AY1526" s="848"/>
      <c r="AZ1526" s="848"/>
      <c r="BA1526" s="848"/>
      <c r="BB1526" s="848"/>
      <c r="BC1526" s="848"/>
      <c r="BD1526" s="848"/>
      <c r="BE1526" s="848"/>
      <c r="BF1526" s="848"/>
      <c r="BG1526" s="848"/>
      <c r="BH1526" s="848"/>
      <c r="BJ1526" s="1184" t="s">
        <v>4763</v>
      </c>
    </row>
    <row r="1527" spans="1:62" ht="15" customHeight="1" x14ac:dyDescent="0.3">
      <c r="A1527" s="1200">
        <v>8</v>
      </c>
      <c r="B1527" s="1210" t="s">
        <v>925</v>
      </c>
      <c r="C1527" s="1203"/>
      <c r="D1527" s="1203"/>
      <c r="E1527" s="1203" t="s">
        <v>271</v>
      </c>
      <c r="F1527" s="1203"/>
      <c r="G1527" s="1202" t="str">
        <f t="shared" ca="1" si="498"/>
        <v/>
      </c>
      <c r="H1527" s="1200" t="s">
        <v>4388</v>
      </c>
      <c r="I1527" s="66"/>
      <c r="J1527" s="203" t="s">
        <v>271</v>
      </c>
      <c r="K1527" s="140"/>
      <c r="L1527" s="861" t="s">
        <v>927</v>
      </c>
      <c r="M1527" s="1360" t="s">
        <v>3856</v>
      </c>
      <c r="N1527" s="850"/>
      <c r="O1527" s="850"/>
      <c r="P1527" s="97" t="b">
        <v>0</v>
      </c>
      <c r="Q1527" s="848" t="b">
        <v>1</v>
      </c>
      <c r="R1527" s="848" t="b">
        <v>0</v>
      </c>
      <c r="S1527" s="848" t="b">
        <v>1</v>
      </c>
      <c r="T1527" s="97" t="b">
        <f>IF(AND(NOT(S1527),LEN(W1527)&gt;0),TRUE,FALSE)</f>
        <v>0</v>
      </c>
      <c r="U1527" s="97" t="str">
        <f>SUBSTITUTE(SUBSTITUTE(SUBSTITUTE("dd"&amp;B1527&amp;C1527&amp;D1527&amp;E1527&amp;F1527,".","_"),"(","_"),")","")</f>
        <v>dd801_7_2_1</v>
      </c>
      <c r="V1527" s="848"/>
      <c r="W1527" s="12"/>
      <c r="X1527" s="1303"/>
      <c r="Y1527" s="1522" t="str">
        <f>IF(LEN('Ch8'!X141)=0,"None",'Ch8'!X141)</f>
        <v>None</v>
      </c>
      <c r="Z1527" s="1586"/>
      <c r="AB1527" s="848"/>
      <c r="AC1527" s="848" t="b">
        <f>OR(AD1527:AE1527)</f>
        <v>0</v>
      </c>
      <c r="AD1527" s="848" t="b">
        <f>T1527</f>
        <v>0</v>
      </c>
      <c r="AE1527" s="848"/>
      <c r="AF1527" s="848"/>
      <c r="AG1527" s="848"/>
      <c r="AH1527" s="848"/>
      <c r="AI1527" s="848"/>
      <c r="AJ1527" s="848"/>
      <c r="AK1527" s="848"/>
      <c r="AL1527" s="311" t="str">
        <f t="shared" ref="AL1527" si="499">SUBSTITUTE(SUBSTITUTE(SUBSTITUTE("vpa"&amp;$B1527&amp;$C1527&amp;$D1527&amp;$E1527&amp;$F1527,".","_"),"(","_"),")","")</f>
        <v>vpa801_7_2_1</v>
      </c>
      <c r="AM1527" s="311" t="str">
        <f>M1527</f>
        <v>5
15 Max</v>
      </c>
      <c r="AN1527" s="848"/>
      <c r="AO1527" s="848"/>
      <c r="AP1527" s="311" t="str">
        <f>SUBSTITUTE(SUBSTITUTE(SUBSTITUTE("vch"&amp;$B1527&amp;$C1527&amp;$D1527&amp;$E1527&amp;$F1527,".","_"),"(","_"),")","")</f>
        <v>vch801_7_2_1</v>
      </c>
      <c r="AQ1527" s="311">
        <f>W1527</f>
        <v>0</v>
      </c>
      <c r="AR1527" s="311" t="str">
        <f>SUBSTITUTE(SUBSTITUTE(SUBSTITUTE("vnt"&amp;$B1527&amp;$C1527&amp;$D1527&amp;$E1527&amp;$F1527,".","_"),"(","_"),")","")</f>
        <v>vnt801_7_2_1</v>
      </c>
      <c r="AS1527" s="311">
        <f>X1527</f>
        <v>0</v>
      </c>
      <c r="AT1527" s="848"/>
      <c r="AU1527" s="848"/>
      <c r="AV1527" s="848"/>
      <c r="AW1527" s="848"/>
      <c r="AX1527" s="848"/>
      <c r="AY1527" s="848"/>
      <c r="AZ1527" s="848"/>
      <c r="BA1527" s="848"/>
      <c r="BB1527" s="848"/>
      <c r="BC1527" s="848"/>
      <c r="BD1527" s="848"/>
      <c r="BE1527" s="848"/>
      <c r="BF1527" s="848"/>
      <c r="BG1527" s="848"/>
      <c r="BH1527" s="848"/>
      <c r="BJ1527" s="1184" t="s">
        <v>4763</v>
      </c>
    </row>
    <row r="1528" spans="1:62" x14ac:dyDescent="0.3">
      <c r="A1528" s="1200">
        <v>8</v>
      </c>
      <c r="B1528" s="1210" t="s">
        <v>925</v>
      </c>
      <c r="C1528" s="1203"/>
      <c r="D1528" s="1203"/>
      <c r="E1528" s="1203" t="s">
        <v>271</v>
      </c>
      <c r="F1528" s="1203"/>
      <c r="G1528" s="1202" t="str">
        <f t="shared" ca="1" si="498"/>
        <v/>
      </c>
      <c r="H1528" s="1200" t="s">
        <v>4388</v>
      </c>
      <c r="I1528" s="66"/>
      <c r="J1528" s="238"/>
      <c r="K1528" s="238"/>
      <c r="L1528" s="878" t="s">
        <v>928</v>
      </c>
      <c r="M1528" s="1319"/>
      <c r="N1528" s="850"/>
      <c r="O1528" s="850"/>
      <c r="P1528" s="848"/>
      <c r="Q1528" s="848"/>
      <c r="R1528" s="848"/>
      <c r="S1528" s="848"/>
      <c r="T1528" s="848"/>
      <c r="U1528" s="848"/>
      <c r="V1528" s="848"/>
      <c r="W1528" s="848"/>
      <c r="X1528" s="1303"/>
      <c r="Y1528" s="1522"/>
      <c r="Z1528" s="1586"/>
      <c r="AB1528" s="848"/>
      <c r="AC1528" s="848"/>
      <c r="AD1528" s="848"/>
      <c r="AE1528" s="848"/>
      <c r="AF1528" s="848"/>
      <c r="AG1528" s="848"/>
      <c r="AH1528" s="848"/>
      <c r="AI1528" s="848"/>
      <c r="AJ1528" s="848"/>
      <c r="AK1528" s="848"/>
      <c r="AL1528" s="848"/>
      <c r="AM1528" s="848"/>
      <c r="AN1528" s="848"/>
      <c r="AO1528" s="848"/>
      <c r="AP1528" s="848"/>
      <c r="AQ1528" s="848"/>
      <c r="AR1528" s="848"/>
      <c r="AS1528" s="848"/>
      <c r="AT1528" s="848"/>
      <c r="AU1528" s="848"/>
      <c r="AV1528" s="848"/>
      <c r="AW1528" s="848"/>
      <c r="AX1528" s="848"/>
      <c r="AY1528" s="848"/>
      <c r="AZ1528" s="848"/>
      <c r="BA1528" s="848"/>
      <c r="BB1528" s="848"/>
      <c r="BC1528" s="848"/>
      <c r="BD1528" s="848"/>
      <c r="BE1528" s="848"/>
      <c r="BF1528" s="848"/>
      <c r="BG1528" s="848"/>
      <c r="BH1528" s="848"/>
      <c r="BJ1528" s="1184" t="s">
        <v>4763</v>
      </c>
    </row>
    <row r="1529" spans="1:62" ht="15" thickBot="1" x14ac:dyDescent="0.35">
      <c r="A1529" s="1200">
        <v>8</v>
      </c>
      <c r="B1529" s="1210" t="s">
        <v>925</v>
      </c>
      <c r="C1529" s="1203"/>
      <c r="D1529" s="1203"/>
      <c r="E1529" s="1203" t="s">
        <v>273</v>
      </c>
      <c r="F1529" s="1203"/>
      <c r="G1529" s="1202" t="str">
        <f t="shared" ca="1" si="498"/>
        <v/>
      </c>
      <c r="H1529" s="1200" t="s">
        <v>4388</v>
      </c>
      <c r="I1529" s="212"/>
      <c r="J1529" s="213" t="s">
        <v>273</v>
      </c>
      <c r="K1529" s="270"/>
      <c r="L1529" s="869" t="s">
        <v>929</v>
      </c>
      <c r="M1529" s="865">
        <v>25</v>
      </c>
      <c r="N1529" s="858"/>
      <c r="O1529" s="858"/>
      <c r="P1529" s="97" t="b">
        <v>0</v>
      </c>
      <c r="Q1529" s="848" t="b">
        <v>1</v>
      </c>
      <c r="R1529" s="104" t="b">
        <v>0</v>
      </c>
      <c r="S1529" s="104" t="b">
        <v>1</v>
      </c>
      <c r="T1529" s="104" t="b">
        <v>0</v>
      </c>
      <c r="U1529" s="104"/>
      <c r="V1529" s="104"/>
      <c r="W1529" s="105"/>
      <c r="X1529" s="853"/>
      <c r="Y1529" s="890" t="str">
        <f>IF(LEN('Ch8'!X143)=0,"None",'Ch8'!X143)</f>
        <v>None</v>
      </c>
      <c r="Z1529" s="1173"/>
      <c r="AB1529" s="848"/>
      <c r="AC1529" s="848" t="b">
        <f>OR(AD1529:AE1529)</f>
        <v>0</v>
      </c>
      <c r="AD1529" s="848" t="b">
        <f>T1529</f>
        <v>0</v>
      </c>
      <c r="AE1529" s="848" t="b">
        <v>0</v>
      </c>
      <c r="AF1529" s="1182" t="b">
        <f>AND(AE1529,NOT(Q1529))</f>
        <v>0</v>
      </c>
      <c r="AG1529" s="848"/>
      <c r="AH1529" s="848"/>
      <c r="AI1529" s="848"/>
      <c r="AJ1529" s="848"/>
      <c r="AK1529" s="848"/>
      <c r="AL1529" s="311" t="str">
        <f t="shared" ref="AL1529:AL1530" si="500">SUBSTITUTE(SUBSTITUTE(SUBSTITUTE("vpa"&amp;$B1529&amp;$C1529&amp;$D1529&amp;$E1529&amp;$F1529,".","_"),"(","_"),")","")</f>
        <v>vpa801_7_2_2</v>
      </c>
      <c r="AM1529" s="311">
        <f>M1529</f>
        <v>25</v>
      </c>
      <c r="AN1529" s="848"/>
      <c r="AO1529" s="848"/>
      <c r="AP1529" s="311" t="str">
        <f>SUBSTITUTE(SUBSTITUTE(SUBSTITUTE("vch"&amp;$B1529&amp;$C1529&amp;$D1529&amp;$E1529&amp;$F1529,".","_"),"(","_"),")","")</f>
        <v>vch801_7_2_2</v>
      </c>
      <c r="AQ1529" s="311">
        <f>W1529</f>
        <v>0</v>
      </c>
      <c r="AR1529" s="311" t="str">
        <f t="shared" ref="AR1529:AR1530" si="501">SUBSTITUTE(SUBSTITUTE(SUBSTITUTE("vnt"&amp;$B1529&amp;$C1529&amp;$D1529&amp;$E1529&amp;$F1529,".","_"),"(","_"),")","")</f>
        <v>vnt801_7_2_2</v>
      </c>
      <c r="AS1529" s="311">
        <f>X1529</f>
        <v>0</v>
      </c>
      <c r="AT1529" s="848"/>
      <c r="AU1529" s="848"/>
      <c r="AV1529" s="848"/>
      <c r="AW1529" s="848"/>
      <c r="AX1529" s="848"/>
      <c r="AY1529" s="848"/>
      <c r="AZ1529" s="848"/>
      <c r="BA1529" s="848"/>
      <c r="BB1529" s="848"/>
      <c r="BC1529" s="848"/>
      <c r="BD1529" s="848"/>
      <c r="BE1529" s="848"/>
      <c r="BF1529" s="848"/>
      <c r="BG1529" s="848"/>
      <c r="BH1529" s="848"/>
      <c r="BJ1529" s="1184" t="s">
        <v>4763</v>
      </c>
    </row>
    <row r="1530" spans="1:62" ht="15" thickTop="1" x14ac:dyDescent="0.3">
      <c r="A1530" s="1200">
        <v>8</v>
      </c>
      <c r="B1530" s="1210">
        <v>801.8</v>
      </c>
      <c r="C1530" s="1203"/>
      <c r="D1530" s="1203"/>
      <c r="E1530" s="1203"/>
      <c r="F1530" s="1203"/>
      <c r="G1530" s="1202" t="str">
        <f>IF(N1530&gt;0,"P","")</f>
        <v/>
      </c>
      <c r="H1530" s="1200" t="s">
        <v>4388</v>
      </c>
      <c r="I1530" s="66">
        <v>801.8</v>
      </c>
      <c r="J1530" s="4"/>
      <c r="K1530" s="4"/>
      <c r="L1530" s="1292" t="s">
        <v>930</v>
      </c>
      <c r="M1530" s="1343">
        <v>1</v>
      </c>
      <c r="N1530" s="1336">
        <f>'Ch8'!O144</f>
        <v>0</v>
      </c>
      <c r="O1530" s="1336">
        <f>M1530*S1530*W1530</f>
        <v>0</v>
      </c>
      <c r="P1530" s="97" t="b">
        <v>0</v>
      </c>
      <c r="Q1530" s="848" t="b">
        <v>1</v>
      </c>
      <c r="R1530" s="848" t="b">
        <v>0</v>
      </c>
      <c r="S1530" s="848" t="b">
        <v>1</v>
      </c>
      <c r="T1530" s="848" t="b">
        <v>0</v>
      </c>
      <c r="U1530" s="848"/>
      <c r="V1530" s="848"/>
      <c r="W1530" s="127"/>
      <c r="X1530" s="1304"/>
      <c r="Y1530" s="1525" t="str">
        <f>IF(LEN('Ch8'!X144)=0,"None",'Ch8'!X144)</f>
        <v>None</v>
      </c>
      <c r="Z1530" s="1585"/>
      <c r="AB1530" s="848"/>
      <c r="AC1530" s="848" t="b">
        <f>OR(AD1530:AE1530)</f>
        <v>0</v>
      </c>
      <c r="AD1530" s="848" t="b">
        <f>T1530</f>
        <v>0</v>
      </c>
      <c r="AE1530" s="848" t="b">
        <v>0</v>
      </c>
      <c r="AF1530" s="1182" t="b">
        <f>AND(AE1530,NOT(Q1530))</f>
        <v>0</v>
      </c>
      <c r="AG1530" s="848"/>
      <c r="AH1530" s="848"/>
      <c r="AI1530" s="848"/>
      <c r="AJ1530" s="848"/>
      <c r="AK1530" s="848"/>
      <c r="AL1530" s="311" t="str">
        <f t="shared" si="500"/>
        <v>vpa801_8</v>
      </c>
      <c r="AM1530" s="311">
        <f>M1530</f>
        <v>1</v>
      </c>
      <c r="AN1530" s="311" t="str">
        <f>SUBSTITUTE(SUBSTITUTE(SUBSTITUTE("vpc"&amp;$B1530&amp;$C1530&amp;$D1530&amp;$E1530&amp;$F1530,".","_"),"(","_"),")","")</f>
        <v>vpc801_8</v>
      </c>
      <c r="AO1530" s="311">
        <f>O1530</f>
        <v>0</v>
      </c>
      <c r="AP1530" s="311" t="str">
        <f>SUBSTITUTE(SUBSTITUTE(SUBSTITUTE("vch"&amp;$B1530&amp;$C1530&amp;$D1530&amp;$E1530&amp;$F1530,".","_"),"(","_"),")","")</f>
        <v>vch801_8</v>
      </c>
      <c r="AQ1530" s="311">
        <f>W1530</f>
        <v>0</v>
      </c>
      <c r="AR1530" s="311" t="str">
        <f t="shared" si="501"/>
        <v>vnt801_8</v>
      </c>
      <c r="AS1530" s="311">
        <f>X1530</f>
        <v>0</v>
      </c>
      <c r="AT1530" s="848"/>
      <c r="AU1530" s="848"/>
      <c r="AV1530" s="848"/>
      <c r="AW1530" s="848"/>
      <c r="AX1530" s="848"/>
      <c r="AY1530" s="848"/>
      <c r="AZ1530" s="848"/>
      <c r="BA1530" s="848"/>
      <c r="BB1530" s="848"/>
      <c r="BC1530" s="848"/>
      <c r="BD1530" s="848"/>
      <c r="BE1530" s="848"/>
      <c r="BF1530" s="848"/>
      <c r="BG1530" s="848"/>
      <c r="BH1530" s="848"/>
      <c r="BJ1530" s="1184" t="s">
        <v>4763</v>
      </c>
    </row>
    <row r="1531" spans="1:62" x14ac:dyDescent="0.3">
      <c r="A1531" s="1200">
        <v>8</v>
      </c>
      <c r="B1531" s="1210">
        <v>801.8</v>
      </c>
      <c r="C1531" s="1203"/>
      <c r="D1531" s="1203"/>
      <c r="E1531" s="1203"/>
      <c r="F1531" s="1203"/>
      <c r="G1531" s="1202" t="str">
        <f t="shared" si="498"/>
        <v/>
      </c>
      <c r="H1531" s="1200" t="s">
        <v>4388</v>
      </c>
      <c r="I1531" s="66"/>
      <c r="J1531" s="4"/>
      <c r="K1531" s="4"/>
      <c r="L1531" s="1292"/>
      <c r="M1531" s="1335"/>
      <c r="N1531" s="1310"/>
      <c r="O1531" s="1310"/>
      <c r="P1531" s="848"/>
      <c r="Q1531" s="848"/>
      <c r="R1531" s="848"/>
      <c r="S1531" s="848"/>
      <c r="T1531" s="848"/>
      <c r="U1531" s="848"/>
      <c r="V1531" s="848"/>
      <c r="W1531" s="848"/>
      <c r="X1531" s="1303"/>
      <c r="Y1531" s="1522"/>
      <c r="Z1531" s="1586"/>
      <c r="AB1531" s="848"/>
      <c r="AC1531" s="848"/>
      <c r="AD1531" s="848"/>
      <c r="AE1531" s="848"/>
      <c r="AF1531" s="848"/>
      <c r="AG1531" s="848"/>
      <c r="AH1531" s="848"/>
      <c r="AI1531" s="848"/>
      <c r="AJ1531" s="848"/>
      <c r="AK1531" s="848"/>
      <c r="AL1531" s="848"/>
      <c r="AM1531" s="848"/>
      <c r="AN1531" s="848"/>
      <c r="AO1531" s="848"/>
      <c r="AP1531" s="848"/>
      <c r="AQ1531" s="848"/>
      <c r="AR1531" s="848"/>
      <c r="AS1531" s="848"/>
      <c r="AT1531" s="848"/>
      <c r="AU1531" s="848"/>
      <c r="AV1531" s="848"/>
      <c r="AW1531" s="848"/>
      <c r="AX1531" s="848"/>
      <c r="AY1531" s="848"/>
      <c r="AZ1531" s="848"/>
      <c r="BA1531" s="848"/>
      <c r="BB1531" s="848"/>
      <c r="BC1531" s="848"/>
      <c r="BD1531" s="848"/>
      <c r="BE1531" s="848"/>
      <c r="BF1531" s="848"/>
      <c r="BG1531" s="848"/>
      <c r="BH1531" s="848"/>
      <c r="BJ1531" s="1184" t="s">
        <v>4763</v>
      </c>
    </row>
    <row r="1532" spans="1:62" ht="18" x14ac:dyDescent="0.35">
      <c r="A1532" s="1200">
        <v>8</v>
      </c>
      <c r="B1532" s="1210">
        <v>802</v>
      </c>
      <c r="C1532" s="1203"/>
      <c r="D1532" s="1203"/>
      <c r="E1532" s="1203"/>
      <c r="F1532" s="1203"/>
      <c r="G1532" s="1202" t="s">
        <v>4389</v>
      </c>
      <c r="H1532" s="1200" t="s">
        <v>4386</v>
      </c>
      <c r="I1532" s="14" t="s">
        <v>931</v>
      </c>
      <c r="J1532" s="23"/>
      <c r="K1532" s="23"/>
      <c r="L1532" s="259"/>
      <c r="M1532" s="594"/>
      <c r="N1532" s="594"/>
      <c r="O1532" s="594"/>
      <c r="P1532" s="23"/>
      <c r="Q1532" s="23"/>
      <c r="R1532" s="23"/>
      <c r="S1532" s="23"/>
      <c r="T1532" s="23"/>
      <c r="U1532" s="23"/>
      <c r="V1532" s="23"/>
      <c r="W1532" s="23"/>
      <c r="X1532" s="23"/>
      <c r="Y1532" s="23"/>
      <c r="Z1532" s="1168"/>
      <c r="AB1532" s="848"/>
      <c r="AC1532" s="848"/>
      <c r="AD1532" s="848"/>
      <c r="AE1532" s="848"/>
      <c r="AF1532" s="848"/>
      <c r="AG1532" s="848"/>
      <c r="AH1532" s="848"/>
      <c r="AI1532" s="848"/>
      <c r="AJ1532" s="848"/>
      <c r="AK1532" s="848"/>
      <c r="AL1532" s="848"/>
      <c r="AM1532" s="848"/>
      <c r="AN1532" s="848"/>
      <c r="AO1532" s="848"/>
      <c r="AP1532" s="848"/>
      <c r="AQ1532" s="848"/>
      <c r="AR1532" s="848"/>
      <c r="AS1532" s="848"/>
      <c r="AT1532" s="848"/>
      <c r="AU1532" s="848"/>
      <c r="AV1532" s="848"/>
      <c r="AW1532" s="848"/>
      <c r="AX1532" s="848"/>
      <c r="AY1532" s="848"/>
      <c r="AZ1532" s="848"/>
      <c r="BA1532" s="848"/>
      <c r="BB1532" s="848"/>
      <c r="BC1532" s="848"/>
      <c r="BD1532" s="848"/>
      <c r="BE1532" s="848"/>
      <c r="BF1532" s="848"/>
      <c r="BG1532" s="848"/>
      <c r="BH1532" s="848"/>
      <c r="BJ1532" s="1184" t="s">
        <v>4763</v>
      </c>
    </row>
    <row r="1533" spans="1:62" x14ac:dyDescent="0.3">
      <c r="A1533" s="1200">
        <v>8</v>
      </c>
      <c r="B1533" s="1210">
        <v>802.1</v>
      </c>
      <c r="C1533" s="1203"/>
      <c r="D1533" s="1203"/>
      <c r="E1533" s="1203"/>
      <c r="F1533" s="1203"/>
      <c r="G1533" s="1202" t="str">
        <f ca="1">IF(N1533&gt;0,"P","")</f>
        <v/>
      </c>
      <c r="H1533" s="1200" t="s">
        <v>4386</v>
      </c>
      <c r="I1533" s="66">
        <v>802.1</v>
      </c>
      <c r="J1533" s="4"/>
      <c r="K1533" s="4"/>
      <c r="L1533" s="1292" t="s">
        <v>932</v>
      </c>
      <c r="M1533" s="866"/>
      <c r="N1533" s="1310">
        <f ca="1">'Ch8'!O147</f>
        <v>0</v>
      </c>
      <c r="O1533" s="1310">
        <f ca="1">MAX(IFERROR(5*MATCH(W1537,INDIRECT(U1537),0),0)*S1537,M1539*S1539*W1539)*S1537</f>
        <v>0</v>
      </c>
      <c r="P1533" s="848"/>
      <c r="Q1533" s="848"/>
      <c r="R1533" s="848"/>
      <c r="S1533" s="848"/>
      <c r="T1533" s="848"/>
      <c r="U1533" s="848"/>
      <c r="V1533" s="848"/>
      <c r="W1533" s="848"/>
      <c r="X1533" s="848"/>
      <c r="Y1533" s="848"/>
      <c r="Z1533" s="1055"/>
      <c r="AB1533" s="848"/>
      <c r="AC1533" s="848"/>
      <c r="AD1533" s="848"/>
      <c r="AE1533" s="848"/>
      <c r="AF1533" s="848"/>
      <c r="AG1533" s="848"/>
      <c r="AH1533" s="848"/>
      <c r="AI1533" s="848"/>
      <c r="AJ1533" s="848"/>
      <c r="AK1533" s="848"/>
      <c r="AL1533" s="848"/>
      <c r="AM1533" s="848"/>
      <c r="AN1533" s="311" t="str">
        <f>SUBSTITUTE(SUBSTITUTE(SUBSTITUTE("vpc"&amp;$B1533&amp;$C1533&amp;$D1533&amp;$E1533&amp;$F1533,".","_"),"(","_"),")","")</f>
        <v>vpc802_1</v>
      </c>
      <c r="AO1533" s="311">
        <f ca="1">O1533</f>
        <v>0</v>
      </c>
      <c r="AP1533" s="848"/>
      <c r="AQ1533" s="848"/>
      <c r="AR1533" s="848"/>
      <c r="AS1533" s="848"/>
      <c r="AT1533" s="848"/>
      <c r="AU1533" s="848"/>
      <c r="AV1533" s="848"/>
      <c r="AW1533" s="848"/>
      <c r="AX1533" s="848"/>
      <c r="AY1533" s="848"/>
      <c r="AZ1533" s="848"/>
      <c r="BA1533" s="848"/>
      <c r="BB1533" s="848"/>
      <c r="BC1533" s="848"/>
      <c r="BD1533" s="848"/>
      <c r="BE1533" s="848"/>
      <c r="BF1533" s="848"/>
      <c r="BG1533" s="848"/>
      <c r="BH1533" s="848"/>
      <c r="BJ1533" s="1184" t="s">
        <v>4763</v>
      </c>
    </row>
    <row r="1534" spans="1:62" x14ac:dyDescent="0.3">
      <c r="A1534" s="1200">
        <v>8</v>
      </c>
      <c r="B1534" s="1210">
        <v>802.1</v>
      </c>
      <c r="C1534" s="1203"/>
      <c r="D1534" s="1203"/>
      <c r="E1534" s="1203"/>
      <c r="F1534" s="1203"/>
      <c r="G1534" s="1202" t="str">
        <f t="shared" ref="G1534:G1539" ca="1" si="502">G1533</f>
        <v/>
      </c>
      <c r="H1534" s="1200" t="s">
        <v>4386</v>
      </c>
      <c r="I1534" s="66"/>
      <c r="J1534" s="4"/>
      <c r="K1534" s="4"/>
      <c r="L1534" s="1292"/>
      <c r="M1534" s="866"/>
      <c r="N1534" s="1310"/>
      <c r="O1534" s="1310"/>
      <c r="P1534" s="848"/>
      <c r="Q1534" s="848"/>
      <c r="R1534" s="848"/>
      <c r="S1534" s="848"/>
      <c r="T1534" s="848"/>
      <c r="U1534" s="848"/>
      <c r="V1534" s="848"/>
      <c r="W1534" s="848"/>
      <c r="X1534" s="848"/>
      <c r="Y1534" s="848"/>
      <c r="Z1534" s="1055"/>
      <c r="AB1534" s="848"/>
      <c r="AC1534" s="848"/>
      <c r="AD1534" s="848"/>
      <c r="AE1534" s="848"/>
      <c r="AF1534" s="848"/>
      <c r="AG1534" s="848"/>
      <c r="AH1534" s="848"/>
      <c r="AI1534" s="848"/>
      <c r="AJ1534" s="848"/>
      <c r="AK1534" s="848"/>
      <c r="AL1534" s="848"/>
      <c r="AM1534" s="848"/>
      <c r="AN1534" s="848"/>
      <c r="AO1534" s="848"/>
      <c r="AP1534" s="848"/>
      <c r="AQ1534" s="848"/>
      <c r="AR1534" s="848"/>
      <c r="AS1534" s="848"/>
      <c r="AT1534" s="848"/>
      <c r="AU1534" s="848"/>
      <c r="AV1534" s="848"/>
      <c r="AW1534" s="848"/>
      <c r="AX1534" s="848"/>
      <c r="AY1534" s="848"/>
      <c r="AZ1534" s="848"/>
      <c r="BA1534" s="848"/>
      <c r="BB1534" s="848"/>
      <c r="BC1534" s="848"/>
      <c r="BD1534" s="848"/>
      <c r="BE1534" s="848"/>
      <c r="BF1534" s="848"/>
      <c r="BG1534" s="848"/>
      <c r="BH1534" s="848"/>
      <c r="BJ1534" s="1184" t="s">
        <v>4763</v>
      </c>
    </row>
    <row r="1535" spans="1:62" x14ac:dyDescent="0.3">
      <c r="A1535" s="1200">
        <v>8</v>
      </c>
      <c r="B1535" s="1210">
        <v>802.1</v>
      </c>
      <c r="C1535" s="1203"/>
      <c r="D1535" s="1203"/>
      <c r="E1535" s="1203"/>
      <c r="F1535" s="1203"/>
      <c r="G1535" s="1202" t="str">
        <f t="shared" ca="1" si="502"/>
        <v/>
      </c>
      <c r="H1535" s="1200" t="s">
        <v>4386</v>
      </c>
      <c r="I1535" s="66"/>
      <c r="J1535" s="4"/>
      <c r="K1535" s="4"/>
      <c r="L1535" s="870" t="s">
        <v>933</v>
      </c>
      <c r="M1535" s="866"/>
      <c r="N1535" s="1310"/>
      <c r="O1535" s="1310"/>
      <c r="P1535" s="848"/>
      <c r="Q1535" s="848"/>
      <c r="R1535" s="848"/>
      <c r="S1535" s="848"/>
      <c r="T1535" s="848"/>
      <c r="U1535" s="848"/>
      <c r="V1535" s="848"/>
      <c r="W1535" s="848"/>
      <c r="X1535" s="848"/>
      <c r="Y1535" s="848"/>
      <c r="Z1535" s="1055"/>
      <c r="AB1535" s="848"/>
      <c r="AC1535" s="848"/>
      <c r="AD1535" s="848"/>
      <c r="AE1535" s="848"/>
      <c r="AF1535" s="848"/>
      <c r="AG1535" s="848"/>
      <c r="AH1535" s="848"/>
      <c r="AI1535" s="848"/>
      <c r="AJ1535" s="848"/>
      <c r="AK1535" s="848"/>
      <c r="AL1535" s="848"/>
      <c r="AM1535" s="848"/>
      <c r="AN1535" s="848"/>
      <c r="AO1535" s="848"/>
      <c r="AP1535" s="848"/>
      <c r="AQ1535" s="848"/>
      <c r="AR1535" s="848"/>
      <c r="AS1535" s="848"/>
      <c r="AT1535" s="848"/>
      <c r="AU1535" s="848"/>
      <c r="AV1535" s="848"/>
      <c r="AW1535" s="848"/>
      <c r="AX1535" s="848"/>
      <c r="AY1535" s="848"/>
      <c r="AZ1535" s="848"/>
      <c r="BA1535" s="848"/>
      <c r="BB1535" s="848"/>
      <c r="BC1535" s="848"/>
      <c r="BD1535" s="848"/>
      <c r="BE1535" s="848"/>
      <c r="BF1535" s="848"/>
      <c r="BG1535" s="848"/>
      <c r="BH1535" s="848"/>
      <c r="BJ1535" s="1184" t="s">
        <v>4763</v>
      </c>
    </row>
    <row r="1536" spans="1:62" x14ac:dyDescent="0.3">
      <c r="A1536" s="1200">
        <v>8</v>
      </c>
      <c r="B1536" s="1210">
        <v>802.1</v>
      </c>
      <c r="C1536" s="1203"/>
      <c r="D1536" s="1203"/>
      <c r="E1536" s="1203"/>
      <c r="F1536" s="1203"/>
      <c r="G1536" s="1202" t="str">
        <f t="shared" ca="1" si="502"/>
        <v/>
      </c>
      <c r="H1536" s="1200" t="s">
        <v>4386</v>
      </c>
      <c r="I1536" s="66"/>
      <c r="J1536" s="4"/>
      <c r="K1536" s="4"/>
      <c r="L1536" s="870" t="s">
        <v>934</v>
      </c>
      <c r="M1536" s="866"/>
      <c r="N1536" s="850"/>
      <c r="O1536" s="850"/>
      <c r="P1536" s="848"/>
      <c r="Q1536" s="848"/>
      <c r="R1536" s="848"/>
      <c r="S1536" s="848"/>
      <c r="T1536" s="848"/>
      <c r="U1536" s="848"/>
      <c r="V1536" s="848"/>
      <c r="W1536" s="848"/>
      <c r="X1536" s="848"/>
      <c r="Y1536" s="848"/>
      <c r="Z1536" s="1055"/>
      <c r="AB1536" s="848"/>
      <c r="AC1536" s="848"/>
      <c r="AD1536" s="848"/>
      <c r="AE1536" s="848"/>
      <c r="AF1536" s="848"/>
      <c r="AG1536" s="848"/>
      <c r="AH1536" s="848"/>
      <c r="AI1536" s="848"/>
      <c r="AJ1536" s="848"/>
      <c r="AK1536" s="848"/>
      <c r="AL1536" s="848"/>
      <c r="AM1536" s="848"/>
      <c r="AN1536" s="848"/>
      <c r="AO1536" s="848"/>
      <c r="AP1536" s="848"/>
      <c r="AQ1536" s="848"/>
      <c r="AR1536" s="848"/>
      <c r="AS1536" s="848"/>
      <c r="AT1536" s="848"/>
      <c r="AU1536" s="848"/>
      <c r="AV1536" s="848"/>
      <c r="AW1536" s="848"/>
      <c r="AX1536" s="848"/>
      <c r="AY1536" s="848"/>
      <c r="AZ1536" s="848"/>
      <c r="BA1536" s="848"/>
      <c r="BB1536" s="848"/>
      <c r="BC1536" s="848"/>
      <c r="BD1536" s="848"/>
      <c r="BE1536" s="848"/>
      <c r="BF1536" s="848"/>
      <c r="BG1536" s="848"/>
      <c r="BH1536" s="848"/>
      <c r="BJ1536" s="1184" t="s">
        <v>4763</v>
      </c>
    </row>
    <row r="1537" spans="1:62" x14ac:dyDescent="0.3">
      <c r="A1537" s="1200">
        <v>8</v>
      </c>
      <c r="B1537" s="1210">
        <v>802.1</v>
      </c>
      <c r="C1537" s="1203"/>
      <c r="D1537" s="1203"/>
      <c r="E1537" s="1203" t="s">
        <v>271</v>
      </c>
      <c r="F1537" s="1203"/>
      <c r="G1537" s="1202" t="str">
        <f t="shared" ca="1" si="502"/>
        <v/>
      </c>
      <c r="H1537" s="1200" t="s">
        <v>4386</v>
      </c>
      <c r="I1537" s="66"/>
      <c r="J1537" s="203" t="s">
        <v>271</v>
      </c>
      <c r="K1537" s="140"/>
      <c r="L1537" s="861" t="s">
        <v>935</v>
      </c>
      <c r="M1537" s="1360" t="s">
        <v>3861</v>
      </c>
      <c r="N1537" s="850"/>
      <c r="O1537" s="850"/>
      <c r="P1537" s="848" t="b">
        <v>1</v>
      </c>
      <c r="Q1537" s="848" t="b">
        <v>1</v>
      </c>
      <c r="R1537" s="848" t="b">
        <v>0</v>
      </c>
      <c r="S1537" s="848" t="b">
        <f>NOT(W1553)</f>
        <v>1</v>
      </c>
      <c r="T1537" s="97" t="b">
        <f>IF(AND(NOT(S1537),LEN(W1537)&gt;0),TRUE,FALSE)</f>
        <v>0</v>
      </c>
      <c r="U1537" s="97" t="str">
        <f>SUBSTITUTE(SUBSTITUTE(SUBSTITUTE("dd"&amp;B1537&amp;C1537&amp;D1537&amp;E1537&amp;F1537,".","_"),"(","_"),")","")</f>
        <v>dd802_1_1</v>
      </c>
      <c r="V1537" s="848"/>
      <c r="W1537" s="12"/>
      <c r="X1537" s="1303"/>
      <c r="Y1537" s="1522" t="str">
        <f>IF(LEN('Ch8'!X151)=0,"None",'Ch8'!X151)</f>
        <v>None</v>
      </c>
      <c r="Z1537" s="1586"/>
      <c r="AB1537" s="848"/>
      <c r="AC1537" s="848" t="b">
        <f>OR(AD1537:AE1537)</f>
        <v>0</v>
      </c>
      <c r="AD1537" s="848" t="b">
        <f>T1537</f>
        <v>0</v>
      </c>
      <c r="AE1537" s="848"/>
      <c r="AF1537" s="848"/>
      <c r="AG1537" s="848"/>
      <c r="AH1537" s="848"/>
      <c r="AI1537" s="848"/>
      <c r="AJ1537" s="848"/>
      <c r="AK1537" s="848"/>
      <c r="AL1537" s="311" t="str">
        <f t="shared" ref="AL1537" si="503">SUBSTITUTE(SUBSTITUTE(SUBSTITUTE("vpa"&amp;$B1537&amp;$C1537&amp;$D1537&amp;$E1537&amp;$F1537,".","_"),"(","_"),")","")</f>
        <v>vpa802_1_1</v>
      </c>
      <c r="AM1537" s="311" t="str">
        <f>M1537</f>
        <v>5
20 Max</v>
      </c>
      <c r="AN1537" s="848"/>
      <c r="AO1537" s="848"/>
      <c r="AP1537" s="311" t="str">
        <f>SUBSTITUTE(SUBSTITUTE(SUBSTITUTE("vch"&amp;$B1537&amp;$C1537&amp;$D1537&amp;$E1537&amp;$F1537,".","_"),"(","_"),")","")</f>
        <v>vch802_1_1</v>
      </c>
      <c r="AQ1537" s="311">
        <f>W1537</f>
        <v>0</v>
      </c>
      <c r="AR1537" s="311" t="str">
        <f>SUBSTITUTE(SUBSTITUTE(SUBSTITUTE("vnt"&amp;$B1537&amp;$C1537&amp;$D1537&amp;$E1537&amp;$F1537,".","_"),"(","_"),")","")</f>
        <v>vnt802_1_1</v>
      </c>
      <c r="AS1537" s="311">
        <f>X1537</f>
        <v>0</v>
      </c>
      <c r="AT1537" s="848"/>
      <c r="AU1537" s="848"/>
      <c r="AV1537" s="848"/>
      <c r="AW1537" s="848"/>
      <c r="AX1537" s="848"/>
      <c r="AY1537" s="848"/>
      <c r="AZ1537" s="848"/>
      <c r="BA1537" s="848"/>
      <c r="BB1537" s="848"/>
      <c r="BC1537" s="848"/>
      <c r="BD1537" s="848"/>
      <c r="BE1537" s="848"/>
      <c r="BF1537" s="848"/>
      <c r="BG1537" s="848"/>
      <c r="BH1537" s="848"/>
      <c r="BJ1537" s="1184" t="s">
        <v>4763</v>
      </c>
    </row>
    <row r="1538" spans="1:62" x14ac:dyDescent="0.3">
      <c r="A1538" s="1200">
        <v>8</v>
      </c>
      <c r="B1538" s="1210">
        <v>802.1</v>
      </c>
      <c r="C1538" s="1203"/>
      <c r="D1538" s="1203"/>
      <c r="E1538" s="1203" t="s">
        <v>271</v>
      </c>
      <c r="F1538" s="1203"/>
      <c r="G1538" s="1202" t="str">
        <f t="shared" ca="1" si="502"/>
        <v/>
      </c>
      <c r="H1538" s="1200" t="s">
        <v>4386</v>
      </c>
      <c r="I1538" s="66"/>
      <c r="J1538" s="238"/>
      <c r="K1538" s="238"/>
      <c r="L1538" s="878" t="s">
        <v>936</v>
      </c>
      <c r="M1538" s="1319"/>
      <c r="N1538" s="850"/>
      <c r="O1538" s="850"/>
      <c r="P1538" s="848"/>
      <c r="Q1538" s="848"/>
      <c r="R1538" s="848"/>
      <c r="S1538" s="848"/>
      <c r="T1538" s="848"/>
      <c r="U1538" s="848"/>
      <c r="V1538" s="848"/>
      <c r="W1538" s="848"/>
      <c r="X1538" s="1303"/>
      <c r="Y1538" s="1522"/>
      <c r="Z1538" s="1586"/>
      <c r="AB1538" s="848"/>
      <c r="AC1538" s="848"/>
      <c r="AD1538" s="848"/>
      <c r="AE1538" s="848"/>
      <c r="AF1538" s="848"/>
      <c r="AG1538" s="848"/>
      <c r="AH1538" s="848"/>
      <c r="AI1538" s="848"/>
      <c r="AJ1538" s="848"/>
      <c r="AK1538" s="848"/>
      <c r="AL1538" s="848"/>
      <c r="AM1538" s="848"/>
      <c r="AN1538" s="848"/>
      <c r="AO1538" s="848"/>
      <c r="AP1538" s="848"/>
      <c r="AQ1538" s="848"/>
      <c r="AR1538" s="848"/>
      <c r="AS1538" s="848"/>
      <c r="AT1538" s="848"/>
      <c r="AU1538" s="848"/>
      <c r="AV1538" s="848"/>
      <c r="AW1538" s="848"/>
      <c r="AX1538" s="848"/>
      <c r="AY1538" s="848"/>
      <c r="AZ1538" s="848"/>
      <c r="BA1538" s="848"/>
      <c r="BB1538" s="848"/>
      <c r="BC1538" s="848"/>
      <c r="BD1538" s="848"/>
      <c r="BE1538" s="848"/>
      <c r="BF1538" s="848"/>
      <c r="BG1538" s="848"/>
      <c r="BH1538" s="848"/>
      <c r="BJ1538" s="1184" t="s">
        <v>4763</v>
      </c>
    </row>
    <row r="1539" spans="1:62" ht="15" thickBot="1" x14ac:dyDescent="0.35">
      <c r="A1539" s="1200">
        <v>8</v>
      </c>
      <c r="B1539" s="1210">
        <v>802.1</v>
      </c>
      <c r="C1539" s="1203"/>
      <c r="D1539" s="1203"/>
      <c r="E1539" s="1203" t="s">
        <v>273</v>
      </c>
      <c r="F1539" s="1203"/>
      <c r="G1539" s="1202" t="str">
        <f t="shared" ca="1" si="502"/>
        <v/>
      </c>
      <c r="H1539" s="1200" t="s">
        <v>4386</v>
      </c>
      <c r="I1539" s="212"/>
      <c r="J1539" s="213" t="s">
        <v>273</v>
      </c>
      <c r="K1539" s="270"/>
      <c r="L1539" s="869" t="s">
        <v>937</v>
      </c>
      <c r="M1539" s="865">
        <v>10</v>
      </c>
      <c r="N1539" s="858"/>
      <c r="O1539" s="858"/>
      <c r="P1539" s="848" t="b">
        <v>1</v>
      </c>
      <c r="Q1539" s="848" t="b">
        <v>1</v>
      </c>
      <c r="R1539" s="104" t="b">
        <v>0</v>
      </c>
      <c r="S1539" s="104" t="b">
        <f>NOT(W1553)</f>
        <v>1</v>
      </c>
      <c r="T1539" s="104" t="b">
        <f>IF(AND(NOT(S1539),W1539=TRUE),TRUE,FALSE)</f>
        <v>0</v>
      </c>
      <c r="U1539" s="104"/>
      <c r="V1539" s="104"/>
      <c r="W1539" s="25"/>
      <c r="X1539" s="853"/>
      <c r="Y1539" s="890" t="str">
        <f>IF(LEN('Ch8'!X153)=0,"None",'Ch8'!X153)</f>
        <v>None</v>
      </c>
      <c r="Z1539" s="1173"/>
      <c r="AB1539" s="848"/>
      <c r="AC1539" s="848" t="b">
        <f>OR(AD1539:AE1539)</f>
        <v>0</v>
      </c>
      <c r="AD1539" s="848" t="b">
        <f>T1539</f>
        <v>0</v>
      </c>
      <c r="AE1539" s="848" t="b">
        <v>0</v>
      </c>
      <c r="AF1539" s="1182" t="b">
        <f>AND(AE1539,NOT(Q1539))</f>
        <v>0</v>
      </c>
      <c r="AG1539" s="848"/>
      <c r="AH1539" s="848"/>
      <c r="AI1539" s="848"/>
      <c r="AJ1539" s="848"/>
      <c r="AK1539" s="848"/>
      <c r="AL1539" s="311" t="str">
        <f t="shared" ref="AL1539:AL1540" si="504">SUBSTITUTE(SUBSTITUTE(SUBSTITUTE("vpa"&amp;$B1539&amp;$C1539&amp;$D1539&amp;$E1539&amp;$F1539,".","_"),"(","_"),")","")</f>
        <v>vpa802_1_2</v>
      </c>
      <c r="AM1539" s="311">
        <f>M1539</f>
        <v>10</v>
      </c>
      <c r="AN1539" s="848"/>
      <c r="AO1539" s="848"/>
      <c r="AP1539" s="311" t="str">
        <f>SUBSTITUTE(SUBSTITUTE(SUBSTITUTE("vch"&amp;$B1539&amp;$C1539&amp;$D1539&amp;$E1539&amp;$F1539,".","_"),"(","_"),")","")</f>
        <v>vch802_1_2</v>
      </c>
      <c r="AQ1539" s="311">
        <f>W1539</f>
        <v>0</v>
      </c>
      <c r="AR1539" s="311" t="str">
        <f t="shared" ref="AR1539:AR1540" si="505">SUBSTITUTE(SUBSTITUTE(SUBSTITUTE("vnt"&amp;$B1539&amp;$C1539&amp;$D1539&amp;$E1539&amp;$F1539,".","_"),"(","_"),")","")</f>
        <v>vnt802_1_2</v>
      </c>
      <c r="AS1539" s="311">
        <f>X1539</f>
        <v>0</v>
      </c>
      <c r="AT1539" s="848"/>
      <c r="AU1539" s="848"/>
      <c r="AV1539" s="848"/>
      <c r="AW1539" s="848"/>
      <c r="AX1539" s="848"/>
      <c r="AY1539" s="848"/>
      <c r="AZ1539" s="848"/>
      <c r="BA1539" s="848"/>
      <c r="BB1539" s="848"/>
      <c r="BC1539" s="848"/>
      <c r="BD1539" s="848"/>
      <c r="BE1539" s="848"/>
      <c r="BF1539" s="848"/>
      <c r="BG1539" s="848"/>
      <c r="BH1539" s="848"/>
      <c r="BJ1539" s="1184" t="s">
        <v>4763</v>
      </c>
    </row>
    <row r="1540" spans="1:62" ht="15" thickTop="1" x14ac:dyDescent="0.3">
      <c r="A1540" s="1200">
        <v>8</v>
      </c>
      <c r="B1540" s="1210">
        <v>802.2</v>
      </c>
      <c r="C1540" s="1203"/>
      <c r="D1540" s="1203"/>
      <c r="E1540" s="1203"/>
      <c r="F1540" s="1203"/>
      <c r="G1540" s="1202" t="str">
        <f>IF(N1540&gt;0,"P","")</f>
        <v/>
      </c>
      <c r="H1540" s="1200" t="s">
        <v>4386</v>
      </c>
      <c r="I1540" s="200">
        <v>802.2</v>
      </c>
      <c r="J1540" s="201"/>
      <c r="K1540" s="201"/>
      <c r="L1540" s="1331" t="s">
        <v>938</v>
      </c>
      <c r="M1540" s="1359" t="s">
        <v>939</v>
      </c>
      <c r="N1540" s="1336">
        <f>'Ch8'!O154</f>
        <v>0</v>
      </c>
      <c r="O1540" s="1336">
        <f>W1541*3</f>
        <v>0</v>
      </c>
      <c r="P1540" s="110"/>
      <c r="Q1540" s="110"/>
      <c r="R1540" s="110"/>
      <c r="S1540" s="110"/>
      <c r="T1540" s="110"/>
      <c r="U1540" s="110"/>
      <c r="V1540" s="110"/>
      <c r="W1540" s="110" t="s">
        <v>3860</v>
      </c>
      <c r="X1540" s="1327"/>
      <c r="Y1540" s="1525" t="str">
        <f>IF(LEN('Ch8'!X154)=0,"None",'Ch8'!X154)</f>
        <v>None</v>
      </c>
      <c r="Z1540" s="1585"/>
      <c r="AB1540" s="848"/>
      <c r="AC1540" s="848"/>
      <c r="AD1540" s="848"/>
      <c r="AE1540" s="848"/>
      <c r="AF1540" s="848"/>
      <c r="AG1540" s="848"/>
      <c r="AH1540" s="848"/>
      <c r="AI1540" s="848"/>
      <c r="AJ1540" s="848"/>
      <c r="AK1540" s="848"/>
      <c r="AL1540" s="311" t="str">
        <f t="shared" si="504"/>
        <v>vpa802_2</v>
      </c>
      <c r="AM1540" s="311" t="str">
        <f>M1540</f>
        <v>3 per roughed in system</v>
      </c>
      <c r="AN1540" s="311" t="str">
        <f>SUBSTITUTE(SUBSTITUTE(SUBSTITUTE("vpc"&amp;$B1540&amp;$C1540&amp;$D1540&amp;$E1540&amp;$F1540,".","_"),"(","_"),")","")</f>
        <v>vpc802_2</v>
      </c>
      <c r="AO1540" s="311">
        <f>O1540</f>
        <v>0</v>
      </c>
      <c r="AP1540" s="848"/>
      <c r="AQ1540" s="848"/>
      <c r="AR1540" s="311" t="str">
        <f t="shared" si="505"/>
        <v>vnt802_2</v>
      </c>
      <c r="AS1540" s="311">
        <f>X1540</f>
        <v>0</v>
      </c>
      <c r="AT1540" s="848"/>
      <c r="AU1540" s="848"/>
      <c r="AV1540" s="848"/>
      <c r="AW1540" s="848"/>
      <c r="AX1540" s="848"/>
      <c r="AY1540" s="848"/>
      <c r="AZ1540" s="848"/>
      <c r="BA1540" s="848"/>
      <c r="BB1540" s="848"/>
      <c r="BC1540" s="848"/>
      <c r="BD1540" s="848"/>
      <c r="BE1540" s="848"/>
      <c r="BF1540" s="848"/>
      <c r="BG1540" s="848"/>
      <c r="BH1540" s="848"/>
      <c r="BJ1540" s="1184" t="s">
        <v>4763</v>
      </c>
    </row>
    <row r="1541" spans="1:62" x14ac:dyDescent="0.3">
      <c r="A1541" s="1200">
        <v>8</v>
      </c>
      <c r="B1541" s="1210">
        <v>802.2</v>
      </c>
      <c r="C1541" s="1203"/>
      <c r="D1541" s="1203"/>
      <c r="E1541" s="1203"/>
      <c r="F1541" s="1203"/>
      <c r="G1541" s="1202" t="str">
        <f t="shared" ref="G1541:G1542" si="506">G1540</f>
        <v/>
      </c>
      <c r="H1541" s="1200" t="s">
        <v>4386</v>
      </c>
      <c r="I1541" s="141"/>
      <c r="J1541" s="140"/>
      <c r="K1541" s="140"/>
      <c r="L1541" s="1313"/>
      <c r="M1541" s="1360"/>
      <c r="N1541" s="1308"/>
      <c r="O1541" s="1308"/>
      <c r="P1541" s="848" t="b">
        <v>1</v>
      </c>
      <c r="Q1541" s="848" t="b">
        <v>1</v>
      </c>
      <c r="R1541" s="97" t="b">
        <v>0</v>
      </c>
      <c r="S1541" s="97" t="b">
        <v>1</v>
      </c>
      <c r="T1541" s="97" t="b">
        <f>IF(AND(NOT(S1541),LEN(W1541)&gt;0),TRUE,FALSE)</f>
        <v>0</v>
      </c>
      <c r="U1541" s="97"/>
      <c r="V1541" s="97"/>
      <c r="W1541" s="460"/>
      <c r="X1541" s="1295"/>
      <c r="Y1541" s="1522"/>
      <c r="Z1541" s="1586"/>
      <c r="AB1541" s="848"/>
      <c r="AC1541" s="848" t="b">
        <f>OR(AD1541:AE1541)</f>
        <v>0</v>
      </c>
      <c r="AD1541" s="848" t="b">
        <f>T1541</f>
        <v>0</v>
      </c>
      <c r="AE1541" s="848"/>
      <c r="AF1541" s="848"/>
      <c r="AG1541" s="848"/>
      <c r="AH1541" s="848"/>
      <c r="AI1541" s="848"/>
      <c r="AJ1541" s="848"/>
      <c r="AK1541" s="848"/>
      <c r="AL1541" s="848"/>
      <c r="AM1541" s="848"/>
      <c r="AN1541" s="848"/>
      <c r="AO1541" s="848"/>
      <c r="AP1541" s="311" t="str">
        <f>SUBSTITUTE(SUBSTITUTE(SUBSTITUTE("vch"&amp;$B1541&amp;$C1541&amp;$D1541&amp;$E1541&amp;$F1541,".","_"),"(","_"),")","")</f>
        <v>vch802_2</v>
      </c>
      <c r="AQ1541" s="311">
        <f>W1541</f>
        <v>0</v>
      </c>
      <c r="AR1541" s="848"/>
      <c r="AS1541" s="848"/>
      <c r="AT1541" s="848"/>
      <c r="AU1541" s="848"/>
      <c r="AV1541" s="848"/>
      <c r="AW1541" s="848"/>
      <c r="AX1541" s="848"/>
      <c r="AY1541" s="848"/>
      <c r="AZ1541" s="848"/>
      <c r="BA1541" s="848"/>
      <c r="BB1541" s="848"/>
      <c r="BC1541" s="848"/>
      <c r="BD1541" s="848"/>
      <c r="BE1541" s="848"/>
      <c r="BF1541" s="848"/>
      <c r="BG1541" s="848"/>
      <c r="BH1541" s="848"/>
      <c r="BJ1541" s="1184" t="s">
        <v>4763</v>
      </c>
    </row>
    <row r="1542" spans="1:62" ht="15" thickBot="1" x14ac:dyDescent="0.35">
      <c r="A1542" s="1200">
        <v>8</v>
      </c>
      <c r="B1542" s="1210">
        <v>802.2</v>
      </c>
      <c r="C1542" s="1203"/>
      <c r="D1542" s="1203"/>
      <c r="E1542" s="1203"/>
      <c r="F1542" s="1203"/>
      <c r="G1542" s="1202" t="str">
        <f t="shared" si="506"/>
        <v/>
      </c>
      <c r="H1542" s="1200" t="s">
        <v>4386</v>
      </c>
      <c r="I1542" s="212"/>
      <c r="J1542" s="270"/>
      <c r="K1542" s="270"/>
      <c r="L1542" s="1332"/>
      <c r="M1542" s="1421"/>
      <c r="N1542" s="1315"/>
      <c r="O1542" s="1315"/>
      <c r="P1542" s="104"/>
      <c r="Q1542" s="104"/>
      <c r="R1542" s="104"/>
      <c r="S1542" s="104"/>
      <c r="T1542" s="104"/>
      <c r="U1542" s="104"/>
      <c r="V1542" s="104"/>
      <c r="W1542" s="104"/>
      <c r="X1542" s="1296"/>
      <c r="Y1542" s="1522"/>
      <c r="Z1542" s="1586"/>
      <c r="AB1542" s="848"/>
      <c r="AC1542" s="848"/>
      <c r="AD1542" s="848"/>
      <c r="AE1542" s="848"/>
      <c r="AF1542" s="848"/>
      <c r="AG1542" s="848"/>
      <c r="AH1542" s="848"/>
      <c r="AI1542" s="848"/>
      <c r="AJ1542" s="848"/>
      <c r="AK1542" s="848"/>
      <c r="AL1542" s="848"/>
      <c r="AM1542" s="848"/>
      <c r="AN1542" s="848"/>
      <c r="AO1542" s="848"/>
      <c r="AP1542" s="848"/>
      <c r="AQ1542" s="848"/>
      <c r="AR1542" s="848"/>
      <c r="AS1542" s="848"/>
      <c r="AT1542" s="848"/>
      <c r="AU1542" s="848"/>
      <c r="AV1542" s="848"/>
      <c r="AW1542" s="848"/>
      <c r="AX1542" s="848"/>
      <c r="AY1542" s="848"/>
      <c r="AZ1542" s="848"/>
      <c r="BA1542" s="848"/>
      <c r="BB1542" s="848"/>
      <c r="BC1542" s="848"/>
      <c r="BD1542" s="848"/>
      <c r="BE1542" s="848"/>
      <c r="BF1542" s="848"/>
      <c r="BG1542" s="848"/>
      <c r="BH1542" s="848"/>
      <c r="BJ1542" s="1184" t="s">
        <v>4763</v>
      </c>
    </row>
    <row r="1543" spans="1:62" ht="15" thickTop="1" x14ac:dyDescent="0.3">
      <c r="A1543" s="1200">
        <v>8</v>
      </c>
      <c r="B1543" s="1210">
        <v>802.3</v>
      </c>
      <c r="C1543" s="1203"/>
      <c r="D1543" s="1203"/>
      <c r="E1543" s="1203"/>
      <c r="F1543" s="1203"/>
      <c r="G1543" s="1202" t="str">
        <f>IF(N1543&gt;0,"P","")</f>
        <v/>
      </c>
      <c r="H1543" s="1200" t="s">
        <v>4388</v>
      </c>
      <c r="I1543" s="66">
        <v>802.3</v>
      </c>
      <c r="J1543" s="4"/>
      <c r="K1543" s="4"/>
      <c r="L1543" s="1389" t="s">
        <v>940</v>
      </c>
      <c r="M1543" s="1335">
        <v>2</v>
      </c>
      <c r="N1543" s="1310">
        <f>'Ch8'!O157</f>
        <v>0</v>
      </c>
      <c r="O1543" s="1310">
        <f>IFERROR(2*OR(W1546,W1547),0)*S1546</f>
        <v>0</v>
      </c>
      <c r="P1543" s="848"/>
      <c r="Q1543" s="848"/>
      <c r="R1543" s="848"/>
      <c r="S1543" s="848"/>
      <c r="T1543" s="848"/>
      <c r="U1543" s="848"/>
      <c r="V1543" s="848"/>
      <c r="W1543" s="848"/>
      <c r="X1543" s="848"/>
      <c r="Y1543" s="848"/>
      <c r="Z1543" s="1055"/>
      <c r="AB1543" s="848"/>
      <c r="AC1543" s="848"/>
      <c r="AD1543" s="848"/>
      <c r="AE1543" s="848"/>
      <c r="AF1543" s="848"/>
      <c r="AG1543" s="848"/>
      <c r="AH1543" s="848"/>
      <c r="AI1543" s="848"/>
      <c r="AJ1543" s="848"/>
      <c r="AK1543" s="848"/>
      <c r="AL1543" s="311" t="str">
        <f t="shared" ref="AL1543" si="507">SUBSTITUTE(SUBSTITUTE(SUBSTITUTE("vpa"&amp;$B1543&amp;$C1543&amp;$D1543&amp;$E1543&amp;$F1543,".","_"),"(","_"),")","")</f>
        <v>vpa802_3</v>
      </c>
      <c r="AM1543" s="311">
        <f>M1543</f>
        <v>2</v>
      </c>
      <c r="AN1543" s="311" t="str">
        <f>SUBSTITUTE(SUBSTITUTE(SUBSTITUTE("vpc"&amp;$B1543&amp;$C1543&amp;$D1543&amp;$E1543&amp;$F1543,".","_"),"(","_"),")","")</f>
        <v>vpc802_3</v>
      </c>
      <c r="AO1543" s="311">
        <f>O1543</f>
        <v>0</v>
      </c>
      <c r="AP1543" s="848"/>
      <c r="AQ1543" s="848"/>
      <c r="AR1543" s="848"/>
      <c r="AS1543" s="848"/>
      <c r="AT1543" s="848"/>
      <c r="AU1543" s="848"/>
      <c r="AV1543" s="848"/>
      <c r="AW1543" s="848"/>
      <c r="AX1543" s="848"/>
      <c r="AY1543" s="848"/>
      <c r="AZ1543" s="848"/>
      <c r="BA1543" s="848"/>
      <c r="BB1543" s="848"/>
      <c r="BC1543" s="848"/>
      <c r="BD1543" s="848"/>
      <c r="BE1543" s="848"/>
      <c r="BF1543" s="848"/>
      <c r="BG1543" s="848"/>
      <c r="BH1543" s="848"/>
      <c r="BJ1543" s="1184" t="s">
        <v>4763</v>
      </c>
    </row>
    <row r="1544" spans="1:62" x14ac:dyDescent="0.3">
      <c r="A1544" s="1200">
        <v>8</v>
      </c>
      <c r="B1544" s="1210">
        <v>802.3</v>
      </c>
      <c r="C1544" s="1203"/>
      <c r="D1544" s="1203"/>
      <c r="E1544" s="1203"/>
      <c r="F1544" s="1203"/>
      <c r="G1544" s="1202" t="str">
        <f t="shared" ref="G1544:G1547" si="508">G1543</f>
        <v/>
      </c>
      <c r="H1544" s="1200" t="s">
        <v>4388</v>
      </c>
      <c r="I1544" s="66"/>
      <c r="J1544" s="4"/>
      <c r="K1544" s="4"/>
      <c r="L1544" s="1389"/>
      <c r="M1544" s="1335"/>
      <c r="N1544" s="1310"/>
      <c r="O1544" s="1310"/>
      <c r="P1544" s="848"/>
      <c r="Q1544" s="848"/>
      <c r="R1544" s="848"/>
      <c r="S1544" s="848"/>
      <c r="T1544" s="848"/>
      <c r="U1544" s="848"/>
      <c r="V1544" s="848"/>
      <c r="W1544" s="848"/>
      <c r="X1544" s="848"/>
      <c r="Y1544" s="848"/>
      <c r="Z1544" s="1055"/>
      <c r="AB1544" s="848"/>
      <c r="AC1544" s="848"/>
      <c r="AD1544" s="848"/>
      <c r="AE1544" s="848"/>
      <c r="AF1544" s="848"/>
      <c r="AG1544" s="848"/>
      <c r="AH1544" s="848"/>
      <c r="AI1544" s="848"/>
      <c r="AJ1544" s="848"/>
      <c r="AK1544" s="848"/>
      <c r="AL1544" s="848"/>
      <c r="AM1544" s="848"/>
      <c r="AN1544" s="848"/>
      <c r="AO1544" s="848"/>
      <c r="AP1544" s="848"/>
      <c r="AQ1544" s="848"/>
      <c r="AR1544" s="848"/>
      <c r="AS1544" s="848"/>
      <c r="AT1544" s="848"/>
      <c r="AU1544" s="848"/>
      <c r="AV1544" s="848"/>
      <c r="AW1544" s="848"/>
      <c r="AX1544" s="848"/>
      <c r="AY1544" s="848"/>
      <c r="AZ1544" s="848"/>
      <c r="BA1544" s="848"/>
      <c r="BB1544" s="848"/>
      <c r="BC1544" s="848"/>
      <c r="BD1544" s="848"/>
      <c r="BE1544" s="848"/>
      <c r="BF1544" s="848"/>
      <c r="BG1544" s="848"/>
      <c r="BH1544" s="848"/>
      <c r="BJ1544" s="1184" t="s">
        <v>4763</v>
      </c>
    </row>
    <row r="1545" spans="1:62" x14ac:dyDescent="0.3">
      <c r="A1545" s="1200">
        <v>8</v>
      </c>
      <c r="B1545" s="1210">
        <v>802.3</v>
      </c>
      <c r="C1545" s="1203"/>
      <c r="D1545" s="1203"/>
      <c r="E1545" s="1203"/>
      <c r="F1545" s="1203"/>
      <c r="G1545" s="1202" t="str">
        <f t="shared" si="508"/>
        <v/>
      </c>
      <c r="H1545" s="1200" t="s">
        <v>4388</v>
      </c>
      <c r="I1545" s="66"/>
      <c r="J1545" s="4"/>
      <c r="K1545" s="4"/>
      <c r="L1545" s="1389"/>
      <c r="M1545" s="1335"/>
      <c r="N1545" s="1310"/>
      <c r="O1545" s="1310"/>
      <c r="P1545" s="848"/>
      <c r="Q1545" s="848"/>
      <c r="R1545" s="848"/>
      <c r="S1545" s="848"/>
      <c r="T1545" s="848"/>
      <c r="U1545" s="848"/>
      <c r="V1545" s="848"/>
      <c r="W1545" s="848"/>
      <c r="X1545" s="848"/>
      <c r="Y1545" s="848"/>
      <c r="Z1545" s="1055"/>
      <c r="AB1545" s="848"/>
      <c r="AC1545" s="848"/>
      <c r="AD1545" s="848"/>
      <c r="AE1545" s="848"/>
      <c r="AF1545" s="848"/>
      <c r="AG1545" s="848"/>
      <c r="AH1545" s="848"/>
      <c r="AI1545" s="848"/>
      <c r="AJ1545" s="848"/>
      <c r="AK1545" s="848"/>
      <c r="AL1545" s="848"/>
      <c r="AM1545" s="848"/>
      <c r="AN1545" s="848"/>
      <c r="AO1545" s="848"/>
      <c r="AP1545" s="848"/>
      <c r="AQ1545" s="848"/>
      <c r="AR1545" s="848"/>
      <c r="AS1545" s="848"/>
      <c r="AT1545" s="848"/>
      <c r="AU1545" s="848"/>
      <c r="AV1545" s="848"/>
      <c r="AW1545" s="848"/>
      <c r="AX1545" s="848"/>
      <c r="AY1545" s="848"/>
      <c r="AZ1545" s="848"/>
      <c r="BA1545" s="848"/>
      <c r="BB1545" s="848"/>
      <c r="BC1545" s="848"/>
      <c r="BD1545" s="848"/>
      <c r="BE1545" s="848"/>
      <c r="BF1545" s="848"/>
      <c r="BG1545" s="848"/>
      <c r="BH1545" s="848"/>
      <c r="BJ1545" s="1184" t="s">
        <v>4763</v>
      </c>
    </row>
    <row r="1546" spans="1:62" x14ac:dyDescent="0.3">
      <c r="A1546" s="1200">
        <v>8</v>
      </c>
      <c r="B1546" s="1210">
        <v>802.3</v>
      </c>
      <c r="C1546" s="1203"/>
      <c r="D1546" s="1203"/>
      <c r="E1546" s="1203" t="s">
        <v>271</v>
      </c>
      <c r="F1546" s="1203"/>
      <c r="G1546" s="1202" t="str">
        <f t="shared" si="508"/>
        <v/>
      </c>
      <c r="H1546" s="1200" t="s">
        <v>4388</v>
      </c>
      <c r="I1546" s="141"/>
      <c r="J1546" s="231" t="s">
        <v>271</v>
      </c>
      <c r="K1546" s="238"/>
      <c r="L1546" s="862" t="s">
        <v>941</v>
      </c>
      <c r="M1546" s="856"/>
      <c r="N1546" s="854"/>
      <c r="O1546" s="854"/>
      <c r="P1546" s="97" t="b">
        <v>0</v>
      </c>
      <c r="Q1546" s="848" t="b">
        <v>1</v>
      </c>
      <c r="R1546" s="97" t="b">
        <v>0</v>
      </c>
      <c r="S1546" s="97" t="b">
        <v>1</v>
      </c>
      <c r="T1546" s="97" t="b">
        <f>IF(AND(NOT(S1546),W1546=TRUE),TRUE,FALSE)</f>
        <v>0</v>
      </c>
      <c r="U1546" s="97"/>
      <c r="V1546" s="97"/>
      <c r="W1546" s="25"/>
      <c r="X1546" s="852"/>
      <c r="Y1546" s="889" t="str">
        <f>IF(LEN('Ch8'!X160)=0,"None",'Ch8'!X160)</f>
        <v>None</v>
      </c>
      <c r="Z1546" s="1169"/>
      <c r="AB1546" s="848"/>
      <c r="AC1546" s="848" t="b">
        <f>OR(AD1546:AE1546)</f>
        <v>0</v>
      </c>
      <c r="AD1546" s="848" t="b">
        <f>T1546</f>
        <v>0</v>
      </c>
      <c r="AE1546" s="848" t="b">
        <v>0</v>
      </c>
      <c r="AF1546" s="1182" t="b">
        <f>AND(AE1546,NOT(Q1546))</f>
        <v>0</v>
      </c>
      <c r="AG1546" s="848"/>
      <c r="AH1546" s="848"/>
      <c r="AI1546" s="848"/>
      <c r="AJ1546" s="848"/>
      <c r="AK1546" s="848"/>
      <c r="AL1546" s="848"/>
      <c r="AM1546" s="848"/>
      <c r="AN1546" s="848"/>
      <c r="AO1546" s="848"/>
      <c r="AP1546" s="311" t="str">
        <f t="shared" ref="AP1546:AP1548" si="509">SUBSTITUTE(SUBSTITUTE(SUBSTITUTE("vch"&amp;$B1546&amp;$C1546&amp;$D1546&amp;$E1546&amp;$F1546,".","_"),"(","_"),")","")</f>
        <v>vch802_3_1</v>
      </c>
      <c r="AQ1546" s="311">
        <f>W1546</f>
        <v>0</v>
      </c>
      <c r="AR1546" s="311" t="str">
        <f t="shared" ref="AR1546:AR1548" si="510">SUBSTITUTE(SUBSTITUTE(SUBSTITUTE("vnt"&amp;$B1546&amp;$C1546&amp;$D1546&amp;$E1546&amp;$F1546,".","_"),"(","_"),")","")</f>
        <v>vnt802_3_1</v>
      </c>
      <c r="AS1546" s="311">
        <f>X1546</f>
        <v>0</v>
      </c>
      <c r="AT1546" s="848"/>
      <c r="AU1546" s="848"/>
      <c r="AV1546" s="848"/>
      <c r="AW1546" s="848"/>
      <c r="AX1546" s="848"/>
      <c r="AY1546" s="848"/>
      <c r="AZ1546" s="848"/>
      <c r="BA1546" s="848"/>
      <c r="BB1546" s="848"/>
      <c r="BC1546" s="848"/>
      <c r="BD1546" s="848"/>
      <c r="BE1546" s="848"/>
      <c r="BF1546" s="848"/>
      <c r="BG1546" s="848"/>
      <c r="BH1546" s="848"/>
      <c r="BJ1546" s="1184" t="s">
        <v>4763</v>
      </c>
    </row>
    <row r="1547" spans="1:62" ht="15" thickBot="1" x14ac:dyDescent="0.35">
      <c r="A1547" s="1200">
        <v>8</v>
      </c>
      <c r="B1547" s="1210">
        <v>802.3</v>
      </c>
      <c r="C1547" s="1203"/>
      <c r="D1547" s="1203"/>
      <c r="E1547" s="1203" t="s">
        <v>273</v>
      </c>
      <c r="F1547" s="1203"/>
      <c r="G1547" s="1202" t="str">
        <f t="shared" si="508"/>
        <v/>
      </c>
      <c r="H1547" s="1200" t="s">
        <v>4388</v>
      </c>
      <c r="I1547" s="212"/>
      <c r="J1547" s="213" t="s">
        <v>273</v>
      </c>
      <c r="K1547" s="270"/>
      <c r="L1547" s="869" t="s">
        <v>942</v>
      </c>
      <c r="M1547" s="865"/>
      <c r="N1547" s="858"/>
      <c r="O1547" s="858"/>
      <c r="P1547" s="97" t="b">
        <v>0</v>
      </c>
      <c r="Q1547" s="848" t="b">
        <v>1</v>
      </c>
      <c r="R1547" s="104" t="b">
        <v>0</v>
      </c>
      <c r="S1547" s="104" t="b">
        <v>1</v>
      </c>
      <c r="T1547" s="104" t="b">
        <f>IF(AND(NOT(S1547),W1547=TRUE),TRUE,FALSE)</f>
        <v>0</v>
      </c>
      <c r="U1547" s="104"/>
      <c r="V1547" s="104"/>
      <c r="W1547" s="105"/>
      <c r="X1547" s="853"/>
      <c r="Y1547" s="890" t="str">
        <f>IF(LEN('Ch8'!X161)=0,"None",'Ch8'!X161)</f>
        <v>None</v>
      </c>
      <c r="Z1547" s="1173"/>
      <c r="AB1547" s="848"/>
      <c r="AC1547" s="848" t="b">
        <f>OR(AD1547:AE1547)</f>
        <v>0</v>
      </c>
      <c r="AD1547" s="848" t="b">
        <f>T1547</f>
        <v>0</v>
      </c>
      <c r="AE1547" s="848" t="b">
        <v>0</v>
      </c>
      <c r="AF1547" s="1182" t="b">
        <f>AND(AE1547,NOT(Q1547))</f>
        <v>0</v>
      </c>
      <c r="AG1547" s="848"/>
      <c r="AH1547" s="848"/>
      <c r="AI1547" s="848"/>
      <c r="AJ1547" s="848"/>
      <c r="AK1547" s="848"/>
      <c r="AL1547" s="848"/>
      <c r="AM1547" s="848"/>
      <c r="AN1547" s="848"/>
      <c r="AO1547" s="848"/>
      <c r="AP1547" s="311" t="str">
        <f t="shared" si="509"/>
        <v>vch802_3_2</v>
      </c>
      <c r="AQ1547" s="311">
        <f>W1547</f>
        <v>0</v>
      </c>
      <c r="AR1547" s="311" t="str">
        <f t="shared" si="510"/>
        <v>vnt802_3_2</v>
      </c>
      <c r="AS1547" s="311">
        <f>X1547</f>
        <v>0</v>
      </c>
      <c r="AT1547" s="848"/>
      <c r="AU1547" s="848"/>
      <c r="AV1547" s="848"/>
      <c r="AW1547" s="848"/>
      <c r="AX1547" s="848"/>
      <c r="AY1547" s="848"/>
      <c r="AZ1547" s="848"/>
      <c r="BA1547" s="848"/>
      <c r="BB1547" s="848"/>
      <c r="BC1547" s="848"/>
      <c r="BD1547" s="848"/>
      <c r="BE1547" s="848"/>
      <c r="BF1547" s="848"/>
      <c r="BG1547" s="848"/>
      <c r="BH1547" s="848"/>
      <c r="BJ1547" s="1184" t="s">
        <v>4763</v>
      </c>
    </row>
    <row r="1548" spans="1:62" ht="15" thickTop="1" x14ac:dyDescent="0.3">
      <c r="A1548" s="1200">
        <v>8</v>
      </c>
      <c r="B1548" s="1210">
        <v>802.4</v>
      </c>
      <c r="C1548" s="1203"/>
      <c r="D1548" s="1203"/>
      <c r="E1548" s="1203"/>
      <c r="F1548" s="1203"/>
      <c r="G1548" s="1202" t="str">
        <f>IF(N1548&gt;0,"P","")</f>
        <v/>
      </c>
      <c r="H1548" s="1200" t="s">
        <v>4388</v>
      </c>
      <c r="I1548" s="200">
        <v>802.4</v>
      </c>
      <c r="J1548" s="201"/>
      <c r="K1548" s="201"/>
      <c r="L1548" s="1331" t="s">
        <v>943</v>
      </c>
      <c r="M1548" s="1343">
        <v>20</v>
      </c>
      <c r="N1548" s="1336">
        <f>'Ch8'!O162</f>
        <v>0</v>
      </c>
      <c r="O1548" s="1336">
        <f>M1548*S1548*W1548</f>
        <v>0</v>
      </c>
      <c r="P1548" s="97" t="b">
        <v>0</v>
      </c>
      <c r="Q1548" s="848" t="b">
        <v>1</v>
      </c>
      <c r="R1548" s="110" t="b">
        <v>0</v>
      </c>
      <c r="S1548" s="110" t="b">
        <v>1</v>
      </c>
      <c r="T1548" s="110" t="b">
        <f>IF(AND(NOT(S1548),W1548=TRUE),TRUE,FALSE)</f>
        <v>0</v>
      </c>
      <c r="U1548" s="110"/>
      <c r="V1548" s="110"/>
      <c r="W1548" s="127"/>
      <c r="X1548" s="1327"/>
      <c r="Y1548" s="1525" t="str">
        <f>IF(LEN('Ch8'!X162)=0,"None",'Ch8'!X162)</f>
        <v>None</v>
      </c>
      <c r="Z1548" s="1585"/>
      <c r="AB1548" s="848"/>
      <c r="AC1548" s="848" t="b">
        <f>OR(AD1548:AE1548)</f>
        <v>0</v>
      </c>
      <c r="AD1548" s="848" t="b">
        <f>T1548</f>
        <v>0</v>
      </c>
      <c r="AE1548" s="848" t="b">
        <v>0</v>
      </c>
      <c r="AF1548" s="1182" t="b">
        <f>AND(AE1548,NOT(Q1548))</f>
        <v>0</v>
      </c>
      <c r="AG1548" s="848"/>
      <c r="AH1548" s="848"/>
      <c r="AI1548" s="848"/>
      <c r="AJ1548" s="848"/>
      <c r="AK1548" s="848"/>
      <c r="AL1548" s="311" t="str">
        <f t="shared" ref="AL1548" si="511">SUBSTITUTE(SUBSTITUTE(SUBSTITUTE("vpa"&amp;$B1548&amp;$C1548&amp;$D1548&amp;$E1548&amp;$F1548,".","_"),"(","_"),")","")</f>
        <v>vpa802_4</v>
      </c>
      <c r="AM1548" s="311">
        <f>M1548</f>
        <v>20</v>
      </c>
      <c r="AN1548" s="311" t="str">
        <f>SUBSTITUTE(SUBSTITUTE(SUBSTITUTE("vpc"&amp;$B1548&amp;$C1548&amp;$D1548&amp;$E1548&amp;$F1548,".","_"),"(","_"),")","")</f>
        <v>vpc802_4</v>
      </c>
      <c r="AO1548" s="311">
        <f>O1548</f>
        <v>0</v>
      </c>
      <c r="AP1548" s="311" t="str">
        <f t="shared" si="509"/>
        <v>vch802_4</v>
      </c>
      <c r="AQ1548" s="311">
        <f>W1548</f>
        <v>0</v>
      </c>
      <c r="AR1548" s="311" t="str">
        <f t="shared" si="510"/>
        <v>vnt802_4</v>
      </c>
      <c r="AS1548" s="311">
        <f>X1548</f>
        <v>0</v>
      </c>
      <c r="AT1548" s="848"/>
      <c r="AU1548" s="848"/>
      <c r="AV1548" s="848"/>
      <c r="AW1548" s="848"/>
      <c r="AX1548" s="848"/>
      <c r="AY1548" s="848"/>
      <c r="AZ1548" s="848"/>
      <c r="BA1548" s="848"/>
      <c r="BB1548" s="848"/>
      <c r="BC1548" s="848"/>
      <c r="BD1548" s="848"/>
      <c r="BE1548" s="848"/>
      <c r="BF1548" s="848"/>
      <c r="BG1548" s="848"/>
      <c r="BH1548" s="848"/>
      <c r="BJ1548" s="1184" t="s">
        <v>4763</v>
      </c>
    </row>
    <row r="1549" spans="1:62" x14ac:dyDescent="0.3">
      <c r="A1549" s="1200">
        <v>8</v>
      </c>
      <c r="B1549" s="1210">
        <v>802.4</v>
      </c>
      <c r="C1549" s="1203"/>
      <c r="D1549" s="1203"/>
      <c r="E1549" s="1203"/>
      <c r="F1549" s="1203"/>
      <c r="G1549" s="1202" t="str">
        <f t="shared" ref="G1549:G1550" si="512">G1548</f>
        <v/>
      </c>
      <c r="H1549" s="1200" t="s">
        <v>4388</v>
      </c>
      <c r="I1549" s="141"/>
      <c r="J1549" s="140"/>
      <c r="K1549" s="140"/>
      <c r="L1549" s="1313"/>
      <c r="M1549" s="1318"/>
      <c r="N1549" s="1308"/>
      <c r="O1549" s="1308"/>
      <c r="P1549" s="97"/>
      <c r="Q1549" s="97"/>
      <c r="R1549" s="97"/>
      <c r="S1549" s="97"/>
      <c r="T1549" s="97"/>
      <c r="U1549" s="97"/>
      <c r="V1549" s="97"/>
      <c r="W1549" s="97"/>
      <c r="X1549" s="1295"/>
      <c r="Y1549" s="1523"/>
      <c r="Z1549" s="1583"/>
      <c r="AB1549" s="848"/>
      <c r="AC1549" s="848"/>
      <c r="AD1549" s="848"/>
      <c r="AE1549" s="848"/>
      <c r="AF1549" s="848"/>
      <c r="AG1549" s="848"/>
      <c r="AH1549" s="848"/>
      <c r="AI1549" s="848"/>
      <c r="AJ1549" s="848"/>
      <c r="AK1549" s="848"/>
      <c r="AL1549" s="848"/>
      <c r="AM1549" s="848"/>
      <c r="AN1549" s="848"/>
      <c r="AO1549" s="848"/>
      <c r="AP1549" s="848"/>
      <c r="AQ1549" s="848"/>
      <c r="AR1549" s="848"/>
      <c r="AS1549" s="848"/>
      <c r="AT1549" s="848"/>
      <c r="AU1549" s="848"/>
      <c r="AV1549" s="848"/>
      <c r="AW1549" s="848"/>
      <c r="AX1549" s="848"/>
      <c r="AY1549" s="848"/>
      <c r="AZ1549" s="848"/>
      <c r="BA1549" s="848"/>
      <c r="BB1549" s="848"/>
      <c r="BC1549" s="848"/>
      <c r="BD1549" s="848"/>
      <c r="BE1549" s="848"/>
      <c r="BF1549" s="848"/>
      <c r="BG1549" s="848"/>
      <c r="BH1549" s="848"/>
      <c r="BJ1549" s="1184" t="s">
        <v>4763</v>
      </c>
    </row>
    <row r="1550" spans="1:62" ht="15" thickBot="1" x14ac:dyDescent="0.35">
      <c r="A1550" s="1200">
        <v>8</v>
      </c>
      <c r="B1550" s="1210">
        <v>802.4</v>
      </c>
      <c r="C1550" s="1203"/>
      <c r="D1550" s="1203"/>
      <c r="E1550" s="1203"/>
      <c r="F1550" s="1203"/>
      <c r="G1550" s="1202" t="str">
        <f t="shared" si="512"/>
        <v/>
      </c>
      <c r="H1550" s="1200" t="s">
        <v>4388</v>
      </c>
      <c r="I1550" s="212"/>
      <c r="J1550" s="270"/>
      <c r="K1550" s="270"/>
      <c r="L1550" s="1332"/>
      <c r="M1550" s="1334"/>
      <c r="N1550" s="1315"/>
      <c r="O1550" s="1315"/>
      <c r="P1550" s="104"/>
      <c r="Q1550" s="104"/>
      <c r="R1550" s="104"/>
      <c r="S1550" s="104"/>
      <c r="T1550" s="104"/>
      <c r="U1550" s="104"/>
      <c r="V1550" s="104"/>
      <c r="W1550" s="104"/>
      <c r="X1550" s="1296"/>
      <c r="Y1550" s="1524"/>
      <c r="Z1550" s="1584"/>
      <c r="AB1550" s="848"/>
      <c r="AC1550" s="848"/>
      <c r="AD1550" s="848"/>
      <c r="AE1550" s="848"/>
      <c r="AF1550" s="848"/>
      <c r="AG1550" s="848"/>
      <c r="AH1550" s="848"/>
      <c r="AI1550" s="848"/>
      <c r="AJ1550" s="848"/>
      <c r="AK1550" s="848"/>
      <c r="AL1550" s="848"/>
      <c r="AM1550" s="848"/>
      <c r="AN1550" s="848"/>
      <c r="AO1550" s="848"/>
      <c r="AP1550" s="848"/>
      <c r="AQ1550" s="848"/>
      <c r="AR1550" s="848"/>
      <c r="AS1550" s="848"/>
      <c r="AT1550" s="848"/>
      <c r="AU1550" s="848"/>
      <c r="AV1550" s="848"/>
      <c r="AW1550" s="848"/>
      <c r="AX1550" s="848"/>
      <c r="AY1550" s="848"/>
      <c r="AZ1550" s="848"/>
      <c r="BA1550" s="848"/>
      <c r="BB1550" s="848"/>
      <c r="BC1550" s="848"/>
      <c r="BD1550" s="848"/>
      <c r="BE1550" s="848"/>
      <c r="BF1550" s="848"/>
      <c r="BG1550" s="848"/>
      <c r="BH1550" s="848"/>
      <c r="BJ1550" s="1184" t="s">
        <v>4763</v>
      </c>
    </row>
    <row r="1551" spans="1:62" ht="15" thickTop="1" x14ac:dyDescent="0.3">
      <c r="A1551" s="1200">
        <v>8</v>
      </c>
      <c r="B1551" s="1210">
        <v>802.5</v>
      </c>
      <c r="C1551" s="1203"/>
      <c r="D1551" s="1203"/>
      <c r="E1551" s="1203"/>
      <c r="F1551" s="1203"/>
      <c r="G1551" s="1202" t="str">
        <f>IF(N1551&gt;0,"P","")</f>
        <v/>
      </c>
      <c r="H1551" s="1200" t="s">
        <v>4388</v>
      </c>
      <c r="I1551" s="200">
        <v>802.5</v>
      </c>
      <c r="J1551" s="201"/>
      <c r="K1551" s="201"/>
      <c r="L1551" s="1427" t="s">
        <v>944</v>
      </c>
      <c r="M1551" s="1343">
        <v>1</v>
      </c>
      <c r="N1551" s="1336">
        <f>'Ch8'!O165</f>
        <v>0</v>
      </c>
      <c r="O1551" s="1336">
        <f>M1551*S1551*W1551</f>
        <v>0</v>
      </c>
      <c r="P1551" s="97" t="b">
        <v>0</v>
      </c>
      <c r="Q1551" s="848" t="b">
        <v>1</v>
      </c>
      <c r="R1551" s="110" t="b">
        <v>0</v>
      </c>
      <c r="S1551" s="110" t="b">
        <v>1</v>
      </c>
      <c r="T1551" s="110" t="b">
        <f>IF(AND(NOT(S1551),W1551=TRUE),TRUE,FALSE)</f>
        <v>0</v>
      </c>
      <c r="U1551" s="110"/>
      <c r="V1551" s="110"/>
      <c r="W1551" s="25"/>
      <c r="X1551" s="1327"/>
      <c r="Y1551" s="1525" t="str">
        <f>IF(LEN('Ch8'!X165)=0,"None",'Ch8'!X165)</f>
        <v>None</v>
      </c>
      <c r="Z1551" s="1585"/>
      <c r="AB1551" s="848"/>
      <c r="AC1551" s="848" t="b">
        <f>OR(AD1551:AE1551)</f>
        <v>0</v>
      </c>
      <c r="AD1551" s="848" t="b">
        <f>T1551</f>
        <v>0</v>
      </c>
      <c r="AE1551" s="848" t="b">
        <v>0</v>
      </c>
      <c r="AF1551" s="1182" t="b">
        <f>AND(AE1551,NOT(Q1551))</f>
        <v>0</v>
      </c>
      <c r="AG1551" s="848"/>
      <c r="AH1551" s="848"/>
      <c r="AI1551" s="848"/>
      <c r="AJ1551" s="848"/>
      <c r="AK1551" s="848"/>
      <c r="AL1551" s="311" t="str">
        <f t="shared" ref="AL1551" si="513">SUBSTITUTE(SUBSTITUTE(SUBSTITUTE("vpa"&amp;$B1551&amp;$C1551&amp;$D1551&amp;$E1551&amp;$F1551,".","_"),"(","_"),")","")</f>
        <v>vpa802_5</v>
      </c>
      <c r="AM1551" s="311">
        <f>M1551</f>
        <v>1</v>
      </c>
      <c r="AN1551" s="311" t="str">
        <f>SUBSTITUTE(SUBSTITUTE(SUBSTITUTE("vpc"&amp;$B1551&amp;$C1551&amp;$D1551&amp;$E1551&amp;$F1551,".","_"),"(","_"),")","")</f>
        <v>vpc802_5</v>
      </c>
      <c r="AO1551" s="311">
        <f>O1551</f>
        <v>0</v>
      </c>
      <c r="AP1551" s="311" t="str">
        <f>SUBSTITUTE(SUBSTITUTE(SUBSTITUTE("vch"&amp;$B1551&amp;$C1551&amp;$D1551&amp;$E1551&amp;$F1551,".","_"),"(","_"),")","")</f>
        <v>vch802_5</v>
      </c>
      <c r="AQ1551" s="311">
        <f>W1551</f>
        <v>0</v>
      </c>
      <c r="AR1551" s="311" t="str">
        <f>SUBSTITUTE(SUBSTITUTE(SUBSTITUTE("vnt"&amp;$B1551&amp;$C1551&amp;$D1551&amp;$E1551&amp;$F1551,".","_"),"(","_"),")","")</f>
        <v>vnt802_5</v>
      </c>
      <c r="AS1551" s="311">
        <f>X1551</f>
        <v>0</v>
      </c>
      <c r="AT1551" s="848"/>
      <c r="AU1551" s="848"/>
      <c r="AV1551" s="848"/>
      <c r="AW1551" s="848"/>
      <c r="AX1551" s="848"/>
      <c r="AY1551" s="848"/>
      <c r="AZ1551" s="848"/>
      <c r="BA1551" s="848"/>
      <c r="BB1551" s="848"/>
      <c r="BC1551" s="848"/>
      <c r="BD1551" s="848"/>
      <c r="BE1551" s="848"/>
      <c r="BF1551" s="848"/>
      <c r="BG1551" s="848"/>
      <c r="BH1551" s="848"/>
      <c r="BJ1551" s="1184" t="s">
        <v>4763</v>
      </c>
    </row>
    <row r="1552" spans="1:62" ht="15" thickBot="1" x14ac:dyDescent="0.35">
      <c r="A1552" s="1200">
        <v>8</v>
      </c>
      <c r="B1552" s="1210">
        <v>802.5</v>
      </c>
      <c r="C1552" s="1203"/>
      <c r="D1552" s="1203"/>
      <c r="E1552" s="1203"/>
      <c r="F1552" s="1203"/>
      <c r="G1552" s="1202" t="str">
        <f t="shared" ref="G1552" si="514">G1551</f>
        <v/>
      </c>
      <c r="H1552" s="1200" t="s">
        <v>4388</v>
      </c>
      <c r="I1552" s="212"/>
      <c r="J1552" s="270"/>
      <c r="K1552" s="270"/>
      <c r="L1552" s="1428"/>
      <c r="M1552" s="1334"/>
      <c r="N1552" s="1315"/>
      <c r="O1552" s="1315"/>
      <c r="P1552" s="104"/>
      <c r="Q1552" s="104"/>
      <c r="R1552" s="104"/>
      <c r="S1552" s="104"/>
      <c r="T1552" s="104"/>
      <c r="U1552" s="104"/>
      <c r="V1552" s="104"/>
      <c r="W1552" s="104"/>
      <c r="X1552" s="1296"/>
      <c r="Y1552" s="1524"/>
      <c r="Z1552" s="1584"/>
      <c r="AB1552" s="848"/>
      <c r="AC1552" s="848"/>
      <c r="AD1552" s="848"/>
      <c r="AE1552" s="848"/>
      <c r="AF1552" s="848"/>
      <c r="AG1552" s="848"/>
      <c r="AH1552" s="848"/>
      <c r="AI1552" s="848"/>
      <c r="AJ1552" s="848"/>
      <c r="AK1552" s="848"/>
      <c r="AL1552" s="848"/>
      <c r="AM1552" s="848"/>
      <c r="AN1552" s="848"/>
      <c r="AO1552" s="848"/>
      <c r="AP1552" s="848"/>
      <c r="AQ1552" s="848"/>
      <c r="AR1552" s="848"/>
      <c r="AS1552" s="848"/>
      <c r="AT1552" s="848"/>
      <c r="AU1552" s="848"/>
      <c r="AV1552" s="848"/>
      <c r="AW1552" s="848"/>
      <c r="AX1552" s="848"/>
      <c r="AY1552" s="848"/>
      <c r="AZ1552" s="848"/>
      <c r="BA1552" s="848"/>
      <c r="BB1552" s="848"/>
      <c r="BC1552" s="848"/>
      <c r="BD1552" s="848"/>
      <c r="BE1552" s="848"/>
      <c r="BF1552" s="848"/>
      <c r="BG1552" s="848"/>
      <c r="BH1552" s="848"/>
      <c r="BJ1552" s="1184" t="s">
        <v>4763</v>
      </c>
    </row>
    <row r="1553" spans="1:62" ht="15" thickTop="1" x14ac:dyDescent="0.3">
      <c r="A1553" s="1200">
        <v>8</v>
      </c>
      <c r="B1553" s="1210">
        <v>802.6</v>
      </c>
      <c r="C1553" s="1203"/>
      <c r="D1553" s="1203"/>
      <c r="E1553" s="1203"/>
      <c r="F1553" s="1203"/>
      <c r="G1553" s="1202" t="str">
        <f>IF(N1553&gt;0,"P","")</f>
        <v/>
      </c>
      <c r="H1553" s="1200" t="s">
        <v>4388</v>
      </c>
      <c r="I1553" s="66">
        <v>802.6</v>
      </c>
      <c r="J1553" s="4"/>
      <c r="K1553" s="4"/>
      <c r="L1553" s="1292" t="s">
        <v>945</v>
      </c>
      <c r="M1553" s="1335">
        <v>20</v>
      </c>
      <c r="N1553" s="1310">
        <f>'Ch8'!O167</f>
        <v>0</v>
      </c>
      <c r="O1553" s="1310">
        <f>M1553*S1553*W1553</f>
        <v>0</v>
      </c>
      <c r="P1553" s="97" t="b">
        <v>0</v>
      </c>
      <c r="Q1553" s="848" t="b">
        <v>1</v>
      </c>
      <c r="R1553" s="848" t="b">
        <v>0</v>
      </c>
      <c r="S1553" s="848" t="b">
        <f>NOT(OR(LEN(W1537)&gt;0,W1539))</f>
        <v>1</v>
      </c>
      <c r="T1553" s="97" t="b">
        <f>IF(AND(NOT(S1553),W1553=TRUE),TRUE,FALSE)</f>
        <v>0</v>
      </c>
      <c r="U1553" s="848"/>
      <c r="V1553" s="848"/>
      <c r="W1553" s="25"/>
      <c r="X1553" s="1304"/>
      <c r="Y1553" s="1525" t="str">
        <f>IF(LEN('Ch8'!X167)=0,"None",'Ch8'!X167)</f>
        <v>None</v>
      </c>
      <c r="Z1553" s="1585"/>
      <c r="AB1553" s="848"/>
      <c r="AC1553" s="848" t="b">
        <f>OR(AD1553:AE1553)</f>
        <v>0</v>
      </c>
      <c r="AD1553" s="848" t="b">
        <f>T1553</f>
        <v>0</v>
      </c>
      <c r="AE1553" s="848" t="b">
        <v>0</v>
      </c>
      <c r="AF1553" s="1182" t="b">
        <f>AND(AE1553,NOT(Q1553))</f>
        <v>0</v>
      </c>
      <c r="AG1553" s="848"/>
      <c r="AH1553" s="848"/>
      <c r="AI1553" s="848"/>
      <c r="AJ1553" s="848"/>
      <c r="AK1553" s="848"/>
      <c r="AL1553" s="311" t="str">
        <f t="shared" ref="AL1553" si="515">SUBSTITUTE(SUBSTITUTE(SUBSTITUTE("vpa"&amp;$B1553&amp;$C1553&amp;$D1553&amp;$E1553&amp;$F1553,".","_"),"(","_"),")","")</f>
        <v>vpa802_6</v>
      </c>
      <c r="AM1553" s="311">
        <f>M1553</f>
        <v>20</v>
      </c>
      <c r="AN1553" s="311" t="str">
        <f>SUBSTITUTE(SUBSTITUTE(SUBSTITUTE("vpc"&amp;$B1553&amp;$C1553&amp;$D1553&amp;$E1553&amp;$F1553,".","_"),"(","_"),")","")</f>
        <v>vpc802_6</v>
      </c>
      <c r="AO1553" s="311">
        <f>O1553</f>
        <v>0</v>
      </c>
      <c r="AP1553" s="311" t="str">
        <f>SUBSTITUTE(SUBSTITUTE(SUBSTITUTE("vch"&amp;$B1553&amp;$C1553&amp;$D1553&amp;$E1553&amp;$F1553,".","_"),"(","_"),")","")</f>
        <v>vch802_6</v>
      </c>
      <c r="AQ1553" s="311">
        <f>W1553</f>
        <v>0</v>
      </c>
      <c r="AR1553" s="311" t="str">
        <f>SUBSTITUTE(SUBSTITUTE(SUBSTITUTE("vnt"&amp;$B1553&amp;$C1553&amp;$D1553&amp;$E1553&amp;$F1553,".","_"),"(","_"),")","")</f>
        <v>vnt802_6</v>
      </c>
      <c r="AS1553" s="311">
        <f>X1553</f>
        <v>0</v>
      </c>
      <c r="AT1553" s="848"/>
      <c r="AU1553" s="848"/>
      <c r="AV1553" s="848"/>
      <c r="AW1553" s="848"/>
      <c r="AX1553" s="848"/>
      <c r="AY1553" s="848"/>
      <c r="AZ1553" s="848"/>
      <c r="BA1553" s="848"/>
      <c r="BB1553" s="848"/>
      <c r="BC1553" s="848"/>
      <c r="BD1553" s="848"/>
      <c r="BE1553" s="848"/>
      <c r="BF1553" s="848"/>
      <c r="BG1553" s="848"/>
      <c r="BH1553" s="848"/>
      <c r="BJ1553" s="1184" t="s">
        <v>4763</v>
      </c>
    </row>
    <row r="1554" spans="1:62" x14ac:dyDescent="0.3">
      <c r="A1554" s="1200">
        <v>8</v>
      </c>
      <c r="B1554" s="1210">
        <v>802.6</v>
      </c>
      <c r="C1554" s="1203"/>
      <c r="D1554" s="1203"/>
      <c r="E1554" s="1203"/>
      <c r="F1554" s="1203"/>
      <c r="G1554" s="1202" t="str">
        <f t="shared" ref="G1554:G1555" si="516">G1553</f>
        <v/>
      </c>
      <c r="H1554" s="1200" t="s">
        <v>4388</v>
      </c>
      <c r="I1554" s="66"/>
      <c r="J1554" s="4"/>
      <c r="K1554" s="4"/>
      <c r="L1554" s="1292"/>
      <c r="M1554" s="1335"/>
      <c r="N1554" s="1310"/>
      <c r="O1554" s="1310"/>
      <c r="P1554" s="848"/>
      <c r="Q1554" s="848"/>
      <c r="R1554" s="848"/>
      <c r="S1554" s="848"/>
      <c r="T1554" s="848"/>
      <c r="U1554" s="848"/>
      <c r="V1554" s="848"/>
      <c r="W1554" s="848"/>
      <c r="X1554" s="1303"/>
      <c r="Y1554" s="1522"/>
      <c r="Z1554" s="1586"/>
      <c r="AB1554" s="848"/>
      <c r="AC1554" s="848"/>
      <c r="AD1554" s="848"/>
      <c r="AE1554" s="848"/>
      <c r="AF1554" s="848"/>
      <c r="AG1554" s="848"/>
      <c r="AH1554" s="848"/>
      <c r="AI1554" s="848"/>
      <c r="AJ1554" s="848"/>
      <c r="AK1554" s="848"/>
      <c r="AL1554" s="848"/>
      <c r="AM1554" s="848"/>
      <c r="AN1554" s="848"/>
      <c r="AO1554" s="848"/>
      <c r="AP1554" s="848"/>
      <c r="AQ1554" s="848"/>
      <c r="AR1554" s="848"/>
      <c r="AS1554" s="848"/>
      <c r="AT1554" s="848"/>
      <c r="AU1554" s="848"/>
      <c r="AV1554" s="848"/>
      <c r="AW1554" s="848"/>
      <c r="AX1554" s="848"/>
      <c r="AY1554" s="848"/>
      <c r="AZ1554" s="848"/>
      <c r="BA1554" s="848"/>
      <c r="BB1554" s="848"/>
      <c r="BC1554" s="848"/>
      <c r="BD1554" s="848"/>
      <c r="BE1554" s="848"/>
      <c r="BF1554" s="848"/>
      <c r="BG1554" s="848"/>
      <c r="BH1554" s="848"/>
      <c r="BJ1554" s="1184" t="s">
        <v>4763</v>
      </c>
    </row>
    <row r="1555" spans="1:62" x14ac:dyDescent="0.3">
      <c r="A1555" s="1200">
        <v>8</v>
      </c>
      <c r="B1555" s="1210">
        <v>802.6</v>
      </c>
      <c r="C1555" s="1203"/>
      <c r="D1555" s="1203"/>
      <c r="E1555" s="1203"/>
      <c r="F1555" s="1203"/>
      <c r="G1555" s="1202" t="str">
        <f t="shared" si="516"/>
        <v/>
      </c>
      <c r="H1555" s="1200" t="s">
        <v>4388</v>
      </c>
      <c r="I1555" s="66"/>
      <c r="J1555" s="4"/>
      <c r="K1555" s="4"/>
      <c r="L1555" s="870" t="s">
        <v>934</v>
      </c>
      <c r="M1555" s="1335"/>
      <c r="N1555" s="1310"/>
      <c r="O1555" s="1310"/>
      <c r="P1555" s="848"/>
      <c r="Q1555" s="848"/>
      <c r="R1555" s="848"/>
      <c r="S1555" s="848"/>
      <c r="T1555" s="848"/>
      <c r="U1555" s="848"/>
      <c r="V1555" s="848"/>
      <c r="W1555" s="848"/>
      <c r="X1555" s="1303"/>
      <c r="Y1555" s="1522"/>
      <c r="Z1555" s="1586"/>
      <c r="AB1555" s="848"/>
      <c r="AC1555" s="848"/>
      <c r="AD1555" s="848"/>
      <c r="AE1555" s="848"/>
      <c r="AF1555" s="848"/>
      <c r="AG1555" s="848"/>
      <c r="AH1555" s="848"/>
      <c r="AI1555" s="848"/>
      <c r="AJ1555" s="848"/>
      <c r="AK1555" s="848"/>
      <c r="AL1555" s="848"/>
      <c r="AM1555" s="848"/>
      <c r="AN1555" s="848"/>
      <c r="AO1555" s="848"/>
      <c r="AP1555" s="848"/>
      <c r="AQ1555" s="848"/>
      <c r="AR1555" s="848"/>
      <c r="AS1555" s="848"/>
      <c r="AT1555" s="848"/>
      <c r="AU1555" s="848"/>
      <c r="AV1555" s="848"/>
      <c r="AW1555" s="848"/>
      <c r="AX1555" s="848"/>
      <c r="AY1555" s="848"/>
      <c r="AZ1555" s="848"/>
      <c r="BA1555" s="848"/>
      <c r="BB1555" s="848"/>
      <c r="BC1555" s="848"/>
      <c r="BD1555" s="848"/>
      <c r="BE1555" s="848"/>
      <c r="BF1555" s="848"/>
      <c r="BG1555" s="848"/>
      <c r="BH1555" s="848"/>
      <c r="BJ1555" s="1184" t="s">
        <v>4763</v>
      </c>
    </row>
    <row r="1556" spans="1:62" ht="18" x14ac:dyDescent="0.35">
      <c r="A1556" s="1200">
        <v>9</v>
      </c>
      <c r="B1556" s="1210" t="s">
        <v>4676</v>
      </c>
      <c r="C1556" s="1200"/>
      <c r="D1556" s="1200"/>
      <c r="E1556" s="1200"/>
      <c r="F1556" s="1200"/>
      <c r="G1556" s="1202" t="s">
        <v>4389</v>
      </c>
      <c r="H1556" s="1200" t="s">
        <v>4386</v>
      </c>
      <c r="I1556" s="22" t="s">
        <v>3348</v>
      </c>
      <c r="J1556" s="22"/>
      <c r="K1556" s="22"/>
      <c r="L1556" s="23"/>
      <c r="M1556" s="24"/>
      <c r="N1556" s="24"/>
      <c r="O1556" s="24"/>
      <c r="P1556" s="848" t="s">
        <v>260</v>
      </c>
      <c r="Q1556" s="848" t="s">
        <v>260</v>
      </c>
      <c r="R1556" s="848" t="s">
        <v>260</v>
      </c>
      <c r="S1556" s="848" t="s">
        <v>260</v>
      </c>
      <c r="T1556" s="848" t="s">
        <v>260</v>
      </c>
      <c r="U1556" s="848" t="s">
        <v>260</v>
      </c>
      <c r="V1556" s="848" t="s">
        <v>260</v>
      </c>
      <c r="W1556" s="23"/>
      <c r="X1556" s="23"/>
      <c r="Y1556" s="23"/>
      <c r="Z1556" s="1168"/>
      <c r="AB1556" s="847"/>
      <c r="AC1556" s="847"/>
      <c r="AD1556" s="847"/>
      <c r="AE1556" s="847"/>
      <c r="AF1556" s="847"/>
      <c r="AG1556" s="847"/>
      <c r="AH1556" s="847"/>
      <c r="AI1556" s="847"/>
      <c r="AJ1556" s="847"/>
      <c r="AK1556" s="847"/>
      <c r="AL1556" s="847"/>
      <c r="AM1556" s="847"/>
      <c r="AN1556" s="847"/>
      <c r="AO1556" s="847"/>
      <c r="AP1556" s="847"/>
      <c r="AQ1556" s="847"/>
      <c r="AR1556" s="847"/>
      <c r="AS1556" s="847"/>
      <c r="AT1556" s="847"/>
      <c r="AU1556" s="847"/>
      <c r="AV1556" s="847"/>
      <c r="AW1556" s="847"/>
      <c r="AX1556" s="847"/>
      <c r="AY1556" s="847"/>
      <c r="AZ1556" s="847"/>
      <c r="BA1556" s="847"/>
      <c r="BB1556" s="847"/>
      <c r="BC1556" s="847"/>
      <c r="BD1556" s="847"/>
      <c r="BE1556" s="847"/>
      <c r="BF1556" s="847"/>
      <c r="BG1556" s="847"/>
      <c r="BH1556" s="847"/>
      <c r="BJ1556" s="1184" t="s">
        <v>4763</v>
      </c>
    </row>
    <row r="1557" spans="1:62" x14ac:dyDescent="0.3">
      <c r="A1557" s="1200">
        <v>9</v>
      </c>
      <c r="B1557" s="1210" t="s">
        <v>4440</v>
      </c>
      <c r="C1557" s="1203"/>
      <c r="D1557" s="1203"/>
      <c r="E1557" s="1203"/>
      <c r="F1557" s="1203"/>
      <c r="G1557" s="1200"/>
      <c r="H1557" s="1200"/>
      <c r="I1557" s="251">
        <v>901</v>
      </c>
      <c r="J1557" s="4"/>
      <c r="K1557" s="4"/>
      <c r="L1557" s="872" t="s">
        <v>3349</v>
      </c>
      <c r="M1557" s="893"/>
      <c r="N1557" s="866"/>
      <c r="O1557" s="866"/>
      <c r="P1557" s="848"/>
      <c r="Q1557" s="848"/>
      <c r="R1557" s="848"/>
      <c r="S1557" s="848"/>
      <c r="T1557" s="848"/>
      <c r="U1557" s="848"/>
      <c r="V1557" s="848"/>
      <c r="W1557" s="848"/>
      <c r="X1557" s="848"/>
      <c r="Y1557" s="848"/>
      <c r="Z1557" s="1055"/>
      <c r="AB1557" s="848"/>
      <c r="AC1557" s="848"/>
      <c r="AD1557" s="848"/>
      <c r="AE1557" s="848"/>
      <c r="AF1557" s="848"/>
      <c r="AG1557" s="848"/>
      <c r="AH1557" s="848"/>
      <c r="AI1557" s="848"/>
      <c r="AJ1557" s="848"/>
      <c r="AK1557" s="848"/>
      <c r="AL1557" s="848"/>
      <c r="AM1557" s="848"/>
      <c r="AN1557" s="848"/>
      <c r="AO1557" s="848"/>
      <c r="AP1557" s="848"/>
      <c r="AQ1557" s="848"/>
      <c r="AR1557" s="848"/>
      <c r="AS1557" s="848"/>
      <c r="AT1557" s="848"/>
      <c r="AU1557" s="848"/>
      <c r="AV1557" s="848"/>
      <c r="AW1557" s="848"/>
      <c r="AX1557" s="848"/>
      <c r="AY1557" s="848"/>
      <c r="AZ1557" s="848"/>
      <c r="BA1557" s="848"/>
      <c r="BB1557" s="848"/>
      <c r="BC1557" s="848"/>
      <c r="BD1557" s="848"/>
      <c r="BE1557" s="848"/>
      <c r="BF1557" s="848"/>
      <c r="BG1557" s="848"/>
      <c r="BH1557" s="848"/>
      <c r="BJ1557" s="1184" t="s">
        <v>4763</v>
      </c>
    </row>
    <row r="1558" spans="1:62" x14ac:dyDescent="0.3">
      <c r="A1558" s="1200">
        <v>9</v>
      </c>
      <c r="B1558" s="1210">
        <v>901.1</v>
      </c>
      <c r="C1558" s="1203"/>
      <c r="D1558" s="1203"/>
      <c r="E1558" s="1203"/>
      <c r="F1558" s="1203"/>
      <c r="G1558" s="1196" t="str">
        <f ca="1">IF(COUNTIF(G1559:G1583,"P")&gt;0,"P","")</f>
        <v>P</v>
      </c>
      <c r="H1558" s="1200" t="s">
        <v>4386</v>
      </c>
      <c r="I1558" s="268">
        <v>901.1</v>
      </c>
      <c r="J1558" s="140"/>
      <c r="K1558" s="140"/>
      <c r="L1558" s="874" t="s">
        <v>3350</v>
      </c>
      <c r="M1558" s="895"/>
      <c r="N1558" s="856"/>
      <c r="O1558" s="856"/>
      <c r="P1558" s="97"/>
      <c r="Q1558" s="97"/>
      <c r="R1558" s="97"/>
      <c r="S1558" s="97"/>
      <c r="T1558" s="97"/>
      <c r="U1558" s="97"/>
      <c r="V1558" s="97"/>
      <c r="W1558" s="97"/>
      <c r="X1558" s="97"/>
      <c r="Y1558" s="848"/>
      <c r="Z1558" s="1055"/>
      <c r="AB1558" s="848"/>
      <c r="AC1558" s="848"/>
      <c r="AD1558" s="848"/>
      <c r="AE1558" s="848"/>
      <c r="AF1558" s="848"/>
      <c r="AG1558" s="848"/>
      <c r="AH1558" s="848"/>
      <c r="AI1558" s="848"/>
      <c r="AJ1558" s="848"/>
      <c r="AK1558" s="848"/>
      <c r="AL1558" s="848"/>
      <c r="AM1558" s="848"/>
      <c r="AN1558" s="848"/>
      <c r="AO1558" s="848"/>
      <c r="AP1558" s="848"/>
      <c r="AQ1558" s="848"/>
      <c r="AR1558" s="848"/>
      <c r="AS1558" s="848"/>
      <c r="AT1558" s="848"/>
      <c r="AU1558" s="848"/>
      <c r="AV1558" s="848"/>
      <c r="AW1558" s="848"/>
      <c r="AX1558" s="908" t="str">
        <f>'Overview (Verification)'!A8</f>
        <v>Builder Name:</v>
      </c>
      <c r="AY1558" s="1077">
        <f>IF(LEN('Overview (Verification)'!P8)=0,0,'Overview (Verification)'!P8)</f>
        <v>0</v>
      </c>
      <c r="AZ1558" s="848"/>
      <c r="BA1558" s="848"/>
      <c r="BB1558" s="848"/>
      <c r="BC1558" s="848"/>
      <c r="BD1558" s="848"/>
      <c r="BE1558" s="848"/>
      <c r="BF1558" s="848"/>
      <c r="BG1558" s="848"/>
      <c r="BH1558" s="848"/>
      <c r="BJ1558" s="1184" t="s">
        <v>4763</v>
      </c>
    </row>
    <row r="1559" spans="1:62" x14ac:dyDescent="0.3">
      <c r="A1559" s="1200">
        <v>9</v>
      </c>
      <c r="B1559" s="1210" t="s">
        <v>3351</v>
      </c>
      <c r="C1559" s="1203"/>
      <c r="D1559" s="1203"/>
      <c r="E1559" s="1203"/>
      <c r="F1559" s="1203"/>
      <c r="G1559" s="1202" t="str">
        <f>IF(N1559&gt;0,"P","")</f>
        <v/>
      </c>
      <c r="H1559" s="1200" t="s">
        <v>4386</v>
      </c>
      <c r="I1559" s="268" t="s">
        <v>3351</v>
      </c>
      <c r="J1559" s="140"/>
      <c r="K1559" s="140"/>
      <c r="L1559" s="1313" t="s">
        <v>3352</v>
      </c>
      <c r="M1559" s="1318">
        <v>5</v>
      </c>
      <c r="N1559" s="1308">
        <f>'Ch9'!O12</f>
        <v>0</v>
      </c>
      <c r="O1559" s="1308">
        <f>M1559*S1559*W1559</f>
        <v>0</v>
      </c>
      <c r="P1559" s="97" t="b">
        <v>1</v>
      </c>
      <c r="Q1559" s="97" t="b">
        <v>1</v>
      </c>
      <c r="R1559" s="97" t="b">
        <v>0</v>
      </c>
      <c r="S1559" s="97" t="b">
        <v>1</v>
      </c>
      <c r="T1559" s="97" t="b">
        <v>0</v>
      </c>
      <c r="U1559" s="97"/>
      <c r="V1559" s="97"/>
      <c r="W1559" s="25"/>
      <c r="X1559" s="1295"/>
      <c r="Y1559" s="1522" t="str">
        <f>IF(LEN('Ch9'!X12)=0,"None",'Ch9'!X12)</f>
        <v>None</v>
      </c>
      <c r="Z1559" s="1586"/>
      <c r="AB1559" s="848"/>
      <c r="AC1559" s="848" t="b">
        <f>OR(AD1559:AE1559)</f>
        <v>0</v>
      </c>
      <c r="AD1559" s="848" t="b">
        <f>T1559</f>
        <v>0</v>
      </c>
      <c r="AE1559" s="848" t="b">
        <f>AND(R1559,NOT(W1559))</f>
        <v>0</v>
      </c>
      <c r="AF1559" s="1182" t="b">
        <f>AND(AE1559,NOT(Q1559))</f>
        <v>0</v>
      </c>
      <c r="AG1559" s="848"/>
      <c r="AH1559" s="848"/>
      <c r="AI1559" s="848"/>
      <c r="AJ1559" s="848"/>
      <c r="AK1559" s="848"/>
      <c r="AL1559" s="311" t="str">
        <f t="shared" ref="AL1559" si="517">SUBSTITUTE(SUBSTITUTE(SUBSTITUTE("vpa"&amp;$B1559&amp;$C1559&amp;$D1559&amp;$E1559&amp;$F1559,".","_"),"(","_"),")","")</f>
        <v>vpa901_1_1</v>
      </c>
      <c r="AM1559" s="311">
        <f>M1559</f>
        <v>5</v>
      </c>
      <c r="AN1559" s="311" t="str">
        <f>SUBSTITUTE(SUBSTITUTE(SUBSTITUTE("vpc"&amp;$B1559&amp;$C1559&amp;$D1559&amp;$E1559&amp;$F1559,".","_"),"(","_"),")","")</f>
        <v>vpc901_1_1</v>
      </c>
      <c r="AO1559" s="311">
        <f>O1559</f>
        <v>0</v>
      </c>
      <c r="AP1559" s="311" t="str">
        <f>SUBSTITUTE(SUBSTITUTE(SUBSTITUTE("vch"&amp;$B1559&amp;$C1559&amp;$D1559&amp;$E1559&amp;$F1559,".","_"),"(","_"),")","")</f>
        <v>vch901_1_1</v>
      </c>
      <c r="AQ1559" s="311">
        <f>W1559</f>
        <v>0</v>
      </c>
      <c r="AR1559" s="311" t="str">
        <f>SUBSTITUTE(SUBSTITUTE(SUBSTITUTE("vnt"&amp;$B1559&amp;$C1559&amp;$D1559&amp;$E1559&amp;$F1559,".","_"),"(","_"),")","")</f>
        <v>vnt901_1_1</v>
      </c>
      <c r="AS1559" s="311">
        <f>X1559</f>
        <v>0</v>
      </c>
      <c r="AT1559" s="848"/>
      <c r="AU1559" s="848"/>
      <c r="AV1559" s="848"/>
      <c r="AW1559" s="848"/>
      <c r="AX1559" s="908" t="str">
        <f>'Overview (Verification)'!A9</f>
        <v>Physical Address of Home:</v>
      </c>
      <c r="AY1559" s="1077">
        <f>IF(LEN('Overview (Verification)'!P9)=0,0,'Overview (Verification)'!P9)</f>
        <v>0</v>
      </c>
      <c r="AZ1559" s="848"/>
      <c r="BA1559" s="848"/>
      <c r="BB1559" s="848"/>
      <c r="BC1559" s="848"/>
      <c r="BD1559" s="848"/>
      <c r="BE1559" s="848"/>
      <c r="BF1559" s="848"/>
      <c r="BG1559" s="848"/>
      <c r="BH1559" s="848"/>
      <c r="BJ1559" s="1184" t="s">
        <v>4763</v>
      </c>
    </row>
    <row r="1560" spans="1:62" x14ac:dyDescent="0.3">
      <c r="A1560" s="1200">
        <v>9</v>
      </c>
      <c r="B1560" s="1210" t="s">
        <v>3351</v>
      </c>
      <c r="C1560" s="1203"/>
      <c r="D1560" s="1203"/>
      <c r="E1560" s="1203"/>
      <c r="F1560" s="1203"/>
      <c r="G1560" s="1202" t="str">
        <f t="shared" ref="G1560:G1564" si="518">G1559</f>
        <v/>
      </c>
      <c r="H1560" s="1200" t="s">
        <v>4386</v>
      </c>
      <c r="I1560" s="576"/>
      <c r="J1560" s="140"/>
      <c r="K1560" s="140"/>
      <c r="L1560" s="1313"/>
      <c r="M1560" s="1318"/>
      <c r="N1560" s="1308"/>
      <c r="O1560" s="1308"/>
      <c r="P1560" s="97"/>
      <c r="Q1560" s="97"/>
      <c r="R1560" s="97"/>
      <c r="S1560" s="97"/>
      <c r="T1560" s="97"/>
      <c r="U1560" s="97"/>
      <c r="V1560" s="97"/>
      <c r="W1560" s="97"/>
      <c r="X1560" s="1295"/>
      <c r="Y1560" s="1522"/>
      <c r="Z1560" s="1586"/>
      <c r="AB1560" s="848"/>
      <c r="AC1560" s="848"/>
      <c r="AD1560" s="848"/>
      <c r="AE1560" s="848"/>
      <c r="AF1560" s="848"/>
      <c r="AG1560" s="848"/>
      <c r="AH1560" s="848"/>
      <c r="AI1560" s="848"/>
      <c r="AJ1560" s="848"/>
      <c r="AK1560" s="848"/>
      <c r="AL1560" s="848"/>
      <c r="AM1560" s="848"/>
      <c r="AN1560" s="848"/>
      <c r="AO1560" s="848"/>
      <c r="AP1560" s="848"/>
      <c r="AQ1560" s="848"/>
      <c r="AR1560" s="848"/>
      <c r="AS1560" s="848"/>
      <c r="AT1560" s="848"/>
      <c r="AU1560" s="848"/>
      <c r="AV1560" s="848"/>
      <c r="AW1560" s="848"/>
      <c r="AX1560" s="908" t="str">
        <f>'Overview (Verification)'!A10</f>
        <v>Community/Lot #:</v>
      </c>
      <c r="AY1560" s="1077">
        <f>IF(LEN('Overview (Verification)'!P10)=0,0,'Overview (Verification)'!P10)</f>
        <v>0</v>
      </c>
      <c r="AZ1560" s="848"/>
      <c r="BA1560" s="848"/>
      <c r="BB1560" s="848"/>
      <c r="BC1560" s="848"/>
      <c r="BD1560" s="848"/>
      <c r="BE1560" s="848"/>
      <c r="BF1560" s="848"/>
      <c r="BG1560" s="848"/>
      <c r="BH1560" s="848"/>
      <c r="BJ1560" s="1184" t="s">
        <v>4763</v>
      </c>
    </row>
    <row r="1561" spans="1:62" x14ac:dyDescent="0.3">
      <c r="A1561" s="1200">
        <v>9</v>
      </c>
      <c r="B1561" s="1210" t="s">
        <v>3351</v>
      </c>
      <c r="C1561" s="1203"/>
      <c r="D1561" s="1203"/>
      <c r="E1561" s="1203"/>
      <c r="F1561" s="1203"/>
      <c r="G1561" s="1202" t="str">
        <f t="shared" si="518"/>
        <v/>
      </c>
      <c r="H1561" s="1200" t="s">
        <v>4386</v>
      </c>
      <c r="I1561" s="576"/>
      <c r="J1561" s="140"/>
      <c r="K1561" s="140"/>
      <c r="L1561" s="1313"/>
      <c r="M1561" s="1318"/>
      <c r="N1561" s="1308"/>
      <c r="O1561" s="1308"/>
      <c r="P1561" s="97"/>
      <c r="Q1561" s="97"/>
      <c r="R1561" s="97"/>
      <c r="S1561" s="97"/>
      <c r="T1561" s="97"/>
      <c r="U1561" s="97"/>
      <c r="V1561" s="97"/>
      <c r="W1561" s="97"/>
      <c r="X1561" s="1295"/>
      <c r="Y1561" s="1522"/>
      <c r="Z1561" s="1586"/>
      <c r="AB1561" s="848"/>
      <c r="AC1561" s="848"/>
      <c r="AD1561" s="848"/>
      <c r="AE1561" s="848"/>
      <c r="AF1561" s="848"/>
      <c r="AG1561" s="848"/>
      <c r="AH1561" s="848"/>
      <c r="AI1561" s="848"/>
      <c r="AJ1561" s="848"/>
      <c r="AK1561" s="848"/>
      <c r="AL1561" s="848"/>
      <c r="AM1561" s="848"/>
      <c r="AN1561" s="848"/>
      <c r="AO1561" s="848"/>
      <c r="AP1561" s="848"/>
      <c r="AQ1561" s="848"/>
      <c r="AR1561" s="848"/>
      <c r="AS1561" s="848"/>
      <c r="AT1561" s="848"/>
      <c r="AU1561" s="848"/>
      <c r="AV1561" s="848"/>
      <c r="AW1561" s="848"/>
      <c r="AX1561" s="908" t="str">
        <f>'Overview (Verification)'!A11</f>
        <v>City:</v>
      </c>
      <c r="AY1561" s="1077">
        <f>IF(LEN('Overview (Verification)'!P11)=0,0,'Overview (Verification)'!P11)</f>
        <v>0</v>
      </c>
      <c r="AZ1561" s="848"/>
      <c r="BA1561" s="848"/>
      <c r="BB1561" s="848"/>
      <c r="BC1561" s="848"/>
      <c r="BD1561" s="848"/>
      <c r="BE1561" s="848"/>
      <c r="BF1561" s="848"/>
      <c r="BG1561" s="848"/>
      <c r="BH1561" s="848"/>
      <c r="BJ1561" s="1184" t="s">
        <v>4763</v>
      </c>
    </row>
    <row r="1562" spans="1:62" x14ac:dyDescent="0.3">
      <c r="A1562" s="1200">
        <v>9</v>
      </c>
      <c r="B1562" s="1210" t="s">
        <v>3351</v>
      </c>
      <c r="C1562" s="1203"/>
      <c r="D1562" s="1203"/>
      <c r="E1562" s="1203"/>
      <c r="F1562" s="1203"/>
      <c r="G1562" s="1202" t="str">
        <f t="shared" si="518"/>
        <v/>
      </c>
      <c r="H1562" s="1200" t="s">
        <v>4386</v>
      </c>
      <c r="I1562" s="576"/>
      <c r="J1562" s="140"/>
      <c r="K1562" s="140"/>
      <c r="L1562" s="1313"/>
      <c r="M1562" s="1318"/>
      <c r="N1562" s="1308"/>
      <c r="O1562" s="1308"/>
      <c r="P1562" s="97"/>
      <c r="Q1562" s="97"/>
      <c r="R1562" s="97"/>
      <c r="S1562" s="97"/>
      <c r="T1562" s="97"/>
      <c r="U1562" s="97"/>
      <c r="V1562" s="97"/>
      <c r="W1562" s="97"/>
      <c r="X1562" s="1295"/>
      <c r="Y1562" s="1522"/>
      <c r="Z1562" s="1586"/>
      <c r="AB1562" s="848"/>
      <c r="AC1562" s="848"/>
      <c r="AD1562" s="848"/>
      <c r="AE1562" s="848"/>
      <c r="AF1562" s="848"/>
      <c r="AG1562" s="848"/>
      <c r="AH1562" s="848"/>
      <c r="AI1562" s="848"/>
      <c r="AJ1562" s="848"/>
      <c r="AK1562" s="848"/>
      <c r="AL1562" s="848"/>
      <c r="AM1562" s="848"/>
      <c r="AN1562" s="848"/>
      <c r="AO1562" s="848"/>
      <c r="AP1562" s="848"/>
      <c r="AQ1562" s="848"/>
      <c r="AR1562" s="848"/>
      <c r="AS1562" s="848"/>
      <c r="AT1562" s="848"/>
      <c r="AU1562" s="848"/>
      <c r="AV1562" s="848"/>
      <c r="AW1562" s="848"/>
      <c r="AX1562" s="908" t="str">
        <f>'Overview (Verification)'!A12</f>
        <v>State:</v>
      </c>
      <c r="AY1562" s="1077">
        <f>IF(LEN('Overview (Verification)'!P12)=0,0,'Overview (Verification)'!P12)</f>
        <v>0</v>
      </c>
      <c r="AZ1562" s="848"/>
      <c r="BA1562" s="848"/>
      <c r="BB1562" s="848"/>
      <c r="BC1562" s="1077" t="str">
        <f>'Overview (Verification)'!T12</f>
        <v>State</v>
      </c>
      <c r="BD1562" s="1077" t="str">
        <f>'Overview (Verification)'!U12</f>
        <v>County</v>
      </c>
      <c r="BE1562" s="1077" t="str">
        <f>'Overview (Verification)'!V12</f>
        <v>Radon</v>
      </c>
      <c r="BF1562" s="1077" t="str">
        <f>'Overview (Verification)'!W12</f>
        <v>Climate</v>
      </c>
      <c r="BG1562" s="1077" t="str">
        <f>'Overview (Verification)'!X12</f>
        <v>Moist</v>
      </c>
      <c r="BH1562" s="1077" t="str">
        <f>'Overview (Verification)'!Y12</f>
        <v>WarmHumid</v>
      </c>
      <c r="BJ1562" s="1184" t="s">
        <v>4763</v>
      </c>
    </row>
    <row r="1563" spans="1:62" x14ac:dyDescent="0.3">
      <c r="A1563" s="1200">
        <v>9</v>
      </c>
      <c r="B1563" s="1210" t="s">
        <v>3351</v>
      </c>
      <c r="C1563" s="1203"/>
      <c r="D1563" s="1203"/>
      <c r="E1563" s="1203"/>
      <c r="F1563" s="1203"/>
      <c r="G1563" s="1202" t="str">
        <f t="shared" si="518"/>
        <v/>
      </c>
      <c r="H1563" s="1200" t="s">
        <v>4386</v>
      </c>
      <c r="I1563" s="576"/>
      <c r="J1563" s="140"/>
      <c r="K1563" s="140"/>
      <c r="L1563" s="1434" t="s">
        <v>3597</v>
      </c>
      <c r="M1563" s="1318"/>
      <c r="N1563" s="1308"/>
      <c r="O1563" s="1308"/>
      <c r="P1563" s="97"/>
      <c r="Q1563" s="97"/>
      <c r="R1563" s="97"/>
      <c r="S1563" s="97"/>
      <c r="T1563" s="97"/>
      <c r="U1563" s="97"/>
      <c r="V1563" s="97"/>
      <c r="W1563" s="97"/>
      <c r="X1563" s="1295"/>
      <c r="Y1563" s="1522"/>
      <c r="Z1563" s="1586"/>
      <c r="AB1563" s="848"/>
      <c r="AC1563" s="848"/>
      <c r="AD1563" s="848"/>
      <c r="AE1563" s="848"/>
      <c r="AF1563" s="848"/>
      <c r="AG1563" s="848"/>
      <c r="AH1563" s="848"/>
      <c r="AI1563" s="848"/>
      <c r="AJ1563" s="848"/>
      <c r="AK1563" s="848"/>
      <c r="AL1563" s="848"/>
      <c r="AM1563" s="848"/>
      <c r="AN1563" s="848"/>
      <c r="AO1563" s="848"/>
      <c r="AP1563" s="848"/>
      <c r="AQ1563" s="848"/>
      <c r="AR1563" s="848"/>
      <c r="AS1563" s="848"/>
      <c r="AT1563" s="848"/>
      <c r="AU1563" s="848"/>
      <c r="AV1563" s="848"/>
      <c r="AW1563" s="848"/>
      <c r="AX1563" s="908" t="str">
        <f>'Overview (Verification)'!A13</f>
        <v>County:</v>
      </c>
      <c r="AY1563" s="1077">
        <f>IF(LEN('Overview (Verification)'!P13)=0,0,'Overview (Verification)'!P13)</f>
        <v>0</v>
      </c>
      <c r="AZ1563" s="848"/>
      <c r="BA1563" s="848"/>
      <c r="BB1563" s="848"/>
      <c r="BC1563" s="1077" t="str">
        <f>'Overview (Verification)'!T13</f>
        <v/>
      </c>
      <c r="BD1563" s="1077" t="str">
        <f>'Overview (Verification)'!U13</f>
        <v/>
      </c>
      <c r="BE1563" s="1077" t="str">
        <f>'Overview (Verification)'!V13</f>
        <v>!!</v>
      </c>
      <c r="BF1563" s="1077" t="str">
        <f>'Overview (Verification)'!W13</f>
        <v>!!</v>
      </c>
      <c r="BG1563" s="1077" t="str">
        <f>'Overview (Verification)'!X13</f>
        <v>!!</v>
      </c>
      <c r="BH1563" s="1077" t="str">
        <f>'Overview (Verification)'!Y13</f>
        <v>!!</v>
      </c>
      <c r="BJ1563" s="1184" t="s">
        <v>4763</v>
      </c>
    </row>
    <row r="1564" spans="1:62" x14ac:dyDescent="0.3">
      <c r="A1564" s="1200">
        <v>9</v>
      </c>
      <c r="B1564" s="1210" t="s">
        <v>3351</v>
      </c>
      <c r="C1564" s="1203"/>
      <c r="D1564" s="1203"/>
      <c r="E1564" s="1203"/>
      <c r="F1564" s="1203"/>
      <c r="G1564" s="1202" t="str">
        <f t="shared" si="518"/>
        <v/>
      </c>
      <c r="H1564" s="1200" t="s">
        <v>4386</v>
      </c>
      <c r="I1564" s="620"/>
      <c r="J1564" s="238"/>
      <c r="K1564" s="238"/>
      <c r="L1564" s="1435"/>
      <c r="M1564" s="1319"/>
      <c r="N1564" s="1309"/>
      <c r="O1564" s="1309"/>
      <c r="P1564" s="196"/>
      <c r="Q1564" s="196"/>
      <c r="R1564" s="196"/>
      <c r="S1564" s="196"/>
      <c r="T1564" s="196"/>
      <c r="U1564" s="196"/>
      <c r="V1564" s="196"/>
      <c r="W1564" s="196"/>
      <c r="X1564" s="1295"/>
      <c r="Y1564" s="1522"/>
      <c r="Z1564" s="1586"/>
      <c r="AB1564" s="848"/>
      <c r="AC1564" s="848"/>
      <c r="AD1564" s="848"/>
      <c r="AE1564" s="848"/>
      <c r="AF1564" s="848"/>
      <c r="AG1564" s="848"/>
      <c r="AH1564" s="848"/>
      <c r="AI1564" s="848"/>
      <c r="AJ1564" s="848"/>
      <c r="AK1564" s="848"/>
      <c r="AL1564" s="848"/>
      <c r="AM1564" s="848"/>
      <c r="AN1564" s="848"/>
      <c r="AO1564" s="848"/>
      <c r="AP1564" s="848"/>
      <c r="AQ1564" s="848"/>
      <c r="AR1564" s="848"/>
      <c r="AS1564" s="848"/>
      <c r="AT1564" s="848"/>
      <c r="AU1564" s="848"/>
      <c r="AV1564" s="848"/>
      <c r="AW1564" s="848"/>
      <c r="AX1564" s="908" t="str">
        <f>'Overview (Verification)'!A14</f>
        <v>Zip:</v>
      </c>
      <c r="AY1564" s="1077">
        <f>IF(LEN('Overview (Verification)'!P14)=0,0,'Overview (Verification)'!P14)</f>
        <v>0</v>
      </c>
      <c r="AZ1564" s="848"/>
      <c r="BA1564" s="848"/>
      <c r="BB1564" s="848"/>
      <c r="BC1564" s="848"/>
      <c r="BD1564" s="848"/>
      <c r="BE1564" s="848"/>
      <c r="BF1564" s="848"/>
      <c r="BG1564" s="848"/>
      <c r="BH1564" s="848"/>
      <c r="BJ1564" s="1184" t="s">
        <v>4763</v>
      </c>
    </row>
    <row r="1565" spans="1:62" x14ac:dyDescent="0.3">
      <c r="A1565" s="1200">
        <v>9</v>
      </c>
      <c r="B1565" s="1210" t="s">
        <v>3353</v>
      </c>
      <c r="C1565" s="1203"/>
      <c r="D1565" s="1203"/>
      <c r="E1565" s="1203"/>
      <c r="F1565" s="1203"/>
      <c r="G1565" s="1202" t="str">
        <f>IF(N1565&gt;0,"P","")</f>
        <v>P</v>
      </c>
      <c r="H1565" s="1200" t="s">
        <v>4387</v>
      </c>
      <c r="I1565" s="215" t="s">
        <v>3353</v>
      </c>
      <c r="J1565" s="216"/>
      <c r="K1565" s="216"/>
      <c r="L1565" s="1364" t="s">
        <v>3354</v>
      </c>
      <c r="M1565" s="1323">
        <v>5</v>
      </c>
      <c r="N1565" s="1324">
        <f>'Ch9'!O18</f>
        <v>5</v>
      </c>
      <c r="O1565" s="1324">
        <f>M1565*S1565*W1565</f>
        <v>0</v>
      </c>
      <c r="P1565" s="97" t="b">
        <v>1</v>
      </c>
      <c r="Q1565" s="97" t="b">
        <v>0</v>
      </c>
      <c r="R1565" s="218" t="b">
        <v>0</v>
      </c>
      <c r="S1565" s="218" t="b">
        <v>1</v>
      </c>
      <c r="T1565" s="218" t="b">
        <v>0</v>
      </c>
      <c r="U1565" s="218"/>
      <c r="V1565" s="218"/>
      <c r="W1565" s="25"/>
      <c r="X1565" s="1295"/>
      <c r="Y1565" s="1522" t="str">
        <f>IF(LEN('Ch9'!X18)=0,"None",'Ch9'!X18)</f>
        <v>ZERH Requirement - Indoor airPLUS, Section 4.3 Location of Air Handling Equipment and Ductwork</v>
      </c>
      <c r="Z1565" s="1586"/>
      <c r="AB1565" s="848"/>
      <c r="AC1565" s="848" t="b">
        <f>OR(AD1565:AE1565)</f>
        <v>0</v>
      </c>
      <c r="AD1565" s="848" t="b">
        <f>T1565</f>
        <v>0</v>
      </c>
      <c r="AE1565" s="848" t="b">
        <f>AND(R1565,NOT(W1565))</f>
        <v>0</v>
      </c>
      <c r="AF1565" s="1182" t="b">
        <f>AND(AE1565,NOT(Q1565))</f>
        <v>0</v>
      </c>
      <c r="AG1565" s="848"/>
      <c r="AH1565" s="848"/>
      <c r="AI1565" s="848"/>
      <c r="AJ1565" s="848"/>
      <c r="AK1565" s="848"/>
      <c r="AL1565" s="311" t="str">
        <f t="shared" ref="AL1565" si="519">SUBSTITUTE(SUBSTITUTE(SUBSTITUTE("vpa"&amp;$B1565&amp;$C1565&amp;$D1565&amp;$E1565&amp;$F1565,".","_"),"(","_"),")","")</f>
        <v>vpa901_1_2</v>
      </c>
      <c r="AM1565" s="311">
        <f>M1565</f>
        <v>5</v>
      </c>
      <c r="AN1565" s="311" t="str">
        <f>SUBSTITUTE(SUBSTITUTE(SUBSTITUTE("vpc"&amp;$B1565&amp;$C1565&amp;$D1565&amp;$E1565&amp;$F1565,".","_"),"(","_"),")","")</f>
        <v>vpc901_1_2</v>
      </c>
      <c r="AO1565" s="311">
        <f>O1565</f>
        <v>0</v>
      </c>
      <c r="AP1565" s="311" t="str">
        <f>SUBSTITUTE(SUBSTITUTE(SUBSTITUTE("vch"&amp;$B1565&amp;$C1565&amp;$D1565&amp;$E1565&amp;$F1565,".","_"),"(","_"),")","")</f>
        <v>vch901_1_2</v>
      </c>
      <c r="AQ1565" s="311">
        <f>W1565</f>
        <v>0</v>
      </c>
      <c r="AR1565" s="311" t="str">
        <f>SUBSTITUTE(SUBSTITUTE(SUBSTITUTE("vnt"&amp;$B1565&amp;$C1565&amp;$D1565&amp;$E1565&amp;$F1565,".","_"),"(","_"),")","")</f>
        <v>vnt901_1_2</v>
      </c>
      <c r="AS1565" s="311">
        <f>X1565</f>
        <v>0</v>
      </c>
      <c r="AT1565" s="848"/>
      <c r="AU1565" s="848"/>
      <c r="AV1565" s="848"/>
      <c r="AW1565" s="848"/>
      <c r="AX1565" s="849"/>
      <c r="AY1565" s="1077"/>
      <c r="AZ1565" s="848"/>
      <c r="BA1565" s="848"/>
      <c r="BB1565" s="848"/>
      <c r="BC1565" s="848"/>
      <c r="BD1565" s="848"/>
      <c r="BE1565" s="848"/>
      <c r="BF1565" s="848"/>
      <c r="BG1565" s="848"/>
      <c r="BH1565" s="848"/>
      <c r="BJ1565" s="1184" t="s">
        <v>4763</v>
      </c>
    </row>
    <row r="1566" spans="1:62" x14ac:dyDescent="0.3">
      <c r="A1566" s="1200">
        <v>9</v>
      </c>
      <c r="B1566" s="1210" t="s">
        <v>3353</v>
      </c>
      <c r="C1566" s="1203"/>
      <c r="D1566" s="1203"/>
      <c r="E1566" s="1203"/>
      <c r="F1566" s="1203"/>
      <c r="G1566" s="1202" t="str">
        <f t="shared" ref="G1566:G1567" si="520">G1565</f>
        <v>P</v>
      </c>
      <c r="H1566" s="1200" t="s">
        <v>4387</v>
      </c>
      <c r="I1566" s="576"/>
      <c r="J1566" s="140"/>
      <c r="K1566" s="140"/>
      <c r="L1566" s="1313"/>
      <c r="M1566" s="1318"/>
      <c r="N1566" s="1308"/>
      <c r="O1566" s="1308"/>
      <c r="P1566" s="97"/>
      <c r="Q1566" s="97"/>
      <c r="R1566" s="97"/>
      <c r="S1566" s="97"/>
      <c r="T1566" s="97"/>
      <c r="U1566" s="97"/>
      <c r="V1566" s="97"/>
      <c r="W1566" s="97"/>
      <c r="X1566" s="1295"/>
      <c r="Y1566" s="1522"/>
      <c r="Z1566" s="1586"/>
      <c r="AB1566" s="848"/>
      <c r="AC1566" s="848"/>
      <c r="AD1566" s="848"/>
      <c r="AE1566" s="848"/>
      <c r="AF1566" s="848"/>
      <c r="AG1566" s="848"/>
      <c r="AH1566" s="848"/>
      <c r="AI1566" s="848"/>
      <c r="AJ1566" s="848"/>
      <c r="AK1566" s="848"/>
      <c r="AL1566" s="848"/>
      <c r="AM1566" s="848"/>
      <c r="AN1566" s="848"/>
      <c r="AO1566" s="848"/>
      <c r="AP1566" s="848"/>
      <c r="AQ1566" s="848"/>
      <c r="AR1566" s="848"/>
      <c r="AS1566" s="848"/>
      <c r="AT1566" s="848"/>
      <c r="AU1566" s="848"/>
      <c r="AV1566" s="848"/>
      <c r="AW1566" s="848"/>
      <c r="AX1566" s="908" t="str">
        <f>'Overview (Verification)'!A16</f>
        <v>Single-Family or Multifamily:</v>
      </c>
      <c r="AY1566" s="1077">
        <f>IF(LEN('Overview (Verification)'!P16)=0,0,'Overview (Verification)'!P16)</f>
        <v>0</v>
      </c>
      <c r="AZ1566" s="848"/>
      <c r="BA1566" s="848"/>
      <c r="BB1566" s="848"/>
      <c r="BC1566" s="848"/>
      <c r="BD1566" s="848"/>
      <c r="BE1566" s="848"/>
      <c r="BF1566" s="848"/>
      <c r="BG1566" s="848"/>
      <c r="BH1566" s="848"/>
      <c r="BJ1566" s="1184" t="s">
        <v>4763</v>
      </c>
    </row>
    <row r="1567" spans="1:62" x14ac:dyDescent="0.3">
      <c r="A1567" s="1200">
        <v>9</v>
      </c>
      <c r="B1567" s="1210" t="s">
        <v>3353</v>
      </c>
      <c r="C1567" s="1203"/>
      <c r="D1567" s="1203"/>
      <c r="E1567" s="1203"/>
      <c r="F1567" s="1203"/>
      <c r="G1567" s="1202" t="str">
        <f t="shared" si="520"/>
        <v>P</v>
      </c>
      <c r="H1567" s="1200" t="s">
        <v>4387</v>
      </c>
      <c r="I1567" s="620"/>
      <c r="J1567" s="238"/>
      <c r="K1567" s="238"/>
      <c r="L1567" s="873" t="s">
        <v>3928</v>
      </c>
      <c r="M1567" s="857"/>
      <c r="N1567" s="855"/>
      <c r="O1567" s="855"/>
      <c r="P1567" s="196"/>
      <c r="Q1567" s="196"/>
      <c r="R1567" s="196"/>
      <c r="S1567" s="196"/>
      <c r="T1567" s="196"/>
      <c r="U1567" s="196"/>
      <c r="V1567" s="196"/>
      <c r="W1567" s="196"/>
      <c r="X1567" s="1295"/>
      <c r="Y1567" s="1522"/>
      <c r="Z1567" s="1586"/>
      <c r="AB1567" s="848"/>
      <c r="AC1567" s="848"/>
      <c r="AD1567" s="848"/>
      <c r="AE1567" s="848"/>
      <c r="AF1567" s="848"/>
      <c r="AG1567" s="848"/>
      <c r="AH1567" s="848"/>
      <c r="AI1567" s="848"/>
      <c r="AJ1567" s="848"/>
      <c r="AK1567" s="848"/>
      <c r="AL1567" s="848"/>
      <c r="AM1567" s="848"/>
      <c r="AN1567" s="848"/>
      <c r="AO1567" s="848"/>
      <c r="AP1567" s="848"/>
      <c r="AQ1567" s="848"/>
      <c r="AR1567" s="848"/>
      <c r="AS1567" s="848"/>
      <c r="AT1567" s="848"/>
      <c r="AU1567" s="848"/>
      <c r="AV1567" s="848"/>
      <c r="AW1567" s="848"/>
      <c r="AX1567" s="908" t="str">
        <f>'Overview (Verification)'!A17</f>
        <v>Number of Units:</v>
      </c>
      <c r="AY1567" s="1077">
        <f>IF(LEN('Overview (Verification)'!P17)=0,0,'Overview (Verification)'!P17)</f>
        <v>0</v>
      </c>
      <c r="AZ1567" s="848"/>
      <c r="BA1567" s="848"/>
      <c r="BB1567" s="848"/>
      <c r="BC1567" s="848"/>
      <c r="BD1567" s="848"/>
      <c r="BE1567" s="848"/>
      <c r="BF1567" s="848"/>
      <c r="BG1567" s="848"/>
      <c r="BH1567" s="848"/>
      <c r="BJ1567" s="1184" t="s">
        <v>4763</v>
      </c>
    </row>
    <row r="1568" spans="1:62" x14ac:dyDescent="0.3">
      <c r="A1568" s="1200">
        <v>9</v>
      </c>
      <c r="B1568" s="1210" t="s">
        <v>3355</v>
      </c>
      <c r="C1568" s="1203"/>
      <c r="D1568" s="1203"/>
      <c r="E1568" s="1203"/>
      <c r="F1568" s="1203"/>
      <c r="G1568" s="1196" t="str">
        <f ca="1">IF(COUNTIF(G1570:G1573,"P")&gt;0,"P","")</f>
        <v>P</v>
      </c>
      <c r="H1568" s="1200" t="s">
        <v>4386</v>
      </c>
      <c r="I1568" s="66" t="s">
        <v>3355</v>
      </c>
      <c r="J1568" s="4"/>
      <c r="K1568" s="4"/>
      <c r="L1568" s="1292" t="s">
        <v>3356</v>
      </c>
      <c r="M1568" s="866"/>
      <c r="N1568" s="850"/>
      <c r="O1568" s="850"/>
      <c r="P1568" s="848"/>
      <c r="Q1568" s="848"/>
      <c r="R1568" s="848"/>
      <c r="S1568" s="848"/>
      <c r="T1568" s="848"/>
      <c r="U1568" s="848"/>
      <c r="V1568" s="848"/>
      <c r="W1568" s="848"/>
      <c r="X1568" s="848"/>
      <c r="Y1568" s="848"/>
      <c r="Z1568" s="1055"/>
      <c r="AB1568" s="848"/>
      <c r="AC1568" s="848"/>
      <c r="AD1568" s="848"/>
      <c r="AE1568" s="848"/>
      <c r="AF1568" s="848"/>
      <c r="AG1568" s="848"/>
      <c r="AH1568" s="848"/>
      <c r="AI1568" s="848"/>
      <c r="AJ1568" s="848"/>
      <c r="AK1568" s="848"/>
      <c r="AL1568" s="848"/>
      <c r="AM1568" s="848"/>
      <c r="AN1568" s="848"/>
      <c r="AO1568" s="848"/>
      <c r="AP1568" s="848"/>
      <c r="AQ1568" s="848"/>
      <c r="AR1568" s="848"/>
      <c r="AS1568" s="848"/>
      <c r="AT1568" s="848"/>
      <c r="AU1568" s="848"/>
      <c r="AV1568" s="848"/>
      <c r="AW1568" s="848"/>
      <c r="AX1568" s="908" t="str">
        <f>'Overview (Verification)'!A18</f>
        <v>Project Name:</v>
      </c>
      <c r="AY1568" s="1077">
        <f>IF(LEN('Overview (Verification)'!P18)=0,0,'Overview (Verification)'!P18)</f>
        <v>0</v>
      </c>
      <c r="AZ1568" s="848"/>
      <c r="BA1568" s="848"/>
      <c r="BB1568" s="848"/>
      <c r="BC1568" s="848"/>
      <c r="BD1568" s="848"/>
      <c r="BE1568" s="848"/>
      <c r="BF1568" s="848"/>
      <c r="BG1568" s="848"/>
      <c r="BH1568" s="848"/>
      <c r="BJ1568" s="1184" t="s">
        <v>4763</v>
      </c>
    </row>
    <row r="1569" spans="1:62" x14ac:dyDescent="0.3">
      <c r="A1569" s="1200">
        <v>9</v>
      </c>
      <c r="B1569" s="1210" t="s">
        <v>3355</v>
      </c>
      <c r="C1569" s="1203"/>
      <c r="D1569" s="1203"/>
      <c r="E1569" s="1203"/>
      <c r="F1569" s="1203"/>
      <c r="G1569" s="1202" t="str">
        <f t="shared" ref="G1569" ca="1" si="521">G1568</f>
        <v>P</v>
      </c>
      <c r="H1569" s="1200" t="s">
        <v>4386</v>
      </c>
      <c r="I1569" s="182"/>
      <c r="J1569" s="4"/>
      <c r="K1569" s="4"/>
      <c r="L1569" s="1292"/>
      <c r="M1569" s="866"/>
      <c r="N1569" s="850"/>
      <c r="O1569" s="850"/>
      <c r="P1569" s="848"/>
      <c r="Q1569" s="848"/>
      <c r="R1569" s="848"/>
      <c r="S1569" s="848"/>
      <c r="T1569" s="848"/>
      <c r="U1569" s="848"/>
      <c r="V1569" s="848"/>
      <c r="W1569" s="848"/>
      <c r="X1569" s="848"/>
      <c r="Y1569" s="848"/>
      <c r="Z1569" s="1055"/>
      <c r="AB1569" s="848"/>
      <c r="AC1569" s="848"/>
      <c r="AD1569" s="848"/>
      <c r="AE1569" s="848"/>
      <c r="AF1569" s="848"/>
      <c r="AG1569" s="848"/>
      <c r="AH1569" s="848"/>
      <c r="AI1569" s="848"/>
      <c r="AJ1569" s="848"/>
      <c r="AK1569" s="848"/>
      <c r="AL1569" s="848"/>
      <c r="AM1569" s="848"/>
      <c r="AN1569" s="848"/>
      <c r="AO1569" s="848"/>
      <c r="AP1569" s="848"/>
      <c r="AQ1569" s="848"/>
      <c r="AR1569" s="848"/>
      <c r="AS1569" s="848"/>
      <c r="AT1569" s="848"/>
      <c r="AU1569" s="848"/>
      <c r="AV1569" s="848"/>
      <c r="AW1569" s="848"/>
      <c r="AX1569" s="849"/>
      <c r="AY1569" s="1077"/>
      <c r="AZ1569" s="848"/>
      <c r="BA1569" s="848"/>
      <c r="BB1569" s="848"/>
      <c r="BC1569" s="848"/>
      <c r="BD1569" s="848"/>
      <c r="BE1569" s="848"/>
      <c r="BF1569" s="848"/>
      <c r="BG1569" s="848"/>
      <c r="BH1569" s="848"/>
      <c r="BJ1569" s="1184" t="s">
        <v>4763</v>
      </c>
    </row>
    <row r="1570" spans="1:62" x14ac:dyDescent="0.3">
      <c r="A1570" s="1200">
        <v>9</v>
      </c>
      <c r="B1570" s="1210" t="s">
        <v>3355</v>
      </c>
      <c r="C1570" s="1203"/>
      <c r="D1570" s="1203"/>
      <c r="E1570" s="1203" t="s">
        <v>271</v>
      </c>
      <c r="F1570" s="1203"/>
      <c r="G1570" s="1202" t="str">
        <f ca="1">IF(N1570&gt;0,"P","")</f>
        <v>P</v>
      </c>
      <c r="H1570" s="1200" t="s">
        <v>4386</v>
      </c>
      <c r="I1570" s="182"/>
      <c r="J1570" s="27" t="s">
        <v>271</v>
      </c>
      <c r="K1570" s="4"/>
      <c r="L1570" s="871" t="s">
        <v>3357</v>
      </c>
      <c r="M1570" s="866"/>
      <c r="N1570" s="850">
        <f ca="1">'Ch9'!O23</f>
        <v>5</v>
      </c>
      <c r="O1570" s="850">
        <f ca="1">IFERROR(INDEX({3,5},MATCH(W1570,INDIRECT(U1570),0)),0)*S1570</f>
        <v>0</v>
      </c>
      <c r="P1570" s="97" t="b">
        <v>1</v>
      </c>
      <c r="Q1570" s="97" t="b">
        <v>1</v>
      </c>
      <c r="R1570" s="848" t="b">
        <v>0</v>
      </c>
      <c r="S1570" s="848" t="b">
        <f>OR(AY1579=INDEX(ddHeat1,1),AY1579=INDEX(ddHeat1,2),AY1580=INDEX(ddHeat2,1),AY1580=INDEX(ddHeat2,2),AY1581=INDEX(ddHeat3,1),AY1581=INDEX(ddHeat3,2))</f>
        <v>0</v>
      </c>
      <c r="T1570" s="97" t="b">
        <f>AND(NOT(S1570),LEN(W1570)&gt;0)</f>
        <v>0</v>
      </c>
      <c r="U1570" s="97" t="str">
        <f>SUBSTITUTE(SUBSTITUTE(SUBSTITUTE("dd"&amp;B1570&amp;C1570&amp;D1570&amp;E1570&amp;F1570,".","_"),"(","_"),")","")</f>
        <v>dd901_1_3_1</v>
      </c>
      <c r="V1570" s="848"/>
      <c r="W1570" s="12"/>
      <c r="X1570" s="1303"/>
      <c r="Y1570" s="1522" t="str">
        <f>IF(LEN('Ch9'!X23)=0,"None",'Ch9'!X23)</f>
        <v>None</v>
      </c>
      <c r="Z1570" s="1586"/>
      <c r="AB1570" s="848"/>
      <c r="AC1570" s="848"/>
      <c r="AD1570" s="848"/>
      <c r="AE1570" s="848"/>
      <c r="AF1570" s="848"/>
      <c r="AG1570" s="848"/>
      <c r="AH1570" s="848"/>
      <c r="AI1570" s="848"/>
      <c r="AJ1570" s="848"/>
      <c r="AK1570" s="848"/>
      <c r="AL1570" s="848"/>
      <c r="AM1570" s="848"/>
      <c r="AN1570" s="311" t="str">
        <f>SUBSTITUTE(SUBSTITUTE(SUBSTITUTE("vpc"&amp;$B1570&amp;$C1570&amp;$D1570&amp;$E1570&amp;$F1570,".","_"),"(","_"),")","")</f>
        <v>vpc901_1_3_1</v>
      </c>
      <c r="AO1570" s="311">
        <f ca="1">O1570</f>
        <v>0</v>
      </c>
      <c r="AP1570" s="311" t="str">
        <f>SUBSTITUTE(SUBSTITUTE(SUBSTITUTE("vch"&amp;$B1570&amp;$C1570&amp;$D1570&amp;$E1570&amp;$F1570,".","_"),"(","_"),")","")</f>
        <v>vch901_1_3_1</v>
      </c>
      <c r="AQ1570" s="311">
        <f>W1570</f>
        <v>0</v>
      </c>
      <c r="AR1570" s="311" t="str">
        <f>SUBSTITUTE(SUBSTITUTE(SUBSTITUTE("vnt"&amp;$B1570&amp;$C1570&amp;$D1570&amp;$E1570&amp;$F1570,".","_"),"(","_"),")","")</f>
        <v>vnt901_1_3_1</v>
      </c>
      <c r="AS1570" s="311">
        <f>X1570</f>
        <v>0</v>
      </c>
      <c r="AT1570" s="848"/>
      <c r="AU1570" s="848"/>
      <c r="AV1570" s="848"/>
      <c r="AW1570" s="848"/>
      <c r="AX1570" s="908" t="str">
        <f>'Overview (Verification)'!A20</f>
        <v>Above grade plane finished floor area:</v>
      </c>
      <c r="AY1570" s="1077">
        <f>IF(LEN('Overview (Verification)'!P20)=0,0,'Overview (Verification)'!P20)</f>
        <v>0</v>
      </c>
      <c r="AZ1570" s="848"/>
      <c r="BA1570" s="848"/>
      <c r="BB1570" s="848"/>
      <c r="BC1570" s="848"/>
      <c r="BD1570" s="848"/>
      <c r="BE1570" s="848"/>
      <c r="BF1570" s="848"/>
      <c r="BG1570" s="848"/>
      <c r="BH1570" s="848"/>
      <c r="BJ1570" s="1184" t="s">
        <v>4763</v>
      </c>
    </row>
    <row r="1571" spans="1:62" x14ac:dyDescent="0.3">
      <c r="A1571" s="1200">
        <v>9</v>
      </c>
      <c r="B1571" s="1210" t="s">
        <v>3355</v>
      </c>
      <c r="C1571" s="1203"/>
      <c r="D1571" s="1203"/>
      <c r="E1571" s="1203" t="s">
        <v>271</v>
      </c>
      <c r="F1571" s="1208" t="s">
        <v>121</v>
      </c>
      <c r="G1571" s="1202" t="str">
        <f t="shared" ref="G1571:G1572" ca="1" si="522">G1570</f>
        <v>P</v>
      </c>
      <c r="H1571" s="1222" t="s">
        <v>4386</v>
      </c>
      <c r="I1571" s="182"/>
      <c r="J1571" s="27"/>
      <c r="K1571" s="27" t="s">
        <v>121</v>
      </c>
      <c r="L1571" s="871" t="s">
        <v>3358</v>
      </c>
      <c r="M1571" s="866">
        <v>3</v>
      </c>
      <c r="N1571" s="850"/>
      <c r="O1571" s="850"/>
      <c r="P1571" s="848"/>
      <c r="Q1571" s="848"/>
      <c r="R1571" s="848"/>
      <c r="S1571" s="848"/>
      <c r="T1571" s="848"/>
      <c r="U1571" s="848"/>
      <c r="V1571" s="848"/>
      <c r="W1571" s="848"/>
      <c r="X1571" s="1303"/>
      <c r="Y1571" s="1522"/>
      <c r="Z1571" s="1586"/>
      <c r="AB1571" s="848"/>
      <c r="AC1571" s="848"/>
      <c r="AD1571" s="848"/>
      <c r="AE1571" s="848"/>
      <c r="AF1571" s="848"/>
      <c r="AG1571" s="848"/>
      <c r="AH1571" s="848"/>
      <c r="AI1571" s="848"/>
      <c r="AJ1571" s="848"/>
      <c r="AK1571" s="848"/>
      <c r="AL1571" s="311" t="str">
        <f t="shared" ref="AL1571:AL1572" si="523">SUBSTITUTE(SUBSTITUTE(SUBSTITUTE("vpa"&amp;$B1571&amp;$C1571&amp;$D1571&amp;$E1571&amp;$F1571,".","_"),"(","_"),")","")</f>
        <v>vpa901_1_3_1_a</v>
      </c>
      <c r="AM1571" s="311">
        <f>M1571</f>
        <v>3</v>
      </c>
      <c r="AN1571" s="848"/>
      <c r="AO1571" s="848"/>
      <c r="AP1571" s="848"/>
      <c r="AQ1571" s="848"/>
      <c r="AR1571" s="848"/>
      <c r="AS1571" s="848"/>
      <c r="AT1571" s="848"/>
      <c r="AU1571" s="848"/>
      <c r="AV1571" s="848"/>
      <c r="AW1571" s="848"/>
      <c r="AX1571" s="908" t="str">
        <f>'Overview (Verification)'!A21</f>
        <v>Total conditioned floor area:</v>
      </c>
      <c r="AY1571" s="1077">
        <f>IF(LEN('Overview (Verification)'!P21)=0,0,'Overview (Verification)'!P21)</f>
        <v>0</v>
      </c>
      <c r="AZ1571" s="848"/>
      <c r="BA1571" s="848"/>
      <c r="BB1571" s="848"/>
      <c r="BC1571" s="848"/>
      <c r="BD1571" s="848"/>
      <c r="BE1571" s="848"/>
      <c r="BF1571" s="848"/>
      <c r="BG1571" s="848"/>
      <c r="BH1571" s="848"/>
      <c r="BJ1571" s="1184" t="s">
        <v>4763</v>
      </c>
    </row>
    <row r="1572" spans="1:62" x14ac:dyDescent="0.3">
      <c r="A1572" s="1200">
        <v>9</v>
      </c>
      <c r="B1572" s="1210" t="s">
        <v>3355</v>
      </c>
      <c r="C1572" s="1203"/>
      <c r="D1572" s="1203"/>
      <c r="E1572" s="1203" t="s">
        <v>271</v>
      </c>
      <c r="F1572" s="1208" t="s">
        <v>122</v>
      </c>
      <c r="G1572" s="1202" t="str">
        <f t="shared" ca="1" si="522"/>
        <v>P</v>
      </c>
      <c r="H1572" s="1222" t="s">
        <v>4386</v>
      </c>
      <c r="I1572" s="182"/>
      <c r="J1572" s="231"/>
      <c r="K1572" s="231" t="s">
        <v>122</v>
      </c>
      <c r="L1572" s="862" t="s">
        <v>3359</v>
      </c>
      <c r="M1572" s="857">
        <v>5</v>
      </c>
      <c r="N1572" s="855"/>
      <c r="O1572" s="855"/>
      <c r="P1572" s="848"/>
      <c r="Q1572" s="848"/>
      <c r="R1572" s="848"/>
      <c r="S1572" s="848"/>
      <c r="T1572" s="848"/>
      <c r="U1572" s="848"/>
      <c r="V1572" s="848"/>
      <c r="W1572" s="848"/>
      <c r="X1572" s="1303"/>
      <c r="Y1572" s="1522"/>
      <c r="Z1572" s="1586"/>
      <c r="AB1572" s="848"/>
      <c r="AC1572" s="848"/>
      <c r="AD1572" s="848"/>
      <c r="AE1572" s="848"/>
      <c r="AF1572" s="848"/>
      <c r="AG1572" s="848"/>
      <c r="AH1572" s="848"/>
      <c r="AI1572" s="848"/>
      <c r="AJ1572" s="848"/>
      <c r="AK1572" s="848"/>
      <c r="AL1572" s="311" t="str">
        <f t="shared" si="523"/>
        <v>vpa901_1_3_1_b</v>
      </c>
      <c r="AM1572" s="311">
        <f>M1572</f>
        <v>5</v>
      </c>
      <c r="AN1572" s="848"/>
      <c r="AO1572" s="848"/>
      <c r="AP1572" s="848"/>
      <c r="AQ1572" s="848"/>
      <c r="AR1572" s="848"/>
      <c r="AS1572" s="848"/>
      <c r="AT1572" s="848"/>
      <c r="AU1572" s="848"/>
      <c r="AV1572" s="848"/>
      <c r="AW1572" s="848"/>
      <c r="AX1572" s="908" t="str">
        <f>'Overview (Verification)'!A22</f>
        <v>Stories above grade:</v>
      </c>
      <c r="AY1572" s="1077">
        <f>IF(LEN('Overview (Verification)'!P22)=0,0,'Overview (Verification)'!P22)</f>
        <v>0</v>
      </c>
      <c r="AZ1572" s="848"/>
      <c r="BA1572" s="848"/>
      <c r="BB1572" s="848"/>
      <c r="BC1572" s="848"/>
      <c r="BD1572" s="848"/>
      <c r="BE1572" s="848"/>
      <c r="BF1572" s="848"/>
      <c r="BG1572" s="848"/>
      <c r="BH1572" s="848"/>
      <c r="BJ1572" s="1184" t="s">
        <v>4763</v>
      </c>
    </row>
    <row r="1573" spans="1:62" x14ac:dyDescent="0.3">
      <c r="A1573" s="1200">
        <v>9</v>
      </c>
      <c r="B1573" s="1210" t="s">
        <v>3355</v>
      </c>
      <c r="C1573" s="1203"/>
      <c r="D1573" s="1203"/>
      <c r="E1573" s="1203" t="s">
        <v>273</v>
      </c>
      <c r="F1573" s="1208"/>
      <c r="G1573" s="1202" t="str">
        <f ca="1">IF(N1573&gt;0,"P","")</f>
        <v>P</v>
      </c>
      <c r="H1573" s="1211" t="s">
        <v>4386</v>
      </c>
      <c r="I1573" s="576"/>
      <c r="J1573" s="203" t="s">
        <v>273</v>
      </c>
      <c r="K1573" s="140"/>
      <c r="L1573" s="861" t="s">
        <v>3360</v>
      </c>
      <c r="M1573" s="856"/>
      <c r="N1573" s="854">
        <f ca="1">'Ch9'!O26</f>
        <v>5</v>
      </c>
      <c r="O1573" s="854">
        <f ca="1">IFERROR(INDEX({3,5},MATCH(W1573,INDIRECT(U1573),0)),0)*S1573</f>
        <v>0</v>
      </c>
      <c r="P1573" s="97" t="b">
        <v>1</v>
      </c>
      <c r="Q1573" s="97" t="b">
        <v>1</v>
      </c>
      <c r="R1573" s="97" t="b">
        <v>0</v>
      </c>
      <c r="S1573" s="97" t="b">
        <v>1</v>
      </c>
      <c r="T1573" s="97" t="b">
        <v>0</v>
      </c>
      <c r="U1573" s="97" t="str">
        <f>SUBSTITUTE(SUBSTITUTE(SUBSTITUTE("dd"&amp;B1573&amp;C1573&amp;D1573&amp;E1573&amp;F1573,".","_"),"(","_"),")","")</f>
        <v>dd901_1_3_2</v>
      </c>
      <c r="V1573" s="97"/>
      <c r="W1573" s="12"/>
      <c r="X1573" s="1295"/>
      <c r="Y1573" s="1522" t="str">
        <f>IF(LEN('Ch9'!X26)=0,"None",'Ch9'!X26)</f>
        <v>None</v>
      </c>
      <c r="Z1573" s="1586"/>
      <c r="AB1573" s="848"/>
      <c r="AC1573" s="848"/>
      <c r="AD1573" s="848"/>
      <c r="AE1573" s="848"/>
      <c r="AF1573" s="848"/>
      <c r="AG1573" s="848"/>
      <c r="AH1573" s="848"/>
      <c r="AI1573" s="848"/>
      <c r="AJ1573" s="848"/>
      <c r="AK1573" s="848"/>
      <c r="AL1573" s="848"/>
      <c r="AM1573" s="848"/>
      <c r="AN1573" s="311" t="str">
        <f>SUBSTITUTE(SUBSTITUTE(SUBSTITUTE("vpc"&amp;$B1573&amp;$C1573&amp;$D1573&amp;$E1573&amp;$F1573,".","_"),"(","_"),")","")</f>
        <v>vpc901_1_3_2</v>
      </c>
      <c r="AO1573" s="311">
        <f ca="1">O1573</f>
        <v>0</v>
      </c>
      <c r="AP1573" s="311" t="str">
        <f>SUBSTITUTE(SUBSTITUTE(SUBSTITUTE("vch"&amp;$B1573&amp;$C1573&amp;$D1573&amp;$E1573&amp;$F1573,".","_"),"(","_"),")","")</f>
        <v>vch901_1_3_2</v>
      </c>
      <c r="AQ1573" s="311">
        <f>W1573</f>
        <v>0</v>
      </c>
      <c r="AR1573" s="311" t="str">
        <f>SUBSTITUTE(SUBSTITUTE(SUBSTITUTE("vnt"&amp;$B1573&amp;$C1573&amp;$D1573&amp;$E1573&amp;$F1573,".","_"),"(","_"),")","")</f>
        <v>vnt901_1_3_2</v>
      </c>
      <c r="AS1573" s="311">
        <f>X1573</f>
        <v>0</v>
      </c>
      <c r="AT1573" s="848"/>
      <c r="AU1573" s="848"/>
      <c r="AV1573" s="848"/>
      <c r="AW1573" s="848"/>
      <c r="AX1573" s="849"/>
      <c r="AY1573" s="1077"/>
      <c r="AZ1573" s="848"/>
      <c r="BA1573" s="848"/>
      <c r="BB1573" s="848"/>
      <c r="BC1573" s="848"/>
      <c r="BD1573" s="848"/>
      <c r="BE1573" s="848"/>
      <c r="BF1573" s="848"/>
      <c r="BG1573" s="848"/>
      <c r="BH1573" s="848"/>
      <c r="BJ1573" s="1184" t="s">
        <v>4763</v>
      </c>
    </row>
    <row r="1574" spans="1:62" x14ac:dyDescent="0.3">
      <c r="A1574" s="1200">
        <v>9</v>
      </c>
      <c r="B1574" s="1210" t="s">
        <v>3355</v>
      </c>
      <c r="C1574" s="1203"/>
      <c r="D1574" s="1203"/>
      <c r="E1574" s="1203" t="s">
        <v>273</v>
      </c>
      <c r="F1574" s="1208" t="s">
        <v>121</v>
      </c>
      <c r="G1574" s="1202" t="str">
        <f t="shared" ref="G1574:G1575" ca="1" si="524">G1573</f>
        <v>P</v>
      </c>
      <c r="H1574" s="1222" t="s">
        <v>4386</v>
      </c>
      <c r="I1574" s="576"/>
      <c r="J1574" s="140"/>
      <c r="K1574" s="203" t="s">
        <v>121</v>
      </c>
      <c r="L1574" s="861" t="s">
        <v>3361</v>
      </c>
      <c r="M1574" s="856">
        <v>3</v>
      </c>
      <c r="N1574" s="854"/>
      <c r="O1574" s="854"/>
      <c r="P1574" s="97"/>
      <c r="Q1574" s="97"/>
      <c r="R1574" s="97"/>
      <c r="S1574" s="97"/>
      <c r="T1574" s="97"/>
      <c r="U1574" s="97"/>
      <c r="V1574" s="97"/>
      <c r="W1574" s="97"/>
      <c r="X1574" s="1295"/>
      <c r="Y1574" s="1522"/>
      <c r="Z1574" s="1586"/>
      <c r="AB1574" s="848"/>
      <c r="AC1574" s="848"/>
      <c r="AD1574" s="848"/>
      <c r="AE1574" s="848"/>
      <c r="AF1574" s="848"/>
      <c r="AG1574" s="848"/>
      <c r="AH1574" s="848"/>
      <c r="AI1574" s="848"/>
      <c r="AJ1574" s="848"/>
      <c r="AK1574" s="848"/>
      <c r="AL1574" s="311" t="str">
        <f t="shared" ref="AL1574:AL1576" si="525">SUBSTITUTE(SUBSTITUTE(SUBSTITUTE("vpa"&amp;$B1574&amp;$C1574&amp;$D1574&amp;$E1574&amp;$F1574,".","_"),"(","_"),")","")</f>
        <v>vpa901_1_3_2_a</v>
      </c>
      <c r="AM1574" s="311">
        <f>M1574</f>
        <v>3</v>
      </c>
      <c r="AN1574" s="848"/>
      <c r="AO1574" s="848"/>
      <c r="AP1574" s="848"/>
      <c r="AQ1574" s="848"/>
      <c r="AR1574" s="848"/>
      <c r="AS1574" s="848"/>
      <c r="AT1574" s="848"/>
      <c r="AU1574" s="848"/>
      <c r="AV1574" s="848"/>
      <c r="AW1574" s="848"/>
      <c r="AX1574" s="908" t="str">
        <f>'Overview (Verification)'!A24</f>
        <v xml:space="preserve">Project Description (optional): </v>
      </c>
      <c r="AY1574" s="1077">
        <f>IF(LEN('Overview (Verification)'!P24)=0,0,'Overview (Verification)'!P24)</f>
        <v>0</v>
      </c>
      <c r="AZ1574" s="848"/>
      <c r="BA1574" s="848"/>
      <c r="BB1574" s="848"/>
      <c r="BC1574" s="848"/>
      <c r="BD1574" s="848"/>
      <c r="BE1574" s="848"/>
      <c r="BF1574" s="848"/>
      <c r="BG1574" s="848"/>
      <c r="BH1574" s="848"/>
      <c r="BJ1574" s="1184" t="s">
        <v>4763</v>
      </c>
    </row>
    <row r="1575" spans="1:62" x14ac:dyDescent="0.3">
      <c r="A1575" s="1200">
        <v>9</v>
      </c>
      <c r="B1575" s="1210" t="s">
        <v>3355</v>
      </c>
      <c r="C1575" s="1203"/>
      <c r="D1575" s="1203"/>
      <c r="E1575" s="1203" t="s">
        <v>273</v>
      </c>
      <c r="F1575" s="1208" t="s">
        <v>122</v>
      </c>
      <c r="G1575" s="1202" t="str">
        <f t="shared" ca="1" si="524"/>
        <v>P</v>
      </c>
      <c r="H1575" s="1222" t="s">
        <v>4386</v>
      </c>
      <c r="I1575" s="620"/>
      <c r="J1575" s="238"/>
      <c r="K1575" s="231" t="s">
        <v>122</v>
      </c>
      <c r="L1575" s="862" t="s">
        <v>3362</v>
      </c>
      <c r="M1575" s="857">
        <v>5</v>
      </c>
      <c r="N1575" s="855"/>
      <c r="O1575" s="855"/>
      <c r="P1575" s="196"/>
      <c r="Q1575" s="196"/>
      <c r="R1575" s="196"/>
      <c r="S1575" s="196"/>
      <c r="T1575" s="196"/>
      <c r="U1575" s="196"/>
      <c r="V1575" s="196"/>
      <c r="W1575" s="196"/>
      <c r="X1575" s="1295"/>
      <c r="Y1575" s="1522"/>
      <c r="Z1575" s="1586"/>
      <c r="AB1575" s="848"/>
      <c r="AC1575" s="848"/>
      <c r="AD1575" s="848"/>
      <c r="AE1575" s="848"/>
      <c r="AF1575" s="848"/>
      <c r="AG1575" s="848"/>
      <c r="AH1575" s="848"/>
      <c r="AI1575" s="848"/>
      <c r="AJ1575" s="848"/>
      <c r="AK1575" s="848"/>
      <c r="AL1575" s="311" t="str">
        <f t="shared" si="525"/>
        <v>vpa901_1_3_2_b</v>
      </c>
      <c r="AM1575" s="311">
        <f>M1575</f>
        <v>5</v>
      </c>
      <c r="AN1575" s="848"/>
      <c r="AO1575" s="848"/>
      <c r="AP1575" s="848"/>
      <c r="AQ1575" s="848"/>
      <c r="AR1575" s="848"/>
      <c r="AS1575" s="848"/>
      <c r="AT1575" s="848"/>
      <c r="AU1575" s="848"/>
      <c r="AV1575" s="848"/>
      <c r="AW1575" s="848"/>
      <c r="AX1575" s="849"/>
      <c r="AY1575" s="1077"/>
      <c r="AZ1575" s="848"/>
      <c r="BA1575" s="848"/>
      <c r="BB1575" s="848"/>
      <c r="BC1575" s="848"/>
      <c r="BD1575" s="848"/>
      <c r="BE1575" s="848"/>
      <c r="BF1575" s="848"/>
      <c r="BG1575" s="848"/>
      <c r="BH1575" s="848"/>
      <c r="BJ1575" s="1184" t="s">
        <v>4763</v>
      </c>
    </row>
    <row r="1576" spans="1:62" x14ac:dyDescent="0.3">
      <c r="A1576" s="1200">
        <v>9</v>
      </c>
      <c r="B1576" s="1210" t="s">
        <v>3363</v>
      </c>
      <c r="C1576" s="1203"/>
      <c r="D1576" s="1203"/>
      <c r="E1576" s="1203"/>
      <c r="F1576" s="1203"/>
      <c r="G1576" s="1202" t="s">
        <v>4389</v>
      </c>
      <c r="H1576" s="1200" t="s">
        <v>4387</v>
      </c>
      <c r="I1576" s="141" t="s">
        <v>3363</v>
      </c>
      <c r="J1576" s="140"/>
      <c r="K1576" s="140"/>
      <c r="L1576" s="1313" t="s">
        <v>3364</v>
      </c>
      <c r="M1576" s="1351" t="str">
        <f>IF(R1576,"Mandatory","N/A")</f>
        <v>Mandatory</v>
      </c>
      <c r="N1576" s="854"/>
      <c r="O1576" s="854"/>
      <c r="P1576" s="97" t="b">
        <v>1</v>
      </c>
      <c r="Q1576" s="97" t="b">
        <v>0</v>
      </c>
      <c r="R1576" s="97" t="b">
        <f>S1576</f>
        <v>1</v>
      </c>
      <c r="S1576" s="97" t="b">
        <v>1</v>
      </c>
      <c r="T1576" s="97" t="b">
        <v>0</v>
      </c>
      <c r="U1576" s="97" t="str">
        <f>SUBSTITUTE(SUBSTITUTE(SUBSTITUTE("dd"&amp;B1576&amp;C1576&amp;D1576&amp;E1576&amp;F1576,".","_"),"(","_"),")","")</f>
        <v>dd901_1_4</v>
      </c>
      <c r="V1576" s="97"/>
      <c r="W1576" s="12"/>
      <c r="X1576" s="1304"/>
      <c r="Y1576" s="1522" t="str">
        <f>IF(LEN('Ch9'!X29)=0,"None",'Ch9'!X29)</f>
        <v>ZERH Requirement - Indoor airPLUS, Section 5.1 Combustion Equipment</v>
      </c>
      <c r="Z1576" s="1586"/>
      <c r="AB1576" s="848"/>
      <c r="AC1576" s="848" t="b">
        <f>OR(AD1576:AE1576)</f>
        <v>1</v>
      </c>
      <c r="AD1576" s="848" t="b">
        <f>T1576</f>
        <v>0</v>
      </c>
      <c r="AE1576" s="848" t="b">
        <f>AND(R1576,OR(W1576="Not Met",W1576=""))</f>
        <v>1</v>
      </c>
      <c r="AF1576" s="1182" t="b">
        <f>AND(AE1576,NOT(Q1576))</f>
        <v>1</v>
      </c>
      <c r="AG1576" s="848"/>
      <c r="AH1576" s="848"/>
      <c r="AI1576" s="848"/>
      <c r="AJ1576" s="848"/>
      <c r="AK1576" s="848"/>
      <c r="AL1576" s="311" t="str">
        <f t="shared" si="525"/>
        <v>vpa901_1_4</v>
      </c>
      <c r="AM1576" s="311" t="str">
        <f>M1576</f>
        <v>Mandatory</v>
      </c>
      <c r="AN1576" s="848"/>
      <c r="AO1576" s="848"/>
      <c r="AP1576" s="311" t="str">
        <f>SUBSTITUTE(SUBSTITUTE(SUBSTITUTE("vch"&amp;$B1576&amp;$C1576&amp;$D1576&amp;$E1576&amp;$F1576,".","_"),"(","_"),")","")</f>
        <v>vch901_1_4</v>
      </c>
      <c r="AQ1576" s="311">
        <f>W1576</f>
        <v>0</v>
      </c>
      <c r="AR1576" s="311" t="str">
        <f>SUBSTITUTE(SUBSTITUTE(SUBSTITUTE("vnt"&amp;$B1576&amp;$C1576&amp;$D1576&amp;$E1576&amp;$F1576,".","_"),"(","_"),")","")</f>
        <v>vnt901_1_4</v>
      </c>
      <c r="AS1576" s="311">
        <f>X1576</f>
        <v>0</v>
      </c>
      <c r="AT1576" s="848"/>
      <c r="AU1576" s="848"/>
      <c r="AV1576" s="848"/>
      <c r="AW1576" s="848"/>
      <c r="AX1576" s="908" t="str">
        <f>'Overview (Verification)'!A26</f>
        <v>HERS Index (if available):</v>
      </c>
      <c r="AY1576" s="1077">
        <f>IF(LEN('Overview (Verification)'!P26)=0,0,'Overview (Verification)'!P26)</f>
        <v>0</v>
      </c>
      <c r="AZ1576" s="848"/>
      <c r="BA1576" s="848"/>
      <c r="BB1576" s="848"/>
      <c r="BC1576" s="848"/>
      <c r="BD1576" s="848"/>
      <c r="BE1576" s="848"/>
      <c r="BF1576" s="848"/>
      <c r="BG1576" s="848"/>
      <c r="BH1576" s="848"/>
      <c r="BJ1576" s="1184" t="s">
        <v>4763</v>
      </c>
    </row>
    <row r="1577" spans="1:62" x14ac:dyDescent="0.3">
      <c r="A1577" s="1200">
        <v>9</v>
      </c>
      <c r="B1577" s="1210" t="s">
        <v>3363</v>
      </c>
      <c r="C1577" s="1203"/>
      <c r="D1577" s="1203"/>
      <c r="E1577" s="1203"/>
      <c r="F1577" s="1203"/>
      <c r="G1577" s="1202" t="s">
        <v>4389</v>
      </c>
      <c r="H1577" s="1200" t="s">
        <v>4387</v>
      </c>
      <c r="I1577" s="576"/>
      <c r="J1577" s="140"/>
      <c r="K1577" s="140"/>
      <c r="L1577" s="1313"/>
      <c r="M1577" s="1351"/>
      <c r="N1577" s="854"/>
      <c r="O1577" s="854"/>
      <c r="P1577" s="97"/>
      <c r="Q1577" s="97"/>
      <c r="R1577" s="97"/>
      <c r="S1577" s="97"/>
      <c r="T1577" s="97"/>
      <c r="U1577" s="97"/>
      <c r="V1577" s="97"/>
      <c r="W1577" s="97"/>
      <c r="X1577" s="1295"/>
      <c r="Y1577" s="1522"/>
      <c r="Z1577" s="1586"/>
      <c r="AB1577" s="848"/>
      <c r="AC1577" s="848"/>
      <c r="AD1577" s="848"/>
      <c r="AE1577" s="848"/>
      <c r="AF1577" s="848"/>
      <c r="AG1577" s="848"/>
      <c r="AH1577" s="848"/>
      <c r="AI1577" s="848"/>
      <c r="AJ1577" s="848"/>
      <c r="AK1577" s="848"/>
      <c r="AL1577" s="848"/>
      <c r="AM1577" s="848"/>
      <c r="AN1577" s="848"/>
      <c r="AO1577" s="848"/>
      <c r="AP1577" s="848"/>
      <c r="AQ1577" s="848"/>
      <c r="AR1577" s="848"/>
      <c r="AS1577" s="848"/>
      <c r="AT1577" s="848"/>
      <c r="AU1577" s="848"/>
      <c r="AV1577" s="848"/>
      <c r="AW1577" s="848"/>
      <c r="AX1577" s="908" t="str">
        <f>'Overview (Verification)'!A27</f>
        <v>Foundation Type:</v>
      </c>
      <c r="AY1577" s="1077">
        <f>IF(LEN('Overview (Verification)'!P27)=0,0,'Overview (Verification)'!P27)</f>
        <v>0</v>
      </c>
      <c r="AZ1577" s="848"/>
      <c r="BA1577" s="848"/>
      <c r="BB1577" s="848"/>
      <c r="BC1577" s="848"/>
      <c r="BD1577" s="848"/>
      <c r="BE1577" s="848"/>
      <c r="BF1577" s="848"/>
      <c r="BG1577" s="848"/>
      <c r="BH1577" s="848"/>
      <c r="BJ1577" s="1184" t="s">
        <v>4763</v>
      </c>
    </row>
    <row r="1578" spans="1:62" x14ac:dyDescent="0.3">
      <c r="A1578" s="1200">
        <v>9</v>
      </c>
      <c r="B1578" s="1210" t="s">
        <v>3363</v>
      </c>
      <c r="C1578" s="1203"/>
      <c r="D1578" s="1203"/>
      <c r="E1578" s="1203"/>
      <c r="F1578" s="1203"/>
      <c r="G1578" s="1202" t="s">
        <v>4389</v>
      </c>
      <c r="H1578" s="1200" t="s">
        <v>4387</v>
      </c>
      <c r="I1578" s="576"/>
      <c r="J1578" s="140"/>
      <c r="K1578" s="140"/>
      <c r="L1578" s="1313"/>
      <c r="M1578" s="1351"/>
      <c r="N1578" s="854"/>
      <c r="O1578" s="854"/>
      <c r="P1578" s="97"/>
      <c r="Q1578" s="97"/>
      <c r="R1578" s="97"/>
      <c r="S1578" s="97"/>
      <c r="T1578" s="97"/>
      <c r="U1578" s="97"/>
      <c r="V1578" s="97"/>
      <c r="W1578" s="97"/>
      <c r="X1578" s="1295"/>
      <c r="Y1578" s="1522"/>
      <c r="Z1578" s="1586"/>
      <c r="AB1578" s="848"/>
      <c r="AC1578" s="848"/>
      <c r="AD1578" s="848"/>
      <c r="AE1578" s="848"/>
      <c r="AF1578" s="848"/>
      <c r="AG1578" s="848"/>
      <c r="AH1578" s="848"/>
      <c r="AI1578" s="848"/>
      <c r="AJ1578" s="848"/>
      <c r="AK1578" s="848"/>
      <c r="AL1578" s="848"/>
      <c r="AM1578" s="848"/>
      <c r="AN1578" s="848"/>
      <c r="AO1578" s="848"/>
      <c r="AP1578" s="848"/>
      <c r="AQ1578" s="848"/>
      <c r="AR1578" s="848"/>
      <c r="AS1578" s="848"/>
      <c r="AT1578" s="848"/>
      <c r="AU1578" s="848"/>
      <c r="AV1578" s="848"/>
      <c r="AW1578" s="848"/>
      <c r="AX1578" s="908"/>
      <c r="AY1578" s="1077"/>
      <c r="AZ1578" s="848"/>
      <c r="BA1578" s="848"/>
      <c r="BB1578" s="848"/>
      <c r="BC1578" s="848"/>
      <c r="BD1578" s="848"/>
      <c r="BE1578" s="848"/>
      <c r="BF1578" s="848"/>
      <c r="BG1578" s="848"/>
      <c r="BH1578" s="848"/>
      <c r="BJ1578" s="1184" t="s">
        <v>4763</v>
      </c>
    </row>
    <row r="1579" spans="1:62" x14ac:dyDescent="0.3">
      <c r="A1579" s="1200">
        <v>9</v>
      </c>
      <c r="B1579" s="1210" t="s">
        <v>3363</v>
      </c>
      <c r="C1579" s="1203"/>
      <c r="D1579" s="1203"/>
      <c r="E1579" s="1203"/>
      <c r="F1579" s="1203"/>
      <c r="G1579" s="1202" t="s">
        <v>4389</v>
      </c>
      <c r="H1579" s="1200" t="s">
        <v>4387</v>
      </c>
      <c r="I1579" s="620"/>
      <c r="J1579" s="238"/>
      <c r="K1579" s="238"/>
      <c r="L1579" s="1350"/>
      <c r="M1579" s="1352"/>
      <c r="N1579" s="855"/>
      <c r="O1579" s="855"/>
      <c r="P1579" s="196"/>
      <c r="Q1579" s="196"/>
      <c r="R1579" s="196"/>
      <c r="S1579" s="196"/>
      <c r="T1579" s="196"/>
      <c r="U1579" s="196"/>
      <c r="V1579" s="196"/>
      <c r="W1579" s="196"/>
      <c r="X1579" s="1295"/>
      <c r="Y1579" s="1522"/>
      <c r="Z1579" s="1586"/>
      <c r="AB1579" s="848"/>
      <c r="AC1579" s="848"/>
      <c r="AD1579" s="848"/>
      <c r="AE1579" s="848"/>
      <c r="AF1579" s="848"/>
      <c r="AG1579" s="848"/>
      <c r="AH1579" s="848"/>
      <c r="AI1579" s="848"/>
      <c r="AJ1579" s="848"/>
      <c r="AK1579" s="848"/>
      <c r="AL1579" s="848"/>
      <c r="AM1579" s="848"/>
      <c r="AN1579" s="848"/>
      <c r="AO1579" s="848"/>
      <c r="AP1579" s="848"/>
      <c r="AQ1579" s="848"/>
      <c r="AR1579" s="848"/>
      <c r="AS1579" s="848"/>
      <c r="AT1579" s="848"/>
      <c r="AU1579" s="848"/>
      <c r="AV1579" s="848"/>
      <c r="AW1579" s="848"/>
      <c r="AX1579" s="908" t="str">
        <f>'Overview (Verification)'!A29</f>
        <v>Type of Heating System (main system):</v>
      </c>
      <c r="AY1579" s="1077">
        <f>IF(LEN('Overview (Verification)'!P29)=0,0,'Overview (Verification)'!P29)</f>
        <v>0</v>
      </c>
      <c r="AZ1579" s="848"/>
      <c r="BA1579" s="848"/>
      <c r="BB1579" s="848"/>
      <c r="BC1579" s="848"/>
      <c r="BD1579" s="848"/>
      <c r="BE1579" s="848"/>
      <c r="BF1579" s="848"/>
      <c r="BG1579" s="848"/>
      <c r="BH1579" s="848"/>
      <c r="BJ1579" s="1184" t="s">
        <v>4763</v>
      </c>
    </row>
    <row r="1580" spans="1:62" x14ac:dyDescent="0.3">
      <c r="A1580" s="1200">
        <v>9</v>
      </c>
      <c r="B1580" s="1210" t="s">
        <v>3365</v>
      </c>
      <c r="C1580" s="1203"/>
      <c r="D1580" s="1203"/>
      <c r="E1580" s="1203"/>
      <c r="F1580" s="1203"/>
      <c r="G1580" s="1202" t="str">
        <f>IF(N1580&gt;0,"P","")</f>
        <v>P</v>
      </c>
      <c r="H1580" s="1200" t="s">
        <v>4386</v>
      </c>
      <c r="I1580" s="141" t="s">
        <v>3365</v>
      </c>
      <c r="J1580" s="140"/>
      <c r="K1580" s="140"/>
      <c r="L1580" s="1313" t="s">
        <v>3366</v>
      </c>
      <c r="M1580" s="1318">
        <v>7</v>
      </c>
      <c r="N1580" s="1308">
        <f>'Ch9'!O33</f>
        <v>7</v>
      </c>
      <c r="O1580" s="1308">
        <f>M1580*S1580*W1580</f>
        <v>0</v>
      </c>
      <c r="P1580" s="97" t="b">
        <v>1</v>
      </c>
      <c r="Q1580" s="97" t="b">
        <v>1</v>
      </c>
      <c r="R1580" s="97" t="b">
        <v>0</v>
      </c>
      <c r="S1580" s="97" t="b">
        <f>NOT(W1576="N/A")</f>
        <v>1</v>
      </c>
      <c r="T1580" s="97" t="b">
        <f>AND(NOT(S1580),W1580=TRUE)</f>
        <v>0</v>
      </c>
      <c r="U1580" s="97"/>
      <c r="V1580" s="97"/>
      <c r="W1580" s="25"/>
      <c r="X1580" s="1304"/>
      <c r="Y1580" s="1522" t="str">
        <f>IF(LEN('Ch9'!X33)=0,"None",'Ch9'!X33)</f>
        <v>ZERH Requirement - Indoor airPLUS, Section 5.1 Combustion Equipment</v>
      </c>
      <c r="Z1580" s="1586"/>
      <c r="AB1580" s="848"/>
      <c r="AC1580" s="848" t="b">
        <f>OR(AD1580:AE1580)</f>
        <v>0</v>
      </c>
      <c r="AD1580" s="848" t="b">
        <f>T1580</f>
        <v>0</v>
      </c>
      <c r="AE1580" s="848" t="b">
        <f>AND(R1580,NOT(W1580))</f>
        <v>0</v>
      </c>
      <c r="AF1580" s="1182" t="b">
        <f>AND(AE1580,NOT(Q1580))</f>
        <v>0</v>
      </c>
      <c r="AG1580" s="848"/>
      <c r="AH1580" s="848"/>
      <c r="AI1580" s="848"/>
      <c r="AJ1580" s="848"/>
      <c r="AK1580" s="848"/>
      <c r="AL1580" s="311" t="str">
        <f t="shared" ref="AL1580" si="526">SUBSTITUTE(SUBSTITUTE(SUBSTITUTE("vpa"&amp;$B1580&amp;$C1580&amp;$D1580&amp;$E1580&amp;$F1580,".","_"),"(","_"),")","")</f>
        <v>vpa901_1_5</v>
      </c>
      <c r="AM1580" s="311">
        <f>M1580</f>
        <v>7</v>
      </c>
      <c r="AN1580" s="311" t="str">
        <f>SUBSTITUTE(SUBSTITUTE(SUBSTITUTE("vpc"&amp;$B1580&amp;$C1580&amp;$D1580&amp;$E1580&amp;$F1580,".","_"),"(","_"),")","")</f>
        <v>vpc901_1_5</v>
      </c>
      <c r="AO1580" s="311">
        <f>O1580</f>
        <v>0</v>
      </c>
      <c r="AP1580" s="311" t="str">
        <f>SUBSTITUTE(SUBSTITUTE(SUBSTITUTE("vch"&amp;$B1580&amp;$C1580&amp;$D1580&amp;$E1580&amp;$F1580,".","_"),"(","_"),")","")</f>
        <v>vch901_1_5</v>
      </c>
      <c r="AQ1580" s="311">
        <f>W1580</f>
        <v>0</v>
      </c>
      <c r="AR1580" s="311" t="str">
        <f>SUBSTITUTE(SUBSTITUTE(SUBSTITUTE("vnt"&amp;$B1580&amp;$C1580&amp;$D1580&amp;$E1580&amp;$F1580,".","_"),"(","_"),")","")</f>
        <v>vnt901_1_5</v>
      </c>
      <c r="AS1580" s="311">
        <f>X1580</f>
        <v>0</v>
      </c>
      <c r="AT1580" s="848"/>
      <c r="AU1580" s="848"/>
      <c r="AV1580" s="848"/>
      <c r="AW1580" s="848"/>
      <c r="AX1580" s="908" t="str">
        <f>'Overview (Verification)'!A30</f>
        <v>Type of Heating System (system 2):</v>
      </c>
      <c r="AY1580" s="1077">
        <f>IF(LEN('Overview (Verification)'!P30)=0,0,'Overview (Verification)'!P30)</f>
        <v>0</v>
      </c>
      <c r="AZ1580" s="848"/>
      <c r="BA1580" s="848"/>
      <c r="BB1580" s="848"/>
      <c r="BC1580" s="848"/>
      <c r="BD1580" s="848"/>
      <c r="BE1580" s="848"/>
      <c r="BF1580" s="848"/>
      <c r="BG1580" s="848"/>
      <c r="BH1580" s="848"/>
      <c r="BJ1580" s="1184" t="s">
        <v>4763</v>
      </c>
    </row>
    <row r="1581" spans="1:62" x14ac:dyDescent="0.3">
      <c r="A1581" s="1200">
        <v>9</v>
      </c>
      <c r="B1581" s="1210" t="s">
        <v>3365</v>
      </c>
      <c r="C1581" s="1203"/>
      <c r="D1581" s="1203"/>
      <c r="E1581" s="1203"/>
      <c r="F1581" s="1203"/>
      <c r="G1581" s="1202" t="str">
        <f t="shared" ref="G1581:G1582" si="527">G1580</f>
        <v>P</v>
      </c>
      <c r="H1581" s="1200" t="s">
        <v>4386</v>
      </c>
      <c r="I1581" s="576"/>
      <c r="J1581" s="140"/>
      <c r="K1581" s="140"/>
      <c r="L1581" s="1313"/>
      <c r="M1581" s="1318"/>
      <c r="N1581" s="1308"/>
      <c r="O1581" s="1308"/>
      <c r="P1581" s="97"/>
      <c r="Q1581" s="97"/>
      <c r="R1581" s="97"/>
      <c r="S1581" s="97"/>
      <c r="T1581" s="97"/>
      <c r="U1581" s="97"/>
      <c r="V1581" s="97"/>
      <c r="W1581" s="97"/>
      <c r="X1581" s="1295"/>
      <c r="Y1581" s="1522"/>
      <c r="Z1581" s="1586"/>
      <c r="AB1581" s="848"/>
      <c r="AC1581" s="848"/>
      <c r="AD1581" s="848"/>
      <c r="AE1581" s="848"/>
      <c r="AF1581" s="848"/>
      <c r="AG1581" s="848"/>
      <c r="AH1581" s="848"/>
      <c r="AI1581" s="848"/>
      <c r="AJ1581" s="848"/>
      <c r="AK1581" s="848"/>
      <c r="AL1581" s="848"/>
      <c r="AM1581" s="848"/>
      <c r="AN1581" s="848"/>
      <c r="AO1581" s="848"/>
      <c r="AP1581" s="848"/>
      <c r="AQ1581" s="848"/>
      <c r="AR1581" s="848"/>
      <c r="AS1581" s="848"/>
      <c r="AT1581" s="848"/>
      <c r="AU1581" s="848"/>
      <c r="AV1581" s="848"/>
      <c r="AW1581" s="848"/>
      <c r="AX1581" s="908" t="str">
        <f>'Overview (Verification)'!A31</f>
        <v>Type of Heating System (system 3):</v>
      </c>
      <c r="AY1581" s="1077">
        <f>IF(LEN('Overview (Verification)'!P31)=0,0,'Overview (Verification)'!P31)</f>
        <v>0</v>
      </c>
      <c r="AZ1581" s="848"/>
      <c r="BA1581" s="848"/>
      <c r="BB1581" s="848"/>
      <c r="BC1581" s="848"/>
      <c r="BD1581" s="848"/>
      <c r="BE1581" s="848"/>
      <c r="BF1581" s="848"/>
      <c r="BG1581" s="848"/>
      <c r="BH1581" s="848"/>
      <c r="BJ1581" s="1184" t="s">
        <v>4763</v>
      </c>
    </row>
    <row r="1582" spans="1:62" x14ac:dyDescent="0.3">
      <c r="A1582" s="1200">
        <v>9</v>
      </c>
      <c r="B1582" s="1210" t="s">
        <v>3365</v>
      </c>
      <c r="C1582" s="1203"/>
      <c r="D1582" s="1203"/>
      <c r="E1582" s="1203"/>
      <c r="F1582" s="1203"/>
      <c r="G1582" s="1202" t="str">
        <f t="shared" si="527"/>
        <v>P</v>
      </c>
      <c r="H1582" s="1200" t="s">
        <v>4386</v>
      </c>
      <c r="I1582" s="620"/>
      <c r="J1582" s="238"/>
      <c r="K1582" s="238"/>
      <c r="L1582" s="1350"/>
      <c r="M1582" s="1319"/>
      <c r="N1582" s="1309"/>
      <c r="O1582" s="1309"/>
      <c r="P1582" s="196"/>
      <c r="Q1582" s="196"/>
      <c r="R1582" s="196"/>
      <c r="S1582" s="196"/>
      <c r="T1582" s="196"/>
      <c r="U1582" s="196"/>
      <c r="V1582" s="196"/>
      <c r="W1582" s="196"/>
      <c r="X1582" s="1295"/>
      <c r="Y1582" s="1522"/>
      <c r="Z1582" s="1586"/>
      <c r="AB1582" s="848"/>
      <c r="AC1582" s="848"/>
      <c r="AD1582" s="848"/>
      <c r="AE1582" s="848"/>
      <c r="AF1582" s="848"/>
      <c r="AG1582" s="848"/>
      <c r="AH1582" s="848"/>
      <c r="AI1582" s="848"/>
      <c r="AJ1582" s="848"/>
      <c r="AK1582" s="848"/>
      <c r="AL1582" s="848"/>
      <c r="AM1582" s="848"/>
      <c r="AN1582" s="848"/>
      <c r="AO1582" s="848"/>
      <c r="AP1582" s="848"/>
      <c r="AQ1582" s="848"/>
      <c r="AR1582" s="848"/>
      <c r="AS1582" s="848"/>
      <c r="AT1582" s="848"/>
      <c r="AU1582" s="848"/>
      <c r="AV1582" s="848"/>
      <c r="AW1582" s="848"/>
      <c r="AX1582" s="908" t="str">
        <f>'Overview (Verification)'!A32</f>
        <v>Heating Fuel:</v>
      </c>
      <c r="AY1582" s="1077">
        <f>IF(LEN('Overview (Verification)'!P32)=0,0,'Overview (Verification)'!P32)</f>
        <v>0</v>
      </c>
      <c r="AZ1582" s="848"/>
      <c r="BA1582" s="848"/>
      <c r="BB1582" s="848"/>
      <c r="BC1582" s="848"/>
      <c r="BD1582" s="848"/>
      <c r="BE1582" s="848"/>
      <c r="BF1582" s="848"/>
      <c r="BG1582" s="848"/>
      <c r="BH1582" s="848"/>
      <c r="BJ1582" s="1184" t="s">
        <v>4763</v>
      </c>
    </row>
    <row r="1583" spans="1:62" x14ac:dyDescent="0.3">
      <c r="A1583" s="1200">
        <v>9</v>
      </c>
      <c r="B1583" s="1210" t="s">
        <v>3367</v>
      </c>
      <c r="C1583" s="1203"/>
      <c r="D1583" s="1203"/>
      <c r="E1583" s="1203"/>
      <c r="F1583" s="1203"/>
      <c r="G1583" s="1202" t="str">
        <f ca="1">IF(N1583&gt;0,"P","")</f>
        <v/>
      </c>
      <c r="H1583" s="1200" t="s">
        <v>4386</v>
      </c>
      <c r="I1583" s="141" t="s">
        <v>3367</v>
      </c>
      <c r="J1583" s="140"/>
      <c r="K1583" s="140"/>
      <c r="L1583" s="874" t="s">
        <v>3368</v>
      </c>
      <c r="M1583" s="856"/>
      <c r="N1583" s="854">
        <f ca="1">'Ch9'!O36</f>
        <v>0</v>
      </c>
      <c r="O1583" s="854">
        <f ca="1">IFERROR(INDEX({2,5},MATCH(W1583,INDIRECT(U1583),0)),0)*S1583</f>
        <v>0</v>
      </c>
      <c r="P1583" s="97" t="b">
        <v>1</v>
      </c>
      <c r="Q1583" s="97" t="b">
        <v>1</v>
      </c>
      <c r="R1583" s="97" t="b">
        <v>0</v>
      </c>
      <c r="S1583" s="97" t="b">
        <f>OR(AY1579=INDEX(ddHeat1,3),AY1579=INDEX(ddHeat1,5),AY1580=INDEX(ddHeat2,3),AY1580=INDEX(ddHeat2,5),AY1581=INDEX(ddHeat3,3),AY1581=INDEX(ddHeat3,5))</f>
        <v>0</v>
      </c>
      <c r="T1583" s="97" t="b">
        <f>AND(NOT(S1583),LEN(W1583)&gt;0)</f>
        <v>0</v>
      </c>
      <c r="U1583" s="97" t="str">
        <f>SUBSTITUTE(SUBSTITUTE(SUBSTITUTE("dd"&amp;B1583&amp;C1583&amp;D1583&amp;E1583&amp;F1583,".","_"),"(","_"),")","")</f>
        <v>dd901_1_6</v>
      </c>
      <c r="V1583" s="97"/>
      <c r="W1583" s="12"/>
      <c r="X1583" s="1304"/>
      <c r="Y1583" s="1523" t="str">
        <f>IF(LEN('Ch9'!X36)=0,"None",'Ch9'!X36)</f>
        <v>None</v>
      </c>
      <c r="Z1583" s="1583"/>
      <c r="AB1583" s="848"/>
      <c r="AC1583" s="848" t="b">
        <f>OR(AD1583:AE1583)</f>
        <v>0</v>
      </c>
      <c r="AD1583" s="848" t="b">
        <f>T1583</f>
        <v>0</v>
      </c>
      <c r="AE1583" s="848" t="b">
        <f>AND(R1583,OR(W1583="Not Met",W1583=""))</f>
        <v>0</v>
      </c>
      <c r="AF1583" s="1182" t="b">
        <f>AND(AE1583,NOT(Q1583))</f>
        <v>0</v>
      </c>
      <c r="AG1583" s="848"/>
      <c r="AH1583" s="848"/>
      <c r="AI1583" s="848"/>
      <c r="AJ1583" s="848"/>
      <c r="AK1583" s="848"/>
      <c r="AL1583" s="848"/>
      <c r="AM1583" s="848"/>
      <c r="AN1583" s="311" t="str">
        <f>SUBSTITUTE(SUBSTITUTE(SUBSTITUTE("vpc"&amp;$B1583&amp;$C1583&amp;$D1583&amp;$E1583&amp;$F1583,".","_"),"(","_"),")","")</f>
        <v>vpc901_1_6</v>
      </c>
      <c r="AO1583" s="311">
        <f ca="1">O1583</f>
        <v>0</v>
      </c>
      <c r="AP1583" s="311" t="str">
        <f>SUBSTITUTE(SUBSTITUTE(SUBSTITUTE("vch"&amp;$B1583&amp;$C1583&amp;$D1583&amp;$E1583&amp;$F1583,".","_"),"(","_"),")","")</f>
        <v>vch901_1_6</v>
      </c>
      <c r="AQ1583" s="311">
        <f>W1583</f>
        <v>0</v>
      </c>
      <c r="AR1583" s="311" t="str">
        <f>SUBSTITUTE(SUBSTITUTE(SUBSTITUTE("vnt"&amp;$B1583&amp;$C1583&amp;$D1583&amp;$E1583&amp;$F1583,".","_"),"(","_"),")","")</f>
        <v>vnt901_1_6</v>
      </c>
      <c r="AS1583" s="311">
        <f>X1583</f>
        <v>0</v>
      </c>
      <c r="AT1583" s="848"/>
      <c r="AU1583" s="848"/>
      <c r="AV1583" s="848"/>
      <c r="AW1583" s="848"/>
      <c r="AX1583" s="908" t="str">
        <f>'Overview (Verification)'!A33</f>
        <v>Heating Ducts:</v>
      </c>
      <c r="AY1583" s="1077">
        <f>IF(LEN('Overview (Verification)'!P33)=0,0,'Overview (Verification)'!P33)</f>
        <v>0</v>
      </c>
      <c r="AZ1583" s="848"/>
      <c r="BA1583" s="848"/>
      <c r="BB1583" s="848"/>
      <c r="BC1583" s="848"/>
      <c r="BD1583" s="848"/>
      <c r="BE1583" s="848"/>
      <c r="BF1583" s="848"/>
      <c r="BG1583" s="848"/>
      <c r="BH1583" s="848"/>
      <c r="BJ1583" s="1184" t="s">
        <v>4763</v>
      </c>
    </row>
    <row r="1584" spans="1:62" x14ac:dyDescent="0.3">
      <c r="A1584" s="1200">
        <v>9</v>
      </c>
      <c r="B1584" s="1210" t="s">
        <v>3367</v>
      </c>
      <c r="C1584" s="1203"/>
      <c r="D1584" s="1203"/>
      <c r="E1584" s="1203" t="s">
        <v>271</v>
      </c>
      <c r="F1584" s="1203"/>
      <c r="G1584" s="1202" t="str">
        <f t="shared" ref="G1584:G1585" ca="1" si="528">G1583</f>
        <v/>
      </c>
      <c r="H1584" s="1200" t="s">
        <v>4386</v>
      </c>
      <c r="I1584" s="576"/>
      <c r="J1584" s="231" t="s">
        <v>271</v>
      </c>
      <c r="K1584" s="238"/>
      <c r="L1584" s="862" t="s">
        <v>3369</v>
      </c>
      <c r="M1584" s="857">
        <v>2</v>
      </c>
      <c r="N1584" s="854"/>
      <c r="O1584" s="854"/>
      <c r="P1584" s="97"/>
      <c r="Q1584" s="97"/>
      <c r="R1584" s="97"/>
      <c r="S1584" s="97"/>
      <c r="T1584" s="97"/>
      <c r="U1584" s="97"/>
      <c r="V1584" s="97"/>
      <c r="W1584" s="97"/>
      <c r="X1584" s="1295"/>
      <c r="Y1584" s="1523"/>
      <c r="Z1584" s="1583"/>
      <c r="AB1584" s="848"/>
      <c r="AC1584" s="848"/>
      <c r="AD1584" s="848"/>
      <c r="AE1584" s="848"/>
      <c r="AF1584" s="848"/>
      <c r="AG1584" s="848"/>
      <c r="AH1584" s="848"/>
      <c r="AI1584" s="848"/>
      <c r="AJ1584" s="848"/>
      <c r="AK1584" s="848"/>
      <c r="AL1584" s="311" t="str">
        <f t="shared" ref="AL1584:AL1585" si="529">SUBSTITUTE(SUBSTITUTE(SUBSTITUTE("vpa"&amp;$B1584&amp;$C1584&amp;$D1584&amp;$E1584&amp;$F1584,".","_"),"(","_"),")","")</f>
        <v>vpa901_1_6_1</v>
      </c>
      <c r="AM1584" s="311">
        <f>M1584</f>
        <v>2</v>
      </c>
      <c r="AN1584" s="848"/>
      <c r="AO1584" s="848"/>
      <c r="AP1584" s="848"/>
      <c r="AQ1584" s="848"/>
      <c r="AR1584" s="848"/>
      <c r="AS1584" s="848"/>
      <c r="AT1584" s="848"/>
      <c r="AU1584" s="848"/>
      <c r="AV1584" s="848"/>
      <c r="AW1584" s="848"/>
      <c r="AX1584" s="908" t="str">
        <f>'Overview (Verification)'!A34</f>
        <v>Type of Cooling System (main system):</v>
      </c>
      <c r="AY1584" s="1077">
        <f>IF(LEN('Overview (Verification)'!P34)=0,0,'Overview (Verification)'!P34)</f>
        <v>0</v>
      </c>
      <c r="AZ1584" s="848"/>
      <c r="BA1584" s="848"/>
      <c r="BB1584" s="848"/>
      <c r="BC1584" s="848"/>
      <c r="BD1584" s="848"/>
      <c r="BE1584" s="848"/>
      <c r="BF1584" s="848"/>
      <c r="BG1584" s="848"/>
      <c r="BH1584" s="848"/>
      <c r="BJ1584" s="1184" t="s">
        <v>4763</v>
      </c>
    </row>
    <row r="1585" spans="1:62" ht="15" thickBot="1" x14ac:dyDescent="0.35">
      <c r="A1585" s="1200">
        <v>9</v>
      </c>
      <c r="B1585" s="1210" t="s">
        <v>3367</v>
      </c>
      <c r="C1585" s="1203"/>
      <c r="D1585" s="1203"/>
      <c r="E1585" s="1203" t="s">
        <v>273</v>
      </c>
      <c r="F1585" s="1203"/>
      <c r="G1585" s="1202" t="str">
        <f t="shared" ca="1" si="528"/>
        <v/>
      </c>
      <c r="H1585" s="1200" t="s">
        <v>4386</v>
      </c>
      <c r="I1585" s="577"/>
      <c r="J1585" s="213" t="s">
        <v>273</v>
      </c>
      <c r="K1585" s="270"/>
      <c r="L1585" s="869" t="s">
        <v>3370</v>
      </c>
      <c r="M1585" s="865">
        <v>5</v>
      </c>
      <c r="N1585" s="858"/>
      <c r="O1585" s="858"/>
      <c r="P1585" s="104"/>
      <c r="Q1585" s="104"/>
      <c r="R1585" s="104"/>
      <c r="S1585" s="104"/>
      <c r="T1585" s="104"/>
      <c r="U1585" s="104"/>
      <c r="V1585" s="104"/>
      <c r="W1585" s="104"/>
      <c r="X1585" s="1296"/>
      <c r="Y1585" s="1524"/>
      <c r="Z1585" s="1584"/>
      <c r="AB1585" s="848"/>
      <c r="AC1585" s="848"/>
      <c r="AD1585" s="848"/>
      <c r="AE1585" s="848"/>
      <c r="AF1585" s="848"/>
      <c r="AG1585" s="848"/>
      <c r="AH1585" s="848"/>
      <c r="AI1585" s="848"/>
      <c r="AJ1585" s="848"/>
      <c r="AK1585" s="848"/>
      <c r="AL1585" s="311" t="str">
        <f t="shared" si="529"/>
        <v>vpa901_1_6_2</v>
      </c>
      <c r="AM1585" s="311">
        <f>M1585</f>
        <v>5</v>
      </c>
      <c r="AN1585" s="848"/>
      <c r="AO1585" s="848"/>
      <c r="AP1585" s="848"/>
      <c r="AQ1585" s="848"/>
      <c r="AR1585" s="848"/>
      <c r="AS1585" s="848"/>
      <c r="AT1585" s="848"/>
      <c r="AU1585" s="848"/>
      <c r="AV1585" s="848"/>
      <c r="AW1585" s="848"/>
      <c r="AX1585" s="908" t="str">
        <f>'Overview (Verification)'!A35</f>
        <v>Type of Cooling System (system 2):</v>
      </c>
      <c r="AY1585" s="1077">
        <f>IF(LEN('Overview (Verification)'!P35)=0,0,'Overview (Verification)'!P35)</f>
        <v>0</v>
      </c>
      <c r="AZ1585" s="848"/>
      <c r="BA1585" s="848"/>
      <c r="BB1585" s="848"/>
      <c r="BC1585" s="848"/>
      <c r="BD1585" s="848"/>
      <c r="BE1585" s="848"/>
      <c r="BF1585" s="848"/>
      <c r="BG1585" s="848"/>
      <c r="BH1585" s="848"/>
      <c r="BJ1585" s="1184" t="s">
        <v>4763</v>
      </c>
    </row>
    <row r="1586" spans="1:62" ht="15" thickTop="1" x14ac:dyDescent="0.3">
      <c r="A1586" s="1200">
        <v>9</v>
      </c>
      <c r="B1586" s="1210">
        <v>901.2</v>
      </c>
      <c r="C1586" s="1203"/>
      <c r="D1586" s="1203"/>
      <c r="E1586" s="1203"/>
      <c r="F1586" s="1203"/>
      <c r="G1586" s="1202" t="s">
        <v>4389</v>
      </c>
      <c r="H1586" s="1200" t="s">
        <v>4386</v>
      </c>
      <c r="I1586" s="200">
        <v>901.2</v>
      </c>
      <c r="J1586" s="201"/>
      <c r="K1586" s="201"/>
      <c r="L1586" s="879" t="s">
        <v>3371</v>
      </c>
      <c r="M1586" s="868"/>
      <c r="N1586" s="859"/>
      <c r="O1586" s="859"/>
      <c r="P1586" s="110"/>
      <c r="Q1586" s="110"/>
      <c r="R1586" s="110"/>
      <c r="S1586" s="110"/>
      <c r="T1586" s="110"/>
      <c r="U1586" s="110"/>
      <c r="V1586" s="110"/>
      <c r="W1586" s="110"/>
      <c r="X1586" s="110"/>
      <c r="Y1586" s="848"/>
      <c r="Z1586" s="1055"/>
      <c r="AB1586" s="848"/>
      <c r="AC1586" s="848"/>
      <c r="AD1586" s="848"/>
      <c r="AE1586" s="848"/>
      <c r="AF1586" s="848"/>
      <c r="AG1586" s="848"/>
      <c r="AH1586" s="848"/>
      <c r="AI1586" s="848"/>
      <c r="AJ1586" s="848"/>
      <c r="AK1586" s="848"/>
      <c r="AL1586" s="848"/>
      <c r="AM1586" s="848"/>
      <c r="AN1586" s="848"/>
      <c r="AO1586" s="848"/>
      <c r="AP1586" s="848"/>
      <c r="AQ1586" s="848"/>
      <c r="AR1586" s="848"/>
      <c r="AS1586" s="848"/>
      <c r="AT1586" s="848"/>
      <c r="AU1586" s="848"/>
      <c r="AV1586" s="848"/>
      <c r="AW1586" s="848"/>
      <c r="AX1586" s="908" t="str">
        <f>'Overview (Verification)'!A36</f>
        <v>Type of Cooling System (system 3):</v>
      </c>
      <c r="AY1586" s="1077">
        <f>IF(LEN('Overview (Verification)'!P36)=0,0,'Overview (Verification)'!P36)</f>
        <v>0</v>
      </c>
      <c r="AZ1586" s="848"/>
      <c r="BA1586" s="848"/>
      <c r="BB1586" s="848"/>
      <c r="BC1586" s="848"/>
      <c r="BD1586" s="848"/>
      <c r="BE1586" s="848"/>
      <c r="BF1586" s="848"/>
      <c r="BG1586" s="848"/>
      <c r="BH1586" s="848"/>
      <c r="BJ1586" s="1184" t="s">
        <v>4763</v>
      </c>
    </row>
    <row r="1587" spans="1:62" x14ac:dyDescent="0.3">
      <c r="A1587" s="1200">
        <v>9</v>
      </c>
      <c r="B1587" s="1210" t="s">
        <v>3372</v>
      </c>
      <c r="C1587" s="1203"/>
      <c r="D1587" s="1203"/>
      <c r="E1587" s="1203"/>
      <c r="F1587" s="1203"/>
      <c r="G1587" s="1202" t="s">
        <v>4389</v>
      </c>
      <c r="H1587" s="1200" t="s">
        <v>4386</v>
      </c>
      <c r="I1587" s="66" t="s">
        <v>3372</v>
      </c>
      <c r="J1587" s="4"/>
      <c r="K1587" s="4"/>
      <c r="L1587" s="1292" t="s">
        <v>3373</v>
      </c>
      <c r="M1587" s="866"/>
      <c r="N1587" s="850"/>
      <c r="O1587" s="850"/>
      <c r="P1587" s="848"/>
      <c r="Q1587" s="848"/>
      <c r="R1587" s="848"/>
      <c r="S1587" s="848"/>
      <c r="T1587" s="848"/>
      <c r="U1587" s="848"/>
      <c r="V1587" s="848"/>
      <c r="W1587" s="848"/>
      <c r="X1587" s="848"/>
      <c r="Y1587" s="848"/>
      <c r="Z1587" s="1055"/>
      <c r="AA1587" s="1110">
        <f>'Photo Review'!H1587</f>
        <v>0</v>
      </c>
      <c r="AB1587" s="848"/>
      <c r="AC1587" s="848"/>
      <c r="AD1587" s="848"/>
      <c r="AE1587" s="848"/>
      <c r="AF1587" s="848"/>
      <c r="AG1587" s="848"/>
      <c r="AH1587" s="848"/>
      <c r="AI1587" s="848"/>
      <c r="AJ1587" s="848"/>
      <c r="AK1587" s="848"/>
      <c r="AL1587" s="848"/>
      <c r="AM1587" s="848"/>
      <c r="AN1587" s="848"/>
      <c r="AO1587" s="848"/>
      <c r="AP1587" s="848"/>
      <c r="AQ1587" s="848"/>
      <c r="AR1587" s="848"/>
      <c r="AS1587" s="848"/>
      <c r="AT1587" s="848"/>
      <c r="AU1587" s="848"/>
      <c r="AV1587" s="848"/>
      <c r="AW1587" s="848"/>
      <c r="AX1587" s="908" t="str">
        <f>'Overview (Verification)'!A37</f>
        <v>Cooling Ducts:</v>
      </c>
      <c r="AY1587" s="1077">
        <f>IF(LEN('Overview (Verification)'!P37)=0,0,'Overview (Verification)'!P37)</f>
        <v>0</v>
      </c>
      <c r="AZ1587" s="848"/>
      <c r="BA1587" s="848"/>
      <c r="BB1587" s="848"/>
      <c r="BC1587" s="848"/>
      <c r="BD1587" s="848"/>
      <c r="BE1587" s="848"/>
      <c r="BF1587" s="848"/>
      <c r="BG1587" s="848"/>
      <c r="BH1587" s="848"/>
      <c r="BJ1587" s="1184" t="s">
        <v>4763</v>
      </c>
    </row>
    <row r="1588" spans="1:62" x14ac:dyDescent="0.3">
      <c r="A1588" s="1200">
        <v>9</v>
      </c>
      <c r="B1588" s="1210" t="s">
        <v>3372</v>
      </c>
      <c r="C1588" s="1203"/>
      <c r="D1588" s="1203"/>
      <c r="E1588" s="1203"/>
      <c r="F1588" s="1203"/>
      <c r="G1588" s="1202" t="s">
        <v>4389</v>
      </c>
      <c r="H1588" s="1200" t="s">
        <v>4386</v>
      </c>
      <c r="I1588" s="182"/>
      <c r="J1588" s="4"/>
      <c r="K1588" s="4"/>
      <c r="L1588" s="1292"/>
      <c r="M1588" s="866"/>
      <c r="N1588" s="850"/>
      <c r="O1588" s="850"/>
      <c r="P1588" s="848"/>
      <c r="Q1588" s="848"/>
      <c r="R1588" s="848"/>
      <c r="S1588" s="848"/>
      <c r="T1588" s="848"/>
      <c r="U1588" s="848"/>
      <c r="V1588" s="848"/>
      <c r="W1588" s="848"/>
      <c r="X1588" s="848"/>
      <c r="Y1588" s="848"/>
      <c r="Z1588" s="1055"/>
      <c r="AB1588" s="848"/>
      <c r="AC1588" s="848"/>
      <c r="AD1588" s="848"/>
      <c r="AE1588" s="848"/>
      <c r="AF1588" s="848"/>
      <c r="AG1588" s="848"/>
      <c r="AH1588" s="848"/>
      <c r="AI1588" s="848"/>
      <c r="AJ1588" s="848"/>
      <c r="AK1588" s="848"/>
      <c r="AL1588" s="848"/>
      <c r="AM1588" s="848"/>
      <c r="AN1588" s="848"/>
      <c r="AO1588" s="848"/>
      <c r="AP1588" s="848"/>
      <c r="AQ1588" s="848"/>
      <c r="AR1588" s="848"/>
      <c r="AS1588" s="848"/>
      <c r="AT1588" s="848"/>
      <c r="AU1588" s="848"/>
      <c r="AV1588" s="848"/>
      <c r="AW1588" s="848"/>
      <c r="AX1588" s="849"/>
      <c r="AY1588" s="1077"/>
      <c r="AZ1588" s="848"/>
      <c r="BA1588" s="848"/>
      <c r="BB1588" s="848"/>
      <c r="BC1588" s="848"/>
      <c r="BD1588" s="848"/>
      <c r="BE1588" s="848"/>
      <c r="BF1588" s="848"/>
      <c r="BG1588" s="848"/>
      <c r="BH1588" s="848"/>
      <c r="BJ1588" s="1184" t="s">
        <v>4763</v>
      </c>
    </row>
    <row r="1589" spans="1:62" x14ac:dyDescent="0.3">
      <c r="A1589" s="1200">
        <v>9</v>
      </c>
      <c r="B1589" s="1210" t="s">
        <v>3372</v>
      </c>
      <c r="C1589" s="1203"/>
      <c r="D1589" s="1203"/>
      <c r="E1589" s="1203" t="s">
        <v>271</v>
      </c>
      <c r="F1589" s="1203"/>
      <c r="G1589" s="1202" t="s">
        <v>4389</v>
      </c>
      <c r="H1589" s="1200" t="s">
        <v>4386</v>
      </c>
      <c r="I1589" s="182"/>
      <c r="J1589" s="203" t="s">
        <v>271</v>
      </c>
      <c r="K1589" s="140"/>
      <c r="L1589" s="1305" t="s">
        <v>3374</v>
      </c>
      <c r="M1589" s="1091" t="str">
        <f>IF(R1589,"Mandatory","N/A")</f>
        <v>Mandatory</v>
      </c>
      <c r="N1589" s="1308">
        <f>'Ch9'!O42</f>
        <v>4</v>
      </c>
      <c r="O1589" s="1308">
        <f>M1590*S1589*(W1589="Met")</f>
        <v>0</v>
      </c>
      <c r="P1589" s="97" t="b">
        <v>1</v>
      </c>
      <c r="Q1589" s="97" t="b">
        <v>1</v>
      </c>
      <c r="R1589" s="848" t="b">
        <f>S1589</f>
        <v>1</v>
      </c>
      <c r="S1589" s="848" t="b">
        <f>NOT(W1601)</f>
        <v>1</v>
      </c>
      <c r="T1589" s="97" t="b">
        <f>AND(NOT(S1589),LEN(W1589)&gt;0,W1589&lt;&gt;"N/A")</f>
        <v>0</v>
      </c>
      <c r="U1589" s="97" t="str">
        <f>SUBSTITUTE(SUBSTITUTE(SUBSTITUTE("dd"&amp;B1589&amp;C1589&amp;D1589&amp;E1589&amp;F1589,".","_"),"(","_"),")","")</f>
        <v>dd901_2_1_1</v>
      </c>
      <c r="V1589" s="848"/>
      <c r="W1589" s="12"/>
      <c r="X1589" s="1303"/>
      <c r="Y1589" s="1522" t="str">
        <f>IF(LEN('Ch9'!X42)=0,"None",'Ch9'!X42)</f>
        <v>None</v>
      </c>
      <c r="Z1589" s="1586"/>
      <c r="AB1589" s="848"/>
      <c r="AC1589" s="848" t="b">
        <f>OR(AD1589:AE1589)</f>
        <v>1</v>
      </c>
      <c r="AD1589" s="848" t="b">
        <f>T1589</f>
        <v>0</v>
      </c>
      <c r="AE1589" s="848" t="b">
        <f>AND(R1589,OR(W1589="Not Met",W1589=""))</f>
        <v>1</v>
      </c>
      <c r="AF1589" s="1182" t="b">
        <f>AND(AE1589,NOT(Q1589))</f>
        <v>0</v>
      </c>
      <c r="AG1589" s="848"/>
      <c r="AH1589" s="848"/>
      <c r="AI1589" s="848"/>
      <c r="AJ1589" s="848"/>
      <c r="AK1589" s="848"/>
      <c r="AL1589" s="848"/>
      <c r="AM1589" s="848"/>
      <c r="AN1589" s="311" t="str">
        <f>SUBSTITUTE(SUBSTITUTE(SUBSTITUTE("vpc"&amp;$B1589&amp;$C1589&amp;$D1589&amp;$E1589&amp;$F1589,".","_"),"(","_"),")","")</f>
        <v>vpc901_2_1_1</v>
      </c>
      <c r="AO1589" s="311">
        <f>O1589</f>
        <v>0</v>
      </c>
      <c r="AP1589" s="311" t="str">
        <f>SUBSTITUTE(SUBSTITUTE(SUBSTITUTE("vch"&amp;$B1589&amp;$C1589&amp;$D1589&amp;$E1589&amp;$F1589,".","_"),"(","_"),")","")</f>
        <v>vch901_2_1_1</v>
      </c>
      <c r="AQ1589" s="311">
        <f>W1589</f>
        <v>0</v>
      </c>
      <c r="AR1589" s="311" t="str">
        <f>SUBSTITUTE(SUBSTITUTE(SUBSTITUTE("vnt"&amp;$B1589&amp;$C1589&amp;$D1589&amp;$E1589&amp;$F1589,".","_"),"(","_"),")","")</f>
        <v>vnt901_2_1_1</v>
      </c>
      <c r="AS1589" s="311">
        <f>X1589</f>
        <v>0</v>
      </c>
      <c r="AT1589" s="848"/>
      <c r="AU1589" s="848"/>
      <c r="AV1589" s="848"/>
      <c r="AW1589" s="848"/>
      <c r="AX1589" s="908" t="str">
        <f>'Overview (Verification)'!A39</f>
        <v>Maximum window and door SHGC:</v>
      </c>
      <c r="AY1589" s="1077">
        <f>IF(LEN('Overview (Verification)'!P39)=0,0,'Overview (Verification)'!P39)</f>
        <v>0</v>
      </c>
      <c r="AZ1589" s="848"/>
      <c r="BA1589" s="848"/>
      <c r="BB1589" s="848"/>
      <c r="BC1589" s="848"/>
      <c r="BD1589" s="848"/>
      <c r="BE1589" s="848"/>
      <c r="BF1589" s="848"/>
      <c r="BG1589" s="848"/>
      <c r="BH1589" s="848"/>
      <c r="BJ1589" s="1184" t="s">
        <v>4763</v>
      </c>
    </row>
    <row r="1590" spans="1:62" x14ac:dyDescent="0.3">
      <c r="A1590" s="1200">
        <v>9</v>
      </c>
      <c r="B1590" s="1210" t="s">
        <v>3372</v>
      </c>
      <c r="C1590" s="1203"/>
      <c r="D1590" s="1203"/>
      <c r="E1590" s="1203" t="s">
        <v>271</v>
      </c>
      <c r="F1590" s="1203"/>
      <c r="G1590" s="1202" t="s">
        <v>4389</v>
      </c>
      <c r="H1590" s="1200" t="s">
        <v>4386</v>
      </c>
      <c r="I1590" s="182"/>
      <c r="J1590" s="140"/>
      <c r="K1590" s="140"/>
      <c r="L1590" s="1305"/>
      <c r="M1590" s="1318">
        <v>4</v>
      </c>
      <c r="N1590" s="1308"/>
      <c r="O1590" s="1308"/>
      <c r="P1590" s="848"/>
      <c r="Q1590" s="848"/>
      <c r="R1590" s="848"/>
      <c r="S1590" s="848"/>
      <c r="T1590" s="1067"/>
      <c r="U1590" s="848"/>
      <c r="V1590" s="848"/>
      <c r="W1590" s="848"/>
      <c r="X1590" s="1303"/>
      <c r="Y1590" s="1522"/>
      <c r="Z1590" s="1586"/>
      <c r="AB1590" s="848"/>
      <c r="AC1590" s="848"/>
      <c r="AD1590" s="848"/>
      <c r="AE1590" s="848"/>
      <c r="AF1590" s="848"/>
      <c r="AG1590" s="848"/>
      <c r="AH1590" s="848"/>
      <c r="AI1590" s="848"/>
      <c r="AJ1590" s="848"/>
      <c r="AK1590" s="848"/>
      <c r="AL1590" s="311" t="str">
        <f t="shared" ref="AL1590" si="530">SUBSTITUTE(SUBSTITUTE(SUBSTITUTE("vpa"&amp;$B1590&amp;$C1590&amp;$D1590&amp;$E1590&amp;$F1590,".","_"),"(","_"),")","")</f>
        <v>vpa901_2_1_1</v>
      </c>
      <c r="AM1590" s="311">
        <f>M1590</f>
        <v>4</v>
      </c>
      <c r="AN1590" s="848"/>
      <c r="AO1590" s="848"/>
      <c r="AP1590" s="848"/>
      <c r="AQ1590" s="848"/>
      <c r="AR1590" s="848"/>
      <c r="AS1590" s="848"/>
      <c r="AT1590" s="848"/>
      <c r="AU1590" s="848"/>
      <c r="AV1590" s="848"/>
      <c r="AW1590" s="848"/>
      <c r="AX1590" s="908" t="str">
        <f>'Overview (Verification)'!A40</f>
        <v>Maximum skylight SHGC:</v>
      </c>
      <c r="AY1590" s="1077">
        <f>IF(LEN('Overview (Verification)'!P40)=0,0,'Overview (Verification)'!P40)</f>
        <v>0</v>
      </c>
      <c r="AZ1590" s="848"/>
      <c r="BA1590" s="848"/>
      <c r="BB1590" s="848"/>
      <c r="BC1590" s="848"/>
      <c r="BD1590" s="848"/>
      <c r="BE1590" s="848"/>
      <c r="BF1590" s="848"/>
      <c r="BG1590" s="848"/>
      <c r="BH1590" s="848"/>
      <c r="BJ1590" s="1184" t="s">
        <v>4763</v>
      </c>
    </row>
    <row r="1591" spans="1:62" x14ac:dyDescent="0.3">
      <c r="A1591" s="1200">
        <v>9</v>
      </c>
      <c r="B1591" s="1210" t="s">
        <v>3372</v>
      </c>
      <c r="C1591" s="1203"/>
      <c r="D1591" s="1203"/>
      <c r="E1591" s="1203" t="s">
        <v>271</v>
      </c>
      <c r="F1591" s="1203"/>
      <c r="G1591" s="1202" t="s">
        <v>4389</v>
      </c>
      <c r="H1591" s="1200" t="s">
        <v>4386</v>
      </c>
      <c r="I1591" s="182"/>
      <c r="J1591" s="238"/>
      <c r="K1591" s="238"/>
      <c r="L1591" s="1306"/>
      <c r="M1591" s="1319"/>
      <c r="N1591" s="1309"/>
      <c r="O1591" s="1309"/>
      <c r="P1591" s="848"/>
      <c r="Q1591" s="848"/>
      <c r="R1591" s="848"/>
      <c r="S1591" s="848"/>
      <c r="T1591" s="1067"/>
      <c r="U1591" s="848"/>
      <c r="V1591" s="848"/>
      <c r="W1591" s="848"/>
      <c r="X1591" s="1303"/>
      <c r="Y1591" s="1522"/>
      <c r="Z1591" s="1586"/>
      <c r="AB1591" s="848"/>
      <c r="AC1591" s="848"/>
      <c r="AD1591" s="848"/>
      <c r="AE1591" s="848"/>
      <c r="AF1591" s="848"/>
      <c r="AG1591" s="848"/>
      <c r="AH1591" s="848"/>
      <c r="AI1591" s="848"/>
      <c r="AJ1591" s="848"/>
      <c r="AK1591" s="848"/>
      <c r="AL1591" s="848"/>
      <c r="AM1591" s="848"/>
      <c r="AN1591" s="848"/>
      <c r="AO1591" s="848"/>
      <c r="AP1591" s="848"/>
      <c r="AQ1591" s="848"/>
      <c r="AR1591" s="848"/>
      <c r="AS1591" s="848"/>
      <c r="AT1591" s="848"/>
      <c r="AU1591" s="848"/>
      <c r="AV1591" s="848"/>
      <c r="AW1591" s="848"/>
      <c r="AX1591" s="908" t="str">
        <f>'Overview (Verification)'!A41</f>
        <v>Maximum window and door U-value:</v>
      </c>
      <c r="AY1591" s="1077">
        <f>IF(LEN('Overview (Verification)'!P41)=0,0,'Overview (Verification)'!P41)</f>
        <v>0</v>
      </c>
      <c r="AZ1591" s="848"/>
      <c r="BA1591" s="848"/>
      <c r="BB1591" s="848"/>
      <c r="BC1591" s="848"/>
      <c r="BD1591" s="848"/>
      <c r="BE1591" s="848"/>
      <c r="BF1591" s="848"/>
      <c r="BG1591" s="848"/>
      <c r="BH1591" s="848"/>
      <c r="BJ1591" s="1184" t="s">
        <v>4763</v>
      </c>
    </row>
    <row r="1592" spans="1:62" x14ac:dyDescent="0.3">
      <c r="A1592" s="1200">
        <v>9</v>
      </c>
      <c r="B1592" s="1210" t="s">
        <v>3372</v>
      </c>
      <c r="C1592" s="1203"/>
      <c r="D1592" s="1203"/>
      <c r="E1592" s="1203" t="s">
        <v>273</v>
      </c>
      <c r="F1592" s="1203"/>
      <c r="G1592" s="1202" t="s">
        <v>4389</v>
      </c>
      <c r="H1592" s="1200" t="s">
        <v>4386</v>
      </c>
      <c r="I1592" s="182"/>
      <c r="J1592" s="203" t="s">
        <v>273</v>
      </c>
      <c r="K1592" s="140"/>
      <c r="L1592" s="1305" t="s">
        <v>3375</v>
      </c>
      <c r="M1592" s="1091" t="str">
        <f>IF(R1592,"Mandatory","N/A")</f>
        <v>Mandatory</v>
      </c>
      <c r="N1592" s="1308">
        <f>'Ch9'!O45</f>
        <v>0</v>
      </c>
      <c r="O1592" s="1308">
        <f>M1593*S1592*(W1592="Met")</f>
        <v>0</v>
      </c>
      <c r="P1592" s="97" t="b">
        <v>1</v>
      </c>
      <c r="Q1592" s="97" t="b">
        <v>1</v>
      </c>
      <c r="R1592" s="848" t="b">
        <f>S1592</f>
        <v>1</v>
      </c>
      <c r="S1592" s="848" t="b">
        <f>NOT(W1601)</f>
        <v>1</v>
      </c>
      <c r="T1592" s="97" t="b">
        <f>AND(NOT(S1592),LEN(W1592)&gt;0,W1592&lt;&gt;"N/A")</f>
        <v>0</v>
      </c>
      <c r="U1592" s="97" t="str">
        <f>SUBSTITUTE(SUBSTITUTE(SUBSTITUTE("dd"&amp;B1592&amp;C1592&amp;D1592&amp;E1592&amp;F1592,".","_"),"(","_"),")","")</f>
        <v>dd901_2_1_2</v>
      </c>
      <c r="V1592" s="848"/>
      <c r="W1592" s="12"/>
      <c r="X1592" s="1303"/>
      <c r="Y1592" s="1522" t="str">
        <f>IF(LEN('Ch9'!X45)=0,"None",'Ch9'!X45)</f>
        <v>None</v>
      </c>
      <c r="Z1592" s="1586"/>
      <c r="AB1592" s="848"/>
      <c r="AC1592" s="848" t="b">
        <f>OR(AD1592:AE1592)</f>
        <v>1</v>
      </c>
      <c r="AD1592" s="848" t="b">
        <f>T1592</f>
        <v>0</v>
      </c>
      <c r="AE1592" s="848" t="b">
        <f>AND(R1592,OR(W1592="Not Met",W1592=""))</f>
        <v>1</v>
      </c>
      <c r="AF1592" s="1182" t="b">
        <f>AND(AE1592,NOT(Q1592))</f>
        <v>0</v>
      </c>
      <c r="AG1592" s="848"/>
      <c r="AH1592" s="848"/>
      <c r="AI1592" s="848"/>
      <c r="AJ1592" s="848"/>
      <c r="AK1592" s="848"/>
      <c r="AL1592" s="848"/>
      <c r="AM1592" s="848"/>
      <c r="AN1592" s="311" t="str">
        <f>SUBSTITUTE(SUBSTITUTE(SUBSTITUTE("vpc"&amp;$B1592&amp;$C1592&amp;$D1592&amp;$E1592&amp;$F1592,".","_"),"(","_"),")","")</f>
        <v>vpc901_2_1_2</v>
      </c>
      <c r="AO1592" s="311">
        <f>O1592</f>
        <v>0</v>
      </c>
      <c r="AP1592" s="311" t="str">
        <f>SUBSTITUTE(SUBSTITUTE(SUBSTITUTE("vch"&amp;$B1592&amp;$C1592&amp;$D1592&amp;$E1592&amp;$F1592,".","_"),"(","_"),")","")</f>
        <v>vch901_2_1_2</v>
      </c>
      <c r="AQ1592" s="311">
        <f>W1592</f>
        <v>0</v>
      </c>
      <c r="AR1592" s="311" t="str">
        <f>SUBSTITUTE(SUBSTITUTE(SUBSTITUTE("vnt"&amp;$B1592&amp;$C1592&amp;$D1592&amp;$E1592&amp;$F1592,".","_"),"(","_"),")","")</f>
        <v>vnt901_2_1_2</v>
      </c>
      <c r="AS1592" s="311">
        <f>X1592</f>
        <v>0</v>
      </c>
      <c r="AT1592" s="848"/>
      <c r="AU1592" s="848"/>
      <c r="AV1592" s="848"/>
      <c r="AW1592" s="848"/>
      <c r="AX1592" s="908" t="str">
        <f>'Overview (Verification)'!A42</f>
        <v>Maximum skylight U-value:</v>
      </c>
      <c r="AY1592" s="1077">
        <f>IF(LEN('Overview (Verification)'!P42)=0,0,'Overview (Verification)'!P42)</f>
        <v>0</v>
      </c>
      <c r="AZ1592" s="848"/>
      <c r="BA1592" s="848"/>
      <c r="BB1592" s="848"/>
      <c r="BC1592" s="848"/>
      <c r="BD1592" s="848"/>
      <c r="BE1592" s="848"/>
      <c r="BF1592" s="848"/>
      <c r="BG1592" s="848"/>
      <c r="BH1592" s="848"/>
      <c r="BJ1592" s="1184" t="s">
        <v>4763</v>
      </c>
    </row>
    <row r="1593" spans="1:62" x14ac:dyDescent="0.3">
      <c r="A1593" s="1200">
        <v>9</v>
      </c>
      <c r="B1593" s="1210" t="s">
        <v>3372</v>
      </c>
      <c r="C1593" s="1203"/>
      <c r="D1593" s="1203"/>
      <c r="E1593" s="1203" t="s">
        <v>273</v>
      </c>
      <c r="F1593" s="1203"/>
      <c r="G1593" s="1202" t="s">
        <v>4389</v>
      </c>
      <c r="H1593" s="1200" t="s">
        <v>4386</v>
      </c>
      <c r="I1593" s="182"/>
      <c r="J1593" s="231"/>
      <c r="K1593" s="238"/>
      <c r="L1593" s="1306"/>
      <c r="M1593" s="857">
        <v>6</v>
      </c>
      <c r="N1593" s="1309"/>
      <c r="O1593" s="1309"/>
      <c r="P1593" s="848"/>
      <c r="Q1593" s="848"/>
      <c r="R1593" s="848"/>
      <c r="S1593" s="848"/>
      <c r="T1593" s="1067"/>
      <c r="U1593" s="848"/>
      <c r="V1593" s="848"/>
      <c r="W1593" s="848"/>
      <c r="X1593" s="1303"/>
      <c r="Y1593" s="1522"/>
      <c r="Z1593" s="1586"/>
      <c r="AB1593" s="848"/>
      <c r="AC1593" s="848"/>
      <c r="AD1593" s="848"/>
      <c r="AE1593" s="848"/>
      <c r="AF1593" s="848"/>
      <c r="AG1593" s="848"/>
      <c r="AH1593" s="848"/>
      <c r="AI1593" s="848"/>
      <c r="AJ1593" s="848"/>
      <c r="AK1593" s="848"/>
      <c r="AL1593" s="311" t="str">
        <f t="shared" ref="AL1593" si="531">SUBSTITUTE(SUBSTITUTE(SUBSTITUTE("vpa"&amp;$B1593&amp;$C1593&amp;$D1593&amp;$E1593&amp;$F1593,".","_"),"(","_"),")","")</f>
        <v>vpa901_2_1_2</v>
      </c>
      <c r="AM1593" s="311">
        <f>M1593</f>
        <v>6</v>
      </c>
      <c r="AN1593" s="848"/>
      <c r="AO1593" s="848"/>
      <c r="AP1593" s="848"/>
      <c r="AQ1593" s="848"/>
      <c r="AR1593" s="848"/>
      <c r="AS1593" s="848"/>
      <c r="AT1593" s="848"/>
      <c r="AU1593" s="848"/>
      <c r="AV1593" s="848"/>
      <c r="AW1593" s="848"/>
      <c r="AX1593" s="908" t="str">
        <f>'Overview (Verification)'!A43</f>
        <v>Renewable Energy:</v>
      </c>
      <c r="AY1593" s="1077">
        <f>IF(LEN('Overview (Verification)'!P43)=0,0,'Overview (Verification)'!P43)</f>
        <v>0</v>
      </c>
      <c r="AZ1593" s="848"/>
      <c r="BA1593" s="848"/>
      <c r="BB1593" s="848"/>
      <c r="BC1593" s="848"/>
      <c r="BD1593" s="848"/>
      <c r="BE1593" s="848"/>
      <c r="BF1593" s="848"/>
      <c r="BG1593" s="848"/>
      <c r="BH1593" s="848"/>
      <c r="BJ1593" s="1184" t="s">
        <v>4763</v>
      </c>
    </row>
    <row r="1594" spans="1:62" x14ac:dyDescent="0.3">
      <c r="A1594" s="1200">
        <v>9</v>
      </c>
      <c r="B1594" s="1210" t="s">
        <v>3372</v>
      </c>
      <c r="C1594" s="1203"/>
      <c r="D1594" s="1203"/>
      <c r="E1594" s="1203" t="s">
        <v>275</v>
      </c>
      <c r="F1594" s="1203"/>
      <c r="G1594" s="1202" t="s">
        <v>4389</v>
      </c>
      <c r="H1594" s="1200" t="s">
        <v>4386</v>
      </c>
      <c r="I1594" s="182"/>
      <c r="J1594" s="203" t="s">
        <v>275</v>
      </c>
      <c r="K1594" s="140"/>
      <c r="L1594" s="1305" t="s">
        <v>3376</v>
      </c>
      <c r="M1594" s="1091" t="str">
        <f>IF(R1594,"Mandatory","N/A")</f>
        <v>Mandatory</v>
      </c>
      <c r="N1594" s="1308">
        <f>'Ch9'!O47</f>
        <v>0</v>
      </c>
      <c r="O1594" s="1308">
        <f>M1595*S1594*(W1594="Met")</f>
        <v>0</v>
      </c>
      <c r="P1594" s="97" t="b">
        <v>1</v>
      </c>
      <c r="Q1594" s="97" t="b">
        <v>1</v>
      </c>
      <c r="R1594" s="848" t="b">
        <f>S1594</f>
        <v>1</v>
      </c>
      <c r="S1594" s="848" t="b">
        <f>NOT(W1601)</f>
        <v>1</v>
      </c>
      <c r="T1594" s="97" t="b">
        <f>AND(NOT(S1594),LEN(W1594)&gt;0,W1594&lt;&gt;"N/A")</f>
        <v>0</v>
      </c>
      <c r="U1594" s="97" t="str">
        <f>SUBSTITUTE(SUBSTITUTE(SUBSTITUTE("dd"&amp;B1594&amp;C1594&amp;D1594&amp;E1594&amp;F1594,".","_"),"(","_"),")","")</f>
        <v>dd901_2_1_3</v>
      </c>
      <c r="V1594" s="848"/>
      <c r="W1594" s="12"/>
      <c r="X1594" s="1303"/>
      <c r="Y1594" s="1522" t="str">
        <f>IF(LEN('Ch9'!X47)=0,"None",'Ch9'!X47)</f>
        <v>None</v>
      </c>
      <c r="Z1594" s="1586"/>
      <c r="AB1594" s="848"/>
      <c r="AC1594" s="848" t="b">
        <f>OR(AD1594:AE1594)</f>
        <v>1</v>
      </c>
      <c r="AD1594" s="848" t="b">
        <f>T1594</f>
        <v>0</v>
      </c>
      <c r="AE1594" s="848" t="b">
        <f>AND(R1594,OR(W1594="Not Met",W1594=""))</f>
        <v>1</v>
      </c>
      <c r="AF1594" s="1182" t="b">
        <f>AND(AE1594,NOT(Q1594))</f>
        <v>0</v>
      </c>
      <c r="AG1594" s="848"/>
      <c r="AH1594" s="848"/>
      <c r="AI1594" s="848"/>
      <c r="AJ1594" s="848"/>
      <c r="AK1594" s="848"/>
      <c r="AL1594" s="848"/>
      <c r="AM1594" s="848"/>
      <c r="AN1594" s="311" t="str">
        <f>SUBSTITUTE(SUBSTITUTE(SUBSTITUTE("vpc"&amp;$B1594&amp;$C1594&amp;$D1594&amp;$E1594&amp;$F1594,".","_"),"(","_"),")","")</f>
        <v>vpc901_2_1_3</v>
      </c>
      <c r="AO1594" s="311">
        <f>O1594</f>
        <v>0</v>
      </c>
      <c r="AP1594" s="311" t="str">
        <f>SUBSTITUTE(SUBSTITUTE(SUBSTITUTE("vch"&amp;$B1594&amp;$C1594&amp;$D1594&amp;$E1594&amp;$F1594,".","_"),"(","_"),")","")</f>
        <v>vch901_2_1_3</v>
      </c>
      <c r="AQ1594" s="311">
        <f>W1594</f>
        <v>0</v>
      </c>
      <c r="AR1594" s="311" t="str">
        <f>SUBSTITUTE(SUBSTITUTE(SUBSTITUTE("vnt"&amp;$B1594&amp;$C1594&amp;$D1594&amp;$E1594&amp;$F1594,".","_"),"(","_"),")","")</f>
        <v>vnt901_2_1_3</v>
      </c>
      <c r="AS1594" s="311">
        <f>X1594</f>
        <v>0</v>
      </c>
      <c r="AT1594" s="848"/>
      <c r="AU1594" s="848"/>
      <c r="AV1594" s="848"/>
      <c r="AW1594" s="848"/>
      <c r="AX1594" s="908" t="str">
        <f>'Overview (Verification)'!A44</f>
        <v>Thermal Envelope Insulation:</v>
      </c>
      <c r="AY1594" s="1077">
        <f>IF(LEN('Overview (Verification)'!P44)=0,0,'Overview (Verification)'!P44)</f>
        <v>0</v>
      </c>
      <c r="AZ1594" s="848"/>
      <c r="BA1594" s="848"/>
      <c r="BB1594" s="848"/>
      <c r="BC1594" s="848"/>
      <c r="BD1594" s="848"/>
      <c r="BE1594" s="848"/>
      <c r="BF1594" s="848"/>
      <c r="BG1594" s="848"/>
      <c r="BH1594" s="848"/>
      <c r="BJ1594" s="1184" t="s">
        <v>4763</v>
      </c>
    </row>
    <row r="1595" spans="1:62" x14ac:dyDescent="0.3">
      <c r="A1595" s="1200">
        <v>9</v>
      </c>
      <c r="B1595" s="1210" t="s">
        <v>3372</v>
      </c>
      <c r="C1595" s="1203"/>
      <c r="D1595" s="1203"/>
      <c r="E1595" s="1203" t="s">
        <v>275</v>
      </c>
      <c r="F1595" s="1203"/>
      <c r="G1595" s="1202" t="s">
        <v>4389</v>
      </c>
      <c r="H1595" s="1200" t="s">
        <v>4386</v>
      </c>
      <c r="I1595" s="182"/>
      <c r="J1595" s="203"/>
      <c r="K1595" s="140"/>
      <c r="L1595" s="1305"/>
      <c r="M1595" s="1318">
        <v>6</v>
      </c>
      <c r="N1595" s="1308"/>
      <c r="O1595" s="1308"/>
      <c r="P1595" s="848"/>
      <c r="Q1595" s="848"/>
      <c r="R1595" s="848"/>
      <c r="S1595" s="848"/>
      <c r="T1595" s="1067"/>
      <c r="U1595" s="848"/>
      <c r="V1595" s="848"/>
      <c r="W1595" s="848"/>
      <c r="X1595" s="1303"/>
      <c r="Y1595" s="1522"/>
      <c r="Z1595" s="1586"/>
      <c r="AB1595" s="848"/>
      <c r="AC1595" s="848"/>
      <c r="AD1595" s="848"/>
      <c r="AE1595" s="848"/>
      <c r="AF1595" s="848"/>
      <c r="AG1595" s="848"/>
      <c r="AH1595" s="848"/>
      <c r="AI1595" s="848"/>
      <c r="AJ1595" s="848"/>
      <c r="AK1595" s="848"/>
      <c r="AL1595" s="311" t="str">
        <f t="shared" ref="AL1595" si="532">SUBSTITUTE(SUBSTITUTE(SUBSTITUTE("vpa"&amp;$B1595&amp;$C1595&amp;$D1595&amp;$E1595&amp;$F1595,".","_"),"(","_"),")","")</f>
        <v>vpa901_2_1_3</v>
      </c>
      <c r="AM1595" s="311">
        <f>M1595</f>
        <v>6</v>
      </c>
      <c r="AN1595" s="848"/>
      <c r="AO1595" s="848"/>
      <c r="AP1595" s="848"/>
      <c r="AQ1595" s="848"/>
      <c r="AR1595" s="848"/>
      <c r="AS1595" s="848"/>
      <c r="AT1595" s="848"/>
      <c r="AU1595" s="848"/>
      <c r="AV1595" s="848"/>
      <c r="AW1595" s="848"/>
      <c r="AX1595" s="908" t="str">
        <f>'Overview (Verification)'!A45</f>
        <v>Attic Type:</v>
      </c>
      <c r="AY1595" s="1077">
        <f>IF(LEN('Overview (Verification)'!P45)=0,0,'Overview (Verification)'!P45)</f>
        <v>0</v>
      </c>
      <c r="AZ1595" s="848"/>
      <c r="BA1595" s="848"/>
      <c r="BB1595" s="848"/>
      <c r="BC1595" s="848"/>
      <c r="BD1595" s="848"/>
      <c r="BE1595" s="848"/>
      <c r="BF1595" s="848"/>
      <c r="BG1595" s="848"/>
      <c r="BH1595" s="848"/>
      <c r="BJ1595" s="1184" t="s">
        <v>4763</v>
      </c>
    </row>
    <row r="1596" spans="1:62" x14ac:dyDescent="0.3">
      <c r="A1596" s="1200">
        <v>9</v>
      </c>
      <c r="B1596" s="1210" t="s">
        <v>3372</v>
      </c>
      <c r="C1596" s="1203"/>
      <c r="D1596" s="1203"/>
      <c r="E1596" s="1203" t="s">
        <v>275</v>
      </c>
      <c r="F1596" s="1203"/>
      <c r="G1596" s="1202" t="s">
        <v>4389</v>
      </c>
      <c r="H1596" s="1200" t="s">
        <v>4386</v>
      </c>
      <c r="I1596" s="182"/>
      <c r="J1596" s="231"/>
      <c r="K1596" s="238"/>
      <c r="L1596" s="1306"/>
      <c r="M1596" s="1319"/>
      <c r="N1596" s="1309"/>
      <c r="O1596" s="1309"/>
      <c r="P1596" s="848"/>
      <c r="Q1596" s="848"/>
      <c r="R1596" s="848"/>
      <c r="S1596" s="848"/>
      <c r="T1596" s="1067"/>
      <c r="U1596" s="848"/>
      <c r="V1596" s="848"/>
      <c r="W1596" s="848"/>
      <c r="X1596" s="1303"/>
      <c r="Y1596" s="1522"/>
      <c r="Z1596" s="1586"/>
      <c r="AB1596" s="848"/>
      <c r="AC1596" s="848"/>
      <c r="AD1596" s="848"/>
      <c r="AE1596" s="848"/>
      <c r="AF1596" s="848"/>
      <c r="AG1596" s="848"/>
      <c r="AH1596" s="848"/>
      <c r="AI1596" s="848"/>
      <c r="AJ1596" s="848"/>
      <c r="AK1596" s="848"/>
      <c r="AL1596" s="848"/>
      <c r="AM1596" s="848"/>
      <c r="AN1596" s="848"/>
      <c r="AO1596" s="848"/>
      <c r="AP1596" s="848"/>
      <c r="AQ1596" s="848"/>
      <c r="AR1596" s="848"/>
      <c r="AS1596" s="848"/>
      <c r="AT1596" s="848"/>
      <c r="AU1596" s="848"/>
      <c r="AV1596" s="848"/>
      <c r="AW1596" s="848"/>
      <c r="AX1596" s="908" t="str">
        <f>'Overview (Verification)'!A46</f>
        <v>Attached Garage:</v>
      </c>
      <c r="AY1596" s="1077">
        <f>IF(LEN('Overview (Verification)'!P46)=0,0,'Overview (Verification)'!P46)</f>
        <v>0</v>
      </c>
      <c r="AZ1596" s="848"/>
      <c r="BA1596" s="848"/>
      <c r="BB1596" s="848"/>
      <c r="BC1596" s="848"/>
      <c r="BD1596" s="848"/>
      <c r="BE1596" s="848"/>
      <c r="BF1596" s="848"/>
      <c r="BG1596" s="848"/>
      <c r="BH1596" s="848"/>
      <c r="BJ1596" s="1184" t="s">
        <v>4763</v>
      </c>
    </row>
    <row r="1597" spans="1:62" x14ac:dyDescent="0.3">
      <c r="A1597" s="1200">
        <v>9</v>
      </c>
      <c r="B1597" s="1210" t="s">
        <v>3372</v>
      </c>
      <c r="C1597" s="1203"/>
      <c r="D1597" s="1203"/>
      <c r="E1597" s="1203" t="s">
        <v>285</v>
      </c>
      <c r="F1597" s="1203"/>
      <c r="G1597" s="1202" t="s">
        <v>4389</v>
      </c>
      <c r="H1597" s="1200" t="s">
        <v>4386</v>
      </c>
      <c r="I1597" s="182"/>
      <c r="J1597" s="203" t="s">
        <v>285</v>
      </c>
      <c r="K1597" s="140"/>
      <c r="L1597" s="1293" t="s">
        <v>3377</v>
      </c>
      <c r="M1597" s="1091" t="str">
        <f>IF(R1597,"Mandatory","N/A")</f>
        <v>Mandatory</v>
      </c>
      <c r="N1597" s="1308">
        <f>'Ch9'!O50</f>
        <v>0</v>
      </c>
      <c r="O1597" s="1308">
        <f>M1598*S1597*(W1597="Met")</f>
        <v>0</v>
      </c>
      <c r="P1597" s="97" t="b">
        <v>1</v>
      </c>
      <c r="Q1597" s="97" t="b">
        <v>1</v>
      </c>
      <c r="R1597" s="848" t="b">
        <f>S1597</f>
        <v>1</v>
      </c>
      <c r="S1597" s="848" t="b">
        <f>NOT(W1601)</f>
        <v>1</v>
      </c>
      <c r="T1597" s="97" t="b">
        <f>AND(NOT(S1597),LEN(W1597)&gt;0,W1597&lt;&gt;"N/A")</f>
        <v>0</v>
      </c>
      <c r="U1597" s="97" t="str">
        <f>SUBSTITUTE(SUBSTITUTE(SUBSTITUTE("dd"&amp;B1597&amp;C1597&amp;D1597&amp;E1597&amp;F1597,".","_"),"(","_"),")","")</f>
        <v>dd901_2_1_4</v>
      </c>
      <c r="V1597" s="848"/>
      <c r="W1597" s="12"/>
      <c r="X1597" s="1303"/>
      <c r="Y1597" s="1522" t="str">
        <f>IF(LEN('Ch9'!X50)=0,"None",'Ch9'!X50)</f>
        <v>None</v>
      </c>
      <c r="Z1597" s="1586"/>
      <c r="AB1597" s="848"/>
      <c r="AC1597" s="848" t="b">
        <f>OR(AD1597:AE1597)</f>
        <v>1</v>
      </c>
      <c r="AD1597" s="848" t="b">
        <f>T1597</f>
        <v>0</v>
      </c>
      <c r="AE1597" s="848" t="b">
        <f>AND(R1597,OR(W1597="Not Met",W1597=""))</f>
        <v>1</v>
      </c>
      <c r="AF1597" s="1182" t="b">
        <f>AND(AE1597,NOT(Q1597))</f>
        <v>0</v>
      </c>
      <c r="AG1597" s="848"/>
      <c r="AH1597" s="848"/>
      <c r="AI1597" s="848"/>
      <c r="AJ1597" s="848"/>
      <c r="AK1597" s="848"/>
      <c r="AL1597" s="848"/>
      <c r="AM1597" s="848"/>
      <c r="AN1597" s="311" t="str">
        <f>SUBSTITUTE(SUBSTITUTE(SUBSTITUTE("vpc"&amp;$B1597&amp;$C1597&amp;$D1597&amp;$E1597&amp;$F1597,".","_"),"(","_"),")","")</f>
        <v>vpc901_2_1_4</v>
      </c>
      <c r="AO1597" s="311">
        <f>O1597</f>
        <v>0</v>
      </c>
      <c r="AP1597" s="311" t="str">
        <f>SUBSTITUTE(SUBSTITUTE(SUBSTITUTE("vch"&amp;$B1597&amp;$C1597&amp;$D1597&amp;$E1597&amp;$F1597,".","_"),"(","_"),")","")</f>
        <v>vch901_2_1_4</v>
      </c>
      <c r="AQ1597" s="311">
        <f>W1597</f>
        <v>0</v>
      </c>
      <c r="AR1597" s="311" t="str">
        <f>SUBSTITUTE(SUBSTITUTE(SUBSTITUTE("vnt"&amp;$B1597&amp;$C1597&amp;$D1597&amp;$E1597&amp;$F1597,".","_"),"(","_"),")","")</f>
        <v>vnt901_2_1_4</v>
      </c>
      <c r="AS1597" s="311">
        <f>X1597</f>
        <v>0</v>
      </c>
      <c r="AT1597" s="848"/>
      <c r="AU1597" s="848"/>
      <c r="AV1597" s="848"/>
      <c r="AW1597" s="848"/>
      <c r="AX1597" s="908" t="str">
        <f>'Overview (Verification)'!A47</f>
        <v>Recessed Lighting:</v>
      </c>
      <c r="AY1597" s="1077">
        <f>IF(LEN('Overview (Verification)'!P47)=0,0,'Overview (Verification)'!P47)</f>
        <v>0</v>
      </c>
      <c r="AZ1597" s="848"/>
      <c r="BA1597" s="848"/>
      <c r="BB1597" s="848"/>
      <c r="BC1597" s="848"/>
      <c r="BD1597" s="848"/>
      <c r="BE1597" s="848"/>
      <c r="BF1597" s="848"/>
      <c r="BG1597" s="848"/>
      <c r="BH1597" s="848"/>
      <c r="BJ1597" s="1184" t="s">
        <v>4763</v>
      </c>
    </row>
    <row r="1598" spans="1:62" x14ac:dyDescent="0.3">
      <c r="A1598" s="1200">
        <v>9</v>
      </c>
      <c r="B1598" s="1210" t="s">
        <v>3372</v>
      </c>
      <c r="C1598" s="1203"/>
      <c r="D1598" s="1203"/>
      <c r="E1598" s="1203" t="s">
        <v>285</v>
      </c>
      <c r="F1598" s="1203"/>
      <c r="G1598" s="1202" t="s">
        <v>4389</v>
      </c>
      <c r="H1598" s="1200" t="s">
        <v>4386</v>
      </c>
      <c r="I1598" s="182"/>
      <c r="J1598" s="231"/>
      <c r="K1598" s="238"/>
      <c r="L1598" s="1294"/>
      <c r="M1598" s="857">
        <v>6</v>
      </c>
      <c r="N1598" s="1309"/>
      <c r="O1598" s="1309"/>
      <c r="P1598" s="848"/>
      <c r="Q1598" s="848"/>
      <c r="R1598" s="848"/>
      <c r="S1598" s="848"/>
      <c r="T1598" s="1067"/>
      <c r="U1598" s="848"/>
      <c r="V1598" s="848"/>
      <c r="W1598" s="848"/>
      <c r="X1598" s="1303"/>
      <c r="Y1598" s="1522"/>
      <c r="Z1598" s="1586"/>
      <c r="AB1598" s="848"/>
      <c r="AC1598" s="848"/>
      <c r="AD1598" s="848"/>
      <c r="AE1598" s="848"/>
      <c r="AF1598" s="848"/>
      <c r="AG1598" s="848"/>
      <c r="AH1598" s="848"/>
      <c r="AI1598" s="848"/>
      <c r="AJ1598" s="848"/>
      <c r="AK1598" s="848"/>
      <c r="AL1598" s="311" t="str">
        <f t="shared" ref="AL1598" si="533">SUBSTITUTE(SUBSTITUTE(SUBSTITUTE("vpa"&amp;$B1598&amp;$C1598&amp;$D1598&amp;$E1598&amp;$F1598,".","_"),"(","_"),")","")</f>
        <v>vpa901_2_1_4</v>
      </c>
      <c r="AM1598" s="311">
        <f>M1598</f>
        <v>6</v>
      </c>
      <c r="AN1598" s="848"/>
      <c r="AO1598" s="848"/>
      <c r="AP1598" s="848"/>
      <c r="AQ1598" s="848"/>
      <c r="AR1598" s="848"/>
      <c r="AS1598" s="848"/>
      <c r="AT1598" s="848"/>
      <c r="AU1598" s="848"/>
      <c r="AV1598" s="848"/>
      <c r="AW1598" s="848"/>
      <c r="AX1598" s="849"/>
      <c r="AY1598" s="1077"/>
      <c r="AZ1598" s="848"/>
      <c r="BA1598" s="848"/>
      <c r="BB1598" s="848"/>
      <c r="BC1598" s="848"/>
      <c r="BD1598" s="848"/>
      <c r="BE1598" s="848"/>
      <c r="BF1598" s="848"/>
      <c r="BG1598" s="848"/>
      <c r="BH1598" s="848"/>
      <c r="BJ1598" s="1184" t="s">
        <v>4763</v>
      </c>
    </row>
    <row r="1599" spans="1:62" x14ac:dyDescent="0.3">
      <c r="A1599" s="1200">
        <v>9</v>
      </c>
      <c r="B1599" s="1210" t="s">
        <v>3372</v>
      </c>
      <c r="C1599" s="1203"/>
      <c r="D1599" s="1203"/>
      <c r="E1599" s="1203" t="s">
        <v>291</v>
      </c>
      <c r="F1599" s="1203"/>
      <c r="G1599" s="1202" t="s">
        <v>4389</v>
      </c>
      <c r="H1599" s="1200" t="s">
        <v>4386</v>
      </c>
      <c r="I1599" s="576"/>
      <c r="J1599" s="203" t="s">
        <v>291</v>
      </c>
      <c r="K1599" s="140"/>
      <c r="L1599" s="1305" t="s">
        <v>3378</v>
      </c>
      <c r="M1599" s="1091" t="str">
        <f>IF(R1599,"Mandatory","N/A")</f>
        <v>Mandatory</v>
      </c>
      <c r="N1599" s="1308">
        <f>'Ch9'!O52</f>
        <v>0</v>
      </c>
      <c r="O1599" s="1308">
        <f>M1600*S1599*(W1599="Met")</f>
        <v>0</v>
      </c>
      <c r="P1599" s="97" t="b">
        <v>1</v>
      </c>
      <c r="Q1599" s="97" t="b">
        <v>1</v>
      </c>
      <c r="R1599" s="97" t="b">
        <f>S1599</f>
        <v>1</v>
      </c>
      <c r="S1599" s="97" t="b">
        <f>NOT(W1601)</f>
        <v>1</v>
      </c>
      <c r="T1599" s="97" t="b">
        <f>AND(NOT(S1599),LEN(W1599)&gt;0,W1599&lt;&gt;"N/A")</f>
        <v>0</v>
      </c>
      <c r="U1599" s="97" t="str">
        <f>SUBSTITUTE(SUBSTITUTE(SUBSTITUTE("dd"&amp;B1599&amp;C1599&amp;D1599&amp;E1599&amp;F1599,".","_"),"(","_"),")","")</f>
        <v>dd901_2_1_5</v>
      </c>
      <c r="V1599" s="97"/>
      <c r="W1599" s="12"/>
      <c r="X1599" s="1295"/>
      <c r="Y1599" s="1522" t="str">
        <f>IF(LEN('Ch9'!X52)=0,"None",'Ch9'!X52)</f>
        <v>None</v>
      </c>
      <c r="Z1599" s="1586"/>
      <c r="AB1599" s="848"/>
      <c r="AC1599" s="848" t="b">
        <f>OR(AD1599:AE1599)</f>
        <v>1</v>
      </c>
      <c r="AD1599" s="848" t="b">
        <f>T1599</f>
        <v>0</v>
      </c>
      <c r="AE1599" s="848" t="b">
        <f>AND(R1599,OR(W1599="Not Met",W1599=""))</f>
        <v>1</v>
      </c>
      <c r="AF1599" s="1182" t="b">
        <f>AND(AE1599,NOT(Q1599))</f>
        <v>0</v>
      </c>
      <c r="AG1599" s="848"/>
      <c r="AH1599" s="848"/>
      <c r="AI1599" s="848"/>
      <c r="AJ1599" s="848"/>
      <c r="AK1599" s="848"/>
      <c r="AL1599" s="848"/>
      <c r="AM1599" s="848"/>
      <c r="AN1599" s="311" t="str">
        <f>SUBSTITUTE(SUBSTITUTE(SUBSTITUTE("vpc"&amp;$B1599&amp;$C1599&amp;$D1599&amp;$E1599&amp;$F1599,".","_"),"(","_"),")","")</f>
        <v>vpc901_2_1_5</v>
      </c>
      <c r="AO1599" s="311">
        <f>O1599</f>
        <v>0</v>
      </c>
      <c r="AP1599" s="311" t="str">
        <f>SUBSTITUTE(SUBSTITUTE(SUBSTITUTE("vch"&amp;$B1599&amp;$C1599&amp;$D1599&amp;$E1599&amp;$F1599,".","_"),"(","_"),")","")</f>
        <v>vch901_2_1_5</v>
      </c>
      <c r="AQ1599" s="311">
        <f>W1599</f>
        <v>0</v>
      </c>
      <c r="AR1599" s="311" t="str">
        <f>SUBSTITUTE(SUBSTITUTE(SUBSTITUTE("vnt"&amp;$B1599&amp;$C1599&amp;$D1599&amp;$E1599&amp;$F1599,".","_"),"(","_"),")","")</f>
        <v>vnt901_2_1_5</v>
      </c>
      <c r="AS1599" s="311">
        <f>X1599</f>
        <v>0</v>
      </c>
      <c r="AT1599" s="848"/>
      <c r="AU1599" s="848"/>
      <c r="AV1599" s="848"/>
      <c r="AW1599" s="848"/>
      <c r="AX1599" s="908" t="str">
        <f>'Overview (Verification)'!A49</f>
        <v>Special Design Features:</v>
      </c>
      <c r="AY1599" s="1077"/>
      <c r="AZ1599" s="848"/>
      <c r="BA1599" s="848"/>
      <c r="BB1599" s="848"/>
      <c r="BC1599" s="848"/>
      <c r="BD1599" s="848"/>
      <c r="BE1599" s="848"/>
      <c r="BF1599" s="848"/>
      <c r="BG1599" s="848"/>
      <c r="BH1599" s="848"/>
      <c r="BJ1599" s="1184" t="s">
        <v>4763</v>
      </c>
    </row>
    <row r="1600" spans="1:62" x14ac:dyDescent="0.3">
      <c r="A1600" s="1200">
        <v>9</v>
      </c>
      <c r="B1600" s="1210" t="s">
        <v>3372</v>
      </c>
      <c r="C1600" s="1203"/>
      <c r="D1600" s="1203"/>
      <c r="E1600" s="1203" t="s">
        <v>291</v>
      </c>
      <c r="F1600" s="1203"/>
      <c r="G1600" s="1202" t="s">
        <v>4389</v>
      </c>
      <c r="H1600" s="1200" t="s">
        <v>4386</v>
      </c>
      <c r="I1600" s="620"/>
      <c r="J1600" s="231"/>
      <c r="K1600" s="238"/>
      <c r="L1600" s="1306"/>
      <c r="M1600" s="857">
        <v>6</v>
      </c>
      <c r="N1600" s="1309"/>
      <c r="O1600" s="1309"/>
      <c r="P1600" s="196"/>
      <c r="Q1600" s="196"/>
      <c r="R1600" s="196"/>
      <c r="S1600" s="196"/>
      <c r="T1600" s="196"/>
      <c r="U1600" s="196"/>
      <c r="V1600" s="196"/>
      <c r="W1600" s="196"/>
      <c r="X1600" s="1295"/>
      <c r="Y1600" s="1522"/>
      <c r="Z1600" s="1586"/>
      <c r="AB1600" s="848"/>
      <c r="AC1600" s="848"/>
      <c r="AD1600" s="848"/>
      <c r="AE1600" s="848"/>
      <c r="AF1600" s="848"/>
      <c r="AG1600" s="848"/>
      <c r="AH1600" s="848"/>
      <c r="AI1600" s="848"/>
      <c r="AJ1600" s="848"/>
      <c r="AK1600" s="848"/>
      <c r="AL1600" s="311" t="str">
        <f t="shared" ref="AL1600:AL1601" si="534">SUBSTITUTE(SUBSTITUTE(SUBSTITUTE("vpa"&amp;$B1600&amp;$C1600&amp;$D1600&amp;$E1600&amp;$F1600,".","_"),"(","_"),")","")</f>
        <v>vpa901_2_1_5</v>
      </c>
      <c r="AM1600" s="311">
        <f>M1600</f>
        <v>6</v>
      </c>
      <c r="AN1600" s="848"/>
      <c r="AO1600" s="848"/>
      <c r="AP1600" s="848"/>
      <c r="AQ1600" s="848"/>
      <c r="AR1600" s="848"/>
      <c r="AS1600" s="848"/>
      <c r="AT1600" s="848"/>
      <c r="AU1600" s="848"/>
      <c r="AV1600" s="848"/>
      <c r="AW1600" s="848"/>
      <c r="AX1600" s="908" t="str">
        <f>'Overview (Verification)'!A50</f>
        <v>Passive Solar:</v>
      </c>
      <c r="AY1600" s="1077">
        <f>IF(LEN('Overview (Verification)'!P50)=0,0,'Overview (Verification)'!P50)</f>
        <v>0</v>
      </c>
      <c r="AZ1600" s="848"/>
      <c r="BA1600" s="848"/>
      <c r="BB1600" s="848"/>
      <c r="BC1600" s="848"/>
      <c r="BD1600" s="848"/>
      <c r="BE1600" s="848"/>
      <c r="BF1600" s="848"/>
      <c r="BG1600" s="848"/>
      <c r="BH1600" s="848"/>
      <c r="BJ1600" s="1184" t="s">
        <v>4763</v>
      </c>
    </row>
    <row r="1601" spans="1:62" ht="15" thickBot="1" x14ac:dyDescent="0.35">
      <c r="A1601" s="1200">
        <v>9</v>
      </c>
      <c r="B1601" s="1210" t="s">
        <v>3379</v>
      </c>
      <c r="C1601" s="1203"/>
      <c r="D1601" s="1203"/>
      <c r="E1601" s="1203"/>
      <c r="F1601" s="1203"/>
      <c r="G1601" s="1202" t="str">
        <f>IF(N1601&gt;0,"P","")</f>
        <v/>
      </c>
      <c r="H1601" s="1200" t="s">
        <v>4386</v>
      </c>
      <c r="I1601" s="212" t="s">
        <v>3379</v>
      </c>
      <c r="J1601" s="270"/>
      <c r="K1601" s="270"/>
      <c r="L1601" s="621" t="s">
        <v>3380</v>
      </c>
      <c r="M1601" s="865">
        <v>6</v>
      </c>
      <c r="N1601" s="858">
        <f>'Ch9'!O54</f>
        <v>0</v>
      </c>
      <c r="O1601" s="858">
        <f>M1601*S1601*W1601</f>
        <v>0</v>
      </c>
      <c r="P1601" s="97" t="b">
        <v>1</v>
      </c>
      <c r="Q1601" s="97" t="b">
        <v>1</v>
      </c>
      <c r="R1601" s="104" t="b">
        <v>0</v>
      </c>
      <c r="S1601" s="104" t="b">
        <f>(COUNTIF(W1589:W1599,"Met"))=0</f>
        <v>1</v>
      </c>
      <c r="T1601" s="104" t="b">
        <f>AND(NOT(S1601),W1601=TRUE)</f>
        <v>0</v>
      </c>
      <c r="U1601" s="104"/>
      <c r="V1601" s="104"/>
      <c r="W1601" s="105"/>
      <c r="X1601" s="867"/>
      <c r="Y1601" s="890" t="str">
        <f>IF(LEN('Ch9'!X54)=0,"None",'Ch9'!X54)</f>
        <v>None</v>
      </c>
      <c r="Z1601" s="1173"/>
      <c r="AA1601" s="1110">
        <f>'Photo Review'!H1601</f>
        <v>0</v>
      </c>
      <c r="AB1601" s="848"/>
      <c r="AC1601" s="848" t="b">
        <f>OR(AD1601:AE1601)</f>
        <v>0</v>
      </c>
      <c r="AD1601" s="848" t="b">
        <f>T1601</f>
        <v>0</v>
      </c>
      <c r="AE1601" s="848" t="b">
        <f>AND(R1601,NOT(W1601))</f>
        <v>0</v>
      </c>
      <c r="AF1601" s="1182" t="b">
        <f>AND(AE1601,NOT(Q1601))</f>
        <v>0</v>
      </c>
      <c r="AG1601" s="848"/>
      <c r="AH1601" s="848"/>
      <c r="AI1601" s="848"/>
      <c r="AJ1601" s="848"/>
      <c r="AK1601" s="848"/>
      <c r="AL1601" s="311" t="str">
        <f t="shared" si="534"/>
        <v>vpa901_2_2</v>
      </c>
      <c r="AM1601" s="311">
        <f>M1601</f>
        <v>6</v>
      </c>
      <c r="AN1601" s="311" t="str">
        <f>SUBSTITUTE(SUBSTITUTE(SUBSTITUTE("vpc"&amp;$B1601&amp;$C1601&amp;$D1601&amp;$E1601&amp;$F1601,".","_"),"(","_"),")","")</f>
        <v>vpc901_2_2</v>
      </c>
      <c r="AO1601" s="311">
        <f>O1601</f>
        <v>0</v>
      </c>
      <c r="AP1601" s="311" t="str">
        <f>SUBSTITUTE(SUBSTITUTE(SUBSTITUTE("vch"&amp;$B1601&amp;$C1601&amp;$D1601&amp;$E1601&amp;$F1601,".","_"),"(","_"),")","")</f>
        <v>vch901_2_2</v>
      </c>
      <c r="AQ1601" s="311">
        <f>W1601</f>
        <v>0</v>
      </c>
      <c r="AR1601" s="311" t="str">
        <f>SUBSTITUTE(SUBSTITUTE(SUBSTITUTE("vnt"&amp;$B1601&amp;$C1601&amp;$D1601&amp;$E1601&amp;$F1601,".","_"),"(","_"),")","")</f>
        <v>vnt901_2_2</v>
      </c>
      <c r="AS1601" s="311">
        <f>X1601</f>
        <v>0</v>
      </c>
      <c r="AT1601" s="848"/>
      <c r="AU1601" s="848"/>
      <c r="AV1601" s="848"/>
      <c r="AW1601" s="848"/>
      <c r="AX1601" s="908" t="str">
        <f>'Overview (Verification)'!A51</f>
        <v>Mass Walls:</v>
      </c>
      <c r="AY1601" s="1077">
        <f>IF(LEN('Overview (Verification)'!P51)=0,0,'Overview (Verification)'!P51)</f>
        <v>0</v>
      </c>
      <c r="AZ1601" s="848"/>
      <c r="BA1601" s="848"/>
      <c r="BB1601" s="848"/>
      <c r="BC1601" s="848"/>
      <c r="BD1601" s="848"/>
      <c r="BE1601" s="848"/>
      <c r="BF1601" s="848"/>
      <c r="BG1601" s="848"/>
      <c r="BH1601" s="848"/>
      <c r="BJ1601" s="1184" t="s">
        <v>4763</v>
      </c>
    </row>
    <row r="1602" spans="1:62" ht="15" thickTop="1" x14ac:dyDescent="0.3">
      <c r="A1602" s="1200">
        <v>9</v>
      </c>
      <c r="B1602" s="1210">
        <v>901.3</v>
      </c>
      <c r="C1602" s="1203"/>
      <c r="D1602" s="1203"/>
      <c r="E1602" s="1203"/>
      <c r="F1602" s="1203"/>
      <c r="G1602" s="1202" t="s">
        <v>4389</v>
      </c>
      <c r="H1602" s="1200" t="s">
        <v>4386</v>
      </c>
      <c r="I1602" s="66">
        <v>901.3</v>
      </c>
      <c r="J1602" s="4"/>
      <c r="K1602" s="4"/>
      <c r="L1602" s="872" t="s">
        <v>3381</v>
      </c>
      <c r="M1602" s="866"/>
      <c r="N1602" s="850"/>
      <c r="O1602" s="850"/>
      <c r="P1602" s="848"/>
      <c r="Q1602" s="848"/>
      <c r="R1602" s="848"/>
      <c r="S1602" s="848"/>
      <c r="T1602" s="848"/>
      <c r="U1602" s="848"/>
      <c r="V1602" s="848"/>
      <c r="W1602" s="848"/>
      <c r="X1602" s="848"/>
      <c r="Y1602" s="848"/>
      <c r="Z1602" s="1055"/>
      <c r="AB1602" s="848"/>
      <c r="AC1602" s="848"/>
      <c r="AD1602" s="848"/>
      <c r="AE1602" s="848"/>
      <c r="AF1602" s="848"/>
      <c r="AG1602" s="848"/>
      <c r="AH1602" s="848"/>
      <c r="AI1602" s="848"/>
      <c r="AJ1602" s="848"/>
      <c r="AK1602" s="848"/>
      <c r="AL1602" s="848"/>
      <c r="AM1602" s="848"/>
      <c r="AN1602" s="848"/>
      <c r="AO1602" s="848"/>
      <c r="AP1602" s="848"/>
      <c r="AQ1602" s="848"/>
      <c r="AR1602" s="848"/>
      <c r="AS1602" s="848"/>
      <c r="AT1602" s="848"/>
      <c r="AU1602" s="848"/>
      <c r="AV1602" s="848"/>
      <c r="AW1602" s="848"/>
      <c r="AX1602" s="908" t="str">
        <f>'Overview (Verification)'!A52</f>
        <v>Ductless:</v>
      </c>
      <c r="AY1602" s="1077">
        <f>IF(LEN('Overview (Verification)'!P52)=0,0,'Overview (Verification)'!P52)</f>
        <v>0</v>
      </c>
      <c r="AZ1602" s="848"/>
      <c r="BA1602" s="848"/>
      <c r="BB1602" s="848"/>
      <c r="BC1602" s="848"/>
      <c r="BD1602" s="848"/>
      <c r="BE1602" s="848"/>
      <c r="BF1602" s="848"/>
      <c r="BG1602" s="848"/>
      <c r="BH1602" s="848"/>
      <c r="BJ1602" s="1184" t="s">
        <v>4763</v>
      </c>
    </row>
    <row r="1603" spans="1:62" x14ac:dyDescent="0.3">
      <c r="A1603" s="1200">
        <v>9</v>
      </c>
      <c r="B1603" s="1210">
        <v>901.3</v>
      </c>
      <c r="C1603" s="1203"/>
      <c r="D1603" s="1203"/>
      <c r="E1603" s="1203" t="s">
        <v>271</v>
      </c>
      <c r="F1603" s="1203"/>
      <c r="G1603" s="1202" t="s">
        <v>4389</v>
      </c>
      <c r="H1603" s="1204" t="s">
        <v>4386</v>
      </c>
      <c r="I1603" s="182"/>
      <c r="J1603" s="27" t="s">
        <v>271</v>
      </c>
      <c r="K1603" s="4"/>
      <c r="L1603" s="871" t="s">
        <v>3382</v>
      </c>
      <c r="M1603" s="866"/>
      <c r="N1603" s="850"/>
      <c r="O1603" s="850"/>
      <c r="P1603" s="848"/>
      <c r="Q1603" s="848"/>
      <c r="R1603" s="848"/>
      <c r="S1603" s="848"/>
      <c r="T1603" s="848"/>
      <c r="U1603" s="848"/>
      <c r="V1603" s="848"/>
      <c r="W1603" s="848"/>
      <c r="X1603" s="848"/>
      <c r="Y1603" s="848"/>
      <c r="Z1603" s="1055"/>
      <c r="AA1603" s="1110">
        <f>'Photo Review'!H1603</f>
        <v>0</v>
      </c>
      <c r="AB1603" s="848"/>
      <c r="AC1603" s="848"/>
      <c r="AD1603" s="848"/>
      <c r="AE1603" s="848"/>
      <c r="AF1603" s="848"/>
      <c r="AG1603" s="848"/>
      <c r="AH1603" s="848"/>
      <c r="AI1603" s="848"/>
      <c r="AJ1603" s="848"/>
      <c r="AK1603" s="848"/>
      <c r="AL1603" s="848"/>
      <c r="AM1603" s="848"/>
      <c r="AN1603" s="848"/>
      <c r="AO1603" s="848"/>
      <c r="AP1603" s="848"/>
      <c r="AQ1603" s="848"/>
      <c r="AR1603" s="848"/>
      <c r="AS1603" s="848"/>
      <c r="AT1603" s="848"/>
      <c r="AU1603" s="848"/>
      <c r="AV1603" s="848"/>
      <c r="AW1603" s="848"/>
      <c r="AX1603" s="908" t="str">
        <f>'Overview (Verification)'!A53</f>
        <v>Radiant/Hydronic:</v>
      </c>
      <c r="AY1603" s="1077">
        <f>IF(LEN('Overview (Verification)'!P53)=0,0,'Overview (Verification)'!P53)</f>
        <v>0</v>
      </c>
      <c r="AZ1603" s="848"/>
      <c r="BA1603" s="848"/>
      <c r="BB1603" s="848"/>
      <c r="BC1603" s="848"/>
      <c r="BD1603" s="848"/>
      <c r="BE1603" s="848"/>
      <c r="BF1603" s="848"/>
      <c r="BG1603" s="848"/>
      <c r="BH1603" s="848"/>
      <c r="BJ1603" s="1184" t="s">
        <v>4763</v>
      </c>
    </row>
    <row r="1604" spans="1:62" x14ac:dyDescent="0.3">
      <c r="A1604" s="1200">
        <v>9</v>
      </c>
      <c r="B1604" s="1210">
        <v>901.3</v>
      </c>
      <c r="C1604" s="1203"/>
      <c r="D1604" s="1203"/>
      <c r="E1604" s="1203" t="s">
        <v>271</v>
      </c>
      <c r="F1604" s="1208" t="s">
        <v>121</v>
      </c>
      <c r="G1604" s="1202" t="s">
        <v>4389</v>
      </c>
      <c r="H1604" s="1222" t="s">
        <v>4386</v>
      </c>
      <c r="I1604" s="182"/>
      <c r="J1604" s="4"/>
      <c r="K1604" s="203" t="s">
        <v>121</v>
      </c>
      <c r="L1604" s="1305" t="s">
        <v>3383</v>
      </c>
      <c r="M1604" s="1091" t="str">
        <f>IF(R1604,"Mandatory","N/A")</f>
        <v>Mandatory</v>
      </c>
      <c r="N1604" s="1308">
        <f>'Ch9'!O57</f>
        <v>2</v>
      </c>
      <c r="O1604" s="1308">
        <f>M1605*S1604*(W1604="Met")</f>
        <v>0</v>
      </c>
      <c r="P1604" s="97" t="b">
        <v>1</v>
      </c>
      <c r="Q1604" s="97" t="b">
        <v>1</v>
      </c>
      <c r="R1604" s="848" t="b">
        <f>S1604</f>
        <v>1</v>
      </c>
      <c r="S1604" s="848" t="b">
        <f>NOT(OR(W1614,W1606="N/A"))</f>
        <v>1</v>
      </c>
      <c r="T1604" s="97" t="b">
        <f>AND(NOT(S1604),LEN(W1604)&gt;"Met")</f>
        <v>0</v>
      </c>
      <c r="U1604" s="97" t="str">
        <f>SUBSTITUTE(SUBSTITUTE(SUBSTITUTE("dd"&amp;B1604&amp;C1604&amp;D1604&amp;E1604&amp;F1604,".","_"),"(","_"),")","")</f>
        <v>dd901_3_1_a</v>
      </c>
      <c r="V1604" s="848"/>
      <c r="W1604" s="12"/>
      <c r="X1604" s="1303"/>
      <c r="Y1604" s="1522" t="str">
        <f>IF(LEN('Ch9'!X57)=0,"None",'Ch9'!X57)</f>
        <v>ZERH Requirement - ENERGY STAR Certified Homes National Rater Field Checklist, Section 4.9, Air Sealing</v>
      </c>
      <c r="Z1604" s="1586"/>
      <c r="AB1604" s="848"/>
      <c r="AC1604" s="848" t="b">
        <f>OR(AD1604:AE1604)</f>
        <v>1</v>
      </c>
      <c r="AD1604" s="848" t="b">
        <f>T1604</f>
        <v>0</v>
      </c>
      <c r="AE1604" s="848" t="b">
        <f>AND(R1604,OR(W1604="Not Met",W1604=""))</f>
        <v>1</v>
      </c>
      <c r="AF1604" s="1182" t="b">
        <f>AND(AE1604,NOT(Q1604))</f>
        <v>0</v>
      </c>
      <c r="AG1604" s="848"/>
      <c r="AH1604" s="848"/>
      <c r="AI1604" s="848"/>
      <c r="AJ1604" s="848"/>
      <c r="AK1604" s="848"/>
      <c r="AL1604" s="848"/>
      <c r="AM1604" s="848"/>
      <c r="AN1604" s="311" t="str">
        <f>SUBSTITUTE(SUBSTITUTE(SUBSTITUTE("vpc"&amp;$B1604&amp;$C1604&amp;$D1604&amp;$E1604&amp;$F1604,".","_"),"(","_"),")","")</f>
        <v>vpc901_3_1_a</v>
      </c>
      <c r="AO1604" s="311">
        <f>O1604</f>
        <v>0</v>
      </c>
      <c r="AP1604" s="311" t="str">
        <f>SUBSTITUTE(SUBSTITUTE(SUBSTITUTE("vch"&amp;$B1604&amp;$C1604&amp;$D1604&amp;$E1604&amp;$F1604,".","_"),"(","_"),")","")</f>
        <v>vch901_3_1_a</v>
      </c>
      <c r="AQ1604" s="311">
        <f>W1604</f>
        <v>0</v>
      </c>
      <c r="AR1604" s="311" t="str">
        <f>SUBSTITUTE(SUBSTITUTE(SUBSTITUTE("vnt"&amp;$B1604&amp;$C1604&amp;$D1604&amp;$E1604&amp;$F1604,".","_"),"(","_"),")","")</f>
        <v>vnt901_3_1_a</v>
      </c>
      <c r="AS1604" s="311">
        <f>X1604</f>
        <v>0</v>
      </c>
      <c r="AT1604" s="848"/>
      <c r="AU1604" s="848"/>
      <c r="AV1604" s="848"/>
      <c r="AW1604" s="848"/>
      <c r="AX1604" s="908" t="str">
        <f>'Overview (Verification)'!A54</f>
        <v>Tankless Water Heater:</v>
      </c>
      <c r="AY1604" s="1077">
        <f>IF(LEN('Overview (Verification)'!P54)=0,0,'Overview (Verification)'!P54)</f>
        <v>0</v>
      </c>
      <c r="AZ1604" s="848"/>
      <c r="BA1604" s="848"/>
      <c r="BB1604" s="848"/>
      <c r="BC1604" s="848"/>
      <c r="BD1604" s="848"/>
      <c r="BE1604" s="848"/>
      <c r="BF1604" s="848"/>
      <c r="BG1604" s="848"/>
      <c r="BH1604" s="848"/>
      <c r="BJ1604" s="1184" t="s">
        <v>4763</v>
      </c>
    </row>
    <row r="1605" spans="1:62" x14ac:dyDescent="0.3">
      <c r="A1605" s="1200">
        <v>9</v>
      </c>
      <c r="B1605" s="1210">
        <v>901.3</v>
      </c>
      <c r="C1605" s="1203"/>
      <c r="D1605" s="1203"/>
      <c r="E1605" s="1203" t="s">
        <v>271</v>
      </c>
      <c r="F1605" s="1208" t="s">
        <v>121</v>
      </c>
      <c r="G1605" s="1202" t="s">
        <v>4389</v>
      </c>
      <c r="H1605" s="1222" t="s">
        <v>4386</v>
      </c>
      <c r="I1605" s="182"/>
      <c r="J1605" s="4"/>
      <c r="K1605" s="231"/>
      <c r="L1605" s="1306"/>
      <c r="M1605" s="857">
        <v>2</v>
      </c>
      <c r="N1605" s="1309"/>
      <c r="O1605" s="1309"/>
      <c r="P1605" s="848"/>
      <c r="Q1605" s="848"/>
      <c r="R1605" s="848"/>
      <c r="S1605" s="848"/>
      <c r="T1605" s="848"/>
      <c r="U1605" s="848"/>
      <c r="V1605" s="848"/>
      <c r="W1605" s="848"/>
      <c r="X1605" s="1303"/>
      <c r="Y1605" s="1522"/>
      <c r="Z1605" s="1586"/>
      <c r="AB1605" s="848"/>
      <c r="AC1605" s="848"/>
      <c r="AD1605" s="848"/>
      <c r="AE1605" s="848"/>
      <c r="AF1605" s="848"/>
      <c r="AG1605" s="848"/>
      <c r="AH1605" s="848"/>
      <c r="AI1605" s="848"/>
      <c r="AJ1605" s="848"/>
      <c r="AK1605" s="848"/>
      <c r="AL1605" s="311" t="str">
        <f t="shared" ref="AL1605" si="535">SUBSTITUTE(SUBSTITUTE(SUBSTITUTE("vpa"&amp;$B1605&amp;$C1605&amp;$D1605&amp;$E1605&amp;$F1605,".","_"),"(","_"),")","")</f>
        <v>vpa901_3_1_a</v>
      </c>
      <c r="AM1605" s="311">
        <f>M1605</f>
        <v>2</v>
      </c>
      <c r="AN1605" s="848"/>
      <c r="AO1605" s="848"/>
      <c r="AP1605" s="848"/>
      <c r="AQ1605" s="848"/>
      <c r="AR1605" s="848"/>
      <c r="AS1605" s="848"/>
      <c r="AT1605" s="848"/>
      <c r="AU1605" s="848"/>
      <c r="AV1605" s="848"/>
      <c r="AW1605" s="848"/>
      <c r="AX1605" s="908" t="str">
        <f>'Overview (Verification)'!A55</f>
        <v>Composting Toilet:</v>
      </c>
      <c r="AY1605" s="1077">
        <f>IF(LEN('Overview (Verification)'!P55)=0,0,'Overview (Verification)'!P55)</f>
        <v>0</v>
      </c>
      <c r="AZ1605" s="848"/>
      <c r="BA1605" s="848"/>
      <c r="BB1605" s="848"/>
      <c r="BC1605" s="848"/>
      <c r="BD1605" s="848"/>
      <c r="BE1605" s="848"/>
      <c r="BF1605" s="848"/>
      <c r="BG1605" s="848"/>
      <c r="BH1605" s="848"/>
      <c r="BJ1605" s="1184" t="s">
        <v>4763</v>
      </c>
    </row>
    <row r="1606" spans="1:62" x14ac:dyDescent="0.3">
      <c r="A1606" s="1200">
        <v>9</v>
      </c>
      <c r="B1606" s="1210">
        <v>901.3</v>
      </c>
      <c r="C1606" s="1203"/>
      <c r="D1606" s="1203"/>
      <c r="E1606" s="1203" t="s">
        <v>271</v>
      </c>
      <c r="F1606" s="1208" t="s">
        <v>122</v>
      </c>
      <c r="G1606" s="1202" t="s">
        <v>4389</v>
      </c>
      <c r="H1606" s="1222" t="s">
        <v>4386</v>
      </c>
      <c r="I1606" s="182"/>
      <c r="J1606" s="4"/>
      <c r="K1606" s="203" t="s">
        <v>122</v>
      </c>
      <c r="L1606" s="1305" t="s">
        <v>3384</v>
      </c>
      <c r="M1606" s="1091" t="str">
        <f>IF(R1606,"Mandatory","N/A")</f>
        <v>Mandatory</v>
      </c>
      <c r="N1606" s="1308">
        <f>'Ch9'!O59</f>
        <v>2</v>
      </c>
      <c r="O1606" s="1308">
        <f>M1607*S1606*(W1606="Met")</f>
        <v>0</v>
      </c>
      <c r="P1606" s="97" t="b">
        <v>1</v>
      </c>
      <c r="Q1606" s="97" t="b">
        <v>1</v>
      </c>
      <c r="R1606" s="848" t="b">
        <f>S1606</f>
        <v>1</v>
      </c>
      <c r="S1606" s="848" t="b">
        <f>NOT(OR(W1614,W1604="N/A"))</f>
        <v>1</v>
      </c>
      <c r="T1606" s="97" t="b">
        <f>AND(NOT(S1606),LEN(W1606)&gt;"Met")</f>
        <v>0</v>
      </c>
      <c r="U1606" s="97" t="str">
        <f>SUBSTITUTE(SUBSTITUTE(SUBSTITUTE("dd"&amp;B1606&amp;C1606&amp;D1606&amp;E1606&amp;F1606,".","_"),"(","_"),")","")</f>
        <v>dd901_3_1_b</v>
      </c>
      <c r="V1606" s="848"/>
      <c r="W1606" s="12"/>
      <c r="X1606" s="1303"/>
      <c r="Y1606" s="1522" t="str">
        <f>IF(LEN('Ch9'!X59)=0,"None",'Ch9'!X59)</f>
        <v>ZERH Requirement - ENERGY STAR Certified Homes National Rater Field Checklist, Section 2, Fully Aligned Air Barriers</v>
      </c>
      <c r="Z1606" s="1586"/>
      <c r="AB1606" s="848"/>
      <c r="AC1606" s="848" t="b">
        <f>OR(AD1606:AE1606)</f>
        <v>1</v>
      </c>
      <c r="AD1606" s="848" t="b">
        <f>T1606</f>
        <v>0</v>
      </c>
      <c r="AE1606" s="848" t="b">
        <f>AND(R1606,OR(W1606="Not Met",W1606=""))</f>
        <v>1</v>
      </c>
      <c r="AF1606" s="1182" t="b">
        <f>AND(AE1606,NOT(Q1606))</f>
        <v>0</v>
      </c>
      <c r="AG1606" s="848"/>
      <c r="AH1606" s="848"/>
      <c r="AI1606" s="848"/>
      <c r="AJ1606" s="848"/>
      <c r="AK1606" s="848"/>
      <c r="AL1606" s="848"/>
      <c r="AM1606" s="848"/>
      <c r="AN1606" s="311" t="str">
        <f>SUBSTITUTE(SUBSTITUTE(SUBSTITUTE("vpc"&amp;$B1606&amp;$C1606&amp;$D1606&amp;$E1606&amp;$F1606,".","_"),"(","_"),")","")</f>
        <v>vpc901_3_1_b</v>
      </c>
      <c r="AO1606" s="311">
        <f>O1606</f>
        <v>0</v>
      </c>
      <c r="AP1606" s="311" t="str">
        <f>SUBSTITUTE(SUBSTITUTE(SUBSTITUTE("vch"&amp;$B1606&amp;$C1606&amp;$D1606&amp;$E1606&amp;$F1606,".","_"),"(","_"),")","")</f>
        <v>vch901_3_1_b</v>
      </c>
      <c r="AQ1606" s="311">
        <f>W1606</f>
        <v>0</v>
      </c>
      <c r="AR1606" s="311" t="str">
        <f>SUBSTITUTE(SUBSTITUTE(SUBSTITUTE("vnt"&amp;$B1606&amp;$C1606&amp;$D1606&amp;$E1606&amp;$F1606,".","_"),"(","_"),")","")</f>
        <v>vnt901_3_1_b</v>
      </c>
      <c r="AS1606" s="311">
        <f>X1606</f>
        <v>0</v>
      </c>
      <c r="AT1606" s="848"/>
      <c r="AU1606" s="848"/>
      <c r="AV1606" s="848"/>
      <c r="AW1606" s="848"/>
      <c r="AX1606" s="849"/>
      <c r="AY1606" s="1077"/>
      <c r="AZ1606" s="848"/>
      <c r="BA1606" s="848"/>
      <c r="BB1606" s="848"/>
      <c r="BC1606" s="848"/>
      <c r="BD1606" s="848"/>
      <c r="BE1606" s="848"/>
      <c r="BF1606" s="848"/>
      <c r="BG1606" s="848"/>
      <c r="BH1606" s="848"/>
      <c r="BJ1606" s="1184" t="s">
        <v>4763</v>
      </c>
    </row>
    <row r="1607" spans="1:62" x14ac:dyDescent="0.3">
      <c r="A1607" s="1200">
        <v>9</v>
      </c>
      <c r="B1607" s="1210">
        <v>901.3</v>
      </c>
      <c r="C1607" s="1203"/>
      <c r="D1607" s="1203"/>
      <c r="E1607" s="1203" t="s">
        <v>271</v>
      </c>
      <c r="F1607" s="1208" t="s">
        <v>122</v>
      </c>
      <c r="G1607" s="1202" t="s">
        <v>4389</v>
      </c>
      <c r="H1607" s="1222" t="s">
        <v>4386</v>
      </c>
      <c r="I1607" s="182"/>
      <c r="J1607" s="4"/>
      <c r="K1607" s="238"/>
      <c r="L1607" s="1306"/>
      <c r="M1607" s="857">
        <v>2</v>
      </c>
      <c r="N1607" s="1309"/>
      <c r="O1607" s="1309"/>
      <c r="P1607" s="848"/>
      <c r="Q1607" s="848"/>
      <c r="R1607" s="848"/>
      <c r="S1607" s="848"/>
      <c r="T1607" s="848"/>
      <c r="U1607" s="848"/>
      <c r="V1607" s="848"/>
      <c r="W1607" s="848"/>
      <c r="X1607" s="1303"/>
      <c r="Y1607" s="1522"/>
      <c r="Z1607" s="1586"/>
      <c r="AB1607" s="848"/>
      <c r="AC1607" s="848"/>
      <c r="AD1607" s="848"/>
      <c r="AE1607" s="848"/>
      <c r="AF1607" s="848"/>
      <c r="AG1607" s="848"/>
      <c r="AH1607" s="848"/>
      <c r="AI1607" s="848"/>
      <c r="AJ1607" s="848"/>
      <c r="AK1607" s="848"/>
      <c r="AL1607" s="311" t="str">
        <f t="shared" ref="AL1607:AL1608" si="536">SUBSTITUTE(SUBSTITUTE(SUBSTITUTE("vpa"&amp;$B1607&amp;$C1607&amp;$D1607&amp;$E1607&amp;$F1607,".","_"),"(","_"),")","")</f>
        <v>vpa901_3_1_b</v>
      </c>
      <c r="AM1607" s="311">
        <f>M1607</f>
        <v>2</v>
      </c>
      <c r="AN1607" s="848"/>
      <c r="AO1607" s="848"/>
      <c r="AP1607" s="848"/>
      <c r="AQ1607" s="848"/>
      <c r="AR1607" s="848"/>
      <c r="AS1607" s="848"/>
      <c r="AT1607" s="848"/>
      <c r="AU1607" s="848"/>
      <c r="AV1607" s="848"/>
      <c r="AW1607" s="848"/>
      <c r="AX1607" s="908" t="str">
        <f>'Overview (Verification)'!A57</f>
        <v>Local Energy Code:</v>
      </c>
      <c r="AY1607" s="1077">
        <f>IF(LEN('Overview (Verification)'!P57)=0,0,'Overview (Verification)'!P57)</f>
        <v>0</v>
      </c>
      <c r="AZ1607" s="848"/>
      <c r="BA1607" s="848"/>
      <c r="BB1607" s="848"/>
      <c r="BC1607" s="848"/>
      <c r="BD1607" s="848"/>
      <c r="BE1607" s="848"/>
      <c r="BF1607" s="848"/>
      <c r="BG1607" s="848"/>
      <c r="BH1607" s="848"/>
      <c r="BJ1607" s="1184" t="s">
        <v>4763</v>
      </c>
    </row>
    <row r="1608" spans="1:62" x14ac:dyDescent="0.3">
      <c r="A1608" s="1200">
        <v>9</v>
      </c>
      <c r="B1608" s="1210">
        <v>901.3</v>
      </c>
      <c r="C1608" s="1203"/>
      <c r="D1608" s="1203"/>
      <c r="E1608" s="1203" t="s">
        <v>271</v>
      </c>
      <c r="F1608" s="1208" t="s">
        <v>123</v>
      </c>
      <c r="G1608" s="1202" t="str">
        <f ca="1">IF(N1608&gt;0,"P","")</f>
        <v>P</v>
      </c>
      <c r="H1608" s="1222" t="s">
        <v>4386</v>
      </c>
      <c r="I1608" s="182"/>
      <c r="J1608" s="140"/>
      <c r="K1608" s="203" t="s">
        <v>123</v>
      </c>
      <c r="L1608" s="1305" t="s">
        <v>3385</v>
      </c>
      <c r="M1608" s="1318">
        <v>8</v>
      </c>
      <c r="N1608" s="1308">
        <f ca="1">'Ch9'!O61</f>
        <v>8</v>
      </c>
      <c r="O1608" s="1308">
        <f ca="1">M1608*S1608*W1608</f>
        <v>0</v>
      </c>
      <c r="P1608" s="97" t="b">
        <v>1</v>
      </c>
      <c r="Q1608" s="97" t="b">
        <v>1</v>
      </c>
      <c r="R1608" s="848" t="b">
        <v>0</v>
      </c>
      <c r="S1608" s="848" t="b">
        <f ca="1">AND(NOT(W1614),$AY$18=INDEX(INDIRECT("ddSingleOrMulti"),1))</f>
        <v>0</v>
      </c>
      <c r="T1608" s="97" t="b">
        <f ca="1">AND(NOT(S1608),W1608=TRUE)</f>
        <v>0</v>
      </c>
      <c r="U1608" s="848"/>
      <c r="V1608" s="848"/>
      <c r="W1608" s="25"/>
      <c r="X1608" s="1303"/>
      <c r="Y1608" s="1522" t="str">
        <f>IF(LEN('Ch9'!X61)=0,"None",'Ch9'!X61)</f>
        <v>None</v>
      </c>
      <c r="Z1608" s="1586"/>
      <c r="AB1608" s="848"/>
      <c r="AC1608" s="848" t="b">
        <f ca="1">OR(AD1608:AE1608)</f>
        <v>0</v>
      </c>
      <c r="AD1608" s="848" t="b">
        <f ca="1">T1608</f>
        <v>0</v>
      </c>
      <c r="AE1608" s="848" t="b">
        <f>AND(R1608,NOT(W1608))</f>
        <v>0</v>
      </c>
      <c r="AF1608" s="1182" t="b">
        <f>AND(AE1608,NOT(Q1608))</f>
        <v>0</v>
      </c>
      <c r="AG1608" s="848"/>
      <c r="AH1608" s="848"/>
      <c r="AI1608" s="848"/>
      <c r="AJ1608" s="848"/>
      <c r="AK1608" s="848"/>
      <c r="AL1608" s="311" t="str">
        <f t="shared" si="536"/>
        <v>vpa901_3_1_c</v>
      </c>
      <c r="AM1608" s="311">
        <f>M1608</f>
        <v>8</v>
      </c>
      <c r="AN1608" s="311" t="str">
        <f>SUBSTITUTE(SUBSTITUTE(SUBSTITUTE("vpc"&amp;$B1608&amp;$C1608&amp;$D1608&amp;$E1608&amp;$F1608,".","_"),"(","_"),")","")</f>
        <v>vpc901_3_1_c</v>
      </c>
      <c r="AO1608" s="311">
        <f ca="1">O1608</f>
        <v>0</v>
      </c>
      <c r="AP1608" s="311" t="str">
        <f>SUBSTITUTE(SUBSTITUTE(SUBSTITUTE("vch"&amp;$B1608&amp;$C1608&amp;$D1608&amp;$E1608&amp;$F1608,".","_"),"(","_"),")","")</f>
        <v>vch901_3_1_c</v>
      </c>
      <c r="AQ1608" s="311">
        <f>W1608</f>
        <v>0</v>
      </c>
      <c r="AR1608" s="311" t="str">
        <f>SUBSTITUTE(SUBSTITUTE(SUBSTITUTE("vnt"&amp;$B1608&amp;$C1608&amp;$D1608&amp;$E1608&amp;$F1608,".","_"),"(","_"),")","")</f>
        <v>vnt901_3_1_c</v>
      </c>
      <c r="AS1608" s="311">
        <f>X1608</f>
        <v>0</v>
      </c>
      <c r="AT1608" s="848"/>
      <c r="AU1608" s="848"/>
      <c r="AV1608" s="848"/>
      <c r="AW1608" s="848"/>
      <c r="AX1608" s="908" t="str">
        <f>'Overview (Verification)'!A58</f>
        <v>Local Building Code:</v>
      </c>
      <c r="AY1608" s="1077">
        <f>IF(LEN('Overview (Verification)'!P58)=0,0,'Overview (Verification)'!P58)</f>
        <v>0</v>
      </c>
      <c r="AZ1608" s="848"/>
      <c r="BA1608" s="848"/>
      <c r="BB1608" s="848"/>
      <c r="BC1608" s="848"/>
      <c r="BD1608" s="848"/>
      <c r="BE1608" s="848"/>
      <c r="BF1608" s="848"/>
      <c r="BG1608" s="848"/>
      <c r="BH1608" s="848"/>
      <c r="BJ1608" s="1184" t="s">
        <v>4763</v>
      </c>
    </row>
    <row r="1609" spans="1:62" x14ac:dyDescent="0.3">
      <c r="A1609" s="1200">
        <v>9</v>
      </c>
      <c r="B1609" s="1210">
        <v>901.3</v>
      </c>
      <c r="C1609" s="1203"/>
      <c r="D1609" s="1203"/>
      <c r="E1609" s="1203" t="s">
        <v>271</v>
      </c>
      <c r="F1609" s="1208" t="s">
        <v>123</v>
      </c>
      <c r="G1609" s="1202" t="str">
        <f t="shared" ref="G1609:G1613" ca="1" si="537">G1608</f>
        <v>P</v>
      </c>
      <c r="H1609" s="1222" t="s">
        <v>4386</v>
      </c>
      <c r="I1609" s="182"/>
      <c r="J1609" s="140"/>
      <c r="K1609" s="140"/>
      <c r="L1609" s="1305"/>
      <c r="M1609" s="1318"/>
      <c r="N1609" s="1308"/>
      <c r="O1609" s="1308"/>
      <c r="P1609" s="848"/>
      <c r="Q1609" s="848"/>
      <c r="R1609" s="848"/>
      <c r="S1609" s="848"/>
      <c r="T1609" s="848"/>
      <c r="U1609" s="848"/>
      <c r="V1609" s="848"/>
      <c r="W1609" s="848"/>
      <c r="X1609" s="1303"/>
      <c r="Y1609" s="1522"/>
      <c r="Z1609" s="1586"/>
      <c r="AB1609" s="848"/>
      <c r="AC1609" s="848"/>
      <c r="AD1609" s="848"/>
      <c r="AE1609" s="848"/>
      <c r="AF1609" s="848"/>
      <c r="AG1609" s="848"/>
      <c r="AH1609" s="848"/>
      <c r="AI1609" s="848"/>
      <c r="AJ1609" s="848"/>
      <c r="AK1609" s="848"/>
      <c r="AL1609" s="848"/>
      <c r="AM1609" s="848"/>
      <c r="AN1609" s="848"/>
      <c r="AO1609" s="848"/>
      <c r="AP1609" s="848"/>
      <c r="AQ1609" s="848"/>
      <c r="AR1609" s="848"/>
      <c r="AS1609" s="848"/>
      <c r="AT1609" s="848"/>
      <c r="AU1609" s="848"/>
      <c r="AV1609" s="848"/>
      <c r="AW1609" s="848"/>
      <c r="AX1609" s="848"/>
      <c r="AY1609" s="848"/>
      <c r="AZ1609" s="848"/>
      <c r="BA1609" s="848"/>
      <c r="BB1609" s="848"/>
      <c r="BC1609" s="848"/>
      <c r="BD1609" s="848"/>
      <c r="BE1609" s="848"/>
      <c r="BF1609" s="848"/>
      <c r="BG1609" s="848"/>
      <c r="BH1609" s="848"/>
      <c r="BJ1609" s="1184" t="s">
        <v>4763</v>
      </c>
    </row>
    <row r="1610" spans="1:62" x14ac:dyDescent="0.3">
      <c r="A1610" s="1200">
        <v>9</v>
      </c>
      <c r="B1610" s="1210">
        <v>901.3</v>
      </c>
      <c r="C1610" s="1203"/>
      <c r="D1610" s="1203"/>
      <c r="E1610" s="1203" t="s">
        <v>271</v>
      </c>
      <c r="F1610" s="1208" t="s">
        <v>123</v>
      </c>
      <c r="G1610" s="1202" t="str">
        <f t="shared" ca="1" si="537"/>
        <v>P</v>
      </c>
      <c r="H1610" s="1222" t="s">
        <v>4386</v>
      </c>
      <c r="I1610" s="182"/>
      <c r="J1610" s="140"/>
      <c r="K1610" s="140"/>
      <c r="L1610" s="1305"/>
      <c r="M1610" s="1318"/>
      <c r="N1610" s="1308"/>
      <c r="O1610" s="1308"/>
      <c r="P1610" s="848"/>
      <c r="Q1610" s="848"/>
      <c r="R1610" s="848"/>
      <c r="S1610" s="848"/>
      <c r="T1610" s="848"/>
      <c r="U1610" s="848"/>
      <c r="V1610" s="848"/>
      <c r="W1610" s="848"/>
      <c r="X1610" s="1303"/>
      <c r="Y1610" s="1522"/>
      <c r="Z1610" s="1586"/>
      <c r="AB1610" s="848"/>
      <c r="AC1610" s="848"/>
      <c r="AD1610" s="848"/>
      <c r="AE1610" s="848"/>
      <c r="AF1610" s="848"/>
      <c r="AG1610" s="848"/>
      <c r="AH1610" s="848"/>
      <c r="AI1610" s="848"/>
      <c r="AJ1610" s="848"/>
      <c r="AK1610" s="848"/>
      <c r="AL1610" s="848"/>
      <c r="AM1610" s="848"/>
      <c r="AN1610" s="848"/>
      <c r="AO1610" s="848"/>
      <c r="AP1610" s="848"/>
      <c r="AQ1610" s="848"/>
      <c r="AR1610" s="848"/>
      <c r="AS1610" s="848"/>
      <c r="AT1610" s="848"/>
      <c r="AU1610" s="848"/>
      <c r="AV1610" s="848"/>
      <c r="AW1610" s="848"/>
      <c r="AX1610" s="848"/>
      <c r="AY1610" s="848"/>
      <c r="AZ1610" s="848"/>
      <c r="BA1610" s="848"/>
      <c r="BB1610" s="848"/>
      <c r="BC1610" s="848"/>
      <c r="BD1610" s="848"/>
      <c r="BE1610" s="848"/>
      <c r="BF1610" s="848"/>
      <c r="BG1610" s="848"/>
      <c r="BH1610" s="848"/>
      <c r="BJ1610" s="1184" t="s">
        <v>4763</v>
      </c>
    </row>
    <row r="1611" spans="1:62" x14ac:dyDescent="0.3">
      <c r="A1611" s="1200">
        <v>9</v>
      </c>
      <c r="B1611" s="1210">
        <v>901.3</v>
      </c>
      <c r="C1611" s="1203"/>
      <c r="D1611" s="1203"/>
      <c r="E1611" s="1203" t="s">
        <v>271</v>
      </c>
      <c r="F1611" s="1208" t="s">
        <v>123</v>
      </c>
      <c r="G1611" s="1202" t="str">
        <f t="shared" ca="1" si="537"/>
        <v>P</v>
      </c>
      <c r="H1611" s="1222" t="s">
        <v>4386</v>
      </c>
      <c r="I1611" s="182"/>
      <c r="J1611" s="140"/>
      <c r="K1611" s="140"/>
      <c r="L1611" s="1305"/>
      <c r="M1611" s="1318"/>
      <c r="N1611" s="1308"/>
      <c r="O1611" s="1308"/>
      <c r="P1611" s="848"/>
      <c r="Q1611" s="848"/>
      <c r="R1611" s="848"/>
      <c r="S1611" s="848"/>
      <c r="T1611" s="848"/>
      <c r="U1611" s="848"/>
      <c r="V1611" s="848"/>
      <c r="W1611" s="848"/>
      <c r="X1611" s="1303"/>
      <c r="Y1611" s="1522"/>
      <c r="Z1611" s="1586"/>
      <c r="AB1611" s="848"/>
      <c r="AC1611" s="848"/>
      <c r="AD1611" s="848"/>
      <c r="AE1611" s="848"/>
      <c r="AF1611" s="848"/>
      <c r="AG1611" s="848"/>
      <c r="AH1611" s="848"/>
      <c r="AI1611" s="848"/>
      <c r="AJ1611" s="848"/>
      <c r="AK1611" s="848"/>
      <c r="AL1611" s="848"/>
      <c r="AM1611" s="848"/>
      <c r="AN1611" s="848"/>
      <c r="AO1611" s="848"/>
      <c r="AP1611" s="848"/>
      <c r="AQ1611" s="848"/>
      <c r="AR1611" s="848"/>
      <c r="AS1611" s="848"/>
      <c r="AT1611" s="848"/>
      <c r="AU1611" s="848"/>
      <c r="AV1611" s="848"/>
      <c r="AW1611" s="848"/>
      <c r="AX1611" s="848"/>
      <c r="AY1611" s="848"/>
      <c r="AZ1611" s="848"/>
      <c r="BA1611" s="848"/>
      <c r="BB1611" s="848"/>
      <c r="BC1611" s="848"/>
      <c r="BD1611" s="848"/>
      <c r="BE1611" s="848"/>
      <c r="BF1611" s="848"/>
      <c r="BG1611" s="848"/>
      <c r="BH1611" s="848"/>
      <c r="BJ1611" s="1184" t="s">
        <v>4763</v>
      </c>
    </row>
    <row r="1612" spans="1:62" x14ac:dyDescent="0.3">
      <c r="A1612" s="1200">
        <v>9</v>
      </c>
      <c r="B1612" s="1210">
        <v>901.3</v>
      </c>
      <c r="C1612" s="1203"/>
      <c r="D1612" s="1203"/>
      <c r="E1612" s="1203" t="s">
        <v>271</v>
      </c>
      <c r="F1612" s="1208" t="s">
        <v>123</v>
      </c>
      <c r="G1612" s="1202" t="str">
        <f t="shared" ca="1" si="537"/>
        <v>P</v>
      </c>
      <c r="H1612" s="1222" t="s">
        <v>4386</v>
      </c>
      <c r="I1612" s="182"/>
      <c r="J1612" s="140"/>
      <c r="K1612" s="140"/>
      <c r="L1612" s="1305"/>
      <c r="M1612" s="1318"/>
      <c r="N1612" s="1308"/>
      <c r="O1612" s="1308"/>
      <c r="P1612" s="848"/>
      <c r="Q1612" s="848"/>
      <c r="R1612" s="848"/>
      <c r="S1612" s="848"/>
      <c r="T1612" s="848"/>
      <c r="U1612" s="848"/>
      <c r="V1612" s="848"/>
      <c r="W1612" s="848"/>
      <c r="X1612" s="1303"/>
      <c r="Y1612" s="1522"/>
      <c r="Z1612" s="1586"/>
      <c r="AB1612" s="848"/>
      <c r="AC1612" s="848"/>
      <c r="AD1612" s="848"/>
      <c r="AE1612" s="848"/>
      <c r="AF1612" s="848"/>
      <c r="AG1612" s="848"/>
      <c r="AH1612" s="848"/>
      <c r="AI1612" s="848"/>
      <c r="AJ1612" s="848"/>
      <c r="AK1612" s="848"/>
      <c r="AL1612" s="848"/>
      <c r="AM1612" s="848"/>
      <c r="AN1612" s="848"/>
      <c r="AO1612" s="848"/>
      <c r="AP1612" s="848"/>
      <c r="AQ1612" s="848"/>
      <c r="AR1612" s="848"/>
      <c r="AS1612" s="848"/>
      <c r="AT1612" s="848"/>
      <c r="AU1612" s="848"/>
      <c r="AV1612" s="848"/>
      <c r="AW1612" s="848"/>
      <c r="AX1612" s="848"/>
      <c r="AY1612" s="848"/>
      <c r="AZ1612" s="848"/>
      <c r="BA1612" s="848"/>
      <c r="BB1612" s="848"/>
      <c r="BC1612" s="848"/>
      <c r="BD1612" s="848"/>
      <c r="BE1612" s="848"/>
      <c r="BF1612" s="848"/>
      <c r="BG1612" s="848"/>
      <c r="BH1612" s="848"/>
      <c r="BJ1612" s="1184" t="s">
        <v>4763</v>
      </c>
    </row>
    <row r="1613" spans="1:62" x14ac:dyDescent="0.3">
      <c r="A1613" s="1200">
        <v>9</v>
      </c>
      <c r="B1613" s="1210">
        <v>901.3</v>
      </c>
      <c r="C1613" s="1203"/>
      <c r="D1613" s="1203"/>
      <c r="E1613" s="1203" t="s">
        <v>271</v>
      </c>
      <c r="F1613" s="1208" t="s">
        <v>123</v>
      </c>
      <c r="G1613" s="1202" t="str">
        <f t="shared" ca="1" si="537"/>
        <v>P</v>
      </c>
      <c r="H1613" s="1222" t="s">
        <v>4386</v>
      </c>
      <c r="I1613" s="182"/>
      <c r="J1613" s="238"/>
      <c r="K1613" s="238"/>
      <c r="L1613" s="1306"/>
      <c r="M1613" s="1319"/>
      <c r="N1613" s="1309"/>
      <c r="O1613" s="1309"/>
      <c r="P1613" s="848"/>
      <c r="Q1613" s="848"/>
      <c r="R1613" s="848"/>
      <c r="S1613" s="848"/>
      <c r="T1613" s="848"/>
      <c r="U1613" s="848"/>
      <c r="V1613" s="848"/>
      <c r="W1613" s="848"/>
      <c r="X1613" s="1303"/>
      <c r="Y1613" s="1522"/>
      <c r="Z1613" s="1586"/>
      <c r="AB1613" s="848"/>
      <c r="AC1613" s="848"/>
      <c r="AD1613" s="848"/>
      <c r="AE1613" s="848"/>
      <c r="AF1613" s="848"/>
      <c r="AG1613" s="848"/>
      <c r="AH1613" s="848"/>
      <c r="AI1613" s="848"/>
      <c r="AJ1613" s="848"/>
      <c r="AK1613" s="848"/>
      <c r="AL1613" s="848"/>
      <c r="AM1613" s="848"/>
      <c r="AN1613" s="848"/>
      <c r="AO1613" s="848"/>
      <c r="AP1613" s="848"/>
      <c r="AQ1613" s="848"/>
      <c r="AR1613" s="848"/>
      <c r="AS1613" s="848"/>
      <c r="AT1613" s="848"/>
      <c r="AU1613" s="848"/>
      <c r="AV1613" s="848"/>
      <c r="AW1613" s="848"/>
      <c r="AX1613" s="848"/>
      <c r="AY1613" s="848"/>
      <c r="AZ1613" s="848"/>
      <c r="BA1613" s="848"/>
      <c r="BB1613" s="848"/>
      <c r="BC1613" s="848"/>
      <c r="BD1613" s="848"/>
      <c r="BE1613" s="848"/>
      <c r="BF1613" s="848"/>
      <c r="BG1613" s="848"/>
      <c r="BH1613" s="848"/>
      <c r="BJ1613" s="1184" t="s">
        <v>4763</v>
      </c>
    </row>
    <row r="1614" spans="1:62" ht="15.75" customHeight="1" thickBot="1" x14ac:dyDescent="0.35">
      <c r="A1614" s="1200">
        <v>9</v>
      </c>
      <c r="B1614" s="1210">
        <v>901.3</v>
      </c>
      <c r="C1614" s="1203"/>
      <c r="D1614" s="1203"/>
      <c r="E1614" s="1203" t="s">
        <v>273</v>
      </c>
      <c r="F1614" s="1208"/>
      <c r="G1614" s="1202" t="str">
        <f>IF(N1614&gt;0,"P","")</f>
        <v/>
      </c>
      <c r="H1614" s="1211" t="s">
        <v>4386</v>
      </c>
      <c r="I1614" s="577"/>
      <c r="J1614" s="213" t="s">
        <v>273</v>
      </c>
      <c r="K1614" s="270"/>
      <c r="L1614" s="869" t="s">
        <v>3386</v>
      </c>
      <c r="M1614" s="865">
        <v>10</v>
      </c>
      <c r="N1614" s="858">
        <f>'Ch9'!O67</f>
        <v>0</v>
      </c>
      <c r="O1614" s="858">
        <f>M1614*S1614*W1614</f>
        <v>0</v>
      </c>
      <c r="P1614" s="97" t="b">
        <v>1</v>
      </c>
      <c r="Q1614" s="97" t="b">
        <v>1</v>
      </c>
      <c r="R1614" s="104" t="b">
        <v>0</v>
      </c>
      <c r="S1614" s="104" t="b">
        <f>AND(NOT(W1608),W1604&lt;&gt;"Met",W1606&lt;&gt;"Met")</f>
        <v>1</v>
      </c>
      <c r="T1614" s="104" t="b">
        <f>AND(NOT(S1614),W1614=TRUE)</f>
        <v>0</v>
      </c>
      <c r="U1614" s="104"/>
      <c r="V1614" s="104"/>
      <c r="W1614" s="105"/>
      <c r="X1614" s="853"/>
      <c r="Y1614" s="890" t="str">
        <f>IF(LEN('Ch9'!X67)=0,"None",'Ch9'!X67)</f>
        <v>None</v>
      </c>
      <c r="Z1614" s="1173"/>
      <c r="AA1614" s="1110">
        <f>'Photo Review'!H1614</f>
        <v>0</v>
      </c>
      <c r="AB1614" s="848"/>
      <c r="AC1614" s="848" t="b">
        <f>OR(AD1614:AE1614)</f>
        <v>0</v>
      </c>
      <c r="AD1614" s="848" t="b">
        <f>T1614</f>
        <v>0</v>
      </c>
      <c r="AE1614" s="848" t="b">
        <f>AND(R1614,NOT(W1614))</f>
        <v>0</v>
      </c>
      <c r="AF1614" s="1182" t="b">
        <f>AND(AE1614,NOT(Q1614))</f>
        <v>0</v>
      </c>
      <c r="AG1614" s="848"/>
      <c r="AH1614" s="848"/>
      <c r="AI1614" s="848"/>
      <c r="AJ1614" s="848"/>
      <c r="AK1614" s="848"/>
      <c r="AL1614" s="311" t="str">
        <f t="shared" ref="AL1614:AL1615" si="538">SUBSTITUTE(SUBSTITUTE(SUBSTITUTE("vpa"&amp;$B1614&amp;$C1614&amp;$D1614&amp;$E1614&amp;$F1614,".","_"),"(","_"),")","")</f>
        <v>vpa901_3_2</v>
      </c>
      <c r="AM1614" s="311">
        <f>M1614</f>
        <v>10</v>
      </c>
      <c r="AN1614" s="311" t="str">
        <f t="shared" ref="AN1614:AN1615" si="539">SUBSTITUTE(SUBSTITUTE(SUBSTITUTE("vpc"&amp;$B1614&amp;$C1614&amp;$D1614&amp;$E1614&amp;$F1614,".","_"),"(","_"),")","")</f>
        <v>vpc901_3_2</v>
      </c>
      <c r="AO1614" s="311">
        <f>O1614</f>
        <v>0</v>
      </c>
      <c r="AP1614" s="311" t="str">
        <f>SUBSTITUTE(SUBSTITUTE(SUBSTITUTE("vch"&amp;$B1614&amp;$C1614&amp;$D1614&amp;$E1614&amp;$F1614,".","_"),"(","_"),")","")</f>
        <v>vch901_3_2</v>
      </c>
      <c r="AQ1614" s="311">
        <f>W1614</f>
        <v>0</v>
      </c>
      <c r="AR1614" s="311" t="str">
        <f>SUBSTITUTE(SUBSTITUTE(SUBSTITUTE("vnt"&amp;$B1614&amp;$C1614&amp;$D1614&amp;$E1614&amp;$F1614,".","_"),"(","_"),")","")</f>
        <v>vnt901_3_2</v>
      </c>
      <c r="AS1614" s="311">
        <f>X1614</f>
        <v>0</v>
      </c>
      <c r="AT1614" s="848"/>
      <c r="AU1614" s="848"/>
      <c r="AV1614" s="848"/>
      <c r="AW1614" s="848"/>
      <c r="AX1614" s="848"/>
      <c r="AY1614" s="848"/>
      <c r="AZ1614" s="848"/>
      <c r="BA1614" s="848"/>
      <c r="BB1614" s="848"/>
      <c r="BC1614" s="848"/>
      <c r="BD1614" s="848"/>
      <c r="BE1614" s="848"/>
      <c r="BF1614" s="848"/>
      <c r="BG1614" s="848"/>
      <c r="BH1614" s="848"/>
      <c r="BJ1614" s="1184" t="s">
        <v>4763</v>
      </c>
    </row>
    <row r="1615" spans="1:62" ht="15" thickTop="1" x14ac:dyDescent="0.3">
      <c r="A1615" s="1200">
        <v>9</v>
      </c>
      <c r="B1615" s="1210">
        <v>901.4</v>
      </c>
      <c r="C1615" s="1203"/>
      <c r="D1615" s="1203"/>
      <c r="E1615" s="1203"/>
      <c r="F1615" s="1203"/>
      <c r="G1615" s="1202" t="s">
        <v>4389</v>
      </c>
      <c r="H1615" s="1200" t="s">
        <v>4386</v>
      </c>
      <c r="I1615" s="66">
        <v>901.4</v>
      </c>
      <c r="J1615" s="4"/>
      <c r="K1615" s="4"/>
      <c r="L1615" s="1329" t="s">
        <v>3387</v>
      </c>
      <c r="M1615" s="1335" t="s">
        <v>753</v>
      </c>
      <c r="N1615" s="1336">
        <f ca="1">'Ch9'!O68</f>
        <v>4</v>
      </c>
      <c r="O1615" s="1336">
        <f ca="1">MIN(10,(IFERROR(INDEX({2,2,3,4,4},MATCH(W1623,INDIRECT(U1623),0)),0)+IFERROR(INDEX({2,2,3,4,4},MATCH(W1624,INDIRECT(U1624),0)),0)+IFERROR(INDEX({2,2,3,4,4},MATCH(W1625,INDIRECT(U1625),0)),0)+IFERROR(INDEX({2,2,3,4,4},MATCH(W1626,INDIRECT(U1626),0)),0)))*S1623</f>
        <v>0</v>
      </c>
      <c r="P1615" s="848"/>
      <c r="Q1615" s="848"/>
      <c r="R1615" s="848"/>
      <c r="S1615" s="848"/>
      <c r="T1615" s="848"/>
      <c r="U1615" s="848"/>
      <c r="V1615" s="848"/>
      <c r="W1615" s="848"/>
      <c r="X1615" s="848"/>
      <c r="Y1615" s="848"/>
      <c r="Z1615" s="1055"/>
      <c r="AB1615" s="848"/>
      <c r="AC1615" s="848"/>
      <c r="AD1615" s="848"/>
      <c r="AE1615" s="848"/>
      <c r="AF1615" s="848"/>
      <c r="AG1615" s="848"/>
      <c r="AH1615" s="848"/>
      <c r="AI1615" s="848"/>
      <c r="AJ1615" s="848"/>
      <c r="AK1615" s="848"/>
      <c r="AL1615" s="311" t="str">
        <f t="shared" si="538"/>
        <v>vpa901_4</v>
      </c>
      <c r="AM1615" s="311" t="str">
        <f>M1615</f>
        <v>10 Max</v>
      </c>
      <c r="AN1615" s="311" t="str">
        <f t="shared" si="539"/>
        <v>vpc901_4</v>
      </c>
      <c r="AO1615" s="311">
        <f ca="1">O1615</f>
        <v>0</v>
      </c>
      <c r="AP1615" s="848"/>
      <c r="AQ1615" s="848"/>
      <c r="AR1615" s="848"/>
      <c r="AS1615" s="848"/>
      <c r="AT1615" s="848"/>
      <c r="AU1615" s="848"/>
      <c r="AV1615" s="848"/>
      <c r="AW1615" s="848"/>
      <c r="AX1615" s="848"/>
      <c r="AY1615" s="848"/>
      <c r="AZ1615" s="848"/>
      <c r="BA1615" s="848"/>
      <c r="BB1615" s="848"/>
      <c r="BC1615" s="848"/>
      <c r="BD1615" s="848"/>
      <c r="BE1615" s="848"/>
      <c r="BF1615" s="848"/>
      <c r="BG1615" s="848"/>
      <c r="BH1615" s="848"/>
      <c r="BJ1615" s="1184" t="s">
        <v>4763</v>
      </c>
    </row>
    <row r="1616" spans="1:62" x14ac:dyDescent="0.3">
      <c r="A1616" s="1200">
        <v>9</v>
      </c>
      <c r="B1616" s="1210">
        <v>901.4</v>
      </c>
      <c r="C1616" s="1203"/>
      <c r="D1616" s="1203"/>
      <c r="E1616" s="1203"/>
      <c r="F1616" s="1203"/>
      <c r="G1616" s="1202" t="s">
        <v>4389</v>
      </c>
      <c r="H1616" s="1200" t="s">
        <v>4386</v>
      </c>
      <c r="I1616" s="182"/>
      <c r="J1616" s="4"/>
      <c r="K1616" s="4"/>
      <c r="L1616" s="1329"/>
      <c r="M1616" s="1335"/>
      <c r="N1616" s="1310"/>
      <c r="O1616" s="1310"/>
      <c r="P1616" s="848"/>
      <c r="Q1616" s="848"/>
      <c r="R1616" s="848"/>
      <c r="S1616" s="848"/>
      <c r="T1616" s="848"/>
      <c r="U1616" s="848"/>
      <c r="V1616" s="848"/>
      <c r="W1616" s="848"/>
      <c r="X1616" s="848"/>
      <c r="Y1616" s="848"/>
      <c r="Z1616" s="1055"/>
      <c r="AB1616" s="848"/>
      <c r="AC1616" s="848"/>
      <c r="AD1616" s="848"/>
      <c r="AE1616" s="848"/>
      <c r="AF1616" s="848"/>
      <c r="AG1616" s="848"/>
      <c r="AH1616" s="848"/>
      <c r="AI1616" s="848"/>
      <c r="AJ1616" s="848"/>
      <c r="AK1616" s="848"/>
      <c r="AL1616" s="848"/>
      <c r="AM1616" s="848"/>
      <c r="AN1616" s="848"/>
      <c r="AO1616" s="848"/>
      <c r="AP1616" s="848"/>
      <c r="AQ1616" s="848"/>
      <c r="AR1616" s="848"/>
      <c r="AS1616" s="848"/>
      <c r="AT1616" s="848"/>
      <c r="AU1616" s="848"/>
      <c r="AV1616" s="848"/>
      <c r="AW1616" s="848"/>
      <c r="AX1616" s="848"/>
      <c r="AY1616" s="848"/>
      <c r="AZ1616" s="848"/>
      <c r="BA1616" s="848"/>
      <c r="BB1616" s="848"/>
      <c r="BC1616" s="848"/>
      <c r="BD1616" s="848"/>
      <c r="BE1616" s="848"/>
      <c r="BF1616" s="848"/>
      <c r="BG1616" s="848"/>
      <c r="BH1616" s="848"/>
      <c r="BJ1616" s="1184" t="s">
        <v>4763</v>
      </c>
    </row>
    <row r="1617" spans="1:62" x14ac:dyDescent="0.3">
      <c r="A1617" s="1200">
        <v>9</v>
      </c>
      <c r="B1617" s="1210">
        <v>901.4</v>
      </c>
      <c r="C1617" s="1203"/>
      <c r="D1617" s="1203"/>
      <c r="E1617" s="1203"/>
      <c r="F1617" s="1203"/>
      <c r="G1617" s="1202" t="s">
        <v>4389</v>
      </c>
      <c r="H1617" s="1200" t="s">
        <v>4386</v>
      </c>
      <c r="I1617" s="182"/>
      <c r="J1617" s="4"/>
      <c r="K1617" s="4"/>
      <c r="L1617" s="1329"/>
      <c r="M1617" s="1335"/>
      <c r="N1617" s="1310"/>
      <c r="O1617" s="1310"/>
      <c r="P1617" s="848"/>
      <c r="Q1617" s="848"/>
      <c r="R1617" s="848"/>
      <c r="S1617" s="848"/>
      <c r="T1617" s="848"/>
      <c r="U1617" s="848"/>
      <c r="V1617" s="848"/>
      <c r="W1617" s="848"/>
      <c r="X1617" s="848"/>
      <c r="Y1617" s="848"/>
      <c r="Z1617" s="1055"/>
      <c r="AB1617" s="848"/>
      <c r="AC1617" s="848"/>
      <c r="AD1617" s="848"/>
      <c r="AE1617" s="848"/>
      <c r="AF1617" s="848"/>
      <c r="AG1617" s="848"/>
      <c r="AH1617" s="848"/>
      <c r="AI1617" s="848"/>
      <c r="AJ1617" s="848"/>
      <c r="AK1617" s="848"/>
      <c r="AL1617" s="848"/>
      <c r="AM1617" s="848"/>
      <c r="AN1617" s="848"/>
      <c r="AO1617" s="848"/>
      <c r="AP1617" s="848"/>
      <c r="AQ1617" s="848"/>
      <c r="AR1617" s="848"/>
      <c r="AS1617" s="848"/>
      <c r="AT1617" s="848"/>
      <c r="AU1617" s="848"/>
      <c r="AV1617" s="848"/>
      <c r="AW1617" s="848"/>
      <c r="AX1617" s="848"/>
      <c r="AY1617" s="848"/>
      <c r="AZ1617" s="848"/>
      <c r="BA1617" s="848"/>
      <c r="BB1617" s="848"/>
      <c r="BC1617" s="848"/>
      <c r="BD1617" s="848"/>
      <c r="BE1617" s="848"/>
      <c r="BF1617" s="848"/>
      <c r="BG1617" s="848"/>
      <c r="BH1617" s="848"/>
      <c r="BJ1617" s="1184" t="s">
        <v>4763</v>
      </c>
    </row>
    <row r="1618" spans="1:62" x14ac:dyDescent="0.3">
      <c r="A1618" s="1200">
        <v>9</v>
      </c>
      <c r="B1618" s="1210">
        <v>901.4</v>
      </c>
      <c r="C1618" s="1203"/>
      <c r="D1618" s="1203"/>
      <c r="E1618" s="1203" t="s">
        <v>271</v>
      </c>
      <c r="F1618" s="1203"/>
      <c r="G1618" s="1202" t="s">
        <v>4389</v>
      </c>
      <c r="H1618" s="1200" t="s">
        <v>4387</v>
      </c>
      <c r="I1618" s="182"/>
      <c r="J1618" s="203" t="s">
        <v>271</v>
      </c>
      <c r="K1618" s="140"/>
      <c r="L1618" s="1305" t="s">
        <v>3388</v>
      </c>
      <c r="M1618" s="1351" t="str">
        <f>IF(R1618,"Mandatory","N/A")</f>
        <v>Mandatory</v>
      </c>
      <c r="P1618" s="97" t="b">
        <v>1</v>
      </c>
      <c r="Q1618" s="97" t="b">
        <v>0</v>
      </c>
      <c r="R1618" s="848" t="b">
        <f>S1618</f>
        <v>1</v>
      </c>
      <c r="S1618" s="848" t="b">
        <v>1</v>
      </c>
      <c r="T1618" s="848" t="b">
        <v>0</v>
      </c>
      <c r="U1618" s="97" t="str">
        <f>SUBSTITUTE(SUBSTITUTE(SUBSTITUTE("dd"&amp;B1618&amp;C1618&amp;D1618&amp;E1618&amp;F1618,".","_"),"(","_"),")","")</f>
        <v>dd901_4_1</v>
      </c>
      <c r="V1618" s="848"/>
      <c r="W1618" s="12"/>
      <c r="X1618" s="1303"/>
      <c r="Y1618" s="1522" t="str">
        <f>IF(LEN('Ch9'!X71)=0,"None",'Ch9'!X71)</f>
        <v>ZERH Requirement - Indoor airPLUS, Section 6.1 Composite Wood</v>
      </c>
      <c r="Z1618" s="1586"/>
      <c r="AB1618" s="848"/>
      <c r="AC1618" s="848" t="b">
        <f>OR(AD1618:AE1618)</f>
        <v>1</v>
      </c>
      <c r="AD1618" s="848" t="b">
        <f>T1618</f>
        <v>0</v>
      </c>
      <c r="AE1618" s="848" t="b">
        <f>OR(AND(W1618="N/A",LEN(X1618)=0),AND(R1618,OR(W1618="Not Met",W1618="")))</f>
        <v>1</v>
      </c>
      <c r="AF1618" s="1182" t="b">
        <f>AND(AE1618,NOT(Q1618))</f>
        <v>1</v>
      </c>
      <c r="AG1618" s="848"/>
      <c r="AH1618" s="848"/>
      <c r="AI1618" s="848"/>
      <c r="AJ1618" s="848"/>
      <c r="AK1618" s="848"/>
      <c r="AL1618" s="311" t="str">
        <f t="shared" ref="AL1618" si="540">SUBSTITUTE(SUBSTITUTE(SUBSTITUTE("vpa"&amp;$B1618&amp;$C1618&amp;$D1618&amp;$E1618&amp;$F1618,".","_"),"(","_"),")","")</f>
        <v>vpa901_4_1</v>
      </c>
      <c r="AM1618" s="311" t="str">
        <f>M1618</f>
        <v>Mandatory</v>
      </c>
      <c r="AN1618" s="311"/>
      <c r="AP1618" s="311" t="str">
        <f>SUBSTITUTE(SUBSTITUTE(SUBSTITUTE("vch"&amp;$B1618&amp;$C1618&amp;$D1618&amp;$E1618&amp;$F1618,".","_"),"(","_"),")","")</f>
        <v>vch901_4_1</v>
      </c>
      <c r="AQ1618" s="311">
        <f>W1618</f>
        <v>0</v>
      </c>
      <c r="AR1618" s="311" t="str">
        <f>SUBSTITUTE(SUBSTITUTE(SUBSTITUTE("vnt"&amp;$B1618&amp;$C1618&amp;$D1618&amp;$E1618&amp;$F1618,".","_"),"(","_"),")","")</f>
        <v>vnt901_4_1</v>
      </c>
      <c r="AS1618" s="311">
        <f>X1618</f>
        <v>0</v>
      </c>
      <c r="AT1618" s="848"/>
      <c r="AU1618" s="848"/>
      <c r="AV1618" s="848"/>
      <c r="AW1618" s="848"/>
      <c r="AX1618" s="848"/>
      <c r="AY1618" s="848"/>
      <c r="AZ1618" s="848"/>
      <c r="BA1618" s="848"/>
      <c r="BB1618" s="848"/>
      <c r="BC1618" s="848"/>
      <c r="BD1618" s="848"/>
      <c r="BE1618" s="848"/>
      <c r="BF1618" s="848"/>
      <c r="BG1618" s="848"/>
      <c r="BH1618" s="848"/>
      <c r="BJ1618" s="1184" t="s">
        <v>4763</v>
      </c>
    </row>
    <row r="1619" spans="1:62" x14ac:dyDescent="0.3">
      <c r="A1619" s="1200">
        <v>9</v>
      </c>
      <c r="B1619" s="1210">
        <v>901.4</v>
      </c>
      <c r="C1619" s="1203"/>
      <c r="D1619" s="1203"/>
      <c r="E1619" s="1203" t="s">
        <v>271</v>
      </c>
      <c r="F1619" s="1203"/>
      <c r="G1619" s="1202" t="s">
        <v>4389</v>
      </c>
      <c r="H1619" s="1200" t="s">
        <v>4387</v>
      </c>
      <c r="I1619" s="182"/>
      <c r="J1619" s="140"/>
      <c r="K1619" s="140"/>
      <c r="L1619" s="1305"/>
      <c r="M1619" s="1351"/>
      <c r="N1619" s="976"/>
      <c r="O1619" s="976"/>
      <c r="P1619" s="848"/>
      <c r="Q1619" s="848"/>
      <c r="R1619" s="848"/>
      <c r="S1619" s="848"/>
      <c r="T1619" s="848"/>
      <c r="U1619" s="848"/>
      <c r="V1619" s="848"/>
      <c r="W1619" s="848"/>
      <c r="X1619" s="1303"/>
      <c r="Y1619" s="1522"/>
      <c r="Z1619" s="1586"/>
      <c r="AB1619" s="848"/>
      <c r="AC1619" s="848"/>
      <c r="AD1619" s="848"/>
      <c r="AE1619" s="848"/>
      <c r="AF1619" s="848"/>
      <c r="AG1619" s="848"/>
      <c r="AH1619" s="848"/>
      <c r="AI1619" s="848"/>
      <c r="AJ1619" s="848"/>
      <c r="AK1619" s="848"/>
      <c r="AL1619" s="848"/>
      <c r="AM1619" s="848"/>
      <c r="AN1619" s="848"/>
      <c r="AO1619" s="848"/>
      <c r="AP1619" s="848"/>
      <c r="AQ1619" s="848"/>
      <c r="AR1619" s="848"/>
      <c r="AS1619" s="848"/>
      <c r="AT1619" s="848"/>
      <c r="AU1619" s="848"/>
      <c r="AV1619" s="848"/>
      <c r="AW1619" s="848"/>
      <c r="AX1619" s="848"/>
      <c r="AY1619" s="848"/>
      <c r="AZ1619" s="848"/>
      <c r="BA1619" s="848"/>
      <c r="BB1619" s="848"/>
      <c r="BC1619" s="848"/>
      <c r="BD1619" s="848"/>
      <c r="BE1619" s="848"/>
      <c r="BF1619" s="848"/>
      <c r="BG1619" s="848"/>
      <c r="BH1619" s="848"/>
      <c r="BJ1619" s="1184" t="s">
        <v>4763</v>
      </c>
    </row>
    <row r="1620" spans="1:62" x14ac:dyDescent="0.3">
      <c r="A1620" s="1200">
        <v>9</v>
      </c>
      <c r="B1620" s="1210">
        <v>901.4</v>
      </c>
      <c r="C1620" s="1203"/>
      <c r="D1620" s="1203"/>
      <c r="E1620" s="1203" t="s">
        <v>271</v>
      </c>
      <c r="F1620" s="1203"/>
      <c r="G1620" s="1202" t="s">
        <v>4389</v>
      </c>
      <c r="H1620" s="1200" t="s">
        <v>4387</v>
      </c>
      <c r="I1620" s="182"/>
      <c r="J1620" s="140"/>
      <c r="K1620" s="140"/>
      <c r="L1620" s="1305"/>
      <c r="M1620" s="1351"/>
      <c r="N1620" s="976"/>
      <c r="O1620" s="976"/>
      <c r="P1620" s="848"/>
      <c r="Q1620" s="848"/>
      <c r="R1620" s="848"/>
      <c r="S1620" s="848"/>
      <c r="T1620" s="848"/>
      <c r="U1620" s="848"/>
      <c r="V1620" s="848"/>
      <c r="W1620" s="848"/>
      <c r="X1620" s="1303"/>
      <c r="Y1620" s="1522"/>
      <c r="Z1620" s="1586"/>
      <c r="AB1620" s="848"/>
      <c r="AC1620" s="848"/>
      <c r="AD1620" s="848"/>
      <c r="AE1620" s="848"/>
      <c r="AF1620" s="848"/>
      <c r="AG1620" s="848"/>
      <c r="AH1620" s="848"/>
      <c r="AI1620" s="848"/>
      <c r="AJ1620" s="848"/>
      <c r="AK1620" s="848"/>
      <c r="AL1620" s="848"/>
      <c r="AM1620" s="848"/>
      <c r="AN1620" s="848"/>
      <c r="AO1620" s="848"/>
      <c r="AP1620" s="848"/>
      <c r="AQ1620" s="848"/>
      <c r="AR1620" s="848"/>
      <c r="AS1620" s="848"/>
      <c r="AT1620" s="848"/>
      <c r="AU1620" s="848"/>
      <c r="AV1620" s="848"/>
      <c r="AW1620" s="848"/>
      <c r="AX1620" s="848"/>
      <c r="AY1620" s="848"/>
      <c r="AZ1620" s="848"/>
      <c r="BA1620" s="848"/>
      <c r="BB1620" s="848"/>
      <c r="BC1620" s="848"/>
      <c r="BD1620" s="848"/>
      <c r="BE1620" s="848"/>
      <c r="BF1620" s="848"/>
      <c r="BG1620" s="848"/>
      <c r="BH1620" s="848"/>
      <c r="BJ1620" s="1184" t="s">
        <v>4763</v>
      </c>
    </row>
    <row r="1621" spans="1:62" x14ac:dyDescent="0.3">
      <c r="A1621" s="1200">
        <v>9</v>
      </c>
      <c r="B1621" s="1210">
        <v>901.4</v>
      </c>
      <c r="C1621" s="1203"/>
      <c r="D1621" s="1203"/>
      <c r="E1621" s="1203" t="s">
        <v>271</v>
      </c>
      <c r="F1621" s="1203"/>
      <c r="G1621" s="1202" t="s">
        <v>4389</v>
      </c>
      <c r="H1621" s="1200" t="s">
        <v>4387</v>
      </c>
      <c r="I1621" s="182"/>
      <c r="J1621" s="140"/>
      <c r="K1621" s="140"/>
      <c r="L1621" s="1305"/>
      <c r="M1621" s="1351"/>
      <c r="N1621" s="976"/>
      <c r="O1621" s="976"/>
      <c r="P1621" s="848"/>
      <c r="Q1621" s="848"/>
      <c r="R1621" s="848"/>
      <c r="S1621" s="848"/>
      <c r="T1621" s="848"/>
      <c r="U1621" s="848"/>
      <c r="V1621" s="848"/>
      <c r="W1621" s="848"/>
      <c r="X1621" s="1303"/>
      <c r="Y1621" s="1522"/>
      <c r="Z1621" s="1586"/>
      <c r="AB1621" s="848"/>
      <c r="AC1621" s="848"/>
      <c r="AD1621" s="848"/>
      <c r="AE1621" s="848"/>
      <c r="AF1621" s="848"/>
      <c r="AG1621" s="848"/>
      <c r="AH1621" s="848"/>
      <c r="AI1621" s="848"/>
      <c r="AJ1621" s="848"/>
      <c r="AK1621" s="848"/>
      <c r="AL1621" s="848"/>
      <c r="AM1621" s="848"/>
      <c r="AN1621" s="848"/>
      <c r="AO1621" s="848"/>
      <c r="AP1621" s="848"/>
      <c r="AQ1621" s="848"/>
      <c r="AR1621" s="848"/>
      <c r="AS1621" s="848"/>
      <c r="AT1621" s="848"/>
      <c r="AU1621" s="848"/>
      <c r="AV1621" s="848"/>
      <c r="AW1621" s="848"/>
      <c r="AX1621" s="848"/>
      <c r="AY1621" s="848"/>
      <c r="AZ1621" s="848"/>
      <c r="BA1621" s="848"/>
      <c r="BB1621" s="848"/>
      <c r="BC1621" s="848"/>
      <c r="BD1621" s="848"/>
      <c r="BE1621" s="848"/>
      <c r="BF1621" s="848"/>
      <c r="BG1621" s="848"/>
      <c r="BH1621" s="848"/>
      <c r="BJ1621" s="1184" t="s">
        <v>4763</v>
      </c>
    </row>
    <row r="1622" spans="1:62" x14ac:dyDescent="0.3">
      <c r="A1622" s="1200">
        <v>9</v>
      </c>
      <c r="B1622" s="1210">
        <v>901.4</v>
      </c>
      <c r="C1622" s="1203"/>
      <c r="D1622" s="1203"/>
      <c r="E1622" s="1203" t="s">
        <v>271</v>
      </c>
      <c r="F1622" s="1203"/>
      <c r="G1622" s="1202" t="s">
        <v>4389</v>
      </c>
      <c r="H1622" s="1200" t="s">
        <v>4387</v>
      </c>
      <c r="I1622" s="182"/>
      <c r="J1622" s="238"/>
      <c r="K1622" s="238"/>
      <c r="L1622" s="873" t="s">
        <v>4382</v>
      </c>
      <c r="M1622" s="1352"/>
      <c r="N1622" s="976"/>
      <c r="O1622" s="976"/>
      <c r="P1622" s="848"/>
      <c r="Q1622" s="848"/>
      <c r="R1622" s="848"/>
      <c r="S1622" s="848"/>
      <c r="T1622" s="848"/>
      <c r="U1622" s="848"/>
      <c r="V1622" s="848"/>
      <c r="W1622" s="848"/>
      <c r="X1622" s="1303"/>
      <c r="Y1622" s="1522"/>
      <c r="Z1622" s="1586"/>
      <c r="AB1622" s="848"/>
      <c r="AC1622" s="848"/>
      <c r="AD1622" s="848"/>
      <c r="AE1622" s="848"/>
      <c r="AF1622" s="848"/>
      <c r="AG1622" s="848"/>
      <c r="AH1622" s="848"/>
      <c r="AI1622" s="848"/>
      <c r="AJ1622" s="848"/>
      <c r="AK1622" s="848"/>
      <c r="AL1622" s="848"/>
      <c r="AM1622" s="848"/>
      <c r="AN1622" s="848"/>
      <c r="AO1622" s="848"/>
      <c r="AP1622" s="848"/>
      <c r="AQ1622" s="848"/>
      <c r="AR1622" s="848"/>
      <c r="AS1622" s="848"/>
      <c r="AT1622" s="848"/>
      <c r="AU1622" s="848"/>
      <c r="AV1622" s="848"/>
      <c r="AW1622" s="848"/>
      <c r="AX1622" s="848"/>
      <c r="AY1622" s="848"/>
      <c r="AZ1622" s="848"/>
      <c r="BA1622" s="848"/>
      <c r="BB1622" s="848"/>
      <c r="BC1622" s="848"/>
      <c r="BD1622" s="848"/>
      <c r="BE1622" s="848"/>
      <c r="BF1622" s="848"/>
      <c r="BG1622" s="848"/>
      <c r="BH1622" s="848"/>
      <c r="BJ1622" s="1184" t="s">
        <v>4763</v>
      </c>
    </row>
    <row r="1623" spans="1:62" x14ac:dyDescent="0.3">
      <c r="A1623" s="1200">
        <v>9</v>
      </c>
      <c r="B1623" s="1210">
        <v>901.4</v>
      </c>
      <c r="C1623" s="1203"/>
      <c r="D1623" s="1203"/>
      <c r="E1623" s="1203"/>
      <c r="F1623" s="1208" t="s">
        <v>121</v>
      </c>
      <c r="G1623" s="1202" t="str">
        <f ca="1">IF(N1615&gt;0,"P","")</f>
        <v>P</v>
      </c>
      <c r="H1623" s="1222" t="s">
        <v>4386</v>
      </c>
      <c r="I1623" s="576"/>
      <c r="J1623" s="140"/>
      <c r="K1623" s="140"/>
      <c r="L1623" s="861" t="s">
        <v>3913</v>
      </c>
      <c r="M1623" s="877"/>
      <c r="N1623" s="854"/>
      <c r="O1623" s="854"/>
      <c r="P1623" s="97" t="b">
        <v>1</v>
      </c>
      <c r="Q1623" s="97" t="b">
        <v>1</v>
      </c>
      <c r="R1623" s="97" t="b">
        <v>0</v>
      </c>
      <c r="S1623" s="97" t="b">
        <v>1</v>
      </c>
      <c r="T1623" s="97" t="b">
        <v>0</v>
      </c>
      <c r="U1623" s="97" t="str">
        <f>SUBSTITUTE(SUBSTITUTE(SUBSTITUTE("dd"&amp;B1623&amp;C1623&amp;D1623&amp;E1623&amp;F1623,".","_"),"(","_"),")","")</f>
        <v>dd901_4_a</v>
      </c>
      <c r="V1623" s="97"/>
      <c r="W1623" s="12"/>
      <c r="X1623" s="1295"/>
      <c r="Y1623" s="1523" t="str">
        <f>IF(LEN('Ch9'!X76)=0,"None",'Ch9'!X76)</f>
        <v>ZERH Requirement - Indoor airPLUS, Section 6.1 Hardwood Plywood, Particle Board and MDF</v>
      </c>
      <c r="Z1623" s="1583"/>
      <c r="AB1623" s="848"/>
      <c r="AC1623" s="848" t="b">
        <f>OR(AD1623:AE1623)</f>
        <v>0</v>
      </c>
      <c r="AD1623" s="848" t="b">
        <f>T1623</f>
        <v>0</v>
      </c>
      <c r="AE1623" s="848" t="b">
        <f>AND(R1623,OR(W1623="Not Met",W1623=""))</f>
        <v>0</v>
      </c>
      <c r="AF1623" s="1182" t="b">
        <f t="shared" ref="AF1623:AF1626" si="541">AND(AE1623,NOT(Q1623))</f>
        <v>0</v>
      </c>
      <c r="AG1623" s="848"/>
      <c r="AH1623" s="848"/>
      <c r="AI1623" s="848"/>
      <c r="AJ1623" s="848"/>
      <c r="AK1623" s="848"/>
      <c r="AL1623" s="848"/>
      <c r="AM1623" s="848"/>
      <c r="AN1623" s="848"/>
      <c r="AO1623" s="848"/>
      <c r="AP1623" s="311" t="str">
        <f t="shared" ref="AP1623:AP1626" si="542">SUBSTITUTE(SUBSTITUTE(SUBSTITUTE("vch"&amp;$B1623&amp;$C1623&amp;$D1623&amp;$E1623&amp;$F1623,".","_"),"(","_"),")","")</f>
        <v>vch901_4_a</v>
      </c>
      <c r="AQ1623" s="311">
        <f>W1623</f>
        <v>0</v>
      </c>
      <c r="AR1623" s="311" t="str">
        <f>SUBSTITUTE(SUBSTITUTE(SUBSTITUTE("vnt"&amp;$B1623&amp;$C1623&amp;$D1623&amp;$E1623&amp;$F1623,".","_"),"(","_"),")","")</f>
        <v>vnt901_4_a</v>
      </c>
      <c r="AS1623" s="311">
        <f>X1623</f>
        <v>0</v>
      </c>
      <c r="AT1623" s="848"/>
      <c r="AU1623" s="848"/>
      <c r="AV1623" s="848"/>
      <c r="AW1623" s="848"/>
      <c r="AX1623" s="848"/>
      <c r="AY1623" s="848"/>
      <c r="AZ1623" s="848"/>
      <c r="BA1623" s="848"/>
      <c r="BB1623" s="848"/>
      <c r="BC1623" s="848"/>
      <c r="BD1623" s="848"/>
      <c r="BE1623" s="848"/>
      <c r="BF1623" s="848"/>
      <c r="BG1623" s="848"/>
      <c r="BH1623" s="848"/>
      <c r="BJ1623" s="1184" t="s">
        <v>4763</v>
      </c>
    </row>
    <row r="1624" spans="1:62" x14ac:dyDescent="0.3">
      <c r="A1624" s="1200">
        <v>9</v>
      </c>
      <c r="B1624" s="1210">
        <v>901.4</v>
      </c>
      <c r="C1624" s="1203"/>
      <c r="D1624" s="1203"/>
      <c r="E1624" s="1203"/>
      <c r="F1624" s="1208" t="s">
        <v>122</v>
      </c>
      <c r="G1624" s="1202" t="str">
        <f t="shared" ref="G1624:G1633" ca="1" si="543">G1623</f>
        <v>P</v>
      </c>
      <c r="H1624" s="1222" t="s">
        <v>4386</v>
      </c>
      <c r="I1624" s="576"/>
      <c r="J1624" s="140"/>
      <c r="K1624" s="140"/>
      <c r="L1624" s="861" t="s">
        <v>3914</v>
      </c>
      <c r="M1624" s="877"/>
      <c r="N1624" s="854"/>
      <c r="O1624" s="854"/>
      <c r="P1624" s="97" t="b">
        <v>1</v>
      </c>
      <c r="Q1624" s="97" t="b">
        <v>1</v>
      </c>
      <c r="R1624" s="97" t="b">
        <v>0</v>
      </c>
      <c r="S1624" s="97" t="b">
        <v>1</v>
      </c>
      <c r="T1624" s="97" t="b">
        <v>0</v>
      </c>
      <c r="U1624" s="97" t="str">
        <f>SUBSTITUTE(SUBSTITUTE(SUBSTITUTE("dd"&amp;B1624&amp;C1624&amp;D1624&amp;E1624&amp;F1624,".","_"),"(","_"),")","")</f>
        <v>dd901_4_b</v>
      </c>
      <c r="V1624" s="97"/>
      <c r="W1624" s="12"/>
      <c r="X1624" s="1295"/>
      <c r="Y1624" s="1523"/>
      <c r="Z1624" s="1583"/>
      <c r="AB1624" s="848"/>
      <c r="AC1624" s="848" t="b">
        <f>OR(AD1624:AE1624)</f>
        <v>0</v>
      </c>
      <c r="AD1624" s="848" t="b">
        <f>T1624</f>
        <v>0</v>
      </c>
      <c r="AE1624" s="848" t="b">
        <f>AND(R1624,OR(W1624="Not Met",W1624=""))</f>
        <v>0</v>
      </c>
      <c r="AF1624" s="1182" t="b">
        <f t="shared" si="541"/>
        <v>0</v>
      </c>
      <c r="AG1624" s="848"/>
      <c r="AH1624" s="848"/>
      <c r="AI1624" s="848"/>
      <c r="AJ1624" s="848"/>
      <c r="AK1624" s="848"/>
      <c r="AL1624" s="848"/>
      <c r="AM1624" s="848"/>
      <c r="AN1624" s="848"/>
      <c r="AO1624" s="848"/>
      <c r="AP1624" s="311" t="str">
        <f t="shared" si="542"/>
        <v>vch901_4_b</v>
      </c>
      <c r="AQ1624" s="311">
        <f>W1624</f>
        <v>0</v>
      </c>
      <c r="AR1624" s="848"/>
      <c r="AS1624" s="848"/>
      <c r="AT1624" s="848"/>
      <c r="AU1624" s="848"/>
      <c r="AV1624" s="848"/>
      <c r="AW1624" s="848"/>
      <c r="AX1624" s="848"/>
      <c r="AY1624" s="848"/>
      <c r="AZ1624" s="848"/>
      <c r="BA1624" s="848"/>
      <c r="BB1624" s="848"/>
      <c r="BC1624" s="848"/>
      <c r="BD1624" s="848"/>
      <c r="BE1624" s="848"/>
      <c r="BF1624" s="848"/>
      <c r="BG1624" s="848"/>
      <c r="BH1624" s="848"/>
      <c r="BJ1624" s="1184" t="s">
        <v>4763</v>
      </c>
    </row>
    <row r="1625" spans="1:62" x14ac:dyDescent="0.3">
      <c r="A1625" s="1200">
        <v>9</v>
      </c>
      <c r="B1625" s="1210">
        <v>901.4</v>
      </c>
      <c r="C1625" s="1203"/>
      <c r="D1625" s="1203"/>
      <c r="E1625" s="1203"/>
      <c r="F1625" s="1208" t="s">
        <v>123</v>
      </c>
      <c r="G1625" s="1202" t="str">
        <f t="shared" ca="1" si="543"/>
        <v>P</v>
      </c>
      <c r="H1625" s="1222" t="s">
        <v>4386</v>
      </c>
      <c r="I1625" s="576"/>
      <c r="J1625" s="140"/>
      <c r="K1625" s="140"/>
      <c r="L1625" s="861" t="s">
        <v>3915</v>
      </c>
      <c r="M1625" s="877"/>
      <c r="N1625" s="854"/>
      <c r="O1625" s="854"/>
      <c r="P1625" s="97" t="b">
        <v>1</v>
      </c>
      <c r="Q1625" s="97" t="b">
        <v>1</v>
      </c>
      <c r="R1625" s="97" t="b">
        <v>0</v>
      </c>
      <c r="S1625" s="97" t="b">
        <v>1</v>
      </c>
      <c r="T1625" s="97" t="b">
        <v>0</v>
      </c>
      <c r="U1625" s="97" t="str">
        <f>SUBSTITUTE(SUBSTITUTE(SUBSTITUTE("dd"&amp;B1625&amp;C1625&amp;D1625&amp;E1625&amp;F1625,".","_"),"(","_"),")","")</f>
        <v>dd901_4_c</v>
      </c>
      <c r="V1625" s="97"/>
      <c r="W1625" s="12"/>
      <c r="X1625" s="1295"/>
      <c r="Y1625" s="1523"/>
      <c r="Z1625" s="1583"/>
      <c r="AB1625" s="848"/>
      <c r="AC1625" s="848" t="b">
        <f>OR(AD1625:AE1625)</f>
        <v>0</v>
      </c>
      <c r="AD1625" s="848" t="b">
        <f>T1625</f>
        <v>0</v>
      </c>
      <c r="AE1625" s="848" t="b">
        <f>AND(R1625,OR(W1625="Not Met",W1625=""))</f>
        <v>0</v>
      </c>
      <c r="AF1625" s="1182" t="b">
        <f t="shared" si="541"/>
        <v>0</v>
      </c>
      <c r="AG1625" s="848"/>
      <c r="AH1625" s="848"/>
      <c r="AI1625" s="848"/>
      <c r="AJ1625" s="848"/>
      <c r="AK1625" s="848"/>
      <c r="AL1625" s="848"/>
      <c r="AM1625" s="848"/>
      <c r="AN1625" s="848"/>
      <c r="AO1625" s="848"/>
      <c r="AP1625" s="311" t="str">
        <f t="shared" si="542"/>
        <v>vch901_4_c</v>
      </c>
      <c r="AQ1625" s="311">
        <f>W1625</f>
        <v>0</v>
      </c>
      <c r="AR1625" s="848"/>
      <c r="AS1625" s="848"/>
      <c r="AT1625" s="848"/>
      <c r="AU1625" s="848"/>
      <c r="AV1625" s="848"/>
      <c r="AW1625" s="848"/>
      <c r="AX1625" s="848"/>
      <c r="AY1625" s="848"/>
      <c r="AZ1625" s="848"/>
      <c r="BA1625" s="848"/>
      <c r="BB1625" s="848"/>
      <c r="BC1625" s="848"/>
      <c r="BD1625" s="848"/>
      <c r="BE1625" s="848"/>
      <c r="BF1625" s="848"/>
      <c r="BG1625" s="848"/>
      <c r="BH1625" s="848"/>
      <c r="BJ1625" s="1184" t="s">
        <v>4763</v>
      </c>
    </row>
    <row r="1626" spans="1:62" x14ac:dyDescent="0.3">
      <c r="A1626" s="1200">
        <v>9</v>
      </c>
      <c r="B1626" s="1210">
        <v>901.4</v>
      </c>
      <c r="C1626" s="1203"/>
      <c r="D1626" s="1203"/>
      <c r="E1626" s="1203"/>
      <c r="F1626" s="1208" t="s">
        <v>423</v>
      </c>
      <c r="G1626" s="1202" t="str">
        <f t="shared" ca="1" si="543"/>
        <v>P</v>
      </c>
      <c r="H1626" s="1222" t="s">
        <v>4386</v>
      </c>
      <c r="I1626" s="576"/>
      <c r="J1626" s="140"/>
      <c r="K1626" s="140"/>
      <c r="L1626" s="861" t="s">
        <v>3916</v>
      </c>
      <c r="M1626" s="877"/>
      <c r="N1626" s="854"/>
      <c r="O1626" s="854"/>
      <c r="P1626" s="97" t="b">
        <v>1</v>
      </c>
      <c r="Q1626" s="97" t="b">
        <v>1</v>
      </c>
      <c r="R1626" s="97" t="b">
        <v>0</v>
      </c>
      <c r="S1626" s="97" t="b">
        <v>1</v>
      </c>
      <c r="T1626" s="97" t="b">
        <v>0</v>
      </c>
      <c r="U1626" s="97" t="str">
        <f>SUBSTITUTE(SUBSTITUTE(SUBSTITUTE("dd"&amp;B1626&amp;C1626&amp;D1626&amp;E1626&amp;F1626,".","_"),"(","_"),")","")</f>
        <v>dd901_4_d</v>
      </c>
      <c r="V1626" s="97"/>
      <c r="W1626" s="12"/>
      <c r="X1626" s="1295"/>
      <c r="Y1626" s="1523"/>
      <c r="Z1626" s="1583"/>
      <c r="AB1626" s="848"/>
      <c r="AC1626" s="848" t="b">
        <f>OR(AD1626:AE1626)</f>
        <v>0</v>
      </c>
      <c r="AD1626" s="848" t="b">
        <f>T1626</f>
        <v>0</v>
      </c>
      <c r="AE1626" s="848" t="b">
        <f>AND(R1626,OR(W1626="Not Met",W1626=""))</f>
        <v>0</v>
      </c>
      <c r="AF1626" s="1182" t="b">
        <f t="shared" si="541"/>
        <v>0</v>
      </c>
      <c r="AG1626" s="848"/>
      <c r="AH1626" s="848"/>
      <c r="AI1626" s="848"/>
      <c r="AJ1626" s="848"/>
      <c r="AK1626" s="848"/>
      <c r="AL1626" s="848"/>
      <c r="AM1626" s="848"/>
      <c r="AN1626" s="848"/>
      <c r="AO1626" s="848"/>
      <c r="AP1626" s="311" t="str">
        <f t="shared" si="542"/>
        <v>vch901_4_d</v>
      </c>
      <c r="AQ1626" s="311">
        <f>W1626</f>
        <v>0</v>
      </c>
      <c r="AR1626" s="848"/>
      <c r="AS1626" s="848"/>
      <c r="AT1626" s="848"/>
      <c r="AU1626" s="848"/>
      <c r="AV1626" s="848"/>
      <c r="AW1626" s="848"/>
      <c r="AX1626" s="848"/>
      <c r="AY1626" s="848"/>
      <c r="AZ1626" s="848"/>
      <c r="BA1626" s="848"/>
      <c r="BB1626" s="848"/>
      <c r="BC1626" s="848"/>
      <c r="BD1626" s="848"/>
      <c r="BE1626" s="848"/>
      <c r="BF1626" s="848"/>
      <c r="BG1626" s="848"/>
      <c r="BH1626" s="848"/>
      <c r="BJ1626" s="1184" t="s">
        <v>4763</v>
      </c>
    </row>
    <row r="1627" spans="1:62" x14ac:dyDescent="0.3">
      <c r="A1627" s="1200">
        <v>9</v>
      </c>
      <c r="B1627" s="1210">
        <v>901.4</v>
      </c>
      <c r="C1627" s="1203"/>
      <c r="D1627" s="1203"/>
      <c r="E1627" s="1203" t="s">
        <v>273</v>
      </c>
      <c r="F1627" s="1203"/>
      <c r="G1627" s="1202" t="str">
        <f t="shared" ca="1" si="543"/>
        <v>P</v>
      </c>
      <c r="H1627" s="1200" t="s">
        <v>4386</v>
      </c>
      <c r="I1627" s="576"/>
      <c r="J1627" s="203" t="s">
        <v>273</v>
      </c>
      <c r="K1627" s="140"/>
      <c r="L1627" s="1305" t="s">
        <v>3389</v>
      </c>
      <c r="M1627" s="1318">
        <v>2</v>
      </c>
      <c r="N1627" s="854"/>
      <c r="O1627" s="854"/>
      <c r="P1627" s="97"/>
      <c r="Q1627" s="97"/>
      <c r="R1627" s="97"/>
      <c r="S1627" s="97"/>
      <c r="T1627" s="97"/>
      <c r="U1627" s="97"/>
      <c r="V1627" s="97"/>
      <c r="W1627" s="97"/>
      <c r="X1627" s="1295"/>
      <c r="Y1627" s="1523"/>
      <c r="Z1627" s="1583"/>
      <c r="AB1627" s="848"/>
      <c r="AC1627" s="848"/>
      <c r="AD1627" s="848"/>
      <c r="AE1627" s="848"/>
      <c r="AF1627" s="848"/>
      <c r="AG1627" s="848"/>
      <c r="AH1627" s="848"/>
      <c r="AI1627" s="848"/>
      <c r="AJ1627" s="848"/>
      <c r="AK1627" s="848"/>
      <c r="AL1627" s="311" t="str">
        <f t="shared" ref="AL1627" si="544">SUBSTITUTE(SUBSTITUTE(SUBSTITUTE("vpa"&amp;$B1627&amp;$C1627&amp;$D1627&amp;$E1627&amp;$F1627,".","_"),"(","_"),")","")</f>
        <v>vpa901_4_2</v>
      </c>
      <c r="AM1627" s="311">
        <f>M1627</f>
        <v>2</v>
      </c>
      <c r="AN1627" s="848"/>
      <c r="AO1627" s="848"/>
      <c r="AP1627" s="848"/>
      <c r="AQ1627" s="848"/>
      <c r="AR1627" s="848"/>
      <c r="AS1627" s="848"/>
      <c r="AT1627" s="848"/>
      <c r="AU1627" s="848"/>
      <c r="AV1627" s="848"/>
      <c r="AW1627" s="848"/>
      <c r="AX1627" s="848"/>
      <c r="AY1627" s="848"/>
      <c r="AZ1627" s="848"/>
      <c r="BA1627" s="848"/>
      <c r="BB1627" s="848"/>
      <c r="BC1627" s="848"/>
      <c r="BD1627" s="848"/>
      <c r="BE1627" s="848"/>
      <c r="BF1627" s="848"/>
      <c r="BG1627" s="848"/>
      <c r="BH1627" s="848"/>
      <c r="BJ1627" s="1184" t="s">
        <v>4763</v>
      </c>
    </row>
    <row r="1628" spans="1:62" x14ac:dyDescent="0.3">
      <c r="A1628" s="1200">
        <v>9</v>
      </c>
      <c r="B1628" s="1210">
        <v>901.4</v>
      </c>
      <c r="C1628" s="1203"/>
      <c r="D1628" s="1203"/>
      <c r="E1628" s="1203" t="s">
        <v>273</v>
      </c>
      <c r="F1628" s="1203"/>
      <c r="G1628" s="1202" t="str">
        <f t="shared" ca="1" si="543"/>
        <v>P</v>
      </c>
      <c r="H1628" s="1200" t="s">
        <v>4386</v>
      </c>
      <c r="I1628" s="576"/>
      <c r="J1628" s="238"/>
      <c r="K1628" s="238"/>
      <c r="L1628" s="1306"/>
      <c r="M1628" s="1319"/>
      <c r="N1628" s="854"/>
      <c r="O1628" s="854"/>
      <c r="P1628" s="97"/>
      <c r="Q1628" s="97"/>
      <c r="R1628" s="97"/>
      <c r="S1628" s="97"/>
      <c r="T1628" s="97"/>
      <c r="U1628" s="97"/>
      <c r="V1628" s="97"/>
      <c r="W1628" s="97"/>
      <c r="X1628" s="1295"/>
      <c r="Y1628" s="1523"/>
      <c r="Z1628" s="1583"/>
      <c r="AB1628" s="848"/>
      <c r="AC1628" s="848"/>
      <c r="AD1628" s="848"/>
      <c r="AE1628" s="848"/>
      <c r="AF1628" s="848"/>
      <c r="AG1628" s="848"/>
      <c r="AH1628" s="848"/>
      <c r="AI1628" s="848"/>
      <c r="AJ1628" s="848"/>
      <c r="AK1628" s="848"/>
      <c r="AL1628" s="848"/>
      <c r="AM1628" s="848"/>
      <c r="AN1628" s="848"/>
      <c r="AO1628" s="848"/>
      <c r="AP1628" s="848"/>
      <c r="AQ1628" s="848"/>
      <c r="AR1628" s="848"/>
      <c r="AS1628" s="848"/>
      <c r="AT1628" s="848"/>
      <c r="AU1628" s="848"/>
      <c r="AV1628" s="848"/>
      <c r="AW1628" s="848"/>
      <c r="AX1628" s="848"/>
      <c r="AY1628" s="848"/>
      <c r="AZ1628" s="848"/>
      <c r="BA1628" s="848"/>
      <c r="BB1628" s="848"/>
      <c r="BC1628" s="848"/>
      <c r="BD1628" s="848"/>
      <c r="BE1628" s="848"/>
      <c r="BF1628" s="848"/>
      <c r="BG1628" s="848"/>
      <c r="BH1628" s="848"/>
      <c r="BJ1628" s="1184" t="s">
        <v>4763</v>
      </c>
    </row>
    <row r="1629" spans="1:62" x14ac:dyDescent="0.3">
      <c r="A1629" s="1200">
        <v>9</v>
      </c>
      <c r="B1629" s="1210">
        <v>901.4</v>
      </c>
      <c r="C1629" s="1203"/>
      <c r="D1629" s="1203"/>
      <c r="E1629" s="1203" t="s">
        <v>275</v>
      </c>
      <c r="F1629" s="1203"/>
      <c r="G1629" s="1202" t="str">
        <f t="shared" ca="1" si="543"/>
        <v>P</v>
      </c>
      <c r="H1629" s="1200" t="s">
        <v>4386</v>
      </c>
      <c r="I1629" s="576"/>
      <c r="J1629" s="231" t="s">
        <v>275</v>
      </c>
      <c r="K1629" s="238"/>
      <c r="L1629" s="862" t="s">
        <v>3390</v>
      </c>
      <c r="M1629" s="857">
        <v>2</v>
      </c>
      <c r="N1629" s="854"/>
      <c r="O1629" s="854"/>
      <c r="P1629" s="97"/>
      <c r="Q1629" s="97"/>
      <c r="R1629" s="97"/>
      <c r="S1629" s="97"/>
      <c r="T1629" s="97"/>
      <c r="U1629" s="97"/>
      <c r="V1629" s="97"/>
      <c r="W1629" s="97"/>
      <c r="X1629" s="1295"/>
      <c r="Y1629" s="1523"/>
      <c r="Z1629" s="1583"/>
      <c r="AB1629" s="848"/>
      <c r="AC1629" s="848"/>
      <c r="AD1629" s="848"/>
      <c r="AE1629" s="848"/>
      <c r="AF1629" s="848"/>
      <c r="AG1629" s="848"/>
      <c r="AH1629" s="848"/>
      <c r="AI1629" s="848"/>
      <c r="AJ1629" s="848"/>
      <c r="AK1629" s="848"/>
      <c r="AL1629" s="311" t="str">
        <f t="shared" ref="AL1629:AL1631" si="545">SUBSTITUTE(SUBSTITUTE(SUBSTITUTE("vpa"&amp;$B1629&amp;$C1629&amp;$D1629&amp;$E1629&amp;$F1629,".","_"),"(","_"),")","")</f>
        <v>vpa901_4_3</v>
      </c>
      <c r="AM1629" s="311">
        <f>M1629</f>
        <v>2</v>
      </c>
      <c r="AN1629" s="848"/>
      <c r="AO1629" s="848"/>
      <c r="AP1629" s="848"/>
      <c r="AQ1629" s="848"/>
      <c r="AR1629" s="848"/>
      <c r="AS1629" s="848"/>
      <c r="AT1629" s="848"/>
      <c r="AU1629" s="848"/>
      <c r="AV1629" s="848"/>
      <c r="AW1629" s="848"/>
      <c r="AX1629" s="848"/>
      <c r="AY1629" s="848"/>
      <c r="AZ1629" s="848"/>
      <c r="BA1629" s="848"/>
      <c r="BB1629" s="848"/>
      <c r="BC1629" s="848"/>
      <c r="BD1629" s="848"/>
      <c r="BE1629" s="848"/>
      <c r="BF1629" s="848"/>
      <c r="BG1629" s="848"/>
      <c r="BH1629" s="848"/>
      <c r="BJ1629" s="1184" t="s">
        <v>4763</v>
      </c>
    </row>
    <row r="1630" spans="1:62" x14ac:dyDescent="0.3">
      <c r="A1630" s="1200">
        <v>9</v>
      </c>
      <c r="B1630" s="1210">
        <v>901.4</v>
      </c>
      <c r="C1630" s="1203"/>
      <c r="D1630" s="1203"/>
      <c r="E1630" s="1203" t="s">
        <v>285</v>
      </c>
      <c r="F1630" s="1203"/>
      <c r="G1630" s="1202" t="str">
        <f t="shared" ca="1" si="543"/>
        <v>P</v>
      </c>
      <c r="H1630" s="1200" t="s">
        <v>4386</v>
      </c>
      <c r="I1630" s="576"/>
      <c r="J1630" s="231" t="s">
        <v>285</v>
      </c>
      <c r="K1630" s="238"/>
      <c r="L1630" s="862" t="s">
        <v>3391</v>
      </c>
      <c r="M1630" s="857">
        <v>3</v>
      </c>
      <c r="N1630" s="854"/>
      <c r="O1630" s="854"/>
      <c r="P1630" s="97"/>
      <c r="Q1630" s="97"/>
      <c r="R1630" s="97"/>
      <c r="S1630" s="97"/>
      <c r="T1630" s="97"/>
      <c r="U1630" s="97"/>
      <c r="V1630" s="97"/>
      <c r="W1630" s="97"/>
      <c r="X1630" s="1295"/>
      <c r="Y1630" s="1523"/>
      <c r="Z1630" s="1583"/>
      <c r="AB1630" s="848"/>
      <c r="AC1630" s="848"/>
      <c r="AD1630" s="848"/>
      <c r="AE1630" s="848"/>
      <c r="AF1630" s="848"/>
      <c r="AG1630" s="848"/>
      <c r="AH1630" s="848"/>
      <c r="AI1630" s="848"/>
      <c r="AJ1630" s="848"/>
      <c r="AK1630" s="848"/>
      <c r="AL1630" s="311" t="str">
        <f t="shared" si="545"/>
        <v>vpa901_4_4</v>
      </c>
      <c r="AM1630" s="311">
        <f>M1630</f>
        <v>3</v>
      </c>
      <c r="AN1630" s="848"/>
      <c r="AO1630" s="848"/>
      <c r="AP1630" s="848"/>
      <c r="AQ1630" s="848"/>
      <c r="AR1630" s="848"/>
      <c r="AS1630" s="848"/>
      <c r="AT1630" s="848"/>
      <c r="AU1630" s="848"/>
      <c r="AV1630" s="848"/>
      <c r="AW1630" s="848"/>
      <c r="AX1630" s="848"/>
      <c r="AY1630" s="848"/>
      <c r="AZ1630" s="848"/>
      <c r="BA1630" s="848"/>
      <c r="BB1630" s="848"/>
      <c r="BC1630" s="848"/>
      <c r="BD1630" s="848"/>
      <c r="BE1630" s="848"/>
      <c r="BF1630" s="848"/>
      <c r="BG1630" s="848"/>
      <c r="BH1630" s="848"/>
      <c r="BJ1630" s="1184" t="s">
        <v>4763</v>
      </c>
    </row>
    <row r="1631" spans="1:62" x14ac:dyDescent="0.3">
      <c r="A1631" s="1200">
        <v>9</v>
      </c>
      <c r="B1631" s="1210">
        <v>901.4</v>
      </c>
      <c r="C1631" s="1203"/>
      <c r="D1631" s="1203"/>
      <c r="E1631" s="1203" t="s">
        <v>291</v>
      </c>
      <c r="F1631" s="1203"/>
      <c r="G1631" s="1202" t="str">
        <f t="shared" ca="1" si="543"/>
        <v>P</v>
      </c>
      <c r="H1631" s="1200" t="s">
        <v>4386</v>
      </c>
      <c r="I1631" s="576"/>
      <c r="J1631" s="203" t="s">
        <v>291</v>
      </c>
      <c r="K1631" s="140"/>
      <c r="L1631" s="1305" t="s">
        <v>3392</v>
      </c>
      <c r="M1631" s="1318">
        <v>4</v>
      </c>
      <c r="N1631" s="854"/>
      <c r="O1631" s="854"/>
      <c r="P1631" s="97"/>
      <c r="Q1631" s="97"/>
      <c r="R1631" s="97"/>
      <c r="S1631" s="97"/>
      <c r="T1631" s="97"/>
      <c r="U1631" s="97"/>
      <c r="V1631" s="97"/>
      <c r="W1631" s="97"/>
      <c r="X1631" s="1295"/>
      <c r="Y1631" s="1523"/>
      <c r="Z1631" s="1583"/>
      <c r="AB1631" s="848"/>
      <c r="AC1631" s="848"/>
      <c r="AD1631" s="848"/>
      <c r="AE1631" s="848"/>
      <c r="AF1631" s="848"/>
      <c r="AG1631" s="848"/>
      <c r="AH1631" s="848"/>
      <c r="AI1631" s="848"/>
      <c r="AJ1631" s="848"/>
      <c r="AK1631" s="848"/>
      <c r="AL1631" s="311" t="str">
        <f t="shared" si="545"/>
        <v>vpa901_4_5</v>
      </c>
      <c r="AM1631" s="311">
        <f>M1631</f>
        <v>4</v>
      </c>
      <c r="AN1631" s="848"/>
      <c r="AO1631" s="848"/>
      <c r="AP1631" s="848"/>
      <c r="AQ1631" s="848"/>
      <c r="AR1631" s="848"/>
      <c r="AS1631" s="848"/>
      <c r="AT1631" s="848"/>
      <c r="AU1631" s="848"/>
      <c r="AV1631" s="848"/>
      <c r="AW1631" s="848"/>
      <c r="AX1631" s="848"/>
      <c r="AY1631" s="848"/>
      <c r="AZ1631" s="848"/>
      <c r="BA1631" s="848"/>
      <c r="BB1631" s="848"/>
      <c r="BC1631" s="848"/>
      <c r="BD1631" s="848"/>
      <c r="BE1631" s="848"/>
      <c r="BF1631" s="848"/>
      <c r="BG1631" s="848"/>
      <c r="BH1631" s="848"/>
      <c r="BJ1631" s="1184" t="s">
        <v>4763</v>
      </c>
    </row>
    <row r="1632" spans="1:62" x14ac:dyDescent="0.3">
      <c r="A1632" s="1200">
        <v>9</v>
      </c>
      <c r="B1632" s="1210">
        <v>901.4</v>
      </c>
      <c r="C1632" s="1203"/>
      <c r="D1632" s="1203"/>
      <c r="E1632" s="1203" t="s">
        <v>291</v>
      </c>
      <c r="F1632" s="1203"/>
      <c r="G1632" s="1202" t="str">
        <f t="shared" ca="1" si="543"/>
        <v>P</v>
      </c>
      <c r="H1632" s="1200" t="s">
        <v>4386</v>
      </c>
      <c r="I1632" s="576"/>
      <c r="J1632" s="231"/>
      <c r="K1632" s="238"/>
      <c r="L1632" s="1306"/>
      <c r="M1632" s="1319"/>
      <c r="N1632" s="854"/>
      <c r="O1632" s="854"/>
      <c r="P1632" s="97"/>
      <c r="Q1632" s="97"/>
      <c r="R1632" s="97"/>
      <c r="S1632" s="97"/>
      <c r="T1632" s="97"/>
      <c r="U1632" s="97"/>
      <c r="V1632" s="97"/>
      <c r="W1632" s="97"/>
      <c r="X1632" s="1295"/>
      <c r="Y1632" s="1523"/>
      <c r="Z1632" s="1583"/>
      <c r="AB1632" s="848"/>
      <c r="AC1632" s="848"/>
      <c r="AD1632" s="848"/>
      <c r="AE1632" s="848"/>
      <c r="AF1632" s="848"/>
      <c r="AG1632" s="848"/>
      <c r="AH1632" s="848"/>
      <c r="AI1632" s="848"/>
      <c r="AJ1632" s="848"/>
      <c r="AK1632" s="848"/>
      <c r="AL1632" s="848"/>
      <c r="AM1632" s="848"/>
      <c r="AN1632" s="848"/>
      <c r="AO1632" s="848"/>
      <c r="AP1632" s="848"/>
      <c r="AQ1632" s="848"/>
      <c r="AR1632" s="848"/>
      <c r="AS1632" s="848"/>
      <c r="AT1632" s="848"/>
      <c r="AU1632" s="848"/>
      <c r="AV1632" s="848"/>
      <c r="AW1632" s="848"/>
      <c r="AX1632" s="848"/>
      <c r="AY1632" s="848"/>
      <c r="AZ1632" s="848"/>
      <c r="BA1632" s="848"/>
      <c r="BB1632" s="848"/>
      <c r="BC1632" s="848"/>
      <c r="BD1632" s="848"/>
      <c r="BE1632" s="848"/>
      <c r="BF1632" s="848"/>
      <c r="BG1632" s="848"/>
      <c r="BH1632" s="848"/>
      <c r="BJ1632" s="1184" t="s">
        <v>4763</v>
      </c>
    </row>
    <row r="1633" spans="1:62" ht="15" thickBot="1" x14ac:dyDescent="0.35">
      <c r="A1633" s="1200">
        <v>9</v>
      </c>
      <c r="B1633" s="1210">
        <v>901.4</v>
      </c>
      <c r="C1633" s="1203"/>
      <c r="D1633" s="1203"/>
      <c r="E1633" s="1203" t="s">
        <v>293</v>
      </c>
      <c r="F1633" s="1203"/>
      <c r="G1633" s="1202" t="str">
        <f t="shared" ca="1" si="543"/>
        <v>P</v>
      </c>
      <c r="H1633" s="1200" t="s">
        <v>4386</v>
      </c>
      <c r="I1633" s="577"/>
      <c r="J1633" s="213" t="s">
        <v>293</v>
      </c>
      <c r="K1633" s="270"/>
      <c r="L1633" s="869" t="s">
        <v>3393</v>
      </c>
      <c r="M1633" s="865">
        <v>4</v>
      </c>
      <c r="N1633" s="858"/>
      <c r="O1633" s="858"/>
      <c r="P1633" s="104"/>
      <c r="Q1633" s="104"/>
      <c r="R1633" s="104"/>
      <c r="S1633" s="104"/>
      <c r="T1633" s="104"/>
      <c r="U1633" s="104"/>
      <c r="V1633" s="104"/>
      <c r="W1633" s="104"/>
      <c r="X1633" s="1296"/>
      <c r="Y1633" s="1524"/>
      <c r="Z1633" s="1584"/>
      <c r="AB1633" s="848"/>
      <c r="AC1633" s="848"/>
      <c r="AD1633" s="848"/>
      <c r="AE1633" s="848"/>
      <c r="AF1633" s="848"/>
      <c r="AG1633" s="848"/>
      <c r="AH1633" s="848"/>
      <c r="AI1633" s="848"/>
      <c r="AJ1633" s="848"/>
      <c r="AK1633" s="848"/>
      <c r="AL1633" s="311" t="str">
        <f t="shared" ref="AL1633" si="546">SUBSTITUTE(SUBSTITUTE(SUBSTITUTE("vpa"&amp;$B1633&amp;$C1633&amp;$D1633&amp;$E1633&amp;$F1633,".","_"),"(","_"),")","")</f>
        <v>vpa901_4_6</v>
      </c>
      <c r="AM1633" s="311">
        <f>M1633</f>
        <v>4</v>
      </c>
      <c r="AN1633" s="848"/>
      <c r="AO1633" s="848"/>
      <c r="AP1633" s="848"/>
      <c r="AQ1633" s="848"/>
      <c r="AR1633" s="848"/>
      <c r="AS1633" s="848"/>
      <c r="AT1633" s="848"/>
      <c r="AU1633" s="848"/>
      <c r="AV1633" s="848"/>
      <c r="AW1633" s="848"/>
      <c r="AX1633" s="848"/>
      <c r="AY1633" s="848"/>
      <c r="AZ1633" s="848"/>
      <c r="BA1633" s="848"/>
      <c r="BB1633" s="848"/>
      <c r="BC1633" s="848"/>
      <c r="BD1633" s="848"/>
      <c r="BE1633" s="848"/>
      <c r="BF1633" s="848"/>
      <c r="BG1633" s="848"/>
      <c r="BH1633" s="848"/>
      <c r="BJ1633" s="1184" t="s">
        <v>4763</v>
      </c>
    </row>
    <row r="1634" spans="1:62" ht="15" thickTop="1" x14ac:dyDescent="0.3">
      <c r="A1634" s="1200">
        <v>9</v>
      </c>
      <c r="B1634" s="1210">
        <v>901.5</v>
      </c>
      <c r="C1634" s="1203"/>
      <c r="D1634" s="1203"/>
      <c r="E1634" s="1203"/>
      <c r="F1634" s="1203"/>
      <c r="G1634" s="1196" t="str">
        <f>IF(COUNTIF(G1637:G1639,"P")&gt;0,"P","")</f>
        <v/>
      </c>
      <c r="H1634" s="1200" t="s">
        <v>4388</v>
      </c>
      <c r="I1634" s="66">
        <v>901.5</v>
      </c>
      <c r="J1634" s="4"/>
      <c r="K1634" s="4"/>
      <c r="L1634" s="1292" t="s">
        <v>3394</v>
      </c>
      <c r="M1634" s="866"/>
      <c r="N1634" s="850"/>
      <c r="O1634" s="850"/>
      <c r="P1634" s="848"/>
      <c r="Q1634" s="848"/>
      <c r="R1634" s="848"/>
      <c r="S1634" s="848"/>
      <c r="T1634" s="848"/>
      <c r="U1634" s="848"/>
      <c r="V1634" s="848"/>
      <c r="W1634" s="848"/>
      <c r="X1634" s="848"/>
      <c r="Y1634" s="848"/>
      <c r="Z1634" s="1055"/>
      <c r="AB1634" s="848"/>
      <c r="AC1634" s="848"/>
      <c r="AD1634" s="848"/>
      <c r="AE1634" s="848"/>
      <c r="AF1634" s="848"/>
      <c r="AG1634" s="848"/>
      <c r="AH1634" s="848"/>
      <c r="AI1634" s="848"/>
      <c r="AJ1634" s="848"/>
      <c r="AK1634" s="848"/>
      <c r="AL1634" s="848"/>
      <c r="AM1634" s="848"/>
      <c r="AN1634" s="848"/>
      <c r="AO1634" s="848"/>
      <c r="AP1634" s="848"/>
      <c r="AQ1634" s="848"/>
      <c r="AR1634" s="848"/>
      <c r="AS1634" s="848"/>
      <c r="AT1634" s="848"/>
      <c r="AU1634" s="848"/>
      <c r="AV1634" s="848"/>
      <c r="AW1634" s="848"/>
      <c r="AX1634" s="848"/>
      <c r="AY1634" s="848"/>
      <c r="AZ1634" s="848"/>
      <c r="BA1634" s="848"/>
      <c r="BB1634" s="848"/>
      <c r="BC1634" s="848"/>
      <c r="BD1634" s="848"/>
      <c r="BE1634" s="848"/>
      <c r="BF1634" s="848"/>
      <c r="BG1634" s="848"/>
      <c r="BH1634" s="848"/>
      <c r="BJ1634" s="1184" t="s">
        <v>4763</v>
      </c>
    </row>
    <row r="1635" spans="1:62" x14ac:dyDescent="0.3">
      <c r="A1635" s="1200">
        <v>9</v>
      </c>
      <c r="B1635" s="1210">
        <v>901.5</v>
      </c>
      <c r="C1635" s="1203"/>
      <c r="D1635" s="1203"/>
      <c r="E1635" s="1203"/>
      <c r="F1635" s="1203"/>
      <c r="G1635" s="1202" t="str">
        <f t="shared" ref="G1635:G1636" si="547">G1634</f>
        <v/>
      </c>
      <c r="H1635" s="1200" t="s">
        <v>4388</v>
      </c>
      <c r="I1635" s="182"/>
      <c r="J1635" s="4"/>
      <c r="K1635" s="4"/>
      <c r="L1635" s="1292"/>
      <c r="M1635" s="866"/>
      <c r="N1635" s="850"/>
      <c r="O1635" s="850"/>
      <c r="P1635" s="848"/>
      <c r="Q1635" s="848"/>
      <c r="R1635" s="848"/>
      <c r="S1635" s="848"/>
      <c r="T1635" s="848"/>
      <c r="U1635" s="848"/>
      <c r="V1635" s="848"/>
      <c r="W1635" s="848"/>
      <c r="X1635" s="848"/>
      <c r="Y1635" s="848"/>
      <c r="Z1635" s="1055"/>
      <c r="AB1635" s="848"/>
      <c r="AC1635" s="848"/>
      <c r="AD1635" s="848"/>
      <c r="AE1635" s="848"/>
      <c r="AF1635" s="848"/>
      <c r="AG1635" s="848"/>
      <c r="AH1635" s="848"/>
      <c r="AI1635" s="848"/>
      <c r="AJ1635" s="848"/>
      <c r="AK1635" s="848"/>
      <c r="AL1635" s="848"/>
      <c r="AM1635" s="848"/>
      <c r="AN1635" s="848"/>
      <c r="AO1635" s="848"/>
      <c r="AP1635" s="848"/>
      <c r="AQ1635" s="848"/>
      <c r="AR1635" s="848"/>
      <c r="AS1635" s="848"/>
      <c r="AT1635" s="848"/>
      <c r="AU1635" s="848"/>
      <c r="AV1635" s="848"/>
      <c r="AW1635" s="848"/>
      <c r="AX1635" s="848"/>
      <c r="AY1635" s="848"/>
      <c r="AZ1635" s="848"/>
      <c r="BA1635" s="848"/>
      <c r="BB1635" s="848"/>
      <c r="BC1635" s="848"/>
      <c r="BD1635" s="848"/>
      <c r="BE1635" s="848"/>
      <c r="BF1635" s="848"/>
      <c r="BG1635" s="848"/>
      <c r="BH1635" s="848"/>
      <c r="BJ1635" s="1184" t="s">
        <v>4763</v>
      </c>
    </row>
    <row r="1636" spans="1:62" x14ac:dyDescent="0.3">
      <c r="A1636" s="1200">
        <v>9</v>
      </c>
      <c r="B1636" s="1210">
        <v>901.5</v>
      </c>
      <c r="C1636" s="1203"/>
      <c r="D1636" s="1203"/>
      <c r="E1636" s="1203"/>
      <c r="F1636" s="1203"/>
      <c r="G1636" s="1202" t="str">
        <f t="shared" si="547"/>
        <v/>
      </c>
      <c r="H1636" s="1200" t="s">
        <v>4388</v>
      </c>
      <c r="I1636" s="182"/>
      <c r="J1636" s="4"/>
      <c r="K1636" s="4"/>
      <c r="L1636" s="870" t="s">
        <v>3395</v>
      </c>
      <c r="M1636" s="866"/>
      <c r="N1636" s="850"/>
      <c r="O1636" s="850"/>
      <c r="P1636" s="848"/>
      <c r="Q1636" s="848"/>
      <c r="R1636" s="848"/>
      <c r="S1636" s="848"/>
      <c r="T1636" s="848"/>
      <c r="U1636" s="848"/>
      <c r="V1636" s="848"/>
      <c r="W1636" s="848"/>
      <c r="X1636" s="848"/>
      <c r="Y1636" s="848"/>
      <c r="Z1636" s="1055"/>
      <c r="AB1636" s="848"/>
      <c r="AC1636" s="848"/>
      <c r="AD1636" s="848"/>
      <c r="AE1636" s="848"/>
      <c r="AF1636" s="848"/>
      <c r="AG1636" s="848"/>
      <c r="AH1636" s="848"/>
      <c r="AI1636" s="848"/>
      <c r="AJ1636" s="848"/>
      <c r="AK1636" s="848"/>
      <c r="AL1636" s="848"/>
      <c r="AM1636" s="848"/>
      <c r="AN1636" s="848"/>
      <c r="AO1636" s="848"/>
      <c r="AP1636" s="848"/>
      <c r="AQ1636" s="848"/>
      <c r="AR1636" s="848"/>
      <c r="AS1636" s="848"/>
      <c r="AT1636" s="848"/>
      <c r="AU1636" s="848"/>
      <c r="AV1636" s="848"/>
      <c r="AW1636" s="848"/>
      <c r="AX1636" s="848"/>
      <c r="AY1636" s="848"/>
      <c r="AZ1636" s="848"/>
      <c r="BA1636" s="848"/>
      <c r="BB1636" s="848"/>
      <c r="BC1636" s="848"/>
      <c r="BD1636" s="848"/>
      <c r="BE1636" s="848"/>
      <c r="BF1636" s="848"/>
      <c r="BG1636" s="848"/>
      <c r="BH1636" s="848"/>
      <c r="BJ1636" s="1184" t="s">
        <v>4763</v>
      </c>
    </row>
    <row r="1637" spans="1:62" x14ac:dyDescent="0.3">
      <c r="A1637" s="1200">
        <v>9</v>
      </c>
      <c r="B1637" s="1210">
        <v>901.5</v>
      </c>
      <c r="C1637" s="1203"/>
      <c r="D1637" s="1203"/>
      <c r="E1637" s="1203" t="s">
        <v>271</v>
      </c>
      <c r="F1637" s="1203"/>
      <c r="G1637" s="1202" t="str">
        <f>IF(N1637&gt;0,"P","")</f>
        <v/>
      </c>
      <c r="H1637" s="1200" t="s">
        <v>4388</v>
      </c>
      <c r="I1637" s="182"/>
      <c r="J1637" s="203" t="s">
        <v>271</v>
      </c>
      <c r="K1637" s="140"/>
      <c r="L1637" s="1305" t="s">
        <v>3396</v>
      </c>
      <c r="M1637" s="1318">
        <v>5</v>
      </c>
      <c r="N1637" s="1308">
        <f>'Ch9'!O90</f>
        <v>0</v>
      </c>
      <c r="O1637" s="1308">
        <f>M1637*S1637*W1637</f>
        <v>0</v>
      </c>
      <c r="P1637" s="97" t="b">
        <v>0</v>
      </c>
      <c r="Q1637" s="97" t="b">
        <v>1</v>
      </c>
      <c r="R1637" s="848" t="b">
        <v>0</v>
      </c>
      <c r="S1637" s="848" t="b">
        <v>1</v>
      </c>
      <c r="T1637" s="848" t="b">
        <v>0</v>
      </c>
      <c r="U1637" s="848"/>
      <c r="V1637" s="848"/>
      <c r="W1637" s="25"/>
      <c r="X1637" s="1303"/>
      <c r="Y1637" s="1522" t="str">
        <f>IF(LEN('Ch9'!X90)=0,"None",'Ch9'!X90)</f>
        <v>None</v>
      </c>
      <c r="Z1637" s="1586"/>
      <c r="AB1637" s="848"/>
      <c r="AC1637" s="848" t="b">
        <f>OR(AD1637:AE1637)</f>
        <v>0</v>
      </c>
      <c r="AD1637" s="848" t="b">
        <f>T1637</f>
        <v>0</v>
      </c>
      <c r="AE1637" s="848" t="b">
        <f>AND(R1637,NOT(W1637))</f>
        <v>0</v>
      </c>
      <c r="AF1637" s="1182" t="b">
        <f>AND(AE1637,NOT(Q1637))</f>
        <v>0</v>
      </c>
      <c r="AG1637" s="848"/>
      <c r="AH1637" s="848"/>
      <c r="AI1637" s="848"/>
      <c r="AJ1637" s="848"/>
      <c r="AK1637" s="848"/>
      <c r="AL1637" s="311" t="str">
        <f t="shared" ref="AL1637" si="548">SUBSTITUTE(SUBSTITUTE(SUBSTITUTE("vpa"&amp;$B1637&amp;$C1637&amp;$D1637&amp;$E1637&amp;$F1637,".","_"),"(","_"),")","")</f>
        <v>vpa901_5_1</v>
      </c>
      <c r="AM1637" s="311">
        <f>M1637</f>
        <v>5</v>
      </c>
      <c r="AN1637" s="311" t="str">
        <f>SUBSTITUTE(SUBSTITUTE(SUBSTITUTE("vpc"&amp;$B1637&amp;$C1637&amp;$D1637&amp;$E1637&amp;$F1637,".","_"),"(","_"),")","")</f>
        <v>vpc901_5_1</v>
      </c>
      <c r="AO1637" s="311">
        <f>O1637</f>
        <v>0</v>
      </c>
      <c r="AP1637" s="311" t="str">
        <f>SUBSTITUTE(SUBSTITUTE(SUBSTITUTE("vch"&amp;$B1637&amp;$C1637&amp;$D1637&amp;$E1637&amp;$F1637,".","_"),"(","_"),")","")</f>
        <v>vch901_5_1</v>
      </c>
      <c r="AQ1637" s="311">
        <f>W1637</f>
        <v>0</v>
      </c>
      <c r="AR1637" s="311" t="str">
        <f>SUBSTITUTE(SUBSTITUTE(SUBSTITUTE("vnt"&amp;$B1637&amp;$C1637&amp;$D1637&amp;$E1637&amp;$F1637,".","_"),"(","_"),")","")</f>
        <v>vnt901_5_1</v>
      </c>
      <c r="AS1637" s="311">
        <f>X1637</f>
        <v>0</v>
      </c>
      <c r="AT1637" s="848"/>
      <c r="AU1637" s="848"/>
      <c r="AV1637" s="848"/>
      <c r="AW1637" s="848"/>
      <c r="AX1637" s="848"/>
      <c r="AY1637" s="848"/>
      <c r="AZ1637" s="848"/>
      <c r="BA1637" s="848"/>
      <c r="BB1637" s="848"/>
      <c r="BC1637" s="848"/>
      <c r="BD1637" s="848"/>
      <c r="BE1637" s="848"/>
      <c r="BF1637" s="848"/>
      <c r="BG1637" s="848"/>
      <c r="BH1637" s="848"/>
      <c r="BJ1637" s="1184" t="s">
        <v>4763</v>
      </c>
    </row>
    <row r="1638" spans="1:62" x14ac:dyDescent="0.3">
      <c r="A1638" s="1200">
        <v>9</v>
      </c>
      <c r="B1638" s="1210">
        <v>901.5</v>
      </c>
      <c r="C1638" s="1203"/>
      <c r="D1638" s="1203"/>
      <c r="E1638" s="1203" t="s">
        <v>271</v>
      </c>
      <c r="F1638" s="1203"/>
      <c r="G1638" s="1202" t="str">
        <f t="shared" ref="G1638" si="549">G1637</f>
        <v/>
      </c>
      <c r="H1638" s="1200" t="s">
        <v>4388</v>
      </c>
      <c r="I1638" s="182"/>
      <c r="J1638" s="238"/>
      <c r="K1638" s="238"/>
      <c r="L1638" s="1306"/>
      <c r="M1638" s="1319"/>
      <c r="N1638" s="1309"/>
      <c r="O1638" s="1309"/>
      <c r="P1638" s="848"/>
      <c r="Q1638" s="848"/>
      <c r="R1638" s="848"/>
      <c r="S1638" s="848"/>
      <c r="T1638" s="848"/>
      <c r="U1638" s="848"/>
      <c r="V1638" s="848"/>
      <c r="W1638" s="848"/>
      <c r="X1638" s="1303"/>
      <c r="Y1638" s="1522"/>
      <c r="Z1638" s="1586"/>
      <c r="AB1638" s="848"/>
      <c r="AC1638" s="848"/>
      <c r="AD1638" s="848"/>
      <c r="AE1638" s="848"/>
      <c r="AF1638" s="848"/>
      <c r="AG1638" s="848"/>
      <c r="AH1638" s="848"/>
      <c r="AI1638" s="848"/>
      <c r="AJ1638" s="848"/>
      <c r="AK1638" s="848"/>
      <c r="AL1638" s="848"/>
      <c r="AM1638" s="848"/>
      <c r="AN1638" s="848"/>
      <c r="AO1638" s="848"/>
      <c r="AP1638" s="848"/>
      <c r="AQ1638" s="848"/>
      <c r="AR1638" s="848"/>
      <c r="AS1638" s="848"/>
      <c r="AT1638" s="848"/>
      <c r="AU1638" s="848"/>
      <c r="AV1638" s="848"/>
      <c r="AW1638" s="848"/>
      <c r="AX1638" s="848"/>
      <c r="AY1638" s="848"/>
      <c r="AZ1638" s="848"/>
      <c r="BA1638" s="848"/>
      <c r="BB1638" s="848"/>
      <c r="BC1638" s="848"/>
      <c r="BD1638" s="848"/>
      <c r="BE1638" s="848"/>
      <c r="BF1638" s="848"/>
      <c r="BG1638" s="848"/>
      <c r="BH1638" s="848"/>
      <c r="BJ1638" s="1184" t="s">
        <v>4763</v>
      </c>
    </row>
    <row r="1639" spans="1:62" x14ac:dyDescent="0.3">
      <c r="A1639" s="1200">
        <v>9</v>
      </c>
      <c r="B1639" s="1210">
        <v>901.5</v>
      </c>
      <c r="C1639" s="1203"/>
      <c r="D1639" s="1203"/>
      <c r="E1639" s="1203" t="s">
        <v>273</v>
      </c>
      <c r="F1639" s="1203"/>
      <c r="G1639" s="1202" t="str">
        <f>IF(N1639&gt;0,"P","")</f>
        <v/>
      </c>
      <c r="H1639" s="1200" t="s">
        <v>4388</v>
      </c>
      <c r="I1639" s="576"/>
      <c r="J1639" s="203" t="s">
        <v>273</v>
      </c>
      <c r="K1639" s="140"/>
      <c r="L1639" s="1305" t="s">
        <v>3397</v>
      </c>
      <c r="M1639" s="1318">
        <v>3</v>
      </c>
      <c r="N1639" s="1308">
        <f>'Ch9'!O92</f>
        <v>0</v>
      </c>
      <c r="O1639" s="1308">
        <f>M1639*S1639*W1639</f>
        <v>0</v>
      </c>
      <c r="P1639" s="97" t="b">
        <v>0</v>
      </c>
      <c r="Q1639" s="97" t="b">
        <v>1</v>
      </c>
      <c r="R1639" s="97" t="b">
        <v>0</v>
      </c>
      <c r="S1639" s="97" t="b">
        <v>1</v>
      </c>
      <c r="T1639" s="97" t="b">
        <v>0</v>
      </c>
      <c r="U1639" s="97"/>
      <c r="V1639" s="97"/>
      <c r="W1639" s="25"/>
      <c r="X1639" s="1295"/>
      <c r="Y1639" s="1523" t="str">
        <f>IF(LEN('Ch9'!X92)=0,"None",'Ch9'!X92)</f>
        <v>None</v>
      </c>
      <c r="Z1639" s="1583"/>
      <c r="AB1639" s="848"/>
      <c r="AC1639" s="848" t="b">
        <f>OR(AD1639:AE1639)</f>
        <v>0</v>
      </c>
      <c r="AD1639" s="848" t="b">
        <f>T1639</f>
        <v>0</v>
      </c>
      <c r="AE1639" s="848" t="b">
        <f>AND(R1639,NOT(W1639))</f>
        <v>0</v>
      </c>
      <c r="AF1639" s="1182" t="b">
        <f>AND(AE1639,NOT(Q1639))</f>
        <v>0</v>
      </c>
      <c r="AG1639" s="848"/>
      <c r="AH1639" s="848"/>
      <c r="AI1639" s="848"/>
      <c r="AJ1639" s="848"/>
      <c r="AK1639" s="848"/>
      <c r="AL1639" s="311" t="str">
        <f t="shared" ref="AL1639" si="550">SUBSTITUTE(SUBSTITUTE(SUBSTITUTE("vpa"&amp;$B1639&amp;$C1639&amp;$D1639&amp;$E1639&amp;$F1639,".","_"),"(","_"),")","")</f>
        <v>vpa901_5_2</v>
      </c>
      <c r="AM1639" s="311">
        <f>M1639</f>
        <v>3</v>
      </c>
      <c r="AN1639" s="311" t="str">
        <f>SUBSTITUTE(SUBSTITUTE(SUBSTITUTE("vpc"&amp;$B1639&amp;$C1639&amp;$D1639&amp;$E1639&amp;$F1639,".","_"),"(","_"),")","")</f>
        <v>vpc901_5_2</v>
      </c>
      <c r="AO1639" s="311">
        <f>O1639</f>
        <v>0</v>
      </c>
      <c r="AP1639" s="311" t="str">
        <f>SUBSTITUTE(SUBSTITUTE(SUBSTITUTE("vch"&amp;$B1639&amp;$C1639&amp;$D1639&amp;$E1639&amp;$F1639,".","_"),"(","_"),")","")</f>
        <v>vch901_5_2</v>
      </c>
      <c r="AQ1639" s="311">
        <f>W1639</f>
        <v>0</v>
      </c>
      <c r="AR1639" s="311" t="str">
        <f>SUBSTITUTE(SUBSTITUTE(SUBSTITUTE("vnt"&amp;$B1639&amp;$C1639&amp;$D1639&amp;$E1639&amp;$F1639,".","_"),"(","_"),")","")</f>
        <v>vnt901_5_2</v>
      </c>
      <c r="AS1639" s="311">
        <f>X1639</f>
        <v>0</v>
      </c>
      <c r="AT1639" s="848"/>
      <c r="AU1639" s="848"/>
      <c r="AV1639" s="848"/>
      <c r="AW1639" s="848"/>
      <c r="AX1639" s="848"/>
      <c r="AY1639" s="848"/>
      <c r="AZ1639" s="848"/>
      <c r="BA1639" s="848"/>
      <c r="BB1639" s="848"/>
      <c r="BC1639" s="848"/>
      <c r="BD1639" s="848"/>
      <c r="BE1639" s="848"/>
      <c r="BF1639" s="848"/>
      <c r="BG1639" s="848"/>
      <c r="BH1639" s="848"/>
      <c r="BJ1639" s="1184" t="s">
        <v>4763</v>
      </c>
    </row>
    <row r="1640" spans="1:62" x14ac:dyDescent="0.3">
      <c r="A1640" s="1200">
        <v>9</v>
      </c>
      <c r="B1640" s="1210">
        <v>901.5</v>
      </c>
      <c r="C1640" s="1203"/>
      <c r="D1640" s="1203"/>
      <c r="E1640" s="1203" t="s">
        <v>273</v>
      </c>
      <c r="F1640" s="1203"/>
      <c r="G1640" s="1202" t="str">
        <f t="shared" ref="G1640:G1641" si="551">G1639</f>
        <v/>
      </c>
      <c r="H1640" s="1200" t="s">
        <v>4388</v>
      </c>
      <c r="I1640" s="576"/>
      <c r="J1640" s="140"/>
      <c r="K1640" s="140"/>
      <c r="L1640" s="1305"/>
      <c r="M1640" s="1318"/>
      <c r="N1640" s="1308"/>
      <c r="O1640" s="1308"/>
      <c r="P1640" s="97"/>
      <c r="Q1640" s="97"/>
      <c r="R1640" s="97"/>
      <c r="S1640" s="97"/>
      <c r="T1640" s="97"/>
      <c r="U1640" s="97"/>
      <c r="V1640" s="97"/>
      <c r="W1640" s="97"/>
      <c r="X1640" s="1295"/>
      <c r="Y1640" s="1523"/>
      <c r="Z1640" s="1583"/>
      <c r="AB1640" s="848"/>
      <c r="AC1640" s="848"/>
      <c r="AD1640" s="848"/>
      <c r="AE1640" s="848"/>
      <c r="AF1640" s="848"/>
      <c r="AG1640" s="848"/>
      <c r="AH1640" s="848"/>
      <c r="AI1640" s="848"/>
      <c r="AJ1640" s="848"/>
      <c r="AK1640" s="848"/>
      <c r="AL1640" s="848"/>
      <c r="AM1640" s="848"/>
      <c r="AN1640" s="848"/>
      <c r="AO1640" s="848"/>
      <c r="AP1640" s="848"/>
      <c r="AQ1640" s="848"/>
      <c r="AR1640" s="848"/>
      <c r="AS1640" s="848"/>
      <c r="AT1640" s="848"/>
      <c r="AU1640" s="848"/>
      <c r="AV1640" s="848"/>
      <c r="AW1640" s="848"/>
      <c r="AX1640" s="848"/>
      <c r="AY1640" s="848"/>
      <c r="AZ1640" s="848"/>
      <c r="BA1640" s="848"/>
      <c r="BB1640" s="848"/>
      <c r="BC1640" s="848"/>
      <c r="BD1640" s="848"/>
      <c r="BE1640" s="848"/>
      <c r="BF1640" s="848"/>
      <c r="BG1640" s="848"/>
      <c r="BH1640" s="848"/>
      <c r="BJ1640" s="1184" t="s">
        <v>4763</v>
      </c>
    </row>
    <row r="1641" spans="1:62" ht="15" thickBot="1" x14ac:dyDescent="0.35">
      <c r="A1641" s="1200">
        <v>9</v>
      </c>
      <c r="B1641" s="1210">
        <v>901.5</v>
      </c>
      <c r="C1641" s="1203"/>
      <c r="D1641" s="1203"/>
      <c r="E1641" s="1203"/>
      <c r="F1641" s="1203"/>
      <c r="G1641" s="1202" t="str">
        <f t="shared" si="551"/>
        <v/>
      </c>
      <c r="H1641" s="1200" t="s">
        <v>4388</v>
      </c>
      <c r="I1641" s="577"/>
      <c r="J1641" s="270"/>
      <c r="K1641" s="270"/>
      <c r="L1641" s="1330"/>
      <c r="M1641" s="1334"/>
      <c r="N1641" s="1315"/>
      <c r="O1641" s="1315"/>
      <c r="P1641" s="104"/>
      <c r="Q1641" s="104"/>
      <c r="R1641" s="104"/>
      <c r="S1641" s="104"/>
      <c r="T1641" s="104"/>
      <c r="U1641" s="104"/>
      <c r="V1641" s="104"/>
      <c r="W1641" s="104"/>
      <c r="X1641" s="1296"/>
      <c r="Y1641" s="1524"/>
      <c r="Z1641" s="1584"/>
      <c r="AB1641" s="848"/>
      <c r="AC1641" s="848"/>
      <c r="AD1641" s="848"/>
      <c r="AE1641" s="848"/>
      <c r="AF1641" s="848"/>
      <c r="AG1641" s="848"/>
      <c r="AH1641" s="848"/>
      <c r="AI1641" s="848"/>
      <c r="AJ1641" s="848"/>
      <c r="AK1641" s="848"/>
      <c r="AL1641" s="848"/>
      <c r="AM1641" s="848"/>
      <c r="AN1641" s="848"/>
      <c r="AO1641" s="848"/>
      <c r="AP1641" s="848"/>
      <c r="AQ1641" s="848"/>
      <c r="AR1641" s="848"/>
      <c r="AS1641" s="848"/>
      <c r="AT1641" s="848"/>
      <c r="AU1641" s="848"/>
      <c r="AV1641" s="848"/>
      <c r="AW1641" s="848"/>
      <c r="AX1641" s="848"/>
      <c r="AY1641" s="848"/>
      <c r="AZ1641" s="848"/>
      <c r="BA1641" s="848"/>
      <c r="BB1641" s="848"/>
      <c r="BC1641" s="848"/>
      <c r="BD1641" s="848"/>
      <c r="BE1641" s="848"/>
      <c r="BF1641" s="848"/>
      <c r="BG1641" s="848"/>
      <c r="BH1641" s="848"/>
      <c r="BJ1641" s="1184" t="s">
        <v>4763</v>
      </c>
    </row>
    <row r="1642" spans="1:62" ht="15" thickTop="1" x14ac:dyDescent="0.3">
      <c r="A1642" s="1200">
        <v>9</v>
      </c>
      <c r="B1642" s="1210">
        <v>901.6</v>
      </c>
      <c r="C1642" s="1203"/>
      <c r="D1642" s="1203"/>
      <c r="E1642" s="1203"/>
      <c r="F1642" s="1203"/>
      <c r="G1642" s="1202" t="s">
        <v>4389</v>
      </c>
      <c r="H1642" s="1200" t="s">
        <v>4388</v>
      </c>
      <c r="I1642" s="200">
        <v>901.6</v>
      </c>
      <c r="J1642" s="201"/>
      <c r="K1642" s="201"/>
      <c r="L1642" s="1331" t="s">
        <v>3398</v>
      </c>
      <c r="M1642" s="1362" t="str">
        <f>IF(R1642,"Mandatory","N/A")</f>
        <v>Mandatory</v>
      </c>
      <c r="N1642" s="859"/>
      <c r="O1642" s="859"/>
      <c r="P1642" s="97" t="b">
        <v>0</v>
      </c>
      <c r="Q1642" s="97" t="b">
        <v>1</v>
      </c>
      <c r="R1642" s="110" t="b">
        <f>S1642</f>
        <v>1</v>
      </c>
      <c r="S1642" s="110" t="b">
        <v>1</v>
      </c>
      <c r="T1642" s="110" t="b">
        <v>0</v>
      </c>
      <c r="U1642" s="110"/>
      <c r="V1642" s="110"/>
      <c r="W1642" s="25"/>
      <c r="X1642" s="1327"/>
      <c r="Y1642" s="1525" t="str">
        <f>IF(LEN('Ch9'!X95)=0,"None",'Ch9'!X95)</f>
        <v>ZERH Requirement - ENERGY STAR Certified Homes National Water Management Requirements, Section 4.1 Bathroom Carpets</v>
      </c>
      <c r="Z1642" s="1585"/>
      <c r="AB1642" s="848"/>
      <c r="AC1642" s="848" t="b">
        <f>OR(AD1642:AE1642)</f>
        <v>1</v>
      </c>
      <c r="AD1642" s="848" t="b">
        <f>T1642</f>
        <v>0</v>
      </c>
      <c r="AE1642" s="848" t="b">
        <f>AND(R1642,NOT(W1642))</f>
        <v>1</v>
      </c>
      <c r="AF1642" s="1182" t="b">
        <f>AND(AE1642,NOT(Q1642))</f>
        <v>0</v>
      </c>
      <c r="AG1642" s="848"/>
      <c r="AH1642" s="848"/>
      <c r="AI1642" s="848"/>
      <c r="AJ1642" s="848"/>
      <c r="AK1642" s="848"/>
      <c r="AL1642" s="311" t="str">
        <f t="shared" ref="AL1642" si="552">SUBSTITUTE(SUBSTITUTE(SUBSTITUTE("vpa"&amp;$B1642&amp;$C1642&amp;$D1642&amp;$E1642&amp;$F1642,".","_"),"(","_"),")","")</f>
        <v>vpa901_6</v>
      </c>
      <c r="AM1642" s="311" t="str">
        <f>M1642</f>
        <v>Mandatory</v>
      </c>
      <c r="AN1642" s="848"/>
      <c r="AO1642" s="848"/>
      <c r="AP1642" s="311" t="str">
        <f>SUBSTITUTE(SUBSTITUTE(SUBSTITUTE("vch"&amp;$B1642&amp;$C1642&amp;$D1642&amp;$E1642&amp;$F1642,".","_"),"(","_"),")","")</f>
        <v>vch901_6</v>
      </c>
      <c r="AQ1642" s="311">
        <f>W1642</f>
        <v>0</v>
      </c>
      <c r="AR1642" s="311" t="str">
        <f>SUBSTITUTE(SUBSTITUTE(SUBSTITUTE("vnt"&amp;$B1642&amp;$C1642&amp;$D1642&amp;$E1642&amp;$F1642,".","_"),"(","_"),")","")</f>
        <v>vnt901_6</v>
      </c>
      <c r="AS1642" s="311">
        <f>X1642</f>
        <v>0</v>
      </c>
      <c r="AT1642" s="848"/>
      <c r="AU1642" s="848"/>
      <c r="AV1642" s="848"/>
      <c r="AW1642" s="848"/>
      <c r="AX1642" s="848"/>
      <c r="AY1642" s="848"/>
      <c r="AZ1642" s="848"/>
      <c r="BA1642" s="848"/>
      <c r="BB1642" s="848"/>
      <c r="BC1642" s="848"/>
      <c r="BD1642" s="848"/>
      <c r="BE1642" s="848"/>
      <c r="BF1642" s="848"/>
      <c r="BG1642" s="848"/>
      <c r="BH1642" s="848"/>
      <c r="BJ1642" s="1184" t="s">
        <v>4763</v>
      </c>
    </row>
    <row r="1643" spans="1:62" ht="15" thickBot="1" x14ac:dyDescent="0.35">
      <c r="A1643" s="1200">
        <v>9</v>
      </c>
      <c r="B1643" s="1210">
        <v>901.6</v>
      </c>
      <c r="C1643" s="1203"/>
      <c r="D1643" s="1203"/>
      <c r="E1643" s="1203"/>
      <c r="F1643" s="1203"/>
      <c r="G1643" s="1202" t="s">
        <v>4389</v>
      </c>
      <c r="H1643" s="1200" t="s">
        <v>4388</v>
      </c>
      <c r="I1643" s="577"/>
      <c r="J1643" s="270"/>
      <c r="K1643" s="270"/>
      <c r="L1643" s="1332"/>
      <c r="M1643" s="1410"/>
      <c r="N1643" s="858"/>
      <c r="O1643" s="858"/>
      <c r="P1643" s="104"/>
      <c r="Q1643" s="104"/>
      <c r="R1643" s="104"/>
      <c r="S1643" s="104"/>
      <c r="T1643" s="104"/>
      <c r="U1643" s="104"/>
      <c r="V1643" s="104"/>
      <c r="W1643" s="104"/>
      <c r="X1643" s="1296"/>
      <c r="Y1643" s="1524"/>
      <c r="Z1643" s="1584"/>
      <c r="AB1643" s="848"/>
      <c r="AC1643" s="848"/>
      <c r="AD1643" s="848"/>
      <c r="AE1643" s="848"/>
      <c r="AF1643" s="848"/>
      <c r="AG1643" s="848"/>
      <c r="AH1643" s="848"/>
      <c r="AI1643" s="848"/>
      <c r="AJ1643" s="848"/>
      <c r="AK1643" s="848"/>
      <c r="AL1643" s="848"/>
      <c r="AM1643" s="848"/>
      <c r="AN1643" s="848"/>
      <c r="AO1643" s="848"/>
      <c r="AP1643" s="848"/>
      <c r="AQ1643" s="848"/>
      <c r="AR1643" s="848"/>
      <c r="AS1643" s="848"/>
      <c r="AT1643" s="848"/>
      <c r="AU1643" s="848"/>
      <c r="AV1643" s="848"/>
      <c r="AW1643" s="848"/>
      <c r="AX1643" s="848"/>
      <c r="AY1643" s="848"/>
      <c r="AZ1643" s="848"/>
      <c r="BA1643" s="848"/>
      <c r="BB1643" s="848"/>
      <c r="BC1643" s="848"/>
      <c r="BD1643" s="848"/>
      <c r="BE1643" s="848"/>
      <c r="BF1643" s="848"/>
      <c r="BG1643" s="848"/>
      <c r="BH1643" s="848"/>
      <c r="BJ1643" s="1184" t="s">
        <v>4763</v>
      </c>
    </row>
    <row r="1644" spans="1:62" ht="15" thickTop="1" x14ac:dyDescent="0.3">
      <c r="A1644" s="1200">
        <v>9</v>
      </c>
      <c r="B1644" s="1210">
        <v>901.7</v>
      </c>
      <c r="C1644" s="1203"/>
      <c r="D1644" s="1203"/>
      <c r="E1644" s="1203"/>
      <c r="F1644" s="1203"/>
      <c r="G1644" s="1202" t="str">
        <f>IF(N1644&gt;0,"P","")</f>
        <v/>
      </c>
      <c r="H1644" s="1200" t="s">
        <v>4388</v>
      </c>
      <c r="I1644" s="66">
        <v>901.7</v>
      </c>
      <c r="J1644" s="4"/>
      <c r="K1644" s="4"/>
      <c r="L1644" s="1292" t="s">
        <v>3399</v>
      </c>
      <c r="M1644" s="1375" t="s">
        <v>3592</v>
      </c>
      <c r="N1644" s="1310">
        <f>'Ch9'!O97</f>
        <v>0</v>
      </c>
      <c r="O1644" s="1310">
        <f>MIN(8,ROUNDDOWN(W1651/0.1,0)+ROUNDDOWN(W1661/0.1,0)+ROUNDDOWN(W1662*1.33/0.1,0))</f>
        <v>0</v>
      </c>
      <c r="P1644" s="848"/>
      <c r="Q1644" s="848"/>
      <c r="R1644" s="848"/>
      <c r="S1644" s="848"/>
      <c r="T1644" s="848"/>
      <c r="U1644" s="848"/>
      <c r="V1644" s="848"/>
      <c r="W1644" s="848"/>
      <c r="X1644" s="848"/>
      <c r="Y1644" s="848"/>
      <c r="Z1644" s="1055"/>
      <c r="AB1644" s="848"/>
      <c r="AC1644" s="848"/>
      <c r="AD1644" s="848"/>
      <c r="AE1644" s="848"/>
      <c r="AF1644" s="848"/>
      <c r="AG1644" s="848"/>
      <c r="AH1644" s="848"/>
      <c r="AI1644" s="848"/>
      <c r="AJ1644" s="848"/>
      <c r="AK1644" s="848"/>
      <c r="AL1644" s="311" t="str">
        <f t="shared" ref="AL1644" si="553">SUBSTITUTE(SUBSTITUTE(SUBSTITUTE("vpa"&amp;$B1644&amp;$C1644&amp;$D1644&amp;$E1644&amp;$F1644,".","_"),"(","_"),")","")</f>
        <v>vpa901_7</v>
      </c>
      <c r="AM1644" s="311" t="str">
        <f>M1644</f>
        <v>1
8 Max</v>
      </c>
      <c r="AN1644" s="311" t="str">
        <f>SUBSTITUTE(SUBSTITUTE(SUBSTITUTE("vpc"&amp;$B1644&amp;$C1644&amp;$D1644&amp;$E1644&amp;$F1644,".","_"),"(","_"),")","")</f>
        <v>vpc901_7</v>
      </c>
      <c r="AO1644" s="311">
        <f>O1644</f>
        <v>0</v>
      </c>
      <c r="AP1644" s="848"/>
      <c r="AQ1644" s="848"/>
      <c r="AR1644" s="848"/>
      <c r="AS1644" s="848"/>
      <c r="AT1644" s="848"/>
      <c r="AU1644" s="848"/>
      <c r="AV1644" s="848"/>
      <c r="AW1644" s="848"/>
      <c r="AX1644" s="848"/>
      <c r="AY1644" s="848"/>
      <c r="AZ1644" s="848"/>
      <c r="BA1644" s="848"/>
      <c r="BB1644" s="848"/>
      <c r="BC1644" s="848"/>
      <c r="BD1644" s="848"/>
      <c r="BE1644" s="848"/>
      <c r="BF1644" s="848"/>
      <c r="BG1644" s="848"/>
      <c r="BH1644" s="848"/>
      <c r="BJ1644" s="1184" t="s">
        <v>4763</v>
      </c>
    </row>
    <row r="1645" spans="1:62" x14ac:dyDescent="0.3">
      <c r="A1645" s="1200">
        <v>9</v>
      </c>
      <c r="B1645" s="1210">
        <v>901.7</v>
      </c>
      <c r="C1645" s="1203"/>
      <c r="D1645" s="1203"/>
      <c r="E1645" s="1203"/>
      <c r="F1645" s="1203"/>
      <c r="G1645" s="1202" t="str">
        <f t="shared" ref="G1645:G1664" si="554">G1644</f>
        <v/>
      </c>
      <c r="H1645" s="1200" t="s">
        <v>4388</v>
      </c>
      <c r="I1645" s="182"/>
      <c r="J1645" s="4"/>
      <c r="K1645" s="4"/>
      <c r="L1645" s="1292"/>
      <c r="M1645" s="1375"/>
      <c r="N1645" s="1310"/>
      <c r="O1645" s="1310"/>
      <c r="P1645" s="848"/>
      <c r="Q1645" s="848"/>
      <c r="R1645" s="848"/>
      <c r="S1645" s="848"/>
      <c r="T1645" s="848"/>
      <c r="U1645" s="848"/>
      <c r="V1645" s="848"/>
      <c r="W1645" s="848"/>
      <c r="X1645" s="848"/>
      <c r="Y1645" s="848"/>
      <c r="Z1645" s="1055"/>
      <c r="AB1645" s="848"/>
      <c r="AC1645" s="848"/>
      <c r="AD1645" s="848"/>
      <c r="AE1645" s="848"/>
      <c r="AF1645" s="848"/>
      <c r="AG1645" s="848"/>
      <c r="AH1645" s="848"/>
      <c r="AI1645" s="848"/>
      <c r="AJ1645" s="848"/>
      <c r="AK1645" s="848"/>
      <c r="AL1645" s="848"/>
      <c r="AM1645" s="848"/>
      <c r="AN1645" s="848"/>
      <c r="AO1645" s="848"/>
      <c r="AP1645" s="848"/>
      <c r="AQ1645" s="848"/>
      <c r="AR1645" s="848"/>
      <c r="AS1645" s="848"/>
      <c r="AT1645" s="848"/>
      <c r="AU1645" s="848"/>
      <c r="AV1645" s="848"/>
      <c r="AW1645" s="848"/>
      <c r="AX1645" s="848"/>
      <c r="AY1645" s="848"/>
      <c r="AZ1645" s="848"/>
      <c r="BA1645" s="848"/>
      <c r="BB1645" s="848"/>
      <c r="BC1645" s="848"/>
      <c r="BD1645" s="848"/>
      <c r="BE1645" s="848"/>
      <c r="BF1645" s="848"/>
      <c r="BG1645" s="848"/>
      <c r="BH1645" s="848"/>
      <c r="BJ1645" s="1184" t="s">
        <v>4763</v>
      </c>
    </row>
    <row r="1646" spans="1:62" x14ac:dyDescent="0.3">
      <c r="A1646" s="1200">
        <v>9</v>
      </c>
      <c r="B1646" s="1210">
        <v>901.7</v>
      </c>
      <c r="C1646" s="1203"/>
      <c r="D1646" s="1203"/>
      <c r="E1646" s="1203"/>
      <c r="F1646" s="1203"/>
      <c r="G1646" s="1202" t="str">
        <f t="shared" si="554"/>
        <v/>
      </c>
      <c r="H1646" s="1200" t="s">
        <v>4388</v>
      </c>
      <c r="I1646" s="182"/>
      <c r="J1646" s="4"/>
      <c r="K1646" s="4"/>
      <c r="L1646" s="1292"/>
      <c r="M1646" s="1375"/>
      <c r="N1646" s="1310"/>
      <c r="O1646" s="1310"/>
      <c r="P1646" s="848"/>
      <c r="Q1646" s="848"/>
      <c r="R1646" s="848"/>
      <c r="S1646" s="848"/>
      <c r="T1646" s="848"/>
      <c r="U1646" s="848"/>
      <c r="V1646" s="848"/>
      <c r="W1646" s="848"/>
      <c r="X1646" s="848"/>
      <c r="Y1646" s="848"/>
      <c r="Z1646" s="1055"/>
      <c r="AB1646" s="848"/>
      <c r="AC1646" s="848"/>
      <c r="AD1646" s="848"/>
      <c r="AE1646" s="848"/>
      <c r="AF1646" s="848"/>
      <c r="AG1646" s="848"/>
      <c r="AH1646" s="848"/>
      <c r="AI1646" s="848"/>
      <c r="AJ1646" s="848"/>
      <c r="AK1646" s="848"/>
      <c r="AL1646" s="848"/>
      <c r="AM1646" s="848"/>
      <c r="AN1646" s="848"/>
      <c r="AO1646" s="848"/>
      <c r="AP1646" s="848"/>
      <c r="AQ1646" s="848"/>
      <c r="AR1646" s="848"/>
      <c r="AS1646" s="848"/>
      <c r="AT1646" s="848"/>
      <c r="AU1646" s="848"/>
      <c r="AV1646" s="848"/>
      <c r="AW1646" s="848"/>
      <c r="AX1646" s="848"/>
      <c r="AY1646" s="848"/>
      <c r="AZ1646" s="848"/>
      <c r="BA1646" s="848"/>
      <c r="BB1646" s="848"/>
      <c r="BC1646" s="848"/>
      <c r="BD1646" s="848"/>
      <c r="BE1646" s="848"/>
      <c r="BF1646" s="848"/>
      <c r="BG1646" s="848"/>
      <c r="BH1646" s="848"/>
      <c r="BJ1646" s="1184" t="s">
        <v>4763</v>
      </c>
    </row>
    <row r="1647" spans="1:62" x14ac:dyDescent="0.3">
      <c r="A1647" s="1200">
        <v>9</v>
      </c>
      <c r="B1647" s="1210">
        <v>901.7</v>
      </c>
      <c r="C1647" s="1203"/>
      <c r="D1647" s="1203"/>
      <c r="E1647" s="1203"/>
      <c r="F1647" s="1203"/>
      <c r="G1647" s="1202" t="str">
        <f t="shared" si="554"/>
        <v/>
      </c>
      <c r="H1647" s="1200" t="s">
        <v>4388</v>
      </c>
      <c r="I1647" s="182"/>
      <c r="J1647" s="4"/>
      <c r="K1647" s="4"/>
      <c r="L1647" s="1292"/>
      <c r="M1647" s="1375"/>
      <c r="N1647" s="1310"/>
      <c r="O1647" s="1310"/>
      <c r="P1647" s="848"/>
      <c r="Q1647" s="848"/>
      <c r="R1647" s="848"/>
      <c r="S1647" s="848"/>
      <c r="T1647" s="848"/>
      <c r="U1647" s="848"/>
      <c r="V1647" s="848"/>
      <c r="W1647" s="848"/>
      <c r="X1647" s="848"/>
      <c r="Y1647" s="848"/>
      <c r="Z1647" s="1055"/>
      <c r="AB1647" s="848"/>
      <c r="AC1647" s="848"/>
      <c r="AD1647" s="848"/>
      <c r="AE1647" s="848"/>
      <c r="AF1647" s="848"/>
      <c r="AG1647" s="848"/>
      <c r="AH1647" s="848"/>
      <c r="AI1647" s="848"/>
      <c r="AJ1647" s="848"/>
      <c r="AK1647" s="848"/>
      <c r="AL1647" s="848"/>
      <c r="AM1647" s="848"/>
      <c r="AN1647" s="848"/>
      <c r="AO1647" s="848"/>
      <c r="AP1647" s="848"/>
      <c r="AQ1647" s="848"/>
      <c r="AR1647" s="848"/>
      <c r="AS1647" s="848"/>
      <c r="AT1647" s="848"/>
      <c r="AU1647" s="848"/>
      <c r="AV1647" s="848"/>
      <c r="AW1647" s="848"/>
      <c r="AX1647" s="848"/>
      <c r="AY1647" s="848"/>
      <c r="AZ1647" s="848"/>
      <c r="BA1647" s="848"/>
      <c r="BB1647" s="848"/>
      <c r="BC1647" s="848"/>
      <c r="BD1647" s="848"/>
      <c r="BE1647" s="848"/>
      <c r="BF1647" s="848"/>
      <c r="BG1647" s="848"/>
      <c r="BH1647" s="848"/>
      <c r="BJ1647" s="1184" t="s">
        <v>4763</v>
      </c>
    </row>
    <row r="1648" spans="1:62" x14ac:dyDescent="0.3">
      <c r="A1648" s="1200">
        <v>9</v>
      </c>
      <c r="B1648" s="1210">
        <v>901.7</v>
      </c>
      <c r="C1648" s="1203"/>
      <c r="D1648" s="1203"/>
      <c r="E1648" s="1203"/>
      <c r="F1648" s="1203"/>
      <c r="G1648" s="1202" t="str">
        <f t="shared" si="554"/>
        <v/>
      </c>
      <c r="H1648" s="1200" t="s">
        <v>4388</v>
      </c>
      <c r="I1648" s="182"/>
      <c r="J1648" s="4"/>
      <c r="K1648" s="4"/>
      <c r="L1648" s="1292"/>
      <c r="M1648" s="1375"/>
      <c r="N1648" s="1310"/>
      <c r="O1648" s="1310"/>
      <c r="P1648" s="848"/>
      <c r="Q1648" s="848"/>
      <c r="R1648" s="848"/>
      <c r="S1648" s="848"/>
      <c r="T1648" s="848"/>
      <c r="U1648" s="848"/>
      <c r="V1648" s="848"/>
      <c r="W1648" s="848"/>
      <c r="X1648" s="848"/>
      <c r="Y1648" s="848"/>
      <c r="Z1648" s="1055"/>
      <c r="AB1648" s="848"/>
      <c r="AC1648" s="848"/>
      <c r="AD1648" s="848"/>
      <c r="AE1648" s="848"/>
      <c r="AF1648" s="848"/>
      <c r="AG1648" s="848"/>
      <c r="AH1648" s="848"/>
      <c r="AI1648" s="848"/>
      <c r="AJ1648" s="848"/>
      <c r="AK1648" s="848"/>
      <c r="AL1648" s="848"/>
      <c r="AM1648" s="848"/>
      <c r="AN1648" s="848"/>
      <c r="AO1648" s="848"/>
      <c r="AP1648" s="848"/>
      <c r="AQ1648" s="848"/>
      <c r="AR1648" s="848"/>
      <c r="AS1648" s="848"/>
      <c r="AT1648" s="848"/>
      <c r="AU1648" s="848"/>
      <c r="AV1648" s="848"/>
      <c r="AW1648" s="848"/>
      <c r="AX1648" s="848"/>
      <c r="AY1648" s="848"/>
      <c r="AZ1648" s="848"/>
      <c r="BA1648" s="848"/>
      <c r="BB1648" s="848"/>
      <c r="BC1648" s="848"/>
      <c r="BD1648" s="848"/>
      <c r="BE1648" s="848"/>
      <c r="BF1648" s="848"/>
      <c r="BG1648" s="848"/>
      <c r="BH1648" s="848"/>
      <c r="BJ1648" s="1184" t="s">
        <v>4763</v>
      </c>
    </row>
    <row r="1649" spans="1:62" x14ac:dyDescent="0.3">
      <c r="A1649" s="1200">
        <v>9</v>
      </c>
      <c r="B1649" s="1210">
        <v>901.7</v>
      </c>
      <c r="C1649" s="1203"/>
      <c r="D1649" s="1203"/>
      <c r="E1649" s="1203"/>
      <c r="F1649" s="1203"/>
      <c r="G1649" s="1202" t="str">
        <f t="shared" si="554"/>
        <v/>
      </c>
      <c r="H1649" s="1200" t="s">
        <v>4388</v>
      </c>
      <c r="I1649" s="182"/>
      <c r="J1649" s="4"/>
      <c r="K1649" s="4"/>
      <c r="L1649" s="1365" t="s">
        <v>3400</v>
      </c>
      <c r="M1649" s="1375"/>
      <c r="N1649" s="1310"/>
      <c r="O1649" s="1310"/>
      <c r="P1649" s="848"/>
      <c r="Q1649" s="848"/>
      <c r="R1649" s="848"/>
      <c r="S1649" s="848"/>
      <c r="T1649" s="848"/>
      <c r="U1649" s="848"/>
      <c r="V1649" s="848"/>
      <c r="W1649" s="848"/>
      <c r="X1649" s="848"/>
      <c r="Y1649" s="848"/>
      <c r="Z1649" s="1055"/>
      <c r="AB1649" s="848"/>
      <c r="AC1649" s="848"/>
      <c r="AD1649" s="848"/>
      <c r="AE1649" s="848"/>
      <c r="AF1649" s="848"/>
      <c r="AG1649" s="848"/>
      <c r="AH1649" s="848"/>
      <c r="AI1649" s="848"/>
      <c r="AJ1649" s="848"/>
      <c r="AK1649" s="848"/>
      <c r="AL1649" s="848"/>
      <c r="AM1649" s="848"/>
      <c r="AN1649" s="848"/>
      <c r="AO1649" s="848"/>
      <c r="AP1649" s="848"/>
      <c r="AQ1649" s="848"/>
      <c r="AR1649" s="848"/>
      <c r="AS1649" s="848"/>
      <c r="AT1649" s="848"/>
      <c r="AU1649" s="848"/>
      <c r="AV1649" s="848"/>
      <c r="AW1649" s="848"/>
      <c r="AX1649" s="848"/>
      <c r="AY1649" s="848"/>
      <c r="AZ1649" s="848"/>
      <c r="BA1649" s="848"/>
      <c r="BB1649" s="848"/>
      <c r="BC1649" s="848"/>
      <c r="BD1649" s="848"/>
      <c r="BE1649" s="848"/>
      <c r="BF1649" s="848"/>
      <c r="BG1649" s="848"/>
      <c r="BH1649" s="848"/>
      <c r="BJ1649" s="1184" t="s">
        <v>4763</v>
      </c>
    </row>
    <row r="1650" spans="1:62" x14ac:dyDescent="0.3">
      <c r="A1650" s="1200">
        <v>9</v>
      </c>
      <c r="B1650" s="1210">
        <v>901.7</v>
      </c>
      <c r="C1650" s="1203"/>
      <c r="D1650" s="1203"/>
      <c r="E1650" s="1203"/>
      <c r="F1650" s="1203"/>
      <c r="G1650" s="1202" t="str">
        <f t="shared" si="554"/>
        <v/>
      </c>
      <c r="H1650" s="1200" t="s">
        <v>4388</v>
      </c>
      <c r="I1650" s="182"/>
      <c r="J1650" s="4"/>
      <c r="K1650" s="4"/>
      <c r="L1650" s="1365"/>
      <c r="M1650" s="1375"/>
      <c r="N1650" s="1310"/>
      <c r="O1650" s="1310"/>
      <c r="P1650" s="848"/>
      <c r="Q1650" s="848"/>
      <c r="R1650" s="848"/>
      <c r="S1650" s="848"/>
      <c r="T1650" s="848"/>
      <c r="U1650" s="848"/>
      <c r="V1650" s="848"/>
      <c r="W1650" s="848" t="s">
        <v>3929</v>
      </c>
      <c r="X1650" s="848"/>
      <c r="Y1650" s="848"/>
      <c r="Z1650" s="1055"/>
      <c r="AB1650" s="848"/>
      <c r="AC1650" s="848"/>
      <c r="AD1650" s="848"/>
      <c r="AE1650" s="848"/>
      <c r="AF1650" s="848"/>
      <c r="AG1650" s="848"/>
      <c r="AH1650" s="848"/>
      <c r="AI1650" s="848"/>
      <c r="AJ1650" s="848"/>
      <c r="AK1650" s="848"/>
      <c r="AL1650" s="848"/>
      <c r="AM1650" s="848"/>
      <c r="AN1650" s="848"/>
      <c r="AO1650" s="848"/>
      <c r="AP1650" s="848"/>
      <c r="AQ1650" s="848"/>
      <c r="AR1650" s="848"/>
      <c r="AS1650" s="848"/>
      <c r="AT1650" s="848"/>
      <c r="AU1650" s="848"/>
      <c r="AV1650" s="848"/>
      <c r="AW1650" s="848"/>
      <c r="AX1650" s="848"/>
      <c r="AY1650" s="848"/>
      <c r="AZ1650" s="848"/>
      <c r="BA1650" s="848"/>
      <c r="BB1650" s="848"/>
      <c r="BC1650" s="848"/>
      <c r="BD1650" s="848"/>
      <c r="BE1650" s="848"/>
      <c r="BF1650" s="848"/>
      <c r="BG1650" s="848"/>
      <c r="BH1650" s="848"/>
      <c r="BJ1650" s="1184" t="s">
        <v>4763</v>
      </c>
    </row>
    <row r="1651" spans="1:62" x14ac:dyDescent="0.3">
      <c r="A1651" s="1200">
        <v>9</v>
      </c>
      <c r="B1651" s="1210">
        <v>901.7</v>
      </c>
      <c r="C1651" s="1203"/>
      <c r="D1651" s="1203"/>
      <c r="E1651" s="1203" t="s">
        <v>271</v>
      </c>
      <c r="F1651" s="1208"/>
      <c r="G1651" s="1202" t="str">
        <f t="shared" si="554"/>
        <v/>
      </c>
      <c r="H1651" s="1211" t="s">
        <v>4388</v>
      </c>
      <c r="I1651" s="182"/>
      <c r="J1651" s="27" t="s">
        <v>271</v>
      </c>
      <c r="K1651" s="4"/>
      <c r="L1651" s="1329" t="s">
        <v>3401</v>
      </c>
      <c r="M1651" s="866"/>
      <c r="N1651" s="850"/>
      <c r="O1651" s="850"/>
      <c r="P1651" s="97" t="b">
        <v>0</v>
      </c>
      <c r="Q1651" s="97" t="b">
        <v>1</v>
      </c>
      <c r="R1651" s="848" t="b">
        <v>0</v>
      </c>
      <c r="S1651" s="848" t="b">
        <v>1</v>
      </c>
      <c r="T1651" s="848" t="b">
        <f>SUM(W1651,W1661,W1662)&gt;1</f>
        <v>0</v>
      </c>
      <c r="U1651" s="848"/>
      <c r="V1651" s="848"/>
      <c r="W1651" s="583"/>
      <c r="X1651" s="1303"/>
      <c r="Y1651" s="1522" t="str">
        <f>IF(LEN('Ch9'!X104)=0,"None",'Ch9'!X104)</f>
        <v>None</v>
      </c>
      <c r="Z1651" s="1586"/>
      <c r="AB1651" s="848"/>
      <c r="AC1651" s="848" t="b">
        <f>OR(AD1651:AE1651)</f>
        <v>0</v>
      </c>
      <c r="AD1651" s="848" t="b">
        <f>T1651</f>
        <v>0</v>
      </c>
      <c r="AE1651" s="848" t="b">
        <f>AND(R1651,OR(W1651="Not Met",W1651=""))</f>
        <v>0</v>
      </c>
      <c r="AF1651" s="1182" t="b">
        <f>AND(AE1651,NOT(Q1651))</f>
        <v>0</v>
      </c>
      <c r="AG1651" s="848"/>
      <c r="AH1651" s="848"/>
      <c r="AI1651" s="848"/>
      <c r="AJ1651" s="848"/>
      <c r="AK1651" s="848"/>
      <c r="AL1651" s="848"/>
      <c r="AM1651" s="848"/>
      <c r="AN1651" s="848"/>
      <c r="AO1651" s="848"/>
      <c r="AP1651" s="311" t="str">
        <f>SUBSTITUTE(SUBSTITUTE(SUBSTITUTE("vch"&amp;$B1651&amp;$C1651&amp;$D1651&amp;$E1651&amp;$F1651,".","_"),"(","_"),")","")</f>
        <v>vch901_7_1</v>
      </c>
      <c r="AQ1651" s="311">
        <f>W1651</f>
        <v>0</v>
      </c>
      <c r="AR1651" s="311" t="str">
        <f>SUBSTITUTE(SUBSTITUTE(SUBSTITUTE("vnt"&amp;$B1651&amp;$C1651&amp;$D1651&amp;$E1651&amp;$F1651,".","_"),"(","_"),")","")</f>
        <v>vnt901_7_1</v>
      </c>
      <c r="AS1651" s="311">
        <f>X1651</f>
        <v>0</v>
      </c>
      <c r="AT1651" s="848"/>
      <c r="AU1651" s="848"/>
      <c r="AV1651" s="848"/>
      <c r="AW1651" s="848"/>
      <c r="AX1651" s="848"/>
      <c r="AY1651" s="848"/>
      <c r="AZ1651" s="848"/>
      <c r="BA1651" s="848"/>
      <c r="BB1651" s="848"/>
      <c r="BC1651" s="848"/>
      <c r="BD1651" s="848"/>
      <c r="BE1651" s="848"/>
      <c r="BF1651" s="848"/>
      <c r="BG1651" s="848"/>
      <c r="BH1651" s="848"/>
      <c r="BJ1651" s="1184" t="s">
        <v>4763</v>
      </c>
    </row>
    <row r="1652" spans="1:62" x14ac:dyDescent="0.3">
      <c r="A1652" s="1200">
        <v>9</v>
      </c>
      <c r="B1652" s="1210">
        <v>901.7</v>
      </c>
      <c r="C1652" s="1203"/>
      <c r="D1652" s="1203"/>
      <c r="E1652" s="1203" t="s">
        <v>271</v>
      </c>
      <c r="F1652" s="1208"/>
      <c r="G1652" s="1202" t="str">
        <f t="shared" si="554"/>
        <v/>
      </c>
      <c r="H1652" s="1211" t="s">
        <v>4388</v>
      </c>
      <c r="I1652" s="182"/>
      <c r="J1652" s="4"/>
      <c r="K1652" s="4"/>
      <c r="L1652" s="1329"/>
      <c r="M1652" s="866"/>
      <c r="N1652" s="850"/>
      <c r="O1652" s="850"/>
      <c r="P1652" s="848"/>
      <c r="Q1652" s="848"/>
      <c r="R1652" s="848"/>
      <c r="S1652" s="848"/>
      <c r="T1652" s="848"/>
      <c r="U1652" s="848"/>
      <c r="V1652" s="848"/>
      <c r="W1652" s="848"/>
      <c r="X1652" s="1303"/>
      <c r="Y1652" s="1522"/>
      <c r="Z1652" s="1586"/>
      <c r="AB1652" s="848"/>
      <c r="AC1652" s="848"/>
      <c r="AD1652" s="848"/>
      <c r="AE1652" s="848"/>
      <c r="AF1652" s="848"/>
      <c r="AG1652" s="848"/>
      <c r="AH1652" s="848"/>
      <c r="AI1652" s="848"/>
      <c r="AJ1652" s="848"/>
      <c r="AK1652" s="848"/>
      <c r="AL1652" s="848"/>
      <c r="AM1652" s="848"/>
      <c r="AN1652" s="848"/>
      <c r="AO1652" s="848"/>
      <c r="AP1652" s="848"/>
      <c r="AQ1652" s="848"/>
      <c r="AR1652" s="848"/>
      <c r="AS1652" s="848"/>
      <c r="AT1652" s="848"/>
      <c r="AU1652" s="848"/>
      <c r="AV1652" s="848"/>
      <c r="AW1652" s="848"/>
      <c r="AX1652" s="848"/>
      <c r="AY1652" s="848"/>
      <c r="AZ1652" s="848"/>
      <c r="BA1652" s="848"/>
      <c r="BB1652" s="848"/>
      <c r="BC1652" s="848"/>
      <c r="BD1652" s="848"/>
      <c r="BE1652" s="848"/>
      <c r="BF1652" s="848"/>
      <c r="BG1652" s="848"/>
      <c r="BH1652" s="848"/>
      <c r="BJ1652" s="1184" t="s">
        <v>4763</v>
      </c>
    </row>
    <row r="1653" spans="1:62" x14ac:dyDescent="0.3">
      <c r="A1653" s="1200">
        <v>9</v>
      </c>
      <c r="B1653" s="1210">
        <v>901.7</v>
      </c>
      <c r="C1653" s="1203"/>
      <c r="D1653" s="1203"/>
      <c r="E1653" s="1203" t="s">
        <v>271</v>
      </c>
      <c r="F1653" s="1208"/>
      <c r="G1653" s="1202" t="str">
        <f t="shared" si="554"/>
        <v/>
      </c>
      <c r="H1653" s="1211" t="s">
        <v>4388</v>
      </c>
      <c r="I1653" s="182"/>
      <c r="J1653" s="4"/>
      <c r="K1653" s="4"/>
      <c r="L1653" s="1329"/>
      <c r="M1653" s="866"/>
      <c r="N1653" s="850"/>
      <c r="O1653" s="850"/>
      <c r="P1653" s="848"/>
      <c r="Q1653" s="848"/>
      <c r="R1653" s="848"/>
      <c r="S1653" s="848"/>
      <c r="T1653" s="848"/>
      <c r="U1653" s="848"/>
      <c r="V1653" s="848"/>
      <c r="W1653" s="848"/>
      <c r="X1653" s="1303"/>
      <c r="Y1653" s="1522"/>
      <c r="Z1653" s="1586"/>
      <c r="AB1653" s="848"/>
      <c r="AC1653" s="848"/>
      <c r="AD1653" s="848"/>
      <c r="AE1653" s="848"/>
      <c r="AF1653" s="848"/>
      <c r="AG1653" s="848"/>
      <c r="AH1653" s="848"/>
      <c r="AI1653" s="848"/>
      <c r="AJ1653" s="848"/>
      <c r="AK1653" s="848"/>
      <c r="AL1653" s="848"/>
      <c r="AM1653" s="848"/>
      <c r="AN1653" s="848"/>
      <c r="AO1653" s="848"/>
      <c r="AP1653" s="848"/>
      <c r="AQ1653" s="848"/>
      <c r="AR1653" s="848"/>
      <c r="AS1653" s="848"/>
      <c r="AT1653" s="848"/>
      <c r="AU1653" s="848"/>
      <c r="AV1653" s="848"/>
      <c r="AW1653" s="848"/>
      <c r="AX1653" s="848"/>
      <c r="AY1653" s="848"/>
      <c r="AZ1653" s="848"/>
      <c r="BA1653" s="848"/>
      <c r="BB1653" s="848"/>
      <c r="BC1653" s="848"/>
      <c r="BD1653" s="848"/>
      <c r="BE1653" s="848"/>
      <c r="BF1653" s="848"/>
      <c r="BG1653" s="848"/>
      <c r="BH1653" s="848"/>
      <c r="BJ1653" s="1184" t="s">
        <v>4763</v>
      </c>
    </row>
    <row r="1654" spans="1:62" x14ac:dyDescent="0.3">
      <c r="A1654" s="1200">
        <v>9</v>
      </c>
      <c r="B1654" s="1210">
        <v>901.7</v>
      </c>
      <c r="C1654" s="1203"/>
      <c r="D1654" s="1203"/>
      <c r="E1654" s="1203" t="s">
        <v>271</v>
      </c>
      <c r="F1654" s="1208"/>
      <c r="G1654" s="1202" t="str">
        <f t="shared" si="554"/>
        <v/>
      </c>
      <c r="H1654" s="1211" t="s">
        <v>4388</v>
      </c>
      <c r="I1654" s="182"/>
      <c r="J1654" s="4"/>
      <c r="K1654" s="4"/>
      <c r="L1654" s="1329"/>
      <c r="M1654" s="866"/>
      <c r="N1654" s="850"/>
      <c r="O1654" s="850"/>
      <c r="P1654" s="848"/>
      <c r="Q1654" s="848"/>
      <c r="R1654" s="848"/>
      <c r="S1654" s="848"/>
      <c r="T1654" s="848"/>
      <c r="U1654" s="848"/>
      <c r="V1654" s="848"/>
      <c r="W1654" s="848"/>
      <c r="X1654" s="1303"/>
      <c r="Y1654" s="1522"/>
      <c r="Z1654" s="1586"/>
      <c r="AB1654" s="848"/>
      <c r="AC1654" s="848"/>
      <c r="AD1654" s="848"/>
      <c r="AE1654" s="848"/>
      <c r="AF1654" s="848"/>
      <c r="AG1654" s="848"/>
      <c r="AH1654" s="848"/>
      <c r="AI1654" s="848"/>
      <c r="AJ1654" s="848"/>
      <c r="AK1654" s="848"/>
      <c r="AL1654" s="848"/>
      <c r="AM1654" s="848"/>
      <c r="AN1654" s="848"/>
      <c r="AO1654" s="848"/>
      <c r="AP1654" s="848"/>
      <c r="AQ1654" s="848"/>
      <c r="AR1654" s="848"/>
      <c r="AS1654" s="848"/>
      <c r="AT1654" s="848"/>
      <c r="AU1654" s="848"/>
      <c r="AV1654" s="848"/>
      <c r="AW1654" s="848"/>
      <c r="AX1654" s="848"/>
      <c r="AY1654" s="848"/>
      <c r="AZ1654" s="848"/>
      <c r="BA1654" s="848"/>
      <c r="BB1654" s="848"/>
      <c r="BC1654" s="848"/>
      <c r="BD1654" s="848"/>
      <c r="BE1654" s="848"/>
      <c r="BF1654" s="848"/>
      <c r="BG1654" s="848"/>
      <c r="BH1654" s="848"/>
      <c r="BJ1654" s="1184" t="s">
        <v>4763</v>
      </c>
    </row>
    <row r="1655" spans="1:62" x14ac:dyDescent="0.3">
      <c r="A1655" s="1200">
        <v>9</v>
      </c>
      <c r="B1655" s="1210">
        <v>901.7</v>
      </c>
      <c r="C1655" s="1203"/>
      <c r="D1655" s="1203"/>
      <c r="E1655" s="1203" t="s">
        <v>271</v>
      </c>
      <c r="F1655" s="1208" t="s">
        <v>121</v>
      </c>
      <c r="G1655" s="1202" t="str">
        <f t="shared" si="554"/>
        <v/>
      </c>
      <c r="H1655" s="1222" t="s">
        <v>4388</v>
      </c>
      <c r="I1655" s="182"/>
      <c r="J1655" s="4"/>
      <c r="K1655" s="27" t="s">
        <v>121</v>
      </c>
      <c r="L1655" s="871" t="s">
        <v>3402</v>
      </c>
      <c r="M1655" s="866"/>
      <c r="N1655" s="850"/>
      <c r="O1655" s="850"/>
      <c r="P1655" s="848"/>
      <c r="Q1655" s="848"/>
      <c r="R1655" s="848"/>
      <c r="S1655" s="848"/>
      <c r="T1655" s="848"/>
      <c r="U1655" s="848"/>
      <c r="V1655" s="848"/>
      <c r="W1655" s="848"/>
      <c r="X1655" s="1303"/>
      <c r="Y1655" s="1522"/>
      <c r="Z1655" s="1586"/>
      <c r="AB1655" s="848"/>
      <c r="AC1655" s="848"/>
      <c r="AD1655" s="848"/>
      <c r="AE1655" s="848"/>
      <c r="AF1655" s="848"/>
      <c r="AG1655" s="848"/>
      <c r="AH1655" s="848"/>
      <c r="AI1655" s="848"/>
      <c r="AJ1655" s="848"/>
      <c r="AK1655" s="848"/>
      <c r="AL1655" s="848"/>
      <c r="AM1655" s="848"/>
      <c r="AN1655" s="848"/>
      <c r="AO1655" s="848"/>
      <c r="AP1655" s="848"/>
      <c r="AQ1655" s="848"/>
      <c r="AR1655" s="848"/>
      <c r="AS1655" s="848"/>
      <c r="AT1655" s="848"/>
      <c r="AU1655" s="848"/>
      <c r="AV1655" s="848"/>
      <c r="AW1655" s="848"/>
      <c r="AX1655" s="848"/>
      <c r="AY1655" s="848"/>
      <c r="AZ1655" s="848"/>
      <c r="BA1655" s="848"/>
      <c r="BB1655" s="848"/>
      <c r="BC1655" s="848"/>
      <c r="BD1655" s="848"/>
      <c r="BE1655" s="848"/>
      <c r="BF1655" s="848"/>
      <c r="BG1655" s="848"/>
      <c r="BH1655" s="848"/>
      <c r="BJ1655" s="1184" t="s">
        <v>4763</v>
      </c>
    </row>
    <row r="1656" spans="1:62" x14ac:dyDescent="0.3">
      <c r="A1656" s="1200">
        <v>9</v>
      </c>
      <c r="B1656" s="1210">
        <v>901.7</v>
      </c>
      <c r="C1656" s="1203"/>
      <c r="D1656" s="1203"/>
      <c r="E1656" s="1203" t="s">
        <v>271</v>
      </c>
      <c r="F1656" s="1208" t="s">
        <v>122</v>
      </c>
      <c r="G1656" s="1202" t="str">
        <f t="shared" si="554"/>
        <v/>
      </c>
      <c r="H1656" s="1222" t="s">
        <v>4388</v>
      </c>
      <c r="I1656" s="182"/>
      <c r="J1656" s="4"/>
      <c r="K1656" s="27" t="s">
        <v>122</v>
      </c>
      <c r="L1656" s="871" t="s">
        <v>3403</v>
      </c>
      <c r="M1656" s="866"/>
      <c r="N1656" s="850"/>
      <c r="O1656" s="850"/>
      <c r="P1656" s="848"/>
      <c r="Q1656" s="848"/>
      <c r="R1656" s="848"/>
      <c r="S1656" s="848"/>
      <c r="T1656" s="848"/>
      <c r="U1656" s="848"/>
      <c r="V1656" s="848"/>
      <c r="W1656" s="848"/>
      <c r="X1656" s="1303"/>
      <c r="Y1656" s="1522"/>
      <c r="Z1656" s="1586"/>
      <c r="AB1656" s="848"/>
      <c r="AC1656" s="848"/>
      <c r="AD1656" s="848"/>
      <c r="AE1656" s="848"/>
      <c r="AF1656" s="848"/>
      <c r="AG1656" s="848"/>
      <c r="AH1656" s="848"/>
      <c r="AI1656" s="848"/>
      <c r="AJ1656" s="848"/>
      <c r="AK1656" s="848"/>
      <c r="AL1656" s="848"/>
      <c r="AM1656" s="848"/>
      <c r="AN1656" s="848"/>
      <c r="AO1656" s="848"/>
      <c r="AP1656" s="848"/>
      <c r="AQ1656" s="848"/>
      <c r="AR1656" s="848"/>
      <c r="AS1656" s="848"/>
      <c r="AT1656" s="848"/>
      <c r="AU1656" s="848"/>
      <c r="AV1656" s="848"/>
      <c r="AW1656" s="848"/>
      <c r="AX1656" s="848"/>
      <c r="AY1656" s="848"/>
      <c r="AZ1656" s="848"/>
      <c r="BA1656" s="848"/>
      <c r="BB1656" s="848"/>
      <c r="BC1656" s="848"/>
      <c r="BD1656" s="848"/>
      <c r="BE1656" s="848"/>
      <c r="BF1656" s="848"/>
      <c r="BG1656" s="848"/>
      <c r="BH1656" s="848"/>
      <c r="BJ1656" s="1184" t="s">
        <v>4763</v>
      </c>
    </row>
    <row r="1657" spans="1:62" x14ac:dyDescent="0.3">
      <c r="A1657" s="1200">
        <v>9</v>
      </c>
      <c r="B1657" s="1210">
        <v>901.7</v>
      </c>
      <c r="C1657" s="1203"/>
      <c r="D1657" s="1203"/>
      <c r="E1657" s="1203" t="s">
        <v>271</v>
      </c>
      <c r="F1657" s="1208" t="s">
        <v>123</v>
      </c>
      <c r="G1657" s="1202" t="str">
        <f t="shared" si="554"/>
        <v/>
      </c>
      <c r="H1657" s="1222" t="s">
        <v>4388</v>
      </c>
      <c r="I1657" s="182"/>
      <c r="J1657" s="4"/>
      <c r="K1657" s="27" t="s">
        <v>123</v>
      </c>
      <c r="L1657" s="871" t="s">
        <v>3404</v>
      </c>
      <c r="M1657" s="866"/>
      <c r="N1657" s="850"/>
      <c r="O1657" s="850"/>
      <c r="P1657" s="848"/>
      <c r="Q1657" s="848"/>
      <c r="R1657" s="848"/>
      <c r="S1657" s="848"/>
      <c r="T1657" s="848"/>
      <c r="U1657" s="848"/>
      <c r="V1657" s="848"/>
      <c r="W1657" s="848"/>
      <c r="X1657" s="1303"/>
      <c r="Y1657" s="1522"/>
      <c r="Z1657" s="1586"/>
      <c r="AB1657" s="848"/>
      <c r="AC1657" s="848"/>
      <c r="AD1657" s="848"/>
      <c r="AE1657" s="848"/>
      <c r="AF1657" s="848"/>
      <c r="AG1657" s="848"/>
      <c r="AH1657" s="848"/>
      <c r="AI1657" s="848"/>
      <c r="AJ1657" s="848"/>
      <c r="AK1657" s="848"/>
      <c r="AL1657" s="848"/>
      <c r="AM1657" s="848"/>
      <c r="AN1657" s="848"/>
      <c r="AO1657" s="848"/>
      <c r="AP1657" s="848"/>
      <c r="AQ1657" s="848"/>
      <c r="AR1657" s="848"/>
      <c r="AS1657" s="848"/>
      <c r="AT1657" s="848"/>
      <c r="AU1657" s="848"/>
      <c r="AV1657" s="848"/>
      <c r="AW1657" s="848"/>
      <c r="AX1657" s="848"/>
      <c r="AY1657" s="848"/>
      <c r="AZ1657" s="848"/>
      <c r="BA1657" s="848"/>
      <c r="BB1657" s="848"/>
      <c r="BC1657" s="848"/>
      <c r="BD1657" s="848"/>
      <c r="BE1657" s="848"/>
      <c r="BF1657" s="848"/>
      <c r="BG1657" s="848"/>
      <c r="BH1657" s="848"/>
      <c r="BJ1657" s="1184" t="s">
        <v>4763</v>
      </c>
    </row>
    <row r="1658" spans="1:62" x14ac:dyDescent="0.3">
      <c r="A1658" s="1200">
        <v>9</v>
      </c>
      <c r="B1658" s="1210">
        <v>901.7</v>
      </c>
      <c r="C1658" s="1203"/>
      <c r="D1658" s="1203"/>
      <c r="E1658" s="1203" t="s">
        <v>271</v>
      </c>
      <c r="F1658" s="1208" t="s">
        <v>423</v>
      </c>
      <c r="G1658" s="1202" t="str">
        <f t="shared" si="554"/>
        <v/>
      </c>
      <c r="H1658" s="1222" t="s">
        <v>4388</v>
      </c>
      <c r="I1658" s="182"/>
      <c r="J1658" s="4"/>
      <c r="K1658" s="27" t="s">
        <v>423</v>
      </c>
      <c r="L1658" s="871" t="s">
        <v>3405</v>
      </c>
      <c r="M1658" s="866"/>
      <c r="N1658" s="850"/>
      <c r="O1658" s="850"/>
      <c r="P1658" s="848"/>
      <c r="Q1658" s="848"/>
      <c r="R1658" s="848"/>
      <c r="S1658" s="848"/>
      <c r="T1658" s="848"/>
      <c r="U1658" s="848"/>
      <c r="V1658" s="848"/>
      <c r="W1658" s="848"/>
      <c r="X1658" s="1303"/>
      <c r="Y1658" s="1522"/>
      <c r="Z1658" s="1586"/>
      <c r="AB1658" s="848"/>
      <c r="AC1658" s="848"/>
      <c r="AD1658" s="848"/>
      <c r="AE1658" s="848"/>
      <c r="AF1658" s="848"/>
      <c r="AG1658" s="848"/>
      <c r="AH1658" s="848"/>
      <c r="AI1658" s="848"/>
      <c r="AJ1658" s="848"/>
      <c r="AK1658" s="848"/>
      <c r="AL1658" s="848"/>
      <c r="AM1658" s="848"/>
      <c r="AN1658" s="848"/>
      <c r="AO1658" s="848"/>
      <c r="AP1658" s="848"/>
      <c r="AQ1658" s="848"/>
      <c r="AR1658" s="848"/>
      <c r="AS1658" s="848"/>
      <c r="AT1658" s="848"/>
      <c r="AU1658" s="848"/>
      <c r="AV1658" s="848"/>
      <c r="AW1658" s="848"/>
      <c r="AX1658" s="848"/>
      <c r="AY1658" s="848"/>
      <c r="AZ1658" s="848"/>
      <c r="BA1658" s="848"/>
      <c r="BB1658" s="848"/>
      <c r="BC1658" s="848"/>
      <c r="BD1658" s="848"/>
      <c r="BE1658" s="848"/>
      <c r="BF1658" s="848"/>
      <c r="BG1658" s="848"/>
      <c r="BH1658" s="848"/>
      <c r="BJ1658" s="1184" t="s">
        <v>4763</v>
      </c>
    </row>
    <row r="1659" spans="1:62" x14ac:dyDescent="0.3">
      <c r="A1659" s="1200">
        <v>9</v>
      </c>
      <c r="B1659" s="1210">
        <v>901.7</v>
      </c>
      <c r="C1659" s="1203"/>
      <c r="D1659" s="1203"/>
      <c r="E1659" s="1203" t="s">
        <v>271</v>
      </c>
      <c r="F1659" s="1208" t="s">
        <v>578</v>
      </c>
      <c r="G1659" s="1202" t="str">
        <f t="shared" si="554"/>
        <v/>
      </c>
      <c r="H1659" s="1222" t="s">
        <v>4388</v>
      </c>
      <c r="I1659" s="182"/>
      <c r="J1659" s="4"/>
      <c r="K1659" s="27" t="s">
        <v>578</v>
      </c>
      <c r="L1659" s="871" t="s">
        <v>3406</v>
      </c>
      <c r="M1659" s="866"/>
      <c r="N1659" s="850"/>
      <c r="O1659" s="850"/>
      <c r="P1659" s="848"/>
      <c r="Q1659" s="848"/>
      <c r="R1659" s="848"/>
      <c r="S1659" s="848"/>
      <c r="T1659" s="848"/>
      <c r="U1659" s="848"/>
      <c r="V1659" s="848"/>
      <c r="W1659" s="848"/>
      <c r="X1659" s="1303"/>
      <c r="Y1659" s="1522"/>
      <c r="Z1659" s="1586"/>
      <c r="AB1659" s="848"/>
      <c r="AC1659" s="848"/>
      <c r="AD1659" s="848"/>
      <c r="AE1659" s="848"/>
      <c r="AF1659" s="848"/>
      <c r="AG1659" s="848"/>
      <c r="AH1659" s="848"/>
      <c r="AI1659" s="848"/>
      <c r="AJ1659" s="848"/>
      <c r="AK1659" s="848"/>
      <c r="AL1659" s="848"/>
      <c r="AM1659" s="848"/>
      <c r="AN1659" s="848"/>
      <c r="AO1659" s="848"/>
      <c r="AP1659" s="848"/>
      <c r="AQ1659" s="848"/>
      <c r="AR1659" s="848"/>
      <c r="AS1659" s="848"/>
      <c r="AT1659" s="848"/>
      <c r="AU1659" s="848"/>
      <c r="AV1659" s="848"/>
      <c r="AW1659" s="848"/>
      <c r="AX1659" s="848"/>
      <c r="AY1659" s="848"/>
      <c r="AZ1659" s="848"/>
      <c r="BA1659" s="848"/>
      <c r="BB1659" s="848"/>
      <c r="BC1659" s="848"/>
      <c r="BD1659" s="848"/>
      <c r="BE1659" s="848"/>
      <c r="BF1659" s="848"/>
      <c r="BG1659" s="848"/>
      <c r="BH1659" s="848"/>
      <c r="BJ1659" s="1184" t="s">
        <v>4763</v>
      </c>
    </row>
    <row r="1660" spans="1:62" x14ac:dyDescent="0.3">
      <c r="A1660" s="1200">
        <v>9</v>
      </c>
      <c r="B1660" s="1210">
        <v>901.7</v>
      </c>
      <c r="C1660" s="1203"/>
      <c r="D1660" s="1203"/>
      <c r="E1660" s="1203" t="s">
        <v>271</v>
      </c>
      <c r="F1660" s="1208" t="s">
        <v>645</v>
      </c>
      <c r="G1660" s="1202" t="str">
        <f t="shared" si="554"/>
        <v/>
      </c>
      <c r="H1660" s="1222" t="s">
        <v>4388</v>
      </c>
      <c r="I1660" s="182"/>
      <c r="J1660" s="238"/>
      <c r="K1660" s="231" t="s">
        <v>645</v>
      </c>
      <c r="L1660" s="862" t="s">
        <v>3407</v>
      </c>
      <c r="M1660" s="866"/>
      <c r="N1660" s="850"/>
      <c r="O1660" s="850"/>
      <c r="P1660" s="848"/>
      <c r="Q1660" s="848"/>
      <c r="R1660" s="848"/>
      <c r="S1660" s="848"/>
      <c r="T1660" s="848"/>
      <c r="U1660" s="848"/>
      <c r="V1660" s="848"/>
      <c r="W1660" s="848" t="s">
        <v>3930</v>
      </c>
      <c r="X1660" s="1303"/>
      <c r="Y1660" s="1522"/>
      <c r="Z1660" s="1586"/>
      <c r="AB1660" s="848"/>
      <c r="AC1660" s="848"/>
      <c r="AD1660" s="848"/>
      <c r="AE1660" s="848"/>
      <c r="AF1660" s="848"/>
      <c r="AG1660" s="848"/>
      <c r="AH1660" s="848"/>
      <c r="AI1660" s="848"/>
      <c r="AJ1660" s="848"/>
      <c r="AK1660" s="848"/>
      <c r="AL1660" s="848"/>
      <c r="AM1660" s="848"/>
      <c r="AN1660" s="848"/>
      <c r="AO1660" s="848"/>
      <c r="AP1660" s="848"/>
      <c r="AQ1660" s="848"/>
      <c r="AR1660" s="848"/>
      <c r="AS1660" s="848"/>
      <c r="AT1660" s="848"/>
      <c r="AU1660" s="848"/>
      <c r="AV1660" s="848"/>
      <c r="AW1660" s="848"/>
      <c r="AX1660" s="848"/>
      <c r="AY1660" s="848"/>
      <c r="AZ1660" s="848"/>
      <c r="BA1660" s="848"/>
      <c r="BB1660" s="848"/>
      <c r="BC1660" s="848"/>
      <c r="BD1660" s="848"/>
      <c r="BE1660" s="848"/>
      <c r="BF1660" s="848"/>
      <c r="BG1660" s="848"/>
      <c r="BH1660" s="848"/>
      <c r="BJ1660" s="1184" t="s">
        <v>4763</v>
      </c>
    </row>
    <row r="1661" spans="1:62" x14ac:dyDescent="0.3">
      <c r="A1661" s="1200">
        <v>9</v>
      </c>
      <c r="B1661" s="1210">
        <v>901.7</v>
      </c>
      <c r="C1661" s="1203"/>
      <c r="D1661" s="1203"/>
      <c r="E1661" s="1203" t="s">
        <v>273</v>
      </c>
      <c r="F1661" s="1208"/>
      <c r="G1661" s="1202" t="str">
        <f t="shared" si="554"/>
        <v/>
      </c>
      <c r="H1661" s="1211" t="s">
        <v>4388</v>
      </c>
      <c r="I1661" s="576"/>
      <c r="J1661" s="231" t="s">
        <v>273</v>
      </c>
      <c r="K1661" s="238"/>
      <c r="L1661" s="862" t="s">
        <v>4107</v>
      </c>
      <c r="M1661" s="856"/>
      <c r="N1661" s="854"/>
      <c r="O1661" s="854"/>
      <c r="P1661" s="97" t="b">
        <v>0</v>
      </c>
      <c r="Q1661" s="97" t="b">
        <v>1</v>
      </c>
      <c r="R1661" s="97" t="b">
        <v>0</v>
      </c>
      <c r="S1661" s="97" t="b">
        <v>1</v>
      </c>
      <c r="T1661" s="97" t="b">
        <f>SUM(W1651,W1661,W1662)&gt;1</f>
        <v>0</v>
      </c>
      <c r="U1661" s="97"/>
      <c r="V1661" s="97"/>
      <c r="W1661" s="583"/>
      <c r="X1661" s="1295"/>
      <c r="Y1661" s="1523" t="str">
        <f>IF(LEN('Ch9'!X114)=0,"None",'Ch9'!X114)</f>
        <v>None</v>
      </c>
      <c r="Z1661" s="1583"/>
      <c r="AB1661" s="848"/>
      <c r="AC1661" s="848" t="b">
        <f>OR(AD1661:AE1661)</f>
        <v>0</v>
      </c>
      <c r="AD1661" s="848" t="b">
        <f>T1661</f>
        <v>0</v>
      </c>
      <c r="AE1661" s="848" t="b">
        <f>AND(R1661,OR(W1661="Not Met",W1661=""))</f>
        <v>0</v>
      </c>
      <c r="AF1661" s="1182" t="b">
        <f>AND(AE1661,NOT(Q1661))</f>
        <v>0</v>
      </c>
      <c r="AG1661" s="848"/>
      <c r="AH1661" s="848"/>
      <c r="AI1661" s="848"/>
      <c r="AJ1661" s="848"/>
      <c r="AK1661" s="848"/>
      <c r="AL1661" s="848"/>
      <c r="AM1661" s="848"/>
      <c r="AN1661" s="848"/>
      <c r="AO1661" s="848"/>
      <c r="AP1661" s="311" t="str">
        <f t="shared" ref="AP1661:AP1662" si="555">SUBSTITUTE(SUBSTITUTE(SUBSTITUTE("vch"&amp;$B1661&amp;$C1661&amp;$D1661&amp;$E1661&amp;$F1661,".","_"),"(","_"),")","")</f>
        <v>vch901_7_2</v>
      </c>
      <c r="AQ1661" s="311">
        <f>W1661</f>
        <v>0</v>
      </c>
      <c r="AR1661" s="311" t="str">
        <f>SUBSTITUTE(SUBSTITUTE(SUBSTITUTE("vnt"&amp;$B1661&amp;$C1661&amp;$D1661&amp;$E1661&amp;$F1661,".","_"),"(","_"),")","")</f>
        <v>vnt901_7_2</v>
      </c>
      <c r="AS1661" s="311">
        <f>X1661</f>
        <v>0</v>
      </c>
      <c r="AT1661" s="848"/>
      <c r="AU1661" s="848"/>
      <c r="AV1661" s="848"/>
      <c r="AW1661" s="848"/>
      <c r="AX1661" s="848"/>
      <c r="AY1661" s="848"/>
      <c r="AZ1661" s="848"/>
      <c r="BA1661" s="848"/>
      <c r="BB1661" s="848"/>
      <c r="BC1661" s="848"/>
      <c r="BD1661" s="848"/>
      <c r="BE1661" s="848"/>
      <c r="BF1661" s="848"/>
      <c r="BG1661" s="848"/>
      <c r="BH1661" s="848"/>
      <c r="BJ1661" s="1184" t="s">
        <v>4763</v>
      </c>
    </row>
    <row r="1662" spans="1:62" x14ac:dyDescent="0.3">
      <c r="A1662" s="1200">
        <v>9</v>
      </c>
      <c r="B1662" s="1210">
        <v>901.7</v>
      </c>
      <c r="C1662" s="1203"/>
      <c r="D1662" s="1203"/>
      <c r="E1662" s="1203" t="s">
        <v>275</v>
      </c>
      <c r="F1662" s="1208"/>
      <c r="G1662" s="1202" t="str">
        <f t="shared" si="554"/>
        <v/>
      </c>
      <c r="H1662" s="1211" t="s">
        <v>4388</v>
      </c>
      <c r="I1662" s="576"/>
      <c r="J1662" s="203" t="s">
        <v>275</v>
      </c>
      <c r="K1662" s="140"/>
      <c r="L1662" s="861" t="s">
        <v>3917</v>
      </c>
      <c r="M1662" s="856"/>
      <c r="N1662" s="854"/>
      <c r="O1662" s="854"/>
      <c r="P1662" s="97" t="b">
        <v>0</v>
      </c>
      <c r="Q1662" s="97" t="b">
        <v>1</v>
      </c>
      <c r="R1662" s="97" t="b">
        <v>0</v>
      </c>
      <c r="S1662" s="97" t="b">
        <v>1</v>
      </c>
      <c r="T1662" s="97" t="b">
        <f>SUM(W1651,W1661,W1662)&gt;1</f>
        <v>0</v>
      </c>
      <c r="U1662" s="97"/>
      <c r="V1662" s="97"/>
      <c r="W1662" s="583"/>
      <c r="X1662" s="1295"/>
      <c r="Y1662" s="1523"/>
      <c r="Z1662" s="1583"/>
      <c r="AB1662" s="848"/>
      <c r="AC1662" s="848" t="b">
        <f>OR(AD1662:AE1662)</f>
        <v>0</v>
      </c>
      <c r="AD1662" s="848" t="b">
        <f>T1662</f>
        <v>0</v>
      </c>
      <c r="AE1662" s="848" t="b">
        <f>AND(R1662,OR(W1662="Not Met",W1662=""))</f>
        <v>0</v>
      </c>
      <c r="AF1662" s="1182" t="b">
        <f>AND(AE1662,NOT(Q1662))</f>
        <v>0</v>
      </c>
      <c r="AG1662" s="848"/>
      <c r="AH1662" s="848"/>
      <c r="AI1662" s="848"/>
      <c r="AJ1662" s="848"/>
      <c r="AK1662" s="848"/>
      <c r="AL1662" s="848"/>
      <c r="AM1662" s="848"/>
      <c r="AN1662" s="848"/>
      <c r="AO1662" s="848"/>
      <c r="AP1662" s="311" t="str">
        <f t="shared" si="555"/>
        <v>vch901_7_3</v>
      </c>
      <c r="AQ1662" s="311">
        <f>W1662</f>
        <v>0</v>
      </c>
      <c r="AR1662" s="848"/>
      <c r="AS1662" s="848"/>
      <c r="AT1662" s="848"/>
      <c r="AU1662" s="848"/>
      <c r="AV1662" s="848"/>
      <c r="AW1662" s="848"/>
      <c r="AX1662" s="848"/>
      <c r="AY1662" s="848"/>
      <c r="AZ1662" s="848"/>
      <c r="BA1662" s="848"/>
      <c r="BB1662" s="848"/>
      <c r="BC1662" s="848"/>
      <c r="BD1662" s="848"/>
      <c r="BE1662" s="848"/>
      <c r="BF1662" s="848"/>
      <c r="BG1662" s="848"/>
      <c r="BH1662" s="848"/>
      <c r="BJ1662" s="1184" t="s">
        <v>4763</v>
      </c>
    </row>
    <row r="1663" spans="1:62" x14ac:dyDescent="0.3">
      <c r="A1663" s="1200">
        <v>9</v>
      </c>
      <c r="B1663" s="1210">
        <v>901.7</v>
      </c>
      <c r="C1663" s="1203"/>
      <c r="D1663" s="1203"/>
      <c r="E1663" s="1203" t="s">
        <v>273</v>
      </c>
      <c r="F1663" s="1203"/>
      <c r="G1663" s="1202" t="str">
        <f t="shared" si="554"/>
        <v/>
      </c>
      <c r="H1663" s="1200" t="s">
        <v>4388</v>
      </c>
      <c r="I1663" s="576"/>
      <c r="J1663" s="140"/>
      <c r="K1663" s="140"/>
      <c r="L1663" s="1368" t="s">
        <v>3408</v>
      </c>
      <c r="M1663" s="856"/>
      <c r="N1663" s="854"/>
      <c r="O1663" s="854"/>
      <c r="P1663" s="97"/>
      <c r="Q1663" s="97"/>
      <c r="R1663" s="97"/>
      <c r="S1663" s="97"/>
      <c r="T1663" s="97"/>
      <c r="U1663" s="97"/>
      <c r="V1663" s="97"/>
      <c r="W1663" s="97"/>
      <c r="X1663" s="1295"/>
      <c r="Y1663" s="1523"/>
      <c r="Z1663" s="1583"/>
      <c r="AB1663" s="848"/>
      <c r="AC1663" s="848"/>
      <c r="AD1663" s="848"/>
      <c r="AE1663" s="848"/>
      <c r="AF1663" s="848"/>
      <c r="AG1663" s="848"/>
      <c r="AH1663" s="848"/>
      <c r="AI1663" s="848"/>
      <c r="AJ1663" s="848"/>
      <c r="AK1663" s="848"/>
      <c r="AL1663" s="848"/>
      <c r="AM1663" s="848"/>
      <c r="AN1663" s="848"/>
      <c r="AO1663" s="848"/>
      <c r="AP1663" s="848"/>
      <c r="AQ1663" s="848"/>
      <c r="AR1663" s="848"/>
      <c r="AS1663" s="848"/>
      <c r="AT1663" s="848"/>
      <c r="AU1663" s="848"/>
      <c r="AV1663" s="848"/>
      <c r="AW1663" s="848"/>
      <c r="AX1663" s="848"/>
      <c r="AY1663" s="848"/>
      <c r="AZ1663" s="848"/>
      <c r="BA1663" s="848"/>
      <c r="BB1663" s="848"/>
      <c r="BC1663" s="848"/>
      <c r="BD1663" s="848"/>
      <c r="BE1663" s="848"/>
      <c r="BF1663" s="848"/>
      <c r="BG1663" s="848"/>
      <c r="BH1663" s="848"/>
      <c r="BJ1663" s="1184" t="s">
        <v>4763</v>
      </c>
    </row>
    <row r="1664" spans="1:62" ht="15" thickBot="1" x14ac:dyDescent="0.35">
      <c r="A1664" s="1200">
        <v>9</v>
      </c>
      <c r="B1664" s="1210">
        <v>901.7</v>
      </c>
      <c r="C1664" s="1203"/>
      <c r="D1664" s="1203"/>
      <c r="E1664" s="1203" t="s">
        <v>273</v>
      </c>
      <c r="F1664" s="1203"/>
      <c r="G1664" s="1202" t="str">
        <f t="shared" si="554"/>
        <v/>
      </c>
      <c r="H1664" s="1200" t="s">
        <v>4388</v>
      </c>
      <c r="I1664" s="577"/>
      <c r="J1664" s="270"/>
      <c r="K1664" s="270"/>
      <c r="L1664" s="1400"/>
      <c r="M1664" s="865"/>
      <c r="N1664" s="858"/>
      <c r="O1664" s="858"/>
      <c r="P1664" s="104"/>
      <c r="Q1664" s="104"/>
      <c r="R1664" s="104"/>
      <c r="S1664" s="104"/>
      <c r="T1664" s="104"/>
      <c r="U1664" s="104"/>
      <c r="V1664" s="104"/>
      <c r="W1664" s="104"/>
      <c r="X1664" s="1296"/>
      <c r="Y1664" s="1524"/>
      <c r="Z1664" s="1584"/>
      <c r="AB1664" s="848"/>
      <c r="AC1664" s="848"/>
      <c r="AD1664" s="848"/>
      <c r="AE1664" s="848"/>
      <c r="AF1664" s="848"/>
      <c r="AG1664" s="848"/>
      <c r="AH1664" s="848"/>
      <c r="AI1664" s="848"/>
      <c r="AJ1664" s="848"/>
      <c r="AK1664" s="848"/>
      <c r="AL1664" s="848"/>
      <c r="AM1664" s="848"/>
      <c r="AN1664" s="848"/>
      <c r="AO1664" s="848"/>
      <c r="AP1664" s="848"/>
      <c r="AQ1664" s="848"/>
      <c r="AR1664" s="848"/>
      <c r="AS1664" s="848"/>
      <c r="AT1664" s="848"/>
      <c r="AU1664" s="848"/>
      <c r="AV1664" s="848"/>
      <c r="AW1664" s="848"/>
      <c r="AX1664" s="848"/>
      <c r="AY1664" s="848"/>
      <c r="AZ1664" s="848"/>
      <c r="BA1664" s="848"/>
      <c r="BB1664" s="848"/>
      <c r="BC1664" s="848"/>
      <c r="BD1664" s="848"/>
      <c r="BE1664" s="848"/>
      <c r="BF1664" s="848"/>
      <c r="BG1664" s="848"/>
      <c r="BH1664" s="848"/>
      <c r="BJ1664" s="1184" t="s">
        <v>4763</v>
      </c>
    </row>
    <row r="1665" spans="1:62" ht="15" thickTop="1" x14ac:dyDescent="0.3">
      <c r="A1665" s="1200">
        <v>9</v>
      </c>
      <c r="B1665" s="1210">
        <v>901.8</v>
      </c>
      <c r="C1665" s="1203"/>
      <c r="D1665" s="1203"/>
      <c r="E1665" s="1203"/>
      <c r="F1665" s="1203"/>
      <c r="G1665" s="1202" t="str">
        <f>IF(N1665&gt;0,"P","")</f>
        <v/>
      </c>
      <c r="H1665" s="1200" t="s">
        <v>4388</v>
      </c>
      <c r="I1665" s="200">
        <v>901.8</v>
      </c>
      <c r="J1665" s="201"/>
      <c r="K1665" s="201"/>
      <c r="L1665" s="1331" t="s">
        <v>3409</v>
      </c>
      <c r="M1665" s="1343">
        <v>4</v>
      </c>
      <c r="N1665" s="1336">
        <f>'Ch9'!O118</f>
        <v>0</v>
      </c>
      <c r="O1665" s="1336">
        <f>M1665*S1665*W1665</f>
        <v>0</v>
      </c>
      <c r="P1665" s="97" t="b">
        <v>0</v>
      </c>
      <c r="Q1665" s="97" t="b">
        <v>1</v>
      </c>
      <c r="R1665" s="110" t="b">
        <v>0</v>
      </c>
      <c r="S1665" s="110" t="b">
        <v>1</v>
      </c>
      <c r="T1665" s="110" t="b">
        <v>0</v>
      </c>
      <c r="U1665" s="110"/>
      <c r="V1665" s="110"/>
      <c r="W1665" s="25"/>
      <c r="X1665" s="1327"/>
      <c r="Y1665" s="1525" t="str">
        <f>IF(LEN('Ch9'!X118)=0,"None",'Ch9'!X118)</f>
        <v>None</v>
      </c>
      <c r="Z1665" s="1585"/>
      <c r="AB1665" s="848"/>
      <c r="AC1665" s="848" t="b">
        <f>OR(AD1665:AE1665)</f>
        <v>0</v>
      </c>
      <c r="AD1665" s="848" t="b">
        <f>T1665</f>
        <v>0</v>
      </c>
      <c r="AE1665" s="848" t="b">
        <f>AND(R1665,NOT(W1665))</f>
        <v>0</v>
      </c>
      <c r="AF1665" s="1182" t="b">
        <f>AND(AE1665,NOT(Q1665))</f>
        <v>0</v>
      </c>
      <c r="AG1665" s="848"/>
      <c r="AH1665" s="848"/>
      <c r="AI1665" s="848"/>
      <c r="AJ1665" s="848"/>
      <c r="AK1665" s="848"/>
      <c r="AL1665" s="311" t="str">
        <f t="shared" ref="AL1665" si="556">SUBSTITUTE(SUBSTITUTE(SUBSTITUTE("vpa"&amp;$B1665&amp;$C1665&amp;$D1665&amp;$E1665&amp;$F1665,".","_"),"(","_"),")","")</f>
        <v>vpa901_8</v>
      </c>
      <c r="AM1665" s="311">
        <f>M1665</f>
        <v>4</v>
      </c>
      <c r="AN1665" s="311" t="str">
        <f>SUBSTITUTE(SUBSTITUTE(SUBSTITUTE("vpc"&amp;$B1665&amp;$C1665&amp;$D1665&amp;$E1665&amp;$F1665,".","_"),"(","_"),")","")</f>
        <v>vpc901_8</v>
      </c>
      <c r="AO1665" s="311">
        <f>O1665</f>
        <v>0</v>
      </c>
      <c r="AP1665" s="311" t="str">
        <f>SUBSTITUTE(SUBSTITUTE(SUBSTITUTE("vch"&amp;$B1665&amp;$C1665&amp;$D1665&amp;$E1665&amp;$F1665,".","_"),"(","_"),")","")</f>
        <v>vch901_8</v>
      </c>
      <c r="AQ1665" s="311">
        <f>W1665</f>
        <v>0</v>
      </c>
      <c r="AR1665" s="311" t="str">
        <f>SUBSTITUTE(SUBSTITUTE(SUBSTITUTE("vnt"&amp;$B1665&amp;$C1665&amp;$D1665&amp;$E1665&amp;$F1665,".","_"),"(","_"),")","")</f>
        <v>vnt901_8</v>
      </c>
      <c r="AS1665" s="311">
        <f>X1665</f>
        <v>0</v>
      </c>
      <c r="AT1665" s="848"/>
      <c r="AU1665" s="848"/>
      <c r="AV1665" s="848"/>
      <c r="AW1665" s="848"/>
      <c r="AX1665" s="848"/>
      <c r="AY1665" s="848"/>
      <c r="AZ1665" s="848"/>
      <c r="BA1665" s="848"/>
      <c r="BB1665" s="848"/>
      <c r="BC1665" s="848"/>
      <c r="BD1665" s="848"/>
      <c r="BE1665" s="848"/>
      <c r="BF1665" s="848"/>
      <c r="BG1665" s="848"/>
      <c r="BH1665" s="848"/>
      <c r="BJ1665" s="1184" t="s">
        <v>4763</v>
      </c>
    </row>
    <row r="1666" spans="1:62" x14ac:dyDescent="0.3">
      <c r="A1666" s="1200">
        <v>9</v>
      </c>
      <c r="B1666" s="1210">
        <v>901.8</v>
      </c>
      <c r="C1666" s="1203"/>
      <c r="D1666" s="1203"/>
      <c r="E1666" s="1203"/>
      <c r="F1666" s="1203"/>
      <c r="G1666" s="1202" t="str">
        <f t="shared" ref="G1666:G1670" si="557">G1665</f>
        <v/>
      </c>
      <c r="H1666" s="1200" t="s">
        <v>4388</v>
      </c>
      <c r="I1666" s="576"/>
      <c r="J1666" s="140"/>
      <c r="K1666" s="140"/>
      <c r="L1666" s="1313"/>
      <c r="M1666" s="1318"/>
      <c r="N1666" s="1308"/>
      <c r="O1666" s="1308"/>
      <c r="P1666" s="97"/>
      <c r="Q1666" s="97"/>
      <c r="R1666" s="97"/>
      <c r="S1666" s="97"/>
      <c r="T1666" s="97"/>
      <c r="U1666" s="97"/>
      <c r="V1666" s="97"/>
      <c r="W1666" s="97"/>
      <c r="X1666" s="1295"/>
      <c r="Y1666" s="1523"/>
      <c r="Z1666" s="1583"/>
      <c r="AB1666" s="848"/>
      <c r="AC1666" s="848"/>
      <c r="AD1666" s="848"/>
      <c r="AE1666" s="848"/>
      <c r="AF1666" s="848"/>
      <c r="AG1666" s="848"/>
      <c r="AH1666" s="848"/>
      <c r="AI1666" s="848"/>
      <c r="AJ1666" s="848"/>
      <c r="AK1666" s="848"/>
      <c r="AL1666" s="848"/>
      <c r="AM1666" s="848"/>
      <c r="AN1666" s="848"/>
      <c r="AO1666" s="848"/>
      <c r="AP1666" s="848"/>
      <c r="AQ1666" s="848"/>
      <c r="AR1666" s="848"/>
      <c r="AS1666" s="848"/>
      <c r="AT1666" s="848"/>
      <c r="AU1666" s="848"/>
      <c r="AV1666" s="848"/>
      <c r="AW1666" s="848"/>
      <c r="AX1666" s="848"/>
      <c r="AY1666" s="848"/>
      <c r="AZ1666" s="848"/>
      <c r="BA1666" s="848"/>
      <c r="BB1666" s="848"/>
      <c r="BC1666" s="848"/>
      <c r="BD1666" s="848"/>
      <c r="BE1666" s="848"/>
      <c r="BF1666" s="848"/>
      <c r="BG1666" s="848"/>
      <c r="BH1666" s="848"/>
      <c r="BJ1666" s="1184" t="s">
        <v>4763</v>
      </c>
    </row>
    <row r="1667" spans="1:62" x14ac:dyDescent="0.3">
      <c r="A1667" s="1200">
        <v>9</v>
      </c>
      <c r="B1667" s="1210">
        <v>901.8</v>
      </c>
      <c r="C1667" s="1203"/>
      <c r="D1667" s="1203"/>
      <c r="E1667" s="1203"/>
      <c r="F1667" s="1203"/>
      <c r="G1667" s="1202" t="str">
        <f t="shared" si="557"/>
        <v/>
      </c>
      <c r="H1667" s="1200" t="s">
        <v>4388</v>
      </c>
      <c r="I1667" s="576"/>
      <c r="J1667" s="140"/>
      <c r="K1667" s="140"/>
      <c r="L1667" s="1313"/>
      <c r="M1667" s="1318"/>
      <c r="N1667" s="1308"/>
      <c r="O1667" s="1308"/>
      <c r="P1667" s="97"/>
      <c r="Q1667" s="97"/>
      <c r="R1667" s="97"/>
      <c r="S1667" s="97"/>
      <c r="T1667" s="97"/>
      <c r="U1667" s="97"/>
      <c r="V1667" s="97"/>
      <c r="W1667" s="97"/>
      <c r="X1667" s="1295"/>
      <c r="Y1667" s="1523"/>
      <c r="Z1667" s="1583"/>
      <c r="AB1667" s="848"/>
      <c r="AC1667" s="848"/>
      <c r="AD1667" s="848"/>
      <c r="AE1667" s="848"/>
      <c r="AF1667" s="848"/>
      <c r="AG1667" s="848"/>
      <c r="AH1667" s="848"/>
      <c r="AI1667" s="848"/>
      <c r="AJ1667" s="848"/>
      <c r="AK1667" s="848"/>
      <c r="AL1667" s="848"/>
      <c r="AM1667" s="848"/>
      <c r="AN1667" s="848"/>
      <c r="AO1667" s="848"/>
      <c r="AP1667" s="848"/>
      <c r="AQ1667" s="848"/>
      <c r="AR1667" s="848"/>
      <c r="AS1667" s="848"/>
      <c r="AT1667" s="848"/>
      <c r="AU1667" s="848"/>
      <c r="AV1667" s="848"/>
      <c r="AW1667" s="848"/>
      <c r="AX1667" s="848"/>
      <c r="AY1667" s="848"/>
      <c r="AZ1667" s="848"/>
      <c r="BA1667" s="848"/>
      <c r="BB1667" s="848"/>
      <c r="BC1667" s="848"/>
      <c r="BD1667" s="848"/>
      <c r="BE1667" s="848"/>
      <c r="BF1667" s="848"/>
      <c r="BG1667" s="848"/>
      <c r="BH1667" s="848"/>
      <c r="BJ1667" s="1184" t="s">
        <v>4763</v>
      </c>
    </row>
    <row r="1668" spans="1:62" x14ac:dyDescent="0.3">
      <c r="A1668" s="1200">
        <v>9</v>
      </c>
      <c r="B1668" s="1210">
        <v>901.8</v>
      </c>
      <c r="C1668" s="1203"/>
      <c r="D1668" s="1203"/>
      <c r="E1668" s="1203"/>
      <c r="F1668" s="1203"/>
      <c r="G1668" s="1202" t="str">
        <f t="shared" si="557"/>
        <v/>
      </c>
      <c r="H1668" s="1200" t="s">
        <v>4388</v>
      </c>
      <c r="I1668" s="576"/>
      <c r="J1668" s="140"/>
      <c r="K1668" s="140"/>
      <c r="L1668" s="1313"/>
      <c r="M1668" s="1318"/>
      <c r="N1668" s="1308"/>
      <c r="O1668" s="1308"/>
      <c r="P1668" s="97"/>
      <c r="Q1668" s="97"/>
      <c r="R1668" s="97"/>
      <c r="S1668" s="97"/>
      <c r="T1668" s="97"/>
      <c r="U1668" s="97"/>
      <c r="V1668" s="97"/>
      <c r="W1668" s="97"/>
      <c r="X1668" s="1295"/>
      <c r="Y1668" s="1523"/>
      <c r="Z1668" s="1583"/>
      <c r="AB1668" s="848"/>
      <c r="AC1668" s="848"/>
      <c r="AD1668" s="848"/>
      <c r="AE1668" s="848"/>
      <c r="AF1668" s="848"/>
      <c r="AG1668" s="848"/>
      <c r="AH1668" s="848"/>
      <c r="AI1668" s="848"/>
      <c r="AJ1668" s="848"/>
      <c r="AK1668" s="848"/>
      <c r="AL1668" s="848"/>
      <c r="AM1668" s="848"/>
      <c r="AN1668" s="848"/>
      <c r="AO1668" s="848"/>
      <c r="AP1668" s="848"/>
      <c r="AQ1668" s="848"/>
      <c r="AR1668" s="848"/>
      <c r="AS1668" s="848"/>
      <c r="AT1668" s="848"/>
      <c r="AU1668" s="848"/>
      <c r="AV1668" s="848"/>
      <c r="AW1668" s="848"/>
      <c r="AX1668" s="848"/>
      <c r="AY1668" s="848"/>
      <c r="AZ1668" s="848"/>
      <c r="BA1668" s="848"/>
      <c r="BB1668" s="848"/>
      <c r="BC1668" s="848"/>
      <c r="BD1668" s="848"/>
      <c r="BE1668" s="848"/>
      <c r="BF1668" s="848"/>
      <c r="BG1668" s="848"/>
      <c r="BH1668" s="848"/>
      <c r="BJ1668" s="1184" t="s">
        <v>4763</v>
      </c>
    </row>
    <row r="1669" spans="1:62" x14ac:dyDescent="0.3">
      <c r="A1669" s="1200">
        <v>9</v>
      </c>
      <c r="B1669" s="1210">
        <v>901.8</v>
      </c>
      <c r="C1669" s="1203"/>
      <c r="D1669" s="1203"/>
      <c r="E1669" s="1203"/>
      <c r="F1669" s="1203"/>
      <c r="G1669" s="1202" t="str">
        <f t="shared" si="557"/>
        <v/>
      </c>
      <c r="H1669" s="1200" t="s">
        <v>4388</v>
      </c>
      <c r="I1669" s="576"/>
      <c r="J1669" s="140"/>
      <c r="K1669" s="140"/>
      <c r="L1669" s="1313"/>
      <c r="M1669" s="1318"/>
      <c r="N1669" s="1308"/>
      <c r="O1669" s="1308"/>
      <c r="P1669" s="97"/>
      <c r="Q1669" s="97"/>
      <c r="R1669" s="97"/>
      <c r="S1669" s="97"/>
      <c r="T1669" s="97"/>
      <c r="U1669" s="97"/>
      <c r="V1669" s="97"/>
      <c r="W1669" s="97"/>
      <c r="X1669" s="1295"/>
      <c r="Y1669" s="1523"/>
      <c r="Z1669" s="1583"/>
      <c r="AB1669" s="848"/>
      <c r="AC1669" s="848"/>
      <c r="AD1669" s="848"/>
      <c r="AE1669" s="848"/>
      <c r="AF1669" s="848"/>
      <c r="AG1669" s="848"/>
      <c r="AH1669" s="848"/>
      <c r="AI1669" s="848"/>
      <c r="AJ1669" s="848"/>
      <c r="AK1669" s="848"/>
      <c r="AL1669" s="848"/>
      <c r="AM1669" s="848"/>
      <c r="AN1669" s="848"/>
      <c r="AO1669" s="848"/>
      <c r="AP1669" s="848"/>
      <c r="AQ1669" s="848"/>
      <c r="AR1669" s="848"/>
      <c r="AS1669" s="848"/>
      <c r="AT1669" s="848"/>
      <c r="AU1669" s="848"/>
      <c r="AV1669" s="848"/>
      <c r="AW1669" s="848"/>
      <c r="AX1669" s="848"/>
      <c r="AY1669" s="848"/>
      <c r="AZ1669" s="848"/>
      <c r="BA1669" s="848"/>
      <c r="BB1669" s="848"/>
      <c r="BC1669" s="848"/>
      <c r="BD1669" s="848"/>
      <c r="BE1669" s="848"/>
      <c r="BF1669" s="848"/>
      <c r="BG1669" s="848"/>
      <c r="BH1669" s="848"/>
      <c r="BJ1669" s="1184" t="s">
        <v>4763</v>
      </c>
    </row>
    <row r="1670" spans="1:62" ht="15" thickBot="1" x14ac:dyDescent="0.35">
      <c r="A1670" s="1200">
        <v>9</v>
      </c>
      <c r="B1670" s="1210">
        <v>901.8</v>
      </c>
      <c r="C1670" s="1203"/>
      <c r="D1670" s="1203"/>
      <c r="E1670" s="1203"/>
      <c r="F1670" s="1203"/>
      <c r="G1670" s="1202" t="str">
        <f t="shared" si="557"/>
        <v/>
      </c>
      <c r="H1670" s="1200" t="s">
        <v>4388</v>
      </c>
      <c r="I1670" s="577"/>
      <c r="J1670" s="270"/>
      <c r="K1670" s="270"/>
      <c r="L1670" s="1332"/>
      <c r="M1670" s="1334"/>
      <c r="N1670" s="1315"/>
      <c r="O1670" s="1315"/>
      <c r="P1670" s="104"/>
      <c r="Q1670" s="104"/>
      <c r="R1670" s="104"/>
      <c r="S1670" s="104"/>
      <c r="T1670" s="104"/>
      <c r="U1670" s="104"/>
      <c r="V1670" s="104"/>
      <c r="W1670" s="104"/>
      <c r="X1670" s="1296"/>
      <c r="Y1670" s="1524"/>
      <c r="Z1670" s="1584"/>
      <c r="AB1670" s="848"/>
      <c r="AC1670" s="848"/>
      <c r="AD1670" s="848"/>
      <c r="AE1670" s="848"/>
      <c r="AF1670" s="848"/>
      <c r="AG1670" s="848"/>
      <c r="AH1670" s="848"/>
      <c r="AI1670" s="848"/>
      <c r="AJ1670" s="848"/>
      <c r="AK1670" s="848"/>
      <c r="AL1670" s="848"/>
      <c r="AM1670" s="848"/>
      <c r="AN1670" s="848"/>
      <c r="AO1670" s="848"/>
      <c r="AP1670" s="848"/>
      <c r="AQ1670" s="848"/>
      <c r="AR1670" s="848"/>
      <c r="AS1670" s="848"/>
      <c r="AT1670" s="848"/>
      <c r="AU1670" s="848"/>
      <c r="AV1670" s="848"/>
      <c r="AW1670" s="848"/>
      <c r="AX1670" s="848"/>
      <c r="AY1670" s="848"/>
      <c r="AZ1670" s="848"/>
      <c r="BA1670" s="848"/>
      <c r="BB1670" s="848"/>
      <c r="BC1670" s="848"/>
      <c r="BD1670" s="848"/>
      <c r="BE1670" s="848"/>
      <c r="BF1670" s="848"/>
      <c r="BG1670" s="848"/>
      <c r="BH1670" s="848"/>
      <c r="BJ1670" s="1184" t="s">
        <v>4763</v>
      </c>
    </row>
    <row r="1671" spans="1:62" ht="15" thickTop="1" x14ac:dyDescent="0.3">
      <c r="A1671" s="1200">
        <v>9</v>
      </c>
      <c r="B1671" s="1210">
        <v>901.9</v>
      </c>
      <c r="C1671" s="1203"/>
      <c r="D1671" s="1203"/>
      <c r="E1671" s="1203"/>
      <c r="F1671" s="1203"/>
      <c r="G1671" s="1196" t="str">
        <f>IF(COUNTIF(G1674:G1686,"P")&gt;0,"P","")</f>
        <v>P</v>
      </c>
      <c r="H1671" s="1200" t="s">
        <v>4388</v>
      </c>
      <c r="I1671" s="200">
        <v>901.9</v>
      </c>
      <c r="J1671" s="201"/>
      <c r="K1671" s="201"/>
      <c r="L1671" s="1331" t="s">
        <v>3410</v>
      </c>
      <c r="M1671" s="868"/>
      <c r="N1671" s="859"/>
      <c r="O1671" s="859"/>
      <c r="P1671" s="110"/>
      <c r="Q1671" s="110"/>
      <c r="R1671" s="110"/>
      <c r="S1671" s="110"/>
      <c r="T1671" s="110"/>
      <c r="U1671" s="110"/>
      <c r="V1671" s="110"/>
      <c r="W1671" s="110"/>
      <c r="X1671" s="1303"/>
      <c r="Y1671" s="1525" t="str">
        <f>IF(LEN('Ch9'!X124)=0,"None",'Ch9'!X124)</f>
        <v>None</v>
      </c>
      <c r="Z1671" s="1585"/>
      <c r="AB1671" s="848"/>
      <c r="AC1671" s="848"/>
      <c r="AD1671" s="848"/>
      <c r="AE1671" s="848"/>
      <c r="AF1671" s="848"/>
      <c r="AG1671" s="848"/>
      <c r="AH1671" s="848"/>
      <c r="AI1671" s="848"/>
      <c r="AJ1671" s="848"/>
      <c r="AK1671" s="848"/>
      <c r="AL1671" s="848"/>
      <c r="AM1671" s="848"/>
      <c r="AN1671" s="848"/>
      <c r="AO1671" s="848"/>
      <c r="AP1671" s="848"/>
      <c r="AQ1671" s="848"/>
      <c r="AR1671" s="311" t="str">
        <f>SUBSTITUTE(SUBSTITUTE(SUBSTITUTE("vnt"&amp;$B1671&amp;$C1671&amp;$D1671&amp;$E1671&amp;$F1671,".","_"),"(","_"),")","")</f>
        <v>vnt901_9</v>
      </c>
      <c r="AS1671" s="311">
        <f>X1671</f>
        <v>0</v>
      </c>
      <c r="AT1671" s="848"/>
      <c r="AU1671" s="848"/>
      <c r="AV1671" s="848"/>
      <c r="AW1671" s="848"/>
      <c r="AX1671" s="848"/>
      <c r="AY1671" s="848"/>
      <c r="AZ1671" s="848"/>
      <c r="BA1671" s="848"/>
      <c r="BB1671" s="848"/>
      <c r="BC1671" s="848"/>
      <c r="BD1671" s="848"/>
      <c r="BE1671" s="848"/>
      <c r="BF1671" s="848"/>
      <c r="BG1671" s="848"/>
      <c r="BH1671" s="848"/>
      <c r="BJ1671" s="1184" t="s">
        <v>4763</v>
      </c>
    </row>
    <row r="1672" spans="1:62" x14ac:dyDescent="0.3">
      <c r="A1672" s="1200">
        <v>9</v>
      </c>
      <c r="B1672" s="1210">
        <v>901.9</v>
      </c>
      <c r="C1672" s="1203"/>
      <c r="D1672" s="1203"/>
      <c r="E1672" s="1203"/>
      <c r="F1672" s="1203"/>
      <c r="G1672" s="1202" t="str">
        <f t="shared" ref="G1672:G1673" si="558">G1671</f>
        <v>P</v>
      </c>
      <c r="H1672" s="1200" t="s">
        <v>4388</v>
      </c>
      <c r="I1672" s="576"/>
      <c r="J1672" s="140"/>
      <c r="K1672" s="140"/>
      <c r="L1672" s="1313"/>
      <c r="M1672" s="856"/>
      <c r="N1672" s="854"/>
      <c r="O1672" s="854"/>
      <c r="P1672" s="97"/>
      <c r="Q1672" s="97"/>
      <c r="R1672" s="97"/>
      <c r="S1672" s="97"/>
      <c r="T1672" s="97"/>
      <c r="U1672" s="97"/>
      <c r="V1672" s="97"/>
      <c r="W1672" s="97"/>
      <c r="X1672" s="1303"/>
      <c r="Y1672" s="1522"/>
      <c r="Z1672" s="1586"/>
      <c r="AB1672" s="848"/>
      <c r="AC1672" s="848"/>
      <c r="AD1672" s="848"/>
      <c r="AE1672" s="848"/>
      <c r="AF1672" s="848"/>
      <c r="AG1672" s="848"/>
      <c r="AH1672" s="848"/>
      <c r="AI1672" s="848"/>
      <c r="AJ1672" s="848"/>
      <c r="AK1672" s="848"/>
      <c r="AL1672" s="848"/>
      <c r="AM1672" s="848"/>
      <c r="AN1672" s="848"/>
      <c r="AO1672" s="848"/>
      <c r="AP1672" s="848"/>
      <c r="AQ1672" s="848"/>
      <c r="AR1672" s="848"/>
      <c r="AS1672" s="848"/>
      <c r="AT1672" s="848"/>
      <c r="AU1672" s="848"/>
      <c r="AV1672" s="848"/>
      <c r="AW1672" s="848"/>
      <c r="AX1672" s="848"/>
      <c r="AY1672" s="848"/>
      <c r="AZ1672" s="848"/>
      <c r="BA1672" s="848"/>
      <c r="BB1672" s="848"/>
      <c r="BC1672" s="848"/>
      <c r="BD1672" s="848"/>
      <c r="BE1672" s="848"/>
      <c r="BF1672" s="848"/>
      <c r="BG1672" s="848"/>
      <c r="BH1672" s="848"/>
      <c r="BJ1672" s="1184" t="s">
        <v>4763</v>
      </c>
    </row>
    <row r="1673" spans="1:62" x14ac:dyDescent="0.3">
      <c r="A1673" s="1200">
        <v>9</v>
      </c>
      <c r="B1673" s="1210">
        <v>901.9</v>
      </c>
      <c r="C1673" s="1203"/>
      <c r="D1673" s="1203"/>
      <c r="E1673" s="1203"/>
      <c r="F1673" s="1203"/>
      <c r="G1673" s="1202" t="str">
        <f t="shared" si="558"/>
        <v>P</v>
      </c>
      <c r="H1673" s="1200" t="s">
        <v>4388</v>
      </c>
      <c r="I1673" s="576"/>
      <c r="J1673" s="140"/>
      <c r="K1673" s="140"/>
      <c r="L1673" s="1313"/>
      <c r="M1673" s="856"/>
      <c r="N1673" s="854"/>
      <c r="O1673" s="854"/>
      <c r="P1673" s="97"/>
      <c r="Q1673" s="97"/>
      <c r="R1673" s="97"/>
      <c r="S1673" s="97"/>
      <c r="T1673" s="97"/>
      <c r="U1673" s="97"/>
      <c r="V1673" s="97"/>
      <c r="W1673" s="97"/>
      <c r="X1673" s="1303"/>
      <c r="Y1673" s="1522"/>
      <c r="Z1673" s="1586"/>
      <c r="AB1673" s="848"/>
      <c r="AC1673" s="848"/>
      <c r="AD1673" s="848"/>
      <c r="AE1673" s="848"/>
      <c r="AF1673" s="848"/>
      <c r="AG1673" s="848"/>
      <c r="AH1673" s="848"/>
      <c r="AI1673" s="848"/>
      <c r="AJ1673" s="848"/>
      <c r="AK1673" s="848"/>
      <c r="AL1673" s="848"/>
      <c r="AM1673" s="848"/>
      <c r="AN1673" s="848"/>
      <c r="AO1673" s="848"/>
      <c r="AP1673" s="848"/>
      <c r="AQ1673" s="848"/>
      <c r="AR1673" s="848"/>
      <c r="AS1673" s="848"/>
      <c r="AT1673" s="848"/>
      <c r="AU1673" s="848"/>
      <c r="AV1673" s="848"/>
      <c r="AW1673" s="848"/>
      <c r="AX1673" s="848"/>
      <c r="AY1673" s="848"/>
      <c r="AZ1673" s="848"/>
      <c r="BA1673" s="848"/>
      <c r="BB1673" s="848"/>
      <c r="BC1673" s="848"/>
      <c r="BD1673" s="848"/>
      <c r="BE1673" s="848"/>
      <c r="BF1673" s="848"/>
      <c r="BG1673" s="848"/>
      <c r="BH1673" s="848"/>
      <c r="BJ1673" s="1184" t="s">
        <v>4763</v>
      </c>
    </row>
    <row r="1674" spans="1:62" x14ac:dyDescent="0.3">
      <c r="A1674" s="1200">
        <v>9</v>
      </c>
      <c r="B1674" s="1210" t="s">
        <v>3411</v>
      </c>
      <c r="C1674" s="1203"/>
      <c r="D1674" s="1203"/>
      <c r="E1674" s="1203"/>
      <c r="F1674" s="1203"/>
      <c r="G1674" s="1202" t="str">
        <f>IF(N1674&gt;0,"P","")</f>
        <v>P</v>
      </c>
      <c r="H1674" s="1200" t="s">
        <v>4388</v>
      </c>
      <c r="I1674" s="66" t="s">
        <v>3411</v>
      </c>
      <c r="J1674" s="4"/>
      <c r="K1674" s="4"/>
      <c r="L1674" s="1292" t="s">
        <v>3412</v>
      </c>
      <c r="M1674" s="1335">
        <v>5</v>
      </c>
      <c r="N1674" s="1310">
        <f>'Ch9'!O127</f>
        <v>5</v>
      </c>
      <c r="O1674" s="1310">
        <f>M1674*S1676*IFERROR(OR(W1676,W1678,W1679),0)</f>
        <v>0</v>
      </c>
      <c r="P1674" s="848"/>
      <c r="Q1674" s="848"/>
      <c r="R1674" s="848"/>
      <c r="S1674" s="848"/>
      <c r="T1674" s="848"/>
      <c r="U1674" s="848"/>
      <c r="V1674" s="848"/>
      <c r="W1674" s="848"/>
      <c r="X1674" s="848"/>
      <c r="Y1674" s="848"/>
      <c r="Z1674" s="1055"/>
      <c r="AB1674" s="848"/>
      <c r="AC1674" s="848"/>
      <c r="AD1674" s="848"/>
      <c r="AE1674" s="848"/>
      <c r="AF1674" s="848"/>
      <c r="AG1674" s="848"/>
      <c r="AH1674" s="848"/>
      <c r="AI1674" s="848"/>
      <c r="AJ1674" s="848"/>
      <c r="AK1674" s="848"/>
      <c r="AL1674" s="311" t="str">
        <f t="shared" ref="AL1674" si="559">SUBSTITUTE(SUBSTITUTE(SUBSTITUTE("vpa"&amp;$B1674&amp;$C1674&amp;$D1674&amp;$E1674&amp;$F1674,".","_"),"(","_"),")","")</f>
        <v>vpa901_9_1</v>
      </c>
      <c r="AM1674" s="311">
        <f>M1674</f>
        <v>5</v>
      </c>
      <c r="AN1674" s="311" t="str">
        <f>SUBSTITUTE(SUBSTITUTE(SUBSTITUTE("vpc"&amp;$B1674&amp;$C1674&amp;$D1674&amp;$E1674&amp;$F1674,".","_"),"(","_"),")","")</f>
        <v>vpc901_9_1</v>
      </c>
      <c r="AO1674" s="311">
        <f>O1674</f>
        <v>0</v>
      </c>
      <c r="AP1674" s="848"/>
      <c r="AQ1674" s="848"/>
      <c r="AR1674" s="848"/>
      <c r="AS1674" s="848"/>
      <c r="AT1674" s="848"/>
      <c r="AU1674" s="848"/>
      <c r="AV1674" s="848"/>
      <c r="AW1674" s="848"/>
      <c r="AX1674" s="848"/>
      <c r="AY1674" s="848"/>
      <c r="AZ1674" s="848"/>
      <c r="BA1674" s="848"/>
      <c r="BB1674" s="848"/>
      <c r="BC1674" s="848"/>
      <c r="BD1674" s="848"/>
      <c r="BE1674" s="848"/>
      <c r="BF1674" s="848"/>
      <c r="BG1674" s="848"/>
      <c r="BH1674" s="848"/>
      <c r="BJ1674" s="1184" t="s">
        <v>4763</v>
      </c>
    </row>
    <row r="1675" spans="1:62" x14ac:dyDescent="0.3">
      <c r="A1675" s="1200">
        <v>9</v>
      </c>
      <c r="B1675" s="1210" t="s">
        <v>3411</v>
      </c>
      <c r="C1675" s="1203"/>
      <c r="D1675" s="1203"/>
      <c r="E1675" s="1203"/>
      <c r="F1675" s="1203"/>
      <c r="G1675" s="1202" t="str">
        <f t="shared" ref="G1675:G1680" si="560">G1674</f>
        <v>P</v>
      </c>
      <c r="H1675" s="1200" t="s">
        <v>4388</v>
      </c>
      <c r="I1675" s="182"/>
      <c r="J1675" s="4"/>
      <c r="K1675" s="4"/>
      <c r="L1675" s="1292"/>
      <c r="M1675" s="1335"/>
      <c r="N1675" s="1310"/>
      <c r="O1675" s="1310"/>
      <c r="P1675" s="848"/>
      <c r="Q1675" s="848"/>
      <c r="R1675" s="848"/>
      <c r="S1675" s="848"/>
      <c r="T1675" s="848"/>
      <c r="U1675" s="848"/>
      <c r="V1675" s="848"/>
      <c r="W1675" s="848"/>
      <c r="X1675" s="848"/>
      <c r="Y1675" s="848"/>
      <c r="Z1675" s="1055"/>
      <c r="AB1675" s="848"/>
      <c r="AC1675" s="848"/>
      <c r="AD1675" s="848"/>
      <c r="AE1675" s="848"/>
      <c r="AF1675" s="848"/>
      <c r="AG1675" s="848"/>
      <c r="AH1675" s="848"/>
      <c r="AI1675" s="848"/>
      <c r="AJ1675" s="848"/>
      <c r="AK1675" s="848"/>
      <c r="AL1675" s="848"/>
      <c r="AM1675" s="848"/>
      <c r="AN1675" s="848"/>
      <c r="AO1675" s="848"/>
      <c r="AP1675" s="848"/>
      <c r="AQ1675" s="848"/>
      <c r="AR1675" s="848"/>
      <c r="AS1675" s="848"/>
      <c r="AT1675" s="848"/>
      <c r="AU1675" s="848"/>
      <c r="AV1675" s="848"/>
      <c r="AW1675" s="848"/>
      <c r="AX1675" s="848"/>
      <c r="AY1675" s="848"/>
      <c r="AZ1675" s="848"/>
      <c r="BA1675" s="848"/>
      <c r="BB1675" s="848"/>
      <c r="BC1675" s="848"/>
      <c r="BD1675" s="848"/>
      <c r="BE1675" s="848"/>
      <c r="BF1675" s="848"/>
      <c r="BG1675" s="848"/>
      <c r="BH1675" s="848"/>
      <c r="BJ1675" s="1184" t="s">
        <v>4763</v>
      </c>
    </row>
    <row r="1676" spans="1:62" x14ac:dyDescent="0.3">
      <c r="A1676" s="1200">
        <v>9</v>
      </c>
      <c r="B1676" s="1210" t="s">
        <v>3411</v>
      </c>
      <c r="C1676" s="1203"/>
      <c r="D1676" s="1203"/>
      <c r="E1676" s="1203" t="s">
        <v>271</v>
      </c>
      <c r="F1676" s="1203"/>
      <c r="G1676" s="1202" t="str">
        <f t="shared" si="560"/>
        <v>P</v>
      </c>
      <c r="H1676" s="1200" t="s">
        <v>4388</v>
      </c>
      <c r="I1676" s="182"/>
      <c r="J1676" s="203" t="s">
        <v>271</v>
      </c>
      <c r="K1676" s="140"/>
      <c r="L1676" s="1305" t="s">
        <v>3413</v>
      </c>
      <c r="M1676" s="866"/>
      <c r="N1676" s="850"/>
      <c r="O1676" s="850"/>
      <c r="P1676" s="97" t="b">
        <v>0</v>
      </c>
      <c r="Q1676" s="97" t="b">
        <v>1</v>
      </c>
      <c r="R1676" s="848" t="b">
        <v>0</v>
      </c>
      <c r="S1676" s="848" t="b">
        <f>NOT(W1686)</f>
        <v>1</v>
      </c>
      <c r="T1676" s="97" t="b">
        <f>AND(NOT(S1676),W1676=TRUE)</f>
        <v>0</v>
      </c>
      <c r="U1676" s="848"/>
      <c r="V1676" s="848"/>
      <c r="W1676" s="25"/>
      <c r="X1676" s="1303"/>
      <c r="Y1676" s="1522" t="str">
        <f>IF(LEN('Ch9'!X129)=0,"None",'Ch9'!X129)</f>
        <v>None</v>
      </c>
      <c r="Z1676" s="1586"/>
      <c r="AB1676" s="848"/>
      <c r="AC1676" s="848" t="b">
        <f>OR(AD1676:AE1676)</f>
        <v>0</v>
      </c>
      <c r="AD1676" s="848" t="b">
        <f>T1676</f>
        <v>0</v>
      </c>
      <c r="AE1676" s="848" t="b">
        <f>AND(R1676,NOT(W1676))</f>
        <v>0</v>
      </c>
      <c r="AF1676" s="1182" t="b">
        <f>AND(AE1676,NOT(Q1676))</f>
        <v>0</v>
      </c>
      <c r="AG1676" s="848"/>
      <c r="AH1676" s="848"/>
      <c r="AI1676" s="848"/>
      <c r="AJ1676" s="848"/>
      <c r="AK1676" s="848"/>
      <c r="AL1676" s="848"/>
      <c r="AM1676" s="848"/>
      <c r="AN1676" s="848"/>
      <c r="AO1676" s="848"/>
      <c r="AP1676" s="311" t="str">
        <f>SUBSTITUTE(SUBSTITUTE(SUBSTITUTE("vch"&amp;$B1676&amp;$C1676&amp;$D1676&amp;$E1676&amp;$F1676,".","_"),"(","_"),")","")</f>
        <v>vch901_9_1_1</v>
      </c>
      <c r="AQ1676" s="311">
        <f>W1676</f>
        <v>0</v>
      </c>
      <c r="AR1676" s="311" t="str">
        <f>SUBSTITUTE(SUBSTITUTE(SUBSTITUTE("vnt"&amp;$B1676&amp;$C1676&amp;$D1676&amp;$E1676&amp;$F1676,".","_"),"(","_"),")","")</f>
        <v>vnt901_9_1_1</v>
      </c>
      <c r="AS1676" s="311">
        <f>X1676</f>
        <v>0</v>
      </c>
      <c r="AT1676" s="848"/>
      <c r="AU1676" s="848"/>
      <c r="AV1676" s="848"/>
      <c r="AW1676" s="848"/>
      <c r="AX1676" s="848"/>
      <c r="AY1676" s="848"/>
      <c r="AZ1676" s="848"/>
      <c r="BA1676" s="848"/>
      <c r="BB1676" s="848"/>
      <c r="BC1676" s="848"/>
      <c r="BD1676" s="848"/>
      <c r="BE1676" s="848"/>
      <c r="BF1676" s="848"/>
      <c r="BG1676" s="848"/>
      <c r="BH1676" s="848"/>
      <c r="BJ1676" s="1184" t="s">
        <v>4763</v>
      </c>
    </row>
    <row r="1677" spans="1:62" x14ac:dyDescent="0.3">
      <c r="A1677" s="1200">
        <v>9</v>
      </c>
      <c r="B1677" s="1210" t="s">
        <v>3411</v>
      </c>
      <c r="C1677" s="1203"/>
      <c r="D1677" s="1203"/>
      <c r="E1677" s="1203" t="s">
        <v>271</v>
      </c>
      <c r="F1677" s="1203"/>
      <c r="G1677" s="1202" t="str">
        <f t="shared" si="560"/>
        <v>P</v>
      </c>
      <c r="H1677" s="1200" t="s">
        <v>4388</v>
      </c>
      <c r="I1677" s="182"/>
      <c r="J1677" s="238"/>
      <c r="K1677" s="238"/>
      <c r="L1677" s="1306"/>
      <c r="M1677" s="866"/>
      <c r="N1677" s="850"/>
      <c r="O1677" s="850"/>
      <c r="P1677" s="848"/>
      <c r="Q1677" s="848"/>
      <c r="R1677" s="848"/>
      <c r="S1677" s="848"/>
      <c r="T1677" s="848"/>
      <c r="U1677" s="848"/>
      <c r="V1677" s="848"/>
      <c r="W1677" s="848"/>
      <c r="X1677" s="1303"/>
      <c r="Y1677" s="1522"/>
      <c r="Z1677" s="1586"/>
      <c r="AB1677" s="848"/>
      <c r="AC1677" s="848"/>
      <c r="AD1677" s="848"/>
      <c r="AE1677" s="848"/>
      <c r="AF1677" s="848"/>
      <c r="AG1677" s="848"/>
      <c r="AH1677" s="848"/>
      <c r="AI1677" s="848"/>
      <c r="AJ1677" s="848"/>
      <c r="AK1677" s="848"/>
      <c r="AL1677" s="848"/>
      <c r="AM1677" s="848"/>
      <c r="AN1677" s="848"/>
      <c r="AO1677" s="848"/>
      <c r="AP1677" s="848"/>
      <c r="AQ1677" s="848"/>
      <c r="AR1677" s="848"/>
      <c r="AS1677" s="848"/>
      <c r="AT1677" s="848"/>
      <c r="AU1677" s="848"/>
      <c r="AV1677" s="848"/>
      <c r="AW1677" s="848"/>
      <c r="AX1677" s="848"/>
      <c r="AY1677" s="848"/>
      <c r="AZ1677" s="848"/>
      <c r="BA1677" s="848"/>
      <c r="BB1677" s="848"/>
      <c r="BC1677" s="848"/>
      <c r="BD1677" s="848"/>
      <c r="BE1677" s="848"/>
      <c r="BF1677" s="848"/>
      <c r="BG1677" s="848"/>
      <c r="BH1677" s="848"/>
      <c r="BJ1677" s="1184" t="s">
        <v>4763</v>
      </c>
    </row>
    <row r="1678" spans="1:62" x14ac:dyDescent="0.3">
      <c r="A1678" s="1200">
        <v>9</v>
      </c>
      <c r="B1678" s="1210" t="s">
        <v>3411</v>
      </c>
      <c r="C1678" s="1203"/>
      <c r="D1678" s="1203"/>
      <c r="E1678" s="1203" t="s">
        <v>273</v>
      </c>
      <c r="F1678" s="1203"/>
      <c r="G1678" s="1202" t="str">
        <f t="shared" si="560"/>
        <v>P</v>
      </c>
      <c r="H1678" s="1200" t="s">
        <v>4388</v>
      </c>
      <c r="I1678" s="182"/>
      <c r="J1678" s="231" t="s">
        <v>273</v>
      </c>
      <c r="K1678" s="238"/>
      <c r="L1678" s="862" t="s">
        <v>3414</v>
      </c>
      <c r="M1678" s="866"/>
      <c r="N1678" s="850"/>
      <c r="O1678" s="850"/>
      <c r="P1678" s="97" t="b">
        <v>0</v>
      </c>
      <c r="Q1678" s="97" t="b">
        <v>1</v>
      </c>
      <c r="R1678" s="848" t="b">
        <v>0</v>
      </c>
      <c r="S1678" s="848" t="b">
        <f>NOT(W1686)</f>
        <v>1</v>
      </c>
      <c r="T1678" s="97" t="b">
        <f>AND(NOT(S1678),W1678=TRUE)</f>
        <v>0</v>
      </c>
      <c r="U1678" s="848"/>
      <c r="V1678" s="848"/>
      <c r="W1678" s="25"/>
      <c r="X1678" s="851"/>
      <c r="Y1678" s="889" t="str">
        <f>IF(LEN('Ch9'!X131)=0,"None",'Ch9'!X131)</f>
        <v>None</v>
      </c>
      <c r="Z1678" s="1169"/>
      <c r="AB1678" s="848"/>
      <c r="AC1678" s="848" t="b">
        <f>OR(AD1678:AE1678)</f>
        <v>0</v>
      </c>
      <c r="AD1678" s="848" t="b">
        <f>T1678</f>
        <v>0</v>
      </c>
      <c r="AE1678" s="848" t="b">
        <f>AND(R1678,NOT(W1678))</f>
        <v>0</v>
      </c>
      <c r="AF1678" s="1182" t="b">
        <f>AND(AE1678,NOT(Q1678))</f>
        <v>0</v>
      </c>
      <c r="AG1678" s="848"/>
      <c r="AH1678" s="848"/>
      <c r="AI1678" s="848"/>
      <c r="AJ1678" s="848"/>
      <c r="AK1678" s="848"/>
      <c r="AL1678" s="848"/>
      <c r="AM1678" s="848"/>
      <c r="AN1678" s="848"/>
      <c r="AO1678" s="848"/>
      <c r="AP1678" s="311" t="str">
        <f t="shared" ref="AP1678:AP1679" si="561">SUBSTITUTE(SUBSTITUTE(SUBSTITUTE("vch"&amp;$B1678&amp;$C1678&amp;$D1678&amp;$E1678&amp;$F1678,".","_"),"(","_"),")","")</f>
        <v>vch901_9_1_2</v>
      </c>
      <c r="AQ1678" s="311">
        <f>W1678</f>
        <v>0</v>
      </c>
      <c r="AR1678" s="311" t="str">
        <f t="shared" ref="AR1678:AR1679" si="562">SUBSTITUTE(SUBSTITUTE(SUBSTITUTE("vnt"&amp;$B1678&amp;$C1678&amp;$D1678&amp;$E1678&amp;$F1678,".","_"),"(","_"),")","")</f>
        <v>vnt901_9_1_2</v>
      </c>
      <c r="AS1678" s="311">
        <f>X1678</f>
        <v>0</v>
      </c>
      <c r="AT1678" s="848"/>
      <c r="AU1678" s="848"/>
      <c r="AV1678" s="848"/>
      <c r="AW1678" s="848"/>
      <c r="AX1678" s="848"/>
      <c r="AY1678" s="848"/>
      <c r="AZ1678" s="848"/>
      <c r="BA1678" s="848"/>
      <c r="BB1678" s="848"/>
      <c r="BC1678" s="848"/>
      <c r="BD1678" s="848"/>
      <c r="BE1678" s="848"/>
      <c r="BF1678" s="848"/>
      <c r="BG1678" s="848"/>
      <c r="BH1678" s="848"/>
      <c r="BJ1678" s="1184" t="s">
        <v>4763</v>
      </c>
    </row>
    <row r="1679" spans="1:62" x14ac:dyDescent="0.3">
      <c r="A1679" s="1200">
        <v>9</v>
      </c>
      <c r="B1679" s="1210" t="s">
        <v>3411</v>
      </c>
      <c r="C1679" s="1203"/>
      <c r="D1679" s="1203"/>
      <c r="E1679" s="1203" t="s">
        <v>275</v>
      </c>
      <c r="F1679" s="1203"/>
      <c r="G1679" s="1202" t="str">
        <f t="shared" si="560"/>
        <v>P</v>
      </c>
      <c r="H1679" s="1200" t="s">
        <v>4388</v>
      </c>
      <c r="I1679" s="576"/>
      <c r="J1679" s="203" t="s">
        <v>275</v>
      </c>
      <c r="K1679" s="140"/>
      <c r="L1679" s="861" t="s">
        <v>3415</v>
      </c>
      <c r="M1679" s="856"/>
      <c r="N1679" s="854"/>
      <c r="O1679" s="854"/>
      <c r="P1679" s="97" t="b">
        <v>0</v>
      </c>
      <c r="Q1679" s="97" t="b">
        <v>1</v>
      </c>
      <c r="R1679" s="97" t="b">
        <v>0</v>
      </c>
      <c r="S1679" s="97" t="b">
        <f>NOT(W1686)</f>
        <v>1</v>
      </c>
      <c r="T1679" s="97" t="b">
        <f>AND(NOT(S1679),W1679=TRUE)</f>
        <v>0</v>
      </c>
      <c r="U1679" s="97"/>
      <c r="V1679" s="97"/>
      <c r="W1679" s="25"/>
      <c r="X1679" s="1295"/>
      <c r="Y1679" s="1522" t="str">
        <f>IF(LEN('Ch9'!X132)=0,"None",'Ch9'!X132)</f>
        <v>ZERH Requirement - Indoor airPLUS, Section 6.2 Interior Paints and Finishes</v>
      </c>
      <c r="Z1679" s="1586"/>
      <c r="AB1679" s="848"/>
      <c r="AC1679" s="848" t="b">
        <f>OR(AD1679:AE1679)</f>
        <v>0</v>
      </c>
      <c r="AD1679" s="848" t="b">
        <f>T1679</f>
        <v>0</v>
      </c>
      <c r="AE1679" s="848" t="b">
        <f>AND(R1679,NOT(W1679))</f>
        <v>0</v>
      </c>
      <c r="AF1679" s="1182" t="b">
        <f>AND(AE1679,NOT(Q1679))</f>
        <v>0</v>
      </c>
      <c r="AG1679" s="848"/>
      <c r="AH1679" s="848"/>
      <c r="AI1679" s="848"/>
      <c r="AJ1679" s="848"/>
      <c r="AK1679" s="848"/>
      <c r="AL1679" s="848"/>
      <c r="AM1679" s="848"/>
      <c r="AN1679" s="848"/>
      <c r="AO1679" s="848"/>
      <c r="AP1679" s="311" t="str">
        <f t="shared" si="561"/>
        <v>vch901_9_1_3</v>
      </c>
      <c r="AQ1679" s="311">
        <f>W1679</f>
        <v>0</v>
      </c>
      <c r="AR1679" s="311" t="str">
        <f t="shared" si="562"/>
        <v>vnt901_9_1_3</v>
      </c>
      <c r="AS1679" s="311">
        <f>X1679</f>
        <v>0</v>
      </c>
      <c r="AT1679" s="848"/>
      <c r="AU1679" s="848"/>
      <c r="AV1679" s="848"/>
      <c r="AW1679" s="848"/>
      <c r="AX1679" s="848"/>
      <c r="AY1679" s="848"/>
      <c r="AZ1679" s="848"/>
      <c r="BA1679" s="848"/>
      <c r="BB1679" s="848"/>
      <c r="BC1679" s="848"/>
      <c r="BD1679" s="848"/>
      <c r="BE1679" s="848"/>
      <c r="BF1679" s="848"/>
      <c r="BG1679" s="848"/>
      <c r="BH1679" s="848"/>
      <c r="BJ1679" s="1184" t="s">
        <v>4763</v>
      </c>
    </row>
    <row r="1680" spans="1:62" x14ac:dyDescent="0.3">
      <c r="A1680" s="1200">
        <v>9</v>
      </c>
      <c r="B1680" s="1210" t="s">
        <v>3411</v>
      </c>
      <c r="C1680" s="1203"/>
      <c r="D1680" s="1203"/>
      <c r="E1680" s="1203" t="s">
        <v>275</v>
      </c>
      <c r="F1680" s="1207"/>
      <c r="G1680" s="1202" t="str">
        <f t="shared" si="560"/>
        <v>P</v>
      </c>
      <c r="H1680" s="1200" t="s">
        <v>4388</v>
      </c>
      <c r="I1680" s="196"/>
      <c r="J1680" s="196"/>
      <c r="K1680" s="196"/>
      <c r="L1680" s="623" t="s">
        <v>3931</v>
      </c>
      <c r="M1680" s="238"/>
      <c r="N1680" s="238"/>
      <c r="O1680" s="238"/>
      <c r="P1680" s="196"/>
      <c r="Q1680" s="196"/>
      <c r="R1680" s="196"/>
      <c r="S1680" s="196"/>
      <c r="T1680" s="196"/>
      <c r="U1680" s="196"/>
      <c r="V1680" s="196"/>
      <c r="W1680" s="196"/>
      <c r="X1680" s="1295"/>
      <c r="Y1680" s="1522"/>
      <c r="Z1680" s="1586"/>
      <c r="AB1680" s="848"/>
      <c r="AC1680" s="848"/>
      <c r="AD1680" s="848"/>
      <c r="AE1680" s="848"/>
      <c r="AF1680" s="848"/>
      <c r="AG1680" s="848"/>
      <c r="AH1680" s="848"/>
      <c r="AI1680" s="848"/>
      <c r="AJ1680" s="848"/>
      <c r="AK1680" s="848"/>
      <c r="AL1680" s="848"/>
      <c r="AM1680" s="848"/>
      <c r="AN1680" s="848"/>
      <c r="AO1680" s="848"/>
      <c r="AP1680" s="848"/>
      <c r="AQ1680" s="848"/>
      <c r="AR1680" s="848"/>
      <c r="AS1680" s="848"/>
      <c r="AT1680" s="848"/>
      <c r="AU1680" s="848"/>
      <c r="AV1680" s="848"/>
      <c r="AW1680" s="848"/>
      <c r="AX1680" s="848"/>
      <c r="AY1680" s="848"/>
      <c r="AZ1680" s="848"/>
      <c r="BA1680" s="848"/>
      <c r="BB1680" s="848"/>
      <c r="BC1680" s="848"/>
      <c r="BD1680" s="848"/>
      <c r="BE1680" s="848"/>
      <c r="BF1680" s="848"/>
      <c r="BG1680" s="848"/>
      <c r="BH1680" s="848"/>
      <c r="BJ1680" s="1184" t="s">
        <v>4763</v>
      </c>
    </row>
    <row r="1681" spans="1:62" x14ac:dyDescent="0.3">
      <c r="A1681" s="1200">
        <v>9</v>
      </c>
      <c r="B1681" s="1210" t="s">
        <v>3416</v>
      </c>
      <c r="C1681" s="1203"/>
      <c r="D1681" s="1203"/>
      <c r="E1681" s="1203"/>
      <c r="F1681" s="1203"/>
      <c r="G1681" s="1202" t="str">
        <f>IF(N1681&gt;0,"P","")</f>
        <v/>
      </c>
      <c r="H1681" s="1200" t="s">
        <v>4388</v>
      </c>
      <c r="I1681" s="215" t="s">
        <v>3416</v>
      </c>
      <c r="J1681" s="216"/>
      <c r="K1681" s="216"/>
      <c r="L1681" s="1364" t="s">
        <v>3417</v>
      </c>
      <c r="M1681" s="1323">
        <v>1</v>
      </c>
      <c r="N1681" s="1324">
        <f>'Ch9'!O134</f>
        <v>0</v>
      </c>
      <c r="O1681" s="1324">
        <f>M1681*S1681*W1681</f>
        <v>0</v>
      </c>
      <c r="P1681" s="97" t="b">
        <v>0</v>
      </c>
      <c r="Q1681" s="97" t="b">
        <v>1</v>
      </c>
      <c r="R1681" s="218" t="b">
        <v>0</v>
      </c>
      <c r="S1681" s="218" t="b">
        <f>IFERROR(OR(AND(W1676,W1678,W1679),W1686),FALSE)</f>
        <v>0</v>
      </c>
      <c r="T1681" s="218" t="b">
        <f>AND(NOT(S1681),W1681=TRUE)</f>
        <v>0</v>
      </c>
      <c r="U1681" s="218"/>
      <c r="V1681" s="218"/>
      <c r="W1681" s="25"/>
      <c r="X1681" s="1295"/>
      <c r="Y1681" s="1522" t="str">
        <f>IF(LEN('Ch9'!X134)=0,"None",'Ch9'!X134)</f>
        <v>None</v>
      </c>
      <c r="Z1681" s="1586"/>
      <c r="AB1681" s="848"/>
      <c r="AC1681" s="848" t="b">
        <f>OR(AD1681:AE1681)</f>
        <v>0</v>
      </c>
      <c r="AD1681" s="848" t="b">
        <f>T1681</f>
        <v>0</v>
      </c>
      <c r="AE1681" s="848" t="b">
        <f>AND(R1681,NOT(W1681))</f>
        <v>0</v>
      </c>
      <c r="AF1681" s="1182" t="b">
        <f>AND(AE1681,NOT(Q1681))</f>
        <v>0</v>
      </c>
      <c r="AG1681" s="848"/>
      <c r="AH1681" s="848"/>
      <c r="AI1681" s="848"/>
      <c r="AJ1681" s="848"/>
      <c r="AK1681" s="848"/>
      <c r="AL1681" s="311" t="str">
        <f t="shared" ref="AL1681" si="563">SUBSTITUTE(SUBSTITUTE(SUBSTITUTE("vpa"&amp;$B1681&amp;$C1681&amp;$D1681&amp;$E1681&amp;$F1681,".","_"),"(","_"),")","")</f>
        <v>vpa901_9_2</v>
      </c>
      <c r="AM1681" s="311">
        <f>M1681</f>
        <v>1</v>
      </c>
      <c r="AN1681" s="311" t="str">
        <f>SUBSTITUTE(SUBSTITUTE(SUBSTITUTE("vpc"&amp;$B1681&amp;$C1681&amp;$D1681&amp;$E1681&amp;$F1681,".","_"),"(","_"),")","")</f>
        <v>vpc901_9_2</v>
      </c>
      <c r="AO1681" s="311">
        <f>O1681</f>
        <v>0</v>
      </c>
      <c r="AP1681" s="311" t="str">
        <f>SUBSTITUTE(SUBSTITUTE(SUBSTITUTE("vch"&amp;$B1681&amp;$C1681&amp;$D1681&amp;$E1681&amp;$F1681,".","_"),"(","_"),")","")</f>
        <v>vch901_9_2</v>
      </c>
      <c r="AQ1681" s="311">
        <f>W1681</f>
        <v>0</v>
      </c>
      <c r="AR1681" s="311" t="str">
        <f>SUBSTITUTE(SUBSTITUTE(SUBSTITUTE("vnt"&amp;$B1681&amp;$C1681&amp;$D1681&amp;$E1681&amp;$F1681,".","_"),"(","_"),")","")</f>
        <v>vnt901_9_2</v>
      </c>
      <c r="AS1681" s="311">
        <f>X1681</f>
        <v>0</v>
      </c>
      <c r="AT1681" s="848"/>
      <c r="AU1681" s="848"/>
      <c r="AV1681" s="848"/>
      <c r="AW1681" s="848"/>
      <c r="AX1681" s="848"/>
      <c r="AY1681" s="848"/>
      <c r="AZ1681" s="848"/>
      <c r="BA1681" s="848"/>
      <c r="BB1681" s="848"/>
      <c r="BC1681" s="848"/>
      <c r="BD1681" s="848"/>
      <c r="BE1681" s="848"/>
      <c r="BF1681" s="848"/>
      <c r="BG1681" s="848"/>
      <c r="BH1681" s="848"/>
      <c r="BJ1681" s="1184" t="s">
        <v>4763</v>
      </c>
    </row>
    <row r="1682" spans="1:62" x14ac:dyDescent="0.3">
      <c r="A1682" s="1200">
        <v>9</v>
      </c>
      <c r="B1682" s="1210" t="s">
        <v>3416</v>
      </c>
      <c r="C1682" s="1203"/>
      <c r="D1682" s="1203"/>
      <c r="E1682" s="1203"/>
      <c r="F1682" s="1203"/>
      <c r="G1682" s="1202" t="str">
        <f t="shared" ref="G1682:G1685" si="564">G1681</f>
        <v/>
      </c>
      <c r="H1682" s="1200" t="s">
        <v>4388</v>
      </c>
      <c r="I1682" s="576"/>
      <c r="J1682" s="140"/>
      <c r="K1682" s="140"/>
      <c r="L1682" s="1313"/>
      <c r="M1682" s="1318"/>
      <c r="N1682" s="1308"/>
      <c r="O1682" s="1308"/>
      <c r="P1682" s="97"/>
      <c r="Q1682" s="97"/>
      <c r="R1682" s="97"/>
      <c r="S1682" s="97"/>
      <c r="T1682" s="97"/>
      <c r="U1682" s="97"/>
      <c r="V1682" s="97"/>
      <c r="W1682" s="97"/>
      <c r="X1682" s="1295"/>
      <c r="Y1682" s="1522"/>
      <c r="Z1682" s="1586"/>
      <c r="AB1682" s="848"/>
      <c r="AC1682" s="848"/>
      <c r="AD1682" s="848"/>
      <c r="AE1682" s="848"/>
      <c r="AF1682" s="848"/>
      <c r="AG1682" s="848"/>
      <c r="AH1682" s="848"/>
      <c r="AI1682" s="848"/>
      <c r="AJ1682" s="848"/>
      <c r="AK1682" s="848"/>
      <c r="AL1682" s="848"/>
      <c r="AM1682" s="848"/>
      <c r="AN1682" s="848"/>
      <c r="AO1682" s="848"/>
      <c r="AP1682" s="848"/>
      <c r="AQ1682" s="848"/>
      <c r="AR1682" s="848"/>
      <c r="AS1682" s="848"/>
      <c r="AT1682" s="848"/>
      <c r="AU1682" s="848"/>
      <c r="AV1682" s="848"/>
      <c r="AW1682" s="848"/>
      <c r="AX1682" s="848"/>
      <c r="AY1682" s="848"/>
      <c r="AZ1682" s="848"/>
      <c r="BA1682" s="848"/>
      <c r="BB1682" s="848"/>
      <c r="BC1682" s="848"/>
      <c r="BD1682" s="848"/>
      <c r="BE1682" s="848"/>
      <c r="BF1682" s="848"/>
      <c r="BG1682" s="848"/>
      <c r="BH1682" s="848"/>
      <c r="BJ1682" s="1184" t="s">
        <v>4763</v>
      </c>
    </row>
    <row r="1683" spans="1:62" x14ac:dyDescent="0.3">
      <c r="A1683" s="1200">
        <v>9</v>
      </c>
      <c r="B1683" s="1210" t="s">
        <v>3416</v>
      </c>
      <c r="C1683" s="1203"/>
      <c r="D1683" s="1203"/>
      <c r="E1683" s="1203"/>
      <c r="F1683" s="1203"/>
      <c r="G1683" s="1202" t="str">
        <f t="shared" si="564"/>
        <v/>
      </c>
      <c r="H1683" s="1200" t="s">
        <v>4388</v>
      </c>
      <c r="I1683" s="576"/>
      <c r="J1683" s="140"/>
      <c r="K1683" s="140"/>
      <c r="L1683" s="1434" t="s">
        <v>3418</v>
      </c>
      <c r="M1683" s="1318"/>
      <c r="N1683" s="1308"/>
      <c r="O1683" s="1308"/>
      <c r="P1683" s="97"/>
      <c r="Q1683" s="97"/>
      <c r="R1683" s="97"/>
      <c r="S1683" s="97"/>
      <c r="T1683" s="97"/>
      <c r="U1683" s="97"/>
      <c r="V1683" s="97"/>
      <c r="W1683" s="97"/>
      <c r="X1683" s="1295"/>
      <c r="Y1683" s="1522"/>
      <c r="Z1683" s="1586"/>
      <c r="AB1683" s="848"/>
      <c r="AC1683" s="848"/>
      <c r="AD1683" s="848"/>
      <c r="AE1683" s="848"/>
      <c r="AF1683" s="848"/>
      <c r="AG1683" s="848"/>
      <c r="AH1683" s="848"/>
      <c r="AI1683" s="848"/>
      <c r="AJ1683" s="848"/>
      <c r="AK1683" s="848"/>
      <c r="AL1683" s="848"/>
      <c r="AM1683" s="848"/>
      <c r="AN1683" s="848"/>
      <c r="AO1683" s="848"/>
      <c r="AP1683" s="848"/>
      <c r="AQ1683" s="848"/>
      <c r="AR1683" s="848"/>
      <c r="AS1683" s="848"/>
      <c r="AT1683" s="848"/>
      <c r="AU1683" s="848"/>
      <c r="AV1683" s="848"/>
      <c r="AW1683" s="848"/>
      <c r="AX1683" s="848"/>
      <c r="AY1683" s="848"/>
      <c r="AZ1683" s="848"/>
      <c r="BA1683" s="848"/>
      <c r="BB1683" s="848"/>
      <c r="BC1683" s="848"/>
      <c r="BD1683" s="848"/>
      <c r="BE1683" s="848"/>
      <c r="BF1683" s="848"/>
      <c r="BG1683" s="848"/>
      <c r="BH1683" s="848"/>
      <c r="BJ1683" s="1184" t="s">
        <v>4763</v>
      </c>
    </row>
    <row r="1684" spans="1:62" x14ac:dyDescent="0.3">
      <c r="A1684" s="1200">
        <v>9</v>
      </c>
      <c r="B1684" s="1210" t="s">
        <v>3416</v>
      </c>
      <c r="C1684" s="1203"/>
      <c r="D1684" s="1203"/>
      <c r="E1684" s="1203"/>
      <c r="F1684" s="1203"/>
      <c r="G1684" s="1202" t="str">
        <f t="shared" si="564"/>
        <v/>
      </c>
      <c r="H1684" s="1200" t="s">
        <v>4388</v>
      </c>
      <c r="I1684" s="576"/>
      <c r="J1684" s="140"/>
      <c r="K1684" s="140"/>
      <c r="L1684" s="1434"/>
      <c r="M1684" s="1318"/>
      <c r="N1684" s="1308"/>
      <c r="O1684" s="1308"/>
      <c r="P1684" s="97"/>
      <c r="Q1684" s="97"/>
      <c r="R1684" s="97"/>
      <c r="S1684" s="97"/>
      <c r="T1684" s="97"/>
      <c r="U1684" s="97"/>
      <c r="V1684" s="97"/>
      <c r="W1684" s="97"/>
      <c r="X1684" s="1295"/>
      <c r="Y1684" s="1522"/>
      <c r="Z1684" s="1586"/>
      <c r="AB1684" s="848"/>
      <c r="AC1684" s="848"/>
      <c r="AD1684" s="848"/>
      <c r="AE1684" s="848"/>
      <c r="AF1684" s="848"/>
      <c r="AG1684" s="848"/>
      <c r="AH1684" s="848"/>
      <c r="AI1684" s="848"/>
      <c r="AJ1684" s="848"/>
      <c r="AK1684" s="848"/>
      <c r="AL1684" s="848"/>
      <c r="AM1684" s="848"/>
      <c r="AN1684" s="848"/>
      <c r="AO1684" s="848"/>
      <c r="AP1684" s="848"/>
      <c r="AQ1684" s="848"/>
      <c r="AR1684" s="848"/>
      <c r="AS1684" s="848"/>
      <c r="AT1684" s="848"/>
      <c r="AU1684" s="848"/>
      <c r="AV1684" s="848"/>
      <c r="AW1684" s="848"/>
      <c r="AX1684" s="848"/>
      <c r="AY1684" s="848"/>
      <c r="AZ1684" s="848"/>
      <c r="BA1684" s="848"/>
      <c r="BB1684" s="848"/>
      <c r="BC1684" s="848"/>
      <c r="BD1684" s="848"/>
      <c r="BE1684" s="848"/>
      <c r="BF1684" s="848"/>
      <c r="BG1684" s="848"/>
      <c r="BH1684" s="848"/>
      <c r="BJ1684" s="1184" t="s">
        <v>4763</v>
      </c>
    </row>
    <row r="1685" spans="1:62" x14ac:dyDescent="0.3">
      <c r="A1685" s="1200">
        <v>9</v>
      </c>
      <c r="B1685" s="1210" t="s">
        <v>3416</v>
      </c>
      <c r="C1685" s="1203"/>
      <c r="D1685" s="1203"/>
      <c r="E1685" s="1203"/>
      <c r="F1685" s="1203"/>
      <c r="G1685" s="1202" t="str">
        <f t="shared" si="564"/>
        <v/>
      </c>
      <c r="H1685" s="1200" t="s">
        <v>4388</v>
      </c>
      <c r="I1685" s="620"/>
      <c r="J1685" s="238"/>
      <c r="K1685" s="238"/>
      <c r="L1685" s="623" t="s">
        <v>4026</v>
      </c>
      <c r="M1685" s="857"/>
      <c r="N1685" s="855"/>
      <c r="O1685" s="855"/>
      <c r="P1685" s="196"/>
      <c r="Q1685" s="196"/>
      <c r="R1685" s="196"/>
      <c r="S1685" s="196"/>
      <c r="T1685" s="196"/>
      <c r="U1685" s="196"/>
      <c r="V1685" s="196"/>
      <c r="W1685" s="196"/>
      <c r="X1685" s="1295"/>
      <c r="Y1685" s="1522"/>
      <c r="Z1685" s="1586"/>
      <c r="AB1685" s="848"/>
      <c r="AC1685" s="848"/>
      <c r="AD1685" s="848"/>
      <c r="AE1685" s="848"/>
      <c r="AF1685" s="848"/>
      <c r="AG1685" s="848"/>
      <c r="AH1685" s="848"/>
      <c r="AI1685" s="848"/>
      <c r="AJ1685" s="848"/>
      <c r="AK1685" s="848"/>
      <c r="AL1685" s="848"/>
      <c r="AM1685" s="848"/>
      <c r="AN1685" s="848"/>
      <c r="AO1685" s="848"/>
      <c r="AP1685" s="848"/>
      <c r="AQ1685" s="848"/>
      <c r="AR1685" s="848"/>
      <c r="AS1685" s="848"/>
      <c r="AT1685" s="848"/>
      <c r="AU1685" s="848"/>
      <c r="AV1685" s="848"/>
      <c r="AW1685" s="848"/>
      <c r="AX1685" s="848"/>
      <c r="AY1685" s="848"/>
      <c r="AZ1685" s="848"/>
      <c r="BA1685" s="848"/>
      <c r="BB1685" s="848"/>
      <c r="BC1685" s="848"/>
      <c r="BD1685" s="848"/>
      <c r="BE1685" s="848"/>
      <c r="BF1685" s="848"/>
      <c r="BG1685" s="848"/>
      <c r="BH1685" s="848"/>
      <c r="BJ1685" s="1184" t="s">
        <v>4763</v>
      </c>
    </row>
    <row r="1686" spans="1:62" x14ac:dyDescent="0.3">
      <c r="A1686" s="1200">
        <v>9</v>
      </c>
      <c r="B1686" s="1210" t="s">
        <v>3419</v>
      </c>
      <c r="C1686" s="1203"/>
      <c r="D1686" s="1203"/>
      <c r="E1686" s="1203"/>
      <c r="F1686" s="1203"/>
      <c r="G1686" s="1202" t="str">
        <f>IF(N1686&gt;0,"P","")</f>
        <v/>
      </c>
      <c r="H1686" s="1200" t="s">
        <v>4388</v>
      </c>
      <c r="I1686" s="141" t="s">
        <v>3419</v>
      </c>
      <c r="J1686" s="140"/>
      <c r="K1686" s="140"/>
      <c r="L1686" s="1313" t="s">
        <v>3420</v>
      </c>
      <c r="M1686" s="1318">
        <v>8</v>
      </c>
      <c r="N1686" s="1308">
        <f>'Ch9'!O139</f>
        <v>0</v>
      </c>
      <c r="O1686" s="1308">
        <f>M1686*S1686*W1686</f>
        <v>0</v>
      </c>
      <c r="P1686" s="97" t="b">
        <v>0</v>
      </c>
      <c r="Q1686" s="97" t="b">
        <v>1</v>
      </c>
      <c r="R1686" s="97" t="b">
        <v>0</v>
      </c>
      <c r="S1686" s="97" t="b">
        <f>AND(NOT(W1676),NOT(W1678),NOT(W1679))</f>
        <v>1</v>
      </c>
      <c r="T1686" s="97" t="b">
        <f>AND(NOT(S1686),W1686=TRUE)</f>
        <v>0</v>
      </c>
      <c r="U1686" s="97"/>
      <c r="V1686" s="97"/>
      <c r="W1686" s="25"/>
      <c r="X1686" s="1304"/>
      <c r="Y1686" s="1523" t="str">
        <f>IF(LEN('Ch9'!X139)=0,"None",'Ch9'!X139)</f>
        <v>None</v>
      </c>
      <c r="Z1686" s="1583"/>
      <c r="AB1686" s="848"/>
      <c r="AC1686" s="848" t="b">
        <f>OR(AD1686:AE1686)</f>
        <v>0</v>
      </c>
      <c r="AD1686" s="848" t="b">
        <f>T1686</f>
        <v>0</v>
      </c>
      <c r="AE1686" s="848" t="b">
        <f>AND(R1686,NOT(W1686))</f>
        <v>0</v>
      </c>
      <c r="AF1686" s="1182" t="b">
        <f>AND(AE1686,NOT(Q1686))</f>
        <v>0</v>
      </c>
      <c r="AG1686" s="848"/>
      <c r="AH1686" s="848"/>
      <c r="AI1686" s="848"/>
      <c r="AJ1686" s="848"/>
      <c r="AK1686" s="848"/>
      <c r="AL1686" s="311" t="str">
        <f t="shared" ref="AL1686" si="565">SUBSTITUTE(SUBSTITUTE(SUBSTITUTE("vpa"&amp;$B1686&amp;$C1686&amp;$D1686&amp;$E1686&amp;$F1686,".","_"),"(","_"),")","")</f>
        <v>vpa901_9_3</v>
      </c>
      <c r="AM1686" s="311">
        <f>M1686</f>
        <v>8</v>
      </c>
      <c r="AN1686" s="311" t="str">
        <f>SUBSTITUTE(SUBSTITUTE(SUBSTITUTE("vpc"&amp;$B1686&amp;$C1686&amp;$D1686&amp;$E1686&amp;$F1686,".","_"),"(","_"),")","")</f>
        <v>vpc901_9_3</v>
      </c>
      <c r="AO1686" s="311">
        <f>O1686</f>
        <v>0</v>
      </c>
      <c r="AP1686" s="311" t="str">
        <f>SUBSTITUTE(SUBSTITUTE(SUBSTITUTE("vch"&amp;$B1686&amp;$C1686&amp;$D1686&amp;$E1686&amp;$F1686,".","_"),"(","_"),")","")</f>
        <v>vch901_9_3</v>
      </c>
      <c r="AQ1686" s="311">
        <f>W1686</f>
        <v>0</v>
      </c>
      <c r="AR1686" s="311" t="str">
        <f>SUBSTITUTE(SUBSTITUTE(SUBSTITUTE("vnt"&amp;$B1686&amp;$C1686&amp;$D1686&amp;$E1686&amp;$F1686,".","_"),"(","_"),")","")</f>
        <v>vnt901_9_3</v>
      </c>
      <c r="AS1686" s="311">
        <f>X1686</f>
        <v>0</v>
      </c>
      <c r="AT1686" s="848"/>
      <c r="AU1686" s="848"/>
      <c r="AV1686" s="848"/>
      <c r="AW1686" s="848"/>
      <c r="AX1686" s="848"/>
      <c r="AY1686" s="848"/>
      <c r="AZ1686" s="848"/>
      <c r="BA1686" s="848"/>
      <c r="BB1686" s="848"/>
      <c r="BC1686" s="848"/>
      <c r="BD1686" s="848"/>
      <c r="BE1686" s="848"/>
      <c r="BF1686" s="848"/>
      <c r="BG1686" s="848"/>
      <c r="BH1686" s="848"/>
      <c r="BJ1686" s="1184" t="s">
        <v>4763</v>
      </c>
    </row>
    <row r="1687" spans="1:62" x14ac:dyDescent="0.3">
      <c r="A1687" s="1200">
        <v>9</v>
      </c>
      <c r="B1687" s="1210" t="s">
        <v>3419</v>
      </c>
      <c r="C1687" s="1203"/>
      <c r="D1687" s="1203"/>
      <c r="E1687" s="1203"/>
      <c r="F1687" s="1203"/>
      <c r="G1687" s="1202" t="str">
        <f t="shared" ref="G1687:G1691" si="566">G1686</f>
        <v/>
      </c>
      <c r="H1687" s="1200" t="s">
        <v>4388</v>
      </c>
      <c r="I1687" s="576"/>
      <c r="J1687" s="140"/>
      <c r="K1687" s="140"/>
      <c r="L1687" s="1313"/>
      <c r="M1687" s="1318"/>
      <c r="N1687" s="1308"/>
      <c r="O1687" s="1308"/>
      <c r="P1687" s="97"/>
      <c r="Q1687" s="97"/>
      <c r="R1687" s="97"/>
      <c r="S1687" s="97"/>
      <c r="T1687" s="97"/>
      <c r="U1687" s="97"/>
      <c r="V1687" s="97"/>
      <c r="W1687" s="97"/>
      <c r="X1687" s="1295"/>
      <c r="Y1687" s="1523"/>
      <c r="Z1687" s="1583"/>
      <c r="AB1687" s="848"/>
      <c r="AC1687" s="848"/>
      <c r="AD1687" s="848"/>
      <c r="AE1687" s="848"/>
      <c r="AF1687" s="848"/>
      <c r="AG1687" s="848"/>
      <c r="AH1687" s="848"/>
      <c r="AI1687" s="848"/>
      <c r="AJ1687" s="848"/>
      <c r="AK1687" s="848"/>
      <c r="AL1687" s="848"/>
      <c r="AM1687" s="848"/>
      <c r="AN1687" s="848"/>
      <c r="AO1687" s="848"/>
      <c r="AP1687" s="848"/>
      <c r="AQ1687" s="848"/>
      <c r="AR1687" s="848"/>
      <c r="AS1687" s="848"/>
      <c r="AT1687" s="848"/>
      <c r="AU1687" s="848"/>
      <c r="AV1687" s="848"/>
      <c r="AW1687" s="848"/>
      <c r="AX1687" s="848"/>
      <c r="AY1687" s="848"/>
      <c r="AZ1687" s="848"/>
      <c r="BA1687" s="848"/>
      <c r="BB1687" s="848"/>
      <c r="BC1687" s="848"/>
      <c r="BD1687" s="848"/>
      <c r="BE1687" s="848"/>
      <c r="BF1687" s="848"/>
      <c r="BG1687" s="848"/>
      <c r="BH1687" s="848"/>
      <c r="BJ1687" s="1184" t="s">
        <v>4763</v>
      </c>
    </row>
    <row r="1688" spans="1:62" x14ac:dyDescent="0.3">
      <c r="A1688" s="1200">
        <v>9</v>
      </c>
      <c r="B1688" s="1210" t="s">
        <v>3419</v>
      </c>
      <c r="C1688" s="1203"/>
      <c r="D1688" s="1203"/>
      <c r="E1688" s="1203"/>
      <c r="F1688" s="1203"/>
      <c r="G1688" s="1202" t="str">
        <f t="shared" si="566"/>
        <v/>
      </c>
      <c r="H1688" s="1200" t="s">
        <v>4388</v>
      </c>
      <c r="I1688" s="576"/>
      <c r="J1688" s="140"/>
      <c r="K1688" s="140"/>
      <c r="L1688" s="1313"/>
      <c r="M1688" s="1318"/>
      <c r="N1688" s="1308"/>
      <c r="O1688" s="1308"/>
      <c r="P1688" s="97"/>
      <c r="Q1688" s="97"/>
      <c r="R1688" s="97"/>
      <c r="S1688" s="97"/>
      <c r="T1688" s="97"/>
      <c r="U1688" s="97"/>
      <c r="V1688" s="97"/>
      <c r="W1688" s="97"/>
      <c r="X1688" s="1295"/>
      <c r="Y1688" s="1523"/>
      <c r="Z1688" s="1583"/>
      <c r="AB1688" s="848"/>
      <c r="AC1688" s="848"/>
      <c r="AD1688" s="848"/>
      <c r="AE1688" s="848"/>
      <c r="AF1688" s="848"/>
      <c r="AG1688" s="848"/>
      <c r="AH1688" s="848"/>
      <c r="AI1688" s="848"/>
      <c r="AJ1688" s="848"/>
      <c r="AK1688" s="848"/>
      <c r="AL1688" s="848"/>
      <c r="AM1688" s="848"/>
      <c r="AN1688" s="848"/>
      <c r="AO1688" s="848"/>
      <c r="AP1688" s="848"/>
      <c r="AQ1688" s="848"/>
      <c r="AR1688" s="848"/>
      <c r="AS1688" s="848"/>
      <c r="AT1688" s="848"/>
      <c r="AU1688" s="848"/>
      <c r="AV1688" s="848"/>
      <c r="AW1688" s="848"/>
      <c r="AX1688" s="848"/>
      <c r="AY1688" s="848"/>
      <c r="AZ1688" s="848"/>
      <c r="BA1688" s="848"/>
      <c r="BB1688" s="848"/>
      <c r="BC1688" s="848"/>
      <c r="BD1688" s="848"/>
      <c r="BE1688" s="848"/>
      <c r="BF1688" s="848"/>
      <c r="BG1688" s="848"/>
      <c r="BH1688" s="848"/>
      <c r="BJ1688" s="1184" t="s">
        <v>4763</v>
      </c>
    </row>
    <row r="1689" spans="1:62" x14ac:dyDescent="0.3">
      <c r="A1689" s="1200">
        <v>9</v>
      </c>
      <c r="B1689" s="1210" t="s">
        <v>3419</v>
      </c>
      <c r="C1689" s="1203"/>
      <c r="D1689" s="1203"/>
      <c r="E1689" s="1203"/>
      <c r="F1689" s="1203"/>
      <c r="G1689" s="1202" t="str">
        <f t="shared" si="566"/>
        <v/>
      </c>
      <c r="H1689" s="1200" t="s">
        <v>4388</v>
      </c>
      <c r="I1689" s="576"/>
      <c r="J1689" s="140"/>
      <c r="K1689" s="140"/>
      <c r="L1689" s="1313"/>
      <c r="M1689" s="1318"/>
      <c r="N1689" s="1308"/>
      <c r="O1689" s="1308"/>
      <c r="P1689" s="97"/>
      <c r="Q1689" s="97"/>
      <c r="R1689" s="97"/>
      <c r="S1689" s="97"/>
      <c r="T1689" s="97"/>
      <c r="U1689" s="97"/>
      <c r="V1689" s="97"/>
      <c r="W1689" s="97"/>
      <c r="X1689" s="1295"/>
      <c r="Y1689" s="1523"/>
      <c r="Z1689" s="1583"/>
      <c r="AB1689" s="848"/>
      <c r="AC1689" s="848"/>
      <c r="AD1689" s="848"/>
      <c r="AE1689" s="848"/>
      <c r="AF1689" s="848"/>
      <c r="AG1689" s="848"/>
      <c r="AH1689" s="848"/>
      <c r="AI1689" s="848"/>
      <c r="AJ1689" s="848"/>
      <c r="AK1689" s="848"/>
      <c r="AL1689" s="848"/>
      <c r="AM1689" s="848"/>
      <c r="AN1689" s="848"/>
      <c r="AO1689" s="848"/>
      <c r="AP1689" s="848"/>
      <c r="AQ1689" s="848"/>
      <c r="AR1689" s="848"/>
      <c r="AS1689" s="848"/>
      <c r="AT1689" s="848"/>
      <c r="AU1689" s="848"/>
      <c r="AV1689" s="848"/>
      <c r="AW1689" s="848"/>
      <c r="AX1689" s="848"/>
      <c r="AY1689" s="848"/>
      <c r="AZ1689" s="848"/>
      <c r="BA1689" s="848"/>
      <c r="BB1689" s="848"/>
      <c r="BC1689" s="848"/>
      <c r="BD1689" s="848"/>
      <c r="BE1689" s="848"/>
      <c r="BF1689" s="848"/>
      <c r="BG1689" s="848"/>
      <c r="BH1689" s="848"/>
      <c r="BJ1689" s="1184" t="s">
        <v>4763</v>
      </c>
    </row>
    <row r="1690" spans="1:62" x14ac:dyDescent="0.3">
      <c r="A1690" s="1200">
        <v>9</v>
      </c>
      <c r="B1690" s="1210" t="s">
        <v>3419</v>
      </c>
      <c r="C1690" s="1203"/>
      <c r="D1690" s="1203"/>
      <c r="E1690" s="1203"/>
      <c r="F1690" s="1203"/>
      <c r="G1690" s="1202" t="str">
        <f t="shared" si="566"/>
        <v/>
      </c>
      <c r="H1690" s="1200" t="s">
        <v>4388</v>
      </c>
      <c r="I1690" s="576"/>
      <c r="J1690" s="140"/>
      <c r="K1690" s="140"/>
      <c r="L1690" s="1313"/>
      <c r="M1690" s="1318"/>
      <c r="N1690" s="1308"/>
      <c r="O1690" s="1308"/>
      <c r="P1690" s="97"/>
      <c r="Q1690" s="97"/>
      <c r="R1690" s="97"/>
      <c r="S1690" s="97"/>
      <c r="T1690" s="97"/>
      <c r="U1690" s="97"/>
      <c r="V1690" s="97"/>
      <c r="W1690" s="97"/>
      <c r="X1690" s="1295"/>
      <c r="Y1690" s="1523"/>
      <c r="Z1690" s="1583"/>
      <c r="AB1690" s="848"/>
      <c r="AC1690" s="848"/>
      <c r="AD1690" s="848"/>
      <c r="AE1690" s="848"/>
      <c r="AF1690" s="848"/>
      <c r="AG1690" s="848"/>
      <c r="AH1690" s="848"/>
      <c r="AI1690" s="848"/>
      <c r="AJ1690" s="848"/>
      <c r="AK1690" s="848"/>
      <c r="AL1690" s="848"/>
      <c r="AM1690" s="848"/>
      <c r="AN1690" s="848"/>
      <c r="AO1690" s="848"/>
      <c r="AP1690" s="848"/>
      <c r="AQ1690" s="848"/>
      <c r="AR1690" s="848"/>
      <c r="AS1690" s="848"/>
      <c r="AT1690" s="848"/>
      <c r="AU1690" s="848"/>
      <c r="AV1690" s="848"/>
      <c r="AW1690" s="848"/>
      <c r="AX1690" s="848"/>
      <c r="AY1690" s="848"/>
      <c r="AZ1690" s="848"/>
      <c r="BA1690" s="848"/>
      <c r="BB1690" s="848"/>
      <c r="BC1690" s="848"/>
      <c r="BD1690" s="848"/>
      <c r="BE1690" s="848"/>
      <c r="BF1690" s="848"/>
      <c r="BG1690" s="848"/>
      <c r="BH1690" s="848"/>
      <c r="BJ1690" s="1184" t="s">
        <v>4763</v>
      </c>
    </row>
    <row r="1691" spans="1:62" ht="15" thickBot="1" x14ac:dyDescent="0.35">
      <c r="A1691" s="1200">
        <v>9</v>
      </c>
      <c r="B1691" s="1210" t="s">
        <v>3419</v>
      </c>
      <c r="C1691" s="1203"/>
      <c r="D1691" s="1203"/>
      <c r="E1691" s="1203"/>
      <c r="F1691" s="1203"/>
      <c r="G1691" s="1202" t="str">
        <f t="shared" si="566"/>
        <v/>
      </c>
      <c r="H1691" s="1200" t="s">
        <v>4388</v>
      </c>
      <c r="I1691" s="577"/>
      <c r="J1691" s="270"/>
      <c r="K1691" s="270"/>
      <c r="L1691" s="1332"/>
      <c r="M1691" s="1334"/>
      <c r="N1691" s="1315"/>
      <c r="O1691" s="1315"/>
      <c r="P1691" s="104"/>
      <c r="Q1691" s="104"/>
      <c r="R1691" s="104"/>
      <c r="S1691" s="104"/>
      <c r="T1691" s="104"/>
      <c r="U1691" s="104"/>
      <c r="V1691" s="104"/>
      <c r="W1691" s="104"/>
      <c r="X1691" s="1296"/>
      <c r="Y1691" s="1524"/>
      <c r="Z1691" s="1584"/>
      <c r="AB1691" s="848"/>
      <c r="AC1691" s="848"/>
      <c r="AD1691" s="848"/>
      <c r="AE1691" s="848"/>
      <c r="AF1691" s="848"/>
      <c r="AG1691" s="848"/>
      <c r="AH1691" s="848"/>
      <c r="AI1691" s="848"/>
      <c r="AJ1691" s="848"/>
      <c r="AK1691" s="848"/>
      <c r="AL1691" s="848"/>
      <c r="AM1691" s="848"/>
      <c r="AN1691" s="848"/>
      <c r="AO1691" s="848"/>
      <c r="AP1691" s="848"/>
      <c r="AQ1691" s="848"/>
      <c r="AR1691" s="848"/>
      <c r="AS1691" s="848"/>
      <c r="AT1691" s="848"/>
      <c r="AU1691" s="848"/>
      <c r="AV1691" s="848"/>
      <c r="AW1691" s="848"/>
      <c r="AX1691" s="848"/>
      <c r="AY1691" s="848"/>
      <c r="AZ1691" s="848"/>
      <c r="BA1691" s="848"/>
      <c r="BB1691" s="848"/>
      <c r="BC1691" s="848"/>
      <c r="BD1691" s="848"/>
      <c r="BE1691" s="848"/>
      <c r="BF1691" s="848"/>
      <c r="BG1691" s="848"/>
      <c r="BH1691" s="848"/>
      <c r="BJ1691" s="1184" t="s">
        <v>4763</v>
      </c>
    </row>
    <row r="1692" spans="1:62" ht="15" thickTop="1" x14ac:dyDescent="0.3">
      <c r="A1692" s="1200">
        <v>9</v>
      </c>
      <c r="B1692" s="1223" t="s">
        <v>4385</v>
      </c>
      <c r="C1692" s="1203"/>
      <c r="D1692" s="1203"/>
      <c r="E1692" s="1203"/>
      <c r="F1692" s="1203"/>
      <c r="G1692" s="1202" t="str">
        <f>IF(N1692&gt;0,"P","")</f>
        <v/>
      </c>
      <c r="H1692" s="1200" t="s">
        <v>4388</v>
      </c>
      <c r="I1692" s="252">
        <v>901.1</v>
      </c>
      <c r="J1692" s="4"/>
      <c r="K1692" s="4"/>
      <c r="L1692" s="1292" t="s">
        <v>3421</v>
      </c>
      <c r="M1692" s="866"/>
      <c r="N1692" s="1310">
        <f>'Ch9'!O145</f>
        <v>0</v>
      </c>
      <c r="O1692" s="1310">
        <f>IF(W1701=TRUE,5,IF(W1700=TRUE,5,IF(W1695=TRUE,8,0)))*S1695</f>
        <v>0</v>
      </c>
      <c r="P1692" s="848"/>
      <c r="Q1692" s="848"/>
      <c r="R1692" s="848"/>
      <c r="S1692" s="848"/>
      <c r="T1692" s="848"/>
      <c r="U1692" s="848"/>
      <c r="V1692" s="848"/>
      <c r="W1692" s="848"/>
      <c r="X1692" s="848"/>
      <c r="Y1692" s="848"/>
      <c r="Z1692" s="1055"/>
      <c r="AB1692" s="848"/>
      <c r="AC1692" s="848"/>
      <c r="AD1692" s="848"/>
      <c r="AE1692" s="848"/>
      <c r="AF1692" s="848"/>
      <c r="AG1692" s="848"/>
      <c r="AH1692" s="848"/>
      <c r="AI1692" s="848"/>
      <c r="AJ1692" s="848"/>
      <c r="AK1692" s="848"/>
      <c r="AL1692" s="848"/>
      <c r="AM1692" s="848"/>
      <c r="AN1692" s="311" t="str">
        <f>SUBSTITUTE(SUBSTITUTE(SUBSTITUTE("vpc"&amp;$B1692&amp;$C1692&amp;$D1692&amp;$E1692&amp;$F1692,".","_"),"(","_"),")","")</f>
        <v>vpc901_10</v>
      </c>
      <c r="AO1692" s="311">
        <f>O1692</f>
        <v>0</v>
      </c>
      <c r="AP1692" s="848"/>
      <c r="AQ1692" s="848"/>
      <c r="AR1692" s="848"/>
      <c r="AS1692" s="848"/>
      <c r="AT1692" s="848"/>
      <c r="AU1692" s="848"/>
      <c r="AV1692" s="848"/>
      <c r="AW1692" s="848"/>
      <c r="AX1692" s="848"/>
      <c r="AY1692" s="848"/>
      <c r="AZ1692" s="848"/>
      <c r="BA1692" s="848"/>
      <c r="BB1692" s="848"/>
      <c r="BC1692" s="848"/>
      <c r="BD1692" s="848"/>
      <c r="BE1692" s="848"/>
      <c r="BF1692" s="848"/>
      <c r="BG1692" s="848"/>
      <c r="BH1692" s="848"/>
      <c r="BJ1692" s="1184" t="s">
        <v>4763</v>
      </c>
    </row>
    <row r="1693" spans="1:62" x14ac:dyDescent="0.3">
      <c r="A1693" s="1200">
        <v>9</v>
      </c>
      <c r="B1693" s="1223" t="s">
        <v>4385</v>
      </c>
      <c r="C1693" s="1203"/>
      <c r="D1693" s="1203"/>
      <c r="E1693" s="1203"/>
      <c r="F1693" s="1203"/>
      <c r="G1693" s="1202" t="str">
        <f t="shared" ref="G1693:G1704" si="567">G1692</f>
        <v/>
      </c>
      <c r="H1693" s="1200" t="s">
        <v>4388</v>
      </c>
      <c r="I1693" s="182"/>
      <c r="J1693" s="4"/>
      <c r="K1693" s="4"/>
      <c r="L1693" s="1292"/>
      <c r="M1693" s="866"/>
      <c r="N1693" s="1310"/>
      <c r="O1693" s="1310"/>
      <c r="P1693" s="848"/>
      <c r="Q1693" s="848"/>
      <c r="R1693" s="848"/>
      <c r="S1693" s="848"/>
      <c r="T1693" s="848"/>
      <c r="U1693" s="848"/>
      <c r="V1693" s="848"/>
      <c r="W1693" s="848"/>
      <c r="X1693" s="848"/>
      <c r="Y1693" s="848"/>
      <c r="Z1693" s="1055"/>
      <c r="AB1693" s="848"/>
      <c r="AC1693" s="848"/>
      <c r="AD1693" s="848"/>
      <c r="AE1693" s="848"/>
      <c r="AF1693" s="848"/>
      <c r="AG1693" s="848"/>
      <c r="AH1693" s="848"/>
      <c r="AI1693" s="848"/>
      <c r="AJ1693" s="848"/>
      <c r="AK1693" s="848"/>
      <c r="AL1693" s="848"/>
      <c r="AM1693" s="848"/>
      <c r="AN1693" s="848"/>
      <c r="AO1693" s="848"/>
      <c r="AP1693" s="848"/>
      <c r="AQ1693" s="848"/>
      <c r="AR1693" s="848"/>
      <c r="AS1693" s="848"/>
      <c r="AT1693" s="848"/>
      <c r="AU1693" s="848"/>
      <c r="AV1693" s="848"/>
      <c r="AW1693" s="848"/>
      <c r="AX1693" s="848"/>
      <c r="AY1693" s="848"/>
      <c r="AZ1693" s="848"/>
      <c r="BA1693" s="848"/>
      <c r="BB1693" s="848"/>
      <c r="BC1693" s="848"/>
      <c r="BD1693" s="848"/>
      <c r="BE1693" s="848"/>
      <c r="BF1693" s="848"/>
      <c r="BG1693" s="848"/>
      <c r="BH1693" s="848"/>
      <c r="BJ1693" s="1184" t="s">
        <v>4763</v>
      </c>
    </row>
    <row r="1694" spans="1:62" x14ac:dyDescent="0.3">
      <c r="A1694" s="1200">
        <v>9</v>
      </c>
      <c r="B1694" s="1223" t="s">
        <v>4385</v>
      </c>
      <c r="C1694" s="1203"/>
      <c r="D1694" s="1203"/>
      <c r="E1694" s="1203"/>
      <c r="F1694" s="1203"/>
      <c r="G1694" s="1202" t="str">
        <f t="shared" si="567"/>
        <v/>
      </c>
      <c r="H1694" s="1200" t="s">
        <v>4388</v>
      </c>
      <c r="I1694" s="182"/>
      <c r="J1694" s="4"/>
      <c r="K1694" s="4"/>
      <c r="L1694" s="1292"/>
      <c r="M1694" s="866"/>
      <c r="N1694" s="1310"/>
      <c r="O1694" s="1310"/>
      <c r="P1694" s="848"/>
      <c r="Q1694" s="848"/>
      <c r="R1694" s="848"/>
      <c r="S1694" s="848"/>
      <c r="T1694" s="848"/>
      <c r="U1694" s="848"/>
      <c r="V1694" s="848"/>
      <c r="W1694" s="848"/>
      <c r="X1694" s="848"/>
      <c r="Y1694" s="848"/>
      <c r="Z1694" s="1055"/>
      <c r="AB1694" s="848"/>
      <c r="AC1694" s="848"/>
      <c r="AD1694" s="848"/>
      <c r="AE1694" s="848"/>
      <c r="AF1694" s="848"/>
      <c r="AG1694" s="848"/>
      <c r="AH1694" s="848"/>
      <c r="AI1694" s="848"/>
      <c r="AJ1694" s="848"/>
      <c r="AK1694" s="848"/>
      <c r="AL1694" s="848"/>
      <c r="AM1694" s="848"/>
      <c r="AN1694" s="848"/>
      <c r="AO1694" s="848"/>
      <c r="AP1694" s="848"/>
      <c r="AQ1694" s="848"/>
      <c r="AR1694" s="848"/>
      <c r="AS1694" s="848"/>
      <c r="AT1694" s="848"/>
      <c r="AU1694" s="848"/>
      <c r="AV1694" s="848"/>
      <c r="AW1694" s="848"/>
      <c r="AX1694" s="848"/>
      <c r="AY1694" s="848"/>
      <c r="AZ1694" s="848"/>
      <c r="BA1694" s="848"/>
      <c r="BB1694" s="848"/>
      <c r="BC1694" s="848"/>
      <c r="BD1694" s="848"/>
      <c r="BE1694" s="848"/>
      <c r="BF1694" s="848"/>
      <c r="BG1694" s="848"/>
      <c r="BH1694" s="848"/>
      <c r="BJ1694" s="1184" t="s">
        <v>4763</v>
      </c>
    </row>
    <row r="1695" spans="1:62" x14ac:dyDescent="0.3">
      <c r="A1695" s="1200">
        <v>9</v>
      </c>
      <c r="B1695" s="1223" t="s">
        <v>4385</v>
      </c>
      <c r="C1695" s="1203"/>
      <c r="D1695" s="1203"/>
      <c r="E1695" s="1203" t="s">
        <v>271</v>
      </c>
      <c r="F1695" s="1203"/>
      <c r="G1695" s="1202" t="str">
        <f t="shared" si="567"/>
        <v/>
      </c>
      <c r="H1695" s="1200" t="s">
        <v>4388</v>
      </c>
      <c r="I1695" s="182"/>
      <c r="J1695" s="203" t="s">
        <v>271</v>
      </c>
      <c r="K1695" s="140"/>
      <c r="L1695" s="1305" t="s">
        <v>3422</v>
      </c>
      <c r="M1695" s="1318">
        <v>8</v>
      </c>
      <c r="N1695" s="850"/>
      <c r="O1695" s="850"/>
      <c r="P1695" s="97" t="b">
        <v>0</v>
      </c>
      <c r="Q1695" s="97" t="b">
        <v>1</v>
      </c>
      <c r="R1695" s="848" t="b">
        <v>0</v>
      </c>
      <c r="S1695" s="848" t="b">
        <v>1</v>
      </c>
      <c r="T1695" s="848" t="b">
        <v>0</v>
      </c>
      <c r="U1695" s="848"/>
      <c r="V1695" s="848"/>
      <c r="W1695" s="25"/>
      <c r="X1695" s="1303"/>
      <c r="Y1695" s="1522" t="str">
        <f>IF(LEN('Ch9'!X148)=0,"None",'Ch9'!X148)</f>
        <v>None</v>
      </c>
      <c r="Z1695" s="1586"/>
      <c r="AB1695" s="848"/>
      <c r="AC1695" s="848" t="b">
        <f>OR(AD1695:AE1695)</f>
        <v>0</v>
      </c>
      <c r="AD1695" s="848" t="b">
        <f>T1695</f>
        <v>0</v>
      </c>
      <c r="AE1695" s="848" t="b">
        <f>AND(R1695,NOT(W1695))</f>
        <v>0</v>
      </c>
      <c r="AF1695" s="1182" t="b">
        <f>AND(AE1695,NOT(Q1695))</f>
        <v>0</v>
      </c>
      <c r="AG1695" s="848"/>
      <c r="AH1695" s="848"/>
      <c r="AI1695" s="848"/>
      <c r="AJ1695" s="848"/>
      <c r="AK1695" s="848"/>
      <c r="AL1695" s="311" t="str">
        <f t="shared" ref="AL1695" si="568">SUBSTITUTE(SUBSTITUTE(SUBSTITUTE("vpa"&amp;$B1695&amp;$C1695&amp;$D1695&amp;$E1695&amp;$F1695,".","_"),"(","_"),")","")</f>
        <v>vpa901_10_1</v>
      </c>
      <c r="AM1695" s="311">
        <f>M1695</f>
        <v>8</v>
      </c>
      <c r="AN1695" s="848"/>
      <c r="AO1695" s="848"/>
      <c r="AP1695" s="311" t="str">
        <f>SUBSTITUTE(SUBSTITUTE(SUBSTITUTE("vch"&amp;$B1695&amp;$C1695&amp;$D1695&amp;$E1695&amp;$F1695,".","_"),"(","_"),")","")</f>
        <v>vch901_10_1</v>
      </c>
      <c r="AQ1695" s="311">
        <f>W1695</f>
        <v>0</v>
      </c>
      <c r="AR1695" s="311" t="str">
        <f>SUBSTITUTE(SUBSTITUTE(SUBSTITUTE("vnt"&amp;$B1695&amp;$C1695&amp;$D1695&amp;$E1695&amp;$F1695,".","_"),"(","_"),")","")</f>
        <v>vnt901_10_1</v>
      </c>
      <c r="AS1695" s="311">
        <f>X1695</f>
        <v>0</v>
      </c>
      <c r="AT1695" s="848"/>
      <c r="AU1695" s="848"/>
      <c r="AV1695" s="848"/>
      <c r="AW1695" s="848"/>
      <c r="AX1695" s="848"/>
      <c r="AY1695" s="848"/>
      <c r="AZ1695" s="848"/>
      <c r="BA1695" s="848"/>
      <c r="BB1695" s="848"/>
      <c r="BC1695" s="848"/>
      <c r="BD1695" s="848"/>
      <c r="BE1695" s="848"/>
      <c r="BF1695" s="848"/>
      <c r="BG1695" s="848"/>
      <c r="BH1695" s="848"/>
      <c r="BJ1695" s="1184" t="s">
        <v>4763</v>
      </c>
    </row>
    <row r="1696" spans="1:62" x14ac:dyDescent="0.3">
      <c r="A1696" s="1200">
        <v>9</v>
      </c>
      <c r="B1696" s="1223" t="s">
        <v>4385</v>
      </c>
      <c r="C1696" s="1203"/>
      <c r="D1696" s="1203"/>
      <c r="E1696" s="1203" t="s">
        <v>271</v>
      </c>
      <c r="F1696" s="1203"/>
      <c r="G1696" s="1202" t="str">
        <f t="shared" si="567"/>
        <v/>
      </c>
      <c r="H1696" s="1200" t="s">
        <v>4388</v>
      </c>
      <c r="I1696" s="182"/>
      <c r="J1696" s="140"/>
      <c r="K1696" s="140"/>
      <c r="L1696" s="1305"/>
      <c r="M1696" s="1318"/>
      <c r="N1696" s="850"/>
      <c r="O1696" s="850"/>
      <c r="P1696" s="848"/>
      <c r="Q1696" s="848"/>
      <c r="R1696" s="848"/>
      <c r="S1696" s="848"/>
      <c r="T1696" s="848"/>
      <c r="U1696" s="848"/>
      <c r="V1696" s="848"/>
      <c r="W1696" s="848"/>
      <c r="X1696" s="1303"/>
      <c r="Y1696" s="1522"/>
      <c r="Z1696" s="1586"/>
      <c r="AB1696" s="848"/>
      <c r="AC1696" s="848"/>
      <c r="AD1696" s="848"/>
      <c r="AE1696" s="848"/>
      <c r="AF1696" s="848"/>
      <c r="AG1696" s="848"/>
      <c r="AH1696" s="848"/>
      <c r="AI1696" s="848"/>
      <c r="AJ1696" s="848"/>
      <c r="AK1696" s="848"/>
      <c r="AL1696" s="848"/>
      <c r="AM1696" s="848"/>
      <c r="AN1696" s="848"/>
      <c r="AO1696" s="848"/>
      <c r="AP1696" s="848"/>
      <c r="AQ1696" s="848"/>
      <c r="AR1696" s="848"/>
      <c r="AS1696" s="848"/>
      <c r="AT1696" s="848"/>
      <c r="AU1696" s="848"/>
      <c r="AV1696" s="848"/>
      <c r="AW1696" s="848"/>
      <c r="AX1696" s="848"/>
      <c r="AY1696" s="848"/>
      <c r="AZ1696" s="848"/>
      <c r="BA1696" s="848"/>
      <c r="BB1696" s="848"/>
      <c r="BC1696" s="848"/>
      <c r="BD1696" s="848"/>
      <c r="BE1696" s="848"/>
      <c r="BF1696" s="848"/>
      <c r="BG1696" s="848"/>
      <c r="BH1696" s="848"/>
      <c r="BJ1696" s="1184" t="s">
        <v>4763</v>
      </c>
    </row>
    <row r="1697" spans="1:62" x14ac:dyDescent="0.3">
      <c r="A1697" s="1200">
        <v>9</v>
      </c>
      <c r="B1697" s="1223" t="s">
        <v>4385</v>
      </c>
      <c r="C1697" s="1203"/>
      <c r="D1697" s="1203"/>
      <c r="E1697" s="1203" t="s">
        <v>271</v>
      </c>
      <c r="F1697" s="1203"/>
      <c r="G1697" s="1202" t="str">
        <f t="shared" si="567"/>
        <v/>
      </c>
      <c r="H1697" s="1200" t="s">
        <v>4388</v>
      </c>
      <c r="I1697" s="182"/>
      <c r="J1697" s="140"/>
      <c r="K1697" s="140"/>
      <c r="L1697" s="1305"/>
      <c r="M1697" s="1318"/>
      <c r="N1697" s="850"/>
      <c r="O1697" s="850"/>
      <c r="P1697" s="848"/>
      <c r="Q1697" s="848"/>
      <c r="R1697" s="848"/>
      <c r="S1697" s="848"/>
      <c r="T1697" s="848"/>
      <c r="U1697" s="848"/>
      <c r="V1697" s="848"/>
      <c r="W1697" s="848"/>
      <c r="X1697" s="1303"/>
      <c r="Y1697" s="1522"/>
      <c r="Z1697" s="1586"/>
      <c r="AB1697" s="848"/>
      <c r="AC1697" s="848"/>
      <c r="AD1697" s="848"/>
      <c r="AE1697" s="848"/>
      <c r="AF1697" s="848"/>
      <c r="AG1697" s="848"/>
      <c r="AH1697" s="848"/>
      <c r="AI1697" s="848"/>
      <c r="AJ1697" s="848"/>
      <c r="AK1697" s="848"/>
      <c r="AL1697" s="848"/>
      <c r="AM1697" s="848"/>
      <c r="AN1697" s="848"/>
      <c r="AO1697" s="848"/>
      <c r="AP1697" s="848"/>
      <c r="AQ1697" s="848"/>
      <c r="AR1697" s="848"/>
      <c r="AS1697" s="848"/>
      <c r="AT1697" s="848"/>
      <c r="AU1697" s="848"/>
      <c r="AV1697" s="848"/>
      <c r="AW1697" s="848"/>
      <c r="AX1697" s="848"/>
      <c r="AY1697" s="848"/>
      <c r="AZ1697" s="848"/>
      <c r="BA1697" s="848"/>
      <c r="BB1697" s="848"/>
      <c r="BC1697" s="848"/>
      <c r="BD1697" s="848"/>
      <c r="BE1697" s="848"/>
      <c r="BF1697" s="848"/>
      <c r="BG1697" s="848"/>
      <c r="BH1697" s="848"/>
      <c r="BJ1697" s="1184" t="s">
        <v>4763</v>
      </c>
    </row>
    <row r="1698" spans="1:62" x14ac:dyDescent="0.3">
      <c r="A1698" s="1200">
        <v>9</v>
      </c>
      <c r="B1698" s="1223" t="s">
        <v>4385</v>
      </c>
      <c r="C1698" s="1203"/>
      <c r="D1698" s="1203"/>
      <c r="E1698" s="1203" t="s">
        <v>271</v>
      </c>
      <c r="F1698" s="1203"/>
      <c r="G1698" s="1202" t="str">
        <f t="shared" si="567"/>
        <v/>
      </c>
      <c r="H1698" s="1200" t="s">
        <v>4388</v>
      </c>
      <c r="I1698" s="182"/>
      <c r="J1698" s="140"/>
      <c r="K1698" s="140"/>
      <c r="L1698" s="1305"/>
      <c r="M1698" s="1318"/>
      <c r="N1698" s="850"/>
      <c r="O1698" s="850"/>
      <c r="P1698" s="848"/>
      <c r="Q1698" s="848"/>
      <c r="R1698" s="848"/>
      <c r="S1698" s="848"/>
      <c r="T1698" s="848"/>
      <c r="U1698" s="848"/>
      <c r="V1698" s="848"/>
      <c r="W1698" s="848"/>
      <c r="X1698" s="1303"/>
      <c r="Y1698" s="1522"/>
      <c r="Z1698" s="1586"/>
      <c r="AB1698" s="848"/>
      <c r="AC1698" s="848"/>
      <c r="AD1698" s="848"/>
      <c r="AE1698" s="848"/>
      <c r="AF1698" s="848"/>
      <c r="AG1698" s="848"/>
      <c r="AH1698" s="848"/>
      <c r="AI1698" s="848"/>
      <c r="AJ1698" s="848"/>
      <c r="AK1698" s="848"/>
      <c r="AL1698" s="848"/>
      <c r="AM1698" s="848"/>
      <c r="AN1698" s="848"/>
      <c r="AO1698" s="848"/>
      <c r="AP1698" s="848"/>
      <c r="AQ1698" s="848"/>
      <c r="AR1698" s="848"/>
      <c r="AS1698" s="848"/>
      <c r="AT1698" s="848"/>
      <c r="AU1698" s="848"/>
      <c r="AV1698" s="848"/>
      <c r="AW1698" s="848"/>
      <c r="AX1698" s="848"/>
      <c r="AY1698" s="848"/>
      <c r="AZ1698" s="848"/>
      <c r="BA1698" s="848"/>
      <c r="BB1698" s="848"/>
      <c r="BC1698" s="848"/>
      <c r="BD1698" s="848"/>
      <c r="BE1698" s="848"/>
      <c r="BF1698" s="848"/>
      <c r="BG1698" s="848"/>
      <c r="BH1698" s="848"/>
      <c r="BJ1698" s="1184" t="s">
        <v>4763</v>
      </c>
    </row>
    <row r="1699" spans="1:62" x14ac:dyDescent="0.3">
      <c r="A1699" s="1200">
        <v>9</v>
      </c>
      <c r="B1699" s="1223" t="s">
        <v>4385</v>
      </c>
      <c r="C1699" s="1203"/>
      <c r="D1699" s="1203"/>
      <c r="E1699" s="1203" t="s">
        <v>271</v>
      </c>
      <c r="F1699" s="1203"/>
      <c r="G1699" s="1202" t="str">
        <f t="shared" si="567"/>
        <v/>
      </c>
      <c r="H1699" s="1200" t="s">
        <v>4388</v>
      </c>
      <c r="I1699" s="182"/>
      <c r="J1699" s="238"/>
      <c r="K1699" s="238"/>
      <c r="L1699" s="1306"/>
      <c r="M1699" s="1319"/>
      <c r="N1699" s="850"/>
      <c r="O1699" s="850"/>
      <c r="P1699" s="848"/>
      <c r="Q1699" s="848"/>
      <c r="R1699" s="848"/>
      <c r="S1699" s="848"/>
      <c r="T1699" s="848"/>
      <c r="U1699" s="848"/>
      <c r="V1699" s="848"/>
      <c r="W1699" s="848"/>
      <c r="X1699" s="1303"/>
      <c r="Y1699" s="1522"/>
      <c r="Z1699" s="1586"/>
      <c r="AB1699" s="848"/>
      <c r="AC1699" s="848"/>
      <c r="AD1699" s="848"/>
      <c r="AE1699" s="848"/>
      <c r="AF1699" s="848"/>
      <c r="AG1699" s="848"/>
      <c r="AH1699" s="848"/>
      <c r="AI1699" s="848"/>
      <c r="AJ1699" s="848"/>
      <c r="AK1699" s="848"/>
      <c r="AL1699" s="848"/>
      <c r="AM1699" s="848"/>
      <c r="AN1699" s="848"/>
      <c r="AO1699" s="848"/>
      <c r="AP1699" s="848"/>
      <c r="AQ1699" s="848"/>
      <c r="AR1699" s="848"/>
      <c r="AS1699" s="848"/>
      <c r="AT1699" s="848"/>
      <c r="AU1699" s="848"/>
      <c r="AV1699" s="848"/>
      <c r="AW1699" s="848"/>
      <c r="AX1699" s="848"/>
      <c r="AY1699" s="848"/>
      <c r="AZ1699" s="848"/>
      <c r="BA1699" s="848"/>
      <c r="BB1699" s="848"/>
      <c r="BC1699" s="848"/>
      <c r="BD1699" s="848"/>
      <c r="BE1699" s="848"/>
      <c r="BF1699" s="848"/>
      <c r="BG1699" s="848"/>
      <c r="BH1699" s="848"/>
      <c r="BJ1699" s="1184" t="s">
        <v>4763</v>
      </c>
    </row>
    <row r="1700" spans="1:62" x14ac:dyDescent="0.3">
      <c r="A1700" s="1200">
        <v>9</v>
      </c>
      <c r="B1700" s="1223" t="s">
        <v>4385</v>
      </c>
      <c r="C1700" s="1203"/>
      <c r="D1700" s="1203"/>
      <c r="E1700" s="1203" t="s">
        <v>273</v>
      </c>
      <c r="F1700" s="1203"/>
      <c r="G1700" s="1202" t="str">
        <f t="shared" si="567"/>
        <v/>
      </c>
      <c r="H1700" s="1200" t="s">
        <v>4388</v>
      </c>
      <c r="I1700" s="182"/>
      <c r="J1700" s="231" t="s">
        <v>273</v>
      </c>
      <c r="K1700" s="238"/>
      <c r="L1700" s="862" t="s">
        <v>3423</v>
      </c>
      <c r="M1700" s="857">
        <v>5</v>
      </c>
      <c r="N1700" s="850"/>
      <c r="O1700" s="850"/>
      <c r="P1700" s="97" t="b">
        <v>0</v>
      </c>
      <c r="Q1700" s="97" t="b">
        <v>1</v>
      </c>
      <c r="R1700" s="848" t="b">
        <v>0</v>
      </c>
      <c r="S1700" s="848" t="b">
        <v>1</v>
      </c>
      <c r="T1700" s="848" t="b">
        <v>0</v>
      </c>
      <c r="U1700" s="848"/>
      <c r="V1700" s="848"/>
      <c r="W1700" s="25"/>
      <c r="X1700" s="851"/>
      <c r="Y1700" s="889" t="str">
        <f>IF(LEN('Ch9'!X153)=0,"None",'Ch9'!X153)</f>
        <v>None</v>
      </c>
      <c r="Z1700" s="1169"/>
      <c r="AB1700" s="848"/>
      <c r="AC1700" s="848" t="b">
        <f>OR(AD1700:AE1700)</f>
        <v>0</v>
      </c>
      <c r="AD1700" s="848" t="b">
        <f>T1700</f>
        <v>0</v>
      </c>
      <c r="AE1700" s="848" t="b">
        <f>AND(R1700,NOT(W1700))</f>
        <v>0</v>
      </c>
      <c r="AF1700" s="1182" t="b">
        <f>AND(AE1700,NOT(Q1700))</f>
        <v>0</v>
      </c>
      <c r="AG1700" s="848"/>
      <c r="AH1700" s="848"/>
      <c r="AI1700" s="848"/>
      <c r="AJ1700" s="848"/>
      <c r="AK1700" s="848"/>
      <c r="AL1700" s="311" t="str">
        <f t="shared" ref="AL1700:AL1701" si="569">SUBSTITUTE(SUBSTITUTE(SUBSTITUTE("vpa"&amp;$B1700&amp;$C1700&amp;$D1700&amp;$E1700&amp;$F1700,".","_"),"(","_"),")","")</f>
        <v>vpa901_10_2</v>
      </c>
      <c r="AM1700" s="311">
        <f>M1700</f>
        <v>5</v>
      </c>
      <c r="AN1700" s="848"/>
      <c r="AO1700" s="848"/>
      <c r="AP1700" s="311" t="str">
        <f t="shared" ref="AP1700:AP1701" si="570">SUBSTITUTE(SUBSTITUTE(SUBSTITUTE("vch"&amp;$B1700&amp;$C1700&amp;$D1700&amp;$E1700&amp;$F1700,".","_"),"(","_"),")","")</f>
        <v>vch901_10_2</v>
      </c>
      <c r="AQ1700" s="311">
        <f>W1700</f>
        <v>0</v>
      </c>
      <c r="AR1700" s="311" t="str">
        <f t="shared" ref="AR1700:AR1701" si="571">SUBSTITUTE(SUBSTITUTE(SUBSTITUTE("vnt"&amp;$B1700&amp;$C1700&amp;$D1700&amp;$E1700&amp;$F1700,".","_"),"(","_"),")","")</f>
        <v>vnt901_10_2</v>
      </c>
      <c r="AS1700" s="311">
        <f>X1700</f>
        <v>0</v>
      </c>
      <c r="AT1700" s="848"/>
      <c r="AU1700" s="848"/>
      <c r="AV1700" s="848"/>
      <c r="AW1700" s="848"/>
      <c r="AX1700" s="848"/>
      <c r="AY1700" s="848"/>
      <c r="AZ1700" s="848"/>
      <c r="BA1700" s="848"/>
      <c r="BB1700" s="848"/>
      <c r="BC1700" s="848"/>
      <c r="BD1700" s="848"/>
      <c r="BE1700" s="848"/>
      <c r="BF1700" s="848"/>
      <c r="BG1700" s="848"/>
      <c r="BH1700" s="848"/>
      <c r="BJ1700" s="1184" t="s">
        <v>4763</v>
      </c>
    </row>
    <row r="1701" spans="1:62" x14ac:dyDescent="0.3">
      <c r="A1701" s="1200">
        <v>9</v>
      </c>
      <c r="B1701" s="1223" t="s">
        <v>4385</v>
      </c>
      <c r="C1701" s="1203"/>
      <c r="D1701" s="1203"/>
      <c r="E1701" s="1203" t="s">
        <v>275</v>
      </c>
      <c r="F1701" s="1203"/>
      <c r="G1701" s="1202" t="str">
        <f t="shared" si="567"/>
        <v/>
      </c>
      <c r="H1701" s="1200" t="s">
        <v>4388</v>
      </c>
      <c r="I1701" s="576"/>
      <c r="J1701" s="203" t="s">
        <v>275</v>
      </c>
      <c r="K1701" s="140"/>
      <c r="L1701" s="1305" t="s">
        <v>3424</v>
      </c>
      <c r="M1701" s="1318">
        <v>5</v>
      </c>
      <c r="N1701" s="854"/>
      <c r="O1701" s="854"/>
      <c r="P1701" s="97" t="b">
        <v>0</v>
      </c>
      <c r="Q1701" s="97" t="b">
        <v>1</v>
      </c>
      <c r="R1701" s="97" t="b">
        <v>0</v>
      </c>
      <c r="S1701" s="97" t="b">
        <v>1</v>
      </c>
      <c r="T1701" s="97" t="b">
        <v>0</v>
      </c>
      <c r="U1701" s="97"/>
      <c r="V1701" s="97"/>
      <c r="W1701" s="25"/>
      <c r="X1701" s="1295"/>
      <c r="Y1701" s="1523" t="str">
        <f>IF(LEN('Ch9'!X154)=0,"None",'Ch9'!X154)</f>
        <v>None</v>
      </c>
      <c r="Z1701" s="1583"/>
      <c r="AB1701" s="848"/>
      <c r="AC1701" s="848" t="b">
        <f>OR(AD1701:AE1701)</f>
        <v>0</v>
      </c>
      <c r="AD1701" s="848" t="b">
        <f>T1701</f>
        <v>0</v>
      </c>
      <c r="AE1701" s="848" t="b">
        <f>AND(R1701,NOT(W1701))</f>
        <v>0</v>
      </c>
      <c r="AF1701" s="1182" t="b">
        <f>AND(AE1701,NOT(Q1701))</f>
        <v>0</v>
      </c>
      <c r="AG1701" s="848"/>
      <c r="AH1701" s="848"/>
      <c r="AI1701" s="848"/>
      <c r="AJ1701" s="848"/>
      <c r="AK1701" s="848"/>
      <c r="AL1701" s="311" t="str">
        <f t="shared" si="569"/>
        <v>vpa901_10_3</v>
      </c>
      <c r="AM1701" s="311">
        <f>M1701</f>
        <v>5</v>
      </c>
      <c r="AN1701" s="848"/>
      <c r="AO1701" s="848"/>
      <c r="AP1701" s="311" t="str">
        <f t="shared" si="570"/>
        <v>vch901_10_3</v>
      </c>
      <c r="AQ1701" s="311">
        <f>W1701</f>
        <v>0</v>
      </c>
      <c r="AR1701" s="311" t="str">
        <f t="shared" si="571"/>
        <v>vnt901_10_3</v>
      </c>
      <c r="AS1701" s="311">
        <f>X1701</f>
        <v>0</v>
      </c>
      <c r="AT1701" s="848"/>
      <c r="AU1701" s="848"/>
      <c r="AV1701" s="848"/>
      <c r="AW1701" s="848"/>
      <c r="AX1701" s="848"/>
      <c r="AY1701" s="848"/>
      <c r="AZ1701" s="848"/>
      <c r="BA1701" s="848"/>
      <c r="BB1701" s="848"/>
      <c r="BC1701" s="848"/>
      <c r="BD1701" s="848"/>
      <c r="BE1701" s="848"/>
      <c r="BF1701" s="848"/>
      <c r="BG1701" s="848"/>
      <c r="BH1701" s="848"/>
      <c r="BJ1701" s="1184" t="s">
        <v>4763</v>
      </c>
    </row>
    <row r="1702" spans="1:62" x14ac:dyDescent="0.3">
      <c r="A1702" s="1200">
        <v>9</v>
      </c>
      <c r="B1702" s="1223" t="s">
        <v>4385</v>
      </c>
      <c r="C1702" s="1203"/>
      <c r="D1702" s="1203"/>
      <c r="E1702" s="1203" t="s">
        <v>275</v>
      </c>
      <c r="F1702" s="1203"/>
      <c r="G1702" s="1202" t="str">
        <f t="shared" si="567"/>
        <v/>
      </c>
      <c r="H1702" s="1200" t="s">
        <v>4388</v>
      </c>
      <c r="I1702" s="576"/>
      <c r="J1702" s="140"/>
      <c r="K1702" s="140"/>
      <c r="L1702" s="1305"/>
      <c r="M1702" s="1318"/>
      <c r="N1702" s="854"/>
      <c r="O1702" s="854"/>
      <c r="P1702" s="97"/>
      <c r="Q1702" s="97"/>
      <c r="R1702" s="97"/>
      <c r="S1702" s="97"/>
      <c r="T1702" s="97"/>
      <c r="U1702" s="97"/>
      <c r="V1702" s="97"/>
      <c r="W1702" s="97"/>
      <c r="X1702" s="1295"/>
      <c r="Y1702" s="1523"/>
      <c r="Z1702" s="1583"/>
      <c r="AB1702" s="848"/>
      <c r="AC1702" s="848"/>
      <c r="AD1702" s="848"/>
      <c r="AE1702" s="848"/>
      <c r="AF1702" s="848"/>
      <c r="AG1702" s="848"/>
      <c r="AH1702" s="848"/>
      <c r="AI1702" s="848"/>
      <c r="AJ1702" s="848"/>
      <c r="AK1702" s="848"/>
      <c r="AL1702" s="848"/>
      <c r="AM1702" s="848"/>
      <c r="AN1702" s="848"/>
      <c r="AO1702" s="848"/>
      <c r="AP1702" s="848"/>
      <c r="AQ1702" s="848"/>
      <c r="AR1702" s="848"/>
      <c r="AS1702" s="848"/>
      <c r="AT1702" s="848"/>
      <c r="AU1702" s="848"/>
      <c r="AV1702" s="848"/>
      <c r="AW1702" s="848"/>
      <c r="AX1702" s="848"/>
      <c r="AY1702" s="848"/>
      <c r="AZ1702" s="848"/>
      <c r="BA1702" s="848"/>
      <c r="BB1702" s="848"/>
      <c r="BC1702" s="848"/>
      <c r="BD1702" s="848"/>
      <c r="BE1702" s="848"/>
      <c r="BF1702" s="848"/>
      <c r="BG1702" s="848"/>
      <c r="BH1702" s="848"/>
      <c r="BJ1702" s="1184" t="s">
        <v>4763</v>
      </c>
    </row>
    <row r="1703" spans="1:62" x14ac:dyDescent="0.3">
      <c r="A1703" s="1200">
        <v>9</v>
      </c>
      <c r="B1703" s="1223" t="s">
        <v>4385</v>
      </c>
      <c r="C1703" s="1203"/>
      <c r="D1703" s="1203"/>
      <c r="E1703" s="1203" t="s">
        <v>275</v>
      </c>
      <c r="F1703" s="1203"/>
      <c r="G1703" s="1202" t="str">
        <f t="shared" si="567"/>
        <v/>
      </c>
      <c r="H1703" s="1200" t="s">
        <v>4388</v>
      </c>
      <c r="I1703" s="576"/>
      <c r="J1703" s="140"/>
      <c r="K1703" s="140"/>
      <c r="L1703" s="1305"/>
      <c r="M1703" s="1318"/>
      <c r="N1703" s="854"/>
      <c r="O1703" s="854"/>
      <c r="P1703" s="97"/>
      <c r="Q1703" s="97"/>
      <c r="R1703" s="97"/>
      <c r="S1703" s="97"/>
      <c r="T1703" s="97"/>
      <c r="U1703" s="97"/>
      <c r="V1703" s="97"/>
      <c r="W1703" s="97"/>
      <c r="X1703" s="1295"/>
      <c r="Y1703" s="1523"/>
      <c r="Z1703" s="1583"/>
      <c r="AB1703" s="848"/>
      <c r="AC1703" s="848"/>
      <c r="AD1703" s="848"/>
      <c r="AE1703" s="848"/>
      <c r="AF1703" s="848"/>
      <c r="AG1703" s="848"/>
      <c r="AH1703" s="848"/>
      <c r="AI1703" s="848"/>
      <c r="AJ1703" s="848"/>
      <c r="AK1703" s="848"/>
      <c r="AL1703" s="848"/>
      <c r="AM1703" s="848"/>
      <c r="AN1703" s="848"/>
      <c r="AO1703" s="848"/>
      <c r="AP1703" s="848"/>
      <c r="AQ1703" s="848"/>
      <c r="AR1703" s="848"/>
      <c r="AS1703" s="848"/>
      <c r="AT1703" s="848"/>
      <c r="AU1703" s="848"/>
      <c r="AV1703" s="848"/>
      <c r="AW1703" s="848"/>
      <c r="AX1703" s="848"/>
      <c r="AY1703" s="848"/>
      <c r="AZ1703" s="848"/>
      <c r="BA1703" s="848"/>
      <c r="BB1703" s="848"/>
      <c r="BC1703" s="848"/>
      <c r="BD1703" s="848"/>
      <c r="BE1703" s="848"/>
      <c r="BF1703" s="848"/>
      <c r="BG1703" s="848"/>
      <c r="BH1703" s="848"/>
      <c r="BJ1703" s="1184" t="s">
        <v>4763</v>
      </c>
    </row>
    <row r="1704" spans="1:62" ht="15" thickBot="1" x14ac:dyDescent="0.35">
      <c r="A1704" s="1200">
        <v>9</v>
      </c>
      <c r="B1704" s="1223" t="s">
        <v>4385</v>
      </c>
      <c r="C1704" s="1203"/>
      <c r="D1704" s="1203"/>
      <c r="E1704" s="1203" t="s">
        <v>275</v>
      </c>
      <c r="F1704" s="1203"/>
      <c r="G1704" s="1202" t="str">
        <f t="shared" si="567"/>
        <v/>
      </c>
      <c r="H1704" s="1200" t="s">
        <v>4388</v>
      </c>
      <c r="I1704" s="577"/>
      <c r="J1704" s="270"/>
      <c r="K1704" s="270"/>
      <c r="L1704" s="578" t="s">
        <v>4027</v>
      </c>
      <c r="M1704" s="865"/>
      <c r="N1704" s="858"/>
      <c r="O1704" s="858"/>
      <c r="P1704" s="104"/>
      <c r="Q1704" s="104"/>
      <c r="R1704" s="104"/>
      <c r="S1704" s="104"/>
      <c r="T1704" s="104"/>
      <c r="U1704" s="104"/>
      <c r="V1704" s="104"/>
      <c r="W1704" s="104"/>
      <c r="X1704" s="1296"/>
      <c r="Y1704" s="1524"/>
      <c r="Z1704" s="1584"/>
      <c r="AB1704" s="848"/>
      <c r="AC1704" s="848"/>
      <c r="AD1704" s="848"/>
      <c r="AE1704" s="848"/>
      <c r="AF1704" s="848"/>
      <c r="AG1704" s="848"/>
      <c r="AH1704" s="848"/>
      <c r="AI1704" s="848"/>
      <c r="AJ1704" s="848"/>
      <c r="AK1704" s="848"/>
      <c r="AL1704" s="848"/>
      <c r="AM1704" s="848"/>
      <c r="AN1704" s="848"/>
      <c r="AO1704" s="848"/>
      <c r="AP1704" s="848"/>
      <c r="AQ1704" s="848"/>
      <c r="AR1704" s="848"/>
      <c r="AS1704" s="848"/>
      <c r="AT1704" s="848"/>
      <c r="AU1704" s="848"/>
      <c r="AV1704" s="848"/>
      <c r="AW1704" s="848"/>
      <c r="AX1704" s="848"/>
      <c r="AY1704" s="848"/>
      <c r="AZ1704" s="848"/>
      <c r="BA1704" s="848"/>
      <c r="BB1704" s="848"/>
      <c r="BC1704" s="848"/>
      <c r="BD1704" s="848"/>
      <c r="BE1704" s="848"/>
      <c r="BF1704" s="848"/>
      <c r="BG1704" s="848"/>
      <c r="BH1704" s="848"/>
      <c r="BJ1704" s="1184" t="s">
        <v>4763</v>
      </c>
    </row>
    <row r="1705" spans="1:62" ht="15" thickTop="1" x14ac:dyDescent="0.3">
      <c r="A1705" s="1200">
        <v>9</v>
      </c>
      <c r="B1705" s="1210">
        <v>901.11</v>
      </c>
      <c r="C1705" s="1203"/>
      <c r="D1705" s="1203"/>
      <c r="E1705" s="1203"/>
      <c r="F1705" s="1203"/>
      <c r="G1705" s="1202" t="str">
        <f>IF(N1705&gt;0,"P","")</f>
        <v/>
      </c>
      <c r="H1705" s="1200" t="s">
        <v>4386</v>
      </c>
      <c r="I1705" s="200">
        <v>901.11</v>
      </c>
      <c r="J1705" s="201"/>
      <c r="K1705" s="201"/>
      <c r="L1705" s="1331" t="s">
        <v>3425</v>
      </c>
      <c r="M1705" s="1343">
        <v>4</v>
      </c>
      <c r="N1705" s="1336">
        <f>'Ch9'!O158</f>
        <v>0</v>
      </c>
      <c r="O1705" s="1336">
        <f>M1705*S1705*W1705</f>
        <v>0</v>
      </c>
      <c r="P1705" s="97" t="b">
        <v>1</v>
      </c>
      <c r="Q1705" s="97" t="b">
        <v>1</v>
      </c>
      <c r="R1705" s="110" t="b">
        <v>0</v>
      </c>
      <c r="S1705" s="110" t="b">
        <v>1</v>
      </c>
      <c r="T1705" s="110" t="b">
        <v>0</v>
      </c>
      <c r="U1705" s="110"/>
      <c r="V1705" s="110"/>
      <c r="W1705" s="25"/>
      <c r="X1705" s="1327"/>
      <c r="Y1705" s="1525" t="str">
        <f>IF(LEN('Ch9'!X158)=0,"None",'Ch9'!X158)</f>
        <v>None</v>
      </c>
      <c r="Z1705" s="1585"/>
      <c r="AB1705" s="848"/>
      <c r="AC1705" s="848" t="b">
        <f>OR(AD1705:AE1705)</f>
        <v>0</v>
      </c>
      <c r="AD1705" s="848" t="b">
        <f>T1705</f>
        <v>0</v>
      </c>
      <c r="AE1705" s="848" t="b">
        <f>AND(R1705,NOT(W1705))</f>
        <v>0</v>
      </c>
      <c r="AF1705" s="1182" t="b">
        <f>AND(AE1705,NOT(Q1705))</f>
        <v>0</v>
      </c>
      <c r="AG1705" s="848"/>
      <c r="AH1705" s="848"/>
      <c r="AI1705" s="848"/>
      <c r="AJ1705" s="848"/>
      <c r="AK1705" s="848"/>
      <c r="AL1705" s="311" t="str">
        <f t="shared" ref="AL1705" si="572">SUBSTITUTE(SUBSTITUTE(SUBSTITUTE("vpa"&amp;$B1705&amp;$C1705&amp;$D1705&amp;$E1705&amp;$F1705,".","_"),"(","_"),")","")</f>
        <v>vpa901_11</v>
      </c>
      <c r="AM1705" s="311">
        <f>M1705</f>
        <v>4</v>
      </c>
      <c r="AN1705" s="311" t="str">
        <f>SUBSTITUTE(SUBSTITUTE(SUBSTITUTE("vpc"&amp;$B1705&amp;$C1705&amp;$D1705&amp;$E1705&amp;$F1705,".","_"),"(","_"),")","")</f>
        <v>vpc901_11</v>
      </c>
      <c r="AO1705" s="311">
        <f>O1705</f>
        <v>0</v>
      </c>
      <c r="AP1705" s="311" t="str">
        <f>SUBSTITUTE(SUBSTITUTE(SUBSTITUTE("vch"&amp;$B1705&amp;$C1705&amp;$D1705&amp;$E1705&amp;$F1705,".","_"),"(","_"),")","")</f>
        <v>vch901_11</v>
      </c>
      <c r="AQ1705" s="311">
        <f>W1705</f>
        <v>0</v>
      </c>
      <c r="AR1705" s="311" t="str">
        <f>SUBSTITUTE(SUBSTITUTE(SUBSTITUTE("vnt"&amp;$B1705&amp;$C1705&amp;$D1705&amp;$E1705&amp;$F1705,".","_"),"(","_"),")","")</f>
        <v>vnt901_11</v>
      </c>
      <c r="AS1705" s="311">
        <f>X1705</f>
        <v>0</v>
      </c>
      <c r="AT1705" s="848"/>
      <c r="AU1705" s="848"/>
      <c r="AV1705" s="848"/>
      <c r="AW1705" s="848"/>
      <c r="AX1705" s="848"/>
      <c r="AY1705" s="848"/>
      <c r="AZ1705" s="848"/>
      <c r="BA1705" s="848"/>
      <c r="BB1705" s="848"/>
      <c r="BC1705" s="848"/>
      <c r="BD1705" s="848"/>
      <c r="BE1705" s="848"/>
      <c r="BF1705" s="848"/>
      <c r="BG1705" s="848"/>
      <c r="BH1705" s="848"/>
      <c r="BJ1705" s="1184" t="s">
        <v>4763</v>
      </c>
    </row>
    <row r="1706" spans="1:62" x14ac:dyDescent="0.3">
      <c r="A1706" s="1200">
        <v>9</v>
      </c>
      <c r="B1706" s="1210">
        <v>901.11</v>
      </c>
      <c r="C1706" s="1203"/>
      <c r="D1706" s="1203"/>
      <c r="E1706" s="1203"/>
      <c r="F1706" s="1203"/>
      <c r="G1706" s="1202" t="str">
        <f t="shared" ref="G1706:G1709" si="573">G1705</f>
        <v/>
      </c>
      <c r="H1706" s="1200" t="s">
        <v>4386</v>
      </c>
      <c r="I1706" s="576"/>
      <c r="J1706" s="140"/>
      <c r="K1706" s="140"/>
      <c r="L1706" s="1313"/>
      <c r="M1706" s="1318"/>
      <c r="N1706" s="1308"/>
      <c r="O1706" s="1308"/>
      <c r="P1706" s="97"/>
      <c r="Q1706" s="97"/>
      <c r="R1706" s="97"/>
      <c r="S1706" s="97"/>
      <c r="T1706" s="97"/>
      <c r="U1706" s="97"/>
      <c r="V1706" s="97"/>
      <c r="W1706" s="97"/>
      <c r="X1706" s="1295"/>
      <c r="Y1706" s="1523"/>
      <c r="Z1706" s="1583"/>
      <c r="AB1706" s="848"/>
      <c r="AC1706" s="848"/>
      <c r="AD1706" s="848"/>
      <c r="AE1706" s="848"/>
      <c r="AF1706" s="848"/>
      <c r="AG1706" s="848"/>
      <c r="AH1706" s="848"/>
      <c r="AI1706" s="848"/>
      <c r="AJ1706" s="848"/>
      <c r="AK1706" s="848"/>
      <c r="AL1706" s="848"/>
      <c r="AM1706" s="848"/>
      <c r="AN1706" s="848"/>
      <c r="AO1706" s="848"/>
      <c r="AP1706" s="848"/>
      <c r="AQ1706" s="848"/>
      <c r="AR1706" s="848"/>
      <c r="AS1706" s="848"/>
      <c r="AT1706" s="848"/>
      <c r="AU1706" s="848"/>
      <c r="AV1706" s="848"/>
      <c r="AW1706" s="848"/>
      <c r="AX1706" s="848"/>
      <c r="AY1706" s="848"/>
      <c r="AZ1706" s="848"/>
      <c r="BA1706" s="848"/>
      <c r="BB1706" s="848"/>
      <c r="BC1706" s="848"/>
      <c r="BD1706" s="848"/>
      <c r="BE1706" s="848"/>
      <c r="BF1706" s="848"/>
      <c r="BG1706" s="848"/>
      <c r="BH1706" s="848"/>
      <c r="BJ1706" s="1184" t="s">
        <v>4763</v>
      </c>
    </row>
    <row r="1707" spans="1:62" x14ac:dyDescent="0.3">
      <c r="A1707" s="1200">
        <v>9</v>
      </c>
      <c r="B1707" s="1210">
        <v>901.11</v>
      </c>
      <c r="C1707" s="1203"/>
      <c r="D1707" s="1203"/>
      <c r="E1707" s="1203"/>
      <c r="F1707" s="1203"/>
      <c r="G1707" s="1202" t="str">
        <f t="shared" si="573"/>
        <v/>
      </c>
      <c r="H1707" s="1200" t="s">
        <v>4386</v>
      </c>
      <c r="I1707" s="576"/>
      <c r="J1707" s="140"/>
      <c r="K1707" s="140"/>
      <c r="L1707" s="1313"/>
      <c r="M1707" s="1318"/>
      <c r="N1707" s="1308"/>
      <c r="O1707" s="1308"/>
      <c r="P1707" s="97"/>
      <c r="Q1707" s="97"/>
      <c r="R1707" s="97"/>
      <c r="S1707" s="97"/>
      <c r="T1707" s="97"/>
      <c r="U1707" s="97"/>
      <c r="V1707" s="97"/>
      <c r="W1707" s="97"/>
      <c r="X1707" s="1295"/>
      <c r="Y1707" s="1523"/>
      <c r="Z1707" s="1583"/>
      <c r="AB1707" s="848"/>
      <c r="AC1707" s="848"/>
      <c r="AD1707" s="848"/>
      <c r="AE1707" s="848"/>
      <c r="AF1707" s="848"/>
      <c r="AG1707" s="848"/>
      <c r="AH1707" s="848"/>
      <c r="AI1707" s="848"/>
      <c r="AJ1707" s="848"/>
      <c r="AK1707" s="848"/>
      <c r="AL1707" s="848"/>
      <c r="AM1707" s="848"/>
      <c r="AN1707" s="848"/>
      <c r="AO1707" s="848"/>
      <c r="AP1707" s="848"/>
      <c r="AQ1707" s="848"/>
      <c r="AR1707" s="848"/>
      <c r="AS1707" s="848"/>
      <c r="AT1707" s="848"/>
      <c r="AU1707" s="848"/>
      <c r="AV1707" s="848"/>
      <c r="AW1707" s="848"/>
      <c r="AX1707" s="848"/>
      <c r="AY1707" s="848"/>
      <c r="AZ1707" s="848"/>
      <c r="BA1707" s="848"/>
      <c r="BB1707" s="848"/>
      <c r="BC1707" s="848"/>
      <c r="BD1707" s="848"/>
      <c r="BE1707" s="848"/>
      <c r="BF1707" s="848"/>
      <c r="BG1707" s="848"/>
      <c r="BH1707" s="848"/>
      <c r="BJ1707" s="1184" t="s">
        <v>4763</v>
      </c>
    </row>
    <row r="1708" spans="1:62" x14ac:dyDescent="0.3">
      <c r="A1708" s="1200">
        <v>9</v>
      </c>
      <c r="B1708" s="1210">
        <v>901.11</v>
      </c>
      <c r="C1708" s="1203"/>
      <c r="D1708" s="1203"/>
      <c r="E1708" s="1203"/>
      <c r="F1708" s="1203"/>
      <c r="G1708" s="1202" t="str">
        <f t="shared" si="573"/>
        <v/>
      </c>
      <c r="H1708" s="1200" t="s">
        <v>4386</v>
      </c>
      <c r="I1708" s="576"/>
      <c r="J1708" s="140"/>
      <c r="K1708" s="140"/>
      <c r="L1708" s="1313"/>
      <c r="M1708" s="1318"/>
      <c r="N1708" s="1308"/>
      <c r="O1708" s="1308"/>
      <c r="P1708" s="97"/>
      <c r="Q1708" s="97"/>
      <c r="R1708" s="97"/>
      <c r="S1708" s="97"/>
      <c r="T1708" s="97"/>
      <c r="U1708" s="97"/>
      <c r="V1708" s="97"/>
      <c r="W1708" s="97"/>
      <c r="X1708" s="1295"/>
      <c r="Y1708" s="1523"/>
      <c r="Z1708" s="1583"/>
      <c r="AB1708" s="848"/>
      <c r="AC1708" s="848"/>
      <c r="AD1708" s="848"/>
      <c r="AE1708" s="848"/>
      <c r="AF1708" s="848"/>
      <c r="AG1708" s="848"/>
      <c r="AH1708" s="848"/>
      <c r="AI1708" s="848"/>
      <c r="AJ1708" s="848"/>
      <c r="AK1708" s="848"/>
      <c r="AL1708" s="848"/>
      <c r="AM1708" s="848"/>
      <c r="AN1708" s="848"/>
      <c r="AO1708" s="848"/>
      <c r="AP1708" s="848"/>
      <c r="AQ1708" s="848"/>
      <c r="AR1708" s="848"/>
      <c r="AS1708" s="848"/>
      <c r="AT1708" s="848"/>
      <c r="AU1708" s="848"/>
      <c r="AV1708" s="848"/>
      <c r="AW1708" s="848"/>
      <c r="AX1708" s="848"/>
      <c r="AY1708" s="848"/>
      <c r="AZ1708" s="848"/>
      <c r="BA1708" s="848"/>
      <c r="BB1708" s="848"/>
      <c r="BC1708" s="848"/>
      <c r="BD1708" s="848"/>
      <c r="BE1708" s="848"/>
      <c r="BF1708" s="848"/>
      <c r="BG1708" s="848"/>
      <c r="BH1708" s="848"/>
      <c r="BJ1708" s="1184" t="s">
        <v>4763</v>
      </c>
    </row>
    <row r="1709" spans="1:62" ht="15" thickBot="1" x14ac:dyDescent="0.35">
      <c r="A1709" s="1200">
        <v>9</v>
      </c>
      <c r="B1709" s="1210">
        <v>901.11</v>
      </c>
      <c r="C1709" s="1203"/>
      <c r="D1709" s="1203"/>
      <c r="E1709" s="1203"/>
      <c r="F1709" s="1203"/>
      <c r="G1709" s="1202" t="str">
        <f t="shared" si="573"/>
        <v/>
      </c>
      <c r="H1709" s="1200" t="s">
        <v>4386</v>
      </c>
      <c r="I1709" s="577"/>
      <c r="J1709" s="270"/>
      <c r="K1709" s="270"/>
      <c r="L1709" s="1332"/>
      <c r="M1709" s="1334"/>
      <c r="N1709" s="1315"/>
      <c r="O1709" s="1315"/>
      <c r="P1709" s="104"/>
      <c r="Q1709" s="104"/>
      <c r="R1709" s="104"/>
      <c r="S1709" s="104"/>
      <c r="T1709" s="104"/>
      <c r="U1709" s="104"/>
      <c r="V1709" s="104"/>
      <c r="W1709" s="104"/>
      <c r="X1709" s="1296"/>
      <c r="Y1709" s="1524"/>
      <c r="Z1709" s="1584"/>
      <c r="AB1709" s="848"/>
      <c r="AC1709" s="848"/>
      <c r="AD1709" s="848"/>
      <c r="AE1709" s="848"/>
      <c r="AF1709" s="848"/>
      <c r="AG1709" s="848"/>
      <c r="AH1709" s="848"/>
      <c r="AI1709" s="848"/>
      <c r="AJ1709" s="848"/>
      <c r="AK1709" s="848"/>
      <c r="AL1709" s="848"/>
      <c r="AM1709" s="848"/>
      <c r="AN1709" s="848"/>
      <c r="AO1709" s="848"/>
      <c r="AP1709" s="848"/>
      <c r="AQ1709" s="848"/>
      <c r="AR1709" s="848"/>
      <c r="AS1709" s="848"/>
      <c r="AT1709" s="848"/>
      <c r="AU1709" s="848"/>
      <c r="AV1709" s="848"/>
      <c r="AW1709" s="848"/>
      <c r="AX1709" s="848"/>
      <c r="AY1709" s="848"/>
      <c r="AZ1709" s="848"/>
      <c r="BA1709" s="848"/>
      <c r="BB1709" s="848"/>
      <c r="BC1709" s="848"/>
      <c r="BD1709" s="848"/>
      <c r="BE1709" s="848"/>
      <c r="BF1709" s="848"/>
      <c r="BG1709" s="848"/>
      <c r="BH1709" s="848"/>
      <c r="BJ1709" s="1184" t="s">
        <v>4763</v>
      </c>
    </row>
    <row r="1710" spans="1:62" ht="15" thickTop="1" x14ac:dyDescent="0.3">
      <c r="A1710" s="1200">
        <v>9</v>
      </c>
      <c r="B1710" s="1210">
        <v>901.12</v>
      </c>
      <c r="C1710" s="1203"/>
      <c r="D1710" s="1203"/>
      <c r="E1710" s="1203"/>
      <c r="F1710" s="1203"/>
      <c r="G1710" s="1202" t="s">
        <v>4389</v>
      </c>
      <c r="H1710" s="1200" t="s">
        <v>4388</v>
      </c>
      <c r="I1710" s="200">
        <v>901.12</v>
      </c>
      <c r="J1710" s="201"/>
      <c r="K1710" s="201"/>
      <c r="L1710" s="1331" t="s">
        <v>3426</v>
      </c>
      <c r="M1710" s="1362" t="str">
        <f>IF(R1710,"Mandatory","N/A")</f>
        <v>Mandatory</v>
      </c>
      <c r="N1710" s="859"/>
      <c r="O1710" s="859"/>
      <c r="P1710" s="97" t="b">
        <v>0</v>
      </c>
      <c r="Q1710" s="97" t="b">
        <v>1</v>
      </c>
      <c r="R1710" s="110" t="b">
        <f>S1710</f>
        <v>1</v>
      </c>
      <c r="S1710" s="110" t="b">
        <v>1</v>
      </c>
      <c r="T1710" s="110" t="b">
        <v>0</v>
      </c>
      <c r="U1710" s="110" t="str">
        <f>SUBSTITUTE(SUBSTITUTE(SUBSTITUTE("dd"&amp;B1710&amp;C1710&amp;D1710&amp;E1710&amp;F1710,".","_"),"(","_"),")","")</f>
        <v>dd901_12</v>
      </c>
      <c r="V1710" s="110"/>
      <c r="W1710" s="12"/>
      <c r="X1710" s="1327"/>
      <c r="Y1710" s="1525" t="str">
        <f>IF(LEN('Ch9'!X163)=0,"None",'Ch9'!X163)</f>
        <v>ZERH Requirement - Indoor airPLUS, Section 5.2 Carbon Monoxide Alarms</v>
      </c>
      <c r="Z1710" s="1585"/>
      <c r="AB1710" s="848"/>
      <c r="AC1710" s="848" t="b">
        <f>OR(AD1710:AE1710)</f>
        <v>1</v>
      </c>
      <c r="AD1710" s="848" t="b">
        <f>T1710</f>
        <v>0</v>
      </c>
      <c r="AE1710" s="848" t="b">
        <f>AND(R1710,OR(LEN(W1710)=0,W1710="Not Met"))</f>
        <v>1</v>
      </c>
      <c r="AF1710" s="1182" t="b">
        <f>AND(AE1710,NOT(Q1710))</f>
        <v>0</v>
      </c>
      <c r="AG1710" s="848"/>
      <c r="AH1710" s="848"/>
      <c r="AI1710" s="848"/>
      <c r="AJ1710" s="848"/>
      <c r="AK1710" s="848"/>
      <c r="AL1710" s="311" t="str">
        <f t="shared" ref="AL1710" si="574">SUBSTITUTE(SUBSTITUTE(SUBSTITUTE("vpa"&amp;$B1710&amp;$C1710&amp;$D1710&amp;$E1710&amp;$F1710,".","_"),"(","_"),")","")</f>
        <v>vpa901_12</v>
      </c>
      <c r="AM1710" s="311" t="str">
        <f>M1710</f>
        <v>Mandatory</v>
      </c>
      <c r="AN1710" s="848"/>
      <c r="AO1710" s="848"/>
      <c r="AP1710" s="311" t="str">
        <f>SUBSTITUTE(SUBSTITUTE(SUBSTITUTE("vch"&amp;$B1710&amp;$C1710&amp;$D1710&amp;$E1710&amp;$F1710,".","_"),"(","_"),")","")</f>
        <v>vch901_12</v>
      </c>
      <c r="AQ1710" s="311">
        <f>W1710</f>
        <v>0</v>
      </c>
      <c r="AR1710" s="311" t="str">
        <f>SUBSTITUTE(SUBSTITUTE(SUBSTITUTE("vnt"&amp;$B1710&amp;$C1710&amp;$D1710&amp;$E1710&amp;$F1710,".","_"),"(","_"),")","")</f>
        <v>vnt901_12</v>
      </c>
      <c r="AS1710" s="311">
        <f>X1710</f>
        <v>0</v>
      </c>
      <c r="AT1710" s="848"/>
      <c r="AU1710" s="848"/>
      <c r="AV1710" s="848"/>
      <c r="AW1710" s="848"/>
      <c r="AX1710" s="848"/>
      <c r="AY1710" s="848"/>
      <c r="AZ1710" s="848"/>
      <c r="BA1710" s="848"/>
      <c r="BB1710" s="848"/>
      <c r="BC1710" s="848"/>
      <c r="BD1710" s="848"/>
      <c r="BE1710" s="848"/>
      <c r="BF1710" s="848"/>
      <c r="BG1710" s="848"/>
      <c r="BH1710" s="848"/>
      <c r="BJ1710" s="1184" t="s">
        <v>4763</v>
      </c>
    </row>
    <row r="1711" spans="1:62" ht="15" thickBot="1" x14ac:dyDescent="0.35">
      <c r="A1711" s="1200">
        <v>9</v>
      </c>
      <c r="B1711" s="1210">
        <v>901.12</v>
      </c>
      <c r="C1711" s="1203"/>
      <c r="D1711" s="1203"/>
      <c r="E1711" s="1203"/>
      <c r="F1711" s="1203"/>
      <c r="G1711" s="1202" t="s">
        <v>4389</v>
      </c>
      <c r="H1711" s="1200" t="s">
        <v>4388</v>
      </c>
      <c r="I1711" s="577"/>
      <c r="J1711" s="270"/>
      <c r="K1711" s="270"/>
      <c r="L1711" s="1332"/>
      <c r="M1711" s="1410"/>
      <c r="N1711" s="858"/>
      <c r="O1711" s="858"/>
      <c r="P1711" s="104"/>
      <c r="Q1711" s="104"/>
      <c r="R1711" s="104"/>
      <c r="S1711" s="104"/>
      <c r="T1711" s="104"/>
      <c r="U1711" s="104"/>
      <c r="V1711" s="104"/>
      <c r="W1711" s="104"/>
      <c r="X1711" s="1296"/>
      <c r="Y1711" s="1524"/>
      <c r="Z1711" s="1584"/>
      <c r="AB1711" s="848"/>
      <c r="AC1711" s="848"/>
      <c r="AD1711" s="848"/>
      <c r="AE1711" s="848"/>
      <c r="AF1711" s="848"/>
      <c r="AG1711" s="848"/>
      <c r="AH1711" s="848"/>
      <c r="AI1711" s="848"/>
      <c r="AJ1711" s="848"/>
      <c r="AK1711" s="848"/>
      <c r="AL1711" s="848"/>
      <c r="AM1711" s="848"/>
      <c r="AN1711" s="848"/>
      <c r="AO1711" s="848"/>
      <c r="AP1711" s="848"/>
      <c r="AQ1711" s="848"/>
      <c r="AR1711" s="848"/>
      <c r="AS1711" s="848"/>
      <c r="AT1711" s="848"/>
      <c r="AU1711" s="848"/>
      <c r="AV1711" s="848"/>
      <c r="AW1711" s="848"/>
      <c r="AX1711" s="848"/>
      <c r="AY1711" s="848"/>
      <c r="AZ1711" s="848"/>
      <c r="BA1711" s="848"/>
      <c r="BB1711" s="848"/>
      <c r="BC1711" s="848"/>
      <c r="BD1711" s="848"/>
      <c r="BE1711" s="848"/>
      <c r="BF1711" s="848"/>
      <c r="BG1711" s="848"/>
      <c r="BH1711" s="848"/>
      <c r="BJ1711" s="1184" t="s">
        <v>4763</v>
      </c>
    </row>
    <row r="1712" spans="1:62" ht="15" thickTop="1" x14ac:dyDescent="0.3">
      <c r="A1712" s="1200">
        <v>9</v>
      </c>
      <c r="B1712" s="1210">
        <v>901.13</v>
      </c>
      <c r="C1712" s="1203"/>
      <c r="D1712" s="1203"/>
      <c r="E1712" s="1203"/>
      <c r="F1712" s="1203"/>
      <c r="G1712" s="1202" t="str">
        <f ca="1">IF(N1712&gt;0,"P","")</f>
        <v/>
      </c>
      <c r="H1712" s="1200" t="s">
        <v>4388</v>
      </c>
      <c r="I1712" s="200">
        <v>901.13</v>
      </c>
      <c r="J1712" s="201"/>
      <c r="K1712" s="201"/>
      <c r="L1712" s="1331" t="s">
        <v>3427</v>
      </c>
      <c r="M1712" s="868"/>
      <c r="N1712" s="1336">
        <f ca="1">'Ch9'!O165</f>
        <v>0</v>
      </c>
      <c r="O1712" s="1336">
        <f ca="1">MIN(1,M1714*S1714*W1714+M1715*S1715*W1715)</f>
        <v>0</v>
      </c>
      <c r="P1712" s="110"/>
      <c r="Q1712" s="110"/>
      <c r="R1712" s="110"/>
      <c r="S1712" s="110"/>
      <c r="T1712" s="110"/>
      <c r="U1712" s="110"/>
      <c r="V1712" s="110"/>
      <c r="W1712" s="110"/>
      <c r="X1712" s="1327"/>
      <c r="Y1712" s="1525" t="str">
        <f>IF(LEN('Ch9'!X165)=0,"None",'Ch9'!X165)</f>
        <v>None</v>
      </c>
      <c r="Z1712" s="1585"/>
      <c r="AB1712" s="848"/>
      <c r="AC1712" s="848"/>
      <c r="AD1712" s="848"/>
      <c r="AE1712" s="848"/>
      <c r="AF1712" s="848"/>
      <c r="AG1712" s="848"/>
      <c r="AH1712" s="848"/>
      <c r="AI1712" s="848"/>
      <c r="AJ1712" s="848"/>
      <c r="AK1712" s="848"/>
      <c r="AL1712" s="848"/>
      <c r="AM1712" s="848"/>
      <c r="AN1712" s="311" t="str">
        <f>SUBSTITUTE(SUBSTITUTE(SUBSTITUTE("vpc"&amp;$B1712&amp;$C1712&amp;$D1712&amp;$E1712&amp;$F1712,".","_"),"(","_"),")","")</f>
        <v>vpc901_13</v>
      </c>
      <c r="AO1712" s="311">
        <f ca="1">O1712</f>
        <v>0</v>
      </c>
      <c r="AP1712" s="848"/>
      <c r="AQ1712" s="848"/>
      <c r="AR1712" s="311" t="str">
        <f>SUBSTITUTE(SUBSTITUTE(SUBSTITUTE("vnt"&amp;$B1712&amp;$C1712&amp;$D1712&amp;$E1712&amp;$F1712,".","_"),"(","_"),")","")</f>
        <v>vnt901_13</v>
      </c>
      <c r="AS1712" s="311">
        <f>X1712</f>
        <v>0</v>
      </c>
      <c r="AT1712" s="848"/>
      <c r="AU1712" s="848"/>
      <c r="AV1712" s="848"/>
      <c r="AW1712" s="848"/>
      <c r="AX1712" s="848"/>
      <c r="AY1712" s="848"/>
      <c r="AZ1712" s="848"/>
      <c r="BA1712" s="848"/>
      <c r="BB1712" s="848"/>
      <c r="BC1712" s="848"/>
      <c r="BD1712" s="848"/>
      <c r="BE1712" s="848"/>
      <c r="BF1712" s="848"/>
      <c r="BG1712" s="848"/>
      <c r="BH1712" s="848"/>
      <c r="BJ1712" s="1184" t="s">
        <v>4763</v>
      </c>
    </row>
    <row r="1713" spans="1:62" x14ac:dyDescent="0.3">
      <c r="A1713" s="1200">
        <v>9</v>
      </c>
      <c r="B1713" s="1210">
        <v>901.13</v>
      </c>
      <c r="C1713" s="1203"/>
      <c r="D1713" s="1203"/>
      <c r="E1713" s="1203"/>
      <c r="F1713" s="1203"/>
      <c r="G1713" s="1202" t="str">
        <f t="shared" ref="G1713:G1715" ca="1" si="575">G1712</f>
        <v/>
      </c>
      <c r="H1713" s="1200" t="s">
        <v>4388</v>
      </c>
      <c r="I1713" s="576"/>
      <c r="J1713" s="140"/>
      <c r="K1713" s="140"/>
      <c r="L1713" s="1313"/>
      <c r="M1713" s="856"/>
      <c r="N1713" s="1308"/>
      <c r="O1713" s="1308"/>
      <c r="P1713" s="97"/>
      <c r="Q1713" s="97"/>
      <c r="R1713" s="97"/>
      <c r="S1713" s="97"/>
      <c r="T1713" s="97"/>
      <c r="U1713" s="97"/>
      <c r="V1713" s="97"/>
      <c r="W1713" s="97"/>
      <c r="X1713" s="1295"/>
      <c r="Y1713" s="1523"/>
      <c r="Z1713" s="1583"/>
      <c r="AB1713" s="848"/>
      <c r="AC1713" s="848"/>
      <c r="AD1713" s="848"/>
      <c r="AE1713" s="848"/>
      <c r="AF1713" s="848"/>
      <c r="AG1713" s="848"/>
      <c r="AH1713" s="848"/>
      <c r="AI1713" s="848"/>
      <c r="AJ1713" s="848"/>
      <c r="AK1713" s="848"/>
      <c r="AL1713" s="848"/>
      <c r="AM1713" s="848"/>
      <c r="AN1713" s="848"/>
      <c r="AO1713" s="848"/>
      <c r="AP1713" s="848"/>
      <c r="AQ1713" s="848"/>
      <c r="AR1713" s="848"/>
      <c r="AS1713" s="848"/>
      <c r="AT1713" s="848"/>
      <c r="AU1713" s="848"/>
      <c r="AV1713" s="848"/>
      <c r="AW1713" s="848"/>
      <c r="AX1713" s="848"/>
      <c r="AY1713" s="848"/>
      <c r="AZ1713" s="848"/>
      <c r="BA1713" s="848"/>
      <c r="BB1713" s="848"/>
      <c r="BC1713" s="848"/>
      <c r="BD1713" s="848"/>
      <c r="BE1713" s="848"/>
      <c r="BF1713" s="848"/>
      <c r="BG1713" s="848"/>
      <c r="BH1713" s="848"/>
      <c r="BJ1713" s="1184" t="s">
        <v>4763</v>
      </c>
    </row>
    <row r="1714" spans="1:62" ht="15" customHeight="1" x14ac:dyDescent="0.3">
      <c r="A1714" s="1200">
        <v>9</v>
      </c>
      <c r="B1714" s="1210">
        <v>901.13</v>
      </c>
      <c r="C1714" s="1203"/>
      <c r="D1714" s="1203"/>
      <c r="E1714" s="1203" t="s">
        <v>271</v>
      </c>
      <c r="F1714" s="1203"/>
      <c r="G1714" s="1202" t="str">
        <f t="shared" ca="1" si="575"/>
        <v/>
      </c>
      <c r="H1714" s="1200" t="s">
        <v>4388</v>
      </c>
      <c r="I1714" s="576"/>
      <c r="J1714" s="231" t="s">
        <v>271</v>
      </c>
      <c r="K1714" s="238"/>
      <c r="L1714" s="862" t="s">
        <v>3428</v>
      </c>
      <c r="M1714" s="857">
        <v>1</v>
      </c>
      <c r="N1714" s="854"/>
      <c r="O1714" s="854"/>
      <c r="P1714" s="97" t="b">
        <v>0</v>
      </c>
      <c r="Q1714" s="97" t="b">
        <v>1</v>
      </c>
      <c r="R1714" s="97" t="b">
        <v>0</v>
      </c>
      <c r="S1714" s="1077" t="b">
        <f ca="1">$AY$18=INDEX(INDIRECT("ddSingleOrMulti"),2)</f>
        <v>0</v>
      </c>
      <c r="T1714" s="97" t="b">
        <f ca="1">AND(NOT(S1714),W1714=TRUE)</f>
        <v>0</v>
      </c>
      <c r="U1714" s="97"/>
      <c r="V1714" s="97"/>
      <c r="W1714" s="25"/>
      <c r="X1714" s="1295"/>
      <c r="Y1714" s="1523"/>
      <c r="Z1714" s="1583"/>
      <c r="AB1714" s="848"/>
      <c r="AC1714" s="848" t="b">
        <f ca="1">OR(AD1714:AE1714)</f>
        <v>0</v>
      </c>
      <c r="AD1714" s="848" t="b">
        <f ca="1">T1714</f>
        <v>0</v>
      </c>
      <c r="AE1714" s="848" t="b">
        <f>AND(R1714,NOT(W1714))</f>
        <v>0</v>
      </c>
      <c r="AF1714" s="1182" t="b">
        <f>AND(AE1714,NOT(Q1714))</f>
        <v>0</v>
      </c>
      <c r="AG1714" s="848"/>
      <c r="AH1714" s="848"/>
      <c r="AI1714" s="848"/>
      <c r="AJ1714" s="848"/>
      <c r="AK1714" s="848"/>
      <c r="AL1714" s="311" t="str">
        <f t="shared" ref="AL1714:AL1715" si="576">SUBSTITUTE(SUBSTITUTE(SUBSTITUTE("vpa"&amp;$B1714&amp;$C1714&amp;$D1714&amp;$E1714&amp;$F1714,".","_"),"(","_"),")","")</f>
        <v>vpa901_13_1</v>
      </c>
      <c r="AM1714" s="311">
        <f>M1714</f>
        <v>1</v>
      </c>
      <c r="AN1714" s="848"/>
      <c r="AO1714" s="848"/>
      <c r="AP1714" s="311" t="str">
        <f t="shared" ref="AP1714:AP1715" si="577">SUBSTITUTE(SUBSTITUTE(SUBSTITUTE("vch"&amp;$B1714&amp;$C1714&amp;$D1714&amp;$E1714&amp;$F1714,".","_"),"(","_"),")","")</f>
        <v>vch901_13_1</v>
      </c>
      <c r="AQ1714" s="311">
        <f>W1714</f>
        <v>0</v>
      </c>
      <c r="AR1714" s="848"/>
      <c r="AS1714" s="848"/>
      <c r="AT1714" s="848"/>
      <c r="AU1714" s="848"/>
      <c r="AV1714" s="848"/>
      <c r="AW1714" s="848"/>
      <c r="AX1714" s="848"/>
      <c r="AY1714" s="848"/>
      <c r="AZ1714" s="848"/>
      <c r="BA1714" s="848"/>
      <c r="BB1714" s="848"/>
      <c r="BC1714" s="848"/>
      <c r="BD1714" s="848"/>
      <c r="BE1714" s="848"/>
      <c r="BF1714" s="848"/>
      <c r="BG1714" s="848"/>
      <c r="BH1714" s="848"/>
      <c r="BJ1714" s="1184" t="s">
        <v>4763</v>
      </c>
    </row>
    <row r="1715" spans="1:62" ht="15" customHeight="1" thickBot="1" x14ac:dyDescent="0.35">
      <c r="A1715" s="1200">
        <v>9</v>
      </c>
      <c r="B1715" s="1210">
        <v>901.13</v>
      </c>
      <c r="C1715" s="1203"/>
      <c r="D1715" s="1203"/>
      <c r="E1715" s="1203" t="s">
        <v>273</v>
      </c>
      <c r="F1715" s="1203"/>
      <c r="G1715" s="1202" t="str">
        <f t="shared" ca="1" si="575"/>
        <v/>
      </c>
      <c r="H1715" s="1200" t="s">
        <v>4388</v>
      </c>
      <c r="I1715" s="577"/>
      <c r="J1715" s="213" t="s">
        <v>273</v>
      </c>
      <c r="K1715" s="270"/>
      <c r="L1715" s="869" t="s">
        <v>3429</v>
      </c>
      <c r="M1715" s="865">
        <v>1</v>
      </c>
      <c r="N1715" s="858"/>
      <c r="O1715" s="858"/>
      <c r="P1715" s="97" t="b">
        <v>0</v>
      </c>
      <c r="Q1715" s="97" t="b">
        <v>1</v>
      </c>
      <c r="R1715" s="104" t="b">
        <v>0</v>
      </c>
      <c r="S1715" s="1077" t="b">
        <f ca="1">$AY$18=INDEX(INDIRECT("ddSingleOrMulti"),2)</f>
        <v>0</v>
      </c>
      <c r="T1715" s="97" t="b">
        <f ca="1">AND(NOT(S1715),W1715=TRUE)</f>
        <v>0</v>
      </c>
      <c r="U1715" s="104"/>
      <c r="V1715" s="104"/>
      <c r="W1715" s="105"/>
      <c r="X1715" s="1296"/>
      <c r="Y1715" s="1524"/>
      <c r="Z1715" s="1584"/>
      <c r="AB1715" s="848"/>
      <c r="AC1715" s="848" t="b">
        <f ca="1">OR(AD1715:AE1715)</f>
        <v>0</v>
      </c>
      <c r="AD1715" s="848" t="b">
        <f ca="1">T1715</f>
        <v>0</v>
      </c>
      <c r="AE1715" s="848" t="b">
        <f>AND(R1715,NOT(W1715))</f>
        <v>0</v>
      </c>
      <c r="AF1715" s="1182" t="b">
        <f>AND(AE1715,NOT(Q1715))</f>
        <v>0</v>
      </c>
      <c r="AG1715" s="848"/>
      <c r="AH1715" s="848"/>
      <c r="AI1715" s="848"/>
      <c r="AJ1715" s="848"/>
      <c r="AK1715" s="848"/>
      <c r="AL1715" s="311" t="str">
        <f t="shared" si="576"/>
        <v>vpa901_13_2</v>
      </c>
      <c r="AM1715" s="311">
        <f>M1715</f>
        <v>1</v>
      </c>
      <c r="AN1715" s="848"/>
      <c r="AO1715" s="848"/>
      <c r="AP1715" s="311" t="str">
        <f t="shared" si="577"/>
        <v>vch901_13_2</v>
      </c>
      <c r="AQ1715" s="311">
        <f>W1715</f>
        <v>0</v>
      </c>
      <c r="AR1715" s="848"/>
      <c r="AS1715" s="848"/>
      <c r="AT1715" s="848"/>
      <c r="AU1715" s="848"/>
      <c r="AV1715" s="848"/>
      <c r="AW1715" s="848"/>
      <c r="AX1715" s="848"/>
      <c r="AY1715" s="848"/>
      <c r="AZ1715" s="848"/>
      <c r="BA1715" s="848"/>
      <c r="BB1715" s="848"/>
      <c r="BC1715" s="848"/>
      <c r="BD1715" s="848"/>
      <c r="BE1715" s="848"/>
      <c r="BF1715" s="848"/>
      <c r="BG1715" s="848"/>
      <c r="BH1715" s="848"/>
      <c r="BJ1715" s="1184" t="s">
        <v>4763</v>
      </c>
    </row>
    <row r="1716" spans="1:62" ht="15" thickTop="1" x14ac:dyDescent="0.3">
      <c r="A1716" s="1200">
        <v>9</v>
      </c>
      <c r="B1716" s="1210">
        <v>901.14</v>
      </c>
      <c r="C1716" s="1203"/>
      <c r="D1716" s="1203"/>
      <c r="E1716" s="1203"/>
      <c r="F1716" s="1203"/>
      <c r="G1716" s="1196" t="str">
        <f ca="1">IF(COUNTIF(G1718:G1720,"P")&gt;0,"P","")</f>
        <v/>
      </c>
      <c r="H1716" s="1200" t="s">
        <v>4388</v>
      </c>
      <c r="I1716" s="66">
        <v>901.14</v>
      </c>
      <c r="J1716" s="4"/>
      <c r="K1716" s="4"/>
      <c r="L1716" s="1292" t="s">
        <v>3430</v>
      </c>
      <c r="M1716" s="866"/>
      <c r="N1716" s="850"/>
      <c r="O1716" s="850"/>
      <c r="P1716" s="848"/>
      <c r="Q1716" s="848"/>
      <c r="R1716" s="848"/>
      <c r="S1716" s="1077"/>
      <c r="T1716" s="848"/>
      <c r="U1716" s="848"/>
      <c r="V1716" s="848"/>
      <c r="W1716" s="848"/>
      <c r="X1716" s="848"/>
      <c r="Y1716" s="848"/>
      <c r="Z1716" s="1055"/>
      <c r="AB1716" s="848"/>
      <c r="AC1716" s="848"/>
      <c r="AD1716" s="848"/>
      <c r="AE1716" s="848"/>
      <c r="AF1716" s="848"/>
      <c r="AG1716" s="848"/>
      <c r="AH1716" s="848"/>
      <c r="AI1716" s="848"/>
      <c r="AJ1716" s="848"/>
      <c r="AK1716" s="848"/>
      <c r="AL1716" s="848"/>
      <c r="AM1716" s="848"/>
      <c r="AN1716" s="848"/>
      <c r="AO1716" s="848"/>
      <c r="AP1716" s="848"/>
      <c r="AQ1716" s="848"/>
      <c r="AR1716" s="848"/>
      <c r="AS1716" s="848"/>
      <c r="AT1716" s="848"/>
      <c r="AU1716" s="848"/>
      <c r="AV1716" s="848"/>
      <c r="AW1716" s="848"/>
      <c r="AX1716" s="848"/>
      <c r="AY1716" s="848"/>
      <c r="AZ1716" s="848"/>
      <c r="BA1716" s="848"/>
      <c r="BB1716" s="848"/>
      <c r="BC1716" s="848"/>
      <c r="BD1716" s="848"/>
      <c r="BE1716" s="848"/>
      <c r="BF1716" s="848"/>
      <c r="BG1716" s="848"/>
      <c r="BH1716" s="848"/>
      <c r="BJ1716" s="1184" t="s">
        <v>4763</v>
      </c>
    </row>
    <row r="1717" spans="1:62" x14ac:dyDescent="0.3">
      <c r="A1717" s="1200">
        <v>9</v>
      </c>
      <c r="B1717" s="1210">
        <v>901.14</v>
      </c>
      <c r="C1717" s="1203"/>
      <c r="D1717" s="1203"/>
      <c r="E1717" s="1203"/>
      <c r="F1717" s="1203"/>
      <c r="G1717" s="1202" t="str">
        <f t="shared" ref="G1717" ca="1" si="578">G1716</f>
        <v/>
      </c>
      <c r="H1717" s="1200" t="s">
        <v>4388</v>
      </c>
      <c r="I1717" s="182"/>
      <c r="J1717" s="4"/>
      <c r="K1717" s="4"/>
      <c r="L1717" s="1292"/>
      <c r="M1717" s="866"/>
      <c r="N1717" s="850"/>
      <c r="O1717" s="850"/>
      <c r="P1717" s="848"/>
      <c r="Q1717" s="848"/>
      <c r="R1717" s="848"/>
      <c r="S1717" s="1077"/>
      <c r="T1717" s="848"/>
      <c r="U1717" s="848"/>
      <c r="V1717" s="848"/>
      <c r="W1717" s="848"/>
      <c r="X1717" s="848"/>
      <c r="Y1717" s="848"/>
      <c r="Z1717" s="1055"/>
      <c r="AB1717" s="848"/>
      <c r="AC1717" s="848"/>
      <c r="AD1717" s="848"/>
      <c r="AE1717" s="848"/>
      <c r="AF1717" s="848"/>
      <c r="AG1717" s="848"/>
      <c r="AH1717" s="848"/>
      <c r="AI1717" s="848"/>
      <c r="AJ1717" s="848"/>
      <c r="AK1717" s="848"/>
      <c r="AL1717" s="848"/>
      <c r="AM1717" s="848"/>
      <c r="AN1717" s="848"/>
      <c r="AO1717" s="848"/>
      <c r="AP1717" s="848"/>
      <c r="AQ1717" s="848"/>
      <c r="AR1717" s="848"/>
      <c r="AS1717" s="848"/>
      <c r="AT1717" s="848"/>
      <c r="AU1717" s="848"/>
      <c r="AV1717" s="848"/>
      <c r="AW1717" s="848"/>
      <c r="AX1717" s="848"/>
      <c r="AY1717" s="848"/>
      <c r="AZ1717" s="848"/>
      <c r="BA1717" s="848"/>
      <c r="BB1717" s="848"/>
      <c r="BC1717" s="848"/>
      <c r="BD1717" s="848"/>
      <c r="BE1717" s="848"/>
      <c r="BF1717" s="848"/>
      <c r="BG1717" s="848"/>
      <c r="BH1717" s="848"/>
      <c r="BJ1717" s="1184" t="s">
        <v>4763</v>
      </c>
    </row>
    <row r="1718" spans="1:62" x14ac:dyDescent="0.3">
      <c r="A1718" s="1200">
        <v>9</v>
      </c>
      <c r="B1718" s="1210">
        <v>901.14</v>
      </c>
      <c r="C1718" s="1203"/>
      <c r="D1718" s="1203"/>
      <c r="E1718" s="1203" t="s">
        <v>271</v>
      </c>
      <c r="F1718" s="1203"/>
      <c r="G1718" s="1202" t="str">
        <f ca="1">IF(N1718&gt;0,"P","")</f>
        <v/>
      </c>
      <c r="H1718" s="1200" t="s">
        <v>4388</v>
      </c>
      <c r="I1718" s="182"/>
      <c r="J1718" s="203" t="s">
        <v>271</v>
      </c>
      <c r="K1718" s="140"/>
      <c r="L1718" s="1305" t="s">
        <v>3431</v>
      </c>
      <c r="M1718" s="1318">
        <v>1</v>
      </c>
      <c r="N1718" s="1308">
        <f ca="1">'Ch9'!O171</f>
        <v>0</v>
      </c>
      <c r="O1718" s="1308">
        <f ca="1">M1718*S1718*W1718</f>
        <v>0</v>
      </c>
      <c r="P1718" s="97" t="b">
        <v>0</v>
      </c>
      <c r="Q1718" s="97" t="b">
        <v>1</v>
      </c>
      <c r="R1718" s="848" t="b">
        <v>0</v>
      </c>
      <c r="S1718" s="1077" t="b">
        <f ca="1">$AY$18=INDEX(INDIRECT("ddSingleOrMulti"),2)</f>
        <v>0</v>
      </c>
      <c r="T1718" s="97" t="b">
        <f ca="1">AND(NOT(S1718),W1718=TRUE)</f>
        <v>0</v>
      </c>
      <c r="U1718" s="848"/>
      <c r="V1718" s="848"/>
      <c r="W1718" s="25"/>
      <c r="X1718" s="1303"/>
      <c r="Y1718" s="1522" t="str">
        <f>IF(LEN('Ch9'!X171)=0,"None",'Ch9'!X171)</f>
        <v>None</v>
      </c>
      <c r="Z1718" s="1586"/>
      <c r="AB1718" s="848"/>
      <c r="AC1718" s="848" t="b">
        <f ca="1">OR(AD1718:AE1718)</f>
        <v>0</v>
      </c>
      <c r="AD1718" s="848" t="b">
        <f ca="1">T1718</f>
        <v>0</v>
      </c>
      <c r="AE1718" s="848" t="b">
        <f>AND(R1718,NOT(W1718))</f>
        <v>0</v>
      </c>
      <c r="AF1718" s="1182" t="b">
        <f>AND(AE1718,NOT(Q1718))</f>
        <v>0</v>
      </c>
      <c r="AG1718" s="848"/>
      <c r="AH1718" s="848"/>
      <c r="AI1718" s="848"/>
      <c r="AJ1718" s="848"/>
      <c r="AK1718" s="848"/>
      <c r="AL1718" s="311" t="str">
        <f t="shared" ref="AL1718" si="579">SUBSTITUTE(SUBSTITUTE(SUBSTITUTE("vpa"&amp;$B1718&amp;$C1718&amp;$D1718&amp;$E1718&amp;$F1718,".","_"),"(","_"),")","")</f>
        <v>vpa901_14_1</v>
      </c>
      <c r="AM1718" s="311">
        <f>M1718</f>
        <v>1</v>
      </c>
      <c r="AN1718" s="311" t="str">
        <f>SUBSTITUTE(SUBSTITUTE(SUBSTITUTE("vpc"&amp;$B1718&amp;$C1718&amp;$D1718&amp;$E1718&amp;$F1718,".","_"),"(","_"),")","")</f>
        <v>vpc901_14_1</v>
      </c>
      <c r="AO1718" s="311">
        <f ca="1">O1718</f>
        <v>0</v>
      </c>
      <c r="AP1718" s="311" t="str">
        <f>SUBSTITUTE(SUBSTITUTE(SUBSTITUTE("vch"&amp;$B1718&amp;$C1718&amp;$D1718&amp;$E1718&amp;$F1718,".","_"),"(","_"),")","")</f>
        <v>vch901_14_1</v>
      </c>
      <c r="AQ1718" s="311">
        <f>W1718</f>
        <v>0</v>
      </c>
      <c r="AR1718" s="311" t="str">
        <f>SUBSTITUTE(SUBSTITUTE(SUBSTITUTE("vnt"&amp;$B1718&amp;$C1718&amp;$D1718&amp;$E1718&amp;$F1718,".","_"),"(","_"),")","")</f>
        <v>vnt901_14_1</v>
      </c>
      <c r="AS1718" s="311">
        <f>X1718</f>
        <v>0</v>
      </c>
      <c r="AT1718" s="848"/>
      <c r="AU1718" s="848"/>
      <c r="AV1718" s="848"/>
      <c r="AW1718" s="848"/>
      <c r="AX1718" s="848"/>
      <c r="AY1718" s="848"/>
      <c r="AZ1718" s="848"/>
      <c r="BA1718" s="848"/>
      <c r="BB1718" s="848"/>
      <c r="BC1718" s="848"/>
      <c r="BD1718" s="848"/>
      <c r="BE1718" s="848"/>
      <c r="BF1718" s="848"/>
      <c r="BG1718" s="848"/>
      <c r="BH1718" s="848"/>
      <c r="BJ1718" s="1184" t="s">
        <v>4763</v>
      </c>
    </row>
    <row r="1719" spans="1:62" x14ac:dyDescent="0.3">
      <c r="A1719" s="1200">
        <v>9</v>
      </c>
      <c r="B1719" s="1210">
        <v>901.14</v>
      </c>
      <c r="C1719" s="1203"/>
      <c r="D1719" s="1203"/>
      <c r="E1719" s="1203" t="s">
        <v>271</v>
      </c>
      <c r="F1719" s="1203"/>
      <c r="G1719" s="1202" t="str">
        <f t="shared" ref="G1719" ca="1" si="580">G1718</f>
        <v/>
      </c>
      <c r="H1719" s="1200" t="s">
        <v>4388</v>
      </c>
      <c r="I1719" s="182"/>
      <c r="J1719" s="238"/>
      <c r="K1719" s="238"/>
      <c r="L1719" s="1306"/>
      <c r="M1719" s="1319"/>
      <c r="N1719" s="1309"/>
      <c r="O1719" s="1309"/>
      <c r="P1719" s="848"/>
      <c r="Q1719" s="848"/>
      <c r="R1719" s="848"/>
      <c r="S1719" s="1077"/>
      <c r="T1719" s="848"/>
      <c r="U1719" s="848"/>
      <c r="V1719" s="848"/>
      <c r="W1719" s="848"/>
      <c r="X1719" s="1303"/>
      <c r="Y1719" s="1522"/>
      <c r="Z1719" s="1586"/>
      <c r="AB1719" s="848"/>
      <c r="AC1719" s="848"/>
      <c r="AD1719" s="848"/>
      <c r="AE1719" s="848"/>
      <c r="AF1719" s="848"/>
      <c r="AG1719" s="848"/>
      <c r="AH1719" s="848"/>
      <c r="AI1719" s="848"/>
      <c r="AJ1719" s="848"/>
      <c r="AK1719" s="848"/>
      <c r="AL1719" s="848"/>
      <c r="AM1719" s="848"/>
      <c r="AN1719" s="848"/>
      <c r="AO1719" s="848"/>
      <c r="AP1719" s="848"/>
      <c r="AQ1719" s="848"/>
      <c r="AR1719" s="848"/>
      <c r="AS1719" s="848"/>
      <c r="AT1719" s="848"/>
      <c r="AU1719" s="848"/>
      <c r="AV1719" s="848"/>
      <c r="AW1719" s="848"/>
      <c r="AX1719" s="848"/>
      <c r="AY1719" s="848"/>
      <c r="AZ1719" s="848"/>
      <c r="BA1719" s="848"/>
      <c r="BB1719" s="848"/>
      <c r="BC1719" s="848"/>
      <c r="BD1719" s="848"/>
      <c r="BE1719" s="848"/>
      <c r="BF1719" s="848"/>
      <c r="BG1719" s="848"/>
      <c r="BH1719" s="848"/>
      <c r="BJ1719" s="1184" t="s">
        <v>4763</v>
      </c>
    </row>
    <row r="1720" spans="1:62" x14ac:dyDescent="0.3">
      <c r="A1720" s="1200">
        <v>9</v>
      </c>
      <c r="B1720" s="1210">
        <v>901.14</v>
      </c>
      <c r="C1720" s="1203"/>
      <c r="D1720" s="1203"/>
      <c r="E1720" s="1203" t="s">
        <v>273</v>
      </c>
      <c r="F1720" s="1203"/>
      <c r="G1720" s="1202" t="str">
        <f ca="1">IF(N1720&gt;0,"P","")</f>
        <v/>
      </c>
      <c r="H1720" s="1200" t="s">
        <v>4388</v>
      </c>
      <c r="I1720" s="182"/>
      <c r="J1720" s="27" t="s">
        <v>273</v>
      </c>
      <c r="K1720" s="4"/>
      <c r="L1720" s="1329" t="s">
        <v>3432</v>
      </c>
      <c r="M1720" s="1335">
        <v>1</v>
      </c>
      <c r="N1720" s="1310">
        <f ca="1">'Ch9'!O173</f>
        <v>0</v>
      </c>
      <c r="O1720" s="1310">
        <f ca="1">M1720*S1720*W1720</f>
        <v>0</v>
      </c>
      <c r="P1720" s="97" t="b">
        <v>0</v>
      </c>
      <c r="Q1720" s="97" t="b">
        <v>1</v>
      </c>
      <c r="R1720" s="848" t="b">
        <v>0</v>
      </c>
      <c r="S1720" s="1077" t="b">
        <f ca="1">$AY$18=INDEX(INDIRECT("ddSingleOrMulti"),2)</f>
        <v>0</v>
      </c>
      <c r="T1720" s="97" t="b">
        <f ca="1">AND(NOT(S1720),W1720=TRUE)</f>
        <v>0</v>
      </c>
      <c r="U1720" s="848"/>
      <c r="V1720" s="848"/>
      <c r="W1720" s="25"/>
      <c r="X1720" s="1303"/>
      <c r="Y1720" s="1522" t="str">
        <f>IF(LEN('Ch9'!X173)=0,"None",'Ch9'!X173)</f>
        <v>None</v>
      </c>
      <c r="Z1720" s="1586"/>
      <c r="AB1720" s="848"/>
      <c r="AC1720" s="848" t="b">
        <f ca="1">OR(AD1720:AE1720)</f>
        <v>0</v>
      </c>
      <c r="AD1720" s="848" t="b">
        <f ca="1">T1720</f>
        <v>0</v>
      </c>
      <c r="AE1720" s="848" t="b">
        <f>AND(R1720,NOT(W1720))</f>
        <v>0</v>
      </c>
      <c r="AF1720" s="1182" t="b">
        <f>AND(AE1720,NOT(Q1720))</f>
        <v>0</v>
      </c>
      <c r="AG1720" s="848"/>
      <c r="AH1720" s="848"/>
      <c r="AI1720" s="848"/>
      <c r="AJ1720" s="848"/>
      <c r="AK1720" s="848"/>
      <c r="AL1720" s="311" t="str">
        <f t="shared" ref="AL1720" si="581">SUBSTITUTE(SUBSTITUTE(SUBSTITUTE("vpa"&amp;$B1720&amp;$C1720&amp;$D1720&amp;$E1720&amp;$F1720,".","_"),"(","_"),")","")</f>
        <v>vpa901_14_2</v>
      </c>
      <c r="AM1720" s="311">
        <f>M1720</f>
        <v>1</v>
      </c>
      <c r="AN1720" s="311" t="str">
        <f>SUBSTITUTE(SUBSTITUTE(SUBSTITUTE("vpc"&amp;$B1720&amp;$C1720&amp;$D1720&amp;$E1720&amp;$F1720,".","_"),"(","_"),")","")</f>
        <v>vpc901_14_2</v>
      </c>
      <c r="AO1720" s="311">
        <f ca="1">O1720</f>
        <v>0</v>
      </c>
      <c r="AP1720" s="311" t="str">
        <f>SUBSTITUTE(SUBSTITUTE(SUBSTITUTE("vch"&amp;$B1720&amp;$C1720&amp;$D1720&amp;$E1720&amp;$F1720,".","_"),"(","_"),")","")</f>
        <v>vch901_14_2</v>
      </c>
      <c r="AQ1720" s="311">
        <f>W1720</f>
        <v>0</v>
      </c>
      <c r="AR1720" s="311" t="str">
        <f>SUBSTITUTE(SUBSTITUTE(SUBSTITUTE("vnt"&amp;$B1720&amp;$C1720&amp;$D1720&amp;$E1720&amp;$F1720,".","_"),"(","_"),")","")</f>
        <v>vnt901_14_2</v>
      </c>
      <c r="AS1720" s="311">
        <f>X1720</f>
        <v>0</v>
      </c>
      <c r="AT1720" s="848"/>
      <c r="AU1720" s="848"/>
      <c r="AV1720" s="848"/>
      <c r="AW1720" s="848"/>
      <c r="AX1720" s="848"/>
      <c r="AY1720" s="848"/>
      <c r="AZ1720" s="848"/>
      <c r="BA1720" s="848"/>
      <c r="BB1720" s="848"/>
      <c r="BC1720" s="848"/>
      <c r="BD1720" s="848"/>
      <c r="BE1720" s="848"/>
      <c r="BF1720" s="848"/>
      <c r="BG1720" s="848"/>
      <c r="BH1720" s="848"/>
      <c r="BJ1720" s="1184" t="s">
        <v>4763</v>
      </c>
    </row>
    <row r="1721" spans="1:62" x14ac:dyDescent="0.3">
      <c r="A1721" s="1200">
        <v>9</v>
      </c>
      <c r="B1721" s="1210">
        <v>901.14</v>
      </c>
      <c r="C1721" s="1203"/>
      <c r="D1721" s="1203"/>
      <c r="E1721" s="1203" t="s">
        <v>273</v>
      </c>
      <c r="F1721" s="1203"/>
      <c r="G1721" s="1202" t="str">
        <f t="shared" ref="G1721" ca="1" si="582">G1720</f>
        <v/>
      </c>
      <c r="H1721" s="1200" t="s">
        <v>4388</v>
      </c>
      <c r="I1721" s="182"/>
      <c r="J1721" s="4"/>
      <c r="K1721" s="4"/>
      <c r="L1721" s="1329"/>
      <c r="M1721" s="1335"/>
      <c r="N1721" s="1310"/>
      <c r="O1721" s="1310"/>
      <c r="P1721" s="848"/>
      <c r="Q1721" s="848"/>
      <c r="R1721" s="848"/>
      <c r="S1721" s="848"/>
      <c r="T1721" s="848"/>
      <c r="U1721" s="848"/>
      <c r="V1721" s="848"/>
      <c r="W1721" s="848"/>
      <c r="X1721" s="1303"/>
      <c r="Y1721" s="1522"/>
      <c r="Z1721" s="1586"/>
      <c r="AB1721" s="848"/>
      <c r="AC1721" s="848"/>
      <c r="AD1721" s="848"/>
      <c r="AE1721" s="848"/>
      <c r="AF1721" s="848"/>
      <c r="AG1721" s="848"/>
      <c r="AH1721" s="848"/>
      <c r="AI1721" s="848"/>
      <c r="AJ1721" s="848"/>
      <c r="AK1721" s="848"/>
      <c r="AL1721" s="848"/>
      <c r="AM1721" s="848"/>
      <c r="AN1721" s="848"/>
      <c r="AO1721" s="848"/>
      <c r="AP1721" s="848"/>
      <c r="AQ1721" s="848"/>
      <c r="AR1721" s="848"/>
      <c r="AS1721" s="848"/>
      <c r="AT1721" s="848"/>
      <c r="AU1721" s="848"/>
      <c r="AV1721" s="848"/>
      <c r="AW1721" s="848"/>
      <c r="AX1721" s="848"/>
      <c r="AY1721" s="848"/>
      <c r="AZ1721" s="848"/>
      <c r="BA1721" s="848"/>
      <c r="BB1721" s="848"/>
      <c r="BC1721" s="848"/>
      <c r="BD1721" s="848"/>
      <c r="BE1721" s="848"/>
      <c r="BF1721" s="848"/>
      <c r="BG1721" s="848"/>
      <c r="BH1721" s="848"/>
      <c r="BJ1721" s="1184" t="s">
        <v>4763</v>
      </c>
    </row>
    <row r="1722" spans="1:62" ht="18" x14ac:dyDescent="0.35">
      <c r="A1722" s="1200">
        <v>9</v>
      </c>
      <c r="B1722" s="1210">
        <v>902</v>
      </c>
      <c r="C1722" s="1203"/>
      <c r="D1722" s="1203"/>
      <c r="E1722" s="1203"/>
      <c r="F1722" s="1203"/>
      <c r="G1722" s="1202" t="s">
        <v>4389</v>
      </c>
      <c r="H1722" s="1200" t="s">
        <v>4386</v>
      </c>
      <c r="I1722" s="14" t="s">
        <v>3433</v>
      </c>
      <c r="J1722" s="23"/>
      <c r="K1722" s="23"/>
      <c r="L1722" s="87"/>
      <c r="M1722" s="594"/>
      <c r="N1722" s="594"/>
      <c r="O1722" s="594"/>
      <c r="P1722" s="23"/>
      <c r="Q1722" s="23"/>
      <c r="R1722" s="23"/>
      <c r="S1722" s="23"/>
      <c r="T1722" s="23"/>
      <c r="U1722" s="23"/>
      <c r="V1722" s="23"/>
      <c r="W1722" s="23"/>
      <c r="X1722" s="23"/>
      <c r="Y1722" s="23"/>
      <c r="Z1722" s="1168"/>
      <c r="AB1722" s="848"/>
      <c r="AC1722" s="848"/>
      <c r="AD1722" s="848"/>
      <c r="AE1722" s="848"/>
      <c r="AF1722" s="848"/>
      <c r="AG1722" s="848"/>
      <c r="AH1722" s="848"/>
      <c r="AI1722" s="848"/>
      <c r="AJ1722" s="848"/>
      <c r="AK1722" s="848"/>
      <c r="AL1722" s="848"/>
      <c r="AM1722" s="848"/>
      <c r="AN1722" s="848"/>
      <c r="AO1722" s="848"/>
      <c r="AP1722" s="848"/>
      <c r="AQ1722" s="848"/>
      <c r="AR1722" s="848"/>
      <c r="AS1722" s="848"/>
      <c r="AT1722" s="848"/>
      <c r="AU1722" s="848"/>
      <c r="AV1722" s="848"/>
      <c r="AW1722" s="848"/>
      <c r="AX1722" s="848"/>
      <c r="AY1722" s="848"/>
      <c r="AZ1722" s="848"/>
      <c r="BA1722" s="848"/>
      <c r="BB1722" s="848"/>
      <c r="BC1722" s="848"/>
      <c r="BD1722" s="848"/>
      <c r="BE1722" s="848"/>
      <c r="BF1722" s="848"/>
      <c r="BG1722" s="848"/>
      <c r="BH1722" s="848"/>
      <c r="BJ1722" s="1184" t="s">
        <v>4763</v>
      </c>
    </row>
    <row r="1723" spans="1:62" ht="15" thickBot="1" x14ac:dyDescent="0.35">
      <c r="A1723" s="1200">
        <v>9</v>
      </c>
      <c r="B1723" s="1210" t="s">
        <v>4669</v>
      </c>
      <c r="C1723" s="1203"/>
      <c r="D1723" s="1203"/>
      <c r="E1723" s="1203"/>
      <c r="F1723" s="1203"/>
      <c r="G1723" s="1200"/>
      <c r="H1723" s="1200"/>
      <c r="I1723" s="574">
        <v>902</v>
      </c>
      <c r="J1723" s="270"/>
      <c r="K1723" s="270"/>
      <c r="L1723" s="880" t="s">
        <v>3434</v>
      </c>
      <c r="M1723" s="865"/>
      <c r="N1723" s="858"/>
      <c r="O1723" s="858"/>
      <c r="P1723" s="104"/>
      <c r="Q1723" s="104"/>
      <c r="R1723" s="104"/>
      <c r="S1723" s="104"/>
      <c r="T1723" s="104"/>
      <c r="U1723" s="104"/>
      <c r="V1723" s="104"/>
      <c r="W1723" s="104"/>
      <c r="X1723" s="104"/>
      <c r="Y1723" s="848"/>
      <c r="Z1723" s="1055"/>
      <c r="AB1723" s="848"/>
      <c r="AC1723" s="848"/>
      <c r="AD1723" s="848"/>
      <c r="AE1723" s="848"/>
      <c r="AF1723" s="848"/>
      <c r="AG1723" s="848"/>
      <c r="AH1723" s="848"/>
      <c r="AI1723" s="848"/>
      <c r="AJ1723" s="848"/>
      <c r="AK1723" s="848"/>
      <c r="AL1723" s="848"/>
      <c r="AM1723" s="848"/>
      <c r="AN1723" s="848"/>
      <c r="AO1723" s="848"/>
      <c r="AP1723" s="848"/>
      <c r="AQ1723" s="848"/>
      <c r="AR1723" s="848"/>
      <c r="AS1723" s="848"/>
      <c r="AT1723" s="848"/>
      <c r="AU1723" s="848"/>
      <c r="AV1723" s="848"/>
      <c r="AW1723" s="848"/>
      <c r="AX1723" s="848"/>
      <c r="AY1723" s="848"/>
      <c r="AZ1723" s="848"/>
      <c r="BA1723" s="848"/>
      <c r="BB1723" s="848"/>
      <c r="BC1723" s="848"/>
      <c r="BD1723" s="848"/>
      <c r="BE1723" s="848"/>
      <c r="BF1723" s="848"/>
      <c r="BG1723" s="848"/>
      <c r="BH1723" s="848"/>
      <c r="BJ1723" s="1184" t="s">
        <v>4763</v>
      </c>
    </row>
    <row r="1724" spans="1:62" ht="15" thickTop="1" x14ac:dyDescent="0.3">
      <c r="A1724" s="1200">
        <v>9</v>
      </c>
      <c r="B1724" s="1210">
        <v>902.1</v>
      </c>
      <c r="C1724" s="1203"/>
      <c r="D1724" s="1203"/>
      <c r="E1724" s="1203"/>
      <c r="F1724" s="1203"/>
      <c r="G1724" s="1202" t="s">
        <v>4389</v>
      </c>
      <c r="H1724" s="1200" t="s">
        <v>4388</v>
      </c>
      <c r="I1724" s="66">
        <v>902.1</v>
      </c>
      <c r="J1724" s="4"/>
      <c r="K1724" s="4"/>
      <c r="L1724" s="872" t="s">
        <v>3435</v>
      </c>
      <c r="M1724" s="866"/>
      <c r="N1724" s="850"/>
      <c r="O1724" s="850"/>
      <c r="P1724" s="848"/>
      <c r="Q1724" s="848"/>
      <c r="R1724" s="848"/>
      <c r="S1724" s="848"/>
      <c r="T1724" s="848"/>
      <c r="U1724" s="848"/>
      <c r="V1724" s="848"/>
      <c r="W1724" s="848"/>
      <c r="X1724" s="848"/>
      <c r="Y1724" s="848"/>
      <c r="Z1724" s="1055"/>
      <c r="AB1724" s="848"/>
      <c r="AC1724" s="848"/>
      <c r="AD1724" s="848"/>
      <c r="AE1724" s="848"/>
      <c r="AF1724" s="848"/>
      <c r="AG1724" s="848"/>
      <c r="AH1724" s="848"/>
      <c r="AI1724" s="848"/>
      <c r="AJ1724" s="848"/>
      <c r="AK1724" s="848"/>
      <c r="AL1724" s="848"/>
      <c r="AM1724" s="848"/>
      <c r="AN1724" s="848"/>
      <c r="AO1724" s="848"/>
      <c r="AP1724" s="848"/>
      <c r="AQ1724" s="848"/>
      <c r="AR1724" s="848"/>
      <c r="AS1724" s="848"/>
      <c r="AT1724" s="848"/>
      <c r="AU1724" s="848"/>
      <c r="AV1724" s="848"/>
      <c r="AW1724" s="848"/>
      <c r="AX1724" s="848"/>
      <c r="AY1724" s="848"/>
      <c r="AZ1724" s="848"/>
      <c r="BA1724" s="848"/>
      <c r="BB1724" s="848"/>
      <c r="BC1724" s="848"/>
      <c r="BD1724" s="848"/>
      <c r="BE1724" s="848"/>
      <c r="BF1724" s="848"/>
      <c r="BG1724" s="848"/>
      <c r="BH1724" s="848"/>
      <c r="BJ1724" s="1184" t="s">
        <v>4763</v>
      </c>
    </row>
    <row r="1725" spans="1:62" x14ac:dyDescent="0.3">
      <c r="A1725" s="1200">
        <v>9</v>
      </c>
      <c r="B1725" s="1210">
        <v>902.1</v>
      </c>
      <c r="C1725" s="1203"/>
      <c r="D1725" s="1203"/>
      <c r="E1725" s="1203"/>
      <c r="F1725" s="1203"/>
      <c r="G1725" s="1202" t="s">
        <v>4389</v>
      </c>
      <c r="H1725" s="1200" t="s">
        <v>4388</v>
      </c>
      <c r="I1725" s="66" t="s">
        <v>4076</v>
      </c>
      <c r="J1725" s="4"/>
      <c r="K1725" s="4"/>
      <c r="L1725" s="872" t="s">
        <v>4077</v>
      </c>
      <c r="M1725" s="866"/>
      <c r="N1725" s="850"/>
      <c r="O1725" s="850"/>
      <c r="P1725" s="848"/>
      <c r="Q1725" s="848"/>
      <c r="R1725" s="848"/>
      <c r="S1725" s="848"/>
      <c r="T1725" s="848"/>
      <c r="U1725" s="848"/>
      <c r="V1725" s="848"/>
      <c r="W1725" s="848"/>
      <c r="X1725" s="848"/>
      <c r="Y1725" s="848"/>
      <c r="Z1725" s="1055"/>
      <c r="AB1725" s="848"/>
      <c r="AC1725" s="848"/>
      <c r="AD1725" s="848"/>
      <c r="AE1725" s="848"/>
      <c r="AF1725" s="848"/>
      <c r="AG1725" s="848"/>
      <c r="AH1725" s="848"/>
      <c r="AI1725" s="848"/>
      <c r="AJ1725" s="848"/>
      <c r="AK1725" s="848"/>
      <c r="AL1725" s="848"/>
      <c r="AM1725" s="848"/>
      <c r="AN1725" s="848"/>
      <c r="AO1725" s="848"/>
      <c r="AP1725" s="848"/>
      <c r="AQ1725" s="848"/>
      <c r="AR1725" s="848"/>
      <c r="AS1725" s="848"/>
      <c r="AT1725" s="848"/>
      <c r="AU1725" s="848"/>
      <c r="AV1725" s="848"/>
      <c r="AW1725" s="848"/>
      <c r="AX1725" s="848"/>
      <c r="AY1725" s="848"/>
      <c r="AZ1725" s="848"/>
      <c r="BA1725" s="848"/>
      <c r="BB1725" s="848"/>
      <c r="BC1725" s="848"/>
      <c r="BD1725" s="848"/>
      <c r="BE1725" s="848"/>
      <c r="BF1725" s="848"/>
      <c r="BG1725" s="848"/>
      <c r="BH1725" s="848"/>
      <c r="BJ1725" s="1184" t="s">
        <v>4763</v>
      </c>
    </row>
    <row r="1726" spans="1:62" x14ac:dyDescent="0.3">
      <c r="A1726" s="1200">
        <v>9</v>
      </c>
      <c r="B1726" s="1210">
        <v>902.1</v>
      </c>
      <c r="C1726" s="1203"/>
      <c r="D1726" s="1203"/>
      <c r="E1726" s="1203" t="s">
        <v>271</v>
      </c>
      <c r="F1726" s="1203"/>
      <c r="G1726" s="1202" t="s">
        <v>4389</v>
      </c>
      <c r="H1726" s="1200" t="s">
        <v>4388</v>
      </c>
      <c r="I1726" s="182"/>
      <c r="J1726" s="27" t="s">
        <v>271</v>
      </c>
      <c r="K1726" s="4"/>
      <c r="L1726" s="1329" t="s">
        <v>3436</v>
      </c>
      <c r="M1726" s="1351" t="str">
        <f>IF(R1726,"Mandatory","N/A")</f>
        <v>Mandatory</v>
      </c>
      <c r="N1726" s="850"/>
      <c r="O1726" s="850"/>
      <c r="P1726" s="97" t="b">
        <v>0</v>
      </c>
      <c r="Q1726" s="97" t="b">
        <v>1</v>
      </c>
      <c r="R1726" s="848" t="b">
        <f>S1726</f>
        <v>1</v>
      </c>
      <c r="S1726" s="848" t="b">
        <v>1</v>
      </c>
      <c r="T1726" s="848" t="b">
        <v>0</v>
      </c>
      <c r="U1726" s="848"/>
      <c r="V1726" s="848"/>
      <c r="W1726" s="25"/>
      <c r="X1726" s="1303"/>
      <c r="Y1726" s="1522" t="str">
        <f>IF(LEN('Ch9'!X179)=0,"None",'Ch9'!X179)</f>
        <v>ZERH Requirement - ENERGY STAR Certified Homes National Rater Field Checklist Section 8.2 Bathroom Exhaust</v>
      </c>
      <c r="Z1726" s="1586"/>
      <c r="AB1726" s="848"/>
      <c r="AC1726" s="848" t="b">
        <f>OR(AD1726:AE1726)</f>
        <v>1</v>
      </c>
      <c r="AD1726" s="848" t="b">
        <f>T1726</f>
        <v>0</v>
      </c>
      <c r="AE1726" s="848" t="b">
        <f>AND(R1726,NOT(W1726))</f>
        <v>1</v>
      </c>
      <c r="AF1726" s="1182" t="b">
        <f>AND(AE1726,NOT(Q1726))</f>
        <v>0</v>
      </c>
      <c r="AG1726" s="848"/>
      <c r="AH1726" s="848"/>
      <c r="AI1726" s="848"/>
      <c r="AJ1726" s="848"/>
      <c r="AK1726" s="848"/>
      <c r="AL1726" s="848"/>
      <c r="AM1726" s="848"/>
      <c r="AN1726" s="848"/>
      <c r="AO1726" s="848"/>
      <c r="AP1726" s="311" t="str">
        <f>SUBSTITUTE(SUBSTITUTE(SUBSTITUTE("vch"&amp;$B1726&amp;$C1726&amp;$D1726&amp;$E1726&amp;$F1726,".","_"),"(","_"),")","")</f>
        <v>vch902_1_1</v>
      </c>
      <c r="AQ1726" s="311">
        <f>W1726</f>
        <v>0</v>
      </c>
      <c r="AR1726" s="311" t="str">
        <f>SUBSTITUTE(SUBSTITUTE(SUBSTITUTE("vnt"&amp;$B1726&amp;$C1726&amp;$D1726&amp;$E1726&amp;$F1726,".","_"),"(","_"),")","")</f>
        <v>vnt902_1_1</v>
      </c>
      <c r="AS1726" s="311">
        <f>X1726</f>
        <v>0</v>
      </c>
      <c r="AT1726" s="848"/>
      <c r="AU1726" s="848"/>
      <c r="AV1726" s="848"/>
      <c r="AW1726" s="848"/>
      <c r="AX1726" s="848"/>
      <c r="AY1726" s="848"/>
      <c r="AZ1726" s="848"/>
      <c r="BA1726" s="848"/>
      <c r="BB1726" s="848"/>
      <c r="BC1726" s="848"/>
      <c r="BD1726" s="848"/>
      <c r="BE1726" s="848"/>
      <c r="BF1726" s="848"/>
      <c r="BG1726" s="848"/>
      <c r="BH1726" s="848"/>
      <c r="BJ1726" s="1184" t="s">
        <v>4763</v>
      </c>
    </row>
    <row r="1727" spans="1:62" x14ac:dyDescent="0.3">
      <c r="A1727" s="1200">
        <v>9</v>
      </c>
      <c r="B1727" s="1210">
        <v>902.1</v>
      </c>
      <c r="C1727" s="1203"/>
      <c r="D1727" s="1203"/>
      <c r="E1727" s="1203" t="s">
        <v>271</v>
      </c>
      <c r="F1727" s="1203"/>
      <c r="G1727" s="1202" t="s">
        <v>4389</v>
      </c>
      <c r="H1727" s="1200" t="s">
        <v>4388</v>
      </c>
      <c r="I1727" s="182"/>
      <c r="J1727" s="4"/>
      <c r="K1727" s="4"/>
      <c r="L1727" s="1329"/>
      <c r="M1727" s="1351"/>
      <c r="N1727" s="850"/>
      <c r="O1727" s="850"/>
      <c r="P1727" s="848"/>
      <c r="Q1727" s="848"/>
      <c r="R1727" s="848"/>
      <c r="S1727" s="848"/>
      <c r="T1727" s="848"/>
      <c r="U1727" s="848"/>
      <c r="V1727" s="848"/>
      <c r="W1727" s="848"/>
      <c r="X1727" s="1303"/>
      <c r="Y1727" s="1522"/>
      <c r="Z1727" s="1586"/>
      <c r="AB1727" s="848"/>
      <c r="AC1727" s="848"/>
      <c r="AD1727" s="848"/>
      <c r="AE1727" s="848"/>
      <c r="AF1727" s="848"/>
      <c r="AG1727" s="848"/>
      <c r="AH1727" s="848"/>
      <c r="AI1727" s="848"/>
      <c r="AJ1727" s="848"/>
      <c r="AK1727" s="848"/>
      <c r="AL1727" s="848"/>
      <c r="AM1727" s="848"/>
      <c r="AN1727" s="848"/>
      <c r="AO1727" s="848"/>
      <c r="AP1727" s="848"/>
      <c r="AQ1727" s="848"/>
      <c r="AR1727" s="848"/>
      <c r="AS1727" s="848"/>
      <c r="AT1727" s="848"/>
      <c r="AU1727" s="848"/>
      <c r="AV1727" s="848"/>
      <c r="AW1727" s="848"/>
      <c r="AX1727" s="848"/>
      <c r="AY1727" s="848"/>
      <c r="AZ1727" s="848"/>
      <c r="BA1727" s="848"/>
      <c r="BB1727" s="848"/>
      <c r="BC1727" s="848"/>
      <c r="BD1727" s="848"/>
      <c r="BE1727" s="848"/>
      <c r="BF1727" s="848"/>
      <c r="BG1727" s="848"/>
      <c r="BH1727" s="848"/>
      <c r="BJ1727" s="1184" t="s">
        <v>4763</v>
      </c>
    </row>
    <row r="1728" spans="1:62" x14ac:dyDescent="0.3">
      <c r="A1728" s="1200">
        <v>9</v>
      </c>
      <c r="B1728" s="1210">
        <v>902.1</v>
      </c>
      <c r="C1728" s="1203"/>
      <c r="D1728" s="1203"/>
      <c r="E1728" s="1203" t="s">
        <v>271</v>
      </c>
      <c r="F1728" s="1203" t="s">
        <v>121</v>
      </c>
      <c r="G1728" s="1202" t="str">
        <f>IF(N1728&gt;0,"P","")</f>
        <v/>
      </c>
      <c r="H1728" s="1204" t="s">
        <v>4388</v>
      </c>
      <c r="I1728" s="182"/>
      <c r="J1728" s="203"/>
      <c r="K1728" s="203" t="s">
        <v>121</v>
      </c>
      <c r="L1728" s="1305" t="s">
        <v>3918</v>
      </c>
      <c r="M1728" s="1318">
        <v>1</v>
      </c>
      <c r="N1728" s="1308">
        <f>'Ch9'!O181</f>
        <v>0</v>
      </c>
      <c r="O1728" s="1308">
        <f>M1728*S1728*W1728</f>
        <v>0</v>
      </c>
      <c r="P1728" s="97" t="b">
        <v>0</v>
      </c>
      <c r="Q1728" s="97" t="b">
        <v>1</v>
      </c>
      <c r="R1728" s="848" t="b">
        <v>0</v>
      </c>
      <c r="S1728" s="848" t="b">
        <f>W1726=TRUE</f>
        <v>0</v>
      </c>
      <c r="T1728" s="97" t="b">
        <f>AND(NOT(S1728),W1728=TRUE)</f>
        <v>0</v>
      </c>
      <c r="U1728" s="848"/>
      <c r="V1728" s="848"/>
      <c r="W1728" s="25"/>
      <c r="X1728" s="1303"/>
      <c r="Y1728" s="1522" t="str">
        <f>IF(LEN('Ch9'!X181)=0,"None",'Ch9'!X181)</f>
        <v>ZERH Requirement - Indoor airPLUS, Section 4.6 HVAC Systems</v>
      </c>
      <c r="Z1728" s="1586"/>
      <c r="AB1728" s="848"/>
      <c r="AC1728" s="848" t="b">
        <f>OR(AD1728:AE1728)</f>
        <v>0</v>
      </c>
      <c r="AD1728" s="848" t="b">
        <f>T1728</f>
        <v>0</v>
      </c>
      <c r="AE1728" s="848" t="b">
        <f>AND(R1728,NOT(W1728))</f>
        <v>0</v>
      </c>
      <c r="AF1728" s="1182" t="b">
        <f>AND(AE1728,NOT(Q1728))</f>
        <v>0</v>
      </c>
      <c r="AG1728" s="848"/>
      <c r="AH1728" s="848"/>
      <c r="AI1728" s="848"/>
      <c r="AJ1728" s="848"/>
      <c r="AK1728" s="848"/>
      <c r="AL1728" s="311" t="str">
        <f t="shared" ref="AL1728" si="583">SUBSTITUTE(SUBSTITUTE(SUBSTITUTE("vpa"&amp;$B1728&amp;$C1728&amp;$D1728&amp;$E1728&amp;$F1728,".","_"),"(","_"),")","")</f>
        <v>vpa902_1_1_a</v>
      </c>
      <c r="AM1728" s="311">
        <f>M1728</f>
        <v>1</v>
      </c>
      <c r="AN1728" s="311" t="str">
        <f>SUBSTITUTE(SUBSTITUTE(SUBSTITUTE("vpc"&amp;$B1728&amp;$C1728&amp;$D1728&amp;$E1728&amp;$F1728,".","_"),"(","_"),")","")</f>
        <v>vpc902_1_1_a</v>
      </c>
      <c r="AO1728" s="311">
        <f>O1728</f>
        <v>0</v>
      </c>
      <c r="AP1728" s="311" t="str">
        <f>SUBSTITUTE(SUBSTITUTE(SUBSTITUTE("vch"&amp;$B1728&amp;$C1728&amp;$D1728&amp;$E1728&amp;$F1728,".","_"),"(","_"),")","")</f>
        <v>vch902_1_1_a</v>
      </c>
      <c r="AQ1728" s="311">
        <f>W1728</f>
        <v>0</v>
      </c>
      <c r="AR1728" s="311" t="str">
        <f>SUBSTITUTE(SUBSTITUTE(SUBSTITUTE("vnt"&amp;$B1728&amp;$C1728&amp;$D1728&amp;$E1728&amp;$F1728,".","_"),"(","_"),")","")</f>
        <v>vnt902_1_1_a</v>
      </c>
      <c r="AS1728" s="311">
        <f>X1728</f>
        <v>0</v>
      </c>
      <c r="AT1728" s="848"/>
      <c r="AU1728" s="848"/>
      <c r="AV1728" s="848"/>
      <c r="AW1728" s="848"/>
      <c r="AX1728" s="848"/>
      <c r="AY1728" s="848"/>
      <c r="AZ1728" s="848"/>
      <c r="BA1728" s="848"/>
      <c r="BB1728" s="848"/>
      <c r="BC1728" s="848"/>
      <c r="BD1728" s="848"/>
      <c r="BE1728" s="848"/>
      <c r="BF1728" s="848"/>
      <c r="BG1728" s="848"/>
      <c r="BH1728" s="848"/>
      <c r="BJ1728" s="1184" t="s">
        <v>4763</v>
      </c>
    </row>
    <row r="1729" spans="1:62" x14ac:dyDescent="0.3">
      <c r="A1729" s="1200">
        <v>9</v>
      </c>
      <c r="B1729" s="1210">
        <v>902.1</v>
      </c>
      <c r="C1729" s="1203"/>
      <c r="D1729" s="1203"/>
      <c r="E1729" s="1203" t="s">
        <v>271</v>
      </c>
      <c r="F1729" s="1203"/>
      <c r="G1729" s="1202" t="str">
        <f t="shared" ref="G1729" si="584">G1728</f>
        <v/>
      </c>
      <c r="H1729" s="1200" t="s">
        <v>4388</v>
      </c>
      <c r="I1729" s="182"/>
      <c r="J1729" s="231"/>
      <c r="K1729" s="238"/>
      <c r="L1729" s="1306"/>
      <c r="M1729" s="1319"/>
      <c r="N1729" s="1309"/>
      <c r="O1729" s="1309"/>
      <c r="P1729" s="848"/>
      <c r="Q1729" s="848"/>
      <c r="R1729" s="848"/>
      <c r="S1729" s="848"/>
      <c r="T1729" s="848"/>
      <c r="U1729" s="848"/>
      <c r="V1729" s="848"/>
      <c r="W1729" s="848"/>
      <c r="X1729" s="1303"/>
      <c r="Y1729" s="1522"/>
      <c r="Z1729" s="1586"/>
      <c r="AB1729" s="848"/>
      <c r="AC1729" s="848"/>
      <c r="AD1729" s="848"/>
      <c r="AE1729" s="848"/>
      <c r="AF1729" s="848"/>
      <c r="AG1729" s="848"/>
      <c r="AH1729" s="848"/>
      <c r="AI1729" s="848"/>
      <c r="AJ1729" s="848"/>
      <c r="AK1729" s="848"/>
      <c r="AL1729" s="848"/>
      <c r="AM1729" s="848"/>
      <c r="AN1729" s="848"/>
      <c r="AO1729" s="848"/>
      <c r="AP1729" s="848"/>
      <c r="AQ1729" s="848"/>
      <c r="AR1729" s="848"/>
      <c r="AS1729" s="848"/>
      <c r="AT1729" s="848"/>
      <c r="AU1729" s="848"/>
      <c r="AV1729" s="848"/>
      <c r="AW1729" s="848"/>
      <c r="AX1729" s="848"/>
      <c r="AY1729" s="848"/>
      <c r="AZ1729" s="848"/>
      <c r="BA1729" s="848"/>
      <c r="BB1729" s="848"/>
      <c r="BC1729" s="848"/>
      <c r="BD1729" s="848"/>
      <c r="BE1729" s="848"/>
      <c r="BF1729" s="848"/>
      <c r="BG1729" s="848"/>
      <c r="BH1729" s="848"/>
      <c r="BJ1729" s="1184" t="s">
        <v>4763</v>
      </c>
    </row>
    <row r="1730" spans="1:62" x14ac:dyDescent="0.3">
      <c r="A1730" s="1200">
        <v>9</v>
      </c>
      <c r="B1730" s="1210">
        <v>902.1</v>
      </c>
      <c r="C1730" s="1203"/>
      <c r="D1730" s="1203"/>
      <c r="E1730" s="1203" t="s">
        <v>4673</v>
      </c>
      <c r="F1730" s="1203"/>
      <c r="G1730" s="1202" t="s">
        <v>4389</v>
      </c>
      <c r="H1730" s="1200" t="s">
        <v>4388</v>
      </c>
      <c r="I1730" s="182"/>
      <c r="J1730" s="203" t="s">
        <v>273</v>
      </c>
      <c r="K1730" s="140"/>
      <c r="L1730" s="1305" t="s">
        <v>3437</v>
      </c>
      <c r="M1730" s="1351" t="str">
        <f>IF(R1730,"Mandatory","N/A")</f>
        <v>Mandatory</v>
      </c>
      <c r="N1730" s="850"/>
      <c r="O1730" s="850"/>
      <c r="P1730" s="97" t="b">
        <v>0</v>
      </c>
      <c r="Q1730" s="97" t="b">
        <v>1</v>
      </c>
      <c r="R1730" s="848" t="b">
        <f>S1730</f>
        <v>1</v>
      </c>
      <c r="S1730" s="848" t="b">
        <v>1</v>
      </c>
      <c r="T1730" s="848" t="b">
        <v>0</v>
      </c>
      <c r="U1730" s="97" t="str">
        <f>SUBSTITUTE(SUBSTITUTE(SUBSTITUTE("dd"&amp;B1730&amp;C1730&amp;D1730&amp;E1730&amp;F1730,".","_"),"(","_"),")","")</f>
        <v>dd902_1_2_</v>
      </c>
      <c r="V1730" s="848"/>
      <c r="W1730" s="12"/>
      <c r="X1730" s="1303"/>
      <c r="Y1730" s="1522" t="str">
        <f>IF(LEN('Ch9'!X183)=0,"None",'Ch9'!X183)</f>
        <v>ZERH Requirement - Indoor airPLUS, Section 4.6 HVAC Systems</v>
      </c>
      <c r="Z1730" s="1586"/>
      <c r="AB1730" s="848"/>
      <c r="AC1730" s="848" t="b">
        <f>OR(AD1730:AE1730)</f>
        <v>1</v>
      </c>
      <c r="AD1730" s="848" t="b">
        <f>T1730</f>
        <v>0</v>
      </c>
      <c r="AE1730" s="848" t="b">
        <f>AND(R1730,OR(W1730="Not Met",W1730=""))</f>
        <v>1</v>
      </c>
      <c r="AF1730" s="1182" t="b">
        <f>AND(AE1730,NOT(Q1730))</f>
        <v>0</v>
      </c>
      <c r="AG1730" s="848"/>
      <c r="AH1730" s="848"/>
      <c r="AI1730" s="848"/>
      <c r="AJ1730" s="848"/>
      <c r="AK1730" s="848"/>
      <c r="AL1730" s="311" t="str">
        <f t="shared" ref="AL1730" si="585">SUBSTITUTE(SUBSTITUTE(SUBSTITUTE("vpa"&amp;$B1730&amp;$C1730&amp;$D1730&amp;$E1730&amp;$F1730,".","_"),"(","_"),")","")</f>
        <v>vpa902_1_2_</v>
      </c>
      <c r="AM1730" s="311" t="str">
        <f>M1730</f>
        <v>Mandatory</v>
      </c>
      <c r="AN1730" s="848"/>
      <c r="AO1730" s="848"/>
      <c r="AP1730" s="311" t="str">
        <f>SUBSTITUTE(SUBSTITUTE(SUBSTITUTE("vch"&amp;$B1730&amp;$C1730&amp;$D1730&amp;$E1730&amp;$F1730,".","_"),"(","_"),")","")</f>
        <v>vch902_1_2_</v>
      </c>
      <c r="AQ1730" s="311">
        <f>W1730</f>
        <v>0</v>
      </c>
      <c r="AR1730" s="311" t="str">
        <f>SUBSTITUTE(SUBSTITUTE(SUBSTITUTE("vnt"&amp;$B1730&amp;$C1730&amp;$D1730&amp;$E1730&amp;$F1730,".","_"),"(","_"),")","")</f>
        <v>vnt902_1_2_</v>
      </c>
      <c r="AS1730" s="311">
        <f>X1730</f>
        <v>0</v>
      </c>
      <c r="AT1730" s="848"/>
      <c r="AU1730" s="848"/>
      <c r="AV1730" s="848"/>
      <c r="AW1730" s="848"/>
      <c r="AX1730" s="848"/>
      <c r="AY1730" s="848"/>
      <c r="AZ1730" s="848"/>
      <c r="BA1730" s="848"/>
      <c r="BB1730" s="848"/>
      <c r="BC1730" s="848"/>
      <c r="BD1730" s="848"/>
      <c r="BE1730" s="848"/>
      <c r="BF1730" s="848"/>
      <c r="BG1730" s="848"/>
      <c r="BH1730" s="848"/>
      <c r="BJ1730" s="1184" t="s">
        <v>4763</v>
      </c>
    </row>
    <row r="1731" spans="1:62" x14ac:dyDescent="0.3">
      <c r="A1731" s="1200">
        <v>9</v>
      </c>
      <c r="B1731" s="1210">
        <v>902.1</v>
      </c>
      <c r="C1731" s="1203"/>
      <c r="D1731" s="1203"/>
      <c r="E1731" s="1203" t="s">
        <v>273</v>
      </c>
      <c r="F1731" s="1203"/>
      <c r="G1731" s="1202" t="s">
        <v>4389</v>
      </c>
      <c r="H1731" s="1200" t="s">
        <v>4388</v>
      </c>
      <c r="I1731" s="182"/>
      <c r="J1731" s="231"/>
      <c r="K1731" s="238"/>
      <c r="L1731" s="1306"/>
      <c r="M1731" s="1352"/>
      <c r="N1731" s="855"/>
      <c r="O1731" s="855"/>
      <c r="P1731" s="848"/>
      <c r="Q1731" s="848"/>
      <c r="R1731" s="848"/>
      <c r="S1731" s="848"/>
      <c r="T1731" s="848"/>
      <c r="U1731" s="848"/>
      <c r="V1731" s="848"/>
      <c r="W1731" s="848"/>
      <c r="X1731" s="1303"/>
      <c r="Y1731" s="1522"/>
      <c r="Z1731" s="1586"/>
      <c r="AB1731" s="848"/>
      <c r="AC1731" s="848"/>
      <c r="AD1731" s="848"/>
      <c r="AE1731" s="848"/>
      <c r="AF1731" s="848"/>
      <c r="AG1731" s="848"/>
      <c r="AH1731" s="848"/>
      <c r="AI1731" s="848"/>
      <c r="AJ1731" s="848"/>
      <c r="AK1731" s="848"/>
      <c r="AL1731" s="848"/>
      <c r="AM1731" s="848"/>
      <c r="AN1731" s="848"/>
      <c r="AO1731" s="848"/>
      <c r="AP1731" s="848"/>
      <c r="AQ1731" s="848"/>
      <c r="AR1731" s="848"/>
      <c r="AS1731" s="848"/>
      <c r="AT1731" s="848"/>
      <c r="AU1731" s="848"/>
      <c r="AV1731" s="848"/>
      <c r="AW1731" s="848"/>
      <c r="AX1731" s="848"/>
      <c r="AY1731" s="848"/>
      <c r="AZ1731" s="848"/>
      <c r="BA1731" s="848"/>
      <c r="BB1731" s="848"/>
      <c r="BC1731" s="848"/>
      <c r="BD1731" s="848"/>
      <c r="BE1731" s="848"/>
      <c r="BF1731" s="848"/>
      <c r="BG1731" s="848"/>
      <c r="BH1731" s="848"/>
      <c r="BJ1731" s="1184" t="s">
        <v>4763</v>
      </c>
    </row>
    <row r="1732" spans="1:62" x14ac:dyDescent="0.3">
      <c r="A1732" s="1200">
        <v>9</v>
      </c>
      <c r="B1732" s="1210">
        <v>902.1</v>
      </c>
      <c r="C1732" s="1203"/>
      <c r="D1732" s="1203"/>
      <c r="E1732" s="1203" t="s">
        <v>4674</v>
      </c>
      <c r="F1732" s="1203"/>
      <c r="G1732" s="1202" t="str">
        <f>IF(N1732&gt;0,"P","")</f>
        <v>P</v>
      </c>
      <c r="H1732" s="1200" t="s">
        <v>4388</v>
      </c>
      <c r="I1732" s="576"/>
      <c r="J1732" s="203" t="s">
        <v>275</v>
      </c>
      <c r="K1732" s="140"/>
      <c r="L1732" s="1305" t="s">
        <v>3438</v>
      </c>
      <c r="M1732" s="1318">
        <v>8</v>
      </c>
      <c r="N1732" s="1308">
        <f>'Ch9'!O185</f>
        <v>8</v>
      </c>
      <c r="O1732" s="1308">
        <f>M1732*S1732*W1732</f>
        <v>0</v>
      </c>
      <c r="P1732" s="97" t="b">
        <v>0</v>
      </c>
      <c r="Q1732" s="97" t="b">
        <v>1</v>
      </c>
      <c r="R1732" s="97" t="b">
        <v>0</v>
      </c>
      <c r="S1732" s="97" t="b">
        <v>1</v>
      </c>
      <c r="T1732" s="97" t="b">
        <v>0</v>
      </c>
      <c r="U1732" s="97"/>
      <c r="V1732" s="97"/>
      <c r="W1732" s="25"/>
      <c r="X1732" s="1295"/>
      <c r="Y1732" s="1522" t="str">
        <f>IF(LEN('Ch9'!X185)=0,"None",'Ch9'!X185)</f>
        <v xml:space="preserve">ZERH Requirement - ENERGY STAR Certifid Homes National Rater Field Checklist, Section 8.1 Kitchen Exhaust </v>
      </c>
      <c r="Z1732" s="1586"/>
      <c r="AB1732" s="848"/>
      <c r="AC1732" s="848" t="b">
        <f>OR(AD1732:AE1732)</f>
        <v>0</v>
      </c>
      <c r="AD1732" s="848" t="b">
        <f>T1732</f>
        <v>0</v>
      </c>
      <c r="AE1732" s="848" t="b">
        <f>AND(R1732,NOT(W1732))</f>
        <v>0</v>
      </c>
      <c r="AF1732" s="1182" t="b">
        <f>AND(AE1732,NOT(Q1732))</f>
        <v>0</v>
      </c>
      <c r="AG1732" s="848"/>
      <c r="AH1732" s="848"/>
      <c r="AI1732" s="848"/>
      <c r="AJ1732" s="848"/>
      <c r="AK1732" s="848"/>
      <c r="AL1732" s="311" t="str">
        <f t="shared" ref="AL1732" si="586">SUBSTITUTE(SUBSTITUTE(SUBSTITUTE("vpa"&amp;$B1732&amp;$C1732&amp;$D1732&amp;$E1732&amp;$F1732,".","_"),"(","_"),")","")</f>
        <v>vpa902_1_3_</v>
      </c>
      <c r="AM1732" s="311">
        <f>M1732</f>
        <v>8</v>
      </c>
      <c r="AN1732" s="311" t="str">
        <f>SUBSTITUTE(SUBSTITUTE(SUBSTITUTE("vpc"&amp;$B1732&amp;$C1732&amp;$D1732&amp;$E1732&amp;$F1732,".","_"),"(","_"),")","")</f>
        <v>vpc902_1_3_</v>
      </c>
      <c r="AO1732" s="311">
        <f>O1732</f>
        <v>0</v>
      </c>
      <c r="AP1732" s="311" t="str">
        <f>SUBSTITUTE(SUBSTITUTE(SUBSTITUTE("vch"&amp;$B1732&amp;$C1732&amp;$D1732&amp;$E1732&amp;$F1732,".","_"),"(","_"),")","")</f>
        <v>vch902_1_3_</v>
      </c>
      <c r="AQ1732" s="311">
        <f>W1732</f>
        <v>0</v>
      </c>
      <c r="AR1732" s="311" t="str">
        <f>SUBSTITUTE(SUBSTITUTE(SUBSTITUTE("vnt"&amp;$B1732&amp;$C1732&amp;$D1732&amp;$E1732&amp;$F1732,".","_"),"(","_"),")","")</f>
        <v>vnt902_1_3_</v>
      </c>
      <c r="AS1732" s="311">
        <f>X1732</f>
        <v>0</v>
      </c>
      <c r="AT1732" s="848"/>
      <c r="AU1732" s="848"/>
      <c r="AV1732" s="848"/>
      <c r="AW1732" s="848"/>
      <c r="AX1732" s="848"/>
      <c r="AY1732" s="848"/>
      <c r="AZ1732" s="848"/>
      <c r="BA1732" s="848"/>
      <c r="BB1732" s="848"/>
      <c r="BC1732" s="848"/>
      <c r="BD1732" s="848"/>
      <c r="BE1732" s="848"/>
      <c r="BF1732" s="848"/>
      <c r="BG1732" s="848"/>
      <c r="BH1732" s="848"/>
      <c r="BJ1732" s="1184" t="s">
        <v>4763</v>
      </c>
    </row>
    <row r="1733" spans="1:62" x14ac:dyDescent="0.3">
      <c r="A1733" s="1200">
        <v>9</v>
      </c>
      <c r="B1733" s="1210">
        <v>902.1</v>
      </c>
      <c r="C1733" s="1203"/>
      <c r="D1733" s="1203"/>
      <c r="E1733" s="1203" t="s">
        <v>275</v>
      </c>
      <c r="F1733" s="1203"/>
      <c r="G1733" s="1202" t="str">
        <f t="shared" ref="G1733:G1734" si="587">G1732</f>
        <v>P</v>
      </c>
      <c r="H1733" s="1200" t="s">
        <v>4388</v>
      </c>
      <c r="I1733" s="576"/>
      <c r="J1733" s="203"/>
      <c r="K1733" s="140"/>
      <c r="L1733" s="1305"/>
      <c r="M1733" s="1318"/>
      <c r="N1733" s="1308"/>
      <c r="O1733" s="1308"/>
      <c r="P1733" s="97"/>
      <c r="Q1733" s="97"/>
      <c r="R1733" s="97"/>
      <c r="S1733" s="97"/>
      <c r="T1733" s="97"/>
      <c r="U1733" s="97"/>
      <c r="V1733" s="97"/>
      <c r="W1733" s="97"/>
      <c r="X1733" s="1295"/>
      <c r="Y1733" s="1522"/>
      <c r="Z1733" s="1586"/>
      <c r="AB1733" s="848"/>
      <c r="AC1733" s="848"/>
      <c r="AD1733" s="848"/>
      <c r="AE1733" s="848"/>
      <c r="AF1733" s="848"/>
      <c r="AG1733" s="848"/>
      <c r="AH1733" s="848"/>
      <c r="AI1733" s="848"/>
      <c r="AJ1733" s="848"/>
      <c r="AK1733" s="848"/>
      <c r="AL1733" s="848"/>
      <c r="AM1733" s="848"/>
      <c r="AN1733" s="848"/>
      <c r="AO1733" s="848"/>
      <c r="AP1733" s="848"/>
      <c r="AQ1733" s="848"/>
      <c r="AR1733" s="848"/>
      <c r="AS1733" s="848"/>
      <c r="AT1733" s="848"/>
      <c r="AU1733" s="848"/>
      <c r="AV1733" s="848"/>
      <c r="AW1733" s="848"/>
      <c r="AX1733" s="848"/>
      <c r="AY1733" s="848"/>
      <c r="AZ1733" s="848"/>
      <c r="BA1733" s="848"/>
      <c r="BB1733" s="848"/>
      <c r="BC1733" s="848"/>
      <c r="BD1733" s="848"/>
      <c r="BE1733" s="848"/>
      <c r="BF1733" s="848"/>
      <c r="BG1733" s="848"/>
      <c r="BH1733" s="848"/>
      <c r="BJ1733" s="1184" t="s">
        <v>4763</v>
      </c>
    </row>
    <row r="1734" spans="1:62" x14ac:dyDescent="0.3">
      <c r="A1734" s="1200">
        <v>9</v>
      </c>
      <c r="B1734" s="1210">
        <v>902.1</v>
      </c>
      <c r="C1734" s="1203"/>
      <c r="D1734" s="1203"/>
      <c r="E1734" s="1203" t="s">
        <v>275</v>
      </c>
      <c r="F1734" s="1203"/>
      <c r="G1734" s="1202" t="str">
        <f t="shared" si="587"/>
        <v>P</v>
      </c>
      <c r="H1734" s="1200" t="s">
        <v>4388</v>
      </c>
      <c r="I1734" s="620"/>
      <c r="J1734" s="238"/>
      <c r="K1734" s="238"/>
      <c r="L1734" s="1306"/>
      <c r="M1734" s="1319"/>
      <c r="N1734" s="1309"/>
      <c r="O1734" s="1309"/>
      <c r="P1734" s="196"/>
      <c r="Q1734" s="196"/>
      <c r="R1734" s="196"/>
      <c r="S1734" s="196"/>
      <c r="T1734" s="196"/>
      <c r="U1734" s="196"/>
      <c r="V1734" s="196"/>
      <c r="W1734" s="196"/>
      <c r="X1734" s="1295"/>
      <c r="Y1734" s="1522"/>
      <c r="Z1734" s="1586"/>
      <c r="AB1734" s="848"/>
      <c r="AC1734" s="848"/>
      <c r="AD1734" s="848"/>
      <c r="AE1734" s="848"/>
      <c r="AF1734" s="848"/>
      <c r="AG1734" s="848"/>
      <c r="AH1734" s="848"/>
      <c r="AI1734" s="848"/>
      <c r="AJ1734" s="848"/>
      <c r="AK1734" s="848"/>
      <c r="AL1734" s="848"/>
      <c r="AM1734" s="848"/>
      <c r="AN1734" s="848"/>
      <c r="AO1734" s="848"/>
      <c r="AP1734" s="848"/>
      <c r="AQ1734" s="848"/>
      <c r="AR1734" s="848"/>
      <c r="AS1734" s="848"/>
      <c r="AT1734" s="848"/>
      <c r="AU1734" s="848"/>
      <c r="AV1734" s="848"/>
      <c r="AW1734" s="848"/>
      <c r="AX1734" s="848"/>
      <c r="AY1734" s="848"/>
      <c r="AZ1734" s="848"/>
      <c r="BA1734" s="848"/>
      <c r="BB1734" s="848"/>
      <c r="BC1734" s="848"/>
      <c r="BD1734" s="848"/>
      <c r="BE1734" s="848"/>
      <c r="BF1734" s="848"/>
      <c r="BG1734" s="848"/>
      <c r="BH1734" s="848"/>
      <c r="BJ1734" s="1184" t="s">
        <v>4763</v>
      </c>
    </row>
    <row r="1735" spans="1:62" x14ac:dyDescent="0.3">
      <c r="A1735" s="1200">
        <v>9</v>
      </c>
      <c r="B1735" s="1210" t="s">
        <v>3439</v>
      </c>
      <c r="C1735" s="1203"/>
      <c r="D1735" s="1203"/>
      <c r="E1735" s="1203"/>
      <c r="F1735" s="1203"/>
      <c r="G1735" s="1202" t="str">
        <f>IF(N1735&gt;0,"P","")</f>
        <v/>
      </c>
      <c r="H1735" s="1200" t="s">
        <v>4388</v>
      </c>
      <c r="I1735" s="215" t="s">
        <v>3439</v>
      </c>
      <c r="J1735" s="216"/>
      <c r="K1735" s="216"/>
      <c r="L1735" s="1364" t="s">
        <v>3440</v>
      </c>
      <c r="M1735" s="1323" t="s">
        <v>3441</v>
      </c>
      <c r="N1735" s="1324">
        <f>'Ch9'!O188</f>
        <v>0</v>
      </c>
      <c r="O1735" s="1324">
        <f>MIN(11,IF(W1736+W1738=0,0,5+2*(W1736+W1738-1)))</f>
        <v>0</v>
      </c>
      <c r="P1735" s="218"/>
      <c r="Q1735" s="218"/>
      <c r="R1735" s="218"/>
      <c r="S1735" s="218"/>
      <c r="T1735" s="218"/>
      <c r="U1735" s="218"/>
      <c r="V1735" s="218"/>
      <c r="W1735" s="218" t="s">
        <v>3919</v>
      </c>
      <c r="X1735" s="1295"/>
      <c r="Y1735" s="1522" t="str">
        <f>IF(LEN('Ch9'!X188)=0,"None",'Ch9'!X188)</f>
        <v>None</v>
      </c>
      <c r="Z1735" s="1586"/>
      <c r="AB1735" s="848"/>
      <c r="AC1735" s="848"/>
      <c r="AD1735" s="848"/>
      <c r="AE1735" s="848"/>
      <c r="AF1735" s="848"/>
      <c r="AG1735" s="848"/>
      <c r="AH1735" s="848"/>
      <c r="AI1735" s="848"/>
      <c r="AJ1735" s="848"/>
      <c r="AK1735" s="848"/>
      <c r="AL1735" s="311" t="str">
        <f t="shared" ref="AL1735" si="588">SUBSTITUTE(SUBSTITUTE(SUBSTITUTE("vpa"&amp;$B1735&amp;$C1735&amp;$D1735&amp;$E1735&amp;$F1735,".","_"),"(","_"),")","")</f>
        <v>vpa902_1_2</v>
      </c>
      <c r="AM1735" s="311" t="str">
        <f>M1735</f>
        <v>11 Max</v>
      </c>
      <c r="AN1735" s="311" t="str">
        <f>SUBSTITUTE(SUBSTITUTE(SUBSTITUTE("vpc"&amp;$B1735&amp;$C1735&amp;$D1735&amp;$E1735&amp;$F1735,".","_"),"(","_"),")","")</f>
        <v>vpc902_1_2</v>
      </c>
      <c r="AO1735" s="311">
        <f>O1735</f>
        <v>0</v>
      </c>
      <c r="AP1735" s="848"/>
      <c r="AQ1735" s="848"/>
      <c r="AR1735" s="311" t="str">
        <f>SUBSTITUTE(SUBSTITUTE(SUBSTITUTE("vnt"&amp;$B1735&amp;$C1735&amp;$D1735&amp;$E1735&amp;$F1735,".","_"),"(","_"),")","")</f>
        <v>vnt902_1_2</v>
      </c>
      <c r="AS1735" s="311">
        <f>X1735</f>
        <v>0</v>
      </c>
      <c r="AT1735" s="848"/>
      <c r="AU1735" s="848"/>
      <c r="AV1735" s="848"/>
      <c r="AW1735" s="848"/>
      <c r="AX1735" s="848"/>
      <c r="AY1735" s="848"/>
      <c r="AZ1735" s="848"/>
      <c r="BA1735" s="848"/>
      <c r="BB1735" s="848"/>
      <c r="BC1735" s="848"/>
      <c r="BD1735" s="848"/>
      <c r="BE1735" s="848"/>
      <c r="BF1735" s="848"/>
      <c r="BG1735" s="848"/>
      <c r="BH1735" s="848"/>
      <c r="BJ1735" s="1184" t="s">
        <v>4763</v>
      </c>
    </row>
    <row r="1736" spans="1:62" x14ac:dyDescent="0.3">
      <c r="A1736" s="1200">
        <v>9</v>
      </c>
      <c r="B1736" s="1210" t="s">
        <v>3439</v>
      </c>
      <c r="C1736" s="1203"/>
      <c r="D1736" s="1203"/>
      <c r="E1736" s="1203"/>
      <c r="F1736" s="1203"/>
      <c r="G1736" s="1202" t="str">
        <f t="shared" ref="G1736:G1738" si="589">G1735</f>
        <v/>
      </c>
      <c r="H1736" s="1200" t="s">
        <v>4388</v>
      </c>
      <c r="I1736" s="576"/>
      <c r="J1736" s="140"/>
      <c r="K1736" s="140"/>
      <c r="L1736" s="1313"/>
      <c r="M1736" s="1318"/>
      <c r="N1736" s="1308"/>
      <c r="O1736" s="1308"/>
      <c r="P1736" s="97" t="b">
        <v>0</v>
      </c>
      <c r="Q1736" s="97" t="b">
        <v>1</v>
      </c>
      <c r="R1736" s="97" t="b">
        <v>0</v>
      </c>
      <c r="S1736" s="97" t="b">
        <v>1</v>
      </c>
      <c r="T1736" s="97" t="b">
        <v>0</v>
      </c>
      <c r="U1736" s="97"/>
      <c r="V1736" s="97"/>
      <c r="W1736" s="579"/>
      <c r="X1736" s="1295"/>
      <c r="Y1736" s="1522"/>
      <c r="Z1736" s="1586"/>
      <c r="AB1736" s="848"/>
      <c r="AC1736" s="848" t="b">
        <f>OR(AD1736:AE1736)</f>
        <v>0</v>
      </c>
      <c r="AD1736" s="848" t="b">
        <f>T1736</f>
        <v>0</v>
      </c>
      <c r="AE1736" s="848" t="b">
        <f>AND(R1736,OR(W1736="Not Met",W1736=""))</f>
        <v>0</v>
      </c>
      <c r="AF1736" s="1182" t="b">
        <f>AND(AE1736,NOT(Q1736))</f>
        <v>0</v>
      </c>
      <c r="AG1736" s="848"/>
      <c r="AH1736" s="848"/>
      <c r="AI1736" s="848"/>
      <c r="AJ1736" s="848"/>
      <c r="AK1736" s="848"/>
      <c r="AL1736" s="848"/>
      <c r="AM1736" s="848"/>
      <c r="AN1736" s="848"/>
      <c r="AO1736" s="848"/>
      <c r="AP1736" s="311" t="str">
        <f>SUBSTITUTE(SUBSTITUTE(SUBSTITUTE("vch"&amp;$B1736&amp;$C1736&amp;$D1736&amp;$E1736&amp;$F1736,".","_"),"(","_"),")","")</f>
        <v>vch902_1_2</v>
      </c>
      <c r="AQ1736" s="311">
        <f>W1736</f>
        <v>0</v>
      </c>
      <c r="AR1736" s="848"/>
      <c r="AS1736" s="848"/>
      <c r="AT1736" s="848"/>
      <c r="AU1736" s="848"/>
      <c r="AV1736" s="848"/>
      <c r="AW1736" s="848"/>
      <c r="AX1736" s="848"/>
      <c r="AY1736" s="848"/>
      <c r="AZ1736" s="848"/>
      <c r="BA1736" s="848"/>
      <c r="BB1736" s="848"/>
      <c r="BC1736" s="848"/>
      <c r="BD1736" s="848"/>
      <c r="BE1736" s="848"/>
      <c r="BF1736" s="848"/>
      <c r="BG1736" s="848"/>
      <c r="BH1736" s="848"/>
      <c r="BJ1736" s="1184" t="s">
        <v>4763</v>
      </c>
    </row>
    <row r="1737" spans="1:62" x14ac:dyDescent="0.3">
      <c r="A1737" s="1200">
        <v>9</v>
      </c>
      <c r="B1737" s="1210" t="s">
        <v>3439</v>
      </c>
      <c r="C1737" s="1203"/>
      <c r="D1737" s="1203"/>
      <c r="E1737" s="1203" t="s">
        <v>271</v>
      </c>
      <c r="F1737" s="1203"/>
      <c r="G1737" s="1202" t="str">
        <f t="shared" si="589"/>
        <v/>
      </c>
      <c r="H1737" s="1200" t="s">
        <v>4388</v>
      </c>
      <c r="I1737" s="576"/>
      <c r="J1737" s="231" t="s">
        <v>271</v>
      </c>
      <c r="K1737" s="238"/>
      <c r="L1737" s="862" t="s">
        <v>3442</v>
      </c>
      <c r="M1737" s="857">
        <v>5</v>
      </c>
      <c r="N1737" s="854"/>
      <c r="O1737" s="854"/>
      <c r="P1737" s="97"/>
      <c r="Q1737" s="97"/>
      <c r="R1737" s="97"/>
      <c r="S1737" s="97"/>
      <c r="T1737" s="97"/>
      <c r="U1737" s="97"/>
      <c r="V1737" s="97"/>
      <c r="W1737" s="97" t="s">
        <v>3920</v>
      </c>
      <c r="X1737" s="1295"/>
      <c r="Y1737" s="1522"/>
      <c r="Z1737" s="1586"/>
      <c r="AB1737" s="848"/>
      <c r="AC1737" s="848"/>
      <c r="AD1737" s="848"/>
      <c r="AE1737" s="848"/>
      <c r="AF1737" s="848"/>
      <c r="AG1737" s="848"/>
      <c r="AH1737" s="848"/>
      <c r="AI1737" s="848"/>
      <c r="AJ1737" s="848"/>
      <c r="AK1737" s="848"/>
      <c r="AL1737" s="311" t="str">
        <f t="shared" ref="AL1737:AL1739" si="590">SUBSTITUTE(SUBSTITUTE(SUBSTITUTE("vpa"&amp;$B1737&amp;$C1737&amp;$D1737&amp;$E1737&amp;$F1737,".","_"),"(","_"),")","")</f>
        <v>vpa902_1_2_1</v>
      </c>
      <c r="AM1737" s="311">
        <f>M1737</f>
        <v>5</v>
      </c>
      <c r="AN1737" s="848"/>
      <c r="AO1737" s="848"/>
      <c r="AP1737" s="848"/>
      <c r="AQ1737" s="848"/>
      <c r="AR1737" s="848"/>
      <c r="AS1737" s="848"/>
      <c r="AT1737" s="848"/>
      <c r="AU1737" s="848"/>
      <c r="AV1737" s="848"/>
      <c r="AW1737" s="848"/>
      <c r="AX1737" s="848"/>
      <c r="AY1737" s="848"/>
      <c r="AZ1737" s="848"/>
      <c r="BA1737" s="848"/>
      <c r="BB1737" s="848"/>
      <c r="BC1737" s="848"/>
      <c r="BD1737" s="848"/>
      <c r="BE1737" s="848"/>
      <c r="BF1737" s="848"/>
      <c r="BG1737" s="848"/>
      <c r="BH1737" s="848"/>
      <c r="BJ1737" s="1184" t="s">
        <v>4763</v>
      </c>
    </row>
    <row r="1738" spans="1:62" x14ac:dyDescent="0.3">
      <c r="A1738" s="1200">
        <v>9</v>
      </c>
      <c r="B1738" s="1210" t="s">
        <v>3439</v>
      </c>
      <c r="C1738" s="1203"/>
      <c r="D1738" s="1203"/>
      <c r="E1738" s="1203" t="s">
        <v>273</v>
      </c>
      <c r="F1738" s="1203"/>
      <c r="G1738" s="1202" t="str">
        <f t="shared" si="589"/>
        <v/>
      </c>
      <c r="H1738" s="1200" t="s">
        <v>4388</v>
      </c>
      <c r="I1738" s="620"/>
      <c r="J1738" s="231" t="s">
        <v>273</v>
      </c>
      <c r="K1738" s="238"/>
      <c r="L1738" s="862" t="s">
        <v>3443</v>
      </c>
      <c r="M1738" s="857">
        <v>2</v>
      </c>
      <c r="N1738" s="855"/>
      <c r="O1738" s="855"/>
      <c r="P1738" s="97" t="b">
        <v>0</v>
      </c>
      <c r="Q1738" s="97" t="b">
        <v>1</v>
      </c>
      <c r="R1738" s="196" t="b">
        <v>0</v>
      </c>
      <c r="S1738" s="196" t="b">
        <v>1</v>
      </c>
      <c r="T1738" s="196" t="b">
        <v>0</v>
      </c>
      <c r="U1738" s="196"/>
      <c r="V1738" s="196"/>
      <c r="W1738" s="624"/>
      <c r="X1738" s="1295"/>
      <c r="Y1738" s="1522"/>
      <c r="Z1738" s="1586"/>
      <c r="AB1738" s="848"/>
      <c r="AC1738" s="848" t="b">
        <f>OR(AD1738:AE1738)</f>
        <v>0</v>
      </c>
      <c r="AD1738" s="848" t="b">
        <f>T1738</f>
        <v>0</v>
      </c>
      <c r="AE1738" s="848" t="b">
        <f>AND(R1738,OR(W1738="Not Met",W1738=""))</f>
        <v>0</v>
      </c>
      <c r="AF1738" s="1182" t="b">
        <f>AND(AE1738,NOT(Q1738))</f>
        <v>0</v>
      </c>
      <c r="AG1738" s="848"/>
      <c r="AH1738" s="848"/>
      <c r="AI1738" s="848"/>
      <c r="AJ1738" s="848"/>
      <c r="AK1738" s="848"/>
      <c r="AL1738" s="311" t="str">
        <f t="shared" si="590"/>
        <v>vpa902_1_2_2</v>
      </c>
      <c r="AM1738" s="311">
        <f>M1738</f>
        <v>2</v>
      </c>
      <c r="AN1738" s="848"/>
      <c r="AO1738" s="848"/>
      <c r="AP1738" s="311" t="str">
        <f t="shared" ref="AP1738:AP1739" si="591">SUBSTITUTE(SUBSTITUTE(SUBSTITUTE("vch"&amp;$B1738&amp;$C1738&amp;$D1738&amp;$E1738&amp;$F1738,".","_"),"(","_"),")","")</f>
        <v>vch902_1_2_2</v>
      </c>
      <c r="AQ1738" s="311">
        <f>W1738</f>
        <v>0</v>
      </c>
      <c r="AR1738" s="848"/>
      <c r="AS1738" s="848"/>
      <c r="AT1738" s="848"/>
      <c r="AU1738" s="848"/>
      <c r="AV1738" s="848"/>
      <c r="AW1738" s="848"/>
      <c r="AX1738" s="848"/>
      <c r="AY1738" s="848"/>
      <c r="AZ1738" s="848"/>
      <c r="BA1738" s="848"/>
      <c r="BB1738" s="848"/>
      <c r="BC1738" s="848"/>
      <c r="BD1738" s="848"/>
      <c r="BE1738" s="848"/>
      <c r="BF1738" s="848"/>
      <c r="BG1738" s="848"/>
      <c r="BH1738" s="848"/>
      <c r="BJ1738" s="1184" t="s">
        <v>4763</v>
      </c>
    </row>
    <row r="1739" spans="1:62" x14ac:dyDescent="0.3">
      <c r="A1739" s="1200">
        <v>9</v>
      </c>
      <c r="B1739" s="1210" t="s">
        <v>3444</v>
      </c>
      <c r="C1739" s="1203"/>
      <c r="D1739" s="1203"/>
      <c r="E1739" s="1203"/>
      <c r="F1739" s="1203"/>
      <c r="G1739" s="1202" t="str">
        <f>IF(N1739&gt;0,"P","")</f>
        <v>P</v>
      </c>
      <c r="H1739" s="1200" t="s">
        <v>4388</v>
      </c>
      <c r="I1739" s="215" t="s">
        <v>3444</v>
      </c>
      <c r="J1739" s="216"/>
      <c r="K1739" s="216"/>
      <c r="L1739" s="1364" t="s">
        <v>3445</v>
      </c>
      <c r="M1739" s="1323">
        <v>8</v>
      </c>
      <c r="N1739" s="1324">
        <f>'Ch9'!O192</f>
        <v>8</v>
      </c>
      <c r="O1739" s="1324">
        <f>M1739*S1739*W1739</f>
        <v>0</v>
      </c>
      <c r="P1739" s="97" t="b">
        <v>0</v>
      </c>
      <c r="Q1739" s="97" t="b">
        <v>1</v>
      </c>
      <c r="R1739" s="218" t="b">
        <v>0</v>
      </c>
      <c r="S1739" s="218" t="b">
        <v>1</v>
      </c>
      <c r="T1739" s="218" t="b">
        <v>0</v>
      </c>
      <c r="U1739" s="218"/>
      <c r="V1739" s="218"/>
      <c r="W1739" s="25"/>
      <c r="X1739" s="1295"/>
      <c r="Y1739" s="1522" t="str">
        <f>IF(LEN('Ch9'!X192)=0,"None",'Ch9'!X192)</f>
        <v>ZERH Requirement - ENERGY STAR Certified Homes National Rater Field Checklist, Section 8.1 Kitchen Exhaust</v>
      </c>
      <c r="Z1739" s="1586"/>
      <c r="AB1739" s="848"/>
      <c r="AC1739" s="848" t="b">
        <f>OR(AD1739:AE1739)</f>
        <v>0</v>
      </c>
      <c r="AD1739" s="848" t="b">
        <f>T1739</f>
        <v>0</v>
      </c>
      <c r="AE1739" s="848" t="b">
        <f>AND(R1739,NOT(W1739))</f>
        <v>0</v>
      </c>
      <c r="AF1739" s="1182" t="b">
        <f>AND(AE1739,NOT(Q1739))</f>
        <v>0</v>
      </c>
      <c r="AG1739" s="848"/>
      <c r="AH1739" s="848"/>
      <c r="AI1739" s="848"/>
      <c r="AJ1739" s="848"/>
      <c r="AK1739" s="848"/>
      <c r="AL1739" s="311" t="str">
        <f t="shared" si="590"/>
        <v>vpa902_1_3</v>
      </c>
      <c r="AM1739" s="311">
        <f>M1739</f>
        <v>8</v>
      </c>
      <c r="AN1739" s="311" t="str">
        <f>SUBSTITUTE(SUBSTITUTE(SUBSTITUTE("vpc"&amp;$B1739&amp;$C1739&amp;$D1739&amp;$E1739&amp;$F1739,".","_"),"(","_"),")","")</f>
        <v>vpc902_1_3</v>
      </c>
      <c r="AO1739" s="311">
        <f>O1739</f>
        <v>0</v>
      </c>
      <c r="AP1739" s="311" t="str">
        <f t="shared" si="591"/>
        <v>vch902_1_3</v>
      </c>
      <c r="AQ1739" s="311">
        <f>W1739</f>
        <v>0</v>
      </c>
      <c r="AR1739" s="311" t="str">
        <f>SUBSTITUTE(SUBSTITUTE(SUBSTITUTE("vnt"&amp;$B1739&amp;$C1739&amp;$D1739&amp;$E1739&amp;$F1739,".","_"),"(","_"),")","")</f>
        <v>vnt902_1_3</v>
      </c>
      <c r="AS1739" s="311">
        <f>X1739</f>
        <v>0</v>
      </c>
      <c r="AT1739" s="848"/>
      <c r="AU1739" s="848"/>
      <c r="AV1739" s="848"/>
      <c r="AW1739" s="848"/>
      <c r="AX1739" s="848"/>
      <c r="AY1739" s="848"/>
      <c r="AZ1739" s="848"/>
      <c r="BA1739" s="848"/>
      <c r="BB1739" s="848"/>
      <c r="BC1739" s="848"/>
      <c r="BD1739" s="848"/>
      <c r="BE1739" s="848"/>
      <c r="BF1739" s="848"/>
      <c r="BG1739" s="848"/>
      <c r="BH1739" s="848"/>
      <c r="BJ1739" s="1184" t="s">
        <v>4763</v>
      </c>
    </row>
    <row r="1740" spans="1:62" x14ac:dyDescent="0.3">
      <c r="A1740" s="1200">
        <v>9</v>
      </c>
      <c r="B1740" s="1210" t="s">
        <v>3444</v>
      </c>
      <c r="C1740" s="1203"/>
      <c r="D1740" s="1203"/>
      <c r="E1740" s="1203"/>
      <c r="F1740" s="1203"/>
      <c r="G1740" s="1202" t="str">
        <f t="shared" ref="G1740:G1742" si="592">G1739</f>
        <v>P</v>
      </c>
      <c r="H1740" s="1200" t="s">
        <v>4388</v>
      </c>
      <c r="I1740" s="576"/>
      <c r="J1740" s="140"/>
      <c r="K1740" s="140"/>
      <c r="L1740" s="1313"/>
      <c r="M1740" s="1318"/>
      <c r="N1740" s="1308"/>
      <c r="O1740" s="1308"/>
      <c r="P1740" s="97"/>
      <c r="Q1740" s="97"/>
      <c r="R1740" s="97"/>
      <c r="S1740" s="97"/>
      <c r="T1740" s="97"/>
      <c r="U1740" s="97"/>
      <c r="V1740" s="97"/>
      <c r="W1740" s="97"/>
      <c r="X1740" s="1295"/>
      <c r="Y1740" s="1522"/>
      <c r="Z1740" s="1586"/>
      <c r="AB1740" s="848"/>
      <c r="AC1740" s="848"/>
      <c r="AD1740" s="848"/>
      <c r="AE1740" s="848"/>
      <c r="AF1740" s="848"/>
      <c r="AG1740" s="848"/>
      <c r="AH1740" s="848"/>
      <c r="AI1740" s="848"/>
      <c r="AJ1740" s="848"/>
      <c r="AK1740" s="848"/>
      <c r="AL1740" s="848"/>
      <c r="AM1740" s="848"/>
      <c r="AN1740" s="848"/>
      <c r="AO1740" s="848"/>
      <c r="AP1740" s="848"/>
      <c r="AQ1740" s="848"/>
      <c r="AR1740" s="848"/>
      <c r="AS1740" s="848"/>
      <c r="AT1740" s="848"/>
      <c r="AU1740" s="848"/>
      <c r="AV1740" s="848"/>
      <c r="AW1740" s="848"/>
      <c r="AX1740" s="848"/>
      <c r="AY1740" s="848"/>
      <c r="AZ1740" s="848"/>
      <c r="BA1740" s="848"/>
      <c r="BB1740" s="848"/>
      <c r="BC1740" s="848"/>
      <c r="BD1740" s="848"/>
      <c r="BE1740" s="848"/>
      <c r="BF1740" s="848"/>
      <c r="BG1740" s="848"/>
      <c r="BH1740" s="848"/>
      <c r="BJ1740" s="1184" t="s">
        <v>4763</v>
      </c>
    </row>
    <row r="1741" spans="1:62" x14ac:dyDescent="0.3">
      <c r="A1741" s="1200">
        <v>9</v>
      </c>
      <c r="B1741" s="1210" t="s">
        <v>3444</v>
      </c>
      <c r="C1741" s="1203"/>
      <c r="D1741" s="1203"/>
      <c r="E1741" s="1203"/>
      <c r="F1741" s="1203" t="s">
        <v>121</v>
      </c>
      <c r="G1741" s="1202" t="str">
        <f t="shared" si="592"/>
        <v>P</v>
      </c>
      <c r="H1741" s="1204" t="s">
        <v>4388</v>
      </c>
      <c r="I1741" s="576"/>
      <c r="J1741" s="140"/>
      <c r="K1741" s="203" t="s">
        <v>121</v>
      </c>
      <c r="L1741" s="861" t="s">
        <v>3446</v>
      </c>
      <c r="M1741" s="856"/>
      <c r="N1741" s="854"/>
      <c r="O1741" s="854"/>
      <c r="P1741" s="97"/>
      <c r="Q1741" s="97"/>
      <c r="R1741" s="97"/>
      <c r="S1741" s="97"/>
      <c r="T1741" s="97"/>
      <c r="U1741" s="97"/>
      <c r="V1741" s="97"/>
      <c r="W1741" s="97"/>
      <c r="X1741" s="1295"/>
      <c r="Y1741" s="1522"/>
      <c r="Z1741" s="1586"/>
      <c r="AB1741" s="848"/>
      <c r="AC1741" s="848"/>
      <c r="AD1741" s="848"/>
      <c r="AE1741" s="848"/>
      <c r="AF1741" s="848"/>
      <c r="AG1741" s="848"/>
      <c r="AH1741" s="848"/>
      <c r="AI1741" s="848"/>
      <c r="AJ1741" s="848"/>
      <c r="AK1741" s="848"/>
      <c r="AL1741" s="848"/>
      <c r="AM1741" s="848"/>
      <c r="AN1741" s="848"/>
      <c r="AO1741" s="848"/>
      <c r="AP1741" s="848"/>
      <c r="AQ1741" s="848"/>
      <c r="AR1741" s="848"/>
      <c r="AS1741" s="848"/>
      <c r="AT1741" s="848"/>
      <c r="AU1741" s="848"/>
      <c r="AV1741" s="848"/>
      <c r="AW1741" s="848"/>
      <c r="AX1741" s="848"/>
      <c r="AY1741" s="848"/>
      <c r="AZ1741" s="848"/>
      <c r="BA1741" s="848"/>
      <c r="BB1741" s="848"/>
      <c r="BC1741" s="848"/>
      <c r="BD1741" s="848"/>
      <c r="BE1741" s="848"/>
      <c r="BF1741" s="848"/>
      <c r="BG1741" s="848"/>
      <c r="BH1741" s="848"/>
      <c r="BJ1741" s="1184" t="s">
        <v>4763</v>
      </c>
    </row>
    <row r="1742" spans="1:62" ht="15" customHeight="1" x14ac:dyDescent="0.3">
      <c r="A1742" s="1200">
        <v>9</v>
      </c>
      <c r="B1742" s="1210" t="s">
        <v>3444</v>
      </c>
      <c r="C1742" s="1203"/>
      <c r="D1742" s="1203"/>
      <c r="E1742" s="1203"/>
      <c r="F1742" s="1203" t="s">
        <v>122</v>
      </c>
      <c r="G1742" s="1202" t="str">
        <f t="shared" si="592"/>
        <v>P</v>
      </c>
      <c r="H1742" s="1204" t="s">
        <v>4388</v>
      </c>
      <c r="I1742" s="620"/>
      <c r="J1742" s="238"/>
      <c r="K1742" s="231" t="s">
        <v>122</v>
      </c>
      <c r="L1742" s="862" t="s">
        <v>3447</v>
      </c>
      <c r="M1742" s="857"/>
      <c r="N1742" s="855"/>
      <c r="O1742" s="855"/>
      <c r="P1742" s="196"/>
      <c r="Q1742" s="196"/>
      <c r="R1742" s="196"/>
      <c r="S1742" s="196"/>
      <c r="T1742" s="196"/>
      <c r="U1742" s="196"/>
      <c r="V1742" s="196"/>
      <c r="W1742" s="196"/>
      <c r="X1742" s="1295"/>
      <c r="Y1742" s="1522"/>
      <c r="Z1742" s="1586"/>
      <c r="AB1742" s="848"/>
      <c r="AC1742" s="848"/>
      <c r="AD1742" s="848"/>
      <c r="AE1742" s="848"/>
      <c r="AF1742" s="848"/>
      <c r="AG1742" s="848"/>
      <c r="AH1742" s="848"/>
      <c r="AI1742" s="848"/>
      <c r="AJ1742" s="848"/>
      <c r="AK1742" s="848"/>
      <c r="AL1742" s="848"/>
      <c r="AM1742" s="848"/>
      <c r="AN1742" s="848"/>
      <c r="AO1742" s="848"/>
      <c r="AP1742" s="848"/>
      <c r="AQ1742" s="848"/>
      <c r="AR1742" s="848"/>
      <c r="AS1742" s="848"/>
      <c r="AT1742" s="848"/>
      <c r="AU1742" s="848"/>
      <c r="AV1742" s="848"/>
      <c r="AW1742" s="848"/>
      <c r="AX1742" s="848"/>
      <c r="AY1742" s="848"/>
      <c r="AZ1742" s="848"/>
      <c r="BA1742" s="848"/>
      <c r="BB1742" s="848"/>
      <c r="BC1742" s="848"/>
      <c r="BD1742" s="848"/>
      <c r="BE1742" s="848"/>
      <c r="BF1742" s="848"/>
      <c r="BG1742" s="848"/>
      <c r="BH1742" s="848"/>
      <c r="BJ1742" s="1184" t="s">
        <v>4763</v>
      </c>
    </row>
    <row r="1743" spans="1:62" x14ac:dyDescent="0.3">
      <c r="A1743" s="1200">
        <v>9</v>
      </c>
      <c r="B1743" s="1210" t="s">
        <v>3448</v>
      </c>
      <c r="C1743" s="1203"/>
      <c r="D1743" s="1203"/>
      <c r="E1743" s="1203"/>
      <c r="F1743" s="1203"/>
      <c r="G1743" s="1202" t="str">
        <f>IF(N1743&gt;0,"P","")</f>
        <v>P</v>
      </c>
      <c r="H1743" s="1200" t="s">
        <v>4388</v>
      </c>
      <c r="I1743" s="215" t="s">
        <v>3448</v>
      </c>
      <c r="J1743" s="216"/>
      <c r="K1743" s="216"/>
      <c r="L1743" s="875" t="s">
        <v>3449</v>
      </c>
      <c r="M1743" s="863" t="s">
        <v>571</v>
      </c>
      <c r="N1743" s="864">
        <f>'Ch9'!O196</f>
        <v>6</v>
      </c>
      <c r="O1743" s="864">
        <f>MIN(12,M1744*S1745*W1745+M1746*S1747*W1747)</f>
        <v>0</v>
      </c>
      <c r="P1743" s="218"/>
      <c r="Q1743" s="218"/>
      <c r="R1743" s="218"/>
      <c r="S1743" s="218"/>
      <c r="T1743" s="218"/>
      <c r="U1743" s="218"/>
      <c r="V1743" s="218"/>
      <c r="W1743" s="218"/>
      <c r="X1743" s="1295"/>
      <c r="Y1743" s="1522" t="str">
        <f>IF(LEN('Ch9'!X196)=0,"None",'Ch9'!X196)</f>
        <v>ZERH Requirement - ENERGY STAR Certified Homes National Rater Field Checklist, Section 8 Local Mechanical Exhaust</v>
      </c>
      <c r="Z1743" s="1586"/>
      <c r="AB1743" s="848"/>
      <c r="AC1743" s="848"/>
      <c r="AD1743" s="848"/>
      <c r="AE1743" s="848"/>
      <c r="AF1743" s="848"/>
      <c r="AG1743" s="848"/>
      <c r="AH1743" s="848"/>
      <c r="AI1743" s="848"/>
      <c r="AJ1743" s="848"/>
      <c r="AK1743" s="848"/>
      <c r="AL1743" s="311" t="str">
        <f t="shared" ref="AL1743:AL1744" si="593">SUBSTITUTE(SUBSTITUTE(SUBSTITUTE("vpa"&amp;$B1743&amp;$C1743&amp;$D1743&amp;$E1743&amp;$F1743,".","_"),"(","_"),")","")</f>
        <v>vpa902_1_4</v>
      </c>
      <c r="AM1743" s="311" t="str">
        <f>M1743</f>
        <v>12 Max</v>
      </c>
      <c r="AN1743" s="311" t="str">
        <f>SUBSTITUTE(SUBSTITUTE(SUBSTITUTE("vpc"&amp;$B1743&amp;$C1743&amp;$D1743&amp;$E1743&amp;$F1743,".","_"),"(","_"),")","")</f>
        <v>vpc902_1_4</v>
      </c>
      <c r="AO1743" s="311">
        <f>O1743</f>
        <v>0</v>
      </c>
      <c r="AP1743" s="848"/>
      <c r="AQ1743" s="848"/>
      <c r="AR1743" s="311" t="str">
        <f>SUBSTITUTE(SUBSTITUTE(SUBSTITUTE("vnt"&amp;$B1743&amp;$C1743&amp;$D1743&amp;$E1743&amp;$F1743,".","_"),"(","_"),")","")</f>
        <v>vnt902_1_4</v>
      </c>
      <c r="AS1743" s="311">
        <f>X1743</f>
        <v>0</v>
      </c>
      <c r="AT1743" s="848"/>
      <c r="AU1743" s="848"/>
      <c r="AV1743" s="848"/>
      <c r="AW1743" s="848"/>
      <c r="AX1743" s="848"/>
      <c r="AY1743" s="848"/>
      <c r="AZ1743" s="848"/>
      <c r="BA1743" s="848"/>
      <c r="BB1743" s="848"/>
      <c r="BC1743" s="848"/>
      <c r="BD1743" s="848"/>
      <c r="BE1743" s="848"/>
      <c r="BF1743" s="848"/>
      <c r="BG1743" s="848"/>
      <c r="BH1743" s="848"/>
      <c r="BJ1743" s="1184" t="s">
        <v>4763</v>
      </c>
    </row>
    <row r="1744" spans="1:62" x14ac:dyDescent="0.3">
      <c r="A1744" s="1200">
        <v>9</v>
      </c>
      <c r="B1744" s="1210" t="s">
        <v>3448</v>
      </c>
      <c r="C1744" s="1203"/>
      <c r="D1744" s="1203"/>
      <c r="E1744" s="1203" t="s">
        <v>271</v>
      </c>
      <c r="F1744" s="1203"/>
      <c r="G1744" s="1202" t="str">
        <f t="shared" ref="G1744:G1747" si="594">G1743</f>
        <v>P</v>
      </c>
      <c r="H1744" s="1200" t="s">
        <v>4388</v>
      </c>
      <c r="I1744" s="576"/>
      <c r="J1744" s="203" t="s">
        <v>271</v>
      </c>
      <c r="K1744" s="140"/>
      <c r="L1744" s="861" t="s">
        <v>3921</v>
      </c>
      <c r="M1744" s="1318">
        <v>2</v>
      </c>
      <c r="N1744" s="854"/>
      <c r="O1744" s="854"/>
      <c r="P1744" s="97"/>
      <c r="Q1744" s="97"/>
      <c r="R1744" s="97"/>
      <c r="S1744" s="97"/>
      <c r="T1744" s="97"/>
      <c r="U1744" s="97"/>
      <c r="V1744" s="97"/>
      <c r="W1744" s="97" t="s">
        <v>4029</v>
      </c>
      <c r="X1744" s="1295"/>
      <c r="Y1744" s="1522"/>
      <c r="Z1744" s="1586"/>
      <c r="AB1744" s="848"/>
      <c r="AC1744" s="848"/>
      <c r="AD1744" s="848"/>
      <c r="AE1744" s="848"/>
      <c r="AF1744" s="848"/>
      <c r="AG1744" s="848"/>
      <c r="AH1744" s="848"/>
      <c r="AI1744" s="848"/>
      <c r="AJ1744" s="848"/>
      <c r="AK1744" s="848"/>
      <c r="AL1744" s="311" t="str">
        <f t="shared" si="593"/>
        <v>vpa902_1_4_1</v>
      </c>
      <c r="AM1744" s="311">
        <f>M1744</f>
        <v>2</v>
      </c>
      <c r="AN1744" s="848"/>
      <c r="AO1744" s="848"/>
      <c r="AP1744" s="848"/>
      <c r="AQ1744" s="848"/>
      <c r="AR1744" s="848"/>
      <c r="AS1744" s="848"/>
      <c r="AT1744" s="848"/>
      <c r="AU1744" s="848"/>
      <c r="AV1744" s="848"/>
      <c r="AW1744" s="848"/>
      <c r="AX1744" s="848"/>
      <c r="AY1744" s="848"/>
      <c r="AZ1744" s="848"/>
      <c r="BA1744" s="848"/>
      <c r="BB1744" s="848"/>
      <c r="BC1744" s="848"/>
      <c r="BD1744" s="848"/>
      <c r="BE1744" s="848"/>
      <c r="BF1744" s="848"/>
      <c r="BG1744" s="848"/>
      <c r="BH1744" s="848"/>
      <c r="BJ1744" s="1184" t="s">
        <v>4763</v>
      </c>
    </row>
    <row r="1745" spans="1:62" x14ac:dyDescent="0.3">
      <c r="A1745" s="1200">
        <v>9</v>
      </c>
      <c r="B1745" s="1210" t="s">
        <v>3448</v>
      </c>
      <c r="C1745" s="1203"/>
      <c r="D1745" s="1203"/>
      <c r="E1745" s="1203" t="s">
        <v>271</v>
      </c>
      <c r="F1745" s="1203"/>
      <c r="G1745" s="1202" t="str">
        <f t="shared" si="594"/>
        <v>P</v>
      </c>
      <c r="H1745" s="1200" t="s">
        <v>4388</v>
      </c>
      <c r="I1745" s="576"/>
      <c r="J1745" s="231"/>
      <c r="K1745" s="238"/>
      <c r="L1745" s="878" t="s">
        <v>3450</v>
      </c>
      <c r="M1745" s="1319"/>
      <c r="N1745" s="854"/>
      <c r="O1745" s="854"/>
      <c r="P1745" s="97" t="b">
        <v>0</v>
      </c>
      <c r="Q1745" s="97" t="b">
        <v>1</v>
      </c>
      <c r="R1745" s="97" t="b">
        <v>0</v>
      </c>
      <c r="S1745" s="97" t="b">
        <v>1</v>
      </c>
      <c r="T1745" s="97" t="b">
        <v>0</v>
      </c>
      <c r="U1745" s="97"/>
      <c r="V1745" s="97"/>
      <c r="W1745" s="580"/>
      <c r="X1745" s="1295"/>
      <c r="Y1745" s="1522"/>
      <c r="Z1745" s="1586"/>
      <c r="AB1745" s="848"/>
      <c r="AC1745" s="848" t="b">
        <f>OR(AD1745:AE1745)</f>
        <v>0</v>
      </c>
      <c r="AD1745" s="848" t="b">
        <f>T1745</f>
        <v>0</v>
      </c>
      <c r="AE1745" s="848" t="b">
        <f>AND(R1745,OR(W1745="Not Met",W1745=""))</f>
        <v>0</v>
      </c>
      <c r="AF1745" s="1182" t="b">
        <f>AND(AE1745,NOT(Q1745))</f>
        <v>0</v>
      </c>
      <c r="AG1745" s="848"/>
      <c r="AH1745" s="848"/>
      <c r="AI1745" s="848"/>
      <c r="AJ1745" s="848"/>
      <c r="AK1745" s="848"/>
      <c r="AL1745" s="848"/>
      <c r="AM1745" s="848"/>
      <c r="AN1745" s="848"/>
      <c r="AO1745" s="848"/>
      <c r="AP1745" s="311" t="str">
        <f>SUBSTITUTE(SUBSTITUTE(SUBSTITUTE("vch"&amp;$B1745&amp;$C1745&amp;$D1745&amp;$E1745&amp;$F1745,".","_"),"(","_"),")","")</f>
        <v>vch902_1_4_1</v>
      </c>
      <c r="AQ1745" s="311">
        <f>W1745</f>
        <v>0</v>
      </c>
      <c r="AR1745" s="848"/>
      <c r="AS1745" s="848"/>
      <c r="AT1745" s="848"/>
      <c r="AU1745" s="848"/>
      <c r="AV1745" s="848"/>
      <c r="AW1745" s="848"/>
      <c r="AX1745" s="848"/>
      <c r="AY1745" s="848"/>
      <c r="AZ1745" s="848"/>
      <c r="BA1745" s="848"/>
      <c r="BB1745" s="848"/>
      <c r="BC1745" s="848"/>
      <c r="BD1745" s="848"/>
      <c r="BE1745" s="848"/>
      <c r="BF1745" s="848"/>
      <c r="BG1745" s="848"/>
      <c r="BH1745" s="848"/>
      <c r="BJ1745" s="1184" t="s">
        <v>4763</v>
      </c>
    </row>
    <row r="1746" spans="1:62" x14ac:dyDescent="0.3">
      <c r="A1746" s="1200">
        <v>9</v>
      </c>
      <c r="B1746" s="1210" t="s">
        <v>3448</v>
      </c>
      <c r="C1746" s="1203"/>
      <c r="D1746" s="1203"/>
      <c r="E1746" s="1203" t="s">
        <v>273</v>
      </c>
      <c r="F1746" s="1203"/>
      <c r="G1746" s="1202" t="str">
        <f t="shared" si="594"/>
        <v>P</v>
      </c>
      <c r="H1746" s="1200" t="s">
        <v>4388</v>
      </c>
      <c r="I1746" s="576"/>
      <c r="J1746" s="203" t="s">
        <v>273</v>
      </c>
      <c r="K1746" s="140"/>
      <c r="L1746" s="861" t="s">
        <v>3451</v>
      </c>
      <c r="M1746" s="1318">
        <v>3</v>
      </c>
      <c r="N1746" s="854"/>
      <c r="O1746" s="854"/>
      <c r="P1746" s="97"/>
      <c r="Q1746" s="97"/>
      <c r="R1746" s="97"/>
      <c r="S1746" s="97"/>
      <c r="T1746" s="97"/>
      <c r="U1746" s="97"/>
      <c r="V1746" s="97"/>
      <c r="W1746" s="97"/>
      <c r="X1746" s="1295"/>
      <c r="Y1746" s="1522"/>
      <c r="Z1746" s="1586"/>
      <c r="AB1746" s="848"/>
      <c r="AC1746" s="848"/>
      <c r="AD1746" s="848"/>
      <c r="AE1746" s="848"/>
      <c r="AF1746" s="848"/>
      <c r="AG1746" s="848"/>
      <c r="AH1746" s="848"/>
      <c r="AI1746" s="848"/>
      <c r="AJ1746" s="848"/>
      <c r="AK1746" s="848"/>
      <c r="AL1746" s="311" t="str">
        <f t="shared" ref="AL1746" si="595">SUBSTITUTE(SUBSTITUTE(SUBSTITUTE("vpa"&amp;$B1746&amp;$C1746&amp;$D1746&amp;$E1746&amp;$F1746,".","_"),"(","_"),")","")</f>
        <v>vpa902_1_4_2</v>
      </c>
      <c r="AM1746" s="311">
        <f>M1746</f>
        <v>3</v>
      </c>
      <c r="AN1746" s="848"/>
      <c r="AO1746" s="848"/>
      <c r="AP1746" s="848"/>
      <c r="AQ1746" s="848"/>
      <c r="AR1746" s="848"/>
      <c r="AS1746" s="848"/>
      <c r="AT1746" s="848"/>
      <c r="AU1746" s="848"/>
      <c r="AV1746" s="848"/>
      <c r="AW1746" s="848"/>
      <c r="AX1746" s="848"/>
      <c r="AY1746" s="848"/>
      <c r="AZ1746" s="848"/>
      <c r="BA1746" s="848"/>
      <c r="BB1746" s="848"/>
      <c r="BC1746" s="848"/>
      <c r="BD1746" s="848"/>
      <c r="BE1746" s="848"/>
      <c r="BF1746" s="848"/>
      <c r="BG1746" s="848"/>
      <c r="BH1746" s="848"/>
      <c r="BJ1746" s="1184" t="s">
        <v>4763</v>
      </c>
    </row>
    <row r="1747" spans="1:62" x14ac:dyDescent="0.3">
      <c r="A1747" s="1200">
        <v>9</v>
      </c>
      <c r="B1747" s="1210" t="s">
        <v>3448</v>
      </c>
      <c r="C1747" s="1203"/>
      <c r="D1747" s="1203"/>
      <c r="E1747" s="1203" t="s">
        <v>273</v>
      </c>
      <c r="F1747" s="1203"/>
      <c r="G1747" s="1202" t="str">
        <f t="shared" si="594"/>
        <v>P</v>
      </c>
      <c r="H1747" s="1200" t="s">
        <v>4388</v>
      </c>
      <c r="I1747" s="620"/>
      <c r="J1747" s="238"/>
      <c r="K1747" s="238"/>
      <c r="L1747" s="878" t="s">
        <v>3450</v>
      </c>
      <c r="M1747" s="1319"/>
      <c r="N1747" s="855"/>
      <c r="O1747" s="855"/>
      <c r="P1747" s="97" t="b">
        <v>0</v>
      </c>
      <c r="Q1747" s="97" t="b">
        <v>1</v>
      </c>
      <c r="R1747" s="196" t="b">
        <v>0</v>
      </c>
      <c r="S1747" s="196" t="b">
        <v>1</v>
      </c>
      <c r="T1747" s="196" t="b">
        <v>0</v>
      </c>
      <c r="U1747" s="196"/>
      <c r="V1747" s="196"/>
      <c r="W1747" s="580"/>
      <c r="X1747" s="1295"/>
      <c r="Y1747" s="1522"/>
      <c r="Z1747" s="1586"/>
      <c r="AB1747" s="848"/>
      <c r="AC1747" s="848" t="b">
        <f>OR(AD1747:AE1747)</f>
        <v>0</v>
      </c>
      <c r="AD1747" s="848" t="b">
        <f>T1747</f>
        <v>0</v>
      </c>
      <c r="AE1747" s="848" t="b">
        <f>AND(R1747,OR(W1747="Not Met",W1747=""))</f>
        <v>0</v>
      </c>
      <c r="AF1747" s="1182" t="b">
        <f>AND(AE1747,NOT(Q1747))</f>
        <v>0</v>
      </c>
      <c r="AG1747" s="848"/>
      <c r="AH1747" s="848"/>
      <c r="AI1747" s="848"/>
      <c r="AJ1747" s="848"/>
      <c r="AK1747" s="848"/>
      <c r="AL1747" s="848"/>
      <c r="AM1747" s="848"/>
      <c r="AN1747" s="848"/>
      <c r="AO1747" s="848"/>
      <c r="AP1747" s="311" t="str">
        <f>SUBSTITUTE(SUBSTITUTE(SUBSTITUTE("vch"&amp;$B1747&amp;$C1747&amp;$D1747&amp;$E1747&amp;$F1747,".","_"),"(","_"),")","")</f>
        <v>vch902_1_4_2</v>
      </c>
      <c r="AQ1747" s="311">
        <f>W1747</f>
        <v>0</v>
      </c>
      <c r="AR1747" s="848"/>
      <c r="AS1747" s="848"/>
      <c r="AT1747" s="848"/>
      <c r="AU1747" s="848"/>
      <c r="AV1747" s="848"/>
      <c r="AW1747" s="848"/>
      <c r="AX1747" s="848"/>
      <c r="AY1747" s="848"/>
      <c r="AZ1747" s="848"/>
      <c r="BA1747" s="848"/>
      <c r="BB1747" s="848"/>
      <c r="BC1747" s="848"/>
      <c r="BD1747" s="848"/>
      <c r="BE1747" s="848"/>
      <c r="BF1747" s="848"/>
      <c r="BG1747" s="848"/>
      <c r="BH1747" s="848"/>
      <c r="BJ1747" s="1184" t="s">
        <v>4763</v>
      </c>
    </row>
    <row r="1748" spans="1:62" x14ac:dyDescent="0.3">
      <c r="A1748" s="1200">
        <v>9</v>
      </c>
      <c r="B1748" s="1210" t="s">
        <v>3452</v>
      </c>
      <c r="C1748" s="1203"/>
      <c r="D1748" s="1203"/>
      <c r="E1748" s="1203"/>
      <c r="F1748" s="1203"/>
      <c r="G1748" s="1202" t="str">
        <f>IF(N1748&gt;0,"P","")</f>
        <v/>
      </c>
      <c r="H1748" s="1200" t="s">
        <v>4388</v>
      </c>
      <c r="I1748" s="66" t="s">
        <v>3452</v>
      </c>
      <c r="J1748" s="4"/>
      <c r="K1748" s="4"/>
      <c r="L1748" s="1292" t="s">
        <v>3453</v>
      </c>
      <c r="M1748" s="1335">
        <v>3</v>
      </c>
      <c r="N1748" s="1310">
        <f>'Ch9'!O201</f>
        <v>0</v>
      </c>
      <c r="O1748" s="1310">
        <f>M1748*W1750*W1752*W1754</f>
        <v>0</v>
      </c>
      <c r="P1748" s="848"/>
      <c r="Q1748" s="848"/>
      <c r="R1748" s="848"/>
      <c r="S1748" s="848"/>
      <c r="T1748" s="848"/>
      <c r="U1748" s="848"/>
      <c r="V1748" s="848"/>
      <c r="W1748" s="848"/>
      <c r="X1748" s="848"/>
      <c r="Y1748" s="848"/>
      <c r="Z1748" s="1055"/>
      <c r="AB1748" s="848"/>
      <c r="AC1748" s="848"/>
      <c r="AD1748" s="848"/>
      <c r="AE1748" s="848"/>
      <c r="AF1748" s="848"/>
      <c r="AG1748" s="848"/>
      <c r="AH1748" s="848"/>
      <c r="AI1748" s="848"/>
      <c r="AJ1748" s="848"/>
      <c r="AK1748" s="848"/>
      <c r="AL1748" s="311" t="str">
        <f t="shared" ref="AL1748" si="596">SUBSTITUTE(SUBSTITUTE(SUBSTITUTE("vpa"&amp;$B1748&amp;$C1748&amp;$D1748&amp;$E1748&amp;$F1748,".","_"),"(","_"),")","")</f>
        <v>vpa902_1_5</v>
      </c>
      <c r="AM1748" s="311">
        <f>M1748</f>
        <v>3</v>
      </c>
      <c r="AN1748" s="311" t="str">
        <f>SUBSTITUTE(SUBSTITUTE(SUBSTITUTE("vpc"&amp;$B1748&amp;$C1748&amp;$D1748&amp;$E1748&amp;$F1748,".","_"),"(","_"),")","")</f>
        <v>vpc902_1_5</v>
      </c>
      <c r="AO1748" s="311">
        <f>O1748</f>
        <v>0</v>
      </c>
      <c r="AP1748" s="848"/>
      <c r="AQ1748" s="848"/>
      <c r="AR1748" s="848"/>
      <c r="AS1748" s="848"/>
      <c r="AT1748" s="848"/>
      <c r="AU1748" s="848"/>
      <c r="AV1748" s="848"/>
      <c r="AW1748" s="848"/>
      <c r="AX1748" s="848"/>
      <c r="AY1748" s="848"/>
      <c r="AZ1748" s="848"/>
      <c r="BA1748" s="848"/>
      <c r="BB1748" s="848"/>
      <c r="BC1748" s="848"/>
      <c r="BD1748" s="848"/>
      <c r="BE1748" s="848"/>
      <c r="BF1748" s="848"/>
      <c r="BG1748" s="848"/>
      <c r="BH1748" s="848"/>
      <c r="BJ1748" s="1184" t="s">
        <v>4763</v>
      </c>
    </row>
    <row r="1749" spans="1:62" x14ac:dyDescent="0.3">
      <c r="A1749" s="1200">
        <v>9</v>
      </c>
      <c r="B1749" s="1210" t="s">
        <v>3452</v>
      </c>
      <c r="C1749" s="1203"/>
      <c r="D1749" s="1203"/>
      <c r="E1749" s="1203"/>
      <c r="F1749" s="1203"/>
      <c r="G1749" s="1202" t="str">
        <f t="shared" ref="G1749:G1756" si="597">G1748</f>
        <v/>
      </c>
      <c r="H1749" s="1200" t="s">
        <v>4388</v>
      </c>
      <c r="I1749" s="182"/>
      <c r="J1749" s="4"/>
      <c r="K1749" s="4"/>
      <c r="L1749" s="1292"/>
      <c r="M1749" s="1335"/>
      <c r="N1749" s="1310"/>
      <c r="O1749" s="1310"/>
      <c r="P1749" s="848"/>
      <c r="Q1749" s="848"/>
      <c r="R1749" s="848"/>
      <c r="S1749" s="848"/>
      <c r="T1749" s="848"/>
      <c r="U1749" s="848"/>
      <c r="V1749" s="848"/>
      <c r="W1749" s="848"/>
      <c r="X1749" s="848"/>
      <c r="Y1749" s="848"/>
      <c r="Z1749" s="1055"/>
      <c r="AB1749" s="848"/>
      <c r="AC1749" s="848"/>
      <c r="AD1749" s="848"/>
      <c r="AE1749" s="848"/>
      <c r="AF1749" s="848"/>
      <c r="AG1749" s="848"/>
      <c r="AH1749" s="848"/>
      <c r="AI1749" s="848"/>
      <c r="AJ1749" s="848"/>
      <c r="AK1749" s="848"/>
      <c r="AL1749" s="848"/>
      <c r="AM1749" s="848"/>
      <c r="AN1749" s="848"/>
      <c r="AO1749" s="848"/>
      <c r="AP1749" s="848"/>
      <c r="AQ1749" s="848"/>
      <c r="AR1749" s="848"/>
      <c r="AS1749" s="848"/>
      <c r="AT1749" s="848"/>
      <c r="AU1749" s="848"/>
      <c r="AV1749" s="848"/>
      <c r="AW1749" s="848"/>
      <c r="AX1749" s="848"/>
      <c r="AY1749" s="848"/>
      <c r="AZ1749" s="848"/>
      <c r="BA1749" s="848"/>
      <c r="BB1749" s="848"/>
      <c r="BC1749" s="848"/>
      <c r="BD1749" s="848"/>
      <c r="BE1749" s="848"/>
      <c r="BF1749" s="848"/>
      <c r="BG1749" s="848"/>
      <c r="BH1749" s="848"/>
      <c r="BJ1749" s="1184" t="s">
        <v>4763</v>
      </c>
    </row>
    <row r="1750" spans="1:62" x14ac:dyDescent="0.3">
      <c r="A1750" s="1200">
        <v>9</v>
      </c>
      <c r="B1750" s="1210" t="s">
        <v>3452</v>
      </c>
      <c r="C1750" s="1203"/>
      <c r="D1750" s="1203"/>
      <c r="E1750" s="1203" t="s">
        <v>271</v>
      </c>
      <c r="F1750" s="1203"/>
      <c r="G1750" s="1202" t="str">
        <f t="shared" si="597"/>
        <v/>
      </c>
      <c r="H1750" s="1200" t="s">
        <v>4388</v>
      </c>
      <c r="I1750" s="182"/>
      <c r="J1750" s="203" t="s">
        <v>271</v>
      </c>
      <c r="K1750" s="140"/>
      <c r="L1750" s="1305" t="s">
        <v>3454</v>
      </c>
      <c r="M1750" s="866"/>
      <c r="N1750" s="850"/>
      <c r="O1750" s="850"/>
      <c r="P1750" s="97" t="b">
        <v>0</v>
      </c>
      <c r="Q1750" s="97" t="b">
        <v>1</v>
      </c>
      <c r="R1750" s="848" t="b">
        <v>0</v>
      </c>
      <c r="S1750" s="848" t="b">
        <v>1</v>
      </c>
      <c r="T1750" s="848" t="b">
        <v>0</v>
      </c>
      <c r="U1750" s="848"/>
      <c r="V1750" s="848"/>
      <c r="W1750" s="25"/>
      <c r="X1750" s="1303"/>
      <c r="Y1750" s="1522" t="str">
        <f>IF(LEN('Ch9'!X203)=0,"None",'Ch9'!X203)</f>
        <v>None</v>
      </c>
      <c r="Z1750" s="1586"/>
      <c r="AB1750" s="848"/>
      <c r="AC1750" s="848" t="b">
        <f>OR(AD1750:AE1750)</f>
        <v>0</v>
      </c>
      <c r="AD1750" s="848" t="b">
        <f>T1750</f>
        <v>0</v>
      </c>
      <c r="AE1750" s="848" t="b">
        <f>AND(R1750,NOT(W1750))</f>
        <v>0</v>
      </c>
      <c r="AF1750" s="1182" t="b">
        <f>AND(AE1750,NOT(Q1750))</f>
        <v>0</v>
      </c>
      <c r="AG1750" s="848"/>
      <c r="AH1750" s="848"/>
      <c r="AI1750" s="848"/>
      <c r="AJ1750" s="848"/>
      <c r="AK1750" s="848"/>
      <c r="AL1750" s="848"/>
      <c r="AM1750" s="848"/>
      <c r="AN1750" s="848"/>
      <c r="AO1750" s="848"/>
      <c r="AP1750" s="311" t="str">
        <f>SUBSTITUTE(SUBSTITUTE(SUBSTITUTE("vch"&amp;$B1750&amp;$C1750&amp;$D1750&amp;$E1750&amp;$F1750,".","_"),"(","_"),")","")</f>
        <v>vch902_1_5_1</v>
      </c>
      <c r="AQ1750" s="311">
        <f>W1750</f>
        <v>0</v>
      </c>
      <c r="AR1750" s="311" t="str">
        <f>SUBSTITUTE(SUBSTITUTE(SUBSTITUTE("vnt"&amp;$B1750&amp;$C1750&amp;$D1750&amp;$E1750&amp;$F1750,".","_"),"(","_"),")","")</f>
        <v>vnt902_1_5_1</v>
      </c>
      <c r="AS1750" s="311">
        <f>X1750</f>
        <v>0</v>
      </c>
      <c r="AT1750" s="848"/>
      <c r="AU1750" s="848"/>
      <c r="AV1750" s="848"/>
      <c r="AW1750" s="848"/>
      <c r="AX1750" s="848"/>
      <c r="AY1750" s="848"/>
      <c r="AZ1750" s="848"/>
      <c r="BA1750" s="848"/>
      <c r="BB1750" s="848"/>
      <c r="BC1750" s="848"/>
      <c r="BD1750" s="848"/>
      <c r="BE1750" s="848"/>
      <c r="BF1750" s="848"/>
      <c r="BG1750" s="848"/>
      <c r="BH1750" s="848"/>
      <c r="BJ1750" s="1184" t="s">
        <v>4763</v>
      </c>
    </row>
    <row r="1751" spans="1:62" x14ac:dyDescent="0.3">
      <c r="A1751" s="1200">
        <v>9</v>
      </c>
      <c r="B1751" s="1210" t="s">
        <v>3452</v>
      </c>
      <c r="C1751" s="1203"/>
      <c r="D1751" s="1203"/>
      <c r="E1751" s="1203" t="s">
        <v>271</v>
      </c>
      <c r="F1751" s="1203"/>
      <c r="G1751" s="1202" t="str">
        <f t="shared" si="597"/>
        <v/>
      </c>
      <c r="H1751" s="1200" t="s">
        <v>4388</v>
      </c>
      <c r="I1751" s="182"/>
      <c r="J1751" s="231"/>
      <c r="K1751" s="238"/>
      <c r="L1751" s="1306"/>
      <c r="M1751" s="866"/>
      <c r="N1751" s="850"/>
      <c r="O1751" s="850"/>
      <c r="P1751" s="848"/>
      <c r="Q1751" s="848"/>
      <c r="R1751" s="848"/>
      <c r="S1751" s="848"/>
      <c r="T1751" s="848"/>
      <c r="U1751" s="848"/>
      <c r="V1751" s="848"/>
      <c r="W1751" s="848"/>
      <c r="X1751" s="1303"/>
      <c r="Y1751" s="1522"/>
      <c r="Z1751" s="1586"/>
      <c r="AB1751" s="848"/>
      <c r="AC1751" s="848"/>
      <c r="AD1751" s="848"/>
      <c r="AE1751" s="848"/>
      <c r="AF1751" s="848"/>
      <c r="AG1751" s="848"/>
      <c r="AH1751" s="848"/>
      <c r="AI1751" s="848"/>
      <c r="AJ1751" s="848"/>
      <c r="AK1751" s="848"/>
      <c r="AL1751" s="848"/>
      <c r="AM1751" s="848"/>
      <c r="AN1751" s="848"/>
      <c r="AO1751" s="848"/>
      <c r="AP1751" s="848"/>
      <c r="AQ1751" s="848"/>
      <c r="AR1751" s="848"/>
      <c r="AS1751" s="848"/>
      <c r="AT1751" s="848"/>
      <c r="AU1751" s="848"/>
      <c r="AV1751" s="848"/>
      <c r="AW1751" s="848"/>
      <c r="AX1751" s="848"/>
      <c r="AY1751" s="848"/>
      <c r="AZ1751" s="848"/>
      <c r="BA1751" s="848"/>
      <c r="BB1751" s="848"/>
      <c r="BC1751" s="848"/>
      <c r="BD1751" s="848"/>
      <c r="BE1751" s="848"/>
      <c r="BF1751" s="848"/>
      <c r="BG1751" s="848"/>
      <c r="BH1751" s="848"/>
      <c r="BJ1751" s="1184" t="s">
        <v>4763</v>
      </c>
    </row>
    <row r="1752" spans="1:62" x14ac:dyDescent="0.3">
      <c r="A1752" s="1200">
        <v>9</v>
      </c>
      <c r="B1752" s="1210" t="s">
        <v>3452</v>
      </c>
      <c r="C1752" s="1203"/>
      <c r="D1752" s="1203"/>
      <c r="E1752" s="1203" t="s">
        <v>273</v>
      </c>
      <c r="F1752" s="1203"/>
      <c r="G1752" s="1202" t="str">
        <f t="shared" si="597"/>
        <v/>
      </c>
      <c r="H1752" s="1200" t="s">
        <v>4388</v>
      </c>
      <c r="I1752" s="182"/>
      <c r="J1752" s="203" t="s">
        <v>273</v>
      </c>
      <c r="K1752" s="140"/>
      <c r="L1752" s="1305" t="s">
        <v>3455</v>
      </c>
      <c r="M1752" s="866"/>
      <c r="N1752" s="850"/>
      <c r="O1752" s="850"/>
      <c r="P1752" s="97" t="b">
        <v>0</v>
      </c>
      <c r="Q1752" s="97" t="b">
        <v>1</v>
      </c>
      <c r="R1752" s="848" t="b">
        <v>0</v>
      </c>
      <c r="S1752" s="848" t="b">
        <v>1</v>
      </c>
      <c r="T1752" s="848" t="b">
        <v>0</v>
      </c>
      <c r="U1752" s="848"/>
      <c r="V1752" s="848"/>
      <c r="W1752" s="25"/>
      <c r="X1752" s="1303"/>
      <c r="Y1752" s="1522" t="str">
        <f>IF(LEN('Ch9'!X205)=0,"None",'Ch9'!X205)</f>
        <v>None</v>
      </c>
      <c r="Z1752" s="1586"/>
      <c r="AB1752" s="848"/>
      <c r="AC1752" s="848" t="b">
        <f>OR(AD1752:AE1752)</f>
        <v>0</v>
      </c>
      <c r="AD1752" s="848" t="b">
        <f>T1752</f>
        <v>0</v>
      </c>
      <c r="AE1752" s="848" t="b">
        <f>AND(R1752,NOT(W1752))</f>
        <v>0</v>
      </c>
      <c r="AF1752" s="1182" t="b">
        <f>AND(AE1752,NOT(Q1752))</f>
        <v>0</v>
      </c>
      <c r="AG1752" s="848"/>
      <c r="AH1752" s="848"/>
      <c r="AI1752" s="848"/>
      <c r="AJ1752" s="848"/>
      <c r="AK1752" s="848"/>
      <c r="AL1752" s="848"/>
      <c r="AM1752" s="848"/>
      <c r="AN1752" s="848"/>
      <c r="AO1752" s="848"/>
      <c r="AP1752" s="311" t="str">
        <f>SUBSTITUTE(SUBSTITUTE(SUBSTITUTE("vch"&amp;$B1752&amp;$C1752&amp;$D1752&amp;$E1752&amp;$F1752,".","_"),"(","_"),")","")</f>
        <v>vch902_1_5_2</v>
      </c>
      <c r="AQ1752" s="311">
        <f>W1752</f>
        <v>0</v>
      </c>
      <c r="AR1752" s="311" t="str">
        <f>SUBSTITUTE(SUBSTITUTE(SUBSTITUTE("vnt"&amp;$B1752&amp;$C1752&amp;$D1752&amp;$E1752&amp;$F1752,".","_"),"(","_"),")","")</f>
        <v>vnt902_1_5_2</v>
      </c>
      <c r="AS1752" s="311">
        <f>X1752</f>
        <v>0</v>
      </c>
      <c r="AT1752" s="848"/>
      <c r="AU1752" s="848"/>
      <c r="AV1752" s="848"/>
      <c r="AW1752" s="848"/>
      <c r="AX1752" s="848"/>
      <c r="AY1752" s="848"/>
      <c r="AZ1752" s="848"/>
      <c r="BA1752" s="848"/>
      <c r="BB1752" s="848"/>
      <c r="BC1752" s="848"/>
      <c r="BD1752" s="848"/>
      <c r="BE1752" s="848"/>
      <c r="BF1752" s="848"/>
      <c r="BG1752" s="848"/>
      <c r="BH1752" s="848"/>
      <c r="BJ1752" s="1184" t="s">
        <v>4763</v>
      </c>
    </row>
    <row r="1753" spans="1:62" x14ac:dyDescent="0.3">
      <c r="A1753" s="1200">
        <v>9</v>
      </c>
      <c r="B1753" s="1210" t="s">
        <v>3452</v>
      </c>
      <c r="C1753" s="1203"/>
      <c r="D1753" s="1203"/>
      <c r="E1753" s="1203" t="s">
        <v>273</v>
      </c>
      <c r="F1753" s="1203"/>
      <c r="G1753" s="1202" t="str">
        <f t="shared" si="597"/>
        <v/>
      </c>
      <c r="H1753" s="1200" t="s">
        <v>4388</v>
      </c>
      <c r="I1753" s="182"/>
      <c r="J1753" s="238"/>
      <c r="K1753" s="238"/>
      <c r="L1753" s="1306"/>
      <c r="M1753" s="866"/>
      <c r="N1753" s="850"/>
      <c r="O1753" s="850"/>
      <c r="P1753" s="848"/>
      <c r="Q1753" s="848"/>
      <c r="R1753" s="848"/>
      <c r="S1753" s="848"/>
      <c r="T1753" s="848"/>
      <c r="U1753" s="848"/>
      <c r="V1753" s="848"/>
      <c r="W1753" s="848"/>
      <c r="X1753" s="1303"/>
      <c r="Y1753" s="1522"/>
      <c r="Z1753" s="1586"/>
      <c r="AB1753" s="848"/>
      <c r="AC1753" s="848"/>
      <c r="AD1753" s="848"/>
      <c r="AE1753" s="848"/>
      <c r="AF1753" s="848"/>
      <c r="AG1753" s="848"/>
      <c r="AH1753" s="848"/>
      <c r="AI1753" s="848"/>
      <c r="AJ1753" s="848"/>
      <c r="AK1753" s="848"/>
      <c r="AL1753" s="848"/>
      <c r="AM1753" s="848"/>
      <c r="AN1753" s="848"/>
      <c r="AO1753" s="848"/>
      <c r="AP1753" s="848"/>
      <c r="AQ1753" s="848"/>
      <c r="AR1753" s="848"/>
      <c r="AS1753" s="848"/>
      <c r="AT1753" s="848"/>
      <c r="AU1753" s="848"/>
      <c r="AV1753" s="848"/>
      <c r="AW1753" s="848"/>
      <c r="AX1753" s="848"/>
      <c r="AY1753" s="848"/>
      <c r="AZ1753" s="848"/>
      <c r="BA1753" s="848"/>
      <c r="BB1753" s="848"/>
      <c r="BC1753" s="848"/>
      <c r="BD1753" s="848"/>
      <c r="BE1753" s="848"/>
      <c r="BF1753" s="848"/>
      <c r="BG1753" s="848"/>
      <c r="BH1753" s="848"/>
      <c r="BJ1753" s="1184" t="s">
        <v>4763</v>
      </c>
    </row>
    <row r="1754" spans="1:62" x14ac:dyDescent="0.3">
      <c r="A1754" s="1200">
        <v>9</v>
      </c>
      <c r="B1754" s="1210" t="s">
        <v>3452</v>
      </c>
      <c r="C1754" s="1203"/>
      <c r="D1754" s="1203"/>
      <c r="E1754" s="1203" t="s">
        <v>275</v>
      </c>
      <c r="F1754" s="1203"/>
      <c r="G1754" s="1202" t="str">
        <f t="shared" si="597"/>
        <v/>
      </c>
      <c r="H1754" s="1200" t="s">
        <v>4388</v>
      </c>
      <c r="I1754" s="576"/>
      <c r="J1754" s="203" t="s">
        <v>275</v>
      </c>
      <c r="K1754" s="140"/>
      <c r="L1754" s="1305" t="s">
        <v>3456</v>
      </c>
      <c r="M1754" s="856"/>
      <c r="N1754" s="854"/>
      <c r="O1754" s="854"/>
      <c r="P1754" s="97" t="b">
        <v>0</v>
      </c>
      <c r="Q1754" s="97" t="b">
        <v>1</v>
      </c>
      <c r="R1754" s="97" t="b">
        <v>0</v>
      </c>
      <c r="S1754" s="97" t="b">
        <v>1</v>
      </c>
      <c r="T1754" s="97" t="b">
        <v>0</v>
      </c>
      <c r="U1754" s="97"/>
      <c r="V1754" s="97"/>
      <c r="W1754" s="25"/>
      <c r="X1754" s="1295"/>
      <c r="Y1754" s="1523" t="str">
        <f>IF(LEN('Ch9'!X207)=0,"None",'Ch9'!X207)</f>
        <v>None</v>
      </c>
      <c r="Z1754" s="1583"/>
      <c r="AB1754" s="848"/>
      <c r="AC1754" s="848" t="b">
        <f>OR(AD1754:AE1754)</f>
        <v>0</v>
      </c>
      <c r="AD1754" s="848" t="b">
        <f>T1754</f>
        <v>0</v>
      </c>
      <c r="AE1754" s="848" t="b">
        <f>AND(R1754,NOT(W1754))</f>
        <v>0</v>
      </c>
      <c r="AF1754" s="1182" t="b">
        <f>AND(AE1754,NOT(Q1754))</f>
        <v>0</v>
      </c>
      <c r="AG1754" s="848"/>
      <c r="AH1754" s="848"/>
      <c r="AI1754" s="848"/>
      <c r="AJ1754" s="848"/>
      <c r="AK1754" s="848"/>
      <c r="AL1754" s="848"/>
      <c r="AM1754" s="848"/>
      <c r="AN1754" s="848"/>
      <c r="AO1754" s="848"/>
      <c r="AP1754" s="311" t="str">
        <f>SUBSTITUTE(SUBSTITUTE(SUBSTITUTE("vch"&amp;$B1754&amp;$C1754&amp;$D1754&amp;$E1754&amp;$F1754,".","_"),"(","_"),")","")</f>
        <v>vch902_1_5_3</v>
      </c>
      <c r="AQ1754" s="311">
        <f>W1754</f>
        <v>0</v>
      </c>
      <c r="AR1754" s="311" t="str">
        <f>SUBSTITUTE(SUBSTITUTE(SUBSTITUTE("vnt"&amp;$B1754&amp;$C1754&amp;$D1754&amp;$E1754&amp;$F1754,".","_"),"(","_"),")","")</f>
        <v>vnt902_1_5_3</v>
      </c>
      <c r="AS1754" s="311">
        <f>X1754</f>
        <v>0</v>
      </c>
      <c r="AT1754" s="848"/>
      <c r="AU1754" s="848"/>
      <c r="AV1754" s="848"/>
      <c r="AW1754" s="848"/>
      <c r="AX1754" s="848"/>
      <c r="AY1754" s="848"/>
      <c r="AZ1754" s="848"/>
      <c r="BA1754" s="848"/>
      <c r="BB1754" s="848"/>
      <c r="BC1754" s="848"/>
      <c r="BD1754" s="848"/>
      <c r="BE1754" s="848"/>
      <c r="BF1754" s="848"/>
      <c r="BG1754" s="848"/>
      <c r="BH1754" s="848"/>
      <c r="BJ1754" s="1184" t="s">
        <v>4763</v>
      </c>
    </row>
    <row r="1755" spans="1:62" x14ac:dyDescent="0.3">
      <c r="A1755" s="1200">
        <v>9</v>
      </c>
      <c r="B1755" s="1210" t="s">
        <v>3452</v>
      </c>
      <c r="C1755" s="1203"/>
      <c r="D1755" s="1203"/>
      <c r="E1755" s="1203" t="s">
        <v>275</v>
      </c>
      <c r="F1755" s="1203"/>
      <c r="G1755" s="1202" t="str">
        <f t="shared" si="597"/>
        <v/>
      </c>
      <c r="H1755" s="1200" t="s">
        <v>4388</v>
      </c>
      <c r="I1755" s="576"/>
      <c r="J1755" s="140"/>
      <c r="K1755" s="140"/>
      <c r="L1755" s="1305"/>
      <c r="M1755" s="856"/>
      <c r="N1755" s="854"/>
      <c r="O1755" s="854"/>
      <c r="P1755" s="97"/>
      <c r="Q1755" s="97"/>
      <c r="R1755" s="97"/>
      <c r="S1755" s="97"/>
      <c r="T1755" s="97"/>
      <c r="U1755" s="97"/>
      <c r="V1755" s="97"/>
      <c r="W1755" s="97"/>
      <c r="X1755" s="1295"/>
      <c r="Y1755" s="1523"/>
      <c r="Z1755" s="1583"/>
      <c r="AB1755" s="848"/>
      <c r="AC1755" s="848"/>
      <c r="AD1755" s="848"/>
      <c r="AE1755" s="848"/>
      <c r="AF1755" s="848"/>
      <c r="AG1755" s="848"/>
      <c r="AH1755" s="848"/>
      <c r="AI1755" s="848"/>
      <c r="AJ1755" s="848"/>
      <c r="AK1755" s="848"/>
      <c r="AL1755" s="848"/>
      <c r="AM1755" s="848"/>
      <c r="AN1755" s="848"/>
      <c r="AO1755" s="848"/>
      <c r="AP1755" s="848"/>
      <c r="AQ1755" s="848"/>
      <c r="AR1755" s="848"/>
      <c r="AS1755" s="848"/>
      <c r="AT1755" s="848"/>
      <c r="AU1755" s="848"/>
      <c r="AV1755" s="848"/>
      <c r="AW1755" s="848"/>
      <c r="AX1755" s="848"/>
      <c r="AY1755" s="848"/>
      <c r="AZ1755" s="848"/>
      <c r="BA1755" s="848"/>
      <c r="BB1755" s="848"/>
      <c r="BC1755" s="848"/>
      <c r="BD1755" s="848"/>
      <c r="BE1755" s="848"/>
      <c r="BF1755" s="848"/>
      <c r="BG1755" s="848"/>
      <c r="BH1755" s="848"/>
      <c r="BJ1755" s="1184" t="s">
        <v>4763</v>
      </c>
    </row>
    <row r="1756" spans="1:62" ht="15" thickBot="1" x14ac:dyDescent="0.35">
      <c r="A1756" s="1200">
        <v>9</v>
      </c>
      <c r="B1756" s="1210" t="s">
        <v>3452</v>
      </c>
      <c r="C1756" s="1203"/>
      <c r="D1756" s="1203"/>
      <c r="E1756" s="1203" t="s">
        <v>275</v>
      </c>
      <c r="F1756" s="1203"/>
      <c r="G1756" s="1202" t="str">
        <f t="shared" si="597"/>
        <v/>
      </c>
      <c r="H1756" s="1200" t="s">
        <v>4388</v>
      </c>
      <c r="I1756" s="577"/>
      <c r="J1756" s="270"/>
      <c r="K1756" s="270"/>
      <c r="L1756" s="1330"/>
      <c r="M1756" s="865"/>
      <c r="N1756" s="858"/>
      <c r="O1756" s="858"/>
      <c r="P1756" s="104"/>
      <c r="Q1756" s="104"/>
      <c r="R1756" s="104"/>
      <c r="S1756" s="104"/>
      <c r="T1756" s="104"/>
      <c r="U1756" s="104"/>
      <c r="V1756" s="104"/>
      <c r="W1756" s="104"/>
      <c r="X1756" s="1296"/>
      <c r="Y1756" s="1524"/>
      <c r="Z1756" s="1584"/>
      <c r="AB1756" s="848"/>
      <c r="AC1756" s="848"/>
      <c r="AD1756" s="848"/>
      <c r="AE1756" s="848"/>
      <c r="AF1756" s="848"/>
      <c r="AG1756" s="848"/>
      <c r="AH1756" s="848"/>
      <c r="AI1756" s="848"/>
      <c r="AJ1756" s="848"/>
      <c r="AK1756" s="848"/>
      <c r="AL1756" s="848"/>
      <c r="AM1756" s="848"/>
      <c r="AN1756" s="848"/>
      <c r="AO1756" s="848"/>
      <c r="AP1756" s="848"/>
      <c r="AQ1756" s="848"/>
      <c r="AR1756" s="848"/>
      <c r="AS1756" s="848"/>
      <c r="AT1756" s="848"/>
      <c r="AU1756" s="848"/>
      <c r="AV1756" s="848"/>
      <c r="AW1756" s="848"/>
      <c r="AX1756" s="848"/>
      <c r="AY1756" s="848"/>
      <c r="AZ1756" s="848"/>
      <c r="BA1756" s="848"/>
      <c r="BB1756" s="848"/>
      <c r="BC1756" s="848"/>
      <c r="BD1756" s="848"/>
      <c r="BE1756" s="848"/>
      <c r="BF1756" s="848"/>
      <c r="BG1756" s="848"/>
      <c r="BH1756" s="848"/>
      <c r="BJ1756" s="1184" t="s">
        <v>4763</v>
      </c>
    </row>
    <row r="1757" spans="1:62" ht="15" thickTop="1" x14ac:dyDescent="0.3">
      <c r="A1757" s="1200">
        <v>9</v>
      </c>
      <c r="B1757" s="1210">
        <v>902.2</v>
      </c>
      <c r="C1757" s="1203"/>
      <c r="D1757" s="1203"/>
      <c r="E1757" s="1203"/>
      <c r="F1757" s="1203"/>
      <c r="G1757" s="1202" t="s">
        <v>4389</v>
      </c>
      <c r="H1757" s="1200" t="s">
        <v>4388</v>
      </c>
      <c r="I1757" s="200">
        <v>902.2</v>
      </c>
      <c r="J1757" s="201"/>
      <c r="K1757" s="201"/>
      <c r="L1757" s="879" t="s">
        <v>3457</v>
      </c>
      <c r="M1757" s="868"/>
      <c r="N1757" s="859"/>
      <c r="O1757" s="859"/>
      <c r="P1757" s="110"/>
      <c r="Q1757" s="110"/>
      <c r="R1757" s="110"/>
      <c r="S1757" s="110"/>
      <c r="T1757" s="110"/>
      <c r="U1757" s="110"/>
      <c r="V1757" s="110"/>
      <c r="W1757" s="110"/>
      <c r="X1757" s="110"/>
      <c r="Y1757" s="848"/>
      <c r="Z1757" s="1055"/>
      <c r="AB1757" s="848"/>
      <c r="AC1757" s="848"/>
      <c r="AD1757" s="848"/>
      <c r="AE1757" s="848"/>
      <c r="AF1757" s="848"/>
      <c r="AG1757" s="848"/>
      <c r="AH1757" s="848"/>
      <c r="AI1757" s="848"/>
      <c r="AJ1757" s="848"/>
      <c r="AK1757" s="848"/>
      <c r="AL1757" s="848"/>
      <c r="AM1757" s="848"/>
      <c r="AN1757" s="848"/>
      <c r="AO1757" s="848"/>
      <c r="AP1757" s="848"/>
      <c r="AQ1757" s="848"/>
      <c r="AR1757" s="848"/>
      <c r="AS1757" s="848"/>
      <c r="AT1757" s="848"/>
      <c r="AU1757" s="848"/>
      <c r="AV1757" s="848"/>
      <c r="AW1757" s="848"/>
      <c r="AX1757" s="848"/>
      <c r="AY1757" s="848"/>
      <c r="AZ1757" s="848"/>
      <c r="BA1757" s="848"/>
      <c r="BB1757" s="848"/>
      <c r="BC1757" s="848"/>
      <c r="BD1757" s="848"/>
      <c r="BE1757" s="848"/>
      <c r="BF1757" s="848"/>
      <c r="BG1757" s="848"/>
      <c r="BH1757" s="848"/>
      <c r="BJ1757" s="1184" t="s">
        <v>4763</v>
      </c>
    </row>
    <row r="1758" spans="1:62" ht="15" customHeight="1" x14ac:dyDescent="0.3">
      <c r="A1758" s="1200">
        <v>9</v>
      </c>
      <c r="B1758" s="1210" t="s">
        <v>3923</v>
      </c>
      <c r="C1758" s="1203"/>
      <c r="D1758" s="1203"/>
      <c r="E1758" s="1203"/>
      <c r="F1758" s="1203"/>
      <c r="G1758" s="1202" t="s">
        <v>4389</v>
      </c>
      <c r="H1758" s="1200" t="s">
        <v>4388</v>
      </c>
      <c r="I1758" s="141" t="s">
        <v>3923</v>
      </c>
      <c r="J1758" s="140"/>
      <c r="K1758" s="140"/>
      <c r="L1758" s="1313" t="s">
        <v>4684</v>
      </c>
      <c r="M1758" s="1353" t="str">
        <f>IF(R1758,"Mandatory 
(ACH50 is &lt; 5.0)","N/A")</f>
        <v>N/A</v>
      </c>
      <c r="N1758" s="1308">
        <f ca="1">'Ch9'!O211</f>
        <v>3</v>
      </c>
      <c r="O1758" s="1308">
        <f ca="1">IFERROR(INDEX({3,6,7,8},MATCH(W1758,INDIRECT(U1758),0)),0)*S1758</f>
        <v>0</v>
      </c>
      <c r="P1758" s="97" t="b">
        <v>0</v>
      </c>
      <c r="Q1758" s="97" t="b">
        <v>1</v>
      </c>
      <c r="R1758" s="97" t="b">
        <f>AND(IF(S1759=0,FALSE,IF(S1759&lt;5,TRUE,FALSE)))</f>
        <v>0</v>
      </c>
      <c r="S1758" s="97" t="b">
        <v>1</v>
      </c>
      <c r="T1758" s="97" t="b">
        <f>AND(NOT(S1758),LEN(W1758)&gt;0)</f>
        <v>0</v>
      </c>
      <c r="U1758" s="97" t="str">
        <f>SUBSTITUTE(SUBSTITUTE(SUBSTITUTE("dd"&amp;B1758&amp;C1758&amp;D1758&amp;E1758&amp;F1758,".","_"),"(","_"),")","")</f>
        <v>dd902_2_1</v>
      </c>
      <c r="V1758" s="97"/>
      <c r="W1758" s="12"/>
      <c r="X1758" s="1295"/>
      <c r="Y1758" s="1522" t="str">
        <f>IF(LEN('Ch9'!X211)=0,"None",'Ch9'!X211)</f>
        <v>ZERH Requirement - ENERGY STAR Certified Homes National Rater Field Checklist, Section 7.2 Ventilation Override Switch</v>
      </c>
      <c r="Z1758" s="1586"/>
      <c r="AB1758" s="848"/>
      <c r="AC1758" s="848" t="b">
        <f>OR(AD1758:AE1758)</f>
        <v>0</v>
      </c>
      <c r="AD1758" s="848" t="b">
        <f>T1758</f>
        <v>0</v>
      </c>
      <c r="AE1758" s="848" t="b">
        <f>AND(R1758,OR(W1758="Not Met",W1758=""))</f>
        <v>0</v>
      </c>
      <c r="AF1758" s="1182" t="b">
        <f>AND(AE1758,NOT(Q1758))</f>
        <v>0</v>
      </c>
      <c r="AG1758" s="848"/>
      <c r="AH1758" s="848"/>
      <c r="AI1758" s="848"/>
      <c r="AJ1758" s="848"/>
      <c r="AK1758" s="848"/>
      <c r="AL1758" s="311" t="str">
        <f t="shared" ref="AL1758" si="598">SUBSTITUTE(SUBSTITUTE(SUBSTITUTE("vpa"&amp;$B1758&amp;$C1758&amp;$D1758&amp;$E1758&amp;$F1758,".","_"),"(","_"),")","")</f>
        <v>vpa902_2_1</v>
      </c>
      <c r="AM1758" s="311" t="str">
        <f>M1758</f>
        <v>N/A</v>
      </c>
      <c r="AN1758" s="311" t="str">
        <f>SUBSTITUTE(SUBSTITUTE(SUBSTITUTE("vpc"&amp;$B1758&amp;$C1758&amp;$D1758&amp;$E1758&amp;$F1758,".","_"),"(","_"),")","")</f>
        <v>vpc902_2_1</v>
      </c>
      <c r="AO1758" s="311">
        <f ca="1">O1758</f>
        <v>0</v>
      </c>
      <c r="AP1758" s="311" t="str">
        <f>SUBSTITUTE(SUBSTITUTE(SUBSTITUTE("vch"&amp;$B1758&amp;$C1758&amp;$D1758&amp;$E1758&amp;$F1758,".","_"),"(","_"),")","")</f>
        <v>vch902_2_1</v>
      </c>
      <c r="AQ1758" s="311">
        <f>W1758</f>
        <v>0</v>
      </c>
      <c r="AR1758" s="311" t="str">
        <f>SUBSTITUTE(SUBSTITUTE(SUBSTITUTE("vnt"&amp;$B1758&amp;$C1758&amp;$D1758&amp;$E1758&amp;$F1758,".","_"),"(","_"),")","")</f>
        <v>vnt902_2_1</v>
      </c>
      <c r="AS1758" s="311">
        <f>X1758</f>
        <v>0</v>
      </c>
      <c r="AT1758" s="848"/>
      <c r="AU1758" s="848"/>
      <c r="AV1758" s="848"/>
      <c r="AW1758" s="848"/>
      <c r="AX1758" s="848"/>
      <c r="AY1758" s="848"/>
      <c r="AZ1758" s="848"/>
      <c r="BA1758" s="848"/>
      <c r="BB1758" s="848"/>
      <c r="BC1758" s="848"/>
      <c r="BD1758" s="848"/>
      <c r="BE1758" s="848"/>
      <c r="BF1758" s="848"/>
      <c r="BG1758" s="848"/>
      <c r="BH1758" s="848"/>
      <c r="BJ1758" s="1184" t="s">
        <v>4763</v>
      </c>
    </row>
    <row r="1759" spans="1:62" x14ac:dyDescent="0.3">
      <c r="A1759" s="1200">
        <v>9</v>
      </c>
      <c r="B1759" s="1210" t="s">
        <v>3923</v>
      </c>
      <c r="C1759" s="1203"/>
      <c r="D1759" s="1203"/>
      <c r="E1759" s="1203"/>
      <c r="F1759" s="1203"/>
      <c r="G1759" s="1202" t="s">
        <v>4389</v>
      </c>
      <c r="H1759" s="1200" t="s">
        <v>4388</v>
      </c>
      <c r="I1759" s="576"/>
      <c r="J1759" s="140"/>
      <c r="K1759" s="140"/>
      <c r="L1759" s="1313"/>
      <c r="M1759" s="1353"/>
      <c r="N1759" s="1308"/>
      <c r="O1759" s="1308"/>
      <c r="P1759" s="97"/>
      <c r="Q1759" s="97"/>
      <c r="R1759" s="581" t="s">
        <v>4030</v>
      </c>
      <c r="S1759" s="582">
        <f>MAX(W835,W1287)</f>
        <v>0</v>
      </c>
      <c r="T1759" s="97"/>
      <c r="U1759" s="97"/>
      <c r="V1759" s="97"/>
      <c r="W1759" s="97"/>
      <c r="X1759" s="1295"/>
      <c r="Y1759" s="1522"/>
      <c r="Z1759" s="1586"/>
      <c r="AB1759" s="848"/>
      <c r="AC1759" s="848"/>
      <c r="AD1759" s="848"/>
      <c r="AE1759" s="848"/>
      <c r="AF1759" s="848"/>
      <c r="AG1759" s="848"/>
      <c r="AH1759" s="848"/>
      <c r="AI1759" s="848"/>
      <c r="AJ1759" s="848"/>
      <c r="AK1759" s="848"/>
      <c r="AL1759" s="848"/>
      <c r="AM1759" s="848"/>
      <c r="AN1759" s="848"/>
      <c r="AO1759" s="848"/>
      <c r="AP1759" s="848"/>
      <c r="AQ1759" s="848"/>
      <c r="AR1759" s="848"/>
      <c r="AS1759" s="848"/>
      <c r="AT1759" s="848"/>
      <c r="AU1759" s="848"/>
      <c r="AV1759" s="848"/>
      <c r="AW1759" s="848"/>
      <c r="AX1759" s="848"/>
      <c r="AY1759" s="848"/>
      <c r="AZ1759" s="848"/>
      <c r="BA1759" s="848"/>
      <c r="BB1759" s="848"/>
      <c r="BC1759" s="848"/>
      <c r="BD1759" s="848"/>
      <c r="BE1759" s="848"/>
      <c r="BF1759" s="848"/>
      <c r="BG1759" s="848"/>
      <c r="BH1759" s="848"/>
      <c r="BJ1759" s="1184" t="s">
        <v>4763</v>
      </c>
    </row>
    <row r="1760" spans="1:62" x14ac:dyDescent="0.3">
      <c r="A1760" s="1200">
        <v>9</v>
      </c>
      <c r="B1760" s="1210" t="s">
        <v>3923</v>
      </c>
      <c r="C1760" s="1203"/>
      <c r="D1760" s="1203"/>
      <c r="E1760" s="1203"/>
      <c r="F1760" s="1203"/>
      <c r="G1760" s="1202" t="s">
        <v>4389</v>
      </c>
      <c r="H1760" s="1200" t="s">
        <v>4388</v>
      </c>
      <c r="I1760" s="576"/>
      <c r="J1760" s="140"/>
      <c r="K1760" s="140"/>
      <c r="L1760" s="1313"/>
      <c r="M1760" s="1353"/>
      <c r="N1760" s="1308"/>
      <c r="O1760" s="1308"/>
      <c r="P1760" s="97"/>
      <c r="Q1760" s="97"/>
      <c r="R1760"/>
      <c r="S1760"/>
      <c r="T1760" s="97"/>
      <c r="U1760" s="97"/>
      <c r="V1760" s="97"/>
      <c r="W1760" s="97"/>
      <c r="X1760" s="1295"/>
      <c r="Y1760" s="1522"/>
      <c r="Z1760" s="1586"/>
      <c r="AB1760" s="848"/>
      <c r="AC1760" s="848"/>
      <c r="AD1760" s="848"/>
      <c r="AE1760" s="848"/>
      <c r="AF1760" s="848"/>
      <c r="AG1760" s="848"/>
      <c r="AH1760" s="848"/>
      <c r="AI1760" s="848"/>
      <c r="AJ1760" s="848"/>
      <c r="AK1760" s="848"/>
      <c r="AL1760" s="848"/>
      <c r="AM1760" s="848"/>
      <c r="AN1760" s="848"/>
      <c r="AO1760" s="848"/>
      <c r="AP1760" s="848"/>
      <c r="AQ1760" s="848"/>
      <c r="AR1760" s="848"/>
      <c r="AS1760" s="848"/>
      <c r="AT1760" s="848"/>
      <c r="AU1760" s="848"/>
      <c r="AV1760" s="848"/>
      <c r="AW1760" s="848"/>
      <c r="AX1760" s="848"/>
      <c r="AY1760" s="848"/>
      <c r="AZ1760" s="848"/>
      <c r="BA1760" s="848"/>
      <c r="BB1760" s="848"/>
      <c r="BC1760" s="848"/>
      <c r="BD1760" s="848"/>
      <c r="BE1760" s="848"/>
      <c r="BF1760" s="848"/>
      <c r="BG1760" s="848"/>
      <c r="BH1760" s="848"/>
      <c r="BJ1760" s="1184" t="s">
        <v>4763</v>
      </c>
    </row>
    <row r="1761" spans="1:62" x14ac:dyDescent="0.3">
      <c r="A1761" s="1200">
        <v>9</v>
      </c>
      <c r="B1761" s="1210" t="s">
        <v>3923</v>
      </c>
      <c r="C1761" s="1203"/>
      <c r="D1761" s="1203"/>
      <c r="E1761" s="1203" t="s">
        <v>271</v>
      </c>
      <c r="F1761" s="1203"/>
      <c r="G1761" s="1202" t="s">
        <v>4389</v>
      </c>
      <c r="H1761" s="1200" t="s">
        <v>4388</v>
      </c>
      <c r="I1761" s="576"/>
      <c r="J1761" s="203" t="s">
        <v>271</v>
      </c>
      <c r="K1761" s="140"/>
      <c r="L1761" s="1293" t="s">
        <v>3458</v>
      </c>
      <c r="M1761" s="1318">
        <v>3</v>
      </c>
      <c r="N1761" s="854"/>
      <c r="O1761" s="854"/>
      <c r="P1761" s="97"/>
      <c r="Q1761" s="97"/>
      <c r="R1761"/>
      <c r="S1761"/>
      <c r="T1761" s="97"/>
      <c r="U1761" s="97"/>
      <c r="V1761" s="97"/>
      <c r="W1761" s="97"/>
      <c r="X1761" s="1295"/>
      <c r="Y1761" s="1522"/>
      <c r="Z1761" s="1586"/>
      <c r="AB1761" s="848"/>
      <c r="AC1761" s="848"/>
      <c r="AD1761" s="848"/>
      <c r="AE1761" s="848"/>
      <c r="AF1761" s="848"/>
      <c r="AG1761" s="848"/>
      <c r="AH1761" s="848"/>
      <c r="AI1761" s="848"/>
      <c r="AJ1761" s="848"/>
      <c r="AK1761" s="848"/>
      <c r="AL1761" s="311" t="str">
        <f t="shared" ref="AL1761" si="599">SUBSTITUTE(SUBSTITUTE(SUBSTITUTE("vpa"&amp;$B1761&amp;$C1761&amp;$D1761&amp;$E1761&amp;$F1761,".","_"),"(","_"),")","")</f>
        <v>vpa902_2_1_1</v>
      </c>
      <c r="AM1761" s="311">
        <f>M1761</f>
        <v>3</v>
      </c>
      <c r="AN1761" s="848"/>
      <c r="AO1761" s="848"/>
      <c r="AP1761" s="848"/>
      <c r="AQ1761" s="848"/>
      <c r="AR1761" s="848"/>
      <c r="AS1761" s="848"/>
      <c r="AT1761" s="848"/>
      <c r="AU1761" s="848"/>
      <c r="AV1761" s="848"/>
      <c r="AW1761" s="848"/>
      <c r="AX1761" s="848"/>
      <c r="AY1761" s="848"/>
      <c r="AZ1761" s="848"/>
      <c r="BA1761" s="848"/>
      <c r="BB1761" s="848"/>
      <c r="BC1761" s="848"/>
      <c r="BD1761" s="848"/>
      <c r="BE1761" s="848"/>
      <c r="BF1761" s="848"/>
      <c r="BG1761" s="848"/>
      <c r="BH1761" s="848"/>
      <c r="BJ1761" s="1184" t="s">
        <v>4763</v>
      </c>
    </row>
    <row r="1762" spans="1:62" x14ac:dyDescent="0.3">
      <c r="A1762" s="1200">
        <v>9</v>
      </c>
      <c r="B1762" s="1210" t="s">
        <v>3923</v>
      </c>
      <c r="C1762" s="1203"/>
      <c r="D1762" s="1203"/>
      <c r="E1762" s="1203" t="s">
        <v>271</v>
      </c>
      <c r="F1762" s="1203"/>
      <c r="G1762" s="1202" t="s">
        <v>4389</v>
      </c>
      <c r="H1762" s="1200" t="s">
        <v>4388</v>
      </c>
      <c r="I1762" s="576"/>
      <c r="J1762" s="231"/>
      <c r="K1762" s="238"/>
      <c r="L1762" s="1294"/>
      <c r="M1762" s="1319"/>
      <c r="N1762" s="854"/>
      <c r="O1762" s="854"/>
      <c r="P1762" s="97"/>
      <c r="Q1762" s="97"/>
      <c r="R1762" s="97"/>
      <c r="S1762" s="97"/>
      <c r="T1762" s="97"/>
      <c r="U1762" s="97"/>
      <c r="V1762" s="97"/>
      <c r="W1762" s="97"/>
      <c r="X1762" s="1295"/>
      <c r="Y1762" s="1522"/>
      <c r="Z1762" s="1586"/>
      <c r="AB1762" s="848"/>
      <c r="AC1762" s="848"/>
      <c r="AD1762" s="848"/>
      <c r="AE1762" s="848"/>
      <c r="AF1762" s="848"/>
      <c r="AG1762" s="848"/>
      <c r="AH1762" s="848"/>
      <c r="AI1762" s="848"/>
      <c r="AJ1762" s="848"/>
      <c r="AK1762" s="848"/>
      <c r="AL1762" s="848"/>
      <c r="AM1762" s="848"/>
      <c r="AN1762" s="848"/>
      <c r="AO1762" s="848"/>
      <c r="AP1762" s="848"/>
      <c r="AQ1762" s="848"/>
      <c r="AR1762" s="848"/>
      <c r="AS1762" s="848"/>
      <c r="AT1762" s="848"/>
      <c r="AU1762" s="848"/>
      <c r="AV1762" s="848"/>
      <c r="AW1762" s="848"/>
      <c r="AX1762" s="848"/>
      <c r="AY1762" s="848"/>
      <c r="AZ1762" s="848"/>
      <c r="BA1762" s="848"/>
      <c r="BB1762" s="848"/>
      <c r="BC1762" s="848"/>
      <c r="BD1762" s="848"/>
      <c r="BE1762" s="848"/>
      <c r="BF1762" s="848"/>
      <c r="BG1762" s="848"/>
      <c r="BH1762" s="848"/>
      <c r="BJ1762" s="1184" t="s">
        <v>4763</v>
      </c>
    </row>
    <row r="1763" spans="1:62" x14ac:dyDescent="0.3">
      <c r="A1763" s="1200">
        <v>9</v>
      </c>
      <c r="B1763" s="1210" t="s">
        <v>3923</v>
      </c>
      <c r="C1763" s="1203"/>
      <c r="D1763" s="1203"/>
      <c r="E1763" s="1203" t="s">
        <v>273</v>
      </c>
      <c r="F1763" s="1203"/>
      <c r="G1763" s="1202" t="s">
        <v>4389</v>
      </c>
      <c r="H1763" s="1200" t="s">
        <v>4388</v>
      </c>
      <c r="I1763" s="576"/>
      <c r="J1763" s="203" t="s">
        <v>273</v>
      </c>
      <c r="K1763" s="140"/>
      <c r="L1763" s="1305" t="s">
        <v>3459</v>
      </c>
      <c r="M1763" s="1318">
        <v>6</v>
      </c>
      <c r="N1763" s="854"/>
      <c r="O1763" s="854"/>
      <c r="P1763" s="97"/>
      <c r="Q1763" s="97"/>
      <c r="R1763" s="97"/>
      <c r="S1763" s="97"/>
      <c r="T1763" s="97"/>
      <c r="U1763" s="97"/>
      <c r="V1763" s="97"/>
      <c r="W1763" s="97"/>
      <c r="X1763" s="1295"/>
      <c r="Y1763" s="1522"/>
      <c r="Z1763" s="1586"/>
      <c r="AB1763" s="848"/>
      <c r="AC1763" s="848"/>
      <c r="AD1763" s="848"/>
      <c r="AE1763" s="848"/>
      <c r="AF1763" s="848"/>
      <c r="AG1763" s="848"/>
      <c r="AH1763" s="848"/>
      <c r="AI1763" s="848"/>
      <c r="AJ1763" s="848"/>
      <c r="AK1763" s="848"/>
      <c r="AL1763" s="311" t="str">
        <f t="shared" ref="AL1763" si="600">SUBSTITUTE(SUBSTITUTE(SUBSTITUTE("vpa"&amp;$B1763&amp;$C1763&amp;$D1763&amp;$E1763&amp;$F1763,".","_"),"(","_"),")","")</f>
        <v>vpa902_2_1_2</v>
      </c>
      <c r="AM1763" s="311">
        <f>M1763</f>
        <v>6</v>
      </c>
      <c r="AN1763" s="848"/>
      <c r="AO1763" s="848"/>
      <c r="AP1763" s="848"/>
      <c r="AQ1763" s="848"/>
      <c r="AR1763" s="848"/>
      <c r="AS1763" s="848"/>
      <c r="AT1763" s="848"/>
      <c r="AU1763" s="848"/>
      <c r="AV1763" s="848"/>
      <c r="AW1763" s="848"/>
      <c r="AX1763" s="848"/>
      <c r="AY1763" s="848"/>
      <c r="AZ1763" s="848"/>
      <c r="BA1763" s="848"/>
      <c r="BB1763" s="848"/>
      <c r="BC1763" s="848"/>
      <c r="BD1763" s="848"/>
      <c r="BE1763" s="848"/>
      <c r="BF1763" s="848"/>
      <c r="BG1763" s="848"/>
      <c r="BH1763" s="848"/>
      <c r="BJ1763" s="1184" t="s">
        <v>4763</v>
      </c>
    </row>
    <row r="1764" spans="1:62" x14ac:dyDescent="0.3">
      <c r="A1764" s="1200">
        <v>9</v>
      </c>
      <c r="B1764" s="1210" t="s">
        <v>3923</v>
      </c>
      <c r="C1764" s="1203"/>
      <c r="D1764" s="1203"/>
      <c r="E1764" s="1203" t="s">
        <v>273</v>
      </c>
      <c r="F1764" s="1203"/>
      <c r="G1764" s="1202" t="s">
        <v>4389</v>
      </c>
      <c r="H1764" s="1200" t="s">
        <v>4388</v>
      </c>
      <c r="I1764" s="576"/>
      <c r="J1764" s="238"/>
      <c r="K1764" s="238"/>
      <c r="L1764" s="1306"/>
      <c r="M1764" s="1319"/>
      <c r="N1764" s="854"/>
      <c r="O1764" s="854"/>
      <c r="P1764" s="97"/>
      <c r="Q1764" s="97"/>
      <c r="R1764" s="97"/>
      <c r="S1764" s="97"/>
      <c r="T1764" s="97"/>
      <c r="U1764" s="97"/>
      <c r="V1764" s="97"/>
      <c r="W1764" s="97"/>
      <c r="X1764" s="1295"/>
      <c r="Y1764" s="1522"/>
      <c r="Z1764" s="1586"/>
      <c r="AB1764" s="848"/>
      <c r="AC1764" s="848"/>
      <c r="AD1764" s="848"/>
      <c r="AE1764" s="848"/>
      <c r="AF1764" s="848"/>
      <c r="AG1764" s="848"/>
      <c r="AH1764" s="848"/>
      <c r="AI1764" s="848"/>
      <c r="AJ1764" s="848"/>
      <c r="AK1764" s="848"/>
      <c r="AL1764" s="848"/>
      <c r="AM1764" s="848"/>
      <c r="AN1764" s="848"/>
      <c r="AO1764" s="848"/>
      <c r="AP1764" s="848"/>
      <c r="AQ1764" s="848"/>
      <c r="AR1764" s="848"/>
      <c r="AS1764" s="848"/>
      <c r="AT1764" s="848"/>
      <c r="AU1764" s="848"/>
      <c r="AV1764" s="848"/>
      <c r="AW1764" s="848"/>
      <c r="AX1764" s="848"/>
      <c r="AY1764" s="848"/>
      <c r="AZ1764" s="848"/>
      <c r="BA1764" s="848"/>
      <c r="BB1764" s="848"/>
      <c r="BC1764" s="848"/>
      <c r="BD1764" s="848"/>
      <c r="BE1764" s="848"/>
      <c r="BF1764" s="848"/>
      <c r="BG1764" s="848"/>
      <c r="BH1764" s="848"/>
      <c r="BJ1764" s="1184" t="s">
        <v>4763</v>
      </c>
    </row>
    <row r="1765" spans="1:62" x14ac:dyDescent="0.3">
      <c r="A1765" s="1200">
        <v>9</v>
      </c>
      <c r="B1765" s="1210" t="s">
        <v>3923</v>
      </c>
      <c r="C1765" s="1203"/>
      <c r="D1765" s="1203"/>
      <c r="E1765" s="1203" t="s">
        <v>275</v>
      </c>
      <c r="F1765" s="1203"/>
      <c r="G1765" s="1202" t="s">
        <v>4389</v>
      </c>
      <c r="H1765" s="1200" t="s">
        <v>4388</v>
      </c>
      <c r="I1765" s="576"/>
      <c r="J1765" s="231" t="s">
        <v>275</v>
      </c>
      <c r="K1765" s="238"/>
      <c r="L1765" s="862" t="s">
        <v>3460</v>
      </c>
      <c r="M1765" s="857">
        <v>7</v>
      </c>
      <c r="N1765" s="854"/>
      <c r="O1765" s="854"/>
      <c r="P1765" s="97"/>
      <c r="Q1765" s="97"/>
      <c r="R1765" s="97"/>
      <c r="S1765" s="97"/>
      <c r="T1765" s="97"/>
      <c r="U1765" s="97"/>
      <c r="V1765" s="97"/>
      <c r="W1765" s="97"/>
      <c r="X1765" s="1295"/>
      <c r="Y1765" s="1522"/>
      <c r="Z1765" s="1586"/>
      <c r="AB1765" s="848"/>
      <c r="AC1765" s="848"/>
      <c r="AD1765" s="848"/>
      <c r="AE1765" s="848"/>
      <c r="AF1765" s="848"/>
      <c r="AG1765" s="848"/>
      <c r="AH1765" s="848"/>
      <c r="AI1765" s="848"/>
      <c r="AJ1765" s="848"/>
      <c r="AK1765" s="848"/>
      <c r="AL1765" s="311" t="str">
        <f t="shared" ref="AL1765:AL1767" si="601">SUBSTITUTE(SUBSTITUTE(SUBSTITUTE("vpa"&amp;$B1765&amp;$C1765&amp;$D1765&amp;$E1765&amp;$F1765,".","_"),"(","_"),")","")</f>
        <v>vpa902_2_1_3</v>
      </c>
      <c r="AM1765" s="311">
        <f>M1765</f>
        <v>7</v>
      </c>
      <c r="AN1765" s="848"/>
      <c r="AO1765" s="848"/>
      <c r="AP1765" s="848"/>
      <c r="AQ1765" s="848"/>
      <c r="AR1765" s="848"/>
      <c r="AS1765" s="848"/>
      <c r="AT1765" s="848"/>
      <c r="AU1765" s="848"/>
      <c r="AV1765" s="848"/>
      <c r="AW1765" s="848"/>
      <c r="AX1765" s="848"/>
      <c r="AY1765" s="848"/>
      <c r="AZ1765" s="848"/>
      <c r="BA1765" s="848"/>
      <c r="BB1765" s="848"/>
      <c r="BC1765" s="848"/>
      <c r="BD1765" s="848"/>
      <c r="BE1765" s="848"/>
      <c r="BF1765" s="848"/>
      <c r="BG1765" s="848"/>
      <c r="BH1765" s="848"/>
      <c r="BJ1765" s="1184" t="s">
        <v>4763</v>
      </c>
    </row>
    <row r="1766" spans="1:62" x14ac:dyDescent="0.3">
      <c r="A1766" s="1200">
        <v>9</v>
      </c>
      <c r="B1766" s="1210" t="s">
        <v>3923</v>
      </c>
      <c r="C1766" s="1203"/>
      <c r="D1766" s="1203"/>
      <c r="E1766" s="1203" t="s">
        <v>285</v>
      </c>
      <c r="F1766" s="1203"/>
      <c r="G1766" s="1202" t="s">
        <v>4389</v>
      </c>
      <c r="H1766" s="1200" t="s">
        <v>4388</v>
      </c>
      <c r="I1766" s="620"/>
      <c r="J1766" s="231" t="s">
        <v>285</v>
      </c>
      <c r="K1766" s="238"/>
      <c r="L1766" s="862" t="s">
        <v>3461</v>
      </c>
      <c r="M1766" s="857">
        <v>8</v>
      </c>
      <c r="N1766" s="855"/>
      <c r="O1766" s="855"/>
      <c r="P1766" s="196"/>
      <c r="Q1766" s="196"/>
      <c r="R1766" s="196"/>
      <c r="S1766" s="196"/>
      <c r="T1766" s="196"/>
      <c r="U1766" s="196"/>
      <c r="V1766" s="196"/>
      <c r="W1766" s="196"/>
      <c r="X1766" s="1295"/>
      <c r="Y1766" s="1522"/>
      <c r="Z1766" s="1586"/>
      <c r="AB1766" s="848"/>
      <c r="AC1766" s="848"/>
      <c r="AD1766" s="848"/>
      <c r="AE1766" s="848"/>
      <c r="AF1766" s="848"/>
      <c r="AG1766" s="848"/>
      <c r="AH1766" s="848"/>
      <c r="AI1766" s="848"/>
      <c r="AJ1766" s="848"/>
      <c r="AK1766" s="848"/>
      <c r="AL1766" s="311" t="str">
        <f t="shared" si="601"/>
        <v>vpa902_2_1_4</v>
      </c>
      <c r="AM1766" s="311">
        <f>M1766</f>
        <v>8</v>
      </c>
      <c r="AN1766" s="848"/>
      <c r="AO1766" s="848"/>
      <c r="AP1766" s="848"/>
      <c r="AQ1766" s="848"/>
      <c r="AR1766" s="848"/>
      <c r="AS1766" s="848"/>
      <c r="AT1766" s="848"/>
      <c r="AU1766" s="848"/>
      <c r="AV1766" s="848"/>
      <c r="AW1766" s="848"/>
      <c r="AX1766" s="848"/>
      <c r="AY1766" s="848"/>
      <c r="AZ1766" s="848"/>
      <c r="BA1766" s="848"/>
      <c r="BB1766" s="848"/>
      <c r="BC1766" s="848"/>
      <c r="BD1766" s="848"/>
      <c r="BE1766" s="848"/>
      <c r="BF1766" s="848"/>
      <c r="BG1766" s="848"/>
      <c r="BH1766" s="848"/>
      <c r="BJ1766" s="1184" t="s">
        <v>4763</v>
      </c>
    </row>
    <row r="1767" spans="1:62" x14ac:dyDescent="0.3">
      <c r="A1767" s="1200">
        <v>9</v>
      </c>
      <c r="B1767" s="1210" t="s">
        <v>3462</v>
      </c>
      <c r="C1767" s="1203"/>
      <c r="D1767" s="1203"/>
      <c r="E1767" s="1203"/>
      <c r="F1767" s="1203"/>
      <c r="G1767" s="1202" t="str">
        <f ca="1">IF(N1767&gt;0,"P","")</f>
        <v>P</v>
      </c>
      <c r="H1767" s="1200" t="s">
        <v>4388</v>
      </c>
      <c r="I1767" s="215" t="s">
        <v>3462</v>
      </c>
      <c r="J1767" s="216"/>
      <c r="K1767" s="216"/>
      <c r="L1767" s="1364" t="s">
        <v>3463</v>
      </c>
      <c r="M1767" s="1323">
        <v>4</v>
      </c>
      <c r="N1767" s="1324">
        <f ca="1">'Ch9'!O220</f>
        <v>4</v>
      </c>
      <c r="O1767" s="1324">
        <f ca="1">M1767*S1767*W1767</f>
        <v>0</v>
      </c>
      <c r="P1767" s="97" t="b">
        <v>0</v>
      </c>
      <c r="Q1767" s="97" t="b">
        <v>1</v>
      </c>
      <c r="R1767" s="218" t="b">
        <v>0</v>
      </c>
      <c r="S1767" s="218" t="b">
        <f ca="1">O1758&gt;0</f>
        <v>0</v>
      </c>
      <c r="T1767" s="218" t="b">
        <f ca="1">AND(NOT(S1767),W1767=TRUE)</f>
        <v>0</v>
      </c>
      <c r="U1767" s="218"/>
      <c r="V1767" s="218"/>
      <c r="W1767" s="25"/>
      <c r="X1767" s="1295"/>
      <c r="Y1767" s="1522" t="str">
        <f>IF(LEN('Ch9'!X220)=0,"None",'Ch9'!X220)</f>
        <v>ZERH Requirement - ENERGY STAR Certified Homes National Rater Field Checklist, Section 7.1 Confirm Ventilation Rates</v>
      </c>
      <c r="Z1767" s="1586"/>
      <c r="AB1767" s="848"/>
      <c r="AC1767" s="848" t="b">
        <f ca="1">OR(AD1767:AE1767)</f>
        <v>0</v>
      </c>
      <c r="AD1767" s="848" t="b">
        <f ca="1">T1767</f>
        <v>0</v>
      </c>
      <c r="AE1767" s="848" t="b">
        <f>AND(R1767,NOT(W1767))</f>
        <v>0</v>
      </c>
      <c r="AF1767" s="1182" t="b">
        <f>AND(AE1767,NOT(Q1767))</f>
        <v>0</v>
      </c>
      <c r="AG1767" s="848"/>
      <c r="AH1767" s="848"/>
      <c r="AI1767" s="848"/>
      <c r="AJ1767" s="848"/>
      <c r="AK1767" s="848"/>
      <c r="AL1767" s="311" t="str">
        <f t="shared" si="601"/>
        <v>vpa902_2_2</v>
      </c>
      <c r="AM1767" s="311">
        <f>M1767</f>
        <v>4</v>
      </c>
      <c r="AN1767" s="311" t="str">
        <f>SUBSTITUTE(SUBSTITUTE(SUBSTITUTE("vpc"&amp;$B1767&amp;$C1767&amp;$D1767&amp;$E1767&amp;$F1767,".","_"),"(","_"),")","")</f>
        <v>vpc902_2_2</v>
      </c>
      <c r="AO1767" s="311">
        <f ca="1">O1767</f>
        <v>0</v>
      </c>
      <c r="AP1767" s="311" t="str">
        <f>SUBSTITUTE(SUBSTITUTE(SUBSTITUTE("vch"&amp;$B1767&amp;$C1767&amp;$D1767&amp;$E1767&amp;$F1767,".","_"),"(","_"),")","")</f>
        <v>vch902_2_2</v>
      </c>
      <c r="AQ1767" s="311">
        <f>W1767</f>
        <v>0</v>
      </c>
      <c r="AR1767" s="311" t="str">
        <f>SUBSTITUTE(SUBSTITUTE(SUBSTITUTE("vnt"&amp;$B1767&amp;$C1767&amp;$D1767&amp;$E1767&amp;$F1767,".","_"),"(","_"),")","")</f>
        <v>vnt902_2_2</v>
      </c>
      <c r="AS1767" s="311">
        <f>X1767</f>
        <v>0</v>
      </c>
      <c r="AT1767" s="848"/>
      <c r="AU1767" s="848"/>
      <c r="AV1767" s="848"/>
      <c r="AW1767" s="848"/>
      <c r="AX1767" s="848"/>
      <c r="AY1767" s="848"/>
      <c r="AZ1767" s="848"/>
      <c r="BA1767" s="848"/>
      <c r="BB1767" s="848"/>
      <c r="BC1767" s="848"/>
      <c r="BD1767" s="848"/>
      <c r="BE1767" s="848"/>
      <c r="BF1767" s="848"/>
      <c r="BG1767" s="848"/>
      <c r="BH1767" s="848"/>
      <c r="BJ1767" s="1184" t="s">
        <v>4763</v>
      </c>
    </row>
    <row r="1768" spans="1:62" x14ac:dyDescent="0.3">
      <c r="A1768" s="1200">
        <v>9</v>
      </c>
      <c r="B1768" s="1210" t="s">
        <v>3462</v>
      </c>
      <c r="C1768" s="1203"/>
      <c r="D1768" s="1203"/>
      <c r="E1768" s="1203"/>
      <c r="F1768" s="1203"/>
      <c r="G1768" s="1202" t="str">
        <f t="shared" ref="G1768" ca="1" si="602">G1767</f>
        <v>P</v>
      </c>
      <c r="H1768" s="1200" t="s">
        <v>4388</v>
      </c>
      <c r="I1768" s="620"/>
      <c r="J1768" s="238"/>
      <c r="K1768" s="238"/>
      <c r="L1768" s="1350"/>
      <c r="M1768" s="1319"/>
      <c r="N1768" s="1309"/>
      <c r="O1768" s="1309"/>
      <c r="P1768" s="196"/>
      <c r="Q1768" s="196"/>
      <c r="R1768" s="196"/>
      <c r="S1768" s="196"/>
      <c r="T1768" s="196"/>
      <c r="U1768" s="196"/>
      <c r="V1768" s="196"/>
      <c r="W1768" s="196"/>
      <c r="X1768" s="1295"/>
      <c r="Y1768" s="1522"/>
      <c r="Z1768" s="1586"/>
      <c r="AB1768" s="848"/>
      <c r="AC1768" s="848"/>
      <c r="AD1768" s="848"/>
      <c r="AE1768" s="848"/>
      <c r="AF1768" s="848"/>
      <c r="AG1768" s="848"/>
      <c r="AH1768" s="848"/>
      <c r="AI1768" s="848"/>
      <c r="AJ1768" s="848"/>
      <c r="AK1768" s="848"/>
      <c r="AL1768" s="848"/>
      <c r="AM1768" s="848"/>
      <c r="AN1768" s="848"/>
      <c r="AO1768" s="848"/>
      <c r="AP1768" s="848"/>
      <c r="AQ1768" s="848"/>
      <c r="AR1768" s="848"/>
      <c r="AS1768" s="848"/>
      <c r="AT1768" s="848"/>
      <c r="AU1768" s="848"/>
      <c r="AV1768" s="848"/>
      <c r="AW1768" s="848"/>
      <c r="AX1768" s="848"/>
      <c r="AY1768" s="848"/>
      <c r="AZ1768" s="848"/>
      <c r="BA1768" s="848"/>
      <c r="BB1768" s="848"/>
      <c r="BC1768" s="848"/>
      <c r="BD1768" s="848"/>
      <c r="BE1768" s="848"/>
      <c r="BF1768" s="848"/>
      <c r="BG1768" s="848"/>
      <c r="BH1768" s="848"/>
      <c r="BJ1768" s="1184" t="s">
        <v>4763</v>
      </c>
    </row>
    <row r="1769" spans="1:62" x14ac:dyDescent="0.3">
      <c r="A1769" s="1200">
        <v>9</v>
      </c>
      <c r="B1769" s="1210" t="s">
        <v>3464</v>
      </c>
      <c r="C1769" s="1203"/>
      <c r="D1769" s="1203"/>
      <c r="E1769" s="1203"/>
      <c r="F1769" s="1203"/>
      <c r="G1769" s="1202" t="str">
        <f>IF(N1769&gt;0,"P","")</f>
        <v>P</v>
      </c>
      <c r="H1769" s="1200" t="s">
        <v>4388</v>
      </c>
      <c r="I1769" s="215" t="s">
        <v>3464</v>
      </c>
      <c r="J1769" s="216"/>
      <c r="K1769" s="216"/>
      <c r="L1769" s="1364" t="s">
        <v>3465</v>
      </c>
      <c r="M1769" s="1323">
        <v>2</v>
      </c>
      <c r="N1769" s="1324">
        <f>'Ch9'!O222</f>
        <v>2</v>
      </c>
      <c r="O1769" s="1324">
        <f>M1769*S1769*W1769</f>
        <v>0</v>
      </c>
      <c r="P1769" s="97" t="b">
        <v>0</v>
      </c>
      <c r="Q1769" s="97" t="b">
        <v>1</v>
      </c>
      <c r="R1769" s="218" t="b">
        <v>0</v>
      </c>
      <c r="S1769" s="218" t="b">
        <f>NOT(OR(AND(AY1587=INDEX(ddHDucts,2),AY1583=INDEX(ddCDucts,2)),W1772))</f>
        <v>1</v>
      </c>
      <c r="T1769" s="218" t="b">
        <f>AND(NOT(S1769),W1769=TRUE)</f>
        <v>0</v>
      </c>
      <c r="U1769" s="218"/>
      <c r="V1769" s="218"/>
      <c r="W1769" s="25"/>
      <c r="X1769" s="1295"/>
      <c r="Y1769" s="1522" t="str">
        <f>IF(LEN('Ch9'!X222)=0,"None",'Ch9'!X222)</f>
        <v>ZERH Requirement - Indoor airPLUS, Section 4.7 Filtration for Central Forced-Air HVAC Systems</v>
      </c>
      <c r="Z1769" s="1586"/>
      <c r="AB1769" s="848"/>
      <c r="AC1769" s="848" t="b">
        <f>OR(AD1769:AE1769)</f>
        <v>0</v>
      </c>
      <c r="AD1769" s="848" t="b">
        <f>T1769</f>
        <v>0</v>
      </c>
      <c r="AE1769" s="848" t="b">
        <f>AND(R1769,NOT(W1769))</f>
        <v>0</v>
      </c>
      <c r="AF1769" s="1182" t="b">
        <f>AND(AE1769,NOT(Q1769))</f>
        <v>0</v>
      </c>
      <c r="AG1769" s="848"/>
      <c r="AH1769" s="848"/>
      <c r="AI1769" s="848"/>
      <c r="AJ1769" s="848"/>
      <c r="AK1769" s="848"/>
      <c r="AL1769" s="311" t="str">
        <f t="shared" ref="AL1769" si="603">SUBSTITUTE(SUBSTITUTE(SUBSTITUTE("vpa"&amp;$B1769&amp;$C1769&amp;$D1769&amp;$E1769&amp;$F1769,".","_"),"(","_"),")","")</f>
        <v>vpa902_2_3</v>
      </c>
      <c r="AM1769" s="311">
        <f>M1769</f>
        <v>2</v>
      </c>
      <c r="AN1769" s="311" t="str">
        <f>SUBSTITUTE(SUBSTITUTE(SUBSTITUTE("vpc"&amp;$B1769&amp;$C1769&amp;$D1769&amp;$E1769&amp;$F1769,".","_"),"(","_"),")","")</f>
        <v>vpc902_2_3</v>
      </c>
      <c r="AO1769" s="311">
        <f>O1769</f>
        <v>0</v>
      </c>
      <c r="AP1769" s="311" t="str">
        <f>SUBSTITUTE(SUBSTITUTE(SUBSTITUTE("vch"&amp;$B1769&amp;$C1769&amp;$D1769&amp;$E1769&amp;$F1769,".","_"),"(","_"),")","")</f>
        <v>vch902_2_3</v>
      </c>
      <c r="AQ1769" s="311">
        <f>W1769</f>
        <v>0</v>
      </c>
      <c r="AR1769" s="311" t="str">
        <f>SUBSTITUTE(SUBSTITUTE(SUBSTITUTE("vnt"&amp;$B1769&amp;$C1769&amp;$D1769&amp;$E1769&amp;$F1769,".","_"),"(","_"),")","")</f>
        <v>vnt902_2_3</v>
      </c>
      <c r="AS1769" s="311">
        <f>X1769</f>
        <v>0</v>
      </c>
      <c r="AT1769" s="848"/>
      <c r="AU1769" s="848"/>
      <c r="AV1769" s="848"/>
      <c r="AW1769" s="848"/>
      <c r="AX1769" s="848"/>
      <c r="AY1769" s="848"/>
      <c r="AZ1769" s="848"/>
      <c r="BA1769" s="848"/>
      <c r="BB1769" s="848"/>
      <c r="BC1769" s="848"/>
      <c r="BD1769" s="848"/>
      <c r="BE1769" s="848"/>
      <c r="BF1769" s="848"/>
      <c r="BG1769" s="848"/>
      <c r="BH1769" s="848"/>
      <c r="BJ1769" s="1184" t="s">
        <v>4763</v>
      </c>
    </row>
    <row r="1770" spans="1:62" x14ac:dyDescent="0.3">
      <c r="A1770" s="1200">
        <v>9</v>
      </c>
      <c r="B1770" s="1210" t="s">
        <v>3464</v>
      </c>
      <c r="C1770" s="1203"/>
      <c r="D1770" s="1203"/>
      <c r="E1770" s="1203"/>
      <c r="F1770" s="1203"/>
      <c r="G1770" s="1202" t="str">
        <f t="shared" ref="G1770:G1771" si="604">G1769</f>
        <v>P</v>
      </c>
      <c r="H1770" s="1200" t="s">
        <v>4388</v>
      </c>
      <c r="I1770" s="576"/>
      <c r="J1770" s="140"/>
      <c r="K1770" s="140"/>
      <c r="L1770" s="1313"/>
      <c r="M1770" s="1318"/>
      <c r="N1770" s="1308"/>
      <c r="O1770" s="1308"/>
      <c r="P1770" s="97"/>
      <c r="Q1770" s="97"/>
      <c r="R1770" s="97"/>
      <c r="S1770" s="97"/>
      <c r="T1770" s="97"/>
      <c r="U1770" s="97"/>
      <c r="V1770" s="97"/>
      <c r="W1770" s="97"/>
      <c r="X1770" s="1295"/>
      <c r="Y1770" s="1522"/>
      <c r="Z1770" s="1586"/>
      <c r="AB1770" s="848"/>
      <c r="AC1770" s="848"/>
      <c r="AD1770" s="848"/>
      <c r="AE1770" s="848"/>
      <c r="AF1770" s="848"/>
      <c r="AG1770" s="848"/>
      <c r="AH1770" s="848"/>
      <c r="AI1770" s="848"/>
      <c r="AJ1770" s="848"/>
      <c r="AK1770" s="848"/>
      <c r="AL1770" s="848"/>
      <c r="AM1770" s="848"/>
      <c r="AN1770" s="848"/>
      <c r="AO1770" s="848"/>
      <c r="AP1770" s="848"/>
      <c r="AQ1770" s="848"/>
      <c r="AR1770" s="848"/>
      <c r="AS1770" s="848"/>
      <c r="AT1770" s="848"/>
      <c r="AU1770" s="848"/>
      <c r="AV1770" s="848"/>
      <c r="AW1770" s="848"/>
      <c r="AX1770" s="848"/>
      <c r="AY1770" s="848"/>
      <c r="AZ1770" s="848"/>
      <c r="BA1770" s="848"/>
      <c r="BB1770" s="848"/>
      <c r="BC1770" s="848"/>
      <c r="BD1770" s="848"/>
      <c r="BE1770" s="848"/>
      <c r="BF1770" s="848"/>
      <c r="BG1770" s="848"/>
      <c r="BH1770" s="848"/>
      <c r="BJ1770" s="1184" t="s">
        <v>4763</v>
      </c>
    </row>
    <row r="1771" spans="1:62" x14ac:dyDescent="0.3">
      <c r="A1771" s="1200">
        <v>9</v>
      </c>
      <c r="B1771" s="1210" t="s">
        <v>3464</v>
      </c>
      <c r="C1771" s="1203"/>
      <c r="D1771" s="1203"/>
      <c r="E1771" s="1203"/>
      <c r="F1771" s="1203"/>
      <c r="G1771" s="1202" t="str">
        <f t="shared" si="604"/>
        <v>P</v>
      </c>
      <c r="H1771" s="1200" t="s">
        <v>4388</v>
      </c>
      <c r="I1771" s="620"/>
      <c r="J1771" s="238"/>
      <c r="K1771" s="238"/>
      <c r="L1771" s="1350"/>
      <c r="M1771" s="1319"/>
      <c r="N1771" s="1309"/>
      <c r="O1771" s="1309"/>
      <c r="P1771" s="196"/>
      <c r="Q1771" s="196"/>
      <c r="R1771" s="196"/>
      <c r="S1771" s="196"/>
      <c r="T1771" s="196"/>
      <c r="U1771" s="196"/>
      <c r="V1771" s="196"/>
      <c r="W1771" s="196"/>
      <c r="X1771" s="1295"/>
      <c r="Y1771" s="1522"/>
      <c r="Z1771" s="1586"/>
      <c r="AB1771" s="848"/>
      <c r="AC1771" s="848"/>
      <c r="AD1771" s="848"/>
      <c r="AE1771" s="848"/>
      <c r="AF1771" s="848"/>
      <c r="AG1771" s="848"/>
      <c r="AH1771" s="848"/>
      <c r="AI1771" s="848"/>
      <c r="AJ1771" s="848"/>
      <c r="AK1771" s="848"/>
      <c r="AL1771" s="848"/>
      <c r="AM1771" s="848"/>
      <c r="AN1771" s="848"/>
      <c r="AO1771" s="848"/>
      <c r="AP1771" s="848"/>
      <c r="AQ1771" s="848"/>
      <c r="AR1771" s="848"/>
      <c r="AS1771" s="848"/>
      <c r="AT1771" s="848"/>
      <c r="AU1771" s="848"/>
      <c r="AV1771" s="848"/>
      <c r="AW1771" s="848"/>
      <c r="AX1771" s="848"/>
      <c r="AY1771" s="848"/>
      <c r="AZ1771" s="848"/>
      <c r="BA1771" s="848"/>
      <c r="BB1771" s="848"/>
      <c r="BC1771" s="848"/>
      <c r="BD1771" s="848"/>
      <c r="BE1771" s="848"/>
      <c r="BF1771" s="848"/>
      <c r="BG1771" s="848"/>
      <c r="BH1771" s="848"/>
      <c r="BJ1771" s="1184" t="s">
        <v>4763</v>
      </c>
    </row>
    <row r="1772" spans="1:62" x14ac:dyDescent="0.3">
      <c r="A1772" s="1200">
        <v>9</v>
      </c>
      <c r="B1772" s="1210" t="s">
        <v>3466</v>
      </c>
      <c r="C1772" s="1203"/>
      <c r="D1772" s="1203"/>
      <c r="E1772" s="1203"/>
      <c r="F1772" s="1203"/>
      <c r="G1772" s="1202" t="str">
        <f>IF(N1772&gt;0,"P","")</f>
        <v/>
      </c>
      <c r="H1772" s="1200" t="s">
        <v>4388</v>
      </c>
      <c r="I1772" s="141" t="s">
        <v>3466</v>
      </c>
      <c r="J1772" s="140"/>
      <c r="K1772" s="140"/>
      <c r="L1772" s="1313" t="s">
        <v>3467</v>
      </c>
      <c r="M1772" s="1318">
        <v>3</v>
      </c>
      <c r="N1772" s="1308">
        <f>'Ch9'!O225</f>
        <v>0</v>
      </c>
      <c r="O1772" s="1308">
        <f>M1772*S1772*W1772</f>
        <v>0</v>
      </c>
      <c r="P1772" s="97" t="b">
        <v>0</v>
      </c>
      <c r="Q1772" s="97" t="b">
        <v>1</v>
      </c>
      <c r="R1772" s="97" t="b">
        <v>0</v>
      </c>
      <c r="S1772" s="97" t="b">
        <f>NOT(OR(AND(AY1587=INDEX(ddHDucts,2),AY1583=INDEX(ddCDucts,2)),W1769))</f>
        <v>1</v>
      </c>
      <c r="T1772" s="97" t="b">
        <f>AND(NOT(S1772),W1772=TRUE)</f>
        <v>0</v>
      </c>
      <c r="U1772" s="97"/>
      <c r="V1772" s="97"/>
      <c r="W1772" s="25"/>
      <c r="X1772" s="1304"/>
      <c r="Y1772" s="1523" t="str">
        <f>IF(LEN('Ch9'!X225)=0,"None",'Ch9'!X225)</f>
        <v>None</v>
      </c>
      <c r="Z1772" s="1583"/>
      <c r="AB1772" s="848"/>
      <c r="AC1772" s="848" t="b">
        <f>OR(AD1772:AE1772)</f>
        <v>0</v>
      </c>
      <c r="AD1772" s="848" t="b">
        <f>T1772</f>
        <v>0</v>
      </c>
      <c r="AE1772" s="848" t="b">
        <f>AND(R1772,NOT(W1772))</f>
        <v>0</v>
      </c>
      <c r="AF1772" s="1182" t="b">
        <f>AND(AE1772,NOT(Q1772))</f>
        <v>0</v>
      </c>
      <c r="AG1772" s="848"/>
      <c r="AH1772" s="848"/>
      <c r="AI1772" s="848"/>
      <c r="AJ1772" s="848"/>
      <c r="AK1772" s="848"/>
      <c r="AL1772" s="311" t="str">
        <f t="shared" ref="AL1772" si="605">SUBSTITUTE(SUBSTITUTE(SUBSTITUTE("vpa"&amp;$B1772&amp;$C1772&amp;$D1772&amp;$E1772&amp;$F1772,".","_"),"(","_"),")","")</f>
        <v>vpa902_2_4</v>
      </c>
      <c r="AM1772" s="311">
        <f>M1772</f>
        <v>3</v>
      </c>
      <c r="AN1772" s="311" t="str">
        <f>SUBSTITUTE(SUBSTITUTE(SUBSTITUTE("vpc"&amp;$B1772&amp;$C1772&amp;$D1772&amp;$E1772&amp;$F1772,".","_"),"(","_"),")","")</f>
        <v>vpc902_2_4</v>
      </c>
      <c r="AO1772" s="311">
        <f>O1772</f>
        <v>0</v>
      </c>
      <c r="AP1772" s="311" t="str">
        <f>SUBSTITUTE(SUBSTITUTE(SUBSTITUTE("vch"&amp;$B1772&amp;$C1772&amp;$D1772&amp;$E1772&amp;$F1772,".","_"),"(","_"),")","")</f>
        <v>vch902_2_4</v>
      </c>
      <c r="AQ1772" s="311">
        <f>W1772</f>
        <v>0</v>
      </c>
      <c r="AR1772" s="311" t="str">
        <f>SUBSTITUTE(SUBSTITUTE(SUBSTITUTE("vnt"&amp;$B1772&amp;$C1772&amp;$D1772&amp;$E1772&amp;$F1772,".","_"),"(","_"),")","")</f>
        <v>vnt902_2_4</v>
      </c>
      <c r="AS1772" s="311">
        <f>X1772</f>
        <v>0</v>
      </c>
      <c r="AT1772" s="848"/>
      <c r="AU1772" s="848"/>
      <c r="AV1772" s="848"/>
      <c r="AW1772" s="848"/>
      <c r="AX1772" s="848"/>
      <c r="AY1772" s="848"/>
      <c r="AZ1772" s="848"/>
      <c r="BA1772" s="848"/>
      <c r="BB1772" s="848"/>
      <c r="BC1772" s="848"/>
      <c r="BD1772" s="848"/>
      <c r="BE1772" s="848"/>
      <c r="BF1772" s="848"/>
      <c r="BG1772" s="848"/>
      <c r="BH1772" s="848"/>
      <c r="BJ1772" s="1184" t="s">
        <v>4763</v>
      </c>
    </row>
    <row r="1773" spans="1:62" x14ac:dyDescent="0.3">
      <c r="A1773" s="1200">
        <v>9</v>
      </c>
      <c r="B1773" s="1210" t="s">
        <v>3466</v>
      </c>
      <c r="C1773" s="1203"/>
      <c r="D1773" s="1203"/>
      <c r="E1773" s="1203"/>
      <c r="F1773" s="1203"/>
      <c r="G1773" s="1202" t="str">
        <f t="shared" ref="G1773:G1774" si="606">G1772</f>
        <v/>
      </c>
      <c r="H1773" s="1200" t="s">
        <v>4388</v>
      </c>
      <c r="I1773" s="576"/>
      <c r="J1773" s="140"/>
      <c r="K1773" s="140"/>
      <c r="L1773" s="1313"/>
      <c r="M1773" s="1318"/>
      <c r="N1773" s="1308"/>
      <c r="O1773" s="1308"/>
      <c r="P1773" s="97"/>
      <c r="Q1773" s="97"/>
      <c r="R1773" s="97"/>
      <c r="S1773" s="97"/>
      <c r="T1773" s="97"/>
      <c r="U1773" s="97"/>
      <c r="V1773" s="97"/>
      <c r="W1773" s="97"/>
      <c r="X1773" s="1295"/>
      <c r="Y1773" s="1523"/>
      <c r="Z1773" s="1583"/>
      <c r="AB1773" s="848"/>
      <c r="AC1773" s="848"/>
      <c r="AD1773" s="848"/>
      <c r="AE1773" s="848"/>
      <c r="AF1773" s="848"/>
      <c r="AG1773" s="848"/>
      <c r="AH1773" s="848"/>
      <c r="AI1773" s="848"/>
      <c r="AJ1773" s="848"/>
      <c r="AK1773" s="848"/>
      <c r="AL1773" s="848"/>
      <c r="AM1773" s="848"/>
      <c r="AN1773" s="848"/>
      <c r="AO1773" s="848"/>
      <c r="AP1773" s="848"/>
      <c r="AQ1773" s="848"/>
      <c r="AR1773" s="848"/>
      <c r="AS1773" s="848"/>
      <c r="AT1773" s="848"/>
      <c r="AU1773" s="848"/>
      <c r="AV1773" s="848"/>
      <c r="AW1773" s="848"/>
      <c r="AX1773" s="848"/>
      <c r="AY1773" s="848"/>
      <c r="AZ1773" s="848"/>
      <c r="BA1773" s="848"/>
      <c r="BB1773" s="848"/>
      <c r="BC1773" s="848"/>
      <c r="BD1773" s="848"/>
      <c r="BE1773" s="848"/>
      <c r="BF1773" s="848"/>
      <c r="BG1773" s="848"/>
      <c r="BH1773" s="848"/>
      <c r="BJ1773" s="1184" t="s">
        <v>4763</v>
      </c>
    </row>
    <row r="1774" spans="1:62" ht="15" thickBot="1" x14ac:dyDescent="0.35">
      <c r="A1774" s="1200">
        <v>9</v>
      </c>
      <c r="B1774" s="1210" t="s">
        <v>3466</v>
      </c>
      <c r="C1774" s="1203"/>
      <c r="D1774" s="1203"/>
      <c r="E1774" s="1203"/>
      <c r="F1774" s="1203"/>
      <c r="G1774" s="1202" t="str">
        <f t="shared" si="606"/>
        <v/>
      </c>
      <c r="H1774" s="1200" t="s">
        <v>4388</v>
      </c>
      <c r="I1774" s="577"/>
      <c r="J1774" s="270"/>
      <c r="K1774" s="270"/>
      <c r="L1774" s="1332"/>
      <c r="M1774" s="1334"/>
      <c r="N1774" s="1315"/>
      <c r="O1774" s="1315"/>
      <c r="P1774" s="104"/>
      <c r="Q1774" s="104"/>
      <c r="R1774" s="104"/>
      <c r="S1774" s="104"/>
      <c r="T1774" s="104"/>
      <c r="U1774" s="104"/>
      <c r="V1774" s="104"/>
      <c r="W1774" s="104"/>
      <c r="X1774" s="1296"/>
      <c r="Y1774" s="1524"/>
      <c r="Z1774" s="1584"/>
      <c r="AB1774" s="848"/>
      <c r="AC1774" s="848"/>
      <c r="AD1774" s="848"/>
      <c r="AE1774" s="848"/>
      <c r="AF1774" s="848"/>
      <c r="AG1774" s="848"/>
      <c r="AH1774" s="848"/>
      <c r="AI1774" s="848"/>
      <c r="AJ1774" s="848"/>
      <c r="AK1774" s="848"/>
      <c r="AL1774" s="848"/>
      <c r="AM1774" s="848"/>
      <c r="AN1774" s="848"/>
      <c r="AO1774" s="848"/>
      <c r="AP1774" s="848"/>
      <c r="AQ1774" s="848"/>
      <c r="AR1774" s="848"/>
      <c r="AS1774" s="848"/>
      <c r="AT1774" s="848"/>
      <c r="AU1774" s="848"/>
      <c r="AV1774" s="848"/>
      <c r="AW1774" s="848"/>
      <c r="AX1774" s="848"/>
      <c r="AY1774" s="848"/>
      <c r="AZ1774" s="848"/>
      <c r="BA1774" s="848"/>
      <c r="BB1774" s="848"/>
      <c r="BC1774" s="848"/>
      <c r="BD1774" s="848"/>
      <c r="BE1774" s="848"/>
      <c r="BF1774" s="848"/>
      <c r="BG1774" s="848"/>
      <c r="BH1774" s="848"/>
      <c r="BJ1774" s="1184" t="s">
        <v>4763</v>
      </c>
    </row>
    <row r="1775" spans="1:62" ht="15" thickTop="1" x14ac:dyDescent="0.3">
      <c r="A1775" s="1200">
        <v>9</v>
      </c>
      <c r="B1775" s="1210">
        <v>902.3</v>
      </c>
      <c r="C1775" s="1203"/>
      <c r="D1775" s="1203"/>
      <c r="E1775" s="1203"/>
      <c r="F1775" s="1203"/>
      <c r="G1775" s="1202" t="s">
        <v>4389</v>
      </c>
      <c r="H1775" s="1200" t="s">
        <v>4386</v>
      </c>
      <c r="I1775" s="200">
        <v>902.3</v>
      </c>
      <c r="J1775" s="201"/>
      <c r="K1775" s="201"/>
      <c r="L1775" s="1331" t="s">
        <v>3468</v>
      </c>
      <c r="M1775" s="868"/>
      <c r="N1775" s="859"/>
      <c r="O1775" s="859"/>
      <c r="P1775" s="110"/>
      <c r="Q1775" s="110"/>
      <c r="R1775" s="110"/>
      <c r="S1775" s="110"/>
      <c r="T1775" s="110"/>
      <c r="U1775" s="110"/>
      <c r="V1775" s="110"/>
      <c r="W1775" s="110"/>
      <c r="X1775" s="1327"/>
      <c r="Y1775" s="1525" t="str">
        <f>IF(LEN('Ch9'!X228)=0,"None",'Ch9'!X228)</f>
        <v>None</v>
      </c>
      <c r="Z1775" s="1585"/>
      <c r="AB1775" s="848"/>
      <c r="AC1775" s="848"/>
      <c r="AD1775" s="848"/>
      <c r="AE1775" s="848"/>
      <c r="AF1775" s="848"/>
      <c r="AG1775" s="848"/>
      <c r="AH1775" s="848"/>
      <c r="AI1775" s="848"/>
      <c r="AJ1775" s="848"/>
      <c r="AK1775" s="848"/>
      <c r="AL1775" s="848"/>
      <c r="AM1775" s="848"/>
      <c r="AN1775" s="848"/>
      <c r="AO1775" s="848"/>
      <c r="AP1775" s="848"/>
      <c r="AQ1775" s="848"/>
      <c r="AR1775" s="311" t="str">
        <f>SUBSTITUTE(SUBSTITUTE(SUBSTITUTE("vnt"&amp;$B1775&amp;$C1775&amp;$D1775&amp;$E1775&amp;$F1775,".","_"),"(","_"),")","")</f>
        <v>vnt902_3</v>
      </c>
      <c r="AS1775" s="311">
        <f>X1775</f>
        <v>0</v>
      </c>
      <c r="AT1775" s="848"/>
      <c r="AU1775" s="848"/>
      <c r="AV1775" s="848"/>
      <c r="AW1775" s="848"/>
      <c r="AX1775" s="848"/>
      <c r="AY1775" s="848"/>
      <c r="AZ1775" s="848"/>
      <c r="BA1775" s="848"/>
      <c r="BB1775" s="848"/>
      <c r="BC1775" s="848"/>
      <c r="BD1775" s="848"/>
      <c r="BE1775" s="848"/>
      <c r="BF1775" s="848"/>
      <c r="BG1775" s="848"/>
      <c r="BH1775" s="848"/>
      <c r="BJ1775" s="1184" t="s">
        <v>4763</v>
      </c>
    </row>
    <row r="1776" spans="1:62" x14ac:dyDescent="0.3">
      <c r="A1776" s="1200">
        <v>9</v>
      </c>
      <c r="B1776" s="1210">
        <v>902.3</v>
      </c>
      <c r="C1776" s="1203"/>
      <c r="D1776" s="1203"/>
      <c r="E1776" s="1203"/>
      <c r="F1776" s="1203"/>
      <c r="G1776" s="1202" t="s">
        <v>4389</v>
      </c>
      <c r="H1776" s="1200" t="s">
        <v>4386</v>
      </c>
      <c r="I1776" s="576"/>
      <c r="J1776" s="140"/>
      <c r="K1776" s="140"/>
      <c r="L1776" s="1313"/>
      <c r="M1776" s="856"/>
      <c r="N1776" s="854"/>
      <c r="O1776" s="854"/>
      <c r="P1776" s="97"/>
      <c r="Q1776" s="97"/>
      <c r="R1776" s="97"/>
      <c r="S1776" s="97"/>
      <c r="T1776" s="97"/>
      <c r="U1776" s="97"/>
      <c r="V1776" s="97"/>
      <c r="W1776" s="97"/>
      <c r="X1776" s="1295"/>
      <c r="Y1776" s="1523"/>
      <c r="Z1776" s="1583"/>
      <c r="AB1776" s="848"/>
      <c r="AC1776" s="848"/>
      <c r="AD1776" s="848"/>
      <c r="AE1776" s="848"/>
      <c r="AF1776" s="848"/>
      <c r="AG1776" s="848"/>
      <c r="AH1776" s="848"/>
      <c r="AI1776" s="848"/>
      <c r="AJ1776" s="848"/>
      <c r="AK1776" s="848"/>
      <c r="AL1776" s="848"/>
      <c r="AM1776" s="848"/>
      <c r="AN1776" s="848"/>
      <c r="AO1776" s="848"/>
      <c r="AP1776" s="848"/>
      <c r="AQ1776" s="848"/>
      <c r="AR1776" s="848"/>
      <c r="AS1776" s="848"/>
      <c r="AT1776" s="848"/>
      <c r="AU1776" s="848"/>
      <c r="AV1776" s="848"/>
      <c r="AW1776" s="848"/>
      <c r="AX1776" s="848"/>
      <c r="AY1776" s="848"/>
      <c r="AZ1776" s="848"/>
      <c r="BA1776" s="848"/>
      <c r="BB1776" s="848"/>
      <c r="BC1776" s="848"/>
      <c r="BD1776" s="848"/>
      <c r="BE1776" s="848"/>
      <c r="BF1776" s="848"/>
      <c r="BG1776" s="848"/>
      <c r="BH1776" s="848"/>
      <c r="BJ1776" s="1184" t="s">
        <v>4763</v>
      </c>
    </row>
    <row r="1777" spans="1:62" x14ac:dyDescent="0.3">
      <c r="A1777" s="1200">
        <v>9</v>
      </c>
      <c r="B1777" s="1210">
        <v>902.3</v>
      </c>
      <c r="C1777" s="1203"/>
      <c r="D1777" s="1203"/>
      <c r="E1777" s="1203" t="s">
        <v>271</v>
      </c>
      <c r="F1777" s="1203"/>
      <c r="G1777" s="1202" t="s">
        <v>4389</v>
      </c>
      <c r="H1777" s="1200" t="s">
        <v>4386</v>
      </c>
      <c r="I1777" s="576"/>
      <c r="J1777" s="203" t="s">
        <v>271</v>
      </c>
      <c r="K1777" s="140"/>
      <c r="L1777" s="861" t="s">
        <v>3469</v>
      </c>
      <c r="M1777" s="1091" t="str">
        <f>IF(R1777,"Mandatory","N/A")</f>
        <v>N/A</v>
      </c>
      <c r="N1777" s="854">
        <f ca="1">'Ch9'!O230</f>
        <v>0</v>
      </c>
      <c r="O1777" s="854">
        <f ca="1">IFERROR(INDEX({7,10},MATCH(W1777,INDIRECT(U1777),0)),0)*S1777</f>
        <v>0</v>
      </c>
      <c r="P1777" s="97" t="b">
        <v>1</v>
      </c>
      <c r="Q1777" s="97" t="b">
        <v>1</v>
      </c>
      <c r="R1777" s="97" t="b">
        <f>S1777</f>
        <v>0</v>
      </c>
      <c r="S1777" s="97" t="b">
        <f>BE1563=1</f>
        <v>0</v>
      </c>
      <c r="T1777" s="97" t="b">
        <f>AND(NOT(S1777),LEN(W1777)&gt;0)</f>
        <v>0</v>
      </c>
      <c r="U1777" s="97" t="str">
        <f>SUBSTITUTE(SUBSTITUTE(SUBSTITUTE("dd"&amp;B1777&amp;C1777&amp;D1777&amp;E1777&amp;F1777,".","_"),"(","_"),")","")</f>
        <v>dd902_3_1</v>
      </c>
      <c r="V1777" s="97"/>
      <c r="W1777" s="12"/>
      <c r="X1777" s="1295"/>
      <c r="Y1777" s="1523"/>
      <c r="Z1777" s="1583"/>
      <c r="AB1777" s="848"/>
      <c r="AC1777" s="848" t="b">
        <f>OR(AD1777:AE1777)</f>
        <v>0</v>
      </c>
      <c r="AD1777" s="848" t="b">
        <f>T1777</f>
        <v>0</v>
      </c>
      <c r="AE1777" s="848" t="b">
        <f>AND(R1777,OR(W1777="Not Met",W1777=""))</f>
        <v>0</v>
      </c>
      <c r="AF1777" s="1182" t="b">
        <f>AND(AE1777,NOT(Q1777))</f>
        <v>0</v>
      </c>
      <c r="AG1777" s="848"/>
      <c r="AH1777" s="848"/>
      <c r="AI1777" s="848"/>
      <c r="AJ1777" s="848"/>
      <c r="AK1777" s="848"/>
      <c r="AL1777" s="311" t="str">
        <f t="shared" ref="AL1777:AL1779" si="607">SUBSTITUTE(SUBSTITUTE(SUBSTITUTE("vpa"&amp;$B1777&amp;$C1777&amp;$D1777&amp;$E1777&amp;$F1777,".","_"),"(","_"),")","")</f>
        <v>vpa902_3_1</v>
      </c>
      <c r="AM1777" s="311" t="str">
        <f>M1777</f>
        <v>N/A</v>
      </c>
      <c r="AN1777" s="311" t="str">
        <f>SUBSTITUTE(SUBSTITUTE(SUBSTITUTE("vpc"&amp;$B1777&amp;$C1777&amp;$D1777&amp;$E1777&amp;$F1777,".","_"),"(","_"),")","")</f>
        <v>vpc902_3_1</v>
      </c>
      <c r="AO1777" s="311">
        <f ca="1">O1777</f>
        <v>0</v>
      </c>
      <c r="AP1777" s="311" t="str">
        <f>SUBSTITUTE(SUBSTITUTE(SUBSTITUTE("vch"&amp;$B1777&amp;$C1777&amp;$D1777&amp;$E1777&amp;$F1777,".","_"),"(","_"),")","")</f>
        <v>vch902_3_1</v>
      </c>
      <c r="AQ1777" s="311">
        <f>W1777</f>
        <v>0</v>
      </c>
      <c r="AR1777" s="848"/>
      <c r="AS1777" s="848"/>
      <c r="AT1777" s="848"/>
      <c r="AU1777" s="848"/>
      <c r="AV1777" s="848"/>
      <c r="AW1777" s="848"/>
      <c r="AX1777" s="848"/>
      <c r="AY1777" s="848"/>
      <c r="AZ1777" s="848"/>
      <c r="BA1777" s="848"/>
      <c r="BB1777" s="848"/>
      <c r="BC1777" s="848"/>
      <c r="BD1777" s="848"/>
      <c r="BE1777" s="848"/>
      <c r="BF1777" s="848"/>
      <c r="BG1777" s="848"/>
      <c r="BH1777" s="848"/>
      <c r="BJ1777" s="1184" t="s">
        <v>4763</v>
      </c>
    </row>
    <row r="1778" spans="1:62" x14ac:dyDescent="0.3">
      <c r="A1778" s="1200">
        <v>9</v>
      </c>
      <c r="B1778" s="1210">
        <v>902.3</v>
      </c>
      <c r="C1778" s="1203"/>
      <c r="D1778" s="1203"/>
      <c r="E1778" s="1203" t="s">
        <v>271</v>
      </c>
      <c r="F1778" s="1203" t="s">
        <v>121</v>
      </c>
      <c r="G1778" s="1202" t="s">
        <v>4389</v>
      </c>
      <c r="H1778" s="1200" t="s">
        <v>4386</v>
      </c>
      <c r="I1778" s="576"/>
      <c r="J1778" s="140"/>
      <c r="K1778" s="203" t="s">
        <v>121</v>
      </c>
      <c r="L1778" s="861" t="s">
        <v>3470</v>
      </c>
      <c r="M1778" s="856">
        <v>7</v>
      </c>
      <c r="N1778" s="854"/>
      <c r="O1778" s="854"/>
      <c r="P1778" s="97"/>
      <c r="Q1778" s="97"/>
      <c r="R1778" s="97"/>
      <c r="S1778" s="97"/>
      <c r="T1778" s="97"/>
      <c r="U1778" s="97"/>
      <c r="V1778" s="97"/>
      <c r="W1778" s="97"/>
      <c r="X1778" s="1295"/>
      <c r="Y1778" s="1523"/>
      <c r="Z1778" s="1583"/>
      <c r="AB1778" s="848"/>
      <c r="AC1778" s="848"/>
      <c r="AD1778" s="848"/>
      <c r="AE1778" s="848"/>
      <c r="AF1778" s="848"/>
      <c r="AG1778" s="848"/>
      <c r="AH1778" s="848"/>
      <c r="AI1778" s="848"/>
      <c r="AJ1778" s="848"/>
      <c r="AK1778" s="848"/>
      <c r="AL1778" s="311" t="str">
        <f t="shared" si="607"/>
        <v>vpa902_3_1_a</v>
      </c>
      <c r="AM1778" s="311">
        <f>M1778</f>
        <v>7</v>
      </c>
      <c r="AN1778" s="848"/>
      <c r="AO1778" s="848"/>
      <c r="AP1778" s="848"/>
      <c r="AQ1778" s="848"/>
      <c r="AR1778" s="848"/>
      <c r="AS1778" s="848"/>
      <c r="AT1778" s="848"/>
      <c r="AU1778" s="848"/>
      <c r="AV1778" s="848"/>
      <c r="AW1778" s="848"/>
      <c r="AX1778" s="848"/>
      <c r="AY1778" s="848"/>
      <c r="AZ1778" s="848"/>
      <c r="BA1778" s="848"/>
      <c r="BB1778" s="848"/>
      <c r="BC1778" s="848"/>
      <c r="BD1778" s="848"/>
      <c r="BE1778" s="848"/>
      <c r="BF1778" s="848"/>
      <c r="BG1778" s="848"/>
      <c r="BH1778" s="848"/>
      <c r="BJ1778" s="1184" t="s">
        <v>4763</v>
      </c>
    </row>
    <row r="1779" spans="1:62" x14ac:dyDescent="0.3">
      <c r="A1779" s="1200">
        <v>9</v>
      </c>
      <c r="B1779" s="1210">
        <v>902.3</v>
      </c>
      <c r="C1779" s="1203"/>
      <c r="D1779" s="1203"/>
      <c r="E1779" s="1203" t="s">
        <v>271</v>
      </c>
      <c r="F1779" s="1203" t="s">
        <v>122</v>
      </c>
      <c r="G1779" s="1202" t="s">
        <v>4389</v>
      </c>
      <c r="H1779" s="1200" t="s">
        <v>4386</v>
      </c>
      <c r="I1779" s="576"/>
      <c r="J1779" s="238"/>
      <c r="K1779" s="231" t="s">
        <v>122</v>
      </c>
      <c r="L1779" s="862" t="s">
        <v>3471</v>
      </c>
      <c r="M1779" s="857">
        <v>10</v>
      </c>
      <c r="N1779" s="854"/>
      <c r="O1779" s="854"/>
      <c r="P1779" s="97"/>
      <c r="Q1779" s="97"/>
      <c r="R1779" s="97"/>
      <c r="S1779" s="97"/>
      <c r="T1779" s="97"/>
      <c r="U1779" s="97"/>
      <c r="V1779" s="97"/>
      <c r="W1779" s="97"/>
      <c r="X1779" s="1295"/>
      <c r="Y1779" s="1523"/>
      <c r="Z1779" s="1583"/>
      <c r="AB1779" s="848"/>
      <c r="AC1779" s="848"/>
      <c r="AD1779" s="848"/>
      <c r="AE1779" s="848"/>
      <c r="AF1779" s="848"/>
      <c r="AG1779" s="848"/>
      <c r="AH1779" s="848"/>
      <c r="AI1779" s="848"/>
      <c r="AJ1779" s="848"/>
      <c r="AK1779" s="848"/>
      <c r="AL1779" s="311" t="str">
        <f t="shared" si="607"/>
        <v>vpa902_3_1_b</v>
      </c>
      <c r="AM1779" s="311">
        <f>M1779</f>
        <v>10</v>
      </c>
      <c r="AN1779" s="848"/>
      <c r="AO1779" s="848"/>
      <c r="AP1779" s="848"/>
      <c r="AQ1779" s="848"/>
      <c r="AR1779" s="848"/>
      <c r="AS1779" s="848"/>
      <c r="AT1779" s="848"/>
      <c r="AU1779" s="848"/>
      <c r="AV1779" s="848"/>
      <c r="AW1779" s="848"/>
      <c r="AX1779" s="848"/>
      <c r="AY1779" s="848"/>
      <c r="AZ1779" s="848"/>
      <c r="BA1779" s="848"/>
      <c r="BB1779" s="848"/>
      <c r="BC1779" s="848"/>
      <c r="BD1779" s="848"/>
      <c r="BE1779" s="848"/>
      <c r="BF1779" s="848"/>
      <c r="BG1779" s="848"/>
      <c r="BH1779" s="848"/>
      <c r="BJ1779" s="1184" t="s">
        <v>4763</v>
      </c>
    </row>
    <row r="1780" spans="1:62" x14ac:dyDescent="0.3">
      <c r="A1780" s="1200">
        <v>9</v>
      </c>
      <c r="B1780" s="1210">
        <v>902.3</v>
      </c>
      <c r="C1780" s="1203"/>
      <c r="D1780" s="1203"/>
      <c r="E1780" s="1203" t="s">
        <v>273</v>
      </c>
      <c r="F1780" s="1203"/>
      <c r="G1780" s="1196" t="str">
        <f>IF(COUNTIF(G1781,"P")&gt;0,"P","")</f>
        <v/>
      </c>
      <c r="H1780" s="1200" t="s">
        <v>4386</v>
      </c>
      <c r="I1780" s="576"/>
      <c r="J1780" s="203" t="s">
        <v>273</v>
      </c>
      <c r="K1780" s="140"/>
      <c r="L1780" s="861" t="s">
        <v>3472</v>
      </c>
      <c r="M1780" s="856"/>
      <c r="N1780" s="854"/>
      <c r="O1780" s="854"/>
      <c r="P1780" s="97"/>
      <c r="Q1780" s="97"/>
      <c r="R1780" s="97"/>
      <c r="S1780" s="97"/>
      <c r="T1780" s="97"/>
      <c r="U1780" s="97"/>
      <c r="V1780" s="97"/>
      <c r="W1780" s="97"/>
      <c r="X1780" s="1295"/>
      <c r="Y1780" s="1523"/>
      <c r="Z1780" s="1583"/>
      <c r="AB1780" s="848"/>
      <c r="AC1780" s="848"/>
      <c r="AD1780" s="848"/>
      <c r="AE1780" s="848"/>
      <c r="AF1780" s="848"/>
      <c r="AG1780" s="848"/>
      <c r="AH1780" s="848"/>
      <c r="AI1780" s="848"/>
      <c r="AJ1780" s="848"/>
      <c r="AK1780" s="848"/>
      <c r="AL1780" s="848"/>
      <c r="AM1780" s="848"/>
      <c r="AN1780" s="848"/>
      <c r="AO1780" s="848"/>
      <c r="AP1780" s="848"/>
      <c r="AQ1780" s="848"/>
      <c r="AR1780" s="848"/>
      <c r="AS1780" s="848"/>
      <c r="AT1780" s="848"/>
      <c r="AU1780" s="848"/>
      <c r="AV1780" s="848"/>
      <c r="AW1780" s="848"/>
      <c r="AX1780" s="848"/>
      <c r="AY1780" s="848"/>
      <c r="AZ1780" s="848"/>
      <c r="BA1780" s="848"/>
      <c r="BB1780" s="848"/>
      <c r="BC1780" s="848"/>
      <c r="BD1780" s="848"/>
      <c r="BE1780" s="848"/>
      <c r="BF1780" s="848"/>
      <c r="BG1780" s="848"/>
      <c r="BH1780" s="848"/>
      <c r="BJ1780" s="1184" t="s">
        <v>4763</v>
      </c>
    </row>
    <row r="1781" spans="1:62" ht="15" thickBot="1" x14ac:dyDescent="0.35">
      <c r="A1781" s="1200">
        <v>9</v>
      </c>
      <c r="B1781" s="1210">
        <v>902.3</v>
      </c>
      <c r="C1781" s="1203"/>
      <c r="D1781" s="1203"/>
      <c r="E1781" s="1203" t="s">
        <v>273</v>
      </c>
      <c r="F1781" s="1203" t="s">
        <v>121</v>
      </c>
      <c r="G1781" s="1202" t="str">
        <f>IF(N1781&gt;0,"P","")</f>
        <v/>
      </c>
      <c r="H1781" s="1200" t="s">
        <v>4386</v>
      </c>
      <c r="I1781" s="577"/>
      <c r="J1781" s="270"/>
      <c r="K1781" s="213" t="s">
        <v>121</v>
      </c>
      <c r="L1781" s="869" t="s">
        <v>3473</v>
      </c>
      <c r="M1781" s="865">
        <v>7</v>
      </c>
      <c r="N1781" s="858">
        <f>'Ch9'!O234</f>
        <v>0</v>
      </c>
      <c r="O1781" s="858">
        <f>M1781*S1781*W1781</f>
        <v>0</v>
      </c>
      <c r="P1781" s="97" t="b">
        <v>1</v>
      </c>
      <c r="Q1781" s="97" t="b">
        <v>1</v>
      </c>
      <c r="R1781" s="104" t="b">
        <v>0</v>
      </c>
      <c r="S1781" s="104" t="b">
        <f>OR(BE1563=2,BE1563=3)</f>
        <v>0</v>
      </c>
      <c r="T1781" s="104" t="b">
        <f>AND(NOT(S1781),W1781=TRUE)</f>
        <v>0</v>
      </c>
      <c r="U1781" s="104"/>
      <c r="V1781" s="104"/>
      <c r="W1781" s="105"/>
      <c r="X1781" s="1296"/>
      <c r="Y1781" s="1524"/>
      <c r="Z1781" s="1584"/>
      <c r="AB1781" s="848"/>
      <c r="AC1781" s="848" t="b">
        <f>OR(AD1781:AE1781)</f>
        <v>0</v>
      </c>
      <c r="AD1781" s="848" t="b">
        <f>T1781</f>
        <v>0</v>
      </c>
      <c r="AE1781" s="848" t="b">
        <f>AND(R1781,NOT(W1781))</f>
        <v>0</v>
      </c>
      <c r="AF1781" s="1182" t="b">
        <f>AND(AE1781,NOT(Q1781))</f>
        <v>0</v>
      </c>
      <c r="AG1781" s="848"/>
      <c r="AH1781" s="848"/>
      <c r="AI1781" s="848"/>
      <c r="AJ1781" s="848"/>
      <c r="AK1781" s="848"/>
      <c r="AL1781" s="311" t="str">
        <f t="shared" ref="AL1781:AL1782" si="608">SUBSTITUTE(SUBSTITUTE(SUBSTITUTE("vpa"&amp;$B1781&amp;$C1781&amp;$D1781&amp;$E1781&amp;$F1781,".","_"),"(","_"),")","")</f>
        <v>vpa902_3_2_a</v>
      </c>
      <c r="AM1781" s="311">
        <f>M1781</f>
        <v>7</v>
      </c>
      <c r="AN1781" s="311" t="str">
        <f t="shared" ref="AN1781:AN1782" si="609">SUBSTITUTE(SUBSTITUTE(SUBSTITUTE("vpc"&amp;$B1781&amp;$C1781&amp;$D1781&amp;$E1781&amp;$F1781,".","_"),"(","_"),")","")</f>
        <v>vpc902_3_2_a</v>
      </c>
      <c r="AO1781" s="311">
        <f>O1781</f>
        <v>0</v>
      </c>
      <c r="AP1781" s="311" t="str">
        <f>SUBSTITUTE(SUBSTITUTE(SUBSTITUTE("vch"&amp;$B1781&amp;$C1781&amp;$D1781&amp;$E1781&amp;$F1781,".","_"),"(","_"),")","")</f>
        <v>vch902_3_2_a</v>
      </c>
      <c r="AQ1781" s="311">
        <f>W1781</f>
        <v>0</v>
      </c>
      <c r="AR1781" s="848"/>
      <c r="AS1781" s="848"/>
      <c r="AT1781" s="848"/>
      <c r="AU1781" s="848"/>
      <c r="AV1781" s="848"/>
      <c r="AW1781" s="848"/>
      <c r="AX1781" s="848"/>
      <c r="AY1781" s="848"/>
      <c r="AZ1781" s="848"/>
      <c r="BA1781" s="848"/>
      <c r="BB1781" s="848"/>
      <c r="BC1781" s="848"/>
      <c r="BD1781" s="848"/>
      <c r="BE1781" s="848"/>
      <c r="BF1781" s="848"/>
      <c r="BG1781" s="848"/>
      <c r="BH1781" s="848"/>
      <c r="BJ1781" s="1184" t="s">
        <v>4763</v>
      </c>
    </row>
    <row r="1782" spans="1:62" ht="15" thickTop="1" x14ac:dyDescent="0.3">
      <c r="A1782" s="1200">
        <v>9</v>
      </c>
      <c r="B1782" s="1210">
        <v>902.4</v>
      </c>
      <c r="C1782" s="1203"/>
      <c r="D1782" s="1203"/>
      <c r="E1782" s="1203"/>
      <c r="F1782" s="1203"/>
      <c r="G1782" s="1202" t="str">
        <f>IF(N1782&gt;0,"P","")</f>
        <v>P</v>
      </c>
      <c r="H1782" s="1200" t="s">
        <v>4386</v>
      </c>
      <c r="I1782" s="66">
        <v>902.4</v>
      </c>
      <c r="J1782" s="4"/>
      <c r="K1782" s="4"/>
      <c r="L1782" s="1292" t="s">
        <v>3474</v>
      </c>
      <c r="M1782" s="1335">
        <v>3</v>
      </c>
      <c r="N1782" s="1310">
        <f>'Ch9'!O235</f>
        <v>3</v>
      </c>
      <c r="O1782" s="1310">
        <f>M1782*S1784*IFERROR(OR(W1784,W1786),0)</f>
        <v>0</v>
      </c>
      <c r="P1782" s="848"/>
      <c r="Q1782" s="848"/>
      <c r="R1782" s="848"/>
      <c r="S1782" s="848"/>
      <c r="T1782" s="848"/>
      <c r="U1782" s="848"/>
      <c r="V1782" s="848"/>
      <c r="W1782" s="848"/>
      <c r="X1782" s="848"/>
      <c r="Y1782" s="848"/>
      <c r="Z1782" s="1055"/>
      <c r="AB1782" s="848"/>
      <c r="AC1782" s="848"/>
      <c r="AD1782" s="848"/>
      <c r="AE1782" s="848"/>
      <c r="AF1782" s="848"/>
      <c r="AG1782" s="848"/>
      <c r="AH1782" s="848"/>
      <c r="AI1782" s="848"/>
      <c r="AJ1782" s="848"/>
      <c r="AK1782" s="848"/>
      <c r="AL1782" s="311" t="str">
        <f t="shared" si="608"/>
        <v>vpa902_4</v>
      </c>
      <c r="AM1782" s="311">
        <f>M1782</f>
        <v>3</v>
      </c>
      <c r="AN1782" s="311" t="str">
        <f t="shared" si="609"/>
        <v>vpc902_4</v>
      </c>
      <c r="AO1782" s="311">
        <f>O1782</f>
        <v>0</v>
      </c>
      <c r="AP1782" s="848"/>
      <c r="AQ1782" s="848"/>
      <c r="AR1782" s="848"/>
      <c r="AS1782" s="848"/>
      <c r="AT1782" s="848"/>
      <c r="AU1782" s="848"/>
      <c r="AV1782" s="848"/>
      <c r="AW1782" s="848"/>
      <c r="AX1782" s="848"/>
      <c r="AY1782" s="848"/>
      <c r="AZ1782" s="848"/>
      <c r="BA1782" s="848"/>
      <c r="BB1782" s="848"/>
      <c r="BC1782" s="848"/>
      <c r="BD1782" s="848"/>
      <c r="BE1782" s="848"/>
      <c r="BF1782" s="848"/>
      <c r="BG1782" s="848"/>
      <c r="BH1782" s="848"/>
      <c r="BJ1782" s="1184" t="s">
        <v>4763</v>
      </c>
    </row>
    <row r="1783" spans="1:62" x14ac:dyDescent="0.3">
      <c r="A1783" s="1200">
        <v>9</v>
      </c>
      <c r="B1783" s="1210">
        <v>902.4</v>
      </c>
      <c r="C1783" s="1203"/>
      <c r="D1783" s="1203"/>
      <c r="E1783" s="1203"/>
      <c r="F1783" s="1203"/>
      <c r="G1783" s="1202" t="str">
        <f t="shared" ref="G1783:G1788" si="610">G1782</f>
        <v>P</v>
      </c>
      <c r="H1783" s="1200" t="s">
        <v>4386</v>
      </c>
      <c r="I1783" s="182"/>
      <c r="J1783" s="4"/>
      <c r="K1783" s="4"/>
      <c r="L1783" s="1292"/>
      <c r="M1783" s="1335"/>
      <c r="N1783" s="1310"/>
      <c r="O1783" s="1310"/>
      <c r="P1783" s="848"/>
      <c r="Q1783" s="848"/>
      <c r="R1783" s="848"/>
      <c r="S1783" s="848"/>
      <c r="T1783" s="848"/>
      <c r="U1783" s="848"/>
      <c r="V1783" s="848"/>
      <c r="W1783" s="848"/>
      <c r="X1783" s="848"/>
      <c r="Y1783" s="848"/>
      <c r="Z1783" s="1055"/>
      <c r="AB1783" s="848"/>
      <c r="AC1783" s="848"/>
      <c r="AD1783" s="848"/>
      <c r="AE1783" s="848"/>
      <c r="AF1783" s="848"/>
      <c r="AG1783" s="848"/>
      <c r="AH1783" s="848"/>
      <c r="AI1783" s="848"/>
      <c r="AJ1783" s="848"/>
      <c r="AK1783" s="848"/>
      <c r="AL1783" s="848"/>
      <c r="AM1783" s="848"/>
      <c r="AN1783" s="848"/>
      <c r="AO1783" s="848"/>
      <c r="AP1783" s="848"/>
      <c r="AQ1783" s="848"/>
      <c r="AR1783" s="848"/>
      <c r="AS1783" s="848"/>
      <c r="AT1783" s="848"/>
      <c r="AU1783" s="848"/>
      <c r="AV1783" s="848"/>
      <c r="AW1783" s="848"/>
      <c r="AX1783" s="848"/>
      <c r="AY1783" s="848"/>
      <c r="AZ1783" s="848"/>
      <c r="BA1783" s="848"/>
      <c r="BB1783" s="848"/>
      <c r="BC1783" s="848"/>
      <c r="BD1783" s="848"/>
      <c r="BE1783" s="848"/>
      <c r="BF1783" s="848"/>
      <c r="BG1783" s="848"/>
      <c r="BH1783" s="848"/>
      <c r="BJ1783" s="1184" t="s">
        <v>4763</v>
      </c>
    </row>
    <row r="1784" spans="1:62" x14ac:dyDescent="0.3">
      <c r="A1784" s="1200">
        <v>9</v>
      </c>
      <c r="B1784" s="1210">
        <v>902.4</v>
      </c>
      <c r="C1784" s="1203"/>
      <c r="D1784" s="1203"/>
      <c r="E1784" s="1203" t="s">
        <v>271</v>
      </c>
      <c r="F1784" s="1203"/>
      <c r="G1784" s="1202" t="str">
        <f t="shared" si="610"/>
        <v>P</v>
      </c>
      <c r="H1784" s="1200" t="s">
        <v>4387</v>
      </c>
      <c r="I1784" s="182"/>
      <c r="J1784" s="203" t="s">
        <v>271</v>
      </c>
      <c r="K1784" s="140"/>
      <c r="L1784" s="1305" t="s">
        <v>3475</v>
      </c>
      <c r="M1784" s="866"/>
      <c r="N1784" s="850"/>
      <c r="O1784" s="850"/>
      <c r="P1784" s="97" t="b">
        <v>1</v>
      </c>
      <c r="Q1784" s="97" t="b">
        <v>0</v>
      </c>
      <c r="R1784" s="848" t="b">
        <v>0</v>
      </c>
      <c r="S1784" s="848" t="b">
        <v>1</v>
      </c>
      <c r="T1784" s="848" t="b">
        <v>0</v>
      </c>
      <c r="U1784" s="848"/>
      <c r="V1784" s="848"/>
      <c r="W1784" s="25"/>
      <c r="X1784" s="1303"/>
      <c r="Y1784" s="1522" t="str">
        <f>IF(LEN('Ch9'!X237)=0,"None",'Ch9'!X237)</f>
        <v>None</v>
      </c>
      <c r="Z1784" s="1586"/>
      <c r="AB1784" s="848"/>
      <c r="AC1784" s="848" t="b">
        <f>OR(AD1784:AE1784)</f>
        <v>0</v>
      </c>
      <c r="AD1784" s="848" t="b">
        <f>T1784</f>
        <v>0</v>
      </c>
      <c r="AE1784" s="848" t="b">
        <f>AND(R1784,NOT(W1784))</f>
        <v>0</v>
      </c>
      <c r="AF1784" s="1182" t="b">
        <f>AND(AE1784,NOT(Q1784))</f>
        <v>0</v>
      </c>
      <c r="AG1784" s="848"/>
      <c r="AH1784" s="848"/>
      <c r="AI1784" s="848"/>
      <c r="AJ1784" s="848"/>
      <c r="AK1784" s="848"/>
      <c r="AL1784" s="848"/>
      <c r="AM1784" s="848"/>
      <c r="AN1784" s="848"/>
      <c r="AO1784" s="848"/>
      <c r="AP1784" s="311" t="str">
        <f>SUBSTITUTE(SUBSTITUTE(SUBSTITUTE("vch"&amp;$B1784&amp;$C1784&amp;$D1784&amp;$E1784&amp;$F1784,".","_"),"(","_"),")","")</f>
        <v>vch902_4_1</v>
      </c>
      <c r="AQ1784" s="311">
        <f>W1784</f>
        <v>0</v>
      </c>
      <c r="AR1784" s="311" t="str">
        <f>SUBSTITUTE(SUBSTITUTE(SUBSTITUTE("vnt"&amp;$B1784&amp;$C1784&amp;$D1784&amp;$E1784&amp;$F1784,".","_"),"(","_"),")","")</f>
        <v>vnt902_4_1</v>
      </c>
      <c r="AS1784" s="311">
        <f>X1784</f>
        <v>0</v>
      </c>
      <c r="AT1784" s="848"/>
      <c r="AU1784" s="848"/>
      <c r="AV1784" s="848"/>
      <c r="AW1784" s="848"/>
      <c r="AX1784" s="848"/>
      <c r="AY1784" s="848"/>
      <c r="AZ1784" s="848"/>
      <c r="BA1784" s="848"/>
      <c r="BB1784" s="848"/>
      <c r="BC1784" s="848"/>
      <c r="BD1784" s="848"/>
      <c r="BE1784" s="848"/>
      <c r="BF1784" s="848"/>
      <c r="BG1784" s="848"/>
      <c r="BH1784" s="848"/>
      <c r="BJ1784" s="1184" t="s">
        <v>4763</v>
      </c>
    </row>
    <row r="1785" spans="1:62" x14ac:dyDescent="0.3">
      <c r="A1785" s="1200">
        <v>9</v>
      </c>
      <c r="B1785" s="1210">
        <v>902.4</v>
      </c>
      <c r="C1785" s="1203"/>
      <c r="D1785" s="1203"/>
      <c r="E1785" s="1203" t="s">
        <v>271</v>
      </c>
      <c r="F1785" s="1203"/>
      <c r="G1785" s="1202" t="str">
        <f t="shared" si="610"/>
        <v>P</v>
      </c>
      <c r="H1785" s="1200" t="s">
        <v>4387</v>
      </c>
      <c r="I1785" s="182"/>
      <c r="J1785" s="231"/>
      <c r="K1785" s="238"/>
      <c r="L1785" s="1306"/>
      <c r="M1785" s="866"/>
      <c r="N1785" s="850"/>
      <c r="O1785" s="850"/>
      <c r="P1785" s="848"/>
      <c r="Q1785" s="848"/>
      <c r="R1785" s="848"/>
      <c r="S1785" s="848"/>
      <c r="T1785" s="848"/>
      <c r="U1785" s="848"/>
      <c r="V1785" s="848"/>
      <c r="W1785" s="848"/>
      <c r="X1785" s="1303"/>
      <c r="Y1785" s="1522"/>
      <c r="Z1785" s="1586"/>
      <c r="AB1785" s="848"/>
      <c r="AC1785" s="848"/>
      <c r="AD1785" s="848"/>
      <c r="AE1785" s="848"/>
      <c r="AF1785" s="848"/>
      <c r="AG1785" s="848"/>
      <c r="AH1785" s="848"/>
      <c r="AI1785" s="848"/>
      <c r="AJ1785" s="848"/>
      <c r="AK1785" s="848"/>
      <c r="AL1785" s="848"/>
      <c r="AM1785" s="848"/>
      <c r="AN1785" s="848"/>
      <c r="AO1785" s="848"/>
      <c r="AP1785" s="848"/>
      <c r="AQ1785" s="848"/>
      <c r="AR1785" s="848"/>
      <c r="AS1785" s="848"/>
      <c r="AT1785" s="848"/>
      <c r="AU1785" s="848"/>
      <c r="AV1785" s="848"/>
      <c r="AW1785" s="848"/>
      <c r="AX1785" s="848"/>
      <c r="AY1785" s="848"/>
      <c r="AZ1785" s="848"/>
      <c r="BA1785" s="848"/>
      <c r="BB1785" s="848"/>
      <c r="BC1785" s="848"/>
      <c r="BD1785" s="848"/>
      <c r="BE1785" s="848"/>
      <c r="BF1785" s="848"/>
      <c r="BG1785" s="848"/>
      <c r="BH1785" s="848"/>
      <c r="BJ1785" s="1184" t="s">
        <v>4763</v>
      </c>
    </row>
    <row r="1786" spans="1:62" x14ac:dyDescent="0.3">
      <c r="A1786" s="1200">
        <v>9</v>
      </c>
      <c r="B1786" s="1210">
        <v>902.4</v>
      </c>
      <c r="C1786" s="1203"/>
      <c r="D1786" s="1203"/>
      <c r="E1786" s="1203" t="s">
        <v>273</v>
      </c>
      <c r="F1786" s="1203"/>
      <c r="G1786" s="1202" t="str">
        <f t="shared" si="610"/>
        <v>P</v>
      </c>
      <c r="H1786" s="1200" t="s">
        <v>4388</v>
      </c>
      <c r="I1786" s="576"/>
      <c r="J1786" s="203" t="s">
        <v>273</v>
      </c>
      <c r="K1786" s="140"/>
      <c r="L1786" s="1305" t="s">
        <v>3476</v>
      </c>
      <c r="M1786" s="856"/>
      <c r="N1786" s="854"/>
      <c r="O1786" s="854"/>
      <c r="P1786" s="97" t="b">
        <v>0</v>
      </c>
      <c r="Q1786" s="97" t="b">
        <v>1</v>
      </c>
      <c r="R1786" s="97" t="b">
        <v>0</v>
      </c>
      <c r="S1786" s="97" t="b">
        <v>1</v>
      </c>
      <c r="T1786" s="97" t="b">
        <v>0</v>
      </c>
      <c r="U1786" s="97"/>
      <c r="V1786" s="97"/>
      <c r="W1786" s="25"/>
      <c r="X1786" s="1295"/>
      <c r="Y1786" s="1523" t="str">
        <f>IF(LEN('Ch9'!X239)=0,"None",'Ch9'!X239)</f>
        <v>None</v>
      </c>
      <c r="Z1786" s="1583"/>
      <c r="AB1786" s="848"/>
      <c r="AC1786" s="848" t="b">
        <f>OR(AD1786:AE1786)</f>
        <v>0</v>
      </c>
      <c r="AD1786" s="848" t="b">
        <f>T1786</f>
        <v>0</v>
      </c>
      <c r="AE1786" s="848" t="b">
        <f>AND(R1786,NOT(W1786))</f>
        <v>0</v>
      </c>
      <c r="AF1786" s="1182" t="b">
        <f>AND(AE1786,NOT(Q1786))</f>
        <v>0</v>
      </c>
      <c r="AG1786" s="848"/>
      <c r="AH1786" s="848"/>
      <c r="AI1786" s="848"/>
      <c r="AJ1786" s="848"/>
      <c r="AK1786" s="848"/>
      <c r="AL1786" s="848"/>
      <c r="AM1786" s="848"/>
      <c r="AN1786" s="848"/>
      <c r="AO1786" s="848"/>
      <c r="AP1786" s="311" t="str">
        <f>SUBSTITUTE(SUBSTITUTE(SUBSTITUTE("vch"&amp;$B1786&amp;$C1786&amp;$D1786&amp;$E1786&amp;$F1786,".","_"),"(","_"),")","")</f>
        <v>vch902_4_2</v>
      </c>
      <c r="AQ1786" s="311">
        <f>W1786</f>
        <v>0</v>
      </c>
      <c r="AR1786" s="311" t="str">
        <f>SUBSTITUTE(SUBSTITUTE(SUBSTITUTE("vnt"&amp;$B1786&amp;$C1786&amp;$D1786&amp;$E1786&amp;$F1786,".","_"),"(","_"),")","")</f>
        <v>vnt902_4_2</v>
      </c>
      <c r="AS1786" s="311">
        <f>X1786</f>
        <v>0</v>
      </c>
      <c r="AT1786" s="848"/>
      <c r="AU1786" s="848"/>
      <c r="AV1786" s="848"/>
      <c r="AW1786" s="848"/>
      <c r="AX1786" s="848"/>
      <c r="AY1786" s="848"/>
      <c r="AZ1786" s="848"/>
      <c r="BA1786" s="848"/>
      <c r="BB1786" s="848"/>
      <c r="BC1786" s="848"/>
      <c r="BD1786" s="848"/>
      <c r="BE1786" s="848"/>
      <c r="BF1786" s="848"/>
      <c r="BG1786" s="848"/>
      <c r="BH1786" s="848"/>
      <c r="BJ1786" s="1184" t="s">
        <v>4763</v>
      </c>
    </row>
    <row r="1787" spans="1:62" x14ac:dyDescent="0.3">
      <c r="A1787" s="1200">
        <v>9</v>
      </c>
      <c r="B1787" s="1210">
        <v>902.4</v>
      </c>
      <c r="C1787" s="1203"/>
      <c r="D1787" s="1203"/>
      <c r="E1787" s="1203" t="s">
        <v>273</v>
      </c>
      <c r="F1787" s="1203"/>
      <c r="G1787" s="1202" t="str">
        <f t="shared" si="610"/>
        <v>P</v>
      </c>
      <c r="H1787" s="1200" t="s">
        <v>4388</v>
      </c>
      <c r="I1787" s="576"/>
      <c r="J1787" s="140"/>
      <c r="K1787" s="140"/>
      <c r="L1787" s="1305"/>
      <c r="M1787" s="856"/>
      <c r="N1787" s="854"/>
      <c r="O1787" s="854"/>
      <c r="P1787" s="97"/>
      <c r="Q1787" s="97"/>
      <c r="R1787" s="97"/>
      <c r="S1787" s="97"/>
      <c r="T1787" s="97"/>
      <c r="U1787" s="97"/>
      <c r="V1787" s="97"/>
      <c r="W1787" s="97"/>
      <c r="X1787" s="1295"/>
      <c r="Y1787" s="1523"/>
      <c r="Z1787" s="1583"/>
      <c r="AB1787" s="848"/>
      <c r="AC1787" s="848"/>
      <c r="AD1787" s="848"/>
      <c r="AE1787" s="848"/>
      <c r="AF1787" s="848"/>
      <c r="AG1787" s="848"/>
      <c r="AH1787" s="848"/>
      <c r="AI1787" s="848"/>
      <c r="AJ1787" s="848"/>
      <c r="AK1787" s="848"/>
      <c r="AL1787" s="848"/>
      <c r="AM1787" s="848"/>
      <c r="AN1787" s="848"/>
      <c r="AO1787" s="848"/>
      <c r="AP1787" s="848"/>
      <c r="AQ1787" s="848"/>
      <c r="AR1787" s="848"/>
      <c r="AS1787" s="848"/>
      <c r="AT1787" s="848"/>
      <c r="AU1787" s="848"/>
      <c r="AV1787" s="848"/>
      <c r="AW1787" s="848"/>
      <c r="AX1787" s="848"/>
      <c r="AY1787" s="848"/>
      <c r="AZ1787" s="848"/>
      <c r="BA1787" s="848"/>
      <c r="BB1787" s="848"/>
      <c r="BC1787" s="848"/>
      <c r="BD1787" s="848"/>
      <c r="BE1787" s="848"/>
      <c r="BF1787" s="848"/>
      <c r="BG1787" s="848"/>
      <c r="BH1787" s="848"/>
      <c r="BJ1787" s="1184" t="s">
        <v>4763</v>
      </c>
    </row>
    <row r="1788" spans="1:62" ht="15" thickBot="1" x14ac:dyDescent="0.35">
      <c r="A1788" s="1200">
        <v>9</v>
      </c>
      <c r="B1788" s="1210">
        <v>902.4</v>
      </c>
      <c r="C1788" s="1203"/>
      <c r="D1788" s="1203"/>
      <c r="E1788" s="1203" t="s">
        <v>273</v>
      </c>
      <c r="F1788" s="1203"/>
      <c r="G1788" s="1202" t="str">
        <f t="shared" si="610"/>
        <v>P</v>
      </c>
      <c r="H1788" s="1200" t="s">
        <v>4388</v>
      </c>
      <c r="I1788" s="577"/>
      <c r="J1788" s="270"/>
      <c r="K1788" s="270"/>
      <c r="L1788" s="1330"/>
      <c r="M1788" s="865"/>
      <c r="N1788" s="858"/>
      <c r="O1788" s="858"/>
      <c r="P1788" s="104"/>
      <c r="Q1788" s="104"/>
      <c r="R1788" s="104"/>
      <c r="S1788" s="104"/>
      <c r="T1788" s="104"/>
      <c r="U1788" s="104"/>
      <c r="V1788" s="104"/>
      <c r="W1788" s="104"/>
      <c r="X1788" s="1296"/>
      <c r="Y1788" s="1524"/>
      <c r="Z1788" s="1584"/>
      <c r="AB1788" s="848"/>
      <c r="AC1788" s="848"/>
      <c r="AD1788" s="848"/>
      <c r="AE1788" s="848"/>
      <c r="AF1788" s="848"/>
      <c r="AG1788" s="848"/>
      <c r="AH1788" s="848"/>
      <c r="AI1788" s="848"/>
      <c r="AJ1788" s="848"/>
      <c r="AK1788" s="848"/>
      <c r="AL1788" s="848"/>
      <c r="AM1788" s="848"/>
      <c r="AN1788" s="848"/>
      <c r="AO1788" s="848"/>
      <c r="AP1788" s="848"/>
      <c r="AQ1788" s="848"/>
      <c r="AR1788" s="848"/>
      <c r="AS1788" s="848"/>
      <c r="AT1788" s="848"/>
      <c r="AU1788" s="848"/>
      <c r="AV1788" s="848"/>
      <c r="AW1788" s="848"/>
      <c r="AX1788" s="848"/>
      <c r="AY1788" s="848"/>
      <c r="AZ1788" s="848"/>
      <c r="BA1788" s="848"/>
      <c r="BB1788" s="848"/>
      <c r="BC1788" s="848"/>
      <c r="BD1788" s="848"/>
      <c r="BE1788" s="848"/>
      <c r="BF1788" s="848"/>
      <c r="BG1788" s="848"/>
      <c r="BH1788" s="848"/>
      <c r="BJ1788" s="1184" t="s">
        <v>4763</v>
      </c>
    </row>
    <row r="1789" spans="1:62" ht="15" thickTop="1" x14ac:dyDescent="0.3">
      <c r="A1789" s="1200">
        <v>9</v>
      </c>
      <c r="B1789" s="1210">
        <v>902.5</v>
      </c>
      <c r="C1789" s="1203"/>
      <c r="D1789" s="1203"/>
      <c r="E1789" s="1203"/>
      <c r="F1789" s="1203"/>
      <c r="G1789" s="1202" t="str">
        <f>IF(N1789&gt;0,"P","")</f>
        <v/>
      </c>
      <c r="H1789" s="1200" t="s">
        <v>4386</v>
      </c>
      <c r="I1789" s="200">
        <v>902.5</v>
      </c>
      <c r="J1789" s="201"/>
      <c r="K1789" s="201"/>
      <c r="L1789" s="1427" t="s">
        <v>3477</v>
      </c>
      <c r="M1789" s="1343">
        <v>3</v>
      </c>
      <c r="N1789" s="1336">
        <f>'Ch9'!O242</f>
        <v>0</v>
      </c>
      <c r="O1789" s="1336">
        <f>M1789*S1789*W1789</f>
        <v>0</v>
      </c>
      <c r="P1789" s="97" t="b">
        <v>1</v>
      </c>
      <c r="Q1789" s="97" t="b">
        <v>1</v>
      </c>
      <c r="R1789" s="110" t="b">
        <v>0</v>
      </c>
      <c r="S1789" s="110" t="b">
        <v>1</v>
      </c>
      <c r="T1789" s="110" t="b">
        <v>0</v>
      </c>
      <c r="U1789" s="110"/>
      <c r="V1789" s="110"/>
      <c r="W1789" s="25"/>
      <c r="X1789" s="1327"/>
      <c r="Y1789" s="1525" t="str">
        <f>IF(LEN('Ch9'!X242)=0,"None",'Ch9'!X242)</f>
        <v>None</v>
      </c>
      <c r="Z1789" s="1585"/>
      <c r="AB1789" s="848"/>
      <c r="AC1789" s="848" t="b">
        <f>OR(AD1789:AE1789)</f>
        <v>0</v>
      </c>
      <c r="AD1789" s="848" t="b">
        <f>T1789</f>
        <v>0</v>
      </c>
      <c r="AE1789" s="848" t="b">
        <f>AND(R1789,NOT(W1789))</f>
        <v>0</v>
      </c>
      <c r="AF1789" s="1182" t="b">
        <f>AND(AE1789,NOT(Q1789))</f>
        <v>0</v>
      </c>
      <c r="AG1789" s="848"/>
      <c r="AH1789" s="848"/>
      <c r="AI1789" s="848"/>
      <c r="AJ1789" s="848"/>
      <c r="AK1789" s="848"/>
      <c r="AL1789" s="311" t="str">
        <f t="shared" ref="AL1789" si="611">SUBSTITUTE(SUBSTITUTE(SUBSTITUTE("vpa"&amp;$B1789&amp;$C1789&amp;$D1789&amp;$E1789&amp;$F1789,".","_"),"(","_"),")","")</f>
        <v>vpa902_5</v>
      </c>
      <c r="AM1789" s="311">
        <f>M1789</f>
        <v>3</v>
      </c>
      <c r="AN1789" s="311" t="str">
        <f>SUBSTITUTE(SUBSTITUTE(SUBSTITUTE("vpc"&amp;$B1789&amp;$C1789&amp;$D1789&amp;$E1789&amp;$F1789,".","_"),"(","_"),")","")</f>
        <v>vpc902_5</v>
      </c>
      <c r="AO1789" s="311">
        <f>O1789</f>
        <v>0</v>
      </c>
      <c r="AP1789" s="311" t="str">
        <f>SUBSTITUTE(SUBSTITUTE(SUBSTITUTE("vch"&amp;$B1789&amp;$C1789&amp;$D1789&amp;$E1789&amp;$F1789,".","_"),"(","_"),")","")</f>
        <v>vch902_5</v>
      </c>
      <c r="AQ1789" s="311">
        <f>W1789</f>
        <v>0</v>
      </c>
      <c r="AR1789" s="311" t="str">
        <f>SUBSTITUTE(SUBSTITUTE(SUBSTITUTE("vnt"&amp;$B1789&amp;$C1789&amp;$D1789&amp;$E1789&amp;$F1789,".","_"),"(","_"),")","")</f>
        <v>vnt902_5</v>
      </c>
      <c r="AS1789" s="311">
        <f>X1789</f>
        <v>0</v>
      </c>
      <c r="AT1789" s="848"/>
      <c r="AU1789" s="848"/>
      <c r="AV1789" s="848"/>
      <c r="AW1789" s="848"/>
      <c r="AX1789" s="848"/>
      <c r="AY1789" s="848"/>
      <c r="AZ1789" s="848"/>
      <c r="BA1789" s="848"/>
      <c r="BB1789" s="848"/>
      <c r="BC1789" s="848"/>
      <c r="BD1789" s="848"/>
      <c r="BE1789" s="848"/>
      <c r="BF1789" s="848"/>
      <c r="BG1789" s="848"/>
      <c r="BH1789" s="848"/>
      <c r="BJ1789" s="1184" t="s">
        <v>4763</v>
      </c>
    </row>
    <row r="1790" spans="1:62" ht="15" thickBot="1" x14ac:dyDescent="0.35">
      <c r="A1790" s="1200">
        <v>9</v>
      </c>
      <c r="B1790" s="1210">
        <v>902.5</v>
      </c>
      <c r="C1790" s="1203"/>
      <c r="D1790" s="1203"/>
      <c r="E1790" s="1203"/>
      <c r="F1790" s="1203"/>
      <c r="G1790" s="1202" t="str">
        <f t="shared" ref="G1790" si="612">G1789</f>
        <v/>
      </c>
      <c r="H1790" s="1200" t="s">
        <v>4386</v>
      </c>
      <c r="I1790" s="212"/>
      <c r="J1790" s="270"/>
      <c r="K1790" s="270"/>
      <c r="L1790" s="1428"/>
      <c r="M1790" s="1334"/>
      <c r="N1790" s="1315"/>
      <c r="O1790" s="1315"/>
      <c r="P1790" s="104"/>
      <c r="Q1790" s="104"/>
      <c r="R1790" s="104"/>
      <c r="S1790" s="104"/>
      <c r="T1790" s="104"/>
      <c r="U1790" s="104"/>
      <c r="V1790" s="104"/>
      <c r="W1790" s="104"/>
      <c r="X1790" s="1296"/>
      <c r="Y1790" s="1524"/>
      <c r="Z1790" s="1584"/>
      <c r="AB1790" s="848"/>
      <c r="AC1790" s="848"/>
      <c r="AD1790" s="848"/>
      <c r="AE1790" s="848"/>
      <c r="AF1790" s="848"/>
      <c r="AG1790" s="848"/>
      <c r="AH1790" s="848"/>
      <c r="AI1790" s="848"/>
      <c r="AJ1790" s="848"/>
      <c r="AK1790" s="848"/>
      <c r="AL1790" s="848"/>
      <c r="AM1790" s="848"/>
      <c r="AN1790" s="848"/>
      <c r="AO1790" s="848"/>
      <c r="AP1790" s="848"/>
      <c r="AQ1790" s="848"/>
      <c r="AR1790" s="848"/>
      <c r="AS1790" s="848"/>
      <c r="AT1790" s="848"/>
      <c r="AU1790" s="848"/>
      <c r="AV1790" s="848"/>
      <c r="AW1790" s="848"/>
      <c r="AX1790" s="848"/>
      <c r="AY1790" s="848"/>
      <c r="AZ1790" s="848"/>
      <c r="BA1790" s="848"/>
      <c r="BB1790" s="848"/>
      <c r="BC1790" s="848"/>
      <c r="BD1790" s="848"/>
      <c r="BE1790" s="848"/>
      <c r="BF1790" s="848"/>
      <c r="BG1790" s="848"/>
      <c r="BH1790" s="848"/>
      <c r="BJ1790" s="1184" t="s">
        <v>4763</v>
      </c>
    </row>
    <row r="1791" spans="1:62" ht="15" thickTop="1" x14ac:dyDescent="0.3">
      <c r="A1791" s="1200">
        <v>9</v>
      </c>
      <c r="B1791" s="1210">
        <v>902.6</v>
      </c>
      <c r="C1791" s="1203"/>
      <c r="D1791" s="1203"/>
      <c r="E1791" s="1203"/>
      <c r="F1791" s="1203"/>
      <c r="G1791" s="1202" t="s">
        <v>4389</v>
      </c>
      <c r="H1791" s="1200" t="s">
        <v>4387</v>
      </c>
      <c r="I1791" s="66">
        <v>902.6</v>
      </c>
      <c r="J1791" s="4"/>
      <c r="K1791" s="4"/>
      <c r="L1791" s="1292" t="s">
        <v>3478</v>
      </c>
      <c r="M1791" s="1351" t="str">
        <f>IF(R1791,"Mandatory","N/A")</f>
        <v>Mandatory</v>
      </c>
      <c r="N1791" s="850"/>
      <c r="O1791" s="850"/>
      <c r="P1791" s="97" t="b">
        <v>1</v>
      </c>
      <c r="Q1791" s="97" t="b">
        <v>0</v>
      </c>
      <c r="R1791" s="848" t="b">
        <f>S1791</f>
        <v>1</v>
      </c>
      <c r="S1791" s="848" t="b">
        <v>1</v>
      </c>
      <c r="T1791" s="848" t="b">
        <v>0</v>
      </c>
      <c r="U1791" s="848"/>
      <c r="V1791" s="848"/>
      <c r="W1791" s="25"/>
      <c r="X1791" s="1304"/>
      <c r="Y1791" s="1525" t="str">
        <f>IF(LEN('Ch9'!X244)=0,"None",'Ch9'!X244)</f>
        <v>ZERH Requirement - ENERGY STAR Certified Homes National Rater Field Checklist, Section 2 Fully Aligned Air Barriers</v>
      </c>
      <c r="Z1791" s="1585"/>
      <c r="AB1791" s="848"/>
      <c r="AC1791" s="848" t="b">
        <f>OR(AD1791:AE1791)</f>
        <v>1</v>
      </c>
      <c r="AD1791" s="848" t="b">
        <f>T1791</f>
        <v>0</v>
      </c>
      <c r="AE1791" s="848" t="b">
        <f>AND(R1791,NOT(W1791))</f>
        <v>1</v>
      </c>
      <c r="AF1791" s="1182" t="b">
        <f>AND(AE1791,NOT(Q1791))</f>
        <v>1</v>
      </c>
      <c r="AG1791" s="848"/>
      <c r="AH1791" s="848"/>
      <c r="AI1791" s="848"/>
      <c r="AJ1791" s="848"/>
      <c r="AK1791" s="848"/>
      <c r="AL1791" s="311" t="str">
        <f t="shared" ref="AL1791" si="613">SUBSTITUTE(SUBSTITUTE(SUBSTITUTE("vpa"&amp;$B1791&amp;$C1791&amp;$D1791&amp;$E1791&amp;$F1791,".","_"),"(","_"),")","")</f>
        <v>vpa902_6</v>
      </c>
      <c r="AM1791" s="311" t="str">
        <f>M1791</f>
        <v>Mandatory</v>
      </c>
      <c r="AN1791" s="848"/>
      <c r="AO1791" s="848"/>
      <c r="AP1791" s="311" t="str">
        <f>SUBSTITUTE(SUBSTITUTE(SUBSTITUTE("vch"&amp;$B1791&amp;$C1791&amp;$D1791&amp;$E1791&amp;$F1791,".","_"),"(","_"),")","")</f>
        <v>vch902_6</v>
      </c>
      <c r="AQ1791" s="311">
        <f>W1791</f>
        <v>0</v>
      </c>
      <c r="AR1791" s="311" t="str">
        <f>SUBSTITUTE(SUBSTITUTE(SUBSTITUTE("vnt"&amp;$B1791&amp;$C1791&amp;$D1791&amp;$E1791&amp;$F1791,".","_"),"(","_"),")","")</f>
        <v>vnt902_6</v>
      </c>
      <c r="AS1791" s="311">
        <f>X1791</f>
        <v>0</v>
      </c>
      <c r="AT1791" s="848"/>
      <c r="AU1791" s="848"/>
      <c r="AV1791" s="848"/>
      <c r="AW1791" s="848"/>
      <c r="AX1791" s="848"/>
      <c r="AY1791" s="848"/>
      <c r="AZ1791" s="848"/>
      <c r="BA1791" s="848"/>
      <c r="BB1791" s="848"/>
      <c r="BC1791" s="848"/>
      <c r="BD1791" s="848"/>
      <c r="BE1791" s="848"/>
      <c r="BF1791" s="848"/>
      <c r="BG1791" s="848"/>
      <c r="BH1791" s="848"/>
      <c r="BJ1791" s="1184" t="s">
        <v>4763</v>
      </c>
    </row>
    <row r="1792" spans="1:62" x14ac:dyDescent="0.3">
      <c r="A1792" s="1200">
        <v>9</v>
      </c>
      <c r="B1792" s="1210">
        <v>902.6</v>
      </c>
      <c r="C1792" s="1203"/>
      <c r="D1792" s="1203"/>
      <c r="E1792" s="1203"/>
      <c r="F1792" s="1203"/>
      <c r="G1792" s="1202" t="s">
        <v>4389</v>
      </c>
      <c r="H1792" s="1200" t="s">
        <v>4387</v>
      </c>
      <c r="I1792" s="182"/>
      <c r="J1792" s="4"/>
      <c r="K1792" s="4"/>
      <c r="L1792" s="1292"/>
      <c r="M1792" s="1351"/>
      <c r="N1792" s="850"/>
      <c r="O1792" s="850"/>
      <c r="P1792" s="848"/>
      <c r="Q1792" s="848"/>
      <c r="R1792" s="848"/>
      <c r="S1792" s="848"/>
      <c r="T1792" s="848"/>
      <c r="U1792" s="848"/>
      <c r="V1792" s="848"/>
      <c r="W1792" s="848"/>
      <c r="X1792" s="1303"/>
      <c r="Y1792" s="1522"/>
      <c r="Z1792" s="1586"/>
      <c r="AB1792" s="848"/>
      <c r="AC1792" s="848"/>
      <c r="AD1792" s="848"/>
      <c r="AE1792" s="848"/>
      <c r="AF1792" s="848"/>
      <c r="AG1792" s="848"/>
      <c r="AH1792" s="848"/>
      <c r="AI1792" s="848"/>
      <c r="AJ1792" s="848"/>
      <c r="AK1792" s="848"/>
      <c r="AL1792" s="848"/>
      <c r="AM1792" s="848"/>
      <c r="AN1792" s="848"/>
      <c r="AO1792" s="848"/>
      <c r="AP1792" s="848"/>
      <c r="AQ1792" s="848"/>
      <c r="AR1792" s="848"/>
      <c r="AS1792" s="848"/>
      <c r="AT1792" s="848"/>
      <c r="AU1792" s="848"/>
      <c r="AV1792" s="848"/>
      <c r="AW1792" s="848"/>
      <c r="AX1792" s="848"/>
      <c r="AY1792" s="848"/>
      <c r="AZ1792" s="848"/>
      <c r="BA1792" s="848"/>
      <c r="BB1792" s="848"/>
      <c r="BC1792" s="848"/>
      <c r="BD1792" s="848"/>
      <c r="BE1792" s="848"/>
      <c r="BF1792" s="848"/>
      <c r="BG1792" s="848"/>
      <c r="BH1792" s="848"/>
      <c r="BJ1792" s="1184" t="s">
        <v>4763</v>
      </c>
    </row>
    <row r="1793" spans="1:62" ht="18" x14ac:dyDescent="0.35">
      <c r="A1793" s="1200">
        <v>9</v>
      </c>
      <c r="B1793" s="1210">
        <v>903</v>
      </c>
      <c r="C1793" s="1203"/>
      <c r="D1793" s="1203"/>
      <c r="E1793" s="1203"/>
      <c r="F1793" s="1203"/>
      <c r="G1793" s="1202" t="s">
        <v>4389</v>
      </c>
      <c r="H1793" s="1200" t="s">
        <v>4386</v>
      </c>
      <c r="I1793" s="14" t="s">
        <v>3479</v>
      </c>
      <c r="J1793" s="23"/>
      <c r="K1793" s="23"/>
      <c r="L1793" s="87"/>
      <c r="M1793" s="594"/>
      <c r="N1793" s="594"/>
      <c r="O1793" s="594"/>
      <c r="P1793" s="23"/>
      <c r="Q1793" s="23"/>
      <c r="R1793" s="23"/>
      <c r="S1793" s="23"/>
      <c r="T1793" s="23"/>
      <c r="U1793" s="23"/>
      <c r="V1793" s="23"/>
      <c r="W1793" s="23"/>
      <c r="X1793" s="23"/>
      <c r="Y1793" s="23"/>
      <c r="Z1793" s="1168"/>
      <c r="AB1793" s="848"/>
      <c r="AC1793" s="848"/>
      <c r="AD1793" s="848"/>
      <c r="AE1793" s="848"/>
      <c r="AF1793" s="848"/>
      <c r="AG1793" s="848"/>
      <c r="AH1793" s="848"/>
      <c r="AI1793" s="848"/>
      <c r="AJ1793" s="848"/>
      <c r="AK1793" s="848"/>
      <c r="AL1793" s="848"/>
      <c r="AM1793" s="848"/>
      <c r="AN1793" s="848"/>
      <c r="AO1793" s="848"/>
      <c r="AP1793" s="848"/>
      <c r="AQ1793" s="848"/>
      <c r="AR1793" s="848"/>
      <c r="AS1793" s="848"/>
      <c r="AT1793" s="848"/>
      <c r="AU1793" s="848"/>
      <c r="AV1793" s="848"/>
      <c r="AW1793" s="848"/>
      <c r="AX1793" s="848"/>
      <c r="AY1793" s="848"/>
      <c r="AZ1793" s="848"/>
      <c r="BA1793" s="848"/>
      <c r="BB1793" s="848"/>
      <c r="BC1793" s="848"/>
      <c r="BD1793" s="848"/>
      <c r="BE1793" s="848"/>
      <c r="BF1793" s="848"/>
      <c r="BG1793" s="848"/>
      <c r="BH1793" s="848"/>
      <c r="BJ1793" s="1184" t="s">
        <v>4763</v>
      </c>
    </row>
    <row r="1794" spans="1:62" ht="15" thickBot="1" x14ac:dyDescent="0.35">
      <c r="A1794" s="1200">
        <v>9</v>
      </c>
      <c r="B1794" s="1210" t="s">
        <v>4670</v>
      </c>
      <c r="C1794" s="1203"/>
      <c r="D1794" s="1203"/>
      <c r="E1794" s="1203"/>
      <c r="F1794" s="1203"/>
      <c r="G1794" s="1200"/>
      <c r="H1794" s="1200"/>
      <c r="I1794" s="574">
        <v>903</v>
      </c>
      <c r="J1794" s="270"/>
      <c r="K1794" s="270"/>
      <c r="L1794" s="880" t="s">
        <v>3480</v>
      </c>
      <c r="M1794" s="865"/>
      <c r="N1794" s="858"/>
      <c r="O1794" s="858"/>
      <c r="P1794" s="104"/>
      <c r="Q1794" s="104"/>
      <c r="R1794" s="104"/>
      <c r="S1794" s="104"/>
      <c r="T1794" s="104"/>
      <c r="U1794" s="104"/>
      <c r="V1794" s="104"/>
      <c r="W1794" s="104"/>
      <c r="X1794" s="104"/>
      <c r="Y1794" s="104"/>
      <c r="Z1794" s="1172"/>
      <c r="AB1794" s="848"/>
      <c r="AC1794" s="848"/>
      <c r="AD1794" s="848"/>
      <c r="AE1794" s="848"/>
      <c r="AF1794" s="848"/>
      <c r="AG1794" s="848"/>
      <c r="AH1794" s="848"/>
      <c r="AI1794" s="848"/>
      <c r="AJ1794" s="848"/>
      <c r="AK1794" s="848"/>
      <c r="AL1794" s="848"/>
      <c r="AM1794" s="848"/>
      <c r="AN1794" s="848"/>
      <c r="AO1794" s="848"/>
      <c r="AP1794" s="848"/>
      <c r="AQ1794" s="848"/>
      <c r="AR1794" s="848"/>
      <c r="AS1794" s="848"/>
      <c r="AT1794" s="848"/>
      <c r="AU1794" s="848"/>
      <c r="AV1794" s="848"/>
      <c r="AW1794" s="848"/>
      <c r="AX1794" s="848"/>
      <c r="AY1794" s="848"/>
      <c r="AZ1794" s="848"/>
      <c r="BA1794" s="848"/>
      <c r="BB1794" s="848"/>
      <c r="BC1794" s="848"/>
      <c r="BD1794" s="848"/>
      <c r="BE1794" s="848"/>
      <c r="BF1794" s="848"/>
      <c r="BG1794" s="848"/>
      <c r="BH1794" s="848"/>
      <c r="BJ1794" s="1184" t="s">
        <v>4763</v>
      </c>
    </row>
    <row r="1795" spans="1:62" ht="15" thickTop="1" x14ac:dyDescent="0.3">
      <c r="A1795" s="1200">
        <v>9</v>
      </c>
      <c r="B1795" s="1210">
        <v>903.1</v>
      </c>
      <c r="C1795" s="1203"/>
      <c r="D1795" s="1203"/>
      <c r="E1795" s="1203"/>
      <c r="F1795" s="1203"/>
      <c r="G1795" s="1202" t="str">
        <f ca="1">IF(N1795&gt;0,"P","")</f>
        <v/>
      </c>
      <c r="H1795" s="1200" t="s">
        <v>4387</v>
      </c>
      <c r="I1795" s="575">
        <v>903.1</v>
      </c>
      <c r="J1795" s="201"/>
      <c r="K1795" s="201"/>
      <c r="L1795" s="879" t="s">
        <v>3926</v>
      </c>
      <c r="M1795" s="868"/>
      <c r="N1795" s="859">
        <f ca="1">'Ch9'!O248</f>
        <v>0</v>
      </c>
      <c r="O1795" s="859">
        <f ca="1">IFERROR(INDEX({2,5},MATCH(W1795,INDIRECT(U1795),0)),0)*S1795</f>
        <v>0</v>
      </c>
      <c r="P1795" s="97" t="b">
        <v>1</v>
      </c>
      <c r="Q1795" s="97" t="b">
        <v>0</v>
      </c>
      <c r="R1795" s="110" t="b">
        <v>0</v>
      </c>
      <c r="S1795" s="110" t="b">
        <v>1</v>
      </c>
      <c r="T1795" s="110" t="b">
        <v>0</v>
      </c>
      <c r="U1795" s="110" t="str">
        <f>SUBSTITUTE(SUBSTITUTE(SUBSTITUTE("dd"&amp;B1795&amp;C1795&amp;D1795&amp;E1795&amp;F1795,".","_"),"(","_"),")","")</f>
        <v>dd903_1</v>
      </c>
      <c r="V1795" s="110"/>
      <c r="W1795" s="12"/>
      <c r="X1795" s="1327"/>
      <c r="Y1795" s="1525" t="str">
        <f>IF(LEN('Ch9'!X248)=0,"None",'Ch9'!X248)</f>
        <v>None</v>
      </c>
      <c r="Z1795" s="1585"/>
      <c r="AB1795" s="848"/>
      <c r="AC1795" s="848" t="b">
        <f>OR(AD1795:AE1795)</f>
        <v>0</v>
      </c>
      <c r="AD1795" s="848" t="b">
        <f>T1795</f>
        <v>0</v>
      </c>
      <c r="AE1795" s="848" t="b">
        <f>AND(R1795,OR(W1795="Not Met",W1795=""))</f>
        <v>0</v>
      </c>
      <c r="AF1795" s="1182" t="b">
        <f>AND(AE1795,NOT(Q1795))</f>
        <v>0</v>
      </c>
      <c r="AG1795" s="848"/>
      <c r="AH1795" s="848"/>
      <c r="AI1795" s="848"/>
      <c r="AJ1795" s="848"/>
      <c r="AK1795" s="848"/>
      <c r="AL1795" s="848"/>
      <c r="AM1795" s="848"/>
      <c r="AN1795" s="311" t="str">
        <f>SUBSTITUTE(SUBSTITUTE(SUBSTITUTE("vpc"&amp;$B1795&amp;$C1795&amp;$D1795&amp;$E1795&amp;$F1795,".","_"),"(","_"),")","")</f>
        <v>vpc903_1</v>
      </c>
      <c r="AO1795" s="311">
        <f ca="1">O1795</f>
        <v>0</v>
      </c>
      <c r="AP1795" s="311" t="str">
        <f>SUBSTITUTE(SUBSTITUTE(SUBSTITUTE("vch"&amp;$B1795&amp;$C1795&amp;$D1795&amp;$E1795&amp;$F1795,".","_"),"(","_"),")","")</f>
        <v>vch903_1</v>
      </c>
      <c r="AQ1795" s="311">
        <f>W1795</f>
        <v>0</v>
      </c>
      <c r="AR1795" s="311" t="str">
        <f>SUBSTITUTE(SUBSTITUTE(SUBSTITUTE("vnt"&amp;$B1795&amp;$C1795&amp;$D1795&amp;$E1795&amp;$F1795,".","_"),"(","_"),")","")</f>
        <v>vnt903_1</v>
      </c>
      <c r="AS1795" s="311">
        <f>X1795</f>
        <v>0</v>
      </c>
      <c r="AT1795" s="848"/>
      <c r="AU1795" s="848"/>
      <c r="AV1795" s="848"/>
      <c r="AW1795" s="848"/>
      <c r="AX1795" s="848"/>
      <c r="AY1795" s="848"/>
      <c r="AZ1795" s="848"/>
      <c r="BA1795" s="848"/>
      <c r="BB1795" s="848"/>
      <c r="BC1795" s="848"/>
      <c r="BD1795" s="848"/>
      <c r="BE1795" s="848"/>
      <c r="BF1795" s="848"/>
      <c r="BG1795" s="848"/>
      <c r="BH1795" s="848"/>
      <c r="BJ1795" s="1184" t="s">
        <v>4763</v>
      </c>
    </row>
    <row r="1796" spans="1:62" x14ac:dyDescent="0.3">
      <c r="A1796" s="1200">
        <v>9</v>
      </c>
      <c r="B1796" s="1210" t="s">
        <v>3481</v>
      </c>
      <c r="C1796" s="1203"/>
      <c r="D1796" s="1203"/>
      <c r="E1796" s="1203" t="s">
        <v>271</v>
      </c>
      <c r="F1796" s="1203"/>
      <c r="G1796" s="1202" t="str">
        <f t="shared" ref="G1796:G1798" ca="1" si="614">G1795</f>
        <v/>
      </c>
      <c r="H1796" s="1200" t="s">
        <v>4387</v>
      </c>
      <c r="I1796" s="576"/>
      <c r="J1796" s="203" t="s">
        <v>271</v>
      </c>
      <c r="K1796" s="140"/>
      <c r="L1796" s="1305" t="s">
        <v>3924</v>
      </c>
      <c r="M1796" s="1318">
        <v>2</v>
      </c>
      <c r="N1796" s="854"/>
      <c r="O1796" s="854"/>
      <c r="P1796" s="97"/>
      <c r="Q1796" s="97"/>
      <c r="R1796" s="97"/>
      <c r="S1796" s="97"/>
      <c r="T1796" s="97"/>
      <c r="U1796" s="97"/>
      <c r="V1796" s="97"/>
      <c r="W1796" s="97"/>
      <c r="X1796" s="1295"/>
      <c r="Y1796" s="1523"/>
      <c r="Z1796" s="1583"/>
      <c r="AB1796" s="848"/>
      <c r="AC1796" s="848"/>
      <c r="AD1796" s="848"/>
      <c r="AE1796" s="848"/>
      <c r="AF1796" s="848"/>
      <c r="AG1796" s="848"/>
      <c r="AH1796" s="848"/>
      <c r="AI1796" s="848"/>
      <c r="AJ1796" s="848"/>
      <c r="AK1796" s="848"/>
      <c r="AL1796" s="311" t="str">
        <f t="shared" ref="AL1796" si="615">SUBSTITUTE(SUBSTITUTE(SUBSTITUTE("vpa"&amp;$B1796&amp;$C1796&amp;$D1796&amp;$E1796&amp;$F1796,".","_"),"(","_"),")","")</f>
        <v>vpa903_1_1_1</v>
      </c>
      <c r="AM1796" s="311">
        <f>M1796</f>
        <v>2</v>
      </c>
      <c r="AN1796" s="848"/>
      <c r="AO1796" s="848"/>
      <c r="AP1796" s="848"/>
      <c r="AQ1796" s="848"/>
      <c r="AR1796" s="848"/>
      <c r="AS1796" s="848"/>
      <c r="AT1796" s="848"/>
      <c r="AU1796" s="848"/>
      <c r="AV1796" s="848"/>
      <c r="AW1796" s="848"/>
      <c r="AX1796" s="848"/>
      <c r="AY1796" s="848"/>
      <c r="AZ1796" s="848"/>
      <c r="BA1796" s="848"/>
      <c r="BB1796" s="848"/>
      <c r="BC1796" s="848"/>
      <c r="BD1796" s="848"/>
      <c r="BE1796" s="848"/>
      <c r="BF1796" s="848"/>
      <c r="BG1796" s="848"/>
      <c r="BH1796" s="848"/>
      <c r="BJ1796" s="1184" t="s">
        <v>4763</v>
      </c>
    </row>
    <row r="1797" spans="1:62" x14ac:dyDescent="0.3">
      <c r="A1797" s="1200">
        <v>9</v>
      </c>
      <c r="B1797" s="1210" t="s">
        <v>3481</v>
      </c>
      <c r="C1797" s="1203"/>
      <c r="D1797" s="1203"/>
      <c r="E1797" s="1203"/>
      <c r="F1797" s="1203"/>
      <c r="G1797" s="1202" t="str">
        <f t="shared" ca="1" si="614"/>
        <v/>
      </c>
      <c r="H1797" s="1200" t="s">
        <v>4387</v>
      </c>
      <c r="I1797" s="576"/>
      <c r="J1797" s="231"/>
      <c r="K1797" s="238"/>
      <c r="L1797" s="1350"/>
      <c r="M1797" s="1319"/>
      <c r="N1797" s="854"/>
      <c r="O1797" s="854"/>
      <c r="P1797" s="97"/>
      <c r="Q1797" s="97"/>
      <c r="R1797" s="97"/>
      <c r="S1797" s="97"/>
      <c r="T1797" s="97"/>
      <c r="U1797" s="97"/>
      <c r="V1797" s="97"/>
      <c r="W1797" s="97"/>
      <c r="X1797" s="1295"/>
      <c r="Y1797" s="1523"/>
      <c r="Z1797" s="1583"/>
      <c r="AB1797" s="848"/>
      <c r="AC1797" s="848"/>
      <c r="AD1797" s="848"/>
      <c r="AE1797" s="848"/>
      <c r="AF1797" s="848"/>
      <c r="AG1797" s="848"/>
      <c r="AH1797" s="848"/>
      <c r="AI1797" s="848"/>
      <c r="AJ1797" s="848"/>
      <c r="AK1797" s="848"/>
      <c r="AL1797" s="848"/>
      <c r="AM1797" s="848"/>
      <c r="AN1797" s="848"/>
      <c r="AO1797" s="848"/>
      <c r="AP1797" s="848"/>
      <c r="AQ1797" s="848"/>
      <c r="AR1797" s="848"/>
      <c r="AS1797" s="848"/>
      <c r="AT1797" s="848"/>
      <c r="AU1797" s="848"/>
      <c r="AV1797" s="848"/>
      <c r="AW1797" s="848"/>
      <c r="AX1797" s="848"/>
      <c r="AY1797" s="848"/>
      <c r="AZ1797" s="848"/>
      <c r="BA1797" s="848"/>
      <c r="BB1797" s="848"/>
      <c r="BC1797" s="848"/>
      <c r="BD1797" s="848"/>
      <c r="BE1797" s="848"/>
      <c r="BF1797" s="848"/>
      <c r="BG1797" s="848"/>
      <c r="BH1797" s="848"/>
      <c r="BJ1797" s="1184" t="s">
        <v>4763</v>
      </c>
    </row>
    <row r="1798" spans="1:62" ht="15" thickBot="1" x14ac:dyDescent="0.35">
      <c r="A1798" s="1200">
        <v>9</v>
      </c>
      <c r="B1798" s="1210" t="s">
        <v>3482</v>
      </c>
      <c r="C1798" s="1203"/>
      <c r="D1798" s="1203"/>
      <c r="E1798" s="1203" t="s">
        <v>273</v>
      </c>
      <c r="F1798" s="1203"/>
      <c r="G1798" s="1202" t="str">
        <f t="shared" ca="1" si="614"/>
        <v/>
      </c>
      <c r="H1798" s="1200" t="s">
        <v>4387</v>
      </c>
      <c r="I1798" s="577"/>
      <c r="J1798" s="213" t="s">
        <v>273</v>
      </c>
      <c r="K1798" s="270"/>
      <c r="L1798" s="869" t="s">
        <v>3925</v>
      </c>
      <c r="M1798" s="865">
        <v>5</v>
      </c>
      <c r="N1798" s="858"/>
      <c r="O1798" s="858"/>
      <c r="P1798" s="104"/>
      <c r="Q1798" s="104"/>
      <c r="R1798" s="104"/>
      <c r="S1798" s="104"/>
      <c r="T1798" s="104"/>
      <c r="U1798" s="104"/>
      <c r="V1798" s="104"/>
      <c r="W1798" s="104"/>
      <c r="X1798" s="1296"/>
      <c r="Y1798" s="1524"/>
      <c r="Z1798" s="1584"/>
      <c r="AB1798" s="848"/>
      <c r="AC1798" s="848"/>
      <c r="AD1798" s="848"/>
      <c r="AE1798" s="848"/>
      <c r="AF1798" s="848"/>
      <c r="AG1798" s="848"/>
      <c r="AH1798" s="848"/>
      <c r="AI1798" s="848"/>
      <c r="AJ1798" s="848"/>
      <c r="AK1798" s="848"/>
      <c r="AL1798" s="311" t="str">
        <f t="shared" ref="AL1798" si="616">SUBSTITUTE(SUBSTITUTE(SUBSTITUTE("vpa"&amp;$B1798&amp;$C1798&amp;$D1798&amp;$E1798&amp;$F1798,".","_"),"(","_"),")","")</f>
        <v>vpa903_1_2_2</v>
      </c>
      <c r="AM1798" s="311">
        <f>M1798</f>
        <v>5</v>
      </c>
      <c r="AN1798" s="848"/>
      <c r="AO1798" s="848"/>
      <c r="AP1798" s="848"/>
      <c r="AQ1798" s="848"/>
      <c r="AR1798" s="848"/>
      <c r="AS1798" s="848"/>
      <c r="AT1798" s="848"/>
      <c r="AU1798" s="848"/>
      <c r="AV1798" s="848"/>
      <c r="AW1798" s="848"/>
      <c r="AX1798" s="848"/>
      <c r="AY1798" s="848"/>
      <c r="AZ1798" s="848"/>
      <c r="BA1798" s="848"/>
      <c r="BB1798" s="848"/>
      <c r="BC1798" s="848"/>
      <c r="BD1798" s="848"/>
      <c r="BE1798" s="848"/>
      <c r="BF1798" s="848"/>
      <c r="BG1798" s="848"/>
      <c r="BH1798" s="848"/>
      <c r="BJ1798" s="1184" t="s">
        <v>4763</v>
      </c>
    </row>
    <row r="1799" spans="1:62" ht="15" thickTop="1" x14ac:dyDescent="0.3">
      <c r="A1799" s="1200">
        <v>9</v>
      </c>
      <c r="B1799" s="1210">
        <v>903.2</v>
      </c>
      <c r="C1799" s="1203"/>
      <c r="D1799" s="1203"/>
      <c r="E1799" s="1203"/>
      <c r="F1799" s="1203"/>
      <c r="G1799" s="1202" t="str">
        <f ca="1">IF(N1799&gt;0,"P","")</f>
        <v>P</v>
      </c>
      <c r="H1799" s="1200" t="s">
        <v>4386</v>
      </c>
      <c r="I1799" s="200">
        <v>903.2</v>
      </c>
      <c r="J1799" s="201"/>
      <c r="K1799" s="201"/>
      <c r="L1799" s="879" t="s">
        <v>3483</v>
      </c>
      <c r="M1799" s="868"/>
      <c r="N1799" s="859">
        <f ca="1">'Ch9'!O252</f>
        <v>1</v>
      </c>
      <c r="O1799" s="859">
        <f ca="1">IFERROR(INDEX({1,3},MATCH(W1799,INDIRECT(U1799),0)),0)*S1799</f>
        <v>0</v>
      </c>
      <c r="P1799" s="97" t="b">
        <v>1</v>
      </c>
      <c r="Q1799" s="97" t="b">
        <v>1</v>
      </c>
      <c r="R1799" s="110" t="b">
        <v>0</v>
      </c>
      <c r="S1799" s="110" t="b">
        <v>1</v>
      </c>
      <c r="T1799" s="110" t="b">
        <v>0</v>
      </c>
      <c r="U1799" s="110" t="str">
        <f>SUBSTITUTE(SUBSTITUTE(SUBSTITUTE("dd"&amp;B1799&amp;C1799&amp;D1799&amp;E1799&amp;F1799,".","_"),"(","_"),")","")</f>
        <v>dd903_2</v>
      </c>
      <c r="V1799" s="110"/>
      <c r="W1799" s="12"/>
      <c r="X1799" s="1327"/>
      <c r="Y1799" s="1525" t="str">
        <f>IF(LEN('Ch9'!X252)=0,"None",'Ch9'!X252)</f>
        <v>ZERH Requirement - Zero Energy Ready Homes Exhibit 1</v>
      </c>
      <c r="Z1799" s="1585"/>
      <c r="AB1799" s="848"/>
      <c r="AC1799" s="848" t="b">
        <f>OR(AD1799:AE1799)</f>
        <v>0</v>
      </c>
      <c r="AD1799" s="848" t="b">
        <f>T1799</f>
        <v>0</v>
      </c>
      <c r="AE1799" s="848" t="b">
        <f>AND(R1799,OR(W1799="Not Met",W1799=""))</f>
        <v>0</v>
      </c>
      <c r="AF1799" s="1182" t="b">
        <f>AND(AE1799,NOT(Q1799))</f>
        <v>0</v>
      </c>
      <c r="AG1799" s="848"/>
      <c r="AH1799" s="848"/>
      <c r="AI1799" s="848"/>
      <c r="AJ1799" s="848"/>
      <c r="AK1799" s="848"/>
      <c r="AL1799" s="848"/>
      <c r="AM1799" s="848"/>
      <c r="AN1799" s="311" t="str">
        <f>SUBSTITUTE(SUBSTITUTE(SUBSTITUTE("vpc"&amp;$B1799&amp;$C1799&amp;$D1799&amp;$E1799&amp;$F1799,".","_"),"(","_"),")","")</f>
        <v>vpc903_2</v>
      </c>
      <c r="AO1799" s="311">
        <f ca="1">O1799</f>
        <v>0</v>
      </c>
      <c r="AP1799" s="311" t="str">
        <f>SUBSTITUTE(SUBSTITUTE(SUBSTITUTE("vch"&amp;$B1799&amp;$C1799&amp;$D1799&amp;$E1799&amp;$F1799,".","_"),"(","_"),")","")</f>
        <v>vch903_2</v>
      </c>
      <c r="AQ1799" s="311">
        <f>W1799</f>
        <v>0</v>
      </c>
      <c r="AR1799" s="311" t="str">
        <f>SUBSTITUTE(SUBSTITUTE(SUBSTITUTE("vnt"&amp;$B1799&amp;$C1799&amp;$D1799&amp;$E1799&amp;$F1799,".","_"),"(","_"),")","")</f>
        <v>vnt903_2</v>
      </c>
      <c r="AS1799" s="311">
        <f>X1799</f>
        <v>0</v>
      </c>
      <c r="AT1799" s="848"/>
      <c r="AU1799" s="848"/>
      <c r="AV1799" s="848"/>
      <c r="AW1799" s="848"/>
      <c r="AX1799" s="848"/>
      <c r="AY1799" s="848"/>
      <c r="AZ1799" s="848"/>
      <c r="BA1799" s="848"/>
      <c r="BB1799" s="848"/>
      <c r="BC1799" s="848"/>
      <c r="BD1799" s="848"/>
      <c r="BE1799" s="848"/>
      <c r="BF1799" s="848"/>
      <c r="BG1799" s="848"/>
      <c r="BH1799" s="848"/>
      <c r="BJ1799" s="1184" t="s">
        <v>4763</v>
      </c>
    </row>
    <row r="1800" spans="1:62" x14ac:dyDescent="0.3">
      <c r="A1800" s="1200">
        <v>9</v>
      </c>
      <c r="B1800" s="1210">
        <v>903.2</v>
      </c>
      <c r="C1800" s="1203"/>
      <c r="D1800" s="1203"/>
      <c r="E1800" s="1203" t="s">
        <v>271</v>
      </c>
      <c r="F1800" s="1203"/>
      <c r="G1800" s="1202" t="str">
        <f t="shared" ref="G1800:G1802" ca="1" si="617">G1799</f>
        <v>P</v>
      </c>
      <c r="H1800" s="1200" t="s">
        <v>4386</v>
      </c>
      <c r="I1800" s="576"/>
      <c r="J1800" s="231" t="s">
        <v>271</v>
      </c>
      <c r="K1800" s="238"/>
      <c r="L1800" s="862" t="s">
        <v>3484</v>
      </c>
      <c r="M1800" s="857">
        <v>1</v>
      </c>
      <c r="N1800" s="854"/>
      <c r="O1800" s="854"/>
      <c r="P1800" s="97"/>
      <c r="Q1800" s="97"/>
      <c r="R1800" s="97"/>
      <c r="S1800" s="97"/>
      <c r="T1800" s="97"/>
      <c r="U1800" s="97"/>
      <c r="V1800" s="97"/>
      <c r="W1800" s="97"/>
      <c r="X1800" s="1295"/>
      <c r="Y1800" s="1523"/>
      <c r="Z1800" s="1583"/>
      <c r="AB1800" s="848"/>
      <c r="AC1800" s="848"/>
      <c r="AD1800" s="848"/>
      <c r="AE1800" s="848"/>
      <c r="AF1800" s="848"/>
      <c r="AG1800" s="848"/>
      <c r="AH1800" s="848"/>
      <c r="AI1800" s="848"/>
      <c r="AJ1800" s="848"/>
      <c r="AK1800" s="848"/>
      <c r="AL1800" s="311" t="str">
        <f t="shared" ref="AL1800:AL1801" si="618">SUBSTITUTE(SUBSTITUTE(SUBSTITUTE("vpa"&amp;$B1800&amp;$C1800&amp;$D1800&amp;$E1800&amp;$F1800,".","_"),"(","_"),")","")</f>
        <v>vpa903_2_1</v>
      </c>
      <c r="AM1800" s="311">
        <f>M1800</f>
        <v>1</v>
      </c>
      <c r="AN1800" s="848"/>
      <c r="AO1800" s="848"/>
      <c r="AP1800" s="848"/>
      <c r="AQ1800" s="848"/>
      <c r="AR1800" s="848"/>
      <c r="AS1800" s="848"/>
      <c r="AT1800" s="848"/>
      <c r="AU1800" s="848"/>
      <c r="AV1800" s="848"/>
      <c r="AW1800" s="848"/>
      <c r="AX1800" s="848"/>
      <c r="AY1800" s="848"/>
      <c r="AZ1800" s="848"/>
      <c r="BA1800" s="848"/>
      <c r="BB1800" s="848"/>
      <c r="BC1800" s="848"/>
      <c r="BD1800" s="848"/>
      <c r="BE1800" s="848"/>
      <c r="BF1800" s="848"/>
      <c r="BG1800" s="848"/>
      <c r="BH1800" s="848"/>
      <c r="BJ1800" s="1184" t="s">
        <v>4763</v>
      </c>
    </row>
    <row r="1801" spans="1:62" x14ac:dyDescent="0.3">
      <c r="A1801" s="1200">
        <v>9</v>
      </c>
      <c r="B1801" s="1210">
        <v>903.2</v>
      </c>
      <c r="C1801" s="1203"/>
      <c r="D1801" s="1203"/>
      <c r="E1801" s="1203" t="s">
        <v>273</v>
      </c>
      <c r="F1801" s="1203"/>
      <c r="G1801" s="1202" t="str">
        <f t="shared" ca="1" si="617"/>
        <v>P</v>
      </c>
      <c r="H1801" s="1200" t="s">
        <v>4386</v>
      </c>
      <c r="I1801" s="576"/>
      <c r="J1801" s="203" t="s">
        <v>273</v>
      </c>
      <c r="K1801" s="140"/>
      <c r="L1801" s="1305" t="s">
        <v>3485</v>
      </c>
      <c r="M1801" s="1318">
        <v>3</v>
      </c>
      <c r="N1801" s="854"/>
      <c r="O1801" s="854"/>
      <c r="P1801" s="97"/>
      <c r="Q1801" s="97"/>
      <c r="R1801" s="97"/>
      <c r="S1801" s="97"/>
      <c r="T1801" s="97"/>
      <c r="U1801" s="97"/>
      <c r="V1801" s="97"/>
      <c r="W1801" s="97"/>
      <c r="X1801" s="1295"/>
      <c r="Y1801" s="1523"/>
      <c r="Z1801" s="1583"/>
      <c r="AB1801" s="848"/>
      <c r="AC1801" s="848"/>
      <c r="AD1801" s="848"/>
      <c r="AE1801" s="848"/>
      <c r="AF1801" s="848"/>
      <c r="AG1801" s="848"/>
      <c r="AH1801" s="848"/>
      <c r="AI1801" s="848"/>
      <c r="AJ1801" s="848"/>
      <c r="AK1801" s="848"/>
      <c r="AL1801" s="311" t="str">
        <f t="shared" si="618"/>
        <v>vpa903_2_2</v>
      </c>
      <c r="AM1801" s="311">
        <f>M1801</f>
        <v>3</v>
      </c>
      <c r="AN1801" s="848"/>
      <c r="AO1801" s="848"/>
      <c r="AP1801" s="848"/>
      <c r="AQ1801" s="848"/>
      <c r="AR1801" s="848"/>
      <c r="AS1801" s="848"/>
      <c r="AT1801" s="848"/>
      <c r="AU1801" s="848"/>
      <c r="AV1801" s="848"/>
      <c r="AW1801" s="848"/>
      <c r="AX1801" s="848"/>
      <c r="AY1801" s="848"/>
      <c r="AZ1801" s="848"/>
      <c r="BA1801" s="848"/>
      <c r="BB1801" s="848"/>
      <c r="BC1801" s="848"/>
      <c r="BD1801" s="848"/>
      <c r="BE1801" s="848"/>
      <c r="BF1801" s="848"/>
      <c r="BG1801" s="848"/>
      <c r="BH1801" s="848"/>
      <c r="BJ1801" s="1184" t="s">
        <v>4763</v>
      </c>
    </row>
    <row r="1802" spans="1:62" ht="15" thickBot="1" x14ac:dyDescent="0.35">
      <c r="A1802" s="1200">
        <v>9</v>
      </c>
      <c r="B1802" s="1210">
        <v>903.2</v>
      </c>
      <c r="C1802" s="1203"/>
      <c r="D1802" s="1203"/>
      <c r="E1802" s="1203"/>
      <c r="F1802" s="1203"/>
      <c r="G1802" s="1202" t="str">
        <f t="shared" ca="1" si="617"/>
        <v>P</v>
      </c>
      <c r="H1802" s="1200" t="s">
        <v>4386</v>
      </c>
      <c r="I1802" s="577"/>
      <c r="J1802" s="270"/>
      <c r="K1802" s="270"/>
      <c r="L1802" s="1330"/>
      <c r="M1802" s="1334"/>
      <c r="N1802" s="858"/>
      <c r="O1802" s="858"/>
      <c r="P1802" s="104"/>
      <c r="Q1802" s="104"/>
      <c r="R1802" s="104"/>
      <c r="S1802" s="104"/>
      <c r="T1802" s="104"/>
      <c r="U1802" s="104"/>
      <c r="V1802" s="104"/>
      <c r="W1802" s="104"/>
      <c r="X1802" s="1296"/>
      <c r="Y1802" s="1524"/>
      <c r="Z1802" s="1584"/>
      <c r="AB1802" s="848"/>
      <c r="AC1802" s="848"/>
      <c r="AD1802" s="848"/>
      <c r="AE1802" s="848"/>
      <c r="AF1802" s="848"/>
      <c r="AG1802" s="848"/>
      <c r="AH1802" s="848"/>
      <c r="AI1802" s="848"/>
      <c r="AJ1802" s="848"/>
      <c r="AK1802" s="848"/>
      <c r="AL1802" s="848"/>
      <c r="AM1802" s="848"/>
      <c r="AN1802" s="848"/>
      <c r="AO1802" s="848"/>
      <c r="AP1802" s="848"/>
      <c r="AQ1802" s="848"/>
      <c r="AR1802" s="848"/>
      <c r="AS1802" s="848"/>
      <c r="AT1802" s="848"/>
      <c r="AU1802" s="848"/>
      <c r="AV1802" s="848"/>
      <c r="AW1802" s="848"/>
      <c r="AX1802" s="848"/>
      <c r="AY1802" s="848"/>
      <c r="AZ1802" s="848"/>
      <c r="BA1802" s="848"/>
      <c r="BB1802" s="848"/>
      <c r="BC1802" s="848"/>
      <c r="BD1802" s="848"/>
      <c r="BE1802" s="848"/>
      <c r="BF1802" s="848"/>
      <c r="BG1802" s="848"/>
      <c r="BH1802" s="848"/>
      <c r="BJ1802" s="1184" t="s">
        <v>4763</v>
      </c>
    </row>
    <row r="1803" spans="1:62" ht="15" thickTop="1" x14ac:dyDescent="0.3">
      <c r="A1803" s="1200">
        <v>9</v>
      </c>
      <c r="B1803" s="1210">
        <v>903.3</v>
      </c>
      <c r="C1803" s="1203"/>
      <c r="D1803" s="1203"/>
      <c r="E1803" s="1203"/>
      <c r="F1803" s="1203"/>
      <c r="G1803" s="1202" t="str">
        <f>IF(N1803&gt;0,"P","")</f>
        <v>P</v>
      </c>
      <c r="H1803" s="1200" t="s">
        <v>4388</v>
      </c>
      <c r="I1803" s="66">
        <v>903.3</v>
      </c>
      <c r="J1803" s="4"/>
      <c r="K1803" s="4"/>
      <c r="L1803" s="1292" t="s">
        <v>3927</v>
      </c>
      <c r="M1803" s="1335">
        <v>7</v>
      </c>
      <c r="N1803" s="1310">
        <f>'Ch9'!O256</f>
        <v>7</v>
      </c>
      <c r="O1803" s="1310">
        <f>M1803*S1805*IFERROR(OR(W1805,W1806),0)</f>
        <v>0</v>
      </c>
      <c r="P1803" s="848"/>
      <c r="Q1803" s="848"/>
      <c r="R1803" s="848"/>
      <c r="S1803" s="848"/>
      <c r="T1803" s="848"/>
      <c r="U1803" s="848"/>
      <c r="V1803" s="848"/>
      <c r="W1803" s="848"/>
      <c r="X1803" s="1304"/>
      <c r="Y1803" s="1525" t="str">
        <f>IF(LEN('Ch9'!X256)=0,"None",'Ch9'!X256)</f>
        <v>ZERH Requirement - Indoor airPLUS Verification Checklist, Section 4.1 HVAC Systems</v>
      </c>
      <c r="Z1803" s="1585"/>
      <c r="AB1803" s="848"/>
      <c r="AC1803" s="848"/>
      <c r="AD1803" s="848"/>
      <c r="AE1803" s="848"/>
      <c r="AF1803" s="848"/>
      <c r="AG1803" s="848"/>
      <c r="AH1803" s="848"/>
      <c r="AI1803" s="848"/>
      <c r="AJ1803" s="848"/>
      <c r="AK1803" s="848"/>
      <c r="AL1803" s="311" t="str">
        <f t="shared" ref="AL1803" si="619">SUBSTITUTE(SUBSTITUTE(SUBSTITUTE("vpa"&amp;$B1803&amp;$C1803&amp;$D1803&amp;$E1803&amp;$F1803,".","_"),"(","_"),")","")</f>
        <v>vpa903_3</v>
      </c>
      <c r="AM1803" s="311">
        <f>M1803</f>
        <v>7</v>
      </c>
      <c r="AN1803" s="311" t="str">
        <f>SUBSTITUTE(SUBSTITUTE(SUBSTITUTE("vpc"&amp;$B1803&amp;$C1803&amp;$D1803&amp;$E1803&amp;$F1803,".","_"),"(","_"),")","")</f>
        <v>vpc903_3</v>
      </c>
      <c r="AO1803" s="311">
        <f>O1803</f>
        <v>0</v>
      </c>
      <c r="AP1803" s="848"/>
      <c r="AQ1803" s="848"/>
      <c r="AR1803" s="311" t="str">
        <f>SUBSTITUTE(SUBSTITUTE(SUBSTITUTE("vnt"&amp;$B1803&amp;$C1803&amp;$D1803&amp;$E1803&amp;$F1803,".","_"),"(","_"),")","")</f>
        <v>vnt903_3</v>
      </c>
      <c r="AS1803" s="311">
        <f>X1803</f>
        <v>0</v>
      </c>
      <c r="AT1803" s="848"/>
      <c r="AU1803" s="848"/>
      <c r="AV1803" s="848"/>
      <c r="AW1803" s="848"/>
      <c r="AX1803" s="848"/>
      <c r="AY1803" s="848"/>
      <c r="AZ1803" s="848"/>
      <c r="BA1803" s="848"/>
      <c r="BB1803" s="848"/>
      <c r="BC1803" s="848"/>
      <c r="BD1803" s="848"/>
      <c r="BE1803" s="848"/>
      <c r="BF1803" s="848"/>
      <c r="BG1803" s="848"/>
      <c r="BH1803" s="848"/>
      <c r="BJ1803" s="1184" t="s">
        <v>4763</v>
      </c>
    </row>
    <row r="1804" spans="1:62" x14ac:dyDescent="0.3">
      <c r="A1804" s="1200">
        <v>9</v>
      </c>
      <c r="B1804" s="1210">
        <v>903.3</v>
      </c>
      <c r="C1804" s="1203"/>
      <c r="D1804" s="1203"/>
      <c r="E1804" s="1203"/>
      <c r="F1804" s="1203"/>
      <c r="G1804" s="1202" t="str">
        <f t="shared" ref="G1804:G1807" si="620">G1803</f>
        <v>P</v>
      </c>
      <c r="H1804" s="1200" t="s">
        <v>4388</v>
      </c>
      <c r="I1804" s="182"/>
      <c r="J1804" s="4"/>
      <c r="K1804" s="4"/>
      <c r="L1804" s="1292"/>
      <c r="M1804" s="1335"/>
      <c r="N1804" s="1310"/>
      <c r="O1804" s="1310"/>
      <c r="P1804" s="848"/>
      <c r="Q1804" s="848"/>
      <c r="R1804" s="848"/>
      <c r="S1804" s="848"/>
      <c r="T1804" s="848"/>
      <c r="U1804" s="848"/>
      <c r="V1804" s="848"/>
      <c r="W1804" s="848"/>
      <c r="X1804" s="1303"/>
      <c r="Y1804" s="1522"/>
      <c r="Z1804" s="1586"/>
      <c r="AB1804" s="848"/>
      <c r="AC1804" s="848"/>
      <c r="AD1804" s="848"/>
      <c r="AE1804" s="848"/>
      <c r="AF1804" s="848"/>
      <c r="AG1804" s="848"/>
      <c r="AH1804" s="848"/>
      <c r="AI1804" s="848"/>
      <c r="AJ1804" s="848"/>
      <c r="AK1804" s="848"/>
      <c r="AL1804" s="848"/>
      <c r="AM1804" s="848"/>
      <c r="AN1804" s="848"/>
      <c r="AO1804" s="848"/>
      <c r="AP1804" s="848"/>
      <c r="AQ1804" s="848"/>
      <c r="AR1804" s="848"/>
      <c r="AS1804" s="848"/>
      <c r="AT1804" s="848"/>
      <c r="AU1804" s="848"/>
      <c r="AV1804" s="848"/>
      <c r="AW1804" s="848"/>
      <c r="AX1804" s="848"/>
      <c r="AY1804" s="848"/>
      <c r="AZ1804" s="848"/>
      <c r="BA1804" s="848"/>
      <c r="BB1804" s="848"/>
      <c r="BC1804" s="848"/>
      <c r="BD1804" s="848"/>
      <c r="BE1804" s="848"/>
      <c r="BF1804" s="848"/>
      <c r="BG1804" s="848"/>
      <c r="BH1804" s="848"/>
      <c r="BJ1804" s="1184" t="s">
        <v>4763</v>
      </c>
    </row>
    <row r="1805" spans="1:62" x14ac:dyDescent="0.3">
      <c r="A1805" s="1200">
        <v>9</v>
      </c>
      <c r="B1805" s="1210">
        <v>903.3</v>
      </c>
      <c r="C1805" s="1203"/>
      <c r="D1805" s="1203"/>
      <c r="E1805" s="1203" t="s">
        <v>271</v>
      </c>
      <c r="F1805" s="1203"/>
      <c r="G1805" s="1202" t="str">
        <f t="shared" si="620"/>
        <v>P</v>
      </c>
      <c r="H1805" s="1200" t="s">
        <v>4388</v>
      </c>
      <c r="I1805" s="182"/>
      <c r="J1805" s="231" t="s">
        <v>271</v>
      </c>
      <c r="K1805" s="196"/>
      <c r="L1805" s="862" t="s">
        <v>3486</v>
      </c>
      <c r="M1805" s="856"/>
      <c r="N1805" s="854"/>
      <c r="O1805" s="854"/>
      <c r="P1805" s="97" t="b">
        <v>0</v>
      </c>
      <c r="Q1805" s="97" t="b">
        <v>1</v>
      </c>
      <c r="R1805" s="196" t="b">
        <v>0</v>
      </c>
      <c r="S1805" s="196" t="b">
        <f>AND(BF1563&lt;6,BG1563="Moist")</f>
        <v>0</v>
      </c>
      <c r="T1805" s="196" t="b">
        <f>AND(NOT(S1805),W1805=TRUE)</f>
        <v>0</v>
      </c>
      <c r="U1805" s="196"/>
      <c r="V1805" s="196"/>
      <c r="W1805" s="25"/>
      <c r="X1805" s="1303"/>
      <c r="Y1805" s="1522"/>
      <c r="Z1805" s="1586"/>
      <c r="AB1805" s="848"/>
      <c r="AC1805" s="848" t="b">
        <f>OR(AD1805:AE1805)</f>
        <v>0</v>
      </c>
      <c r="AD1805" s="848" t="b">
        <f>T1805</f>
        <v>0</v>
      </c>
      <c r="AE1805" s="848" t="b">
        <f>AND(R1805,NOT(W1805))</f>
        <v>0</v>
      </c>
      <c r="AF1805" s="1182" t="b">
        <f>AND(AE1805,NOT(Q1805))</f>
        <v>0</v>
      </c>
      <c r="AG1805" s="848"/>
      <c r="AH1805" s="848"/>
      <c r="AI1805" s="848"/>
      <c r="AJ1805" s="848"/>
      <c r="AK1805" s="848"/>
      <c r="AL1805" s="848"/>
      <c r="AM1805" s="848"/>
      <c r="AN1805" s="848"/>
      <c r="AO1805" s="848"/>
      <c r="AP1805" s="311" t="str">
        <f t="shared" ref="AP1805:AP1806" si="621">SUBSTITUTE(SUBSTITUTE(SUBSTITUTE("vch"&amp;$B1805&amp;$C1805&amp;$D1805&amp;$E1805&amp;$F1805,".","_"),"(","_"),")","")</f>
        <v>vch903_3_1</v>
      </c>
      <c r="AQ1805" s="311">
        <f>W1805</f>
        <v>0</v>
      </c>
      <c r="AR1805" s="848"/>
      <c r="AS1805" s="848"/>
      <c r="AT1805" s="848"/>
      <c r="AU1805" s="848"/>
      <c r="AV1805" s="848"/>
      <c r="AW1805" s="848"/>
      <c r="AX1805" s="848"/>
      <c r="AY1805" s="848"/>
      <c r="AZ1805" s="848"/>
      <c r="BA1805" s="848"/>
      <c r="BB1805" s="848"/>
      <c r="BC1805" s="848"/>
      <c r="BD1805" s="848"/>
      <c r="BE1805" s="848"/>
      <c r="BF1805" s="848"/>
      <c r="BG1805" s="848"/>
      <c r="BH1805" s="848"/>
      <c r="BJ1805" s="1184" t="s">
        <v>4763</v>
      </c>
    </row>
    <row r="1806" spans="1:62" x14ac:dyDescent="0.3">
      <c r="A1806" s="1200">
        <v>9</v>
      </c>
      <c r="B1806" s="1210">
        <v>903.3</v>
      </c>
      <c r="C1806" s="1203"/>
      <c r="D1806" s="1203"/>
      <c r="E1806" s="1203" t="s">
        <v>273</v>
      </c>
      <c r="F1806" s="1203"/>
      <c r="G1806" s="1202" t="str">
        <f t="shared" si="620"/>
        <v>P</v>
      </c>
      <c r="H1806" s="1200" t="s">
        <v>4388</v>
      </c>
      <c r="I1806" s="182"/>
      <c r="J1806" s="27" t="s">
        <v>273</v>
      </c>
      <c r="K1806" s="848"/>
      <c r="L1806" s="1367" t="s">
        <v>3487</v>
      </c>
      <c r="M1806" s="856"/>
      <c r="N1806" s="854"/>
      <c r="O1806" s="854"/>
      <c r="P1806" s="97" t="b">
        <v>0</v>
      </c>
      <c r="Q1806" s="97" t="b">
        <v>1</v>
      </c>
      <c r="R1806" s="848" t="b">
        <v>0</v>
      </c>
      <c r="S1806" s="848" t="b">
        <f>AND(BF1563&lt;6,BG1563="Moist")</f>
        <v>0</v>
      </c>
      <c r="T1806" s="97" t="b">
        <f>AND(NOT(S1806),W1806=TRUE)</f>
        <v>0</v>
      </c>
      <c r="U1806" s="848"/>
      <c r="V1806" s="848"/>
      <c r="W1806" s="25"/>
      <c r="X1806" s="1303"/>
      <c r="Y1806" s="1522"/>
      <c r="Z1806" s="1586"/>
      <c r="AB1806" s="848"/>
      <c r="AC1806" s="848" t="b">
        <f>OR(AD1806:AE1806)</f>
        <v>0</v>
      </c>
      <c r="AD1806" s="848" t="b">
        <f>T1806</f>
        <v>0</v>
      </c>
      <c r="AE1806" s="848" t="b">
        <f>AND(R1806,NOT(W1806))</f>
        <v>0</v>
      </c>
      <c r="AF1806" s="1182" t="b">
        <f>AND(AE1806,NOT(Q1806))</f>
        <v>0</v>
      </c>
      <c r="AG1806" s="848"/>
      <c r="AH1806" s="848"/>
      <c r="AI1806" s="848"/>
      <c r="AJ1806" s="848"/>
      <c r="AK1806" s="848"/>
      <c r="AL1806" s="848"/>
      <c r="AM1806" s="848"/>
      <c r="AN1806" s="848"/>
      <c r="AO1806" s="848"/>
      <c r="AP1806" s="311" t="str">
        <f t="shared" si="621"/>
        <v>vch903_3_2</v>
      </c>
      <c r="AQ1806" s="311">
        <f>W1806</f>
        <v>0</v>
      </c>
      <c r="AR1806" s="848"/>
      <c r="AS1806" s="848"/>
      <c r="AT1806" s="848"/>
      <c r="AU1806" s="848"/>
      <c r="AV1806" s="848"/>
      <c r="AW1806" s="848"/>
      <c r="AX1806" s="848"/>
      <c r="AY1806" s="848"/>
      <c r="AZ1806" s="848"/>
      <c r="BA1806" s="848"/>
      <c r="BB1806" s="848"/>
      <c r="BC1806" s="848"/>
      <c r="BD1806" s="848"/>
      <c r="BE1806" s="848"/>
      <c r="BF1806" s="848"/>
      <c r="BG1806" s="848"/>
      <c r="BH1806" s="848"/>
      <c r="BJ1806" s="1184" t="s">
        <v>4763</v>
      </c>
    </row>
    <row r="1807" spans="1:62" x14ac:dyDescent="0.3">
      <c r="A1807" s="1200">
        <v>9</v>
      </c>
      <c r="B1807" s="1210">
        <v>903.3</v>
      </c>
      <c r="C1807" s="1203"/>
      <c r="D1807" s="1203"/>
      <c r="E1807" s="1203" t="s">
        <v>273</v>
      </c>
      <c r="F1807" s="1203"/>
      <c r="G1807" s="1202" t="str">
        <f t="shared" si="620"/>
        <v>P</v>
      </c>
      <c r="H1807" s="1200" t="s">
        <v>4388</v>
      </c>
      <c r="I1807" s="182"/>
      <c r="J1807" s="4"/>
      <c r="K1807" s="27"/>
      <c r="L1807" s="1367"/>
      <c r="M1807" s="866"/>
      <c r="N1807" s="850"/>
      <c r="O1807" s="850"/>
      <c r="P1807" s="848"/>
      <c r="Q1807" s="848"/>
      <c r="R1807" s="848"/>
      <c r="S1807" s="848"/>
      <c r="T1807" s="848"/>
      <c r="U1807" s="848"/>
      <c r="V1807" s="848"/>
      <c r="W1807" s="848"/>
      <c r="X1807" s="1303"/>
      <c r="Y1807" s="1522"/>
      <c r="Z1807" s="1586"/>
      <c r="AB1807" s="848"/>
      <c r="AC1807" s="848"/>
      <c r="AD1807" s="848"/>
      <c r="AE1807" s="848"/>
      <c r="AF1807" s="848"/>
      <c r="AG1807" s="848"/>
      <c r="AH1807" s="848"/>
      <c r="AI1807" s="848"/>
      <c r="AJ1807" s="848"/>
      <c r="AK1807" s="848"/>
      <c r="AL1807" s="848"/>
      <c r="AM1807" s="848"/>
      <c r="AN1807" s="848"/>
      <c r="AO1807" s="848"/>
      <c r="AP1807" s="848"/>
      <c r="AQ1807" s="848"/>
      <c r="AR1807" s="848"/>
      <c r="AS1807" s="848"/>
      <c r="AT1807" s="848"/>
      <c r="AU1807" s="848"/>
      <c r="AV1807" s="848"/>
      <c r="AW1807" s="848"/>
      <c r="AX1807" s="848"/>
      <c r="AY1807" s="848"/>
      <c r="AZ1807" s="848"/>
      <c r="BA1807" s="848"/>
      <c r="BB1807" s="848"/>
      <c r="BC1807" s="848"/>
      <c r="BD1807" s="848"/>
      <c r="BE1807" s="848"/>
      <c r="BF1807" s="848"/>
      <c r="BG1807" s="848"/>
      <c r="BH1807" s="848"/>
      <c r="BJ1807" s="1184" t="s">
        <v>4763</v>
      </c>
    </row>
    <row r="1808" spans="1:62" ht="18" x14ac:dyDescent="0.35">
      <c r="A1808" s="1200">
        <v>9</v>
      </c>
      <c r="B1808" s="1210">
        <v>904</v>
      </c>
      <c r="C1808" s="1203"/>
      <c r="D1808" s="1203"/>
      <c r="E1808" s="1203"/>
      <c r="F1808" s="1203"/>
      <c r="G1808" s="1202" t="s">
        <v>4389</v>
      </c>
      <c r="H1808" s="1200" t="s">
        <v>4386</v>
      </c>
      <c r="I1808" s="14" t="s">
        <v>3488</v>
      </c>
      <c r="J1808" s="23"/>
      <c r="K1808" s="23"/>
      <c r="L1808" s="87"/>
      <c r="M1808" s="594"/>
      <c r="N1808" s="594"/>
      <c r="O1808" s="594"/>
      <c r="P1808" s="23"/>
      <c r="Q1808" s="23"/>
      <c r="R1808" s="23"/>
      <c r="S1808" s="23"/>
      <c r="T1808" s="23"/>
      <c r="U1808" s="23"/>
      <c r="V1808" s="23"/>
      <c r="W1808" s="23"/>
      <c r="X1808" s="23"/>
      <c r="Y1808" s="23"/>
      <c r="Z1808" s="1168"/>
      <c r="AB1808" s="848"/>
      <c r="AC1808" s="848"/>
      <c r="AD1808" s="848"/>
      <c r="AE1808" s="848"/>
      <c r="AF1808" s="848"/>
      <c r="AG1808" s="848"/>
      <c r="AH1808" s="848"/>
      <c r="AI1808" s="848"/>
      <c r="AJ1808" s="848"/>
      <c r="AK1808" s="848"/>
      <c r="AL1808" s="848"/>
      <c r="AM1808" s="848"/>
      <c r="AN1808" s="848"/>
      <c r="AO1808" s="848"/>
      <c r="AP1808" s="848"/>
      <c r="AQ1808" s="848"/>
      <c r="AR1808" s="848"/>
      <c r="AS1808" s="848"/>
      <c r="AT1808" s="848"/>
      <c r="AU1808" s="848"/>
      <c r="AV1808" s="848"/>
      <c r="AW1808" s="848"/>
      <c r="AX1808" s="848"/>
      <c r="AY1808" s="848"/>
      <c r="AZ1808" s="848"/>
      <c r="BA1808" s="848"/>
      <c r="BB1808" s="848"/>
      <c r="BC1808" s="848"/>
      <c r="BD1808" s="848"/>
      <c r="BE1808" s="848"/>
      <c r="BF1808" s="848"/>
      <c r="BG1808" s="848"/>
      <c r="BH1808" s="848"/>
      <c r="BJ1808" s="1184" t="s">
        <v>4763</v>
      </c>
    </row>
    <row r="1809" spans="1:62" x14ac:dyDescent="0.3">
      <c r="A1809" s="1200">
        <v>9</v>
      </c>
      <c r="B1809" s="1210" t="s">
        <v>4671</v>
      </c>
      <c r="C1809" s="1203"/>
      <c r="D1809" s="1203"/>
      <c r="E1809" s="1203"/>
      <c r="F1809" s="1203"/>
      <c r="G1809" s="1200"/>
      <c r="H1809" s="1200"/>
      <c r="I1809" s="268">
        <v>904</v>
      </c>
      <c r="J1809" s="140"/>
      <c r="K1809" s="140"/>
      <c r="L1809" s="1313" t="s">
        <v>3489</v>
      </c>
      <c r="M1809" s="856"/>
      <c r="N1809" s="854"/>
      <c r="O1809" s="854"/>
      <c r="P1809" s="97"/>
      <c r="Q1809" s="97"/>
      <c r="R1809" s="97"/>
      <c r="S1809" s="97"/>
      <c r="T1809" s="97"/>
      <c r="U1809" s="97"/>
      <c r="V1809" s="97"/>
      <c r="W1809" s="97"/>
      <c r="X1809" s="97"/>
      <c r="Y1809" s="848"/>
      <c r="Z1809" s="1055"/>
      <c r="AB1809" s="848"/>
      <c r="AC1809" s="848"/>
      <c r="AD1809" s="848"/>
      <c r="AE1809" s="848"/>
      <c r="AF1809" s="848"/>
      <c r="AG1809" s="848"/>
      <c r="AH1809" s="848"/>
      <c r="AI1809" s="848"/>
      <c r="AJ1809" s="848"/>
      <c r="AK1809" s="848"/>
      <c r="AL1809" s="848"/>
      <c r="AM1809" s="848"/>
      <c r="AN1809" s="848"/>
      <c r="AO1809" s="848"/>
      <c r="AP1809" s="848"/>
      <c r="AQ1809" s="848"/>
      <c r="AR1809" s="848"/>
      <c r="AS1809" s="848"/>
      <c r="AT1809" s="848"/>
      <c r="AU1809" s="848"/>
      <c r="AV1809" s="848"/>
      <c r="AW1809" s="848"/>
      <c r="AX1809" s="848"/>
      <c r="AY1809" s="848"/>
      <c r="AZ1809" s="848"/>
      <c r="BA1809" s="848"/>
      <c r="BB1809" s="848"/>
      <c r="BC1809" s="848"/>
      <c r="BD1809" s="848"/>
      <c r="BE1809" s="848"/>
      <c r="BF1809" s="848"/>
      <c r="BG1809" s="848"/>
      <c r="BH1809" s="848"/>
      <c r="BJ1809" s="1184" t="s">
        <v>4763</v>
      </c>
    </row>
    <row r="1810" spans="1:62" ht="15" thickBot="1" x14ac:dyDescent="0.35">
      <c r="A1810" s="1200">
        <v>9</v>
      </c>
      <c r="B1810" s="1210" t="s">
        <v>4671</v>
      </c>
      <c r="C1810" s="1203"/>
      <c r="D1810" s="1203"/>
      <c r="E1810" s="1203"/>
      <c r="F1810" s="1203"/>
      <c r="G1810" s="1200"/>
      <c r="H1810" s="1200"/>
      <c r="I1810" s="577"/>
      <c r="J1810" s="270"/>
      <c r="K1810" s="270"/>
      <c r="L1810" s="1332"/>
      <c r="M1810" s="865"/>
      <c r="N1810" s="858"/>
      <c r="O1810" s="858"/>
      <c r="P1810" s="104"/>
      <c r="Q1810" s="104"/>
      <c r="R1810" s="104"/>
      <c r="S1810" s="104"/>
      <c r="T1810" s="104"/>
      <c r="U1810" s="104"/>
      <c r="V1810" s="104"/>
      <c r="W1810" s="104"/>
      <c r="X1810" s="104"/>
      <c r="Y1810" s="104"/>
      <c r="Z1810" s="1172"/>
      <c r="AB1810" s="848"/>
      <c r="AC1810" s="848"/>
      <c r="AD1810" s="848"/>
      <c r="AE1810" s="848"/>
      <c r="AF1810" s="848"/>
      <c r="AG1810" s="848"/>
      <c r="AH1810" s="848"/>
      <c r="AI1810" s="848"/>
      <c r="AJ1810" s="848"/>
      <c r="AK1810" s="848"/>
      <c r="AL1810" s="848"/>
      <c r="AM1810" s="848"/>
      <c r="AN1810" s="848"/>
      <c r="AO1810" s="848"/>
      <c r="AP1810" s="848"/>
      <c r="AQ1810" s="848"/>
      <c r="AR1810" s="848"/>
      <c r="AS1810" s="848"/>
      <c r="AT1810" s="848"/>
      <c r="AU1810" s="848"/>
      <c r="AV1810" s="848"/>
      <c r="AW1810" s="848"/>
      <c r="AX1810" s="848"/>
      <c r="AY1810" s="848"/>
      <c r="AZ1810" s="848"/>
      <c r="BA1810" s="848"/>
      <c r="BB1810" s="848"/>
      <c r="BC1810" s="848"/>
      <c r="BD1810" s="848"/>
      <c r="BE1810" s="848"/>
      <c r="BF1810" s="848"/>
      <c r="BG1810" s="848"/>
      <c r="BH1810" s="848"/>
      <c r="BJ1810" s="1184" t="s">
        <v>4763</v>
      </c>
    </row>
    <row r="1811" spans="1:62" ht="15" thickTop="1" x14ac:dyDescent="0.3">
      <c r="A1811" s="1200">
        <v>9</v>
      </c>
      <c r="B1811" s="1210">
        <v>904.1</v>
      </c>
      <c r="C1811" s="1203"/>
      <c r="D1811" s="1203"/>
      <c r="E1811" s="1203"/>
      <c r="F1811" s="1203"/>
      <c r="G1811" s="1202" t="str">
        <f>IF(N1811&gt;0,"P","")</f>
        <v/>
      </c>
      <c r="H1811" s="1200" t="s">
        <v>4387</v>
      </c>
      <c r="I1811" s="575">
        <v>904.1</v>
      </c>
      <c r="J1811" s="201"/>
      <c r="K1811" s="201"/>
      <c r="L1811" s="1331" t="s">
        <v>3490</v>
      </c>
      <c r="M1811" s="1343">
        <v>2</v>
      </c>
      <c r="N1811" s="1336">
        <f>'Ch9'!O264</f>
        <v>0</v>
      </c>
      <c r="O1811" s="1336">
        <f>M1811*S1811*W1811</f>
        <v>0</v>
      </c>
      <c r="P1811" s="97" t="b">
        <v>1</v>
      </c>
      <c r="Q1811" s="97" t="b">
        <v>0</v>
      </c>
      <c r="R1811" s="110" t="b">
        <v>0</v>
      </c>
      <c r="S1811" s="110" t="b">
        <f>T1812</f>
        <v>0</v>
      </c>
      <c r="T1811" s="110" t="b">
        <f>AND(NOT(S1811),W1811=TRUE)</f>
        <v>0</v>
      </c>
      <c r="U1811" s="110"/>
      <c r="V1811" s="110"/>
      <c r="W1811" s="25"/>
      <c r="X1811" s="1327"/>
      <c r="Y1811" s="1526" t="str">
        <f>IF(LEN('Ch9'!X264)=0,"None",'Ch9'!X264)</f>
        <v>None</v>
      </c>
      <c r="Z1811" s="1591"/>
      <c r="AB1811" s="848"/>
      <c r="AC1811" s="848" t="b">
        <f>OR(AD1811:AE1811)</f>
        <v>0</v>
      </c>
      <c r="AD1811" s="848" t="b">
        <f>T1811</f>
        <v>0</v>
      </c>
      <c r="AE1811" s="848" t="b">
        <f>AND(R1811,NOT(W1811))</f>
        <v>0</v>
      </c>
      <c r="AF1811" s="1182" t="b">
        <f>AND(AE1811,NOT(Q1811))</f>
        <v>0</v>
      </c>
      <c r="AG1811" s="848"/>
      <c r="AH1811" s="848"/>
      <c r="AI1811" s="848"/>
      <c r="AJ1811" s="848"/>
      <c r="AK1811" s="848"/>
      <c r="AL1811" s="311" t="str">
        <f t="shared" ref="AL1811" si="622">SUBSTITUTE(SUBSTITUTE(SUBSTITUTE("vpa"&amp;$B1811&amp;$C1811&amp;$D1811&amp;$E1811&amp;$F1811,".","_"),"(","_"),")","")</f>
        <v>vpa904_1</v>
      </c>
      <c r="AM1811" s="311">
        <f>M1811</f>
        <v>2</v>
      </c>
      <c r="AN1811" s="311" t="str">
        <f>SUBSTITUTE(SUBSTITUTE(SUBSTITUTE("vpc"&amp;$B1811&amp;$C1811&amp;$D1811&amp;$E1811&amp;$F1811,".","_"),"(","_"),")","")</f>
        <v>vpc904_1</v>
      </c>
      <c r="AO1811" s="311">
        <f>O1811</f>
        <v>0</v>
      </c>
      <c r="AP1811" s="311" t="str">
        <f>SUBSTITUTE(SUBSTITUTE(SUBSTITUTE("vch"&amp;$B1811&amp;$C1811&amp;$D1811&amp;$E1811&amp;$F1811,".","_"),"(","_"),")","")</f>
        <v>vch904_1</v>
      </c>
      <c r="AQ1811" s="311">
        <f>W1811</f>
        <v>0</v>
      </c>
      <c r="AR1811" s="311" t="str">
        <f>SUBSTITUTE(SUBSTITUTE(SUBSTITUTE("vnt"&amp;$B1811&amp;$C1811&amp;$D1811&amp;$E1811&amp;$F1811,".","_"),"(","_"),")","")</f>
        <v>vnt904_1</v>
      </c>
      <c r="AS1811" s="311">
        <f>X1811</f>
        <v>0</v>
      </c>
      <c r="AT1811" s="848"/>
      <c r="AU1811" s="848"/>
      <c r="AV1811" s="848"/>
      <c r="AW1811" s="848"/>
      <c r="AX1811" s="848"/>
      <c r="AY1811" s="848"/>
      <c r="AZ1811" s="848"/>
      <c r="BA1811" s="848"/>
      <c r="BB1811" s="848"/>
      <c r="BC1811" s="848"/>
      <c r="BD1811" s="848"/>
      <c r="BE1811" s="848"/>
      <c r="BF1811" s="848"/>
      <c r="BG1811" s="848"/>
      <c r="BH1811" s="848"/>
      <c r="BJ1811" s="1184" t="s">
        <v>4763</v>
      </c>
    </row>
    <row r="1812" spans="1:62" x14ac:dyDescent="0.3">
      <c r="A1812" s="1200">
        <v>9</v>
      </c>
      <c r="B1812" s="1210">
        <v>904.1</v>
      </c>
      <c r="C1812" s="1203"/>
      <c r="D1812" s="1203"/>
      <c r="E1812" s="1203"/>
      <c r="F1812" s="1203"/>
      <c r="G1812" s="1202" t="str">
        <f t="shared" ref="G1812:G1815" si="623">G1811</f>
        <v/>
      </c>
      <c r="H1812" s="1200" t="s">
        <v>4387</v>
      </c>
      <c r="I1812" s="576"/>
      <c r="J1812" s="140"/>
      <c r="K1812" s="140"/>
      <c r="L1812" s="1313"/>
      <c r="M1812" s="1318"/>
      <c r="N1812" s="1308"/>
      <c r="O1812" s="1308"/>
      <c r="P1812" s="97"/>
      <c r="Q1812" s="97"/>
      <c r="R1812" s="97"/>
      <c r="S1812" s="581" t="s">
        <v>4032</v>
      </c>
      <c r="T1812" s="221" t="b">
        <f>W407=TRUE</f>
        <v>0</v>
      </c>
      <c r="U1812" s="97"/>
      <c r="V1812" s="97"/>
      <c r="W1812" s="97"/>
      <c r="X1812" s="1295"/>
      <c r="Y1812" s="1523"/>
      <c r="Z1812" s="1583"/>
      <c r="AB1812" s="848"/>
      <c r="AC1812" s="848"/>
      <c r="AD1812" s="848"/>
      <c r="AE1812" s="848"/>
      <c r="AF1812" s="848"/>
      <c r="AG1812" s="848"/>
      <c r="AH1812" s="848"/>
      <c r="AI1812" s="848"/>
      <c r="AJ1812" s="848"/>
      <c r="AK1812" s="848"/>
      <c r="AL1812" s="848"/>
      <c r="AM1812" s="848"/>
      <c r="AN1812" s="848"/>
      <c r="AO1812" s="848"/>
      <c r="AP1812" s="848"/>
      <c r="AQ1812" s="848"/>
      <c r="AR1812" s="848"/>
      <c r="AS1812" s="848"/>
      <c r="AT1812" s="848"/>
      <c r="AU1812" s="848"/>
      <c r="AV1812" s="848"/>
      <c r="AW1812" s="848"/>
      <c r="AX1812" s="848"/>
      <c r="AY1812" s="848"/>
      <c r="AZ1812" s="848"/>
      <c r="BA1812" s="848"/>
      <c r="BB1812" s="848"/>
      <c r="BC1812" s="848"/>
      <c r="BD1812" s="848"/>
      <c r="BE1812" s="848"/>
      <c r="BF1812" s="848"/>
      <c r="BG1812" s="848"/>
      <c r="BH1812" s="848"/>
      <c r="BJ1812" s="1184" t="s">
        <v>4763</v>
      </c>
    </row>
    <row r="1813" spans="1:62" x14ac:dyDescent="0.3">
      <c r="A1813" s="1200">
        <v>9</v>
      </c>
      <c r="B1813" s="1210">
        <v>904.1</v>
      </c>
      <c r="C1813" s="1203"/>
      <c r="D1813" s="1203"/>
      <c r="E1813" s="1203"/>
      <c r="F1813" s="1203"/>
      <c r="G1813" s="1202" t="str">
        <f t="shared" si="623"/>
        <v/>
      </c>
      <c r="H1813" s="1200" t="s">
        <v>4387</v>
      </c>
      <c r="I1813" s="576"/>
      <c r="J1813" s="140"/>
      <c r="K1813" s="140"/>
      <c r="L1813" s="1313"/>
      <c r="M1813" s="1318"/>
      <c r="N1813" s="1308"/>
      <c r="O1813" s="1308"/>
      <c r="P1813" s="97"/>
      <c r="Q1813" s="97"/>
      <c r="R1813" s="97"/>
      <c r="S1813" s="97"/>
      <c r="T1813" s="97"/>
      <c r="U1813" s="97"/>
      <c r="V1813" s="97"/>
      <c r="W1813" s="97"/>
      <c r="X1813" s="1295"/>
      <c r="Y1813" s="1523"/>
      <c r="Z1813" s="1583"/>
      <c r="AB1813" s="848"/>
      <c r="AC1813" s="848"/>
      <c r="AD1813" s="848"/>
      <c r="AE1813" s="848"/>
      <c r="AF1813" s="848"/>
      <c r="AG1813" s="848"/>
      <c r="AH1813" s="848"/>
      <c r="AI1813" s="848"/>
      <c r="AJ1813" s="848"/>
      <c r="AK1813" s="848"/>
      <c r="AL1813" s="848"/>
      <c r="AM1813" s="848"/>
      <c r="AN1813" s="848"/>
      <c r="AO1813" s="848"/>
      <c r="AP1813" s="848"/>
      <c r="AQ1813" s="848"/>
      <c r="AR1813" s="848"/>
      <c r="AS1813" s="848"/>
      <c r="AT1813" s="848"/>
      <c r="AU1813" s="848"/>
      <c r="AV1813" s="848"/>
      <c r="AW1813" s="848"/>
      <c r="AX1813" s="848"/>
      <c r="AY1813" s="848"/>
      <c r="AZ1813" s="848"/>
      <c r="BA1813" s="848"/>
      <c r="BB1813" s="848"/>
      <c r="BC1813" s="848"/>
      <c r="BD1813" s="848"/>
      <c r="BE1813" s="848"/>
      <c r="BF1813" s="848"/>
      <c r="BG1813" s="848"/>
      <c r="BH1813" s="848"/>
      <c r="BJ1813" s="1184" t="s">
        <v>4763</v>
      </c>
    </row>
    <row r="1814" spans="1:62" x14ac:dyDescent="0.3">
      <c r="A1814" s="1200">
        <v>9</v>
      </c>
      <c r="B1814" s="1210">
        <v>904.1</v>
      </c>
      <c r="C1814" s="1203"/>
      <c r="D1814" s="1203"/>
      <c r="E1814" s="1203"/>
      <c r="F1814" s="1203"/>
      <c r="G1814" s="1202" t="str">
        <f t="shared" si="623"/>
        <v/>
      </c>
      <c r="H1814" s="1200" t="s">
        <v>4387</v>
      </c>
      <c r="I1814" s="576"/>
      <c r="J1814" s="140"/>
      <c r="K1814" s="140"/>
      <c r="L1814" s="1313"/>
      <c r="M1814" s="1318"/>
      <c r="N1814" s="1308"/>
      <c r="O1814" s="1308"/>
      <c r="P1814" s="97"/>
      <c r="Q1814" s="97"/>
      <c r="R1814" s="97"/>
      <c r="S1814" s="97"/>
      <c r="T1814" s="97"/>
      <c r="U1814" s="97"/>
      <c r="V1814" s="97"/>
      <c r="W1814" s="97"/>
      <c r="X1814" s="1295"/>
      <c r="Y1814" s="1523"/>
      <c r="Z1814" s="1583"/>
      <c r="AB1814" s="848"/>
      <c r="AC1814" s="848"/>
      <c r="AD1814" s="848"/>
      <c r="AE1814" s="848"/>
      <c r="AF1814" s="848"/>
      <c r="AG1814" s="848"/>
      <c r="AH1814" s="848"/>
      <c r="AI1814" s="848"/>
      <c r="AJ1814" s="848"/>
      <c r="AK1814" s="848"/>
      <c r="AL1814" s="848"/>
      <c r="AM1814" s="848"/>
      <c r="AN1814" s="848"/>
      <c r="AO1814" s="848"/>
      <c r="AP1814" s="848"/>
      <c r="AQ1814" s="848"/>
      <c r="AR1814" s="848"/>
      <c r="AS1814" s="848"/>
      <c r="AT1814" s="848"/>
      <c r="AU1814" s="848"/>
      <c r="AV1814" s="848"/>
      <c r="AW1814" s="848"/>
      <c r="AX1814" s="848"/>
      <c r="AY1814" s="848"/>
      <c r="AZ1814" s="848"/>
      <c r="BA1814" s="848"/>
      <c r="BB1814" s="848"/>
      <c r="BC1814" s="848"/>
      <c r="BD1814" s="848"/>
      <c r="BE1814" s="848"/>
      <c r="BF1814" s="848"/>
      <c r="BG1814" s="848"/>
      <c r="BH1814" s="848"/>
      <c r="BJ1814" s="1184" t="s">
        <v>4763</v>
      </c>
    </row>
    <row r="1815" spans="1:62" ht="15" thickBot="1" x14ac:dyDescent="0.35">
      <c r="A1815" s="1200">
        <v>9</v>
      </c>
      <c r="B1815" s="1210">
        <v>904.1</v>
      </c>
      <c r="C1815" s="1203"/>
      <c r="D1815" s="1203"/>
      <c r="E1815" s="1203"/>
      <c r="F1815" s="1203"/>
      <c r="G1815" s="1202" t="str">
        <f t="shared" si="623"/>
        <v/>
      </c>
      <c r="H1815" s="1200" t="s">
        <v>4387</v>
      </c>
      <c r="I1815" s="577"/>
      <c r="J1815" s="270"/>
      <c r="K1815" s="270"/>
      <c r="L1815" s="1332"/>
      <c r="M1815" s="1334"/>
      <c r="N1815" s="1315"/>
      <c r="O1815" s="1315"/>
      <c r="P1815" s="104"/>
      <c r="Q1815" s="104"/>
      <c r="R1815" s="104"/>
      <c r="S1815" s="104"/>
      <c r="T1815" s="104"/>
      <c r="U1815" s="104"/>
      <c r="V1815" s="104"/>
      <c r="W1815" s="104"/>
      <c r="X1815" s="1296"/>
      <c r="Y1815" s="1524"/>
      <c r="Z1815" s="1584"/>
      <c r="AB1815" s="848"/>
      <c r="AC1815" s="848"/>
      <c r="AD1815" s="848"/>
      <c r="AE1815" s="848"/>
      <c r="AF1815" s="848"/>
      <c r="AG1815" s="848"/>
      <c r="AH1815" s="848"/>
      <c r="AI1815" s="848"/>
      <c r="AJ1815" s="848"/>
      <c r="AK1815" s="848"/>
      <c r="AL1815" s="848"/>
      <c r="AM1815" s="848"/>
      <c r="AN1815" s="848"/>
      <c r="AO1815" s="848"/>
      <c r="AP1815" s="848"/>
      <c r="AQ1815" s="848"/>
      <c r="AR1815" s="848"/>
      <c r="AS1815" s="848"/>
      <c r="AT1815" s="848"/>
      <c r="AU1815" s="848"/>
      <c r="AV1815" s="848"/>
      <c r="AW1815" s="848"/>
      <c r="AX1815" s="848"/>
      <c r="AY1815" s="848"/>
      <c r="AZ1815" s="848"/>
      <c r="BA1815" s="848"/>
      <c r="BB1815" s="848"/>
      <c r="BC1815" s="848"/>
      <c r="BD1815" s="848"/>
      <c r="BE1815" s="848"/>
      <c r="BF1815" s="848"/>
      <c r="BG1815" s="848"/>
      <c r="BH1815" s="848"/>
      <c r="BJ1815" s="1184" t="s">
        <v>4763</v>
      </c>
    </row>
    <row r="1816" spans="1:62" ht="15" thickTop="1" x14ac:dyDescent="0.3">
      <c r="A1816" s="1200">
        <v>9</v>
      </c>
      <c r="B1816" s="1210">
        <v>904.2</v>
      </c>
      <c r="C1816" s="1203"/>
      <c r="D1816" s="1203"/>
      <c r="E1816" s="1203"/>
      <c r="F1816" s="1203"/>
      <c r="G1816" s="1202" t="str">
        <f>IF(N1816&gt;0,"P","")</f>
        <v/>
      </c>
      <c r="H1816" s="1200" t="s">
        <v>4388</v>
      </c>
      <c r="I1816" s="66">
        <v>904.2</v>
      </c>
      <c r="J1816" s="4"/>
      <c r="K1816" s="4"/>
      <c r="L1816" s="1292" t="s">
        <v>3491</v>
      </c>
      <c r="M1816" s="1335">
        <v>3</v>
      </c>
      <c r="N1816" s="1310">
        <f>'Ch9'!O269</f>
        <v>0</v>
      </c>
      <c r="O1816" s="1310">
        <f>M1816*S1816*W1816</f>
        <v>0</v>
      </c>
      <c r="P1816" s="97" t="b">
        <v>0</v>
      </c>
      <c r="Q1816" s="97" t="b">
        <v>1</v>
      </c>
      <c r="R1816" s="848" t="b">
        <v>0</v>
      </c>
      <c r="S1816" s="848" t="b">
        <f>T1812</f>
        <v>0</v>
      </c>
      <c r="T1816" s="97" t="b">
        <f>AND(NOT(S1816),W1816=TRUE)</f>
        <v>0</v>
      </c>
      <c r="U1816" s="848"/>
      <c r="V1816" s="848"/>
      <c r="W1816" s="25"/>
      <c r="X1816" s="1304"/>
      <c r="Y1816" s="1525" t="str">
        <f>IF(LEN('Ch9'!X269)=0,"None",'Ch9'!X269)</f>
        <v>None</v>
      </c>
      <c r="Z1816" s="1585"/>
      <c r="AB1816" s="848"/>
      <c r="AC1816" s="848" t="b">
        <f>OR(AD1816:AE1816)</f>
        <v>0</v>
      </c>
      <c r="AD1816" s="848" t="b">
        <f>T1816</f>
        <v>0</v>
      </c>
      <c r="AE1816" s="848" t="b">
        <f>AND(R1816,NOT(W1816))</f>
        <v>0</v>
      </c>
      <c r="AF1816" s="1182" t="b">
        <f>AND(AE1816,NOT(Q1816))</f>
        <v>0</v>
      </c>
      <c r="AG1816" s="848"/>
      <c r="AH1816" s="848"/>
      <c r="AI1816" s="848"/>
      <c r="AJ1816" s="848"/>
      <c r="AK1816" s="848"/>
      <c r="AL1816" s="311" t="str">
        <f t="shared" ref="AL1816" si="624">SUBSTITUTE(SUBSTITUTE(SUBSTITUTE("vpa"&amp;$B1816&amp;$C1816&amp;$D1816&amp;$E1816&amp;$F1816,".","_"),"(","_"),")","")</f>
        <v>vpa904_2</v>
      </c>
      <c r="AM1816" s="311">
        <f>M1816</f>
        <v>3</v>
      </c>
      <c r="AN1816" s="311" t="str">
        <f>SUBSTITUTE(SUBSTITUTE(SUBSTITUTE("vpc"&amp;$B1816&amp;$C1816&amp;$D1816&amp;$E1816&amp;$F1816,".","_"),"(","_"),")","")</f>
        <v>vpc904_2</v>
      </c>
      <c r="AO1816" s="311">
        <f>O1816</f>
        <v>0</v>
      </c>
      <c r="AP1816" s="311" t="str">
        <f>SUBSTITUTE(SUBSTITUTE(SUBSTITUTE("vch"&amp;$B1816&amp;$C1816&amp;$D1816&amp;$E1816&amp;$F1816,".","_"),"(","_"),")","")</f>
        <v>vch904_2</v>
      </c>
      <c r="AQ1816" s="311">
        <f>W1816</f>
        <v>0</v>
      </c>
      <c r="AR1816" s="311" t="str">
        <f>SUBSTITUTE(SUBSTITUTE(SUBSTITUTE("vnt"&amp;$B1816&amp;$C1816&amp;$D1816&amp;$E1816&amp;$F1816,".","_"),"(","_"),")","")</f>
        <v>vnt904_2</v>
      </c>
      <c r="AS1816" s="311">
        <f>X1816</f>
        <v>0</v>
      </c>
      <c r="AT1816" s="848"/>
      <c r="AU1816" s="848"/>
      <c r="AV1816" s="848"/>
      <c r="AW1816" s="848"/>
      <c r="AX1816" s="848"/>
      <c r="AY1816" s="848"/>
      <c r="AZ1816" s="848"/>
      <c r="BA1816" s="848"/>
      <c r="BB1816" s="848"/>
      <c r="BC1816" s="848"/>
      <c r="BD1816" s="848"/>
      <c r="BE1816" s="848"/>
      <c r="BF1816" s="848"/>
      <c r="BG1816" s="848"/>
      <c r="BH1816" s="848"/>
      <c r="BJ1816" s="1184" t="s">
        <v>4763</v>
      </c>
    </row>
    <row r="1817" spans="1:62" x14ac:dyDescent="0.3">
      <c r="A1817" s="1200">
        <v>9</v>
      </c>
      <c r="B1817" s="1210">
        <v>904.2</v>
      </c>
      <c r="C1817" s="1203"/>
      <c r="D1817" s="1203"/>
      <c r="E1817" s="1203"/>
      <c r="F1817" s="1203"/>
      <c r="G1817" s="1202" t="str">
        <f t="shared" ref="G1817:G1818" si="625">G1816</f>
        <v/>
      </c>
      <c r="H1817" s="1200" t="s">
        <v>4388</v>
      </c>
      <c r="I1817" s="182"/>
      <c r="J1817" s="4"/>
      <c r="K1817" s="4"/>
      <c r="L1817" s="1292"/>
      <c r="M1817" s="1335"/>
      <c r="N1817" s="1310"/>
      <c r="O1817" s="1310"/>
      <c r="P1817" s="848"/>
      <c r="Q1817" s="848"/>
      <c r="R1817" s="848"/>
      <c r="S1817" s="848"/>
      <c r="T1817" s="848"/>
      <c r="U1817" s="848"/>
      <c r="V1817" s="848"/>
      <c r="W1817" s="848"/>
      <c r="X1817" s="1303"/>
      <c r="Y1817" s="1522"/>
      <c r="Z1817" s="1586"/>
      <c r="AB1817" s="848"/>
      <c r="AC1817" s="848"/>
      <c r="AD1817" s="848"/>
      <c r="AE1817" s="848"/>
      <c r="AF1817" s="848"/>
      <c r="AG1817" s="848"/>
      <c r="AH1817" s="848"/>
      <c r="AI1817" s="848"/>
      <c r="AJ1817" s="848"/>
      <c r="AK1817" s="848"/>
      <c r="AL1817" s="848"/>
      <c r="AM1817" s="848"/>
      <c r="AN1817" s="848"/>
      <c r="AO1817" s="848"/>
      <c r="AP1817" s="848"/>
      <c r="AQ1817" s="848"/>
      <c r="AR1817" s="848"/>
      <c r="AS1817" s="848"/>
      <c r="AT1817" s="848"/>
      <c r="AU1817" s="848"/>
      <c r="AV1817" s="848"/>
      <c r="AW1817" s="848"/>
      <c r="AX1817" s="848"/>
      <c r="AY1817" s="848"/>
      <c r="AZ1817" s="848"/>
      <c r="BA1817" s="848"/>
      <c r="BB1817" s="848"/>
      <c r="BC1817" s="848"/>
      <c r="BD1817" s="848"/>
      <c r="BE1817" s="848"/>
      <c r="BF1817" s="848"/>
      <c r="BG1817" s="848"/>
      <c r="BH1817" s="848"/>
      <c r="BJ1817" s="1184" t="s">
        <v>4763</v>
      </c>
    </row>
    <row r="1818" spans="1:62" x14ac:dyDescent="0.3">
      <c r="A1818" s="1200">
        <v>9</v>
      </c>
      <c r="B1818" s="1210">
        <v>904.2</v>
      </c>
      <c r="C1818" s="1203"/>
      <c r="D1818" s="1203"/>
      <c r="E1818" s="1203"/>
      <c r="F1818" s="1203"/>
      <c r="G1818" s="1202" t="str">
        <f t="shared" si="625"/>
        <v/>
      </c>
      <c r="H1818" s="1200" t="s">
        <v>4388</v>
      </c>
      <c r="I1818" s="182"/>
      <c r="J1818" s="4"/>
      <c r="K1818" s="4"/>
      <c r="L1818" s="1292"/>
      <c r="M1818" s="1335"/>
      <c r="N1818" s="1310"/>
      <c r="O1818" s="1310"/>
      <c r="P1818" s="848"/>
      <c r="Q1818" s="848"/>
      <c r="R1818" s="848"/>
      <c r="S1818" s="848"/>
      <c r="T1818" s="848"/>
      <c r="U1818" s="848"/>
      <c r="V1818" s="848"/>
      <c r="W1818" s="848"/>
      <c r="X1818" s="1303"/>
      <c r="Y1818" s="1522"/>
      <c r="Z1818" s="1586"/>
      <c r="AB1818" s="848"/>
      <c r="AC1818" s="848"/>
      <c r="AD1818" s="848"/>
      <c r="AE1818" s="848"/>
      <c r="AF1818" s="848"/>
      <c r="AG1818" s="848"/>
      <c r="AH1818" s="848"/>
      <c r="AI1818" s="848"/>
      <c r="AJ1818" s="848"/>
      <c r="AK1818" s="848"/>
      <c r="AL1818" s="848"/>
      <c r="AM1818" s="848"/>
      <c r="AN1818" s="848"/>
      <c r="AO1818" s="848"/>
      <c r="AP1818" s="848"/>
      <c r="AQ1818" s="848"/>
      <c r="AR1818" s="848"/>
      <c r="AS1818" s="848"/>
      <c r="AT1818" s="848"/>
      <c r="AU1818" s="848"/>
      <c r="AV1818" s="848"/>
      <c r="AW1818" s="848"/>
      <c r="AX1818" s="848"/>
      <c r="AY1818" s="848"/>
      <c r="AZ1818" s="848"/>
      <c r="BA1818" s="848"/>
      <c r="BB1818" s="848"/>
      <c r="BC1818" s="848"/>
      <c r="BD1818" s="848"/>
      <c r="BE1818" s="848"/>
      <c r="BF1818" s="848"/>
      <c r="BG1818" s="848"/>
      <c r="BH1818" s="848"/>
      <c r="BJ1818" s="1184" t="s">
        <v>4763</v>
      </c>
    </row>
    <row r="1819" spans="1:62" ht="18" x14ac:dyDescent="0.35">
      <c r="A1819" s="1200">
        <v>9</v>
      </c>
      <c r="B1819" s="1210">
        <v>905</v>
      </c>
      <c r="C1819" s="1203"/>
      <c r="D1819" s="1203"/>
      <c r="E1819" s="1203"/>
      <c r="F1819" s="1203"/>
      <c r="G1819" s="1202" t="s">
        <v>4389</v>
      </c>
      <c r="H1819" s="1200" t="s">
        <v>4386</v>
      </c>
      <c r="I1819" s="14" t="s">
        <v>3492</v>
      </c>
      <c r="J1819" s="23"/>
      <c r="K1819" s="23"/>
      <c r="L1819" s="87"/>
      <c r="M1819" s="594"/>
      <c r="N1819" s="594"/>
      <c r="O1819" s="594"/>
      <c r="P1819" s="23"/>
      <c r="Q1819" s="23"/>
      <c r="R1819" s="23"/>
      <c r="S1819" s="23"/>
      <c r="T1819" s="23"/>
      <c r="U1819" s="23"/>
      <c r="V1819" s="23"/>
      <c r="W1819" s="23"/>
      <c r="X1819" s="23"/>
      <c r="Y1819" s="23"/>
      <c r="Z1819" s="1168"/>
      <c r="AB1819" s="848"/>
      <c r="AC1819" s="848"/>
      <c r="AD1819" s="848"/>
      <c r="AE1819" s="848"/>
      <c r="AF1819" s="848"/>
      <c r="AG1819" s="848"/>
      <c r="AH1819" s="848"/>
      <c r="AI1819" s="848"/>
      <c r="AJ1819" s="848"/>
      <c r="AK1819" s="848"/>
      <c r="AL1819" s="848"/>
      <c r="AM1819" s="848"/>
      <c r="AN1819" s="848"/>
      <c r="AO1819" s="848"/>
      <c r="AP1819" s="848"/>
      <c r="AQ1819" s="848"/>
      <c r="AR1819" s="848"/>
      <c r="AS1819" s="848"/>
      <c r="AT1819" s="848"/>
      <c r="AU1819" s="848"/>
      <c r="AV1819" s="848"/>
      <c r="AW1819" s="848"/>
      <c r="AX1819" s="848"/>
      <c r="AY1819" s="848"/>
      <c r="AZ1819" s="848"/>
      <c r="BA1819" s="848"/>
      <c r="BB1819" s="848"/>
      <c r="BC1819" s="848"/>
      <c r="BD1819" s="848"/>
      <c r="BE1819" s="848"/>
      <c r="BF1819" s="848"/>
      <c r="BG1819" s="848"/>
      <c r="BH1819" s="848"/>
      <c r="BJ1819" s="1184" t="s">
        <v>4763</v>
      </c>
    </row>
    <row r="1820" spans="1:62" x14ac:dyDescent="0.3">
      <c r="A1820" s="1200">
        <v>9</v>
      </c>
      <c r="B1820" s="1210">
        <v>905.1</v>
      </c>
      <c r="C1820" s="1203"/>
      <c r="D1820" s="1203"/>
      <c r="E1820" s="1203"/>
      <c r="F1820" s="1203"/>
      <c r="G1820" s="1202" t="str">
        <f>IF(N1820&gt;0,"P","")</f>
        <v/>
      </c>
      <c r="H1820" s="1200" t="s">
        <v>4388</v>
      </c>
      <c r="I1820" s="141">
        <v>905.1</v>
      </c>
      <c r="J1820" s="140"/>
      <c r="K1820" s="140"/>
      <c r="L1820" s="1313" t="s">
        <v>3493</v>
      </c>
      <c r="M1820" s="1318">
        <v>2</v>
      </c>
      <c r="N1820" s="1308">
        <f>'Ch9'!O273</f>
        <v>0</v>
      </c>
      <c r="O1820" s="1308">
        <f>M1820*S1820*W1820</f>
        <v>0</v>
      </c>
      <c r="P1820" s="97" t="b">
        <v>0</v>
      </c>
      <c r="Q1820" s="97" t="b">
        <v>1</v>
      </c>
      <c r="R1820" s="97" t="b">
        <v>0</v>
      </c>
      <c r="S1820" s="97" t="b">
        <v>1</v>
      </c>
      <c r="T1820" s="97" t="b">
        <v>0</v>
      </c>
      <c r="U1820" s="97"/>
      <c r="V1820" s="97"/>
      <c r="W1820" s="25"/>
      <c r="X1820" s="1295"/>
      <c r="Y1820" s="1523" t="str">
        <f>IF(LEN('Ch9'!X273)=0,"None",'Ch9'!X273)</f>
        <v>None</v>
      </c>
      <c r="Z1820" s="1583"/>
      <c r="AB1820" s="848"/>
      <c r="AC1820" s="848" t="b">
        <f>OR(AD1820:AE1820)</f>
        <v>0</v>
      </c>
      <c r="AD1820" s="848" t="b">
        <f>T1820</f>
        <v>0</v>
      </c>
      <c r="AE1820" s="848" t="b">
        <f>AND(R1820,NOT(W1820))</f>
        <v>0</v>
      </c>
      <c r="AF1820" s="1182" t="b">
        <f>AND(AE1820,NOT(Q1820))</f>
        <v>0</v>
      </c>
      <c r="AG1820" s="848"/>
      <c r="AH1820" s="848"/>
      <c r="AI1820" s="848"/>
      <c r="AJ1820" s="848"/>
      <c r="AK1820" s="848"/>
      <c r="AL1820" s="311" t="str">
        <f t="shared" ref="AL1820" si="626">SUBSTITUTE(SUBSTITUTE(SUBSTITUTE("vpa"&amp;$B1820&amp;$C1820&amp;$D1820&amp;$E1820&amp;$F1820,".","_"),"(","_"),")","")</f>
        <v>vpa905_1</v>
      </c>
      <c r="AM1820" s="311">
        <f>M1820</f>
        <v>2</v>
      </c>
      <c r="AN1820" s="311" t="str">
        <f>SUBSTITUTE(SUBSTITUTE(SUBSTITUTE("vpc"&amp;$B1820&amp;$C1820&amp;$D1820&amp;$E1820&amp;$F1820,".","_"),"(","_"),")","")</f>
        <v>vpc905_1</v>
      </c>
      <c r="AO1820" s="311">
        <f>O1820</f>
        <v>0</v>
      </c>
      <c r="AP1820" s="311" t="str">
        <f>SUBSTITUTE(SUBSTITUTE(SUBSTITUTE("vch"&amp;$B1820&amp;$C1820&amp;$D1820&amp;$E1820&amp;$F1820,".","_"),"(","_"),")","")</f>
        <v>vch905_1</v>
      </c>
      <c r="AQ1820" s="311">
        <f>W1820</f>
        <v>0</v>
      </c>
      <c r="AR1820" s="311" t="str">
        <f>SUBSTITUTE(SUBSTITUTE(SUBSTITUTE("vnt"&amp;$B1820&amp;$C1820&amp;$D1820&amp;$E1820&amp;$F1820,".","_"),"(","_"),")","")</f>
        <v>vnt905_1</v>
      </c>
      <c r="AS1820" s="311">
        <f>X1820</f>
        <v>0</v>
      </c>
      <c r="AT1820" s="848"/>
      <c r="AU1820" s="848"/>
      <c r="AV1820" s="848"/>
      <c r="AW1820" s="848"/>
      <c r="AX1820" s="848"/>
      <c r="AY1820" s="848"/>
      <c r="AZ1820" s="848"/>
      <c r="BA1820" s="848"/>
      <c r="BB1820" s="848"/>
      <c r="BC1820" s="848"/>
      <c r="BD1820" s="848"/>
      <c r="BE1820" s="848"/>
      <c r="BF1820" s="848"/>
      <c r="BG1820" s="848"/>
      <c r="BH1820" s="848"/>
      <c r="BJ1820" s="1184" t="s">
        <v>4763</v>
      </c>
    </row>
    <row r="1821" spans="1:62" x14ac:dyDescent="0.3">
      <c r="A1821" s="1200">
        <v>9</v>
      </c>
      <c r="B1821" s="1210">
        <v>905.1</v>
      </c>
      <c r="C1821" s="1203"/>
      <c r="D1821" s="1203"/>
      <c r="E1821" s="1203"/>
      <c r="F1821" s="1203"/>
      <c r="G1821" s="1202" t="str">
        <f t="shared" ref="G1821:G1824" si="627">G1820</f>
        <v/>
      </c>
      <c r="H1821" s="1200" t="s">
        <v>4388</v>
      </c>
      <c r="I1821" s="576"/>
      <c r="J1821" s="140"/>
      <c r="K1821" s="140"/>
      <c r="L1821" s="1313"/>
      <c r="M1821" s="1318"/>
      <c r="N1821" s="1308"/>
      <c r="O1821" s="1308"/>
      <c r="P1821" s="97"/>
      <c r="Q1821" s="97"/>
      <c r="R1821" s="97"/>
      <c r="S1821" s="97"/>
      <c r="T1821" s="97"/>
      <c r="U1821" s="97"/>
      <c r="V1821" s="97"/>
      <c r="W1821" s="97"/>
      <c r="X1821" s="1295"/>
      <c r="Y1821" s="1523"/>
      <c r="Z1821" s="1583"/>
      <c r="AB1821" s="848"/>
      <c r="AC1821" s="848"/>
      <c r="AD1821" s="848"/>
      <c r="AE1821" s="848"/>
      <c r="AF1821" s="848"/>
      <c r="AG1821" s="848"/>
      <c r="AH1821" s="848"/>
      <c r="AI1821" s="848"/>
      <c r="AJ1821" s="848"/>
      <c r="AK1821" s="848"/>
      <c r="AL1821" s="848"/>
      <c r="AM1821" s="848"/>
      <c r="AN1821" s="848"/>
      <c r="AO1821" s="848"/>
      <c r="AP1821" s="848"/>
      <c r="AQ1821" s="848"/>
      <c r="AR1821" s="848"/>
      <c r="AS1821" s="848"/>
      <c r="AT1821" s="848"/>
      <c r="AU1821" s="848"/>
      <c r="AV1821" s="848"/>
      <c r="AW1821" s="848"/>
      <c r="AX1821" s="848"/>
      <c r="AY1821" s="848"/>
      <c r="AZ1821" s="848"/>
      <c r="BA1821" s="848"/>
      <c r="BB1821" s="848"/>
      <c r="BC1821" s="848"/>
      <c r="BD1821" s="848"/>
      <c r="BE1821" s="848"/>
      <c r="BF1821" s="848"/>
      <c r="BG1821" s="848"/>
      <c r="BH1821" s="848"/>
      <c r="BJ1821" s="1184" t="s">
        <v>4763</v>
      </c>
    </row>
    <row r="1822" spans="1:62" x14ac:dyDescent="0.3">
      <c r="A1822" s="1200">
        <v>9</v>
      </c>
      <c r="B1822" s="1210">
        <v>905.1</v>
      </c>
      <c r="C1822" s="1203"/>
      <c r="D1822" s="1203"/>
      <c r="E1822" s="1203"/>
      <c r="F1822" s="1203"/>
      <c r="G1822" s="1202" t="str">
        <f t="shared" si="627"/>
        <v/>
      </c>
      <c r="H1822" s="1200" t="s">
        <v>4388</v>
      </c>
      <c r="I1822" s="576"/>
      <c r="J1822" s="140"/>
      <c r="K1822" s="140"/>
      <c r="L1822" s="1313"/>
      <c r="M1822" s="1318"/>
      <c r="N1822" s="1308"/>
      <c r="O1822" s="1308"/>
      <c r="P1822" s="97"/>
      <c r="Q1822" s="97"/>
      <c r="R1822" s="97"/>
      <c r="S1822" s="97"/>
      <c r="T1822" s="97"/>
      <c r="U1822" s="97"/>
      <c r="V1822" s="97"/>
      <c r="W1822" s="97"/>
      <c r="X1822" s="1295"/>
      <c r="Y1822" s="1523"/>
      <c r="Z1822" s="1583"/>
      <c r="AB1822" s="848"/>
      <c r="AC1822" s="848"/>
      <c r="AD1822" s="848"/>
      <c r="AE1822" s="848"/>
      <c r="AF1822" s="848"/>
      <c r="AG1822" s="848"/>
      <c r="AH1822" s="848"/>
      <c r="AI1822" s="848"/>
      <c r="AJ1822" s="848"/>
      <c r="AK1822" s="848"/>
      <c r="AL1822" s="848"/>
      <c r="AM1822" s="848"/>
      <c r="AN1822" s="848"/>
      <c r="AO1822" s="848"/>
      <c r="AP1822" s="848"/>
      <c r="AQ1822" s="848"/>
      <c r="AR1822" s="848"/>
      <c r="AS1822" s="848"/>
      <c r="AT1822" s="848"/>
      <c r="AU1822" s="848"/>
      <c r="AV1822" s="848"/>
      <c r="AW1822" s="848"/>
      <c r="AX1822" s="848"/>
      <c r="AY1822" s="848"/>
      <c r="AZ1822" s="848"/>
      <c r="BA1822" s="848"/>
      <c r="BB1822" s="848"/>
      <c r="BC1822" s="848"/>
      <c r="BD1822" s="848"/>
      <c r="BE1822" s="848"/>
      <c r="BF1822" s="848"/>
      <c r="BG1822" s="848"/>
      <c r="BH1822" s="848"/>
      <c r="BJ1822" s="1184" t="s">
        <v>4763</v>
      </c>
    </row>
    <row r="1823" spans="1:62" x14ac:dyDescent="0.3">
      <c r="A1823" s="1200">
        <v>9</v>
      </c>
      <c r="B1823" s="1210">
        <v>905.1</v>
      </c>
      <c r="C1823" s="1203"/>
      <c r="D1823" s="1203"/>
      <c r="E1823" s="1203"/>
      <c r="F1823" s="1203"/>
      <c r="G1823" s="1202" t="str">
        <f t="shared" si="627"/>
        <v/>
      </c>
      <c r="H1823" s="1200" t="s">
        <v>4388</v>
      </c>
      <c r="I1823" s="576"/>
      <c r="J1823" s="140"/>
      <c r="K1823" s="140"/>
      <c r="L1823" s="1313"/>
      <c r="M1823" s="1318"/>
      <c r="N1823" s="1308"/>
      <c r="O1823" s="1308"/>
      <c r="P1823" s="97"/>
      <c r="Q1823" s="97"/>
      <c r="R1823" s="97"/>
      <c r="S1823" s="97"/>
      <c r="T1823" s="97"/>
      <c r="U1823" s="97"/>
      <c r="V1823" s="97"/>
      <c r="W1823" s="97"/>
      <c r="X1823" s="1295"/>
      <c r="Y1823" s="1523"/>
      <c r="Z1823" s="1583"/>
      <c r="AB1823" s="848"/>
      <c r="AC1823" s="848"/>
      <c r="AD1823" s="848"/>
      <c r="AE1823" s="848"/>
      <c r="AF1823" s="848"/>
      <c r="AG1823" s="848"/>
      <c r="AH1823" s="848"/>
      <c r="AI1823" s="848"/>
      <c r="AJ1823" s="848"/>
      <c r="AK1823" s="848"/>
      <c r="AL1823" s="848"/>
      <c r="AM1823" s="848"/>
      <c r="AN1823" s="848"/>
      <c r="AO1823" s="848"/>
      <c r="AP1823" s="848"/>
      <c r="AQ1823" s="848"/>
      <c r="AR1823" s="848"/>
      <c r="AS1823" s="848"/>
      <c r="AT1823" s="848"/>
      <c r="AU1823" s="848"/>
      <c r="AV1823" s="848"/>
      <c r="AW1823" s="848"/>
      <c r="AX1823" s="848"/>
      <c r="AY1823" s="848"/>
      <c r="AZ1823" s="848"/>
      <c r="BA1823" s="848"/>
      <c r="BB1823" s="848"/>
      <c r="BC1823" s="848"/>
      <c r="BD1823" s="848"/>
      <c r="BE1823" s="848"/>
      <c r="BF1823" s="848"/>
      <c r="BG1823" s="848"/>
      <c r="BH1823" s="848"/>
      <c r="BJ1823" s="1184" t="s">
        <v>4763</v>
      </c>
    </row>
    <row r="1824" spans="1:62" ht="15" thickBot="1" x14ac:dyDescent="0.35">
      <c r="A1824" s="1200">
        <v>9</v>
      </c>
      <c r="B1824" s="1210">
        <v>905.1</v>
      </c>
      <c r="C1824" s="1203"/>
      <c r="D1824" s="1203"/>
      <c r="E1824" s="1203"/>
      <c r="F1824" s="1203"/>
      <c r="G1824" s="1202" t="str">
        <f t="shared" si="627"/>
        <v/>
      </c>
      <c r="H1824" s="1200" t="s">
        <v>4388</v>
      </c>
      <c r="I1824" s="577"/>
      <c r="J1824" s="270"/>
      <c r="K1824" s="270"/>
      <c r="L1824" s="1332"/>
      <c r="M1824" s="1334"/>
      <c r="N1824" s="1315"/>
      <c r="O1824" s="1315"/>
      <c r="P1824" s="104"/>
      <c r="Q1824" s="104"/>
      <c r="R1824" s="104"/>
      <c r="S1824" s="104"/>
      <c r="T1824" s="104"/>
      <c r="U1824" s="104"/>
      <c r="V1824" s="104"/>
      <c r="W1824" s="104"/>
      <c r="X1824" s="1296"/>
      <c r="Y1824" s="1524"/>
      <c r="Z1824" s="1584"/>
      <c r="AB1824" s="848"/>
      <c r="AC1824" s="848"/>
      <c r="AD1824" s="848"/>
      <c r="AE1824" s="848"/>
      <c r="AF1824" s="848"/>
      <c r="AG1824" s="848"/>
      <c r="AH1824" s="848"/>
      <c r="AI1824" s="848"/>
      <c r="AJ1824" s="848"/>
      <c r="AK1824" s="848"/>
      <c r="AL1824" s="848"/>
      <c r="AM1824" s="848"/>
      <c r="AN1824" s="848"/>
      <c r="AO1824" s="848"/>
      <c r="AP1824" s="848"/>
      <c r="AQ1824" s="848"/>
      <c r="AR1824" s="848"/>
      <c r="AS1824" s="848"/>
      <c r="AT1824" s="848"/>
      <c r="AU1824" s="848"/>
      <c r="AV1824" s="848"/>
      <c r="AW1824" s="848"/>
      <c r="AX1824" s="848"/>
      <c r="AY1824" s="848"/>
      <c r="AZ1824" s="848"/>
      <c r="BA1824" s="848"/>
      <c r="BB1824" s="848"/>
      <c r="BC1824" s="848"/>
      <c r="BD1824" s="848"/>
      <c r="BE1824" s="848"/>
      <c r="BF1824" s="848"/>
      <c r="BG1824" s="848"/>
      <c r="BH1824" s="848"/>
      <c r="BJ1824" s="1184" t="s">
        <v>4763</v>
      </c>
    </row>
    <row r="1825" spans="1:62" ht="15" thickTop="1" x14ac:dyDescent="0.3">
      <c r="A1825" s="1200">
        <v>9</v>
      </c>
      <c r="B1825" s="1210">
        <v>905.2</v>
      </c>
      <c r="C1825" s="1203"/>
      <c r="D1825" s="1203"/>
      <c r="E1825" s="1203"/>
      <c r="F1825" s="1203"/>
      <c r="G1825" s="1202" t="str">
        <f>IF(N1825&gt;0,"P","")</f>
        <v/>
      </c>
      <c r="H1825" s="1200" t="s">
        <v>4388</v>
      </c>
      <c r="I1825" s="66">
        <v>905.2</v>
      </c>
      <c r="J1825" s="4"/>
      <c r="K1825" s="4"/>
      <c r="L1825" s="1292" t="s">
        <v>3494</v>
      </c>
      <c r="M1825" s="1335">
        <v>2</v>
      </c>
      <c r="N1825" s="1310">
        <f>'Ch9'!O278</f>
        <v>0</v>
      </c>
      <c r="O1825" s="1310">
        <f>M1825*S1825*W1825</f>
        <v>0</v>
      </c>
      <c r="P1825" s="97" t="b">
        <v>0</v>
      </c>
      <c r="Q1825" s="97" t="b">
        <v>1</v>
      </c>
      <c r="R1825" s="848" t="b">
        <v>0</v>
      </c>
      <c r="S1825" s="848" t="b">
        <v>1</v>
      </c>
      <c r="T1825" s="848" t="b">
        <v>0</v>
      </c>
      <c r="U1825" s="848"/>
      <c r="V1825" s="848"/>
      <c r="W1825" s="25"/>
      <c r="X1825" s="1304"/>
      <c r="Y1825" s="1525" t="str">
        <f>IF(LEN('Ch9'!X278)=0,"None",'Ch9'!X278)</f>
        <v>None</v>
      </c>
      <c r="Z1825" s="1585"/>
      <c r="AB1825" s="848"/>
      <c r="AC1825" s="848" t="b">
        <f>OR(AD1825:AE1825)</f>
        <v>0</v>
      </c>
      <c r="AD1825" s="848" t="b">
        <f>T1825</f>
        <v>0</v>
      </c>
      <c r="AE1825" s="848" t="b">
        <f>AND(R1825,NOT(W1825))</f>
        <v>0</v>
      </c>
      <c r="AF1825" s="1182" t="b">
        <f>AND(AE1825,NOT(Q1825))</f>
        <v>0</v>
      </c>
      <c r="AG1825" s="848"/>
      <c r="AH1825" s="848"/>
      <c r="AI1825" s="848"/>
      <c r="AJ1825" s="848"/>
      <c r="AK1825" s="848"/>
      <c r="AL1825" s="311" t="str">
        <f t="shared" ref="AL1825" si="628">SUBSTITUTE(SUBSTITUTE(SUBSTITUTE("vpa"&amp;$B1825&amp;$C1825&amp;$D1825&amp;$E1825&amp;$F1825,".","_"),"(","_"),")","")</f>
        <v>vpa905_2</v>
      </c>
      <c r="AM1825" s="311">
        <f>M1825</f>
        <v>2</v>
      </c>
      <c r="AN1825" s="311" t="str">
        <f>SUBSTITUTE(SUBSTITUTE(SUBSTITUTE("vpc"&amp;$B1825&amp;$C1825&amp;$D1825&amp;$E1825&amp;$F1825,".","_"),"(","_"),")","")</f>
        <v>vpc905_2</v>
      </c>
      <c r="AO1825" s="311">
        <f>O1825</f>
        <v>0</v>
      </c>
      <c r="AP1825" s="311" t="str">
        <f>SUBSTITUTE(SUBSTITUTE(SUBSTITUTE("vch"&amp;$B1825&amp;$C1825&amp;$D1825&amp;$E1825&amp;$F1825,".","_"),"(","_"),")","")</f>
        <v>vch905_2</v>
      </c>
      <c r="AQ1825" s="311">
        <f>W1825</f>
        <v>0</v>
      </c>
      <c r="AR1825" s="311" t="str">
        <f>SUBSTITUTE(SUBSTITUTE(SUBSTITUTE("vnt"&amp;$B1825&amp;$C1825&amp;$D1825&amp;$E1825&amp;$F1825,".","_"),"(","_"),")","")</f>
        <v>vnt905_2</v>
      </c>
      <c r="AS1825" s="311">
        <f>X1825</f>
        <v>0</v>
      </c>
      <c r="AT1825" s="848"/>
      <c r="AU1825" s="848"/>
      <c r="AV1825" s="848"/>
      <c r="AW1825" s="848"/>
      <c r="AX1825" s="848"/>
      <c r="AY1825" s="848"/>
      <c r="AZ1825" s="848"/>
      <c r="BA1825" s="848"/>
      <c r="BB1825" s="848"/>
      <c r="BC1825" s="848"/>
      <c r="BD1825" s="848"/>
      <c r="BE1825" s="848"/>
      <c r="BF1825" s="848"/>
      <c r="BG1825" s="848"/>
      <c r="BH1825" s="848"/>
      <c r="BJ1825" s="1184" t="s">
        <v>4763</v>
      </c>
    </row>
    <row r="1826" spans="1:62" x14ac:dyDescent="0.3">
      <c r="A1826" s="1200">
        <v>9</v>
      </c>
      <c r="B1826" s="1210">
        <v>905.2</v>
      </c>
      <c r="C1826" s="1203"/>
      <c r="D1826" s="1203"/>
      <c r="E1826" s="1203"/>
      <c r="F1826" s="1203"/>
      <c r="G1826" s="1202" t="str">
        <f t="shared" ref="G1826" si="629">G1825</f>
        <v/>
      </c>
      <c r="H1826" s="1200" t="s">
        <v>4388</v>
      </c>
      <c r="I1826" s="182"/>
      <c r="J1826" s="4"/>
      <c r="K1826" s="4"/>
      <c r="L1826" s="1292"/>
      <c r="M1826" s="1335"/>
      <c r="N1826" s="1310"/>
      <c r="O1826" s="1310"/>
      <c r="P1826" s="848"/>
      <c r="Q1826" s="848"/>
      <c r="R1826" s="848"/>
      <c r="S1826" s="848"/>
      <c r="T1826" s="848"/>
      <c r="U1826" s="848"/>
      <c r="V1826" s="848"/>
      <c r="W1826" s="848"/>
      <c r="X1826" s="1303"/>
      <c r="Y1826" s="1522"/>
      <c r="Z1826" s="1586"/>
      <c r="AB1826" s="848"/>
      <c r="AC1826" s="848"/>
      <c r="AD1826" s="848"/>
      <c r="AE1826" s="848"/>
      <c r="AF1826" s="848"/>
      <c r="AG1826" s="848"/>
      <c r="AH1826" s="848"/>
      <c r="AI1826" s="848"/>
      <c r="AJ1826" s="848"/>
      <c r="AK1826" s="848"/>
      <c r="AL1826" s="848"/>
      <c r="AM1826" s="848"/>
      <c r="AN1826" s="848"/>
      <c r="AO1826" s="848"/>
      <c r="AP1826" s="848"/>
      <c r="AQ1826" s="848"/>
      <c r="AR1826" s="848"/>
      <c r="AS1826" s="848"/>
      <c r="AT1826" s="848"/>
      <c r="AU1826" s="848"/>
      <c r="AV1826" s="848"/>
      <c r="AW1826" s="848"/>
      <c r="AX1826" s="848"/>
      <c r="AY1826" s="848"/>
      <c r="AZ1826" s="848"/>
      <c r="BA1826" s="848"/>
      <c r="BB1826" s="848"/>
      <c r="BC1826" s="848"/>
      <c r="BD1826" s="848"/>
      <c r="BE1826" s="848"/>
      <c r="BF1826" s="848"/>
      <c r="BG1826" s="848"/>
      <c r="BH1826" s="848"/>
      <c r="BJ1826" s="1184" t="s">
        <v>4763</v>
      </c>
    </row>
    <row r="1827" spans="1:62" ht="18" x14ac:dyDescent="0.35">
      <c r="A1827" s="1200">
        <v>10</v>
      </c>
      <c r="B1827" s="1210" t="s">
        <v>4677</v>
      </c>
      <c r="C1827" s="1200"/>
      <c r="D1827" s="1200"/>
      <c r="E1827" s="1200"/>
      <c r="F1827" s="1200"/>
      <c r="G1827" s="1202" t="s">
        <v>4389</v>
      </c>
      <c r="H1827" s="1200" t="s">
        <v>4386</v>
      </c>
      <c r="I1827" s="22" t="s">
        <v>3590</v>
      </c>
      <c r="J1827" s="22"/>
      <c r="K1827" s="22"/>
      <c r="L1827" s="23"/>
      <c r="M1827" s="24"/>
      <c r="N1827" s="24"/>
      <c r="O1827" s="24"/>
      <c r="P1827" s="848" t="s">
        <v>260</v>
      </c>
      <c r="Q1827" s="848" t="s">
        <v>260</v>
      </c>
      <c r="R1827" s="848" t="s">
        <v>260</v>
      </c>
      <c r="S1827" s="848" t="s">
        <v>260</v>
      </c>
      <c r="T1827" s="848" t="s">
        <v>260</v>
      </c>
      <c r="U1827" s="848" t="s">
        <v>260</v>
      </c>
      <c r="V1827" s="848" t="s">
        <v>260</v>
      </c>
      <c r="W1827" s="23"/>
      <c r="X1827" s="23"/>
      <c r="Y1827" s="23"/>
      <c r="Z1827" s="1168"/>
      <c r="AB1827" s="847"/>
      <c r="AC1827" s="847"/>
      <c r="AD1827" s="847"/>
      <c r="AE1827" s="847"/>
      <c r="AF1827" s="847"/>
      <c r="AG1827" s="847"/>
      <c r="AH1827" s="847"/>
      <c r="AI1827" s="847"/>
      <c r="AJ1827" s="847"/>
      <c r="AK1827" s="847"/>
      <c r="AL1827" s="847"/>
      <c r="AM1827" s="847"/>
      <c r="AN1827" s="847"/>
      <c r="AO1827" s="847"/>
      <c r="AP1827" s="847"/>
      <c r="AQ1827" s="847"/>
      <c r="AR1827" s="847"/>
      <c r="AS1827" s="847"/>
      <c r="AT1827" s="847"/>
      <c r="AU1827" s="847"/>
      <c r="AV1827" s="847"/>
      <c r="AW1827" s="847"/>
      <c r="AX1827" s="847"/>
      <c r="AY1827" s="847"/>
      <c r="AZ1827" s="847"/>
      <c r="BA1827" s="847"/>
      <c r="BB1827" s="847"/>
      <c r="BC1827" s="847"/>
      <c r="BD1827" s="847"/>
      <c r="BE1827" s="847"/>
      <c r="BF1827" s="847"/>
      <c r="BG1827" s="847"/>
      <c r="BH1827" s="847"/>
      <c r="BJ1827" s="1184" t="s">
        <v>4763</v>
      </c>
    </row>
    <row r="1828" spans="1:62" x14ac:dyDescent="0.3">
      <c r="A1828" s="1200">
        <v>10</v>
      </c>
      <c r="B1828" s="1210" t="s">
        <v>4666</v>
      </c>
      <c r="C1828" s="1203"/>
      <c r="D1828" s="1203"/>
      <c r="E1828" s="1203"/>
      <c r="F1828" s="1203"/>
      <c r="G1828" s="1200"/>
      <c r="H1828" s="1200"/>
      <c r="I1828" s="268">
        <v>1001</v>
      </c>
      <c r="J1828" s="140"/>
      <c r="K1828" s="140"/>
      <c r="L1828" s="1313" t="s">
        <v>3495</v>
      </c>
      <c r="M1828" s="854"/>
      <c r="N1828" s="97"/>
      <c r="O1828" s="97"/>
      <c r="P1828" s="97"/>
      <c r="Q1828" s="97"/>
      <c r="R1828" s="97"/>
      <c r="S1828" s="97"/>
      <c r="T1828" s="97"/>
      <c r="U1828" s="97"/>
      <c r="V1828" s="97"/>
      <c r="W1828" s="97"/>
      <c r="X1828" s="97"/>
      <c r="Y1828" s="848"/>
      <c r="Z1828" s="1055"/>
      <c r="AB1828" s="848"/>
      <c r="AC1828" s="848"/>
      <c r="AD1828" s="848"/>
      <c r="AE1828" s="848"/>
      <c r="AF1828" s="848"/>
      <c r="AG1828" s="848"/>
      <c r="AH1828" s="848"/>
      <c r="AI1828" s="848"/>
      <c r="AJ1828" s="848"/>
      <c r="AK1828" s="848"/>
      <c r="AL1828" s="848"/>
      <c r="AM1828" s="848"/>
      <c r="AN1828" s="848"/>
      <c r="AO1828" s="848"/>
      <c r="AP1828" s="848"/>
      <c r="AQ1828" s="848"/>
      <c r="AR1828" s="848"/>
      <c r="AS1828" s="848"/>
      <c r="AT1828" s="848"/>
      <c r="AU1828" s="848"/>
      <c r="AV1828" s="848"/>
      <c r="AW1828" s="848"/>
      <c r="AX1828" s="848"/>
      <c r="AY1828" s="848"/>
      <c r="AZ1828" s="848"/>
      <c r="BA1828" s="848"/>
      <c r="BB1828" s="848"/>
      <c r="BC1828" s="848"/>
      <c r="BD1828" s="848"/>
      <c r="BE1828" s="848"/>
      <c r="BF1828" s="848"/>
      <c r="BG1828" s="848"/>
      <c r="BH1828" s="848"/>
      <c r="BJ1828" s="1184" t="s">
        <v>4763</v>
      </c>
    </row>
    <row r="1829" spans="1:62" ht="15" thickBot="1" x14ac:dyDescent="0.35">
      <c r="A1829" s="1200">
        <v>10</v>
      </c>
      <c r="B1829" s="1210" t="s">
        <v>4666</v>
      </c>
      <c r="C1829" s="1203"/>
      <c r="D1829" s="1203"/>
      <c r="E1829" s="1203"/>
      <c r="F1829" s="1203"/>
      <c r="G1829" s="1200"/>
      <c r="H1829" s="1200"/>
      <c r="I1829" s="270"/>
      <c r="J1829" s="270"/>
      <c r="K1829" s="270"/>
      <c r="L1829" s="1332"/>
      <c r="M1829" s="858"/>
      <c r="N1829" s="104"/>
      <c r="O1829" s="104"/>
      <c r="P1829" s="104"/>
      <c r="Q1829" s="104"/>
      <c r="R1829" s="104"/>
      <c r="S1829" s="104"/>
      <c r="T1829" s="104"/>
      <c r="U1829" s="104"/>
      <c r="V1829" s="104"/>
      <c r="W1829" s="104"/>
      <c r="X1829" s="104"/>
      <c r="Y1829" s="104"/>
      <c r="Z1829" s="1172"/>
      <c r="AB1829" s="848"/>
      <c r="AC1829" s="848"/>
      <c r="AD1829" s="848"/>
      <c r="AE1829" s="848"/>
      <c r="AF1829" s="848"/>
      <c r="AG1829" s="848"/>
      <c r="AH1829" s="848"/>
      <c r="AI1829" s="848"/>
      <c r="AJ1829" s="848"/>
      <c r="AK1829" s="848"/>
      <c r="AL1829" s="848"/>
      <c r="AM1829" s="848"/>
      <c r="AN1829" s="848"/>
      <c r="AO1829" s="848"/>
      <c r="AP1829" s="848"/>
      <c r="AQ1829" s="848"/>
      <c r="AR1829" s="848"/>
      <c r="AS1829" s="848"/>
      <c r="AT1829" s="848"/>
      <c r="AU1829" s="848"/>
      <c r="AV1829" s="848"/>
      <c r="AW1829" s="848"/>
      <c r="AX1829" s="908" t="str">
        <f>'Overview (Verification)'!A8</f>
        <v>Builder Name:</v>
      </c>
      <c r="AY1829" s="1077">
        <f>IF(LEN('Overview (Verification)'!P8)=0,0,'Overview (Verification)'!P8)</f>
        <v>0</v>
      </c>
      <c r="AZ1829" s="848"/>
      <c r="BA1829" s="848"/>
      <c r="BB1829" s="848"/>
      <c r="BC1829" s="848"/>
      <c r="BD1829" s="848"/>
      <c r="BE1829" s="848"/>
      <c r="BF1829" s="848"/>
      <c r="BG1829" s="848"/>
      <c r="BH1829" s="848"/>
      <c r="BJ1829" s="1184" t="s">
        <v>4763</v>
      </c>
    </row>
    <row r="1830" spans="1:62" ht="15" thickTop="1" x14ac:dyDescent="0.3">
      <c r="A1830" s="1200">
        <v>10</v>
      </c>
      <c r="B1830" s="1210">
        <v>1001.1</v>
      </c>
      <c r="C1830" s="1203"/>
      <c r="D1830" s="1203"/>
      <c r="E1830" s="1203"/>
      <c r="F1830" s="1203"/>
      <c r="G1830" s="1202" t="str">
        <f>IF(N1830&gt;0,"P","")</f>
        <v>P</v>
      </c>
      <c r="H1830" s="1200" t="s">
        <v>4388</v>
      </c>
      <c r="I1830" s="152">
        <v>1001.1</v>
      </c>
      <c r="J1830" s="4"/>
      <c r="K1830" s="4"/>
      <c r="L1830" s="1292" t="s">
        <v>3496</v>
      </c>
      <c r="M1830" s="1387" t="s">
        <v>3592</v>
      </c>
      <c r="N1830" s="1336">
        <f>'Ch10'!O12</f>
        <v>8</v>
      </c>
      <c r="O1830" s="1310">
        <f>MIN(IF(AND(COUNTIF(W1833:W1835,TRUE)=3,S1833),ROUNDDOWN(COUNTIF(W1839:W1877,TRUE)/2,0),0),8)</f>
        <v>0</v>
      </c>
      <c r="P1830" s="848"/>
      <c r="Q1830" s="848"/>
      <c r="R1830" s="848"/>
      <c r="S1830" s="848"/>
      <c r="T1830" s="848"/>
      <c r="U1830" s="848"/>
      <c r="V1830" s="848"/>
      <c r="W1830" s="848"/>
      <c r="X1830" s="848"/>
      <c r="Y1830" s="848"/>
      <c r="Z1830" s="1055"/>
      <c r="AB1830" s="848"/>
      <c r="AC1830" s="848"/>
      <c r="AD1830" s="848"/>
      <c r="AE1830" s="848"/>
      <c r="AF1830" s="848"/>
      <c r="AG1830" s="848"/>
      <c r="AH1830" s="848"/>
      <c r="AI1830" s="848"/>
      <c r="AJ1830" s="848"/>
      <c r="AK1830" s="848"/>
      <c r="AL1830" s="311" t="str">
        <f t="shared" ref="AL1830" si="630">SUBSTITUTE(SUBSTITUTE(SUBSTITUTE("vpa"&amp;$B1830&amp;$C1830&amp;$D1830&amp;$E1830&amp;$F1830,".","_"),"(","_"),")","")</f>
        <v>vpa1001_1</v>
      </c>
      <c r="AM1830" s="311" t="str">
        <f>M1830</f>
        <v>1
8 Max</v>
      </c>
      <c r="AN1830" s="311" t="str">
        <f>SUBSTITUTE(SUBSTITUTE(SUBSTITUTE("vpc"&amp;$B1830&amp;$C1830&amp;$D1830&amp;$E1830&amp;$F1830,".","_"),"(","_"),")","")</f>
        <v>vpc1001_1</v>
      </c>
      <c r="AO1830" s="311">
        <f>O1830</f>
        <v>0</v>
      </c>
      <c r="AP1830" s="848"/>
      <c r="AQ1830" s="848"/>
      <c r="AR1830" s="848"/>
      <c r="AS1830" s="848"/>
      <c r="AT1830" s="848"/>
      <c r="AU1830" s="848"/>
      <c r="AV1830" s="848"/>
      <c r="AW1830" s="848"/>
      <c r="AX1830" s="908" t="str">
        <f>'Overview (Verification)'!A9</f>
        <v>Physical Address of Home:</v>
      </c>
      <c r="AY1830" s="1077">
        <f>IF(LEN('Overview (Verification)'!P9)=0,0,'Overview (Verification)'!P9)</f>
        <v>0</v>
      </c>
      <c r="AZ1830" s="848"/>
      <c r="BA1830" s="848"/>
      <c r="BB1830" s="848"/>
      <c r="BC1830" s="848"/>
      <c r="BD1830" s="848"/>
      <c r="BE1830" s="848"/>
      <c r="BF1830" s="848"/>
      <c r="BG1830" s="848"/>
      <c r="BH1830" s="848"/>
      <c r="BJ1830" s="1184" t="s">
        <v>4763</v>
      </c>
    </row>
    <row r="1831" spans="1:62" x14ac:dyDescent="0.3">
      <c r="A1831" s="1200">
        <v>10</v>
      </c>
      <c r="B1831" s="1210">
        <v>1001.1</v>
      </c>
      <c r="C1831" s="1203"/>
      <c r="D1831" s="1203"/>
      <c r="E1831" s="1203"/>
      <c r="F1831" s="1203"/>
      <c r="G1831" s="1202" t="str">
        <f t="shared" ref="G1831:G1877" si="631">G1830</f>
        <v>P</v>
      </c>
      <c r="H1831" s="1200" t="s">
        <v>4388</v>
      </c>
      <c r="I1831" s="4"/>
      <c r="J1831" s="4"/>
      <c r="K1831" s="4"/>
      <c r="L1831" s="1292"/>
      <c r="M1831" s="1387"/>
      <c r="N1831" s="1310"/>
      <c r="O1831" s="1310"/>
      <c r="P1831" s="848"/>
      <c r="Q1831" s="848"/>
      <c r="R1831" s="848"/>
      <c r="S1831" s="848"/>
      <c r="T1831" s="848"/>
      <c r="U1831" s="848"/>
      <c r="V1831" s="848"/>
      <c r="W1831" s="848"/>
      <c r="X1831" s="848"/>
      <c r="Y1831" s="848"/>
      <c r="Z1831" s="1055"/>
      <c r="AB1831" s="848"/>
      <c r="AC1831" s="848"/>
      <c r="AD1831" s="848"/>
      <c r="AE1831" s="848"/>
      <c r="AF1831" s="848"/>
      <c r="AG1831" s="848"/>
      <c r="AH1831" s="848"/>
      <c r="AI1831" s="848"/>
      <c r="AJ1831" s="848"/>
      <c r="AK1831" s="848"/>
      <c r="AL1831" s="311"/>
      <c r="AM1831" s="311"/>
      <c r="AN1831" s="311"/>
      <c r="AO1831" s="311"/>
      <c r="AP1831" s="311"/>
      <c r="AQ1831" s="311"/>
      <c r="AR1831" s="311"/>
      <c r="AS1831" s="311"/>
      <c r="AT1831" s="848"/>
      <c r="AU1831" s="848"/>
      <c r="AV1831" s="848"/>
      <c r="AW1831" s="848"/>
      <c r="AX1831" s="908" t="str">
        <f>'Overview (Verification)'!A10</f>
        <v>Community/Lot #:</v>
      </c>
      <c r="AY1831" s="1077">
        <f>IF(LEN('Overview (Verification)'!P10)=0,0,'Overview (Verification)'!P10)</f>
        <v>0</v>
      </c>
      <c r="AZ1831" s="848"/>
      <c r="BA1831" s="848"/>
      <c r="BB1831" s="848"/>
      <c r="BC1831" s="848"/>
      <c r="BD1831" s="848"/>
      <c r="BE1831" s="848"/>
      <c r="BF1831" s="848"/>
      <c r="BG1831" s="848"/>
      <c r="BH1831" s="848"/>
      <c r="BJ1831" s="1184" t="s">
        <v>4763</v>
      </c>
    </row>
    <row r="1832" spans="1:62" x14ac:dyDescent="0.3">
      <c r="A1832" s="1200">
        <v>10</v>
      </c>
      <c r="B1832" s="1210">
        <v>1001.1</v>
      </c>
      <c r="C1832" s="1203"/>
      <c r="D1832" s="1203"/>
      <c r="E1832" s="1203"/>
      <c r="F1832" s="1203"/>
      <c r="G1832" s="1202" t="str">
        <f t="shared" si="631"/>
        <v>P</v>
      </c>
      <c r="H1832" s="1200" t="s">
        <v>4388</v>
      </c>
      <c r="I1832" s="4"/>
      <c r="J1832" s="4"/>
      <c r="K1832" s="4"/>
      <c r="L1832" s="253" t="s">
        <v>3589</v>
      </c>
      <c r="M1832" s="1387"/>
      <c r="N1832" s="1310"/>
      <c r="O1832" s="1310"/>
      <c r="P1832" s="848"/>
      <c r="Q1832" s="848"/>
      <c r="R1832" s="848"/>
      <c r="S1832" s="848"/>
      <c r="T1832" s="848"/>
      <c r="U1832" s="848"/>
      <c r="V1832" s="848"/>
      <c r="W1832" s="848"/>
      <c r="X1832" s="848"/>
      <c r="Y1832" s="848"/>
      <c r="Z1832" s="1055"/>
      <c r="AB1832" s="848"/>
      <c r="AC1832" s="848"/>
      <c r="AD1832" s="848"/>
      <c r="AE1832" s="848"/>
      <c r="AF1832" s="848"/>
      <c r="AG1832" s="848"/>
      <c r="AH1832" s="848"/>
      <c r="AI1832" s="848"/>
      <c r="AJ1832" s="848"/>
      <c r="AK1832" s="848"/>
      <c r="AL1832" s="848"/>
      <c r="AM1832" s="848"/>
      <c r="AN1832" s="848"/>
      <c r="AO1832" s="848"/>
      <c r="AP1832" s="848"/>
      <c r="AQ1832" s="848"/>
      <c r="AR1832" s="848"/>
      <c r="AS1832" s="848"/>
      <c r="AT1832" s="848"/>
      <c r="AU1832" s="848"/>
      <c r="AV1832" s="848"/>
      <c r="AW1832" s="848"/>
      <c r="AX1832" s="908" t="str">
        <f>'Overview (Verification)'!A11</f>
        <v>City:</v>
      </c>
      <c r="AY1832" s="1077">
        <f>IF(LEN('Overview (Verification)'!P11)=0,0,'Overview (Verification)'!P11)</f>
        <v>0</v>
      </c>
      <c r="AZ1832" s="848"/>
      <c r="BA1832" s="848"/>
      <c r="BB1832" s="848"/>
      <c r="BC1832" s="848"/>
      <c r="BD1832" s="848"/>
      <c r="BE1832" s="848"/>
      <c r="BF1832" s="848"/>
      <c r="BG1832" s="848"/>
      <c r="BH1832" s="848"/>
      <c r="BJ1832" s="1184" t="s">
        <v>4763</v>
      </c>
    </row>
    <row r="1833" spans="1:62" x14ac:dyDescent="0.3">
      <c r="A1833" s="1200">
        <v>10</v>
      </c>
      <c r="B1833" s="1210">
        <v>1001.1</v>
      </c>
      <c r="C1833" s="1203"/>
      <c r="D1833" s="1203"/>
      <c r="E1833" s="1203" t="s">
        <v>271</v>
      </c>
      <c r="F1833" s="1203"/>
      <c r="G1833" s="1202" t="str">
        <f t="shared" si="631"/>
        <v>P</v>
      </c>
      <c r="H1833" s="1200" t="s">
        <v>4388</v>
      </c>
      <c r="I1833" s="4"/>
      <c r="J1833" s="231" t="s">
        <v>271</v>
      </c>
      <c r="K1833" s="238"/>
      <c r="L1833" s="1071" t="s">
        <v>3497</v>
      </c>
      <c r="M1833" s="1090" t="str">
        <f t="shared" ref="M1833:M1838" si="632">IF(R1833,"Mandatory","N/A")</f>
        <v>N/A</v>
      </c>
      <c r="N1833" s="4"/>
      <c r="O1833" s="850"/>
      <c r="P1833" s="848" t="b">
        <v>0</v>
      </c>
      <c r="Q1833" s="848" t="b">
        <v>1</v>
      </c>
      <c r="R1833" s="848" t="b">
        <f>S1833</f>
        <v>0</v>
      </c>
      <c r="S1833" s="848" t="b">
        <f>IF(AY1837=INDEX(ddSingleOrMulti,1),TRUE,FALSE)</f>
        <v>0</v>
      </c>
      <c r="T1833" s="97" t="b">
        <f>AND(NOT(S1833),W1833=TRUE)</f>
        <v>0</v>
      </c>
      <c r="U1833" s="848"/>
      <c r="V1833" s="848"/>
      <c r="W1833" s="25"/>
      <c r="X1833" s="851"/>
      <c r="Y1833" s="889" t="str">
        <f>IF(LEN('Ch10'!X15)=0,"None",'Ch10'!X15)</f>
        <v>None</v>
      </c>
      <c r="Z1833" s="1169"/>
      <c r="AB1833" s="848"/>
      <c r="AC1833" s="848" t="b">
        <f>OR(AD1833:AE1833)</f>
        <v>0</v>
      </c>
      <c r="AD1833" s="848" t="b">
        <f>T1833</f>
        <v>0</v>
      </c>
      <c r="AE1833" s="848" t="b">
        <f>AND(R1833,NOT(W1833=TRUE))</f>
        <v>0</v>
      </c>
      <c r="AF1833" s="1182" t="b">
        <f>AND(AE1833,NOT(Q1833))</f>
        <v>0</v>
      </c>
      <c r="AG1833" s="848"/>
      <c r="AH1833" s="848"/>
      <c r="AI1833" s="848"/>
      <c r="AJ1833" s="848"/>
      <c r="AK1833" s="848"/>
      <c r="AL1833" s="311" t="str">
        <f t="shared" ref="AL1833:AL1835" si="633">SUBSTITUTE(SUBSTITUTE(SUBSTITUTE("vpa"&amp;$B1833&amp;$C1833&amp;$D1833&amp;$E1833&amp;$F1833,".","_"),"(","_"),")","")</f>
        <v>vpa1001_1_1</v>
      </c>
      <c r="AM1833" s="311" t="str">
        <f>M1833</f>
        <v>N/A</v>
      </c>
      <c r="AN1833" s="311"/>
      <c r="AO1833" s="311"/>
      <c r="AP1833" s="311" t="str">
        <f t="shared" ref="AP1833:AP1835" si="634">SUBSTITUTE(SUBSTITUTE(SUBSTITUTE("vch"&amp;$B1833&amp;$C1833&amp;$D1833&amp;$E1833&amp;$F1833,".","_"),"(","_"),")","")</f>
        <v>vch1001_1_1</v>
      </c>
      <c r="AQ1833" s="311">
        <f>W1833</f>
        <v>0</v>
      </c>
      <c r="AR1833" s="311" t="str">
        <f t="shared" ref="AR1833:AR1835" si="635">SUBSTITUTE(SUBSTITUTE(SUBSTITUTE("vnt"&amp;$B1833&amp;$C1833&amp;$D1833&amp;$E1833&amp;$F1833,".","_"),"(","_"),")","")</f>
        <v>vnt1001_1_1</v>
      </c>
      <c r="AS1833" s="311">
        <f>X1833</f>
        <v>0</v>
      </c>
      <c r="AT1833" s="848"/>
      <c r="AU1833" s="848"/>
      <c r="AV1833" s="848"/>
      <c r="AW1833" s="848"/>
      <c r="AX1833" s="908" t="str">
        <f>'Overview (Verification)'!A12</f>
        <v>State:</v>
      </c>
      <c r="AY1833" s="1077">
        <f>IF(LEN('Overview (Verification)'!P12)=0,0,'Overview (Verification)'!P12)</f>
        <v>0</v>
      </c>
      <c r="AZ1833" s="848"/>
      <c r="BA1833" s="848"/>
      <c r="BB1833" s="848"/>
      <c r="BC1833" s="1077" t="str">
        <f>'Overview (Verification)'!T12</f>
        <v>State</v>
      </c>
      <c r="BD1833" s="1077" t="str">
        <f>'Overview (Verification)'!U12</f>
        <v>County</v>
      </c>
      <c r="BE1833" s="1077" t="str">
        <f>'Overview (Verification)'!V12</f>
        <v>Radon</v>
      </c>
      <c r="BF1833" s="1077" t="str">
        <f>'Overview (Verification)'!W12</f>
        <v>Climate</v>
      </c>
      <c r="BG1833" s="1077" t="str">
        <f>'Overview (Verification)'!X12</f>
        <v>Moist</v>
      </c>
      <c r="BH1833" s="1077" t="str">
        <f>'Overview (Verification)'!Y12</f>
        <v>WarmHumid</v>
      </c>
      <c r="BJ1833" s="1184" t="s">
        <v>4763</v>
      </c>
    </row>
    <row r="1834" spans="1:62" x14ac:dyDescent="0.3">
      <c r="A1834" s="1200">
        <v>10</v>
      </c>
      <c r="B1834" s="1210">
        <v>1001.1</v>
      </c>
      <c r="C1834" s="1203"/>
      <c r="D1834" s="1203"/>
      <c r="E1834" s="1203" t="s">
        <v>273</v>
      </c>
      <c r="F1834" s="1203"/>
      <c r="G1834" s="1202" t="str">
        <f t="shared" si="631"/>
        <v>P</v>
      </c>
      <c r="H1834" s="1200" t="s">
        <v>4388</v>
      </c>
      <c r="I1834" s="4"/>
      <c r="J1834" s="233" t="s">
        <v>273</v>
      </c>
      <c r="K1834" s="274"/>
      <c r="L1834" s="365" t="s">
        <v>3498</v>
      </c>
      <c r="M1834" s="1091" t="str">
        <f t="shared" si="632"/>
        <v>N/A</v>
      </c>
      <c r="N1834" s="4"/>
      <c r="O1834" s="850"/>
      <c r="P1834" s="848" t="b">
        <v>0</v>
      </c>
      <c r="Q1834" s="848" t="b">
        <v>1</v>
      </c>
      <c r="R1834" s="848" t="b">
        <f>S1834</f>
        <v>0</v>
      </c>
      <c r="S1834" s="848" t="b">
        <f>IF(AY1837=INDEX(ddSingleOrMulti,1),TRUE,FALSE)</f>
        <v>0</v>
      </c>
      <c r="T1834" s="97" t="b">
        <f>AND(NOT(S1834),W1834=TRUE)</f>
        <v>0</v>
      </c>
      <c r="U1834" s="848"/>
      <c r="V1834" s="848"/>
      <c r="W1834" s="25"/>
      <c r="X1834" s="851"/>
      <c r="Y1834" s="889" t="str">
        <f>IF(LEN('Ch10'!X16)=0,"None",'Ch10'!X16)</f>
        <v>None</v>
      </c>
      <c r="Z1834" s="1169"/>
      <c r="AB1834" s="848"/>
      <c r="AC1834" s="848" t="b">
        <f>OR(AD1834:AE1834)</f>
        <v>0</v>
      </c>
      <c r="AD1834" s="848" t="b">
        <f>T1834</f>
        <v>0</v>
      </c>
      <c r="AE1834" s="848" t="b">
        <f>AND(R1834,NOT(W1834=TRUE))</f>
        <v>0</v>
      </c>
      <c r="AF1834" s="1182" t="b">
        <f>AND(AE1834,NOT(Q1834))</f>
        <v>0</v>
      </c>
      <c r="AG1834" s="848"/>
      <c r="AH1834" s="848"/>
      <c r="AI1834" s="848"/>
      <c r="AJ1834" s="848"/>
      <c r="AK1834" s="848"/>
      <c r="AL1834" s="311" t="str">
        <f t="shared" si="633"/>
        <v>vpa1001_1_2</v>
      </c>
      <c r="AM1834" s="311" t="str">
        <f>M1834</f>
        <v>N/A</v>
      </c>
      <c r="AN1834" s="848"/>
      <c r="AO1834" s="848"/>
      <c r="AP1834" s="311" t="str">
        <f t="shared" si="634"/>
        <v>vch1001_1_2</v>
      </c>
      <c r="AQ1834" s="311">
        <f>W1834</f>
        <v>0</v>
      </c>
      <c r="AR1834" s="311" t="str">
        <f t="shared" si="635"/>
        <v>vnt1001_1_2</v>
      </c>
      <c r="AS1834" s="311">
        <f>X1834</f>
        <v>0</v>
      </c>
      <c r="AT1834" s="848"/>
      <c r="AU1834" s="848"/>
      <c r="AV1834" s="848"/>
      <c r="AW1834" s="848"/>
      <c r="AX1834" s="908" t="str">
        <f>'Overview (Verification)'!A13</f>
        <v>County:</v>
      </c>
      <c r="AY1834" s="1077">
        <f>IF(LEN('Overview (Verification)'!P13)=0,0,'Overview (Verification)'!P13)</f>
        <v>0</v>
      </c>
      <c r="AZ1834" s="848"/>
      <c r="BA1834" s="848"/>
      <c r="BB1834" s="848"/>
      <c r="BC1834" s="1077" t="str">
        <f>'Overview (Verification)'!T13</f>
        <v/>
      </c>
      <c r="BD1834" s="1077" t="str">
        <f>'Overview (Verification)'!U13</f>
        <v/>
      </c>
      <c r="BE1834" s="1077" t="str">
        <f>'Overview (Verification)'!V13</f>
        <v>!!</v>
      </c>
      <c r="BF1834" s="1077" t="str">
        <f>'Overview (Verification)'!W13</f>
        <v>!!</v>
      </c>
      <c r="BG1834" s="1077" t="str">
        <f>'Overview (Verification)'!X13</f>
        <v>!!</v>
      </c>
      <c r="BH1834" s="1077" t="str">
        <f>'Overview (Verification)'!Y13</f>
        <v>!!</v>
      </c>
      <c r="BJ1834" s="1184" t="s">
        <v>4763</v>
      </c>
    </row>
    <row r="1835" spans="1:62" x14ac:dyDescent="0.3">
      <c r="A1835" s="1200">
        <v>10</v>
      </c>
      <c r="B1835" s="1210">
        <v>1001.1</v>
      </c>
      <c r="C1835" s="1203"/>
      <c r="D1835" s="1203"/>
      <c r="E1835" s="1203" t="s">
        <v>275</v>
      </c>
      <c r="F1835" s="1203"/>
      <c r="G1835" s="1202" t="str">
        <f t="shared" si="631"/>
        <v>P</v>
      </c>
      <c r="H1835" s="1200" t="s">
        <v>4388</v>
      </c>
      <c r="I1835" s="4"/>
      <c r="J1835" s="237" t="s">
        <v>275</v>
      </c>
      <c r="K1835" s="216"/>
      <c r="L1835" s="1356" t="s">
        <v>3499</v>
      </c>
      <c r="M1835" s="1388" t="str">
        <f t="shared" si="632"/>
        <v>N/A</v>
      </c>
      <c r="N1835" s="4"/>
      <c r="O1835" s="850"/>
      <c r="P1835" s="848" t="b">
        <v>0</v>
      </c>
      <c r="Q1835" s="848" t="b">
        <v>1</v>
      </c>
      <c r="R1835" s="848" t="b">
        <f>S1835</f>
        <v>0</v>
      </c>
      <c r="S1835" s="848" t="b">
        <f>IF(AY1837=INDEX(ddSingleOrMulti,1),TRUE,FALSE)</f>
        <v>0</v>
      </c>
      <c r="T1835" s="97" t="b">
        <f>AND(NOT(S1835),W1835=TRUE)</f>
        <v>0</v>
      </c>
      <c r="U1835" s="848"/>
      <c r="V1835" s="848"/>
      <c r="W1835" s="25"/>
      <c r="X1835" s="1337"/>
      <c r="Y1835" s="1522" t="str">
        <f>IF(LEN('Ch10'!X17)=0,"None",'Ch10'!X17)</f>
        <v>None</v>
      </c>
      <c r="Z1835" s="1586"/>
      <c r="AB1835" s="848"/>
      <c r="AC1835" s="848" t="b">
        <f>OR(AD1835:AE1835)</f>
        <v>0</v>
      </c>
      <c r="AD1835" s="848" t="b">
        <f>T1835</f>
        <v>0</v>
      </c>
      <c r="AE1835" s="848" t="b">
        <f>AND(R1835,NOT(W1835=TRUE))</f>
        <v>0</v>
      </c>
      <c r="AF1835" s="1182" t="b">
        <f>AND(AE1835,NOT(Q1835))</f>
        <v>0</v>
      </c>
      <c r="AG1835" s="848"/>
      <c r="AH1835" s="848"/>
      <c r="AI1835" s="848"/>
      <c r="AJ1835" s="848"/>
      <c r="AK1835" s="848"/>
      <c r="AL1835" s="311" t="str">
        <f t="shared" si="633"/>
        <v>vpa1001_1_3</v>
      </c>
      <c r="AM1835" s="311" t="str">
        <f>M1835</f>
        <v>N/A</v>
      </c>
      <c r="AN1835" s="848"/>
      <c r="AO1835" s="848"/>
      <c r="AP1835" s="311" t="str">
        <f t="shared" si="634"/>
        <v>vch1001_1_3</v>
      </c>
      <c r="AQ1835" s="311">
        <f>W1835</f>
        <v>0</v>
      </c>
      <c r="AR1835" s="311" t="str">
        <f t="shared" si="635"/>
        <v>vnt1001_1_3</v>
      </c>
      <c r="AS1835" s="311">
        <f>X1835</f>
        <v>0</v>
      </c>
      <c r="AT1835" s="848"/>
      <c r="AU1835" s="848"/>
      <c r="AV1835" s="848"/>
      <c r="AW1835" s="848"/>
      <c r="AX1835" s="908" t="str">
        <f>'Overview (Verification)'!A14</f>
        <v>Zip:</v>
      </c>
      <c r="AY1835" s="1077">
        <f>IF(LEN('Overview (Verification)'!P14)=0,0,'Overview (Verification)'!P14)</f>
        <v>0</v>
      </c>
      <c r="AZ1835" s="848"/>
      <c r="BA1835" s="848"/>
      <c r="BB1835" s="848"/>
      <c r="BC1835" s="848"/>
      <c r="BD1835" s="848"/>
      <c r="BE1835" s="848"/>
      <c r="BF1835" s="848"/>
      <c r="BG1835" s="848"/>
      <c r="BH1835" s="848"/>
      <c r="BJ1835" s="1184" t="s">
        <v>4763</v>
      </c>
    </row>
    <row r="1836" spans="1:62" x14ac:dyDescent="0.3">
      <c r="A1836" s="1200">
        <v>10</v>
      </c>
      <c r="B1836" s="1210">
        <v>1001.1</v>
      </c>
      <c r="C1836" s="1203"/>
      <c r="D1836" s="1203"/>
      <c r="E1836" s="1203" t="s">
        <v>275</v>
      </c>
      <c r="F1836" s="1203"/>
      <c r="G1836" s="1202" t="str">
        <f t="shared" si="631"/>
        <v>P</v>
      </c>
      <c r="H1836" s="1200" t="s">
        <v>4388</v>
      </c>
      <c r="I1836" s="4"/>
      <c r="J1836" s="203"/>
      <c r="K1836" s="140"/>
      <c r="L1836" s="1305"/>
      <c r="M1836" s="1351" t="str">
        <f t="shared" si="632"/>
        <v>N/A</v>
      </c>
      <c r="N1836" s="4"/>
      <c r="O1836" s="850"/>
      <c r="P1836" s="848"/>
      <c r="Q1836" s="848"/>
      <c r="R1836" s="848"/>
      <c r="S1836" s="848"/>
      <c r="T1836" s="848"/>
      <c r="U1836" s="848"/>
      <c r="V1836" s="848"/>
      <c r="W1836" s="848"/>
      <c r="X1836" s="1312"/>
      <c r="Y1836" s="1522"/>
      <c r="Z1836" s="1586"/>
      <c r="AB1836" s="848"/>
      <c r="AC1836" s="848"/>
      <c r="AD1836" s="848"/>
      <c r="AE1836" s="848"/>
      <c r="AF1836" s="848"/>
      <c r="AG1836" s="848"/>
      <c r="AH1836" s="848"/>
      <c r="AI1836" s="848"/>
      <c r="AJ1836" s="848"/>
      <c r="AK1836" s="848"/>
      <c r="AL1836" s="848"/>
      <c r="AM1836" s="848"/>
      <c r="AN1836" s="848"/>
      <c r="AO1836" s="848"/>
      <c r="AP1836" s="848"/>
      <c r="AQ1836" s="848"/>
      <c r="AR1836" s="848"/>
      <c r="AS1836" s="848"/>
      <c r="AT1836" s="848"/>
      <c r="AU1836" s="848"/>
      <c r="AV1836" s="848"/>
      <c r="AW1836" s="848"/>
      <c r="AX1836" s="849"/>
      <c r="AY1836" s="1077"/>
      <c r="AZ1836" s="848"/>
      <c r="BA1836" s="848"/>
      <c r="BB1836" s="848"/>
      <c r="BC1836" s="848"/>
      <c r="BD1836" s="848"/>
      <c r="BE1836" s="848"/>
      <c r="BF1836" s="848"/>
      <c r="BG1836" s="848"/>
      <c r="BH1836" s="848"/>
      <c r="BJ1836" s="1184" t="s">
        <v>4763</v>
      </c>
    </row>
    <row r="1837" spans="1:62" x14ac:dyDescent="0.3">
      <c r="A1837" s="1200">
        <v>10</v>
      </c>
      <c r="B1837" s="1210">
        <v>1001.1</v>
      </c>
      <c r="C1837" s="1203"/>
      <c r="D1837" s="1203"/>
      <c r="E1837" s="1203" t="s">
        <v>275</v>
      </c>
      <c r="F1837" s="1203"/>
      <c r="G1837" s="1202" t="str">
        <f t="shared" si="631"/>
        <v>P</v>
      </c>
      <c r="H1837" s="1200" t="s">
        <v>4388</v>
      </c>
      <c r="I1837" s="4"/>
      <c r="J1837" s="203"/>
      <c r="K1837" s="140"/>
      <c r="L1837" s="1305"/>
      <c r="M1837" s="1351" t="str">
        <f t="shared" si="632"/>
        <v>N/A</v>
      </c>
      <c r="N1837" s="4"/>
      <c r="O1837" s="850"/>
      <c r="P1837" s="848"/>
      <c r="Q1837" s="848"/>
      <c r="R1837" s="848"/>
      <c r="S1837" s="848"/>
      <c r="T1837" s="848"/>
      <c r="U1837" s="848"/>
      <c r="V1837" s="848"/>
      <c r="W1837" s="848"/>
      <c r="X1837" s="1312"/>
      <c r="Y1837" s="1522"/>
      <c r="Z1837" s="1586"/>
      <c r="AB1837" s="848"/>
      <c r="AC1837" s="848"/>
      <c r="AD1837" s="848"/>
      <c r="AE1837" s="848"/>
      <c r="AF1837" s="848"/>
      <c r="AG1837" s="848"/>
      <c r="AH1837" s="848"/>
      <c r="AI1837" s="848"/>
      <c r="AJ1837" s="848"/>
      <c r="AK1837" s="848"/>
      <c r="AL1837" s="848"/>
      <c r="AM1837" s="848"/>
      <c r="AN1837" s="848"/>
      <c r="AO1837" s="848"/>
      <c r="AP1837" s="848"/>
      <c r="AQ1837" s="848"/>
      <c r="AR1837" s="848"/>
      <c r="AS1837" s="848"/>
      <c r="AT1837" s="848"/>
      <c r="AU1837" s="848"/>
      <c r="AV1837" s="848"/>
      <c r="AW1837" s="848"/>
      <c r="AX1837" s="908" t="str">
        <f>'Overview (Verification)'!A16</f>
        <v>Single-Family or Multifamily:</v>
      </c>
      <c r="AY1837" s="1077">
        <f>IF(LEN('Overview (Verification)'!P16)=0,0,'Overview (Verification)'!P16)</f>
        <v>0</v>
      </c>
      <c r="AZ1837" s="848"/>
      <c r="BA1837" s="848"/>
      <c r="BB1837" s="848"/>
      <c r="BC1837" s="848"/>
      <c r="BD1837" s="848"/>
      <c r="BE1837" s="848"/>
      <c r="BF1837" s="848"/>
      <c r="BG1837" s="848"/>
      <c r="BH1837" s="848"/>
      <c r="BJ1837" s="1184" t="s">
        <v>4763</v>
      </c>
    </row>
    <row r="1838" spans="1:62" x14ac:dyDescent="0.3">
      <c r="A1838" s="1200">
        <v>10</v>
      </c>
      <c r="B1838" s="1210">
        <v>1001.1</v>
      </c>
      <c r="C1838" s="1203"/>
      <c r="D1838" s="1203"/>
      <c r="E1838" s="1203" t="s">
        <v>275</v>
      </c>
      <c r="F1838" s="1203"/>
      <c r="G1838" s="1202" t="str">
        <f t="shared" si="631"/>
        <v>P</v>
      </c>
      <c r="H1838" s="1200" t="s">
        <v>4388</v>
      </c>
      <c r="I1838" s="4"/>
      <c r="J1838" s="231"/>
      <c r="K1838" s="238"/>
      <c r="L1838" s="1306"/>
      <c r="M1838" s="1352" t="str">
        <f t="shared" si="632"/>
        <v>N/A</v>
      </c>
      <c r="N1838" s="4"/>
      <c r="O1838" s="850"/>
      <c r="P1838" s="848"/>
      <c r="Q1838" s="848"/>
      <c r="R1838" s="848"/>
      <c r="S1838" s="848"/>
      <c r="T1838" s="848"/>
      <c r="U1838" s="848"/>
      <c r="V1838" s="848"/>
      <c r="W1838" s="848"/>
      <c r="X1838" s="1304"/>
      <c r="Y1838" s="1522"/>
      <c r="Z1838" s="1586"/>
      <c r="AB1838" s="848"/>
      <c r="AC1838" s="848"/>
      <c r="AD1838" s="848"/>
      <c r="AE1838" s="848"/>
      <c r="AF1838" s="848"/>
      <c r="AG1838" s="848"/>
      <c r="AH1838" s="848"/>
      <c r="AI1838" s="848"/>
      <c r="AJ1838" s="848"/>
      <c r="AK1838" s="848"/>
      <c r="AL1838" s="848"/>
      <c r="AM1838" s="848"/>
      <c r="AN1838" s="848"/>
      <c r="AO1838" s="848"/>
      <c r="AP1838" s="848"/>
      <c r="AQ1838" s="848"/>
      <c r="AR1838" s="848"/>
      <c r="AS1838" s="848"/>
      <c r="AT1838" s="848"/>
      <c r="AU1838" s="848"/>
      <c r="AV1838" s="848"/>
      <c r="AW1838" s="848"/>
      <c r="AX1838" s="908" t="str">
        <f>'Overview (Verification)'!A17</f>
        <v>Number of Units:</v>
      </c>
      <c r="AY1838" s="1077">
        <f>IF(LEN('Overview (Verification)'!P17)=0,0,'Overview (Verification)'!P17)</f>
        <v>0</v>
      </c>
      <c r="AZ1838" s="848"/>
      <c r="BA1838" s="848"/>
      <c r="BB1838" s="848"/>
      <c r="BC1838" s="848"/>
      <c r="BD1838" s="848"/>
      <c r="BE1838" s="848"/>
      <c r="BF1838" s="848"/>
      <c r="BG1838" s="848"/>
      <c r="BH1838" s="848"/>
      <c r="BJ1838" s="1184" t="s">
        <v>4763</v>
      </c>
    </row>
    <row r="1839" spans="1:62" x14ac:dyDescent="0.3">
      <c r="A1839" s="1200">
        <v>10</v>
      </c>
      <c r="B1839" s="1210">
        <v>1001.1</v>
      </c>
      <c r="C1839" s="1203"/>
      <c r="D1839" s="1203"/>
      <c r="E1839" s="1203" t="s">
        <v>285</v>
      </c>
      <c r="F1839" s="1203"/>
      <c r="G1839" s="1202" t="str">
        <f t="shared" si="631"/>
        <v>P</v>
      </c>
      <c r="H1839" s="1200" t="s">
        <v>4388</v>
      </c>
      <c r="I1839" s="4"/>
      <c r="J1839" s="233" t="s">
        <v>285</v>
      </c>
      <c r="K1839" s="274"/>
      <c r="L1839" s="365" t="s">
        <v>3500</v>
      </c>
      <c r="M1839" s="850"/>
      <c r="N1839" s="4"/>
      <c r="O1839" s="850"/>
      <c r="P1839" s="848" t="b">
        <v>0</v>
      </c>
      <c r="Q1839" s="848" t="b">
        <v>1</v>
      </c>
      <c r="R1839" s="848" t="b">
        <v>0</v>
      </c>
      <c r="S1839" s="848" t="b">
        <f>IF(AY1837=INDEX(ddSingleOrMulti,1),TRUE,FALSE)</f>
        <v>0</v>
      </c>
      <c r="T1839" s="97" t="b">
        <f>AND(NOT(S1839),W1839=TRUE)</f>
        <v>0</v>
      </c>
      <c r="U1839" s="848"/>
      <c r="V1839" s="848"/>
      <c r="W1839" s="25"/>
      <c r="X1839" s="851"/>
      <c r="Y1839" s="889" t="str">
        <f>IF(LEN('Ch10'!X21)=0,"None",'Ch10'!X21)</f>
        <v>None</v>
      </c>
      <c r="Z1839" s="1169"/>
      <c r="AB1839" s="848"/>
      <c r="AC1839" s="848" t="b">
        <f>OR(AD1839:AE1839)</f>
        <v>0</v>
      </c>
      <c r="AD1839" s="848" t="b">
        <f>T1839</f>
        <v>0</v>
      </c>
      <c r="AE1839" s="848"/>
      <c r="AF1839" s="848"/>
      <c r="AG1839" s="848"/>
      <c r="AH1839" s="848"/>
      <c r="AI1839" s="848"/>
      <c r="AJ1839" s="848"/>
      <c r="AK1839" s="848"/>
      <c r="AL1839" s="848"/>
      <c r="AM1839" s="848"/>
      <c r="AN1839" s="848"/>
      <c r="AO1839" s="848"/>
      <c r="AP1839" s="311" t="str">
        <f t="shared" ref="AP1839:AP1841" si="636">SUBSTITUTE(SUBSTITUTE(SUBSTITUTE("vch"&amp;$B1839&amp;$C1839&amp;$D1839&amp;$E1839&amp;$F1839,".","_"),"(","_"),")","")</f>
        <v>vch1001_1_4</v>
      </c>
      <c r="AQ1839" s="311">
        <f>W1839</f>
        <v>0</v>
      </c>
      <c r="AR1839" s="311" t="str">
        <f t="shared" ref="AR1839:AR1841" si="637">SUBSTITUTE(SUBSTITUTE(SUBSTITUTE("vnt"&amp;$B1839&amp;$C1839&amp;$D1839&amp;$E1839&amp;$F1839,".","_"),"(","_"),")","")</f>
        <v>vnt1001_1_4</v>
      </c>
      <c r="AS1839" s="311">
        <f>X1839</f>
        <v>0</v>
      </c>
      <c r="AT1839" s="848"/>
      <c r="AU1839" s="848"/>
      <c r="AV1839" s="848"/>
      <c r="AW1839" s="848"/>
      <c r="AX1839" s="908" t="str">
        <f>'Overview (Verification)'!A18</f>
        <v>Project Name:</v>
      </c>
      <c r="AY1839" s="1077">
        <f>IF(LEN('Overview (Verification)'!P18)=0,0,'Overview (Verification)'!P18)</f>
        <v>0</v>
      </c>
      <c r="AZ1839" s="848"/>
      <c r="BA1839" s="848"/>
      <c r="BB1839" s="848"/>
      <c r="BC1839" s="848"/>
      <c r="BD1839" s="848"/>
      <c r="BE1839" s="848"/>
      <c r="BF1839" s="848"/>
      <c r="BG1839" s="848"/>
      <c r="BH1839" s="848"/>
      <c r="BJ1839" s="1184" t="s">
        <v>4763</v>
      </c>
    </row>
    <row r="1840" spans="1:62" x14ac:dyDescent="0.3">
      <c r="A1840" s="1200">
        <v>10</v>
      </c>
      <c r="B1840" s="1210">
        <v>1001.1</v>
      </c>
      <c r="C1840" s="1203"/>
      <c r="D1840" s="1203"/>
      <c r="E1840" s="1203" t="s">
        <v>291</v>
      </c>
      <c r="F1840" s="1203"/>
      <c r="G1840" s="1202" t="str">
        <f t="shared" si="631"/>
        <v>P</v>
      </c>
      <c r="H1840" s="1200" t="s">
        <v>4388</v>
      </c>
      <c r="I1840" s="4"/>
      <c r="J1840" s="233" t="s">
        <v>291</v>
      </c>
      <c r="K1840" s="274"/>
      <c r="L1840" s="365" t="s">
        <v>3501</v>
      </c>
      <c r="M1840" s="850"/>
      <c r="N1840" s="4"/>
      <c r="O1840" s="850"/>
      <c r="P1840" s="848" t="b">
        <v>0</v>
      </c>
      <c r="Q1840" s="848" t="b">
        <v>1</v>
      </c>
      <c r="R1840" s="848" t="b">
        <v>0</v>
      </c>
      <c r="S1840" s="848" t="b">
        <f>IF(AY1837=INDEX(ddSingleOrMulti,1),TRUE,FALSE)</f>
        <v>0</v>
      </c>
      <c r="T1840" s="97" t="b">
        <f>AND(NOT(S1840),W1840=TRUE)</f>
        <v>0</v>
      </c>
      <c r="U1840" s="848"/>
      <c r="V1840" s="848"/>
      <c r="W1840" s="25"/>
      <c r="X1840" s="851"/>
      <c r="Y1840" s="889" t="str">
        <f>IF(LEN('Ch10'!X22)=0,"None",'Ch10'!X22)</f>
        <v>None</v>
      </c>
      <c r="Z1840" s="1169"/>
      <c r="AB1840" s="848"/>
      <c r="AC1840" s="848" t="b">
        <f>OR(AD1840:AE1840)</f>
        <v>0</v>
      </c>
      <c r="AD1840" s="848" t="b">
        <f>T1840</f>
        <v>0</v>
      </c>
      <c r="AE1840" s="848"/>
      <c r="AF1840" s="848"/>
      <c r="AG1840" s="848"/>
      <c r="AH1840" s="848"/>
      <c r="AI1840" s="848"/>
      <c r="AJ1840" s="848"/>
      <c r="AK1840" s="848"/>
      <c r="AL1840" s="848"/>
      <c r="AM1840" s="848"/>
      <c r="AN1840" s="848"/>
      <c r="AO1840" s="848"/>
      <c r="AP1840" s="311" t="str">
        <f t="shared" si="636"/>
        <v>vch1001_1_5</v>
      </c>
      <c r="AQ1840" s="311">
        <f>W1840</f>
        <v>0</v>
      </c>
      <c r="AR1840" s="311" t="str">
        <f t="shared" si="637"/>
        <v>vnt1001_1_5</v>
      </c>
      <c r="AS1840" s="311">
        <f>X1840</f>
        <v>0</v>
      </c>
      <c r="AT1840" s="848"/>
      <c r="AU1840" s="848"/>
      <c r="AV1840" s="848"/>
      <c r="AW1840" s="848"/>
      <c r="AX1840" s="849"/>
      <c r="AY1840" s="1077"/>
      <c r="AZ1840" s="848"/>
      <c r="BA1840" s="848"/>
      <c r="BB1840" s="848"/>
      <c r="BC1840" s="848"/>
      <c r="BD1840" s="848"/>
      <c r="BE1840" s="848"/>
      <c r="BF1840" s="848"/>
      <c r="BG1840" s="848"/>
      <c r="BH1840" s="848"/>
      <c r="BJ1840" s="1184" t="s">
        <v>4763</v>
      </c>
    </row>
    <row r="1841" spans="1:62" x14ac:dyDescent="0.3">
      <c r="A1841" s="1200">
        <v>10</v>
      </c>
      <c r="B1841" s="1210">
        <v>1001.1</v>
      </c>
      <c r="C1841" s="1203"/>
      <c r="D1841" s="1203"/>
      <c r="E1841" s="1203" t="s">
        <v>293</v>
      </c>
      <c r="F1841" s="1203"/>
      <c r="G1841" s="1202" t="str">
        <f t="shared" si="631"/>
        <v>P</v>
      </c>
      <c r="H1841" s="1200" t="s">
        <v>4388</v>
      </c>
      <c r="I1841" s="4"/>
      <c r="J1841" s="237" t="s">
        <v>293</v>
      </c>
      <c r="K1841" s="216"/>
      <c r="L1841" s="1356" t="s">
        <v>3502</v>
      </c>
      <c r="M1841" s="850"/>
      <c r="N1841" s="4"/>
      <c r="O1841" s="850"/>
      <c r="P1841" s="848" t="b">
        <v>0</v>
      </c>
      <c r="Q1841" s="848" t="b">
        <v>1</v>
      </c>
      <c r="R1841" s="848" t="b">
        <v>0</v>
      </c>
      <c r="S1841" s="848" t="b">
        <f>IF(AY1837=INDEX(ddSingleOrMulti,1),TRUE,FALSE)</f>
        <v>0</v>
      </c>
      <c r="T1841" s="97" t="b">
        <f>AND(NOT(S1841),W1841=TRUE)</f>
        <v>0</v>
      </c>
      <c r="U1841" s="848"/>
      <c r="V1841" s="848"/>
      <c r="W1841" s="25"/>
      <c r="X1841" s="1303"/>
      <c r="Y1841" s="1522" t="str">
        <f>IF(LEN('Ch10'!X23)=0,"None",'Ch10'!X23)</f>
        <v>None</v>
      </c>
      <c r="Z1841" s="1586"/>
      <c r="AB1841" s="848"/>
      <c r="AC1841" s="848" t="b">
        <f>OR(AD1841:AE1841)</f>
        <v>0</v>
      </c>
      <c r="AD1841" s="848" t="b">
        <f>T1841</f>
        <v>0</v>
      </c>
      <c r="AE1841" s="848"/>
      <c r="AF1841" s="848"/>
      <c r="AG1841" s="848"/>
      <c r="AH1841" s="848"/>
      <c r="AI1841" s="848"/>
      <c r="AJ1841" s="848"/>
      <c r="AK1841" s="848"/>
      <c r="AL1841" s="848"/>
      <c r="AM1841" s="848"/>
      <c r="AN1841" s="848"/>
      <c r="AO1841" s="848"/>
      <c r="AP1841" s="311" t="str">
        <f t="shared" si="636"/>
        <v>vch1001_1_6</v>
      </c>
      <c r="AQ1841" s="311">
        <f>W1841</f>
        <v>0</v>
      </c>
      <c r="AR1841" s="311" t="str">
        <f t="shared" si="637"/>
        <v>vnt1001_1_6</v>
      </c>
      <c r="AS1841" s="311">
        <f>X1841</f>
        <v>0</v>
      </c>
      <c r="AT1841" s="848"/>
      <c r="AU1841" s="848"/>
      <c r="AV1841" s="848"/>
      <c r="AW1841" s="848"/>
      <c r="AX1841" s="908" t="str">
        <f>'Overview (Verification)'!A20</f>
        <v>Above grade plane finished floor area:</v>
      </c>
      <c r="AY1841" s="1077">
        <f>IF(LEN('Overview (Verification)'!P20)=0,0,'Overview (Verification)'!P20)</f>
        <v>0</v>
      </c>
      <c r="AZ1841" s="848"/>
      <c r="BA1841" s="848"/>
      <c r="BB1841" s="848"/>
      <c r="BC1841" s="848"/>
      <c r="BD1841" s="848"/>
      <c r="BE1841" s="848"/>
      <c r="BF1841" s="848"/>
      <c r="BG1841" s="848"/>
      <c r="BH1841" s="848"/>
      <c r="BJ1841" s="1184" t="s">
        <v>4763</v>
      </c>
    </row>
    <row r="1842" spans="1:62" x14ac:dyDescent="0.3">
      <c r="A1842" s="1200">
        <v>10</v>
      </c>
      <c r="B1842" s="1210">
        <v>1001.1</v>
      </c>
      <c r="C1842" s="1203"/>
      <c r="D1842" s="1203"/>
      <c r="E1842" s="1203" t="s">
        <v>293</v>
      </c>
      <c r="F1842" s="1203"/>
      <c r="G1842" s="1202" t="str">
        <f t="shared" si="631"/>
        <v>P</v>
      </c>
      <c r="H1842" s="1200" t="s">
        <v>4388</v>
      </c>
      <c r="I1842" s="4"/>
      <c r="J1842" s="231"/>
      <c r="K1842" s="238"/>
      <c r="L1842" s="1306"/>
      <c r="M1842" s="850"/>
      <c r="N1842" s="4"/>
      <c r="O1842" s="850"/>
      <c r="P1842" s="848"/>
      <c r="Q1842" s="848"/>
      <c r="R1842" s="848"/>
      <c r="S1842" s="848"/>
      <c r="T1842" s="848"/>
      <c r="U1842" s="848"/>
      <c r="V1842" s="848"/>
      <c r="W1842" s="848"/>
      <c r="X1842" s="1303"/>
      <c r="Y1842" s="1522"/>
      <c r="Z1842" s="1586"/>
      <c r="AB1842" s="848"/>
      <c r="AC1842" s="848"/>
      <c r="AD1842" s="848"/>
      <c r="AE1842" s="848"/>
      <c r="AF1842" s="848"/>
      <c r="AG1842" s="848"/>
      <c r="AH1842" s="848"/>
      <c r="AI1842" s="848"/>
      <c r="AJ1842" s="848"/>
      <c r="AK1842" s="848"/>
      <c r="AL1842" s="848"/>
      <c r="AM1842" s="848"/>
      <c r="AN1842" s="848"/>
      <c r="AO1842" s="848"/>
      <c r="AP1842" s="848"/>
      <c r="AQ1842" s="848"/>
      <c r="AR1842" s="848"/>
      <c r="AS1842" s="848"/>
      <c r="AT1842" s="848"/>
      <c r="AU1842" s="848"/>
      <c r="AV1842" s="848"/>
      <c r="AW1842" s="848"/>
      <c r="AX1842" s="908" t="str">
        <f>'Overview (Verification)'!A21</f>
        <v>Total conditioned floor area:</v>
      </c>
      <c r="AY1842" s="1077">
        <f>IF(LEN('Overview (Verification)'!P21)=0,0,'Overview (Verification)'!P21)</f>
        <v>0</v>
      </c>
      <c r="AZ1842" s="848"/>
      <c r="BA1842" s="848"/>
      <c r="BB1842" s="848"/>
      <c r="BC1842" s="848"/>
      <c r="BD1842" s="848"/>
      <c r="BE1842" s="848"/>
      <c r="BF1842" s="848"/>
      <c r="BG1842" s="848"/>
      <c r="BH1842" s="848"/>
      <c r="BJ1842" s="1184" t="s">
        <v>4763</v>
      </c>
    </row>
    <row r="1843" spans="1:62" x14ac:dyDescent="0.3">
      <c r="A1843" s="1200">
        <v>10</v>
      </c>
      <c r="B1843" s="1210">
        <v>1001.1</v>
      </c>
      <c r="C1843" s="1203"/>
      <c r="D1843" s="1203"/>
      <c r="E1843" s="1203" t="s">
        <v>405</v>
      </c>
      <c r="F1843" s="1203"/>
      <c r="G1843" s="1202" t="str">
        <f t="shared" si="631"/>
        <v>P</v>
      </c>
      <c r="H1843" s="1200" t="s">
        <v>4388</v>
      </c>
      <c r="I1843" s="4"/>
      <c r="J1843" s="237" t="s">
        <v>405</v>
      </c>
      <c r="K1843" s="216"/>
      <c r="L1843" s="1356" t="s">
        <v>3503</v>
      </c>
      <c r="M1843" s="850"/>
      <c r="N1843" s="4"/>
      <c r="O1843" s="850"/>
      <c r="P1843" s="848" t="b">
        <v>0</v>
      </c>
      <c r="Q1843" s="848" t="b">
        <v>1</v>
      </c>
      <c r="R1843" s="848" t="b">
        <v>0</v>
      </c>
      <c r="S1843" s="848" t="b">
        <f>IF(AY1837=INDEX(ddSingleOrMulti,1),TRUE,FALSE)</f>
        <v>0</v>
      </c>
      <c r="T1843" s="97" t="b">
        <f>AND(NOT(S1843),W1843=TRUE)</f>
        <v>0</v>
      </c>
      <c r="U1843" s="848"/>
      <c r="V1843" s="848"/>
      <c r="W1843" s="25"/>
      <c r="X1843" s="1303"/>
      <c r="Y1843" s="1522" t="str">
        <f>IF(LEN('Ch10'!X25)=0,"None",'Ch10'!X25)</f>
        <v>None</v>
      </c>
      <c r="Z1843" s="1586"/>
      <c r="AB1843" s="848"/>
      <c r="AC1843" s="848" t="b">
        <f>OR(AD1843:AE1843)</f>
        <v>0</v>
      </c>
      <c r="AD1843" s="848" t="b">
        <f>T1843</f>
        <v>0</v>
      </c>
      <c r="AE1843" s="848"/>
      <c r="AF1843" s="848"/>
      <c r="AG1843" s="848"/>
      <c r="AH1843" s="848"/>
      <c r="AI1843" s="848"/>
      <c r="AJ1843" s="848"/>
      <c r="AK1843" s="848"/>
      <c r="AL1843" s="848"/>
      <c r="AM1843" s="848"/>
      <c r="AN1843" s="848"/>
      <c r="AO1843" s="848"/>
      <c r="AP1843" s="311" t="str">
        <f>SUBSTITUTE(SUBSTITUTE(SUBSTITUTE("vch"&amp;$B1843&amp;$C1843&amp;$D1843&amp;$E1843&amp;$F1843,".","_"),"(","_"),")","")</f>
        <v>vch1001_1_7</v>
      </c>
      <c r="AQ1843" s="311">
        <f>W1843</f>
        <v>0</v>
      </c>
      <c r="AR1843" s="311" t="str">
        <f>SUBSTITUTE(SUBSTITUTE(SUBSTITUTE("vnt"&amp;$B1843&amp;$C1843&amp;$D1843&amp;$E1843&amp;$F1843,".","_"),"(","_"),")","")</f>
        <v>vnt1001_1_7</v>
      </c>
      <c r="AS1843" s="311">
        <f>X1843</f>
        <v>0</v>
      </c>
      <c r="AT1843" s="848"/>
      <c r="AU1843" s="848"/>
      <c r="AV1843" s="848"/>
      <c r="AW1843" s="848"/>
      <c r="AX1843" s="908" t="str">
        <f>'Overview (Verification)'!A22</f>
        <v>Stories above grade:</v>
      </c>
      <c r="AY1843" s="1077">
        <f>IF(LEN('Overview (Verification)'!P22)=0,0,'Overview (Verification)'!P22)</f>
        <v>0</v>
      </c>
      <c r="AZ1843" s="848"/>
      <c r="BA1843" s="848"/>
      <c r="BB1843" s="848"/>
      <c r="BC1843" s="848"/>
      <c r="BD1843" s="848"/>
      <c r="BE1843" s="848"/>
      <c r="BF1843" s="848"/>
      <c r="BG1843" s="848"/>
      <c r="BH1843" s="848"/>
      <c r="BJ1843" s="1184" t="s">
        <v>4763</v>
      </c>
    </row>
    <row r="1844" spans="1:62" x14ac:dyDescent="0.3">
      <c r="A1844" s="1200">
        <v>10</v>
      </c>
      <c r="B1844" s="1210">
        <v>1001.1</v>
      </c>
      <c r="C1844" s="1203"/>
      <c r="D1844" s="1203"/>
      <c r="E1844" s="1203" t="s">
        <v>405</v>
      </c>
      <c r="F1844" s="1203"/>
      <c r="G1844" s="1202" t="str">
        <f t="shared" si="631"/>
        <v>P</v>
      </c>
      <c r="H1844" s="1200" t="s">
        <v>4388</v>
      </c>
      <c r="I1844" s="4"/>
      <c r="J1844" s="231"/>
      <c r="K1844" s="238"/>
      <c r="L1844" s="1306"/>
      <c r="M1844" s="850"/>
      <c r="N1844" s="4"/>
      <c r="O1844" s="850"/>
      <c r="P1844" s="848"/>
      <c r="Q1844" s="848"/>
      <c r="R1844" s="848"/>
      <c r="S1844" s="848"/>
      <c r="T1844" s="848"/>
      <c r="U1844" s="848"/>
      <c r="V1844" s="848"/>
      <c r="W1844" s="848"/>
      <c r="X1844" s="1303"/>
      <c r="Y1844" s="1522"/>
      <c r="Z1844" s="1586"/>
      <c r="AB1844" s="848"/>
      <c r="AC1844" s="848"/>
      <c r="AD1844" s="848"/>
      <c r="AE1844" s="848"/>
      <c r="AF1844" s="848"/>
      <c r="AG1844" s="848"/>
      <c r="AH1844" s="848"/>
      <c r="AI1844" s="848"/>
      <c r="AJ1844" s="848"/>
      <c r="AK1844" s="848"/>
      <c r="AL1844" s="848"/>
      <c r="AM1844" s="848"/>
      <c r="AN1844" s="848"/>
      <c r="AO1844" s="848"/>
      <c r="AP1844" s="848"/>
      <c r="AQ1844" s="848"/>
      <c r="AR1844" s="848"/>
      <c r="AS1844" s="848"/>
      <c r="AT1844" s="848"/>
      <c r="AU1844" s="848"/>
      <c r="AV1844" s="848"/>
      <c r="AW1844" s="848"/>
      <c r="AX1844" s="848"/>
      <c r="AY1844" s="1077"/>
      <c r="AZ1844" s="848"/>
      <c r="BA1844" s="848"/>
      <c r="BB1844" s="848"/>
      <c r="BC1844" s="848"/>
      <c r="BD1844" s="848"/>
      <c r="BE1844" s="848"/>
      <c r="BF1844" s="848"/>
      <c r="BG1844" s="848"/>
      <c r="BH1844" s="848"/>
      <c r="BJ1844" s="1184" t="s">
        <v>4763</v>
      </c>
    </row>
    <row r="1845" spans="1:62" x14ac:dyDescent="0.3">
      <c r="A1845" s="1200">
        <v>10</v>
      </c>
      <c r="B1845" s="1210">
        <v>1001.1</v>
      </c>
      <c r="C1845" s="1203"/>
      <c r="D1845" s="1203"/>
      <c r="E1845" s="1203" t="s">
        <v>456</v>
      </c>
      <c r="F1845" s="1203"/>
      <c r="G1845" s="1202" t="str">
        <f t="shared" si="631"/>
        <v>P</v>
      </c>
      <c r="H1845" s="1200" t="s">
        <v>4388</v>
      </c>
      <c r="I1845" s="4"/>
      <c r="J1845" s="233" t="s">
        <v>456</v>
      </c>
      <c r="K1845" s="274"/>
      <c r="L1845" s="365" t="s">
        <v>3504</v>
      </c>
      <c r="M1845" s="850"/>
      <c r="N1845" s="4"/>
      <c r="O1845" s="850"/>
      <c r="P1845" s="848" t="b">
        <v>0</v>
      </c>
      <c r="Q1845" s="848" t="b">
        <v>1</v>
      </c>
      <c r="R1845" s="848" t="b">
        <v>0</v>
      </c>
      <c r="S1845" s="848" t="b">
        <f>IF(AY1837=INDEX(ddSingleOrMulti,1),TRUE,FALSE)</f>
        <v>0</v>
      </c>
      <c r="T1845" s="97" t="b">
        <f>AND(NOT(S1845),W1845=TRUE)</f>
        <v>0</v>
      </c>
      <c r="U1845" s="848"/>
      <c r="V1845" s="848"/>
      <c r="W1845" s="25"/>
      <c r="X1845" s="851"/>
      <c r="Y1845" s="889" t="str">
        <f>IF(LEN('Ch10'!X27)=0,"None",'Ch10'!X27)</f>
        <v>None</v>
      </c>
      <c r="Z1845" s="1169"/>
      <c r="AB1845" s="848"/>
      <c r="AC1845" s="848" t="b">
        <f>OR(AD1845:AE1845)</f>
        <v>0</v>
      </c>
      <c r="AD1845" s="848" t="b">
        <f>T1845</f>
        <v>0</v>
      </c>
      <c r="AE1845" s="848"/>
      <c r="AF1845" s="848"/>
      <c r="AG1845" s="848"/>
      <c r="AH1845" s="848"/>
      <c r="AI1845" s="848"/>
      <c r="AJ1845" s="848"/>
      <c r="AK1845" s="848"/>
      <c r="AL1845" s="848"/>
      <c r="AM1845" s="848"/>
      <c r="AN1845" s="848"/>
      <c r="AO1845" s="848"/>
      <c r="AP1845" s="311" t="str">
        <f t="shared" ref="AP1845:AP1850" si="638">SUBSTITUTE(SUBSTITUTE(SUBSTITUTE("vch"&amp;$B1845&amp;$C1845&amp;$D1845&amp;$E1845&amp;$F1845,".","_"),"(","_"),")","")</f>
        <v>vch1001_1_8</v>
      </c>
      <c r="AQ1845" s="311">
        <f>W1845</f>
        <v>0</v>
      </c>
      <c r="AR1845" s="311" t="str">
        <f t="shared" ref="AR1845:AR1850" si="639">SUBSTITUTE(SUBSTITUTE(SUBSTITUTE("vnt"&amp;$B1845&amp;$C1845&amp;$D1845&amp;$E1845&amp;$F1845,".","_"),"(","_"),")","")</f>
        <v>vnt1001_1_8</v>
      </c>
      <c r="AS1845" s="311">
        <f>X1845</f>
        <v>0</v>
      </c>
      <c r="AT1845" s="848"/>
      <c r="AU1845" s="848"/>
      <c r="AV1845" s="848"/>
      <c r="AW1845" s="848"/>
      <c r="AX1845" s="908" t="str">
        <f>'Overview (Verification)'!A24</f>
        <v xml:space="preserve">Project Description (optional): </v>
      </c>
      <c r="AY1845" s="1077">
        <f>IF(LEN('Overview (Verification)'!P24)=0,0,'Overview (Verification)'!P24)</f>
        <v>0</v>
      </c>
      <c r="AZ1845" s="848"/>
      <c r="BA1845" s="848"/>
      <c r="BB1845" s="848"/>
      <c r="BC1845" s="848"/>
      <c r="BD1845" s="848"/>
      <c r="BE1845" s="848"/>
      <c r="BF1845" s="848"/>
      <c r="BG1845" s="848"/>
      <c r="BH1845" s="848"/>
      <c r="BJ1845" s="1184" t="s">
        <v>4763</v>
      </c>
    </row>
    <row r="1846" spans="1:62" ht="15" customHeight="1" x14ac:dyDescent="0.3">
      <c r="A1846" s="1200">
        <v>10</v>
      </c>
      <c r="B1846" s="1210">
        <v>1001.1</v>
      </c>
      <c r="C1846" s="1203"/>
      <c r="D1846" s="1203"/>
      <c r="E1846" s="1203" t="s">
        <v>458</v>
      </c>
      <c r="F1846" s="1203"/>
      <c r="G1846" s="1202" t="str">
        <f t="shared" si="631"/>
        <v>P</v>
      </c>
      <c r="H1846" s="1200" t="s">
        <v>4388</v>
      </c>
      <c r="I1846" s="4"/>
      <c r="J1846" s="27" t="s">
        <v>458</v>
      </c>
      <c r="K1846" s="4"/>
      <c r="L1846" s="1355" t="s">
        <v>3505</v>
      </c>
      <c r="M1846" s="1353" t="str">
        <f ca="1">IF(R1846,"Mandatory per 902.2.1","N/A")</f>
        <v>N/A</v>
      </c>
      <c r="N1846" s="4"/>
      <c r="O1846" s="850"/>
      <c r="P1846" s="848" t="b">
        <v>0</v>
      </c>
      <c r="Q1846" s="848" t="b">
        <v>1</v>
      </c>
      <c r="R1846" s="1" t="b">
        <f ca="1">AND(S1846,OR($O$1758&gt;0,$R$1758))</f>
        <v>0</v>
      </c>
      <c r="S1846" s="848" t="b">
        <f>IF(AY1837=INDEX(ddSingleOrMulti,1),TRUE,FALSE)</f>
        <v>0</v>
      </c>
      <c r="T1846" s="97" t="b">
        <f>AND(NOT(S1846),W1846=TRUE)</f>
        <v>0</v>
      </c>
      <c r="U1846" s="848"/>
      <c r="V1846" s="848"/>
      <c r="W1846" s="25"/>
      <c r="X1846" s="1337"/>
      <c r="Y1846" s="1527" t="str">
        <f>IF(LEN('Ch10'!X28)=0,"None",'Ch10'!X28)</f>
        <v>None</v>
      </c>
      <c r="Z1846" s="1590"/>
      <c r="AB1846" s="848"/>
      <c r="AC1846" s="848" t="b">
        <f ca="1">OR(AD1846:AE1846)</f>
        <v>0</v>
      </c>
      <c r="AD1846" s="848" t="b">
        <f>T1846</f>
        <v>0</v>
      </c>
      <c r="AE1846" s="1068" t="b">
        <f ca="1">AND(R1846,NOT(W1846=TRUE))</f>
        <v>0</v>
      </c>
      <c r="AF1846" s="1182" t="b">
        <f ca="1">AND(AE1846,NOT(Q1846))</f>
        <v>0</v>
      </c>
      <c r="AG1846" s="848"/>
      <c r="AH1846" s="848"/>
      <c r="AI1846" s="848"/>
      <c r="AJ1846" s="848"/>
      <c r="AK1846" s="848"/>
      <c r="AL1846" s="848"/>
      <c r="AM1846" s="848"/>
      <c r="AN1846" s="848"/>
      <c r="AO1846" s="848"/>
      <c r="AP1846" s="311" t="str">
        <f t="shared" si="638"/>
        <v>vch1001_1_9</v>
      </c>
      <c r="AQ1846" s="311">
        <f>W1846</f>
        <v>0</v>
      </c>
      <c r="AR1846" s="311" t="str">
        <f t="shared" si="639"/>
        <v>vnt1001_1_9</v>
      </c>
      <c r="AS1846" s="311">
        <f>X1846</f>
        <v>0</v>
      </c>
      <c r="AT1846" s="848"/>
      <c r="AU1846" s="848"/>
      <c r="AV1846" s="848"/>
      <c r="AW1846" s="848"/>
      <c r="AX1846" s="848"/>
      <c r="AY1846" s="1077"/>
      <c r="AZ1846" s="848"/>
      <c r="BA1846" s="848"/>
      <c r="BB1846" s="848"/>
      <c r="BC1846" s="848"/>
      <c r="BD1846" s="848"/>
      <c r="BE1846" s="848"/>
      <c r="BF1846" s="848"/>
      <c r="BG1846" s="848"/>
      <c r="BH1846" s="848"/>
      <c r="BJ1846" s="1184" t="s">
        <v>4763</v>
      </c>
    </row>
    <row r="1847" spans="1:62" s="1068" customFormat="1" ht="15" customHeight="1" x14ac:dyDescent="0.3">
      <c r="A1847" s="1200">
        <v>10</v>
      </c>
      <c r="B1847" s="1210">
        <v>1001.1</v>
      </c>
      <c r="C1847" s="1203"/>
      <c r="D1847" s="1203"/>
      <c r="E1847" s="1203" t="s">
        <v>458</v>
      </c>
      <c r="F1847" s="1203"/>
      <c r="G1847" s="1202" t="str">
        <f t="shared" si="631"/>
        <v>P</v>
      </c>
      <c r="H1847" s="1200" t="s">
        <v>4388</v>
      </c>
      <c r="I1847" s="4"/>
      <c r="J1847" s="27"/>
      <c r="K1847" s="4"/>
      <c r="L1847" s="1294"/>
      <c r="M1847" s="1353"/>
      <c r="N1847" s="4"/>
      <c r="O1847" s="1069"/>
      <c r="R1847"/>
      <c r="T1847" s="97"/>
      <c r="W1847"/>
      <c r="X1847" s="1304"/>
      <c r="Y1847" s="1525"/>
      <c r="Z1847" s="1585"/>
      <c r="AA1847" s="1110"/>
      <c r="AP1847" s="311"/>
      <c r="AQ1847" s="311"/>
      <c r="AR1847" s="311"/>
      <c r="AS1847" s="311"/>
      <c r="AX1847" s="908" t="str">
        <f>'Overview (Verification)'!A26</f>
        <v>HERS Index (if available):</v>
      </c>
      <c r="AY1847" s="1077">
        <f>IF(LEN('Overview (Verification)'!P26)=0,0,'Overview (Verification)'!P26)</f>
        <v>0</v>
      </c>
      <c r="BJ1847" s="1184" t="s">
        <v>4763</v>
      </c>
    </row>
    <row r="1848" spans="1:62" x14ac:dyDescent="0.3">
      <c r="A1848" s="1200">
        <v>10</v>
      </c>
      <c r="B1848" s="1210">
        <v>1001.1</v>
      </c>
      <c r="C1848" s="1203"/>
      <c r="D1848" s="1203"/>
      <c r="E1848" s="1203" t="s">
        <v>460</v>
      </c>
      <c r="F1848" s="1203"/>
      <c r="G1848" s="1202" t="str">
        <f>G1846</f>
        <v>P</v>
      </c>
      <c r="H1848" s="1200" t="s">
        <v>4388</v>
      </c>
      <c r="I1848" s="4"/>
      <c r="J1848" s="233" t="s">
        <v>460</v>
      </c>
      <c r="K1848" s="274"/>
      <c r="L1848" s="365" t="s">
        <v>3506</v>
      </c>
      <c r="M1848" s="850"/>
      <c r="N1848" s="4"/>
      <c r="O1848" s="850"/>
      <c r="P1848" s="848" t="b">
        <v>0</v>
      </c>
      <c r="Q1848" s="848" t="b">
        <v>1</v>
      </c>
      <c r="R1848" s="848" t="b">
        <v>0</v>
      </c>
      <c r="S1848" s="848" t="b">
        <f>IF(AY1837=INDEX(ddSingleOrMulti,1),TRUE,FALSE)</f>
        <v>0</v>
      </c>
      <c r="T1848" s="97" t="b">
        <f>AND(NOT(S1848),W1848=TRUE)</f>
        <v>0</v>
      </c>
      <c r="U1848" s="848"/>
      <c r="V1848" s="848"/>
      <c r="W1848" s="25"/>
      <c r="X1848" s="851"/>
      <c r="Y1848" s="889" t="str">
        <f>IF(LEN('Ch10'!X30)=0,"None",'Ch10'!X30)</f>
        <v>None</v>
      </c>
      <c r="Z1848" s="1169"/>
      <c r="AB1848" s="848"/>
      <c r="AC1848" s="848" t="b">
        <f>OR(AD1848:AE1848)</f>
        <v>0</v>
      </c>
      <c r="AD1848" s="848" t="b">
        <f>T1848</f>
        <v>0</v>
      </c>
      <c r="AE1848" s="848"/>
      <c r="AF1848" s="848"/>
      <c r="AG1848" s="848"/>
      <c r="AH1848" s="848"/>
      <c r="AI1848" s="848"/>
      <c r="AJ1848" s="848"/>
      <c r="AK1848" s="848"/>
      <c r="AL1848" s="848"/>
      <c r="AM1848" s="848"/>
      <c r="AN1848" s="848"/>
      <c r="AO1848" s="848"/>
      <c r="AP1848" s="311" t="str">
        <f t="shared" si="638"/>
        <v>vch1001_1_10</v>
      </c>
      <c r="AQ1848" s="311">
        <f>W1848</f>
        <v>0</v>
      </c>
      <c r="AR1848" s="311" t="str">
        <f t="shared" si="639"/>
        <v>vnt1001_1_10</v>
      </c>
      <c r="AS1848" s="311">
        <f>X1848</f>
        <v>0</v>
      </c>
      <c r="AT1848" s="848"/>
      <c r="AU1848" s="848"/>
      <c r="AV1848" s="848"/>
      <c r="AW1848" s="848"/>
      <c r="AX1848" s="908" t="str">
        <f>'Overview (Verification)'!A27</f>
        <v>Foundation Type:</v>
      </c>
      <c r="AY1848" s="1077">
        <f>IF(LEN('Overview (Verification)'!P27)=0,0,'Overview (Verification)'!P27)</f>
        <v>0</v>
      </c>
      <c r="AZ1848" s="848"/>
      <c r="BA1848" s="848"/>
      <c r="BB1848" s="848"/>
      <c r="BC1848" s="848"/>
      <c r="BD1848" s="848"/>
      <c r="BE1848" s="848"/>
      <c r="BF1848" s="848"/>
      <c r="BG1848" s="848"/>
      <c r="BH1848" s="848"/>
      <c r="BJ1848" s="1184" t="s">
        <v>4763</v>
      </c>
    </row>
    <row r="1849" spans="1:62" ht="15" customHeight="1" x14ac:dyDescent="0.3">
      <c r="A1849" s="1200">
        <v>10</v>
      </c>
      <c r="B1849" s="1210">
        <v>1001.1</v>
      </c>
      <c r="C1849" s="1203"/>
      <c r="D1849" s="1203"/>
      <c r="E1849" s="1203" t="s">
        <v>462</v>
      </c>
      <c r="F1849" s="1203"/>
      <c r="G1849" s="1202" t="str">
        <f t="shared" si="631"/>
        <v>P</v>
      </c>
      <c r="H1849" s="1200" t="s">
        <v>4388</v>
      </c>
      <c r="I1849" s="4"/>
      <c r="J1849" s="27" t="s">
        <v>462</v>
      </c>
      <c r="K1849" s="4"/>
      <c r="L1849" s="1074" t="s">
        <v>3507</v>
      </c>
      <c r="M1849" s="850"/>
      <c r="N1849" s="4"/>
      <c r="O1849" s="850"/>
      <c r="P1849" s="848" t="b">
        <v>0</v>
      </c>
      <c r="Q1849" s="848" t="b">
        <v>1</v>
      </c>
      <c r="R1849" s="848" t="b">
        <v>0</v>
      </c>
      <c r="S1849" s="848" t="b">
        <f>IF(AY1837=INDEX(ddSingleOrMulti,1),TRUE,FALSE)</f>
        <v>0</v>
      </c>
      <c r="T1849" s="97" t="b">
        <f>AND(NOT(S1849),W1849=TRUE)</f>
        <v>0</v>
      </c>
      <c r="U1849" s="848"/>
      <c r="V1849" s="848"/>
      <c r="W1849" s="25"/>
      <c r="X1849" s="851"/>
      <c r="Y1849" s="889" t="str">
        <f>IF(LEN('Ch10'!X31)=0,"None",'Ch10'!X31)</f>
        <v>None</v>
      </c>
      <c r="Z1849" s="1169"/>
      <c r="AB1849" s="848"/>
      <c r="AC1849" s="848" t="b">
        <f>OR(AD1849:AE1849)</f>
        <v>0</v>
      </c>
      <c r="AD1849" s="848" t="b">
        <f>T1849</f>
        <v>0</v>
      </c>
      <c r="AE1849" s="848"/>
      <c r="AF1849" s="848"/>
      <c r="AG1849" s="848"/>
      <c r="AH1849" s="848"/>
      <c r="AI1849" s="848"/>
      <c r="AJ1849" s="848"/>
      <c r="AK1849" s="848"/>
      <c r="AL1849" s="848"/>
      <c r="AM1849" s="848"/>
      <c r="AN1849" s="848"/>
      <c r="AO1849" s="848"/>
      <c r="AP1849" s="311" t="str">
        <f t="shared" si="638"/>
        <v>vch1001_1_11</v>
      </c>
      <c r="AQ1849" s="311">
        <f>W1849</f>
        <v>0</v>
      </c>
      <c r="AR1849" s="311" t="str">
        <f t="shared" si="639"/>
        <v>vnt1001_1_11</v>
      </c>
      <c r="AS1849" s="311">
        <f>X1849</f>
        <v>0</v>
      </c>
      <c r="AT1849" s="848"/>
      <c r="AU1849" s="848"/>
      <c r="AV1849" s="848"/>
      <c r="AW1849" s="848"/>
      <c r="AX1849" s="849"/>
      <c r="AY1849" s="1077"/>
      <c r="AZ1849" s="848"/>
      <c r="BA1849" s="848"/>
      <c r="BB1849" s="848"/>
      <c r="BC1849" s="848"/>
      <c r="BD1849" s="848"/>
      <c r="BE1849" s="848"/>
      <c r="BF1849" s="848"/>
      <c r="BG1849" s="848"/>
      <c r="BH1849" s="848"/>
      <c r="BJ1849" s="1184" t="s">
        <v>4763</v>
      </c>
    </row>
    <row r="1850" spans="1:62" x14ac:dyDescent="0.3">
      <c r="A1850" s="1200">
        <v>10</v>
      </c>
      <c r="B1850" s="1210">
        <v>1001.1</v>
      </c>
      <c r="C1850" s="1203"/>
      <c r="D1850" s="1203"/>
      <c r="E1850" s="1203" t="s">
        <v>464</v>
      </c>
      <c r="F1850" s="1203"/>
      <c r="G1850" s="1202" t="str">
        <f t="shared" si="631"/>
        <v>P</v>
      </c>
      <c r="H1850" s="1200" t="s">
        <v>4388</v>
      </c>
      <c r="I1850" s="4"/>
      <c r="J1850" s="237" t="s">
        <v>464</v>
      </c>
      <c r="K1850" s="216"/>
      <c r="L1850" s="1356" t="s">
        <v>3508</v>
      </c>
      <c r="M1850" s="850"/>
      <c r="N1850" s="4"/>
      <c r="O1850" s="850"/>
      <c r="P1850" s="848" t="b">
        <v>0</v>
      </c>
      <c r="Q1850" s="848" t="b">
        <v>1</v>
      </c>
      <c r="R1850" s="848" t="b">
        <v>0</v>
      </c>
      <c r="S1850" s="848" t="b">
        <f>IF(AY1837=INDEX(ddSingleOrMulti,1),TRUE,FALSE)</f>
        <v>0</v>
      </c>
      <c r="T1850" s="97" t="b">
        <f>AND(NOT(S1850),W1850=TRUE)</f>
        <v>0</v>
      </c>
      <c r="U1850" s="848"/>
      <c r="V1850" s="848"/>
      <c r="W1850" s="25"/>
      <c r="X1850" s="1303"/>
      <c r="Y1850" s="1522" t="str">
        <f>IF(LEN('Ch10'!X32)=0,"None",'Ch10'!X32)</f>
        <v>None</v>
      </c>
      <c r="Z1850" s="1586"/>
      <c r="AB1850" s="848"/>
      <c r="AC1850" s="848" t="b">
        <f>OR(AD1850:AE1850)</f>
        <v>0</v>
      </c>
      <c r="AD1850" s="848" t="b">
        <f>T1850</f>
        <v>0</v>
      </c>
      <c r="AE1850" s="848"/>
      <c r="AF1850" s="848"/>
      <c r="AG1850" s="848"/>
      <c r="AH1850" s="848"/>
      <c r="AI1850" s="848"/>
      <c r="AJ1850" s="848"/>
      <c r="AK1850" s="848"/>
      <c r="AL1850" s="848"/>
      <c r="AM1850" s="848"/>
      <c r="AN1850" s="848"/>
      <c r="AO1850" s="848"/>
      <c r="AP1850" s="311" t="str">
        <f t="shared" si="638"/>
        <v>vch1001_1_12</v>
      </c>
      <c r="AQ1850" s="311">
        <f>W1850</f>
        <v>0</v>
      </c>
      <c r="AR1850" s="311" t="str">
        <f t="shared" si="639"/>
        <v>vnt1001_1_12</v>
      </c>
      <c r="AS1850" s="311">
        <f>X1850</f>
        <v>0</v>
      </c>
      <c r="AT1850" s="848"/>
      <c r="AU1850" s="848"/>
      <c r="AV1850" s="848"/>
      <c r="AW1850" s="848"/>
      <c r="AX1850" s="908" t="str">
        <f>'Overview (Verification)'!A29</f>
        <v>Type of Heating System (main system):</v>
      </c>
      <c r="AY1850" s="1077">
        <f>IF(LEN('Overview (Verification)'!P29)=0,0,'Overview (Verification)'!P29)</f>
        <v>0</v>
      </c>
      <c r="AZ1850" s="848"/>
      <c r="BA1850" s="848"/>
      <c r="BB1850" s="848"/>
      <c r="BC1850" s="848"/>
      <c r="BD1850" s="848"/>
      <c r="BE1850" s="848"/>
      <c r="BF1850" s="848"/>
      <c r="BG1850" s="848"/>
      <c r="BH1850" s="848"/>
      <c r="BJ1850" s="1184" t="s">
        <v>4763</v>
      </c>
    </row>
    <row r="1851" spans="1:62" x14ac:dyDescent="0.3">
      <c r="A1851" s="1200">
        <v>10</v>
      </c>
      <c r="B1851" s="1210">
        <v>1001.1</v>
      </c>
      <c r="C1851" s="1203"/>
      <c r="D1851" s="1203"/>
      <c r="E1851" s="1203" t="s">
        <v>464</v>
      </c>
      <c r="F1851" s="1203"/>
      <c r="G1851" s="1202" t="str">
        <f t="shared" si="631"/>
        <v>P</v>
      </c>
      <c r="H1851" s="1200" t="s">
        <v>4388</v>
      </c>
      <c r="I1851" s="4"/>
      <c r="J1851" s="140"/>
      <c r="K1851" s="140"/>
      <c r="L1851" s="1305"/>
      <c r="M1851" s="850"/>
      <c r="N1851" s="4"/>
      <c r="O1851" s="850"/>
      <c r="P1851" s="848"/>
      <c r="Q1851" s="848"/>
      <c r="R1851" s="848"/>
      <c r="S1851" s="848"/>
      <c r="T1851" s="848"/>
      <c r="U1851" s="848"/>
      <c r="V1851" s="848"/>
      <c r="W1851" s="848"/>
      <c r="X1851" s="1303"/>
      <c r="Y1851" s="1522"/>
      <c r="Z1851" s="1586"/>
      <c r="AB1851" s="848"/>
      <c r="AC1851" s="848"/>
      <c r="AD1851" s="848"/>
      <c r="AE1851" s="848"/>
      <c r="AF1851" s="848"/>
      <c r="AG1851" s="848"/>
      <c r="AH1851" s="848"/>
      <c r="AI1851" s="848"/>
      <c r="AJ1851" s="848"/>
      <c r="AK1851" s="848"/>
      <c r="AL1851" s="848"/>
      <c r="AM1851" s="848"/>
      <c r="AN1851" s="848"/>
      <c r="AO1851" s="848"/>
      <c r="AP1851" s="848"/>
      <c r="AQ1851" s="848"/>
      <c r="AR1851" s="848"/>
      <c r="AS1851" s="848"/>
      <c r="AT1851" s="848"/>
      <c r="AU1851" s="848"/>
      <c r="AV1851" s="848"/>
      <c r="AW1851" s="848"/>
      <c r="AX1851" s="908" t="str">
        <f>'Overview (Verification)'!A30</f>
        <v>Type of Heating System (system 2):</v>
      </c>
      <c r="AY1851" s="1077">
        <f>IF(LEN('Overview (Verification)'!P30)=0,0,'Overview (Verification)'!P30)</f>
        <v>0</v>
      </c>
      <c r="AZ1851" s="848"/>
      <c r="BA1851" s="848"/>
      <c r="BB1851" s="848"/>
      <c r="BC1851" s="848"/>
      <c r="BD1851" s="848"/>
      <c r="BE1851" s="848"/>
      <c r="BF1851" s="848"/>
      <c r="BG1851" s="848"/>
      <c r="BH1851" s="848"/>
      <c r="BJ1851" s="1184" t="s">
        <v>4763</v>
      </c>
    </row>
    <row r="1852" spans="1:62" x14ac:dyDescent="0.3">
      <c r="A1852" s="1200">
        <v>10</v>
      </c>
      <c r="B1852" s="1210">
        <v>1001.1</v>
      </c>
      <c r="C1852" s="1203"/>
      <c r="D1852" s="1203"/>
      <c r="E1852" s="1203" t="s">
        <v>464</v>
      </c>
      <c r="F1852" s="1203" t="s">
        <v>121</v>
      </c>
      <c r="G1852" s="1202" t="str">
        <f t="shared" si="631"/>
        <v>P</v>
      </c>
      <c r="H1852" s="1204" t="s">
        <v>4388</v>
      </c>
      <c r="I1852" s="4"/>
      <c r="J1852" s="140"/>
      <c r="K1852" s="203" t="s">
        <v>121</v>
      </c>
      <c r="L1852" s="1070" t="s">
        <v>3509</v>
      </c>
      <c r="M1852" s="850"/>
      <c r="N1852" s="4"/>
      <c r="O1852" s="850"/>
      <c r="P1852" s="848"/>
      <c r="Q1852" s="848"/>
      <c r="R1852" s="848"/>
      <c r="S1852" s="848"/>
      <c r="T1852" s="848"/>
      <c r="U1852" s="848"/>
      <c r="V1852" s="848"/>
      <c r="W1852" s="848"/>
      <c r="X1852" s="1303"/>
      <c r="Y1852" s="1522"/>
      <c r="Z1852" s="1586"/>
      <c r="AB1852" s="848"/>
      <c r="AC1852" s="848"/>
      <c r="AD1852" s="848"/>
      <c r="AE1852" s="848"/>
      <c r="AF1852" s="848"/>
      <c r="AG1852" s="848"/>
      <c r="AH1852" s="848"/>
      <c r="AI1852" s="848"/>
      <c r="AJ1852" s="848"/>
      <c r="AK1852" s="848"/>
      <c r="AL1852" s="848"/>
      <c r="AM1852" s="848"/>
      <c r="AN1852" s="848"/>
      <c r="AO1852" s="848"/>
      <c r="AP1852" s="848"/>
      <c r="AQ1852" s="848"/>
      <c r="AR1852" s="848"/>
      <c r="AS1852" s="848"/>
      <c r="AT1852" s="848"/>
      <c r="AU1852" s="848"/>
      <c r="AV1852" s="848"/>
      <c r="AW1852" s="848"/>
      <c r="AX1852" s="908" t="str">
        <f>'Overview (Verification)'!A31</f>
        <v>Type of Heating System (system 3):</v>
      </c>
      <c r="AY1852" s="1077">
        <f>IF(LEN('Overview (Verification)'!P31)=0,0,'Overview (Verification)'!P31)</f>
        <v>0</v>
      </c>
      <c r="AZ1852" s="848"/>
      <c r="BA1852" s="848"/>
      <c r="BB1852" s="848"/>
      <c r="BC1852" s="848"/>
      <c r="BD1852" s="848"/>
      <c r="BE1852" s="848"/>
      <c r="BF1852" s="848"/>
      <c r="BG1852" s="848"/>
      <c r="BH1852" s="848"/>
      <c r="BJ1852" s="1184" t="s">
        <v>4763</v>
      </c>
    </row>
    <row r="1853" spans="1:62" x14ac:dyDescent="0.3">
      <c r="A1853" s="1200">
        <v>10</v>
      </c>
      <c r="B1853" s="1210">
        <v>1001.1</v>
      </c>
      <c r="C1853" s="1203"/>
      <c r="D1853" s="1203"/>
      <c r="E1853" s="1203" t="s">
        <v>464</v>
      </c>
      <c r="F1853" s="1203" t="s">
        <v>122</v>
      </c>
      <c r="G1853" s="1202" t="str">
        <f t="shared" si="631"/>
        <v>P</v>
      </c>
      <c r="H1853" s="1204" t="s">
        <v>4388</v>
      </c>
      <c r="I1853" s="4"/>
      <c r="J1853" s="140"/>
      <c r="K1853" s="203" t="s">
        <v>122</v>
      </c>
      <c r="L1853" s="1070" t="s">
        <v>3510</v>
      </c>
      <c r="M1853" s="850"/>
      <c r="N1853" s="4"/>
      <c r="O1853" s="850"/>
      <c r="P1853" s="848"/>
      <c r="Q1853" s="848"/>
      <c r="R1853" s="848"/>
      <c r="S1853" s="848"/>
      <c r="T1853" s="848"/>
      <c r="U1853" s="848"/>
      <c r="V1853" s="848"/>
      <c r="W1853" s="848"/>
      <c r="X1853" s="1303"/>
      <c r="Y1853" s="1522"/>
      <c r="Z1853" s="1586"/>
      <c r="AB1853" s="848"/>
      <c r="AC1853" s="848"/>
      <c r="AD1853" s="848"/>
      <c r="AE1853" s="848"/>
      <c r="AF1853" s="848"/>
      <c r="AG1853" s="848"/>
      <c r="AH1853" s="848"/>
      <c r="AI1853" s="848"/>
      <c r="AJ1853" s="848"/>
      <c r="AK1853" s="848"/>
      <c r="AL1853" s="848"/>
      <c r="AM1853" s="848"/>
      <c r="AN1853" s="848"/>
      <c r="AO1853" s="848"/>
      <c r="AP1853" s="848"/>
      <c r="AQ1853" s="848"/>
      <c r="AR1853" s="848"/>
      <c r="AS1853" s="848"/>
      <c r="AT1853" s="848"/>
      <c r="AU1853" s="848"/>
      <c r="AV1853" s="848"/>
      <c r="AW1853" s="848"/>
      <c r="AX1853" s="908" t="str">
        <f>'Overview (Verification)'!A32</f>
        <v>Heating Fuel:</v>
      </c>
      <c r="AY1853" s="1077">
        <f>IF(LEN('Overview (Verification)'!P32)=0,0,'Overview (Verification)'!P32)</f>
        <v>0</v>
      </c>
      <c r="AZ1853" s="848"/>
      <c r="BA1853" s="848"/>
      <c r="BB1853" s="848"/>
      <c r="BC1853" s="848"/>
      <c r="BD1853" s="848"/>
      <c r="BE1853" s="848"/>
      <c r="BF1853" s="848"/>
      <c r="BG1853" s="848"/>
      <c r="BH1853" s="848"/>
      <c r="BJ1853" s="1184" t="s">
        <v>4763</v>
      </c>
    </row>
    <row r="1854" spans="1:62" x14ac:dyDescent="0.3">
      <c r="A1854" s="1200">
        <v>10</v>
      </c>
      <c r="B1854" s="1210">
        <v>1001.1</v>
      </c>
      <c r="C1854" s="1203"/>
      <c r="D1854" s="1203"/>
      <c r="E1854" s="1203" t="s">
        <v>464</v>
      </c>
      <c r="F1854" s="1203" t="s">
        <v>123</v>
      </c>
      <c r="G1854" s="1202" t="str">
        <f t="shared" si="631"/>
        <v>P</v>
      </c>
      <c r="H1854" s="1204" t="s">
        <v>4388</v>
      </c>
      <c r="I1854" s="4"/>
      <c r="J1854" s="140"/>
      <c r="K1854" s="203" t="s">
        <v>123</v>
      </c>
      <c r="L1854" s="1305" t="s">
        <v>3511</v>
      </c>
      <c r="M1854" s="850"/>
      <c r="N1854" s="4"/>
      <c r="O1854" s="850"/>
      <c r="P1854" s="848"/>
      <c r="Q1854" s="848"/>
      <c r="R1854" s="848"/>
      <c r="S1854" s="848"/>
      <c r="T1854" s="848"/>
      <c r="U1854" s="848"/>
      <c r="V1854" s="848"/>
      <c r="W1854" s="848"/>
      <c r="X1854" s="1303"/>
      <c r="Y1854" s="1522"/>
      <c r="Z1854" s="1586"/>
      <c r="AB1854" s="848"/>
      <c r="AC1854" s="848"/>
      <c r="AD1854" s="848"/>
      <c r="AE1854" s="848"/>
      <c r="AF1854" s="848"/>
      <c r="AG1854" s="848"/>
      <c r="AH1854" s="848"/>
      <c r="AI1854" s="848"/>
      <c r="AJ1854" s="848"/>
      <c r="AK1854" s="848"/>
      <c r="AL1854" s="848"/>
      <c r="AM1854" s="848"/>
      <c r="AN1854" s="848"/>
      <c r="AO1854" s="848"/>
      <c r="AP1854" s="848"/>
      <c r="AQ1854" s="848"/>
      <c r="AR1854" s="848"/>
      <c r="AS1854" s="848"/>
      <c r="AT1854" s="848"/>
      <c r="AU1854" s="848"/>
      <c r="AV1854" s="848"/>
      <c r="AW1854" s="848"/>
      <c r="AX1854" s="908" t="str">
        <f>'Overview (Verification)'!A33</f>
        <v>Heating Ducts:</v>
      </c>
      <c r="AY1854" s="1077">
        <f>IF(LEN('Overview (Verification)'!P33)=0,0,'Overview (Verification)'!P33)</f>
        <v>0</v>
      </c>
      <c r="AZ1854" s="848"/>
      <c r="BA1854" s="848"/>
      <c r="BB1854" s="848"/>
      <c r="BC1854" s="848"/>
      <c r="BD1854" s="848"/>
      <c r="BE1854" s="848"/>
      <c r="BF1854" s="848"/>
      <c r="BG1854" s="848"/>
      <c r="BH1854" s="848"/>
      <c r="BJ1854" s="1184" t="s">
        <v>4763</v>
      </c>
    </row>
    <row r="1855" spans="1:62" x14ac:dyDescent="0.3">
      <c r="A1855" s="1200">
        <v>10</v>
      </c>
      <c r="B1855" s="1210">
        <v>1001.1</v>
      </c>
      <c r="C1855" s="1203"/>
      <c r="D1855" s="1203"/>
      <c r="E1855" s="1203" t="s">
        <v>464</v>
      </c>
      <c r="F1855" s="1203"/>
      <c r="G1855" s="1202" t="str">
        <f t="shared" si="631"/>
        <v>P</v>
      </c>
      <c r="H1855" s="1200" t="s">
        <v>4388</v>
      </c>
      <c r="I1855" s="4"/>
      <c r="J1855" s="238"/>
      <c r="K1855" s="238"/>
      <c r="L1855" s="1306"/>
      <c r="M1855" s="850"/>
      <c r="N1855" s="4"/>
      <c r="O1855" s="850"/>
      <c r="P1855" s="848"/>
      <c r="Q1855" s="848"/>
      <c r="R1855" s="848"/>
      <c r="S1855" s="848"/>
      <c r="T1855" s="848"/>
      <c r="U1855" s="848"/>
      <c r="V1855" s="848"/>
      <c r="W1855" s="848"/>
      <c r="X1855" s="1303"/>
      <c r="Y1855" s="1522"/>
      <c r="Z1855" s="1586"/>
      <c r="AB1855" s="848"/>
      <c r="AC1855" s="848"/>
      <c r="AD1855" s="848"/>
      <c r="AE1855" s="848"/>
      <c r="AF1855" s="848"/>
      <c r="AG1855" s="848"/>
      <c r="AH1855" s="848"/>
      <c r="AI1855" s="848"/>
      <c r="AJ1855" s="848"/>
      <c r="AK1855" s="848"/>
      <c r="AL1855" s="848"/>
      <c r="AM1855" s="848"/>
      <c r="AN1855" s="848"/>
      <c r="AO1855" s="848"/>
      <c r="AP1855" s="848"/>
      <c r="AQ1855" s="848"/>
      <c r="AR1855" s="848"/>
      <c r="AS1855" s="848"/>
      <c r="AT1855" s="848"/>
      <c r="AU1855" s="848"/>
      <c r="AV1855" s="848"/>
      <c r="AW1855" s="848"/>
      <c r="AX1855" s="908" t="str">
        <f>'Overview (Verification)'!A34</f>
        <v>Type of Cooling System (main system):</v>
      </c>
      <c r="AY1855" s="1077">
        <f>IF(LEN('Overview (Verification)'!P34)=0,0,'Overview (Verification)'!P34)</f>
        <v>0</v>
      </c>
      <c r="AZ1855" s="848"/>
      <c r="BA1855" s="848"/>
      <c r="BB1855" s="848"/>
      <c r="BC1855" s="848"/>
      <c r="BD1855" s="848"/>
      <c r="BE1855" s="848"/>
      <c r="BF1855" s="848"/>
      <c r="BG1855" s="848"/>
      <c r="BH1855" s="848"/>
      <c r="BJ1855" s="1184" t="s">
        <v>4763</v>
      </c>
    </row>
    <row r="1856" spans="1:62" x14ac:dyDescent="0.3">
      <c r="A1856" s="1200">
        <v>10</v>
      </c>
      <c r="B1856" s="1210">
        <v>1001.1</v>
      </c>
      <c r="C1856" s="1203"/>
      <c r="D1856" s="1203"/>
      <c r="E1856" s="1203" t="s">
        <v>3512</v>
      </c>
      <c r="F1856" s="1203"/>
      <c r="G1856" s="1202" t="str">
        <f t="shared" si="631"/>
        <v>P</v>
      </c>
      <c r="H1856" s="1200" t="s">
        <v>4388</v>
      </c>
      <c r="I1856" s="4"/>
      <c r="J1856" s="237" t="s">
        <v>3512</v>
      </c>
      <c r="K1856" s="216"/>
      <c r="L1856" s="1356" t="s">
        <v>3513</v>
      </c>
      <c r="M1856" s="850"/>
      <c r="N1856" s="4"/>
      <c r="O1856" s="850"/>
      <c r="P1856" s="848" t="b">
        <v>0</v>
      </c>
      <c r="Q1856" s="848" t="b">
        <v>1</v>
      </c>
      <c r="R1856" s="848" t="b">
        <v>0</v>
      </c>
      <c r="S1856" s="848" t="b">
        <f>IF(AY1837=INDEX(ddSingleOrMulti,1),TRUE,FALSE)</f>
        <v>0</v>
      </c>
      <c r="T1856" s="97" t="b">
        <f>AND(NOT(S1856),W1856=TRUE)</f>
        <v>0</v>
      </c>
      <c r="U1856" s="848"/>
      <c r="V1856" s="848"/>
      <c r="W1856" s="25"/>
      <c r="X1856" s="1303"/>
      <c r="Y1856" s="1522" t="str">
        <f>IF(LEN('Ch10'!X38)=0,"None",'Ch10'!X38)</f>
        <v>None</v>
      </c>
      <c r="Z1856" s="1586"/>
      <c r="AB1856" s="848"/>
      <c r="AC1856" s="848" t="b">
        <f>OR(AD1856:AE1856)</f>
        <v>0</v>
      </c>
      <c r="AD1856" s="848" t="b">
        <f>T1856</f>
        <v>0</v>
      </c>
      <c r="AE1856" s="848"/>
      <c r="AF1856" s="848"/>
      <c r="AG1856" s="848"/>
      <c r="AH1856" s="848"/>
      <c r="AI1856" s="848"/>
      <c r="AJ1856" s="848"/>
      <c r="AK1856" s="848"/>
      <c r="AL1856" s="848"/>
      <c r="AM1856" s="848"/>
      <c r="AN1856" s="848"/>
      <c r="AO1856" s="848"/>
      <c r="AP1856" s="311" t="str">
        <f>SUBSTITUTE(SUBSTITUTE(SUBSTITUTE("vch"&amp;$B1856&amp;$C1856&amp;$D1856&amp;$E1856&amp;$F1856,".","_"),"(","_"),")","")</f>
        <v>vch1001_1_13</v>
      </c>
      <c r="AQ1856" s="311">
        <f>W1856</f>
        <v>0</v>
      </c>
      <c r="AR1856" s="311" t="str">
        <f>SUBSTITUTE(SUBSTITUTE(SUBSTITUTE("vnt"&amp;$B1856&amp;$C1856&amp;$D1856&amp;$E1856&amp;$F1856,".","_"),"(","_"),")","")</f>
        <v>vnt1001_1_13</v>
      </c>
      <c r="AS1856" s="311">
        <f>X1856</f>
        <v>0</v>
      </c>
      <c r="AT1856" s="848"/>
      <c r="AU1856" s="848"/>
      <c r="AV1856" s="848"/>
      <c r="AW1856" s="848"/>
      <c r="AX1856" s="908" t="str">
        <f>'Overview (Verification)'!A35</f>
        <v>Type of Cooling System (system 2):</v>
      </c>
      <c r="AY1856" s="1077">
        <f>IF(LEN('Overview (Verification)'!P35)=0,0,'Overview (Verification)'!P35)</f>
        <v>0</v>
      </c>
      <c r="AZ1856" s="848"/>
      <c r="BA1856" s="848"/>
      <c r="BB1856" s="848"/>
      <c r="BC1856" s="848"/>
      <c r="BD1856" s="848"/>
      <c r="BE1856" s="848"/>
      <c r="BF1856" s="848"/>
      <c r="BG1856" s="848"/>
      <c r="BH1856" s="848"/>
      <c r="BJ1856" s="1184" t="s">
        <v>4763</v>
      </c>
    </row>
    <row r="1857" spans="1:62" x14ac:dyDescent="0.3">
      <c r="A1857" s="1200">
        <v>10</v>
      </c>
      <c r="B1857" s="1210">
        <v>1001.1</v>
      </c>
      <c r="C1857" s="1203"/>
      <c r="D1857" s="1203"/>
      <c r="E1857" s="1203" t="s">
        <v>3512</v>
      </c>
      <c r="F1857" s="1203"/>
      <c r="G1857" s="1202" t="str">
        <f t="shared" si="631"/>
        <v>P</v>
      </c>
      <c r="H1857" s="1200" t="s">
        <v>4388</v>
      </c>
      <c r="I1857" s="4"/>
      <c r="J1857" s="140"/>
      <c r="K1857" s="140"/>
      <c r="L1857" s="1305"/>
      <c r="M1857" s="850"/>
      <c r="N1857" s="4"/>
      <c r="O1857" s="850"/>
      <c r="P1857" s="848"/>
      <c r="Q1857" s="848"/>
      <c r="R1857" s="848"/>
      <c r="S1857" s="848"/>
      <c r="T1857" s="848"/>
      <c r="U1857" s="848"/>
      <c r="V1857" s="848"/>
      <c r="W1857" s="848"/>
      <c r="X1857" s="1303"/>
      <c r="Y1857" s="1522"/>
      <c r="Z1857" s="1586"/>
      <c r="AB1857" s="848"/>
      <c r="AC1857" s="848"/>
      <c r="AD1857" s="848"/>
      <c r="AE1857" s="848"/>
      <c r="AF1857" s="848"/>
      <c r="AG1857" s="848"/>
      <c r="AH1857" s="848"/>
      <c r="AI1857" s="848"/>
      <c r="AJ1857" s="848"/>
      <c r="AK1857" s="848"/>
      <c r="AL1857" s="848"/>
      <c r="AM1857" s="848"/>
      <c r="AN1857" s="848"/>
      <c r="AO1857" s="848"/>
      <c r="AP1857" s="848"/>
      <c r="AQ1857" s="848"/>
      <c r="AR1857" s="848"/>
      <c r="AS1857" s="848"/>
      <c r="AT1857" s="848"/>
      <c r="AU1857" s="848"/>
      <c r="AV1857" s="848"/>
      <c r="AW1857" s="848"/>
      <c r="AX1857" s="908" t="str">
        <f>'Overview (Verification)'!A36</f>
        <v>Type of Cooling System (system 3):</v>
      </c>
      <c r="AY1857" s="1077">
        <f>IF(LEN('Overview (Verification)'!P36)=0,0,'Overview (Verification)'!P36)</f>
        <v>0</v>
      </c>
      <c r="AZ1857" s="848"/>
      <c r="BA1857" s="848"/>
      <c r="BB1857" s="848"/>
      <c r="BC1857" s="848"/>
      <c r="BD1857" s="848"/>
      <c r="BE1857" s="848"/>
      <c r="BF1857" s="848"/>
      <c r="BG1857" s="848"/>
      <c r="BH1857" s="848"/>
      <c r="BJ1857" s="1184" t="s">
        <v>4763</v>
      </c>
    </row>
    <row r="1858" spans="1:62" x14ac:dyDescent="0.3">
      <c r="A1858" s="1200">
        <v>10</v>
      </c>
      <c r="B1858" s="1210">
        <v>1001.1</v>
      </c>
      <c r="C1858" s="1203"/>
      <c r="D1858" s="1203"/>
      <c r="E1858" s="1203" t="s">
        <v>3512</v>
      </c>
      <c r="F1858" s="1203"/>
      <c r="G1858" s="1202" t="str">
        <f t="shared" si="631"/>
        <v>P</v>
      </c>
      <c r="H1858" s="1200" t="s">
        <v>4388</v>
      </c>
      <c r="I1858" s="4"/>
      <c r="J1858" s="140"/>
      <c r="K1858" s="140"/>
      <c r="L1858" s="1305"/>
      <c r="M1858" s="850"/>
      <c r="N1858" s="4"/>
      <c r="O1858" s="850"/>
      <c r="P1858" s="848"/>
      <c r="Q1858" s="848"/>
      <c r="R1858" s="848"/>
      <c r="S1858" s="848"/>
      <c r="T1858" s="848"/>
      <c r="U1858" s="848"/>
      <c r="V1858" s="848"/>
      <c r="W1858" s="848"/>
      <c r="X1858" s="1303"/>
      <c r="Y1858" s="1522"/>
      <c r="Z1858" s="1586"/>
      <c r="AB1858" s="848"/>
      <c r="AC1858" s="848"/>
      <c r="AD1858" s="848"/>
      <c r="AE1858" s="848"/>
      <c r="AF1858" s="848"/>
      <c r="AG1858" s="848"/>
      <c r="AH1858" s="848"/>
      <c r="AI1858" s="848"/>
      <c r="AJ1858" s="848"/>
      <c r="AK1858" s="848"/>
      <c r="AL1858" s="848"/>
      <c r="AM1858" s="848"/>
      <c r="AN1858" s="848"/>
      <c r="AO1858" s="848"/>
      <c r="AP1858" s="848"/>
      <c r="AQ1858" s="848"/>
      <c r="AR1858" s="848"/>
      <c r="AS1858" s="848"/>
      <c r="AT1858" s="848"/>
      <c r="AU1858" s="848"/>
      <c r="AV1858" s="848"/>
      <c r="AW1858" s="848"/>
      <c r="AX1858" s="908" t="str">
        <f>'Overview (Verification)'!A37</f>
        <v>Cooling Ducts:</v>
      </c>
      <c r="AY1858" s="1077">
        <f>IF(LEN('Overview (Verification)'!P37)=0,0,'Overview (Verification)'!P37)</f>
        <v>0</v>
      </c>
      <c r="AZ1858" s="848"/>
      <c r="BA1858" s="848"/>
      <c r="BB1858" s="848"/>
      <c r="BC1858" s="848"/>
      <c r="BD1858" s="848"/>
      <c r="BE1858" s="848"/>
      <c r="BF1858" s="848"/>
      <c r="BG1858" s="848"/>
      <c r="BH1858" s="848"/>
      <c r="BJ1858" s="1184" t="s">
        <v>4763</v>
      </c>
    </row>
    <row r="1859" spans="1:62" x14ac:dyDescent="0.3">
      <c r="A1859" s="1200">
        <v>10</v>
      </c>
      <c r="B1859" s="1210">
        <v>1001.1</v>
      </c>
      <c r="C1859" s="1203"/>
      <c r="D1859" s="1203"/>
      <c r="E1859" s="1203" t="s">
        <v>3512</v>
      </c>
      <c r="F1859" s="1203"/>
      <c r="G1859" s="1202" t="str">
        <f t="shared" si="631"/>
        <v>P</v>
      </c>
      <c r="H1859" s="1200" t="s">
        <v>4388</v>
      </c>
      <c r="I1859" s="4"/>
      <c r="J1859" s="238"/>
      <c r="K1859" s="238"/>
      <c r="L1859" s="1306"/>
      <c r="M1859" s="850"/>
      <c r="N1859" s="4"/>
      <c r="O1859" s="850"/>
      <c r="P1859" s="848"/>
      <c r="Q1859" s="848"/>
      <c r="R1859" s="848"/>
      <c r="S1859" s="848"/>
      <c r="T1859" s="848"/>
      <c r="U1859" s="848"/>
      <c r="V1859" s="848"/>
      <c r="W1859" s="848"/>
      <c r="X1859" s="1303"/>
      <c r="Y1859" s="1522"/>
      <c r="Z1859" s="1586"/>
      <c r="AB1859" s="848"/>
      <c r="AC1859" s="848"/>
      <c r="AD1859" s="848"/>
      <c r="AE1859" s="848"/>
      <c r="AF1859" s="848"/>
      <c r="AG1859" s="848"/>
      <c r="AH1859" s="848"/>
      <c r="AI1859" s="848"/>
      <c r="AJ1859" s="848"/>
      <c r="AK1859" s="848"/>
      <c r="AL1859" s="848"/>
      <c r="AM1859" s="848"/>
      <c r="AN1859" s="848"/>
      <c r="AO1859" s="848"/>
      <c r="AP1859" s="848"/>
      <c r="AQ1859" s="848"/>
      <c r="AR1859" s="848"/>
      <c r="AS1859" s="848"/>
      <c r="AT1859" s="848"/>
      <c r="AU1859" s="848"/>
      <c r="AV1859" s="848"/>
      <c r="AW1859" s="848"/>
      <c r="AX1859" s="849"/>
      <c r="AY1859" s="1077"/>
      <c r="AZ1859" s="848"/>
      <c r="BA1859" s="848"/>
      <c r="BB1859" s="848"/>
      <c r="BC1859" s="848"/>
      <c r="BD1859" s="848"/>
      <c r="BE1859" s="848"/>
      <c r="BF1859" s="848"/>
      <c r="BG1859" s="848"/>
      <c r="BH1859" s="848"/>
      <c r="BJ1859" s="1184" t="s">
        <v>4763</v>
      </c>
    </row>
    <row r="1860" spans="1:62" x14ac:dyDescent="0.3">
      <c r="A1860" s="1200">
        <v>10</v>
      </c>
      <c r="B1860" s="1210">
        <v>1001.1</v>
      </c>
      <c r="C1860" s="1203"/>
      <c r="D1860" s="1203"/>
      <c r="E1860" s="1203" t="s">
        <v>3514</v>
      </c>
      <c r="F1860" s="1203"/>
      <c r="G1860" s="1202" t="str">
        <f t="shared" si="631"/>
        <v>P</v>
      </c>
      <c r="H1860" s="1200" t="s">
        <v>4388</v>
      </c>
      <c r="I1860" s="4"/>
      <c r="J1860" s="237" t="s">
        <v>3514</v>
      </c>
      <c r="K1860" s="216"/>
      <c r="L1860" s="1356" t="s">
        <v>3515</v>
      </c>
      <c r="M1860" s="850"/>
      <c r="N1860" s="4"/>
      <c r="O1860" s="850"/>
      <c r="P1860" s="848" t="b">
        <v>0</v>
      </c>
      <c r="Q1860" s="848" t="b">
        <v>1</v>
      </c>
      <c r="R1860" s="848" t="b">
        <v>0</v>
      </c>
      <c r="S1860" s="848" t="b">
        <f>IF(AY1837=INDEX(ddSingleOrMulti,1),TRUE,FALSE)</f>
        <v>0</v>
      </c>
      <c r="T1860" s="97" t="b">
        <f>AND(NOT(S1860),W1860=TRUE)</f>
        <v>0</v>
      </c>
      <c r="U1860" s="848"/>
      <c r="V1860" s="848"/>
      <c r="W1860" s="25"/>
      <c r="X1860" s="1303"/>
      <c r="Y1860" s="1522" t="str">
        <f>IF(LEN('Ch10'!X42)=0,"None",'Ch10'!X42)</f>
        <v>None</v>
      </c>
      <c r="Z1860" s="1586"/>
      <c r="AB1860" s="848"/>
      <c r="AC1860" s="848" t="b">
        <f>OR(AD1860:AE1860)</f>
        <v>0</v>
      </c>
      <c r="AD1860" s="848" t="b">
        <f>T1860</f>
        <v>0</v>
      </c>
      <c r="AE1860" s="848"/>
      <c r="AF1860" s="848"/>
      <c r="AG1860" s="848"/>
      <c r="AH1860" s="848"/>
      <c r="AI1860" s="848"/>
      <c r="AJ1860" s="848"/>
      <c r="AK1860" s="848"/>
      <c r="AL1860" s="848"/>
      <c r="AM1860" s="848"/>
      <c r="AN1860" s="848"/>
      <c r="AO1860" s="848"/>
      <c r="AP1860" s="311" t="str">
        <f>SUBSTITUTE(SUBSTITUTE(SUBSTITUTE("vch"&amp;$B1860&amp;$C1860&amp;$D1860&amp;$E1860&amp;$F1860,".","_"),"(","_"),")","")</f>
        <v>vch1001_1_14</v>
      </c>
      <c r="AQ1860" s="311">
        <f>W1860</f>
        <v>0</v>
      </c>
      <c r="AR1860" s="311" t="str">
        <f>SUBSTITUTE(SUBSTITUTE(SUBSTITUTE("vnt"&amp;$B1860&amp;$C1860&amp;$D1860&amp;$E1860&amp;$F1860,".","_"),"(","_"),")","")</f>
        <v>vnt1001_1_14</v>
      </c>
      <c r="AS1860" s="311">
        <f>X1860</f>
        <v>0</v>
      </c>
      <c r="AT1860" s="848"/>
      <c r="AU1860" s="848"/>
      <c r="AV1860" s="848"/>
      <c r="AW1860" s="848"/>
      <c r="AX1860" s="908" t="str">
        <f>'Overview (Verification)'!A39</f>
        <v>Maximum window and door SHGC:</v>
      </c>
      <c r="AY1860" s="1077">
        <f>IF(LEN('Overview (Verification)'!P39)=0,0,'Overview (Verification)'!P39)</f>
        <v>0</v>
      </c>
      <c r="AZ1860" s="848"/>
      <c r="BA1860" s="848"/>
      <c r="BB1860" s="848"/>
      <c r="BC1860" s="848"/>
      <c r="BD1860" s="848"/>
      <c r="BE1860" s="848"/>
      <c r="BF1860" s="848"/>
      <c r="BG1860" s="848"/>
      <c r="BH1860" s="848"/>
      <c r="BJ1860" s="1184" t="s">
        <v>4763</v>
      </c>
    </row>
    <row r="1861" spans="1:62" x14ac:dyDescent="0.3">
      <c r="A1861" s="1200">
        <v>10</v>
      </c>
      <c r="B1861" s="1210">
        <v>1001.1</v>
      </c>
      <c r="C1861" s="1203"/>
      <c r="D1861" s="1203"/>
      <c r="E1861" s="1203" t="s">
        <v>3514</v>
      </c>
      <c r="F1861" s="1203"/>
      <c r="G1861" s="1202" t="str">
        <f t="shared" si="631"/>
        <v>P</v>
      </c>
      <c r="H1861" s="1200" t="s">
        <v>4388</v>
      </c>
      <c r="I1861" s="4"/>
      <c r="J1861" s="238"/>
      <c r="K1861" s="238"/>
      <c r="L1861" s="1306"/>
      <c r="M1861" s="850"/>
      <c r="N1861" s="4"/>
      <c r="O1861" s="850"/>
      <c r="P1861" s="848"/>
      <c r="Q1861" s="848"/>
      <c r="R1861" s="848"/>
      <c r="S1861" s="848"/>
      <c r="T1861" s="848"/>
      <c r="U1861" s="848"/>
      <c r="V1861" s="848"/>
      <c r="W1861" s="848"/>
      <c r="X1861" s="1303"/>
      <c r="Y1861" s="1522"/>
      <c r="Z1861" s="1586"/>
      <c r="AB1861" s="848"/>
      <c r="AC1861" s="848"/>
      <c r="AD1861" s="848"/>
      <c r="AE1861" s="848"/>
      <c r="AF1861" s="848"/>
      <c r="AG1861" s="848"/>
      <c r="AH1861" s="848"/>
      <c r="AI1861" s="848"/>
      <c r="AJ1861" s="848"/>
      <c r="AK1861" s="848"/>
      <c r="AL1861" s="848"/>
      <c r="AM1861" s="848"/>
      <c r="AN1861" s="848"/>
      <c r="AO1861" s="848"/>
      <c r="AP1861" s="848"/>
      <c r="AQ1861" s="848"/>
      <c r="AR1861" s="848"/>
      <c r="AS1861" s="848"/>
      <c r="AT1861" s="848"/>
      <c r="AU1861" s="848"/>
      <c r="AV1861" s="848"/>
      <c r="AW1861" s="848"/>
      <c r="AX1861" s="908" t="str">
        <f>'Overview (Verification)'!A40</f>
        <v>Maximum skylight SHGC:</v>
      </c>
      <c r="AY1861" s="1077">
        <f>IF(LEN('Overview (Verification)'!P40)=0,0,'Overview (Verification)'!P40)</f>
        <v>0</v>
      </c>
      <c r="AZ1861" s="848"/>
      <c r="BA1861" s="848"/>
      <c r="BB1861" s="848"/>
      <c r="BC1861" s="848"/>
      <c r="BD1861" s="848"/>
      <c r="BE1861" s="848"/>
      <c r="BF1861" s="848"/>
      <c r="BG1861" s="848"/>
      <c r="BH1861" s="848"/>
      <c r="BJ1861" s="1184" t="s">
        <v>4763</v>
      </c>
    </row>
    <row r="1862" spans="1:62" x14ac:dyDescent="0.3">
      <c r="A1862" s="1200">
        <v>10</v>
      </c>
      <c r="B1862" s="1210">
        <v>1001.1</v>
      </c>
      <c r="C1862" s="1203"/>
      <c r="D1862" s="1203"/>
      <c r="E1862" s="1203" t="s">
        <v>3516</v>
      </c>
      <c r="F1862" s="1203"/>
      <c r="G1862" s="1202" t="str">
        <f t="shared" si="631"/>
        <v>P</v>
      </c>
      <c r="H1862" s="1200" t="s">
        <v>4388</v>
      </c>
      <c r="I1862" s="4"/>
      <c r="J1862" s="237" t="s">
        <v>3516</v>
      </c>
      <c r="K1862" s="216"/>
      <c r="L1862" s="1356" t="s">
        <v>3517</v>
      </c>
      <c r="M1862" s="850"/>
      <c r="N1862" s="4"/>
      <c r="O1862" s="850"/>
      <c r="P1862" s="848" t="b">
        <v>0</v>
      </c>
      <c r="Q1862" s="848" t="b">
        <v>1</v>
      </c>
      <c r="R1862" s="848" t="b">
        <v>0</v>
      </c>
      <c r="S1862" s="848" t="b">
        <f>IF(AY1837=INDEX(ddSingleOrMulti,1),TRUE,FALSE)</f>
        <v>0</v>
      </c>
      <c r="T1862" s="97" t="b">
        <f>AND(NOT(S1862),W1862=TRUE)</f>
        <v>0</v>
      </c>
      <c r="U1862" s="848"/>
      <c r="V1862" s="848"/>
      <c r="W1862" s="25"/>
      <c r="X1862" s="1303"/>
      <c r="Y1862" s="1522" t="str">
        <f>IF(LEN('Ch10'!X44)=0,"None",'Ch10'!X44)</f>
        <v>None</v>
      </c>
      <c r="Z1862" s="1586"/>
      <c r="AB1862" s="848"/>
      <c r="AC1862" s="848" t="b">
        <f>OR(AD1862:AE1862)</f>
        <v>0</v>
      </c>
      <c r="AD1862" s="848" t="b">
        <f>T1862</f>
        <v>0</v>
      </c>
      <c r="AE1862" s="848"/>
      <c r="AF1862" s="848"/>
      <c r="AG1862" s="848"/>
      <c r="AH1862" s="848"/>
      <c r="AI1862" s="848"/>
      <c r="AJ1862" s="848"/>
      <c r="AK1862" s="848"/>
      <c r="AL1862" s="848"/>
      <c r="AM1862" s="848"/>
      <c r="AN1862" s="848"/>
      <c r="AO1862" s="848"/>
      <c r="AP1862" s="311" t="str">
        <f>SUBSTITUTE(SUBSTITUTE(SUBSTITUTE("vch"&amp;$B1862&amp;$C1862&amp;$D1862&amp;$E1862&amp;$F1862,".","_"),"(","_"),")","")</f>
        <v>vch1001_1_15</v>
      </c>
      <c r="AQ1862" s="311">
        <f>W1862</f>
        <v>0</v>
      </c>
      <c r="AR1862" s="311" t="str">
        <f>SUBSTITUTE(SUBSTITUTE(SUBSTITUTE("vnt"&amp;$B1862&amp;$C1862&amp;$D1862&amp;$E1862&amp;$F1862,".","_"),"(","_"),")","")</f>
        <v>vnt1001_1_15</v>
      </c>
      <c r="AS1862" s="311">
        <f>X1862</f>
        <v>0</v>
      </c>
      <c r="AT1862" s="848"/>
      <c r="AU1862" s="848"/>
      <c r="AV1862" s="848"/>
      <c r="AW1862" s="848"/>
      <c r="AX1862" s="908" t="str">
        <f>'Overview (Verification)'!A41</f>
        <v>Maximum window and door U-value:</v>
      </c>
      <c r="AY1862" s="1077">
        <f>IF(LEN('Overview (Verification)'!P41)=0,0,'Overview (Verification)'!P41)</f>
        <v>0</v>
      </c>
      <c r="AZ1862" s="848"/>
      <c r="BA1862" s="848"/>
      <c r="BB1862" s="848"/>
      <c r="BC1862" s="848"/>
      <c r="BD1862" s="848"/>
      <c r="BE1862" s="848"/>
      <c r="BF1862" s="848"/>
      <c r="BG1862" s="848"/>
      <c r="BH1862" s="848"/>
      <c r="BJ1862" s="1184" t="s">
        <v>4763</v>
      </c>
    </row>
    <row r="1863" spans="1:62" x14ac:dyDescent="0.3">
      <c r="A1863" s="1200">
        <v>10</v>
      </c>
      <c r="B1863" s="1210">
        <v>1001.1</v>
      </c>
      <c r="C1863" s="1203"/>
      <c r="D1863" s="1203"/>
      <c r="E1863" s="1203" t="s">
        <v>3516</v>
      </c>
      <c r="F1863" s="1203"/>
      <c r="G1863" s="1202" t="str">
        <f t="shared" si="631"/>
        <v>P</v>
      </c>
      <c r="H1863" s="1200" t="s">
        <v>4388</v>
      </c>
      <c r="I1863" s="4"/>
      <c r="J1863" s="238"/>
      <c r="K1863" s="238"/>
      <c r="L1863" s="1306"/>
      <c r="M1863" s="850"/>
      <c r="N1863" s="4"/>
      <c r="O1863" s="850"/>
      <c r="P1863" s="848"/>
      <c r="Q1863" s="848"/>
      <c r="R1863" s="848"/>
      <c r="S1863" s="848"/>
      <c r="T1863" s="848"/>
      <c r="U1863" s="848"/>
      <c r="V1863" s="848"/>
      <c r="W1863" s="848"/>
      <c r="X1863" s="1303"/>
      <c r="Y1863" s="1522"/>
      <c r="Z1863" s="1586"/>
      <c r="AB1863" s="848"/>
      <c r="AC1863" s="848"/>
      <c r="AD1863" s="848"/>
      <c r="AE1863" s="848"/>
      <c r="AF1863" s="848"/>
      <c r="AG1863" s="848"/>
      <c r="AH1863" s="848"/>
      <c r="AI1863" s="848"/>
      <c r="AJ1863" s="848"/>
      <c r="AK1863" s="848"/>
      <c r="AL1863" s="848"/>
      <c r="AM1863" s="848"/>
      <c r="AN1863" s="848"/>
      <c r="AO1863" s="848"/>
      <c r="AP1863" s="848"/>
      <c r="AQ1863" s="848"/>
      <c r="AR1863" s="848"/>
      <c r="AS1863" s="848"/>
      <c r="AT1863" s="848"/>
      <c r="AU1863" s="848"/>
      <c r="AV1863" s="848"/>
      <c r="AW1863" s="848"/>
      <c r="AX1863" s="908" t="str">
        <f>'Overview (Verification)'!A42</f>
        <v>Maximum skylight U-value:</v>
      </c>
      <c r="AY1863" s="1077">
        <f>IF(LEN('Overview (Verification)'!P42)=0,0,'Overview (Verification)'!P42)</f>
        <v>0</v>
      </c>
      <c r="AZ1863" s="848"/>
      <c r="BA1863" s="848"/>
      <c r="BB1863" s="848"/>
      <c r="BC1863" s="848"/>
      <c r="BD1863" s="848"/>
      <c r="BE1863" s="848"/>
      <c r="BF1863" s="848"/>
      <c r="BG1863" s="848"/>
      <c r="BH1863" s="848"/>
      <c r="BJ1863" s="1184" t="s">
        <v>4763</v>
      </c>
    </row>
    <row r="1864" spans="1:62" x14ac:dyDescent="0.3">
      <c r="A1864" s="1200">
        <v>10</v>
      </c>
      <c r="B1864" s="1210">
        <v>1001.1</v>
      </c>
      <c r="C1864" s="1203"/>
      <c r="D1864" s="1203"/>
      <c r="E1864" s="1203" t="s">
        <v>3518</v>
      </c>
      <c r="F1864" s="1203"/>
      <c r="G1864" s="1202" t="str">
        <f t="shared" si="631"/>
        <v>P</v>
      </c>
      <c r="H1864" s="1200" t="s">
        <v>4388</v>
      </c>
      <c r="I1864" s="4"/>
      <c r="J1864" s="233" t="s">
        <v>3518</v>
      </c>
      <c r="K1864" s="274"/>
      <c r="L1864" s="365" t="s">
        <v>3519</v>
      </c>
      <c r="M1864" s="850"/>
      <c r="N1864" s="4"/>
      <c r="O1864" s="850"/>
      <c r="P1864" s="848" t="b">
        <v>0</v>
      </c>
      <c r="Q1864" s="848" t="b">
        <v>1</v>
      </c>
      <c r="R1864" s="848" t="b">
        <v>0</v>
      </c>
      <c r="S1864" s="848" t="b">
        <f>IF(AY1837=INDEX(ddSingleOrMulti,1),TRUE,FALSE)</f>
        <v>0</v>
      </c>
      <c r="T1864" s="97" t="b">
        <f>AND(NOT(S1864),W1864=TRUE)</f>
        <v>0</v>
      </c>
      <c r="U1864" s="848"/>
      <c r="V1864" s="848"/>
      <c r="W1864" s="25"/>
      <c r="X1864" s="851"/>
      <c r="Y1864" s="889" t="str">
        <f>IF(LEN('Ch10'!X46)=0,"None",'Ch10'!X46)</f>
        <v>None</v>
      </c>
      <c r="Z1864" s="1169"/>
      <c r="AB1864" s="848"/>
      <c r="AC1864" s="848" t="b">
        <f>OR(AD1864:AE1864)</f>
        <v>0</v>
      </c>
      <c r="AD1864" s="848" t="b">
        <f>T1864</f>
        <v>0</v>
      </c>
      <c r="AE1864" s="848"/>
      <c r="AF1864" s="848"/>
      <c r="AG1864" s="848"/>
      <c r="AH1864" s="848"/>
      <c r="AI1864" s="848"/>
      <c r="AJ1864" s="848"/>
      <c r="AK1864" s="848"/>
      <c r="AL1864" s="848"/>
      <c r="AM1864" s="848"/>
      <c r="AN1864" s="848"/>
      <c r="AO1864" s="848"/>
      <c r="AP1864" s="311" t="str">
        <f t="shared" ref="AP1864:AP1865" si="640">SUBSTITUTE(SUBSTITUTE(SUBSTITUTE("vch"&amp;$B1864&amp;$C1864&amp;$D1864&amp;$E1864&amp;$F1864,".","_"),"(","_"),")","")</f>
        <v>vch1001_1_16</v>
      </c>
      <c r="AQ1864" s="311">
        <f>W1864</f>
        <v>0</v>
      </c>
      <c r="AR1864" s="311" t="str">
        <f t="shared" ref="AR1864:AR1865" si="641">SUBSTITUTE(SUBSTITUTE(SUBSTITUTE("vnt"&amp;$B1864&amp;$C1864&amp;$D1864&amp;$E1864&amp;$F1864,".","_"),"(","_"),")","")</f>
        <v>vnt1001_1_16</v>
      </c>
      <c r="AS1864" s="311">
        <f>X1864</f>
        <v>0</v>
      </c>
      <c r="AT1864" s="848"/>
      <c r="AU1864" s="848"/>
      <c r="AV1864" s="848"/>
      <c r="AW1864" s="848"/>
      <c r="AX1864" s="908" t="str">
        <f>'Overview (Verification)'!A43</f>
        <v>Renewable Energy:</v>
      </c>
      <c r="AY1864" s="1077">
        <f>IF(LEN('Overview (Verification)'!P43)=0,0,'Overview (Verification)'!P43)</f>
        <v>0</v>
      </c>
      <c r="AZ1864" s="848"/>
      <c r="BA1864" s="848"/>
      <c r="BB1864" s="848"/>
      <c r="BC1864" s="848"/>
      <c r="BD1864" s="848"/>
      <c r="BE1864" s="848"/>
      <c r="BF1864" s="848"/>
      <c r="BG1864" s="848"/>
      <c r="BH1864" s="848"/>
      <c r="BJ1864" s="1184" t="s">
        <v>4763</v>
      </c>
    </row>
    <row r="1865" spans="1:62" x14ac:dyDescent="0.3">
      <c r="A1865" s="1200">
        <v>10</v>
      </c>
      <c r="B1865" s="1210">
        <v>1001.1</v>
      </c>
      <c r="C1865" s="1203"/>
      <c r="D1865" s="1203"/>
      <c r="E1865" s="1203" t="s">
        <v>3520</v>
      </c>
      <c r="F1865" s="1203"/>
      <c r="G1865" s="1202" t="str">
        <f t="shared" si="631"/>
        <v>P</v>
      </c>
      <c r="H1865" s="1200" t="s">
        <v>4388</v>
      </c>
      <c r="I1865" s="4"/>
      <c r="J1865" s="237" t="s">
        <v>3520</v>
      </c>
      <c r="K1865" s="216"/>
      <c r="L1865" s="1355" t="s">
        <v>3521</v>
      </c>
      <c r="M1865" s="850"/>
      <c r="N1865" s="4"/>
      <c r="O1865" s="850"/>
      <c r="P1865" s="848" t="b">
        <v>0</v>
      </c>
      <c r="Q1865" s="848" t="b">
        <v>1</v>
      </c>
      <c r="R1865" s="848" t="b">
        <v>0</v>
      </c>
      <c r="S1865" s="848" t="b">
        <f>IF(AY1837=INDEX(ddSingleOrMulti,1),TRUE,FALSE)</f>
        <v>0</v>
      </c>
      <c r="T1865" s="97" t="b">
        <f>AND(NOT(S1865),W1865=TRUE)</f>
        <v>0</v>
      </c>
      <c r="U1865" s="848"/>
      <c r="V1865" s="848"/>
      <c r="W1865" s="25"/>
      <c r="X1865" s="1303"/>
      <c r="Y1865" s="1522" t="str">
        <f>IF(LEN('Ch10'!X47)=0,"None",'Ch10'!X47)</f>
        <v>None</v>
      </c>
      <c r="Z1865" s="1586"/>
      <c r="AB1865" s="848"/>
      <c r="AC1865" s="848" t="b">
        <f>OR(AD1865:AE1865)</f>
        <v>0</v>
      </c>
      <c r="AD1865" s="848" t="b">
        <f>T1865</f>
        <v>0</v>
      </c>
      <c r="AE1865" s="848"/>
      <c r="AF1865" s="848"/>
      <c r="AG1865" s="848"/>
      <c r="AH1865" s="848"/>
      <c r="AI1865" s="848"/>
      <c r="AJ1865" s="848"/>
      <c r="AK1865" s="848"/>
      <c r="AL1865" s="848"/>
      <c r="AM1865" s="848"/>
      <c r="AN1865" s="848"/>
      <c r="AO1865" s="848"/>
      <c r="AP1865" s="311" t="str">
        <f t="shared" si="640"/>
        <v>vch1001_1_17</v>
      </c>
      <c r="AQ1865" s="311">
        <f>W1865</f>
        <v>0</v>
      </c>
      <c r="AR1865" s="311" t="str">
        <f t="shared" si="641"/>
        <v>vnt1001_1_17</v>
      </c>
      <c r="AS1865" s="311">
        <f>X1865</f>
        <v>0</v>
      </c>
      <c r="AT1865" s="848"/>
      <c r="AU1865" s="848"/>
      <c r="AV1865" s="848"/>
      <c r="AW1865" s="848"/>
      <c r="AX1865" s="908" t="str">
        <f>'Overview (Verification)'!A44</f>
        <v>Thermal Envelope Insulation:</v>
      </c>
      <c r="AY1865" s="1077">
        <f>IF(LEN('Overview (Verification)'!P44)=0,0,'Overview (Verification)'!P44)</f>
        <v>0</v>
      </c>
      <c r="AZ1865" s="848"/>
      <c r="BA1865" s="848"/>
      <c r="BB1865" s="848"/>
      <c r="BC1865" s="848"/>
      <c r="BD1865" s="848"/>
      <c r="BE1865" s="848"/>
      <c r="BF1865" s="848"/>
      <c r="BG1865" s="848"/>
      <c r="BH1865" s="848"/>
      <c r="BJ1865" s="1184" t="s">
        <v>4763</v>
      </c>
    </row>
    <row r="1866" spans="1:62" x14ac:dyDescent="0.3">
      <c r="A1866" s="1200">
        <v>10</v>
      </c>
      <c r="B1866" s="1210">
        <v>1001.1</v>
      </c>
      <c r="C1866" s="1203"/>
      <c r="D1866" s="1203"/>
      <c r="E1866" s="1203" t="s">
        <v>3520</v>
      </c>
      <c r="F1866" s="1203"/>
      <c r="G1866" s="1202" t="str">
        <f t="shared" si="631"/>
        <v>P</v>
      </c>
      <c r="H1866" s="1200" t="s">
        <v>4388</v>
      </c>
      <c r="I1866" s="4"/>
      <c r="J1866" s="231"/>
      <c r="K1866" s="238"/>
      <c r="L1866" s="1294"/>
      <c r="M1866" s="850"/>
      <c r="N1866" s="4"/>
      <c r="O1866" s="850"/>
      <c r="P1866" s="848"/>
      <c r="Q1866" s="848"/>
      <c r="R1866" s="848"/>
      <c r="S1866" s="848"/>
      <c r="T1866" s="848"/>
      <c r="U1866" s="848"/>
      <c r="V1866" s="848"/>
      <c r="W1866" s="848"/>
      <c r="X1866" s="1303"/>
      <c r="Y1866" s="1522"/>
      <c r="Z1866" s="1586"/>
      <c r="AB1866" s="848"/>
      <c r="AC1866" s="848"/>
      <c r="AD1866" s="848"/>
      <c r="AE1866" s="848"/>
      <c r="AF1866" s="848"/>
      <c r="AG1866" s="848"/>
      <c r="AH1866" s="848"/>
      <c r="AI1866" s="848"/>
      <c r="AJ1866" s="848"/>
      <c r="AK1866" s="848"/>
      <c r="AL1866" s="848"/>
      <c r="AM1866" s="848"/>
      <c r="AN1866" s="848"/>
      <c r="AO1866" s="848"/>
      <c r="AP1866" s="848"/>
      <c r="AQ1866" s="848"/>
      <c r="AR1866" s="848"/>
      <c r="AS1866" s="848"/>
      <c r="AT1866" s="848"/>
      <c r="AU1866" s="848"/>
      <c r="AV1866" s="848"/>
      <c r="AW1866" s="848"/>
      <c r="AX1866" s="908" t="str">
        <f>'Overview (Verification)'!A45</f>
        <v>Attic Type:</v>
      </c>
      <c r="AY1866" s="1077">
        <f>IF(LEN('Overview (Verification)'!P45)=0,0,'Overview (Verification)'!P45)</f>
        <v>0</v>
      </c>
      <c r="AZ1866" s="848"/>
      <c r="BA1866" s="848"/>
      <c r="BB1866" s="848"/>
      <c r="BC1866" s="848"/>
      <c r="BD1866" s="848"/>
      <c r="BE1866" s="848"/>
      <c r="BF1866" s="848"/>
      <c r="BG1866" s="848"/>
      <c r="BH1866" s="848"/>
      <c r="BJ1866" s="1184" t="s">
        <v>4763</v>
      </c>
    </row>
    <row r="1867" spans="1:62" x14ac:dyDescent="0.3">
      <c r="A1867" s="1200">
        <v>10</v>
      </c>
      <c r="B1867" s="1210">
        <v>1001.1</v>
      </c>
      <c r="C1867" s="1203"/>
      <c r="D1867" s="1203"/>
      <c r="E1867" s="1203" t="s">
        <v>3522</v>
      </c>
      <c r="F1867" s="1203"/>
      <c r="G1867" s="1202" t="str">
        <f t="shared" si="631"/>
        <v>P</v>
      </c>
      <c r="H1867" s="1200" t="s">
        <v>4388</v>
      </c>
      <c r="I1867" s="4"/>
      <c r="J1867" s="237" t="s">
        <v>3522</v>
      </c>
      <c r="K1867" s="216"/>
      <c r="L1867" s="1356" t="s">
        <v>3523</v>
      </c>
      <c r="M1867" s="850"/>
      <c r="N1867" s="4"/>
      <c r="O1867" s="850"/>
      <c r="P1867" s="848" t="b">
        <v>0</v>
      </c>
      <c r="Q1867" s="848" t="b">
        <v>1</v>
      </c>
      <c r="R1867" s="848" t="b">
        <v>0</v>
      </c>
      <c r="S1867" s="848" t="b">
        <f>IF(AY1837=INDEX(ddSingleOrMulti,1),TRUE,FALSE)</f>
        <v>0</v>
      </c>
      <c r="T1867" s="97" t="b">
        <f>AND(NOT(S1867),W1867=TRUE)</f>
        <v>0</v>
      </c>
      <c r="U1867" s="848"/>
      <c r="V1867" s="848"/>
      <c r="W1867" s="25"/>
      <c r="X1867" s="1303"/>
      <c r="Y1867" s="1522" t="str">
        <f>IF(LEN('Ch10'!X49)=0,"None",'Ch10'!X49)</f>
        <v>None</v>
      </c>
      <c r="Z1867" s="1586"/>
      <c r="AB1867" s="848"/>
      <c r="AC1867" s="848" t="b">
        <f>OR(AD1867:AE1867)</f>
        <v>0</v>
      </c>
      <c r="AD1867" s="848" t="b">
        <f>T1867</f>
        <v>0</v>
      </c>
      <c r="AE1867" s="848"/>
      <c r="AF1867" s="848"/>
      <c r="AG1867" s="848"/>
      <c r="AH1867" s="848"/>
      <c r="AI1867" s="848"/>
      <c r="AJ1867" s="848"/>
      <c r="AK1867" s="848"/>
      <c r="AL1867" s="848"/>
      <c r="AM1867" s="848"/>
      <c r="AN1867" s="848"/>
      <c r="AO1867" s="848"/>
      <c r="AP1867" s="311" t="str">
        <f>SUBSTITUTE(SUBSTITUTE(SUBSTITUTE("vch"&amp;$B1867&amp;$C1867&amp;$D1867&amp;$E1867&amp;$F1867,".","_"),"(","_"),")","")</f>
        <v>vch1001_1_18</v>
      </c>
      <c r="AQ1867" s="311">
        <f>W1867</f>
        <v>0</v>
      </c>
      <c r="AR1867" s="311" t="str">
        <f>SUBSTITUTE(SUBSTITUTE(SUBSTITUTE("vnt"&amp;$B1867&amp;$C1867&amp;$D1867&amp;$E1867&amp;$F1867,".","_"),"(","_"),")","")</f>
        <v>vnt1001_1_18</v>
      </c>
      <c r="AS1867" s="311">
        <f>X1867</f>
        <v>0</v>
      </c>
      <c r="AT1867" s="848"/>
      <c r="AU1867" s="848"/>
      <c r="AV1867" s="848"/>
      <c r="AW1867" s="848"/>
      <c r="AX1867" s="908" t="str">
        <f>'Overview (Verification)'!A46</f>
        <v>Attached Garage:</v>
      </c>
      <c r="AY1867" s="1077">
        <f>IF(LEN('Overview (Verification)'!P46)=0,0,'Overview (Verification)'!P46)</f>
        <v>0</v>
      </c>
      <c r="AZ1867" s="848"/>
      <c r="BA1867" s="848"/>
      <c r="BB1867" s="848"/>
      <c r="BC1867" s="848"/>
      <c r="BD1867" s="848"/>
      <c r="BE1867" s="848"/>
      <c r="BF1867" s="848"/>
      <c r="BG1867" s="848"/>
      <c r="BH1867" s="848"/>
      <c r="BJ1867" s="1184" t="s">
        <v>4763</v>
      </c>
    </row>
    <row r="1868" spans="1:62" x14ac:dyDescent="0.3">
      <c r="A1868" s="1200">
        <v>10</v>
      </c>
      <c r="B1868" s="1210">
        <v>1001.1</v>
      </c>
      <c r="C1868" s="1203"/>
      <c r="D1868" s="1203"/>
      <c r="E1868" s="1203" t="s">
        <v>3522</v>
      </c>
      <c r="F1868" s="1203"/>
      <c r="G1868" s="1202" t="str">
        <f t="shared" si="631"/>
        <v>P</v>
      </c>
      <c r="H1868" s="1200" t="s">
        <v>4388</v>
      </c>
      <c r="I1868" s="4"/>
      <c r="J1868" s="238"/>
      <c r="K1868" s="238"/>
      <c r="L1868" s="1306"/>
      <c r="M1868" s="850"/>
      <c r="N1868" s="4"/>
      <c r="O1868" s="850"/>
      <c r="P1868" s="848"/>
      <c r="Q1868" s="848"/>
      <c r="R1868" s="848"/>
      <c r="S1868" s="848"/>
      <c r="T1868" s="848"/>
      <c r="U1868" s="848"/>
      <c r="V1868" s="848"/>
      <c r="W1868" s="848"/>
      <c r="X1868" s="1303"/>
      <c r="Y1868" s="1522"/>
      <c r="Z1868" s="1586"/>
      <c r="AB1868" s="848"/>
      <c r="AC1868" s="848"/>
      <c r="AD1868" s="848"/>
      <c r="AE1868" s="848"/>
      <c r="AF1868" s="848"/>
      <c r="AG1868" s="848"/>
      <c r="AH1868" s="848"/>
      <c r="AI1868" s="848"/>
      <c r="AJ1868" s="848"/>
      <c r="AK1868" s="848"/>
      <c r="AL1868" s="848"/>
      <c r="AM1868" s="848"/>
      <c r="AN1868" s="848"/>
      <c r="AO1868" s="848"/>
      <c r="AP1868" s="848"/>
      <c r="AQ1868" s="848"/>
      <c r="AR1868" s="848"/>
      <c r="AS1868" s="848"/>
      <c r="AT1868" s="848"/>
      <c r="AU1868" s="848"/>
      <c r="AV1868" s="848"/>
      <c r="AW1868" s="848"/>
      <c r="AX1868" s="908" t="str">
        <f>'Overview (Verification)'!A47</f>
        <v>Recessed Lighting:</v>
      </c>
      <c r="AY1868" s="1077">
        <f>IF(LEN('Overview (Verification)'!P47)=0,0,'Overview (Verification)'!P47)</f>
        <v>0</v>
      </c>
      <c r="AZ1868" s="848"/>
      <c r="BA1868" s="848"/>
      <c r="BB1868" s="848"/>
      <c r="BC1868" s="848"/>
      <c r="BD1868" s="848"/>
      <c r="BE1868" s="848"/>
      <c r="BF1868" s="848"/>
      <c r="BG1868" s="848"/>
      <c r="BH1868" s="848"/>
      <c r="BJ1868" s="1184" t="s">
        <v>4763</v>
      </c>
    </row>
    <row r="1869" spans="1:62" x14ac:dyDescent="0.3">
      <c r="A1869" s="1200">
        <v>10</v>
      </c>
      <c r="B1869" s="1210">
        <v>1001.1</v>
      </c>
      <c r="C1869" s="1203"/>
      <c r="D1869" s="1203"/>
      <c r="E1869" s="1203" t="s">
        <v>3524</v>
      </c>
      <c r="F1869" s="1203"/>
      <c r="G1869" s="1202" t="str">
        <f t="shared" si="631"/>
        <v>P</v>
      </c>
      <c r="H1869" s="1200" t="s">
        <v>4388</v>
      </c>
      <c r="I1869" s="4"/>
      <c r="J1869" s="233" t="s">
        <v>3524</v>
      </c>
      <c r="K1869" s="274"/>
      <c r="L1869" s="365" t="s">
        <v>3525</v>
      </c>
      <c r="M1869" s="850"/>
      <c r="N1869" s="4"/>
      <c r="O1869" s="850"/>
      <c r="P1869" s="848" t="b">
        <v>0</v>
      </c>
      <c r="Q1869" s="848" t="b">
        <v>1</v>
      </c>
      <c r="R1869" s="848" t="b">
        <v>0</v>
      </c>
      <c r="S1869" s="848" t="b">
        <f>IF(AY1837=INDEX(ddSingleOrMulti,1),TRUE,FALSE)</f>
        <v>0</v>
      </c>
      <c r="T1869" s="97" t="b">
        <f>AND(NOT(S1869),W1869=TRUE)</f>
        <v>0</v>
      </c>
      <c r="U1869" s="848"/>
      <c r="V1869" s="848"/>
      <c r="W1869" s="25"/>
      <c r="X1869" s="851"/>
      <c r="Y1869" s="889" t="str">
        <f>IF(LEN('Ch10'!X51)=0,"None",'Ch10'!X51)</f>
        <v>None</v>
      </c>
      <c r="Z1869" s="1169"/>
      <c r="AB1869" s="848"/>
      <c r="AC1869" s="848" t="b">
        <f>OR(AD1869:AE1869)</f>
        <v>0</v>
      </c>
      <c r="AD1869" s="848" t="b">
        <f>T1869</f>
        <v>0</v>
      </c>
      <c r="AE1869" s="848"/>
      <c r="AF1869" s="848"/>
      <c r="AG1869" s="848"/>
      <c r="AH1869" s="848"/>
      <c r="AI1869" s="848"/>
      <c r="AJ1869" s="848"/>
      <c r="AK1869" s="848"/>
      <c r="AL1869" s="848"/>
      <c r="AM1869" s="848"/>
      <c r="AN1869" s="848"/>
      <c r="AO1869" s="848"/>
      <c r="AP1869" s="311" t="str">
        <f t="shared" ref="AP1869:AP1870" si="642">SUBSTITUTE(SUBSTITUTE(SUBSTITUTE("vch"&amp;$B1869&amp;$C1869&amp;$D1869&amp;$E1869&amp;$F1869,".","_"),"(","_"),")","")</f>
        <v>vch1001_1_19</v>
      </c>
      <c r="AQ1869" s="311">
        <f>W1869</f>
        <v>0</v>
      </c>
      <c r="AR1869" s="311" t="str">
        <f t="shared" ref="AR1869:AR1870" si="643">SUBSTITUTE(SUBSTITUTE(SUBSTITUTE("vnt"&amp;$B1869&amp;$C1869&amp;$D1869&amp;$E1869&amp;$F1869,".","_"),"(","_"),")","")</f>
        <v>vnt1001_1_19</v>
      </c>
      <c r="AS1869" s="311">
        <f>X1869</f>
        <v>0</v>
      </c>
      <c r="AT1869" s="848"/>
      <c r="AU1869" s="848"/>
      <c r="AV1869" s="848"/>
      <c r="AW1869" s="848"/>
      <c r="AX1869" s="849"/>
      <c r="AY1869" s="1077"/>
      <c r="AZ1869" s="848"/>
      <c r="BA1869" s="848"/>
      <c r="BB1869" s="848"/>
      <c r="BC1869" s="848"/>
      <c r="BD1869" s="848"/>
      <c r="BE1869" s="848"/>
      <c r="BF1869" s="848"/>
      <c r="BG1869" s="848"/>
      <c r="BH1869" s="848"/>
      <c r="BJ1869" s="1184" t="s">
        <v>4763</v>
      </c>
    </row>
    <row r="1870" spans="1:62" x14ac:dyDescent="0.3">
      <c r="A1870" s="1200">
        <v>10</v>
      </c>
      <c r="B1870" s="1210">
        <v>1001.1</v>
      </c>
      <c r="C1870" s="1203"/>
      <c r="D1870" s="1203"/>
      <c r="E1870" s="1203" t="s">
        <v>3526</v>
      </c>
      <c r="F1870" s="1203"/>
      <c r="G1870" s="1202" t="str">
        <f t="shared" si="631"/>
        <v>P</v>
      </c>
      <c r="H1870" s="1200" t="s">
        <v>4388</v>
      </c>
      <c r="I1870" s="4"/>
      <c r="J1870" s="237" t="s">
        <v>3526</v>
      </c>
      <c r="K1870" s="216"/>
      <c r="L1870" s="1356" t="s">
        <v>3527</v>
      </c>
      <c r="M1870" s="850"/>
      <c r="N1870" s="4"/>
      <c r="O1870" s="850"/>
      <c r="P1870" s="848" t="b">
        <v>0</v>
      </c>
      <c r="Q1870" s="848" t="b">
        <v>1</v>
      </c>
      <c r="R1870" s="848" t="b">
        <v>0</v>
      </c>
      <c r="S1870" s="848" t="b">
        <f>IF(AY1837=INDEX(ddSingleOrMulti,1),TRUE,FALSE)</f>
        <v>0</v>
      </c>
      <c r="T1870" s="97" t="b">
        <f>AND(NOT(S1870),W1870=TRUE)</f>
        <v>0</v>
      </c>
      <c r="U1870" s="848"/>
      <c r="V1870" s="848"/>
      <c r="W1870" s="25"/>
      <c r="X1870" s="1303"/>
      <c r="Y1870" s="1522" t="str">
        <f>IF(LEN('Ch10'!X52)=0,"None",'Ch10'!X52)</f>
        <v>None</v>
      </c>
      <c r="Z1870" s="1586"/>
      <c r="AB1870" s="848"/>
      <c r="AC1870" s="848" t="b">
        <f>OR(AD1870:AE1870)</f>
        <v>0</v>
      </c>
      <c r="AD1870" s="848" t="b">
        <f>T1870</f>
        <v>0</v>
      </c>
      <c r="AE1870" s="848"/>
      <c r="AF1870" s="848"/>
      <c r="AG1870" s="848"/>
      <c r="AH1870" s="848"/>
      <c r="AI1870" s="848"/>
      <c r="AJ1870" s="848"/>
      <c r="AK1870" s="848"/>
      <c r="AL1870" s="848"/>
      <c r="AM1870" s="848"/>
      <c r="AN1870" s="848"/>
      <c r="AO1870" s="848"/>
      <c r="AP1870" s="311" t="str">
        <f t="shared" si="642"/>
        <v>vch1001_1_20</v>
      </c>
      <c r="AQ1870" s="311">
        <f>W1870</f>
        <v>0</v>
      </c>
      <c r="AR1870" s="311" t="str">
        <f t="shared" si="643"/>
        <v>vnt1001_1_20</v>
      </c>
      <c r="AS1870" s="311">
        <f>X1870</f>
        <v>0</v>
      </c>
      <c r="AT1870" s="848"/>
      <c r="AU1870" s="848"/>
      <c r="AV1870" s="848"/>
      <c r="AW1870" s="848"/>
      <c r="AX1870" s="908" t="str">
        <f>'Overview (Verification)'!A49</f>
        <v>Special Design Features:</v>
      </c>
      <c r="AY1870" s="1077"/>
      <c r="AZ1870" s="848"/>
      <c r="BA1870" s="848"/>
      <c r="BB1870" s="848"/>
      <c r="BC1870" s="848"/>
      <c r="BD1870" s="848"/>
      <c r="BE1870" s="848"/>
      <c r="BF1870" s="848"/>
      <c r="BG1870" s="848"/>
      <c r="BH1870" s="848"/>
      <c r="BJ1870" s="1184" t="s">
        <v>4763</v>
      </c>
    </row>
    <row r="1871" spans="1:62" x14ac:dyDescent="0.3">
      <c r="A1871" s="1200">
        <v>10</v>
      </c>
      <c r="B1871" s="1210">
        <v>1001.1</v>
      </c>
      <c r="C1871" s="1203"/>
      <c r="D1871" s="1203"/>
      <c r="E1871" s="1203" t="s">
        <v>3526</v>
      </c>
      <c r="F1871" s="1203"/>
      <c r="G1871" s="1202" t="str">
        <f t="shared" si="631"/>
        <v>P</v>
      </c>
      <c r="H1871" s="1200" t="s">
        <v>4388</v>
      </c>
      <c r="I1871" s="4"/>
      <c r="J1871" s="238"/>
      <c r="K1871" s="238"/>
      <c r="L1871" s="1306"/>
      <c r="M1871" s="850"/>
      <c r="N1871" s="4"/>
      <c r="O1871" s="850"/>
      <c r="P1871" s="848"/>
      <c r="Q1871" s="848"/>
      <c r="R1871" s="848"/>
      <c r="S1871" s="848"/>
      <c r="T1871" s="848"/>
      <c r="U1871" s="848"/>
      <c r="V1871" s="848"/>
      <c r="W1871" s="848"/>
      <c r="X1871" s="1303"/>
      <c r="Y1871" s="1522"/>
      <c r="Z1871" s="1586"/>
      <c r="AB1871" s="848"/>
      <c r="AC1871" s="848"/>
      <c r="AD1871" s="848"/>
      <c r="AE1871" s="848"/>
      <c r="AF1871" s="848"/>
      <c r="AG1871" s="848"/>
      <c r="AH1871" s="848"/>
      <c r="AI1871" s="848"/>
      <c r="AJ1871" s="848"/>
      <c r="AK1871" s="848"/>
      <c r="AL1871" s="848"/>
      <c r="AM1871" s="848"/>
      <c r="AN1871" s="848"/>
      <c r="AO1871" s="848"/>
      <c r="AP1871" s="848"/>
      <c r="AQ1871" s="848"/>
      <c r="AR1871" s="848"/>
      <c r="AS1871" s="848"/>
      <c r="AT1871" s="848"/>
      <c r="AU1871" s="848"/>
      <c r="AV1871" s="848"/>
      <c r="AW1871" s="848"/>
      <c r="AX1871" s="908" t="str">
        <f>'Overview (Verification)'!A50</f>
        <v>Passive Solar:</v>
      </c>
      <c r="AY1871" s="1077">
        <f>IF(LEN('Overview (Verification)'!P50)=0,0,'Overview (Verification)'!P50)</f>
        <v>0</v>
      </c>
      <c r="AZ1871" s="848"/>
      <c r="BA1871" s="848"/>
      <c r="BB1871" s="848"/>
      <c r="BC1871" s="848"/>
      <c r="BD1871" s="848"/>
      <c r="BE1871" s="848"/>
      <c r="BF1871" s="848"/>
      <c r="BG1871" s="848"/>
      <c r="BH1871" s="848"/>
      <c r="BJ1871" s="1184" t="s">
        <v>4763</v>
      </c>
    </row>
    <row r="1872" spans="1:62" x14ac:dyDescent="0.3">
      <c r="A1872" s="1200">
        <v>10</v>
      </c>
      <c r="B1872" s="1210">
        <v>1001.1</v>
      </c>
      <c r="C1872" s="1203"/>
      <c r="D1872" s="1203"/>
      <c r="E1872" s="1203" t="s">
        <v>3528</v>
      </c>
      <c r="F1872" s="1203"/>
      <c r="G1872" s="1202" t="str">
        <f t="shared" si="631"/>
        <v>P</v>
      </c>
      <c r="H1872" s="1200" t="s">
        <v>4388</v>
      </c>
      <c r="I1872" s="4"/>
      <c r="J1872" s="237" t="s">
        <v>3528</v>
      </c>
      <c r="K1872" s="216"/>
      <c r="L1872" s="1356" t="s">
        <v>3529</v>
      </c>
      <c r="M1872" s="850"/>
      <c r="N1872" s="4"/>
      <c r="O1872" s="850"/>
      <c r="P1872" s="848" t="b">
        <v>0</v>
      </c>
      <c r="Q1872" s="848" t="b">
        <v>1</v>
      </c>
      <c r="R1872" s="848" t="b">
        <v>0</v>
      </c>
      <c r="S1872" s="848" t="b">
        <f>IF(AY1837=INDEX(ddSingleOrMulti,1),TRUE,FALSE)</f>
        <v>0</v>
      </c>
      <c r="T1872" s="97" t="b">
        <f>AND(NOT(S1872),W1872=TRUE)</f>
        <v>0</v>
      </c>
      <c r="U1872" s="848"/>
      <c r="V1872" s="848"/>
      <c r="W1872" s="25"/>
      <c r="X1872" s="1303"/>
      <c r="Y1872" s="1522" t="str">
        <f>IF(LEN('Ch10'!X54)=0,"None",'Ch10'!X54)</f>
        <v>None</v>
      </c>
      <c r="Z1872" s="1586"/>
      <c r="AB1872" s="848"/>
      <c r="AC1872" s="848" t="b">
        <f>OR(AD1872:AE1872)</f>
        <v>0</v>
      </c>
      <c r="AD1872" s="848" t="b">
        <f>T1872</f>
        <v>0</v>
      </c>
      <c r="AE1872" s="848"/>
      <c r="AF1872" s="848"/>
      <c r="AG1872" s="848"/>
      <c r="AH1872" s="848"/>
      <c r="AI1872" s="848"/>
      <c r="AJ1872" s="848"/>
      <c r="AK1872" s="848"/>
      <c r="AL1872" s="848"/>
      <c r="AM1872" s="848"/>
      <c r="AN1872" s="848"/>
      <c r="AO1872" s="848"/>
      <c r="AP1872" s="311" t="str">
        <f>SUBSTITUTE(SUBSTITUTE(SUBSTITUTE("vch"&amp;$B1872&amp;$C1872&amp;$D1872&amp;$E1872&amp;$F1872,".","_"),"(","_"),")","")</f>
        <v>vch1001_1_21</v>
      </c>
      <c r="AQ1872" s="311">
        <f>W1872</f>
        <v>0</v>
      </c>
      <c r="AR1872" s="311" t="str">
        <f>SUBSTITUTE(SUBSTITUTE(SUBSTITUTE("vnt"&amp;$B1872&amp;$C1872&amp;$D1872&amp;$E1872&amp;$F1872,".","_"),"(","_"),")","")</f>
        <v>vnt1001_1_21</v>
      </c>
      <c r="AS1872" s="311">
        <f>X1872</f>
        <v>0</v>
      </c>
      <c r="AT1872" s="848"/>
      <c r="AU1872" s="848"/>
      <c r="AV1872" s="848"/>
      <c r="AW1872" s="848"/>
      <c r="AX1872" s="908" t="str">
        <f>'Overview (Verification)'!A51</f>
        <v>Mass Walls:</v>
      </c>
      <c r="AY1872" s="1077">
        <f>IF(LEN('Overview (Verification)'!P51)=0,0,'Overview (Verification)'!P51)</f>
        <v>0</v>
      </c>
      <c r="AZ1872" s="848"/>
      <c r="BA1872" s="848"/>
      <c r="BB1872" s="848"/>
      <c r="BC1872" s="848"/>
      <c r="BD1872" s="848"/>
      <c r="BE1872" s="848"/>
      <c r="BF1872" s="848"/>
      <c r="BG1872" s="848"/>
      <c r="BH1872" s="848"/>
      <c r="BJ1872" s="1184" t="s">
        <v>4763</v>
      </c>
    </row>
    <row r="1873" spans="1:62" x14ac:dyDescent="0.3">
      <c r="A1873" s="1200">
        <v>10</v>
      </c>
      <c r="B1873" s="1210">
        <v>1001.1</v>
      </c>
      <c r="C1873" s="1203"/>
      <c r="D1873" s="1203"/>
      <c r="E1873" s="1203" t="s">
        <v>3528</v>
      </c>
      <c r="F1873" s="1203"/>
      <c r="G1873" s="1202" t="str">
        <f t="shared" si="631"/>
        <v>P</v>
      </c>
      <c r="H1873" s="1200" t="s">
        <v>4388</v>
      </c>
      <c r="I1873" s="4"/>
      <c r="J1873" s="238"/>
      <c r="K1873" s="238"/>
      <c r="L1873" s="1306"/>
      <c r="M1873" s="850"/>
      <c r="N1873" s="4"/>
      <c r="O1873" s="850"/>
      <c r="P1873" s="848"/>
      <c r="Q1873" s="848"/>
      <c r="R1873" s="848"/>
      <c r="S1873" s="848"/>
      <c r="T1873" s="848"/>
      <c r="U1873" s="848"/>
      <c r="V1873" s="848"/>
      <c r="W1873" s="848"/>
      <c r="X1873" s="1303"/>
      <c r="Y1873" s="1522"/>
      <c r="Z1873" s="1586"/>
      <c r="AB1873" s="848"/>
      <c r="AC1873" s="848"/>
      <c r="AD1873" s="848"/>
      <c r="AE1873" s="848"/>
      <c r="AF1873" s="848"/>
      <c r="AG1873" s="848"/>
      <c r="AH1873" s="848"/>
      <c r="AI1873" s="848"/>
      <c r="AJ1873" s="848"/>
      <c r="AK1873" s="848"/>
      <c r="AL1873" s="848"/>
      <c r="AM1873" s="848"/>
      <c r="AN1873" s="848"/>
      <c r="AO1873" s="848"/>
      <c r="AP1873" s="848"/>
      <c r="AQ1873" s="848"/>
      <c r="AR1873" s="848"/>
      <c r="AS1873" s="848"/>
      <c r="AT1873" s="848"/>
      <c r="AU1873" s="848"/>
      <c r="AV1873" s="848"/>
      <c r="AW1873" s="848"/>
      <c r="AX1873" s="908" t="str">
        <f>'Overview (Verification)'!A52</f>
        <v>Ductless:</v>
      </c>
      <c r="AY1873" s="1077">
        <f>IF(LEN('Overview (Verification)'!P52)=0,0,'Overview (Verification)'!P52)</f>
        <v>0</v>
      </c>
      <c r="AZ1873" s="848"/>
      <c r="BA1873" s="848"/>
      <c r="BB1873" s="848"/>
      <c r="BC1873" s="848"/>
      <c r="BD1873" s="848"/>
      <c r="BE1873" s="848"/>
      <c r="BF1873" s="848"/>
      <c r="BG1873" s="848"/>
      <c r="BH1873" s="848"/>
      <c r="BJ1873" s="1184" t="s">
        <v>4763</v>
      </c>
    </row>
    <row r="1874" spans="1:62" x14ac:dyDescent="0.3">
      <c r="A1874" s="1200">
        <v>10</v>
      </c>
      <c r="B1874" s="1210">
        <v>1001.1</v>
      </c>
      <c r="C1874" s="1203"/>
      <c r="D1874" s="1203"/>
      <c r="E1874" s="1203" t="s">
        <v>3530</v>
      </c>
      <c r="F1874" s="1203"/>
      <c r="G1874" s="1202" t="str">
        <f t="shared" si="631"/>
        <v>P</v>
      </c>
      <c r="H1874" s="1200" t="s">
        <v>4388</v>
      </c>
      <c r="I1874" s="4"/>
      <c r="J1874" s="237" t="s">
        <v>3530</v>
      </c>
      <c r="K1874" s="216"/>
      <c r="L1874" s="1356" t="s">
        <v>3531</v>
      </c>
      <c r="M1874" s="850"/>
      <c r="N1874" s="4"/>
      <c r="O1874" s="850"/>
      <c r="P1874" s="848" t="b">
        <v>0</v>
      </c>
      <c r="Q1874" s="848" t="b">
        <v>1</v>
      </c>
      <c r="R1874" s="848" t="b">
        <v>0</v>
      </c>
      <c r="S1874" s="848" t="b">
        <f>IF(AY1837=INDEX(ddSingleOrMulti,1),TRUE,FALSE)</f>
        <v>0</v>
      </c>
      <c r="T1874" s="97" t="b">
        <f>AND(NOT(S1874),W1874=TRUE)</f>
        <v>0</v>
      </c>
      <c r="U1874" s="848"/>
      <c r="V1874" s="848"/>
      <c r="W1874" s="25"/>
      <c r="X1874" s="1303"/>
      <c r="Y1874" s="1522" t="str">
        <f>IF(LEN('Ch10'!X56)=0,"None",'Ch10'!X56)</f>
        <v>None</v>
      </c>
      <c r="Z1874" s="1586"/>
      <c r="AB1874" s="848"/>
      <c r="AC1874" s="848" t="b">
        <f>OR(AD1874:AE1874)</f>
        <v>0</v>
      </c>
      <c r="AD1874" s="848" t="b">
        <f>T1874</f>
        <v>0</v>
      </c>
      <c r="AE1874" s="848"/>
      <c r="AF1874" s="848"/>
      <c r="AG1874" s="848"/>
      <c r="AH1874" s="848"/>
      <c r="AI1874" s="848"/>
      <c r="AJ1874" s="848"/>
      <c r="AK1874" s="848"/>
      <c r="AL1874" s="848"/>
      <c r="AM1874" s="848"/>
      <c r="AN1874" s="848"/>
      <c r="AO1874" s="848"/>
      <c r="AP1874" s="311" t="str">
        <f>SUBSTITUTE(SUBSTITUTE(SUBSTITUTE("vch"&amp;$B1874&amp;$C1874&amp;$D1874&amp;$E1874&amp;$F1874,".","_"),"(","_"),")","")</f>
        <v>vch1001_1_22</v>
      </c>
      <c r="AQ1874" s="311">
        <f>W1874</f>
        <v>0</v>
      </c>
      <c r="AR1874" s="311" t="str">
        <f>SUBSTITUTE(SUBSTITUTE(SUBSTITUTE("vnt"&amp;$B1874&amp;$C1874&amp;$D1874&amp;$E1874&amp;$F1874,".","_"),"(","_"),")","")</f>
        <v>vnt1001_1_22</v>
      </c>
      <c r="AS1874" s="311">
        <f>X1874</f>
        <v>0</v>
      </c>
      <c r="AT1874" s="848"/>
      <c r="AU1874" s="848"/>
      <c r="AV1874" s="848"/>
      <c r="AW1874" s="848"/>
      <c r="AX1874" s="908" t="str">
        <f>'Overview (Verification)'!A53</f>
        <v>Radiant/Hydronic:</v>
      </c>
      <c r="AY1874" s="1077">
        <f>IF(LEN('Overview (Verification)'!P53)=0,0,'Overview (Verification)'!P53)</f>
        <v>0</v>
      </c>
      <c r="AZ1874" s="848"/>
      <c r="BA1874" s="848"/>
      <c r="BB1874" s="848"/>
      <c r="BC1874" s="848"/>
      <c r="BD1874" s="848"/>
      <c r="BE1874" s="848"/>
      <c r="BF1874" s="848"/>
      <c r="BG1874" s="848"/>
      <c r="BH1874" s="848"/>
      <c r="BJ1874" s="1184" t="s">
        <v>4763</v>
      </c>
    </row>
    <row r="1875" spans="1:62" x14ac:dyDescent="0.3">
      <c r="A1875" s="1200">
        <v>10</v>
      </c>
      <c r="B1875" s="1210">
        <v>1001.1</v>
      </c>
      <c r="C1875" s="1203"/>
      <c r="D1875" s="1203"/>
      <c r="E1875" s="1203" t="s">
        <v>3530</v>
      </c>
      <c r="F1875" s="1203"/>
      <c r="G1875" s="1202" t="str">
        <f t="shared" si="631"/>
        <v>P</v>
      </c>
      <c r="H1875" s="1200" t="s">
        <v>4388</v>
      </c>
      <c r="I1875" s="4"/>
      <c r="J1875" s="238"/>
      <c r="K1875" s="238"/>
      <c r="L1875" s="1306"/>
      <c r="M1875" s="850"/>
      <c r="N1875" s="4"/>
      <c r="O1875" s="850"/>
      <c r="P1875" s="848"/>
      <c r="Q1875" s="848"/>
      <c r="R1875" s="848"/>
      <c r="S1875" s="848"/>
      <c r="T1875" s="848"/>
      <c r="U1875" s="848"/>
      <c r="V1875" s="848"/>
      <c r="W1875" s="848"/>
      <c r="X1875" s="1303"/>
      <c r="Y1875" s="1522"/>
      <c r="Z1875" s="1586"/>
      <c r="AB1875" s="848"/>
      <c r="AC1875" s="848"/>
      <c r="AD1875" s="848"/>
      <c r="AE1875" s="848"/>
      <c r="AF1875" s="848"/>
      <c r="AG1875" s="848"/>
      <c r="AH1875" s="848"/>
      <c r="AI1875" s="848"/>
      <c r="AJ1875" s="848"/>
      <c r="AK1875" s="848"/>
      <c r="AL1875" s="848"/>
      <c r="AM1875" s="848"/>
      <c r="AN1875" s="848"/>
      <c r="AO1875" s="848"/>
      <c r="AP1875" s="848"/>
      <c r="AQ1875" s="848"/>
      <c r="AR1875" s="848"/>
      <c r="AS1875" s="848"/>
      <c r="AT1875" s="848"/>
      <c r="AU1875" s="848"/>
      <c r="AV1875" s="848"/>
      <c r="AW1875" s="848"/>
      <c r="AX1875" s="908" t="str">
        <f>'Overview (Verification)'!A54</f>
        <v>Tankless Water Heater:</v>
      </c>
      <c r="AY1875" s="1077">
        <f>IF(LEN('Overview (Verification)'!P54)=0,0,'Overview (Verification)'!P54)</f>
        <v>0</v>
      </c>
      <c r="AZ1875" s="848"/>
      <c r="BA1875" s="848"/>
      <c r="BB1875" s="848"/>
      <c r="BC1875" s="848"/>
      <c r="BD1875" s="848"/>
      <c r="BE1875" s="848"/>
      <c r="BF1875" s="848"/>
      <c r="BG1875" s="848"/>
      <c r="BH1875" s="848"/>
      <c r="BJ1875" s="1184" t="s">
        <v>4763</v>
      </c>
    </row>
    <row r="1876" spans="1:62" x14ac:dyDescent="0.3">
      <c r="A1876" s="1200">
        <v>10</v>
      </c>
      <c r="B1876" s="1210">
        <v>1001.1</v>
      </c>
      <c r="C1876" s="1203"/>
      <c r="D1876" s="1203"/>
      <c r="E1876" s="1203" t="s">
        <v>3532</v>
      </c>
      <c r="F1876" s="1203"/>
      <c r="G1876" s="1202" t="str">
        <f t="shared" si="631"/>
        <v>P</v>
      </c>
      <c r="H1876" s="1200" t="s">
        <v>4388</v>
      </c>
      <c r="I1876" s="4"/>
      <c r="J1876" s="233" t="s">
        <v>3532</v>
      </c>
      <c r="K1876" s="274"/>
      <c r="L1876" s="365" t="s">
        <v>3533</v>
      </c>
      <c r="M1876" s="850"/>
      <c r="N1876" s="4"/>
      <c r="O1876" s="850"/>
      <c r="P1876" s="848" t="b">
        <v>0</v>
      </c>
      <c r="Q1876" s="848" t="b">
        <v>1</v>
      </c>
      <c r="R1876" s="848" t="b">
        <v>0</v>
      </c>
      <c r="S1876" s="848" t="b">
        <f>IF(AY1837=INDEX(ddSingleOrMulti,1),TRUE,FALSE)</f>
        <v>0</v>
      </c>
      <c r="T1876" s="97" t="b">
        <f>AND(NOT(S1876),W1876=TRUE)</f>
        <v>0</v>
      </c>
      <c r="U1876" s="848"/>
      <c r="V1876" s="848"/>
      <c r="W1876" s="25"/>
      <c r="X1876" s="851"/>
      <c r="Y1876" s="889" t="str">
        <f>IF(LEN('Ch10'!X58)=0,"None",'Ch10'!X58)</f>
        <v>None</v>
      </c>
      <c r="Z1876" s="1169"/>
      <c r="AB1876" s="848"/>
      <c r="AC1876" s="848" t="b">
        <f>OR(AD1876:AE1876)</f>
        <v>0</v>
      </c>
      <c r="AD1876" s="848" t="b">
        <f>T1876</f>
        <v>0</v>
      </c>
      <c r="AE1876" s="848"/>
      <c r="AF1876" s="848"/>
      <c r="AG1876" s="848"/>
      <c r="AH1876" s="848"/>
      <c r="AI1876" s="848"/>
      <c r="AJ1876" s="848"/>
      <c r="AK1876" s="848"/>
      <c r="AL1876" s="848"/>
      <c r="AM1876" s="848"/>
      <c r="AN1876" s="848"/>
      <c r="AO1876" s="848"/>
      <c r="AP1876" s="311" t="str">
        <f t="shared" ref="AP1876:AP1878" si="644">SUBSTITUTE(SUBSTITUTE(SUBSTITUTE("vch"&amp;$B1876&amp;$C1876&amp;$D1876&amp;$E1876&amp;$F1876,".","_"),"(","_"),")","")</f>
        <v>vch1001_1_23</v>
      </c>
      <c r="AQ1876" s="311">
        <f>W1876</f>
        <v>0</v>
      </c>
      <c r="AR1876" s="311" t="str">
        <f t="shared" ref="AR1876:AR1878" si="645">SUBSTITUTE(SUBSTITUTE(SUBSTITUTE("vnt"&amp;$B1876&amp;$C1876&amp;$D1876&amp;$E1876&amp;$F1876,".","_"),"(","_"),")","")</f>
        <v>vnt1001_1_23</v>
      </c>
      <c r="AS1876" s="311">
        <f>X1876</f>
        <v>0</v>
      </c>
      <c r="AT1876" s="848"/>
      <c r="AU1876" s="848"/>
      <c r="AV1876" s="848"/>
      <c r="AW1876" s="848"/>
      <c r="AX1876" s="908" t="str">
        <f>'Overview (Verification)'!A55</f>
        <v>Composting Toilet:</v>
      </c>
      <c r="AY1876" s="1077">
        <f>IF(LEN('Overview (Verification)'!P55)=0,0,'Overview (Verification)'!P55)</f>
        <v>0</v>
      </c>
      <c r="AZ1876" s="848"/>
      <c r="BA1876" s="848"/>
      <c r="BB1876" s="848"/>
      <c r="BC1876" s="848"/>
      <c r="BD1876" s="848"/>
      <c r="BE1876" s="848"/>
      <c r="BF1876" s="848"/>
      <c r="BG1876" s="848"/>
      <c r="BH1876" s="848"/>
      <c r="BJ1876" s="1184" t="s">
        <v>4763</v>
      </c>
    </row>
    <row r="1877" spans="1:62" ht="15" thickBot="1" x14ac:dyDescent="0.35">
      <c r="A1877" s="1200">
        <v>10</v>
      </c>
      <c r="B1877" s="1210">
        <v>1001.1</v>
      </c>
      <c r="C1877" s="1203"/>
      <c r="D1877" s="1203"/>
      <c r="E1877" s="1203" t="s">
        <v>3534</v>
      </c>
      <c r="F1877" s="1203"/>
      <c r="G1877" s="1202" t="str">
        <f t="shared" si="631"/>
        <v>P</v>
      </c>
      <c r="H1877" s="1200" t="s">
        <v>4388</v>
      </c>
      <c r="I1877" s="270"/>
      <c r="J1877" s="213" t="s">
        <v>3534</v>
      </c>
      <c r="K1877" s="270"/>
      <c r="L1877" s="1072" t="s">
        <v>3535</v>
      </c>
      <c r="M1877" s="858"/>
      <c r="N1877" s="270"/>
      <c r="O1877" s="858"/>
      <c r="P1877" s="848" t="b">
        <v>0</v>
      </c>
      <c r="Q1877" s="848" t="b">
        <v>1</v>
      </c>
      <c r="R1877" s="104" t="b">
        <v>0</v>
      </c>
      <c r="S1877" s="104" t="b">
        <f>IF(AY1837=INDEX(ddSingleOrMulti,1),TRUE,FALSE)</f>
        <v>0</v>
      </c>
      <c r="T1877" s="104" t="b">
        <f>AND(NOT(S1877),W1877=TRUE)</f>
        <v>0</v>
      </c>
      <c r="U1877" s="104"/>
      <c r="V1877" s="104"/>
      <c r="W1877" s="105"/>
      <c r="X1877" s="853"/>
      <c r="Y1877" s="890" t="str">
        <f>IF(LEN('Ch10'!X59)=0,"None",'Ch10'!X59)</f>
        <v>None</v>
      </c>
      <c r="Z1877" s="1173"/>
      <c r="AB1877" s="848"/>
      <c r="AC1877" s="848" t="b">
        <f>OR(AD1877:AE1877)</f>
        <v>0</v>
      </c>
      <c r="AD1877" s="848" t="b">
        <f>T1877</f>
        <v>0</v>
      </c>
      <c r="AE1877" s="848"/>
      <c r="AF1877" s="848"/>
      <c r="AG1877" s="848"/>
      <c r="AH1877" s="848"/>
      <c r="AI1877" s="848"/>
      <c r="AJ1877" s="848"/>
      <c r="AK1877" s="848"/>
      <c r="AL1877" s="848"/>
      <c r="AM1877" s="848"/>
      <c r="AN1877" s="848"/>
      <c r="AO1877" s="848"/>
      <c r="AP1877" s="311" t="str">
        <f t="shared" si="644"/>
        <v>vch1001_1_24</v>
      </c>
      <c r="AQ1877" s="311">
        <f>W1877</f>
        <v>0</v>
      </c>
      <c r="AR1877" s="311" t="str">
        <f t="shared" si="645"/>
        <v>vnt1001_1_24</v>
      </c>
      <c r="AS1877" s="311">
        <f>X1877</f>
        <v>0</v>
      </c>
      <c r="AT1877" s="848"/>
      <c r="AU1877" s="848"/>
      <c r="AV1877" s="848"/>
      <c r="AW1877" s="848"/>
      <c r="AX1877" s="849"/>
      <c r="AY1877" s="1077"/>
      <c r="AZ1877" s="848"/>
      <c r="BA1877" s="848"/>
      <c r="BB1877" s="848"/>
      <c r="BC1877" s="848"/>
      <c r="BD1877" s="848"/>
      <c r="BE1877" s="848"/>
      <c r="BF1877" s="848"/>
      <c r="BG1877" s="848"/>
      <c r="BH1877" s="848"/>
      <c r="BJ1877" s="1184" t="s">
        <v>4763</v>
      </c>
    </row>
    <row r="1878" spans="1:62" ht="15" thickTop="1" x14ac:dyDescent="0.3">
      <c r="A1878" s="1200">
        <v>10</v>
      </c>
      <c r="B1878" s="1210">
        <v>1001.2</v>
      </c>
      <c r="C1878" s="1203"/>
      <c r="D1878" s="1203"/>
      <c r="E1878" s="1203"/>
      <c r="F1878" s="1203"/>
      <c r="G1878" s="1202" t="str">
        <f>IF(M1878="Mandatory","P","")</f>
        <v/>
      </c>
      <c r="H1878" s="1200" t="s">
        <v>4388</v>
      </c>
      <c r="I1878" s="66">
        <v>1001.2</v>
      </c>
      <c r="J1878" s="4"/>
      <c r="K1878" s="4"/>
      <c r="L1878" s="1292" t="s">
        <v>3536</v>
      </c>
      <c r="M1878" s="1361" t="str">
        <f>IF(R1878,"Mandatory","N/A")</f>
        <v>N/A</v>
      </c>
      <c r="N1878" s="4"/>
      <c r="O1878" s="850"/>
      <c r="P1878" s="848" t="b">
        <v>0</v>
      </c>
      <c r="Q1878" s="848" t="b">
        <v>1</v>
      </c>
      <c r="R1878" s="848" t="b">
        <f>S1878</f>
        <v>0</v>
      </c>
      <c r="S1878" s="848" t="b">
        <f>IF(AY1837=INDEX(ddSingleOrMulti,1),TRUE,FALSE)</f>
        <v>0</v>
      </c>
      <c r="T1878" s="97" t="b">
        <f>AND(NOT(S1878),W1878=TRUE)</f>
        <v>0</v>
      </c>
      <c r="U1878" s="848"/>
      <c r="V1878" s="848"/>
      <c r="W1878" s="127"/>
      <c r="X1878" s="1304"/>
      <c r="Y1878" s="1525" t="str">
        <f>IF(LEN('Ch10'!X60)=0,"None",'Ch10'!X60)</f>
        <v>None</v>
      </c>
      <c r="Z1878" s="1585"/>
      <c r="AB1878" s="848"/>
      <c r="AC1878" s="848" t="b">
        <f>OR(AD1878:AE1878)</f>
        <v>0</v>
      </c>
      <c r="AD1878" s="848" t="b">
        <f>T1878</f>
        <v>0</v>
      </c>
      <c r="AE1878" s="848" t="b">
        <f>AND(R1878,NOT(W1878=TRUE))</f>
        <v>0</v>
      </c>
      <c r="AF1878" s="1182" t="b">
        <f>AND(AE1878,NOT(Q1878))</f>
        <v>0</v>
      </c>
      <c r="AG1878" s="848"/>
      <c r="AH1878" s="848"/>
      <c r="AI1878" s="848"/>
      <c r="AJ1878" s="848"/>
      <c r="AK1878" s="848"/>
      <c r="AL1878" s="311" t="str">
        <f t="shared" ref="AL1878" si="646">SUBSTITUTE(SUBSTITUTE(SUBSTITUTE("vpa"&amp;$B1878&amp;$C1878&amp;$D1878&amp;$E1878&amp;$F1878,".","_"),"(","_"),")","")</f>
        <v>vpa1001_2</v>
      </c>
      <c r="AM1878" s="311" t="str">
        <f>M1878</f>
        <v>N/A</v>
      </c>
      <c r="AN1878" s="848"/>
      <c r="AO1878" s="848"/>
      <c r="AP1878" s="311" t="str">
        <f t="shared" si="644"/>
        <v>vch1001_2</v>
      </c>
      <c r="AQ1878" s="311">
        <f>W1878</f>
        <v>0</v>
      </c>
      <c r="AR1878" s="311" t="str">
        <f t="shared" si="645"/>
        <v>vnt1001_2</v>
      </c>
      <c r="AS1878" s="311">
        <f>X1878</f>
        <v>0</v>
      </c>
      <c r="AT1878" s="848"/>
      <c r="AU1878" s="848"/>
      <c r="AV1878" s="848"/>
      <c r="AW1878" s="848"/>
      <c r="AX1878" s="908" t="str">
        <f>'Overview (Verification)'!A57</f>
        <v>Local Energy Code:</v>
      </c>
      <c r="AY1878" s="1077">
        <f>IF(LEN('Overview (Verification)'!P57)=0,0,'Overview (Verification)'!P57)</f>
        <v>0</v>
      </c>
      <c r="AZ1878" s="848"/>
      <c r="BA1878" s="848"/>
      <c r="BB1878" s="848"/>
      <c r="BC1878" s="848"/>
      <c r="BD1878" s="848"/>
      <c r="BE1878" s="848"/>
      <c r="BF1878" s="848"/>
      <c r="BG1878" s="848"/>
      <c r="BH1878" s="848"/>
      <c r="BJ1878" s="1184" t="s">
        <v>4763</v>
      </c>
    </row>
    <row r="1879" spans="1:62" x14ac:dyDescent="0.3">
      <c r="A1879" s="1200">
        <v>10</v>
      </c>
      <c r="B1879" s="1210">
        <v>1001.2</v>
      </c>
      <c r="C1879" s="1203"/>
      <c r="D1879" s="1203"/>
      <c r="E1879" s="1203"/>
      <c r="F1879" s="1203"/>
      <c r="G1879" s="1202" t="str">
        <f t="shared" ref="G1879:G1888" si="647">G1878</f>
        <v/>
      </c>
      <c r="H1879" s="1200" t="s">
        <v>4388</v>
      </c>
      <c r="I1879" s="4"/>
      <c r="J1879" s="4"/>
      <c r="K1879" s="4"/>
      <c r="L1879" s="1292"/>
      <c r="M1879" s="1361" t="str">
        <f>IF(R1879,"Mandatory","N/A")</f>
        <v>N/A</v>
      </c>
      <c r="N1879" s="4"/>
      <c r="O1879" s="850"/>
      <c r="P1879" s="848"/>
      <c r="Q1879" s="848"/>
      <c r="R1879" s="848"/>
      <c r="S1879" s="848"/>
      <c r="T1879" s="848"/>
      <c r="U1879" s="848"/>
      <c r="V1879" s="848"/>
      <c r="W1879" s="848"/>
      <c r="X1879" s="1303"/>
      <c r="Y1879" s="1522"/>
      <c r="Z1879" s="1586"/>
      <c r="AB1879" s="848"/>
      <c r="AC1879" s="848"/>
      <c r="AD1879" s="848"/>
      <c r="AE1879" s="848"/>
      <c r="AF1879" s="848"/>
      <c r="AG1879" s="848"/>
      <c r="AH1879" s="848"/>
      <c r="AI1879" s="848"/>
      <c r="AJ1879" s="848"/>
      <c r="AK1879" s="848"/>
      <c r="AL1879" s="848"/>
      <c r="AM1879" s="848"/>
      <c r="AN1879" s="848"/>
      <c r="AO1879" s="848"/>
      <c r="AP1879" s="848"/>
      <c r="AQ1879" s="848"/>
      <c r="AR1879" s="848"/>
      <c r="AS1879" s="848"/>
      <c r="AT1879" s="848"/>
      <c r="AU1879" s="848"/>
      <c r="AV1879" s="848"/>
      <c r="AW1879" s="848"/>
      <c r="AX1879" s="908" t="str">
        <f>'Overview (Verification)'!A58</f>
        <v>Local Building Code:</v>
      </c>
      <c r="AY1879" s="1077">
        <f>IF(LEN('Overview (Verification)'!P58)=0,0,'Overview (Verification)'!P58)</f>
        <v>0</v>
      </c>
      <c r="AZ1879" s="848"/>
      <c r="BA1879" s="848"/>
      <c r="BB1879" s="848"/>
      <c r="BC1879" s="848"/>
      <c r="BD1879" s="848"/>
      <c r="BE1879" s="848"/>
      <c r="BF1879" s="848"/>
      <c r="BG1879" s="848"/>
      <c r="BH1879" s="848"/>
      <c r="BJ1879" s="1184" t="s">
        <v>4763</v>
      </c>
    </row>
    <row r="1880" spans="1:62" x14ac:dyDescent="0.3">
      <c r="A1880" s="1200">
        <v>10</v>
      </c>
      <c r="B1880" s="1210">
        <v>1001.2</v>
      </c>
      <c r="C1880" s="1203"/>
      <c r="D1880" s="1203"/>
      <c r="E1880" s="1203"/>
      <c r="F1880" s="1203"/>
      <c r="G1880" s="1202" t="str">
        <f t="shared" si="647"/>
        <v/>
      </c>
      <c r="H1880" s="1200" t="s">
        <v>4388</v>
      </c>
      <c r="I1880" s="4"/>
      <c r="J1880" s="4"/>
      <c r="K1880" s="4"/>
      <c r="L1880" s="1292"/>
      <c r="M1880" s="1361" t="str">
        <f>IF(R1880,"Mandatory","N/A")</f>
        <v>N/A</v>
      </c>
      <c r="N1880" s="4"/>
      <c r="O1880" s="850"/>
      <c r="P1880" s="848"/>
      <c r="Q1880" s="848"/>
      <c r="R1880" s="848"/>
      <c r="S1880" s="848"/>
      <c r="T1880" s="848"/>
      <c r="U1880" s="848"/>
      <c r="V1880" s="848"/>
      <c r="W1880" s="848"/>
      <c r="X1880" s="1303"/>
      <c r="Y1880" s="1522"/>
      <c r="Z1880" s="1586"/>
      <c r="AB1880" s="848"/>
      <c r="AC1880" s="848"/>
      <c r="AD1880" s="848"/>
      <c r="AE1880" s="848"/>
      <c r="AF1880" s="848"/>
      <c r="AG1880" s="848"/>
      <c r="AH1880" s="848"/>
      <c r="AI1880" s="848"/>
      <c r="AJ1880" s="848"/>
      <c r="AK1880" s="848"/>
      <c r="AL1880" s="848"/>
      <c r="AM1880" s="848"/>
      <c r="AN1880" s="848"/>
      <c r="AO1880" s="848"/>
      <c r="AP1880" s="848"/>
      <c r="AQ1880" s="848"/>
      <c r="AR1880" s="848"/>
      <c r="AS1880" s="848"/>
      <c r="AT1880" s="848"/>
      <c r="AU1880" s="848"/>
      <c r="AV1880" s="848"/>
      <c r="AW1880" s="848"/>
      <c r="AZ1880" s="848"/>
      <c r="BA1880" s="848"/>
      <c r="BB1880" s="848"/>
      <c r="BC1880" s="848"/>
      <c r="BD1880" s="848"/>
      <c r="BE1880" s="848"/>
      <c r="BF1880" s="848"/>
      <c r="BG1880" s="848"/>
      <c r="BH1880" s="848"/>
      <c r="BJ1880" s="1184" t="s">
        <v>4763</v>
      </c>
    </row>
    <row r="1881" spans="1:62" x14ac:dyDescent="0.3">
      <c r="A1881" s="1200">
        <v>10</v>
      </c>
      <c r="B1881" s="1210">
        <v>1001.2</v>
      </c>
      <c r="C1881" s="1203"/>
      <c r="D1881" s="1203"/>
      <c r="E1881" s="1203"/>
      <c r="F1881" s="1203"/>
      <c r="G1881" s="1202" t="str">
        <f t="shared" si="647"/>
        <v/>
      </c>
      <c r="H1881" s="1200" t="s">
        <v>4388</v>
      </c>
      <c r="I1881" s="4"/>
      <c r="J1881" s="4"/>
      <c r="K1881" s="4"/>
      <c r="L1881" s="1292"/>
      <c r="M1881" s="1361" t="str">
        <f>IF(R1881,"Mandatory","N/A")</f>
        <v>N/A</v>
      </c>
      <c r="N1881" s="4"/>
      <c r="O1881" s="850"/>
      <c r="P1881" s="848"/>
      <c r="Q1881" s="848"/>
      <c r="R1881" s="848"/>
      <c r="S1881" s="848"/>
      <c r="T1881" s="848"/>
      <c r="U1881" s="848"/>
      <c r="V1881" s="848"/>
      <c r="W1881" s="848"/>
      <c r="X1881" s="1303"/>
      <c r="Y1881" s="1522"/>
      <c r="Z1881" s="1586"/>
      <c r="AB1881" s="848"/>
      <c r="AC1881" s="848"/>
      <c r="AD1881" s="848"/>
      <c r="AE1881" s="848"/>
      <c r="AF1881" s="848"/>
      <c r="AG1881" s="848"/>
      <c r="AH1881" s="848"/>
      <c r="AI1881" s="848"/>
      <c r="AJ1881" s="848"/>
      <c r="AK1881" s="848"/>
      <c r="AL1881" s="848"/>
      <c r="AM1881" s="848"/>
      <c r="AN1881" s="848"/>
      <c r="AO1881" s="848"/>
      <c r="AP1881" s="848"/>
      <c r="AQ1881" s="848"/>
      <c r="AR1881" s="848"/>
      <c r="AS1881" s="848"/>
      <c r="AT1881" s="848"/>
      <c r="AU1881" s="848"/>
      <c r="AV1881" s="848"/>
      <c r="AW1881" s="848"/>
      <c r="AX1881" s="848"/>
      <c r="AY1881" s="848"/>
      <c r="AZ1881" s="848"/>
      <c r="BA1881" s="848"/>
      <c r="BB1881" s="848"/>
      <c r="BC1881" s="848"/>
      <c r="BD1881" s="848"/>
      <c r="BE1881" s="848"/>
      <c r="BF1881" s="848"/>
      <c r="BG1881" s="848"/>
      <c r="BH1881" s="848"/>
      <c r="BJ1881" s="1184" t="s">
        <v>4763</v>
      </c>
    </row>
    <row r="1882" spans="1:62" x14ac:dyDescent="0.3">
      <c r="A1882" s="1200">
        <v>10</v>
      </c>
      <c r="B1882" s="1210">
        <v>1001.2</v>
      </c>
      <c r="C1882" s="1203"/>
      <c r="D1882" s="1203"/>
      <c r="E1882" s="1203" t="s">
        <v>271</v>
      </c>
      <c r="F1882" s="1203"/>
      <c r="G1882" s="1202" t="str">
        <f t="shared" si="647"/>
        <v/>
      </c>
      <c r="H1882" s="1200" t="s">
        <v>4388</v>
      </c>
      <c r="I1882" s="4"/>
      <c r="J1882" s="203" t="s">
        <v>271</v>
      </c>
      <c r="K1882" s="140"/>
      <c r="L1882" s="882" t="s">
        <v>3537</v>
      </c>
      <c r="M1882" s="850"/>
      <c r="N1882" s="4"/>
      <c r="O1882" s="850"/>
      <c r="P1882" s="848"/>
      <c r="Q1882" s="848"/>
      <c r="R1882" s="848"/>
      <c r="S1882" s="848"/>
      <c r="T1882" s="848"/>
      <c r="U1882" s="848"/>
      <c r="V1882" s="848"/>
      <c r="W1882" s="848"/>
      <c r="X1882" s="1303"/>
      <c r="Y1882" s="1522"/>
      <c r="Z1882" s="1586"/>
      <c r="AB1882" s="848"/>
      <c r="AC1882" s="848"/>
      <c r="AD1882" s="848"/>
      <c r="AE1882" s="848"/>
      <c r="AF1882" s="848"/>
      <c r="AG1882" s="848"/>
      <c r="AH1882" s="848"/>
      <c r="AI1882" s="848"/>
      <c r="AJ1882" s="848"/>
      <c r="AK1882" s="848"/>
      <c r="AL1882" s="848"/>
      <c r="AM1882" s="848"/>
      <c r="AN1882" s="848"/>
      <c r="AO1882" s="848"/>
      <c r="AP1882" s="848"/>
      <c r="AQ1882" s="848"/>
      <c r="AR1882" s="848"/>
      <c r="AS1882" s="848"/>
      <c r="AT1882" s="848"/>
      <c r="AU1882" s="848"/>
      <c r="AV1882" s="848"/>
      <c r="AW1882" s="848"/>
      <c r="AX1882" s="848"/>
      <c r="AY1882" s="848"/>
      <c r="AZ1882" s="848"/>
      <c r="BA1882" s="848"/>
      <c r="BB1882" s="848"/>
      <c r="BC1882" s="848"/>
      <c r="BD1882" s="848"/>
      <c r="BE1882" s="848"/>
      <c r="BF1882" s="848"/>
      <c r="BG1882" s="848"/>
      <c r="BH1882" s="848"/>
      <c r="BJ1882" s="1184" t="s">
        <v>4763</v>
      </c>
    </row>
    <row r="1883" spans="1:62" x14ac:dyDescent="0.3">
      <c r="A1883" s="1200">
        <v>10</v>
      </c>
      <c r="B1883" s="1210">
        <v>1001.2</v>
      </c>
      <c r="C1883" s="1203"/>
      <c r="D1883" s="1203"/>
      <c r="E1883" s="1203" t="s">
        <v>273</v>
      </c>
      <c r="F1883" s="1203"/>
      <c r="G1883" s="1202" t="str">
        <f t="shared" si="647"/>
        <v/>
      </c>
      <c r="H1883" s="1200" t="s">
        <v>4388</v>
      </c>
      <c r="I1883" s="4"/>
      <c r="J1883" s="203" t="s">
        <v>273</v>
      </c>
      <c r="K1883" s="140"/>
      <c r="L1883" s="882" t="s">
        <v>3538</v>
      </c>
      <c r="M1883" s="850"/>
      <c r="N1883" s="4"/>
      <c r="O1883" s="850"/>
      <c r="P1883" s="848"/>
      <c r="Q1883" s="848"/>
      <c r="R1883" s="848"/>
      <c r="S1883" s="848"/>
      <c r="T1883" s="848"/>
      <c r="U1883" s="848"/>
      <c r="V1883" s="848"/>
      <c r="W1883" s="848"/>
      <c r="X1883" s="1303"/>
      <c r="Y1883" s="1522"/>
      <c r="Z1883" s="1586"/>
      <c r="AB1883" s="848"/>
      <c r="AC1883" s="848"/>
      <c r="AD1883" s="848"/>
      <c r="AE1883" s="848"/>
      <c r="AF1883" s="848"/>
      <c r="AG1883" s="848"/>
      <c r="AH1883" s="848"/>
      <c r="AI1883" s="848"/>
      <c r="AJ1883" s="848"/>
      <c r="AK1883" s="848"/>
      <c r="AL1883" s="848"/>
      <c r="AM1883" s="848"/>
      <c r="AN1883" s="848"/>
      <c r="AO1883" s="848"/>
      <c r="AP1883" s="848"/>
      <c r="AQ1883" s="848"/>
      <c r="AR1883" s="848"/>
      <c r="AS1883" s="848"/>
      <c r="AT1883" s="848"/>
      <c r="AU1883" s="848"/>
      <c r="AV1883" s="848"/>
      <c r="AW1883" s="848"/>
      <c r="AX1883" s="848"/>
      <c r="AY1883" s="848"/>
      <c r="AZ1883" s="848"/>
      <c r="BA1883" s="848"/>
      <c r="BB1883" s="848"/>
      <c r="BC1883" s="848"/>
      <c r="BD1883" s="848"/>
      <c r="BE1883" s="848"/>
      <c r="BF1883" s="848"/>
      <c r="BG1883" s="848"/>
      <c r="BH1883" s="848"/>
      <c r="BJ1883" s="1184" t="s">
        <v>4763</v>
      </c>
    </row>
    <row r="1884" spans="1:62" x14ac:dyDescent="0.3">
      <c r="A1884" s="1200">
        <v>10</v>
      </c>
      <c r="B1884" s="1210">
        <v>1001.2</v>
      </c>
      <c r="C1884" s="1203"/>
      <c r="D1884" s="1203"/>
      <c r="E1884" s="1203" t="s">
        <v>275</v>
      </c>
      <c r="F1884" s="1203"/>
      <c r="G1884" s="1202" t="str">
        <f t="shared" si="647"/>
        <v/>
      </c>
      <c r="H1884" s="1200" t="s">
        <v>4388</v>
      </c>
      <c r="I1884" s="4"/>
      <c r="J1884" s="203" t="s">
        <v>275</v>
      </c>
      <c r="K1884" s="140"/>
      <c r="L1884" s="882" t="s">
        <v>3539</v>
      </c>
      <c r="M1884" s="850"/>
      <c r="N1884" s="4"/>
      <c r="O1884" s="850"/>
      <c r="P1884" s="848"/>
      <c r="Q1884" s="848"/>
      <c r="R1884" s="848"/>
      <c r="S1884" s="848"/>
      <c r="T1884" s="848"/>
      <c r="U1884" s="848"/>
      <c r="V1884" s="848"/>
      <c r="W1884" s="848"/>
      <c r="X1884" s="1303"/>
      <c r="Y1884" s="1522"/>
      <c r="Z1884" s="1586"/>
      <c r="AB1884" s="848"/>
      <c r="AC1884" s="848"/>
      <c r="AD1884" s="848"/>
      <c r="AE1884" s="848"/>
      <c r="AF1884" s="848"/>
      <c r="AG1884" s="848"/>
      <c r="AH1884" s="848"/>
      <c r="AI1884" s="848"/>
      <c r="AJ1884" s="848"/>
      <c r="AK1884" s="848"/>
      <c r="AL1884" s="848"/>
      <c r="AM1884" s="848"/>
      <c r="AN1884" s="848"/>
      <c r="AO1884" s="848"/>
      <c r="AP1884" s="848"/>
      <c r="AQ1884" s="848"/>
      <c r="AR1884" s="848"/>
      <c r="AS1884" s="848"/>
      <c r="AT1884" s="848"/>
      <c r="AU1884" s="848"/>
      <c r="AV1884" s="848"/>
      <c r="AW1884" s="848"/>
      <c r="AX1884" s="848"/>
      <c r="AY1884" s="848"/>
      <c r="AZ1884" s="848"/>
      <c r="BA1884" s="848"/>
      <c r="BB1884" s="848"/>
      <c r="BC1884" s="848"/>
      <c r="BD1884" s="848"/>
      <c r="BE1884" s="848"/>
      <c r="BF1884" s="848"/>
      <c r="BG1884" s="848"/>
      <c r="BH1884" s="848"/>
      <c r="BJ1884" s="1184" t="s">
        <v>4763</v>
      </c>
    </row>
    <row r="1885" spans="1:62" x14ac:dyDescent="0.3">
      <c r="A1885" s="1200">
        <v>10</v>
      </c>
      <c r="B1885" s="1210">
        <v>1001.2</v>
      </c>
      <c r="C1885" s="1203"/>
      <c r="D1885" s="1203"/>
      <c r="E1885" s="1203" t="s">
        <v>285</v>
      </c>
      <c r="F1885" s="1203"/>
      <c r="G1885" s="1202" t="str">
        <f t="shared" si="647"/>
        <v/>
      </c>
      <c r="H1885" s="1200" t="s">
        <v>4388</v>
      </c>
      <c r="I1885" s="4"/>
      <c r="J1885" s="203" t="s">
        <v>285</v>
      </c>
      <c r="K1885" s="140"/>
      <c r="L1885" s="882" t="s">
        <v>3540</v>
      </c>
      <c r="M1885" s="850"/>
      <c r="N1885" s="4"/>
      <c r="O1885" s="850"/>
      <c r="P1885" s="848"/>
      <c r="Q1885" s="848"/>
      <c r="R1885" s="848"/>
      <c r="S1885" s="848"/>
      <c r="T1885" s="848"/>
      <c r="U1885" s="848"/>
      <c r="V1885" s="848"/>
      <c r="W1885" s="848"/>
      <c r="X1885" s="1303"/>
      <c r="Y1885" s="1522"/>
      <c r="Z1885" s="1586"/>
      <c r="AB1885" s="848"/>
      <c r="AC1885" s="848"/>
      <c r="AD1885" s="848"/>
      <c r="AE1885" s="848"/>
      <c r="AF1885" s="848"/>
      <c r="AG1885" s="848"/>
      <c r="AH1885" s="848"/>
      <c r="AI1885" s="848"/>
      <c r="AJ1885" s="848"/>
      <c r="AK1885" s="848"/>
      <c r="AL1885" s="848"/>
      <c r="AM1885" s="848"/>
      <c r="AN1885" s="848"/>
      <c r="AO1885" s="848"/>
      <c r="AP1885" s="848"/>
      <c r="AQ1885" s="848"/>
      <c r="AR1885" s="848"/>
      <c r="AS1885" s="848"/>
      <c r="AT1885" s="848"/>
      <c r="AU1885" s="848"/>
      <c r="AV1885" s="848"/>
      <c r="AW1885" s="848"/>
      <c r="AX1885" s="848"/>
      <c r="AY1885" s="848"/>
      <c r="AZ1885" s="848"/>
      <c r="BA1885" s="848"/>
      <c r="BB1885" s="848"/>
      <c r="BC1885" s="848"/>
      <c r="BD1885" s="848"/>
      <c r="BE1885" s="848"/>
      <c r="BF1885" s="848"/>
      <c r="BG1885" s="848"/>
      <c r="BH1885" s="848"/>
      <c r="BJ1885" s="1184" t="s">
        <v>4763</v>
      </c>
    </row>
    <row r="1886" spans="1:62" x14ac:dyDescent="0.3">
      <c r="A1886" s="1200">
        <v>10</v>
      </c>
      <c r="B1886" s="1210">
        <v>1001.2</v>
      </c>
      <c r="C1886" s="1203"/>
      <c r="D1886" s="1203"/>
      <c r="E1886" s="1203" t="s">
        <v>291</v>
      </c>
      <c r="F1886" s="1203"/>
      <c r="G1886" s="1202" t="str">
        <f t="shared" si="647"/>
        <v/>
      </c>
      <c r="H1886" s="1200" t="s">
        <v>4388</v>
      </c>
      <c r="I1886" s="4"/>
      <c r="J1886" s="203" t="s">
        <v>291</v>
      </c>
      <c r="K1886" s="140"/>
      <c r="L1886" s="882" t="s">
        <v>3541</v>
      </c>
      <c r="M1886" s="850"/>
      <c r="N1886" s="4"/>
      <c r="O1886" s="850"/>
      <c r="P1886" s="848"/>
      <c r="Q1886" s="848"/>
      <c r="R1886" s="848"/>
      <c r="S1886" s="848"/>
      <c r="T1886" s="848"/>
      <c r="U1886" s="848"/>
      <c r="V1886" s="848"/>
      <c r="W1886" s="848"/>
      <c r="X1886" s="1303"/>
      <c r="Y1886" s="1522"/>
      <c r="Z1886" s="1586"/>
      <c r="AB1886" s="848"/>
      <c r="AC1886" s="848"/>
      <c r="AD1886" s="848"/>
      <c r="AE1886" s="848"/>
      <c r="AF1886" s="848"/>
      <c r="AG1886" s="848"/>
      <c r="AH1886" s="848"/>
      <c r="AI1886" s="848"/>
      <c r="AJ1886" s="848"/>
      <c r="AK1886" s="848"/>
      <c r="AL1886" s="848"/>
      <c r="AM1886" s="848"/>
      <c r="AN1886" s="848"/>
      <c r="AO1886" s="848"/>
      <c r="AP1886" s="848"/>
      <c r="AQ1886" s="848"/>
      <c r="AR1886" s="848"/>
      <c r="AS1886" s="848"/>
      <c r="AT1886" s="848"/>
      <c r="AU1886" s="848"/>
      <c r="AV1886" s="848"/>
      <c r="AW1886" s="848"/>
      <c r="AX1886" s="848"/>
      <c r="AY1886" s="848"/>
      <c r="AZ1886" s="848"/>
      <c r="BA1886" s="848"/>
      <c r="BB1886" s="848"/>
      <c r="BC1886" s="848"/>
      <c r="BD1886" s="848"/>
      <c r="BE1886" s="848"/>
      <c r="BF1886" s="848"/>
      <c r="BG1886" s="848"/>
      <c r="BH1886" s="848"/>
      <c r="BJ1886" s="1184" t="s">
        <v>4763</v>
      </c>
    </row>
    <row r="1887" spans="1:62" x14ac:dyDescent="0.3">
      <c r="A1887" s="1200">
        <v>10</v>
      </c>
      <c r="B1887" s="1210">
        <v>1001.2</v>
      </c>
      <c r="C1887" s="1203"/>
      <c r="D1887" s="1203"/>
      <c r="E1887" s="1203" t="s">
        <v>293</v>
      </c>
      <c r="F1887" s="1203"/>
      <c r="G1887" s="1202" t="str">
        <f t="shared" si="647"/>
        <v/>
      </c>
      <c r="H1887" s="1200" t="s">
        <v>4388</v>
      </c>
      <c r="I1887" s="4"/>
      <c r="J1887" s="203" t="s">
        <v>293</v>
      </c>
      <c r="K1887" s="140"/>
      <c r="L1887" s="882" t="s">
        <v>3542</v>
      </c>
      <c r="M1887" s="850"/>
      <c r="N1887" s="4"/>
      <c r="O1887" s="850"/>
      <c r="P1887" s="848"/>
      <c r="Q1887" s="848"/>
      <c r="R1887" s="848"/>
      <c r="S1887" s="848"/>
      <c r="T1887" s="848"/>
      <c r="U1887" s="848"/>
      <c r="V1887" s="848"/>
      <c r="W1887" s="848"/>
      <c r="X1887" s="1303"/>
      <c r="Y1887" s="1522"/>
      <c r="Z1887" s="1586"/>
      <c r="AB1887" s="848"/>
      <c r="AC1887" s="848"/>
      <c r="AD1887" s="848"/>
      <c r="AE1887" s="848"/>
      <c r="AF1887" s="848"/>
      <c r="AG1887" s="848"/>
      <c r="AH1887" s="848"/>
      <c r="AI1887" s="848"/>
      <c r="AJ1887" s="848"/>
      <c r="AK1887" s="848"/>
      <c r="AL1887" s="848"/>
      <c r="AM1887" s="848"/>
      <c r="AN1887" s="848"/>
      <c r="AO1887" s="848"/>
      <c r="AP1887" s="848"/>
      <c r="AQ1887" s="848"/>
      <c r="AR1887" s="848"/>
      <c r="AS1887" s="848"/>
      <c r="AT1887" s="848"/>
      <c r="AU1887" s="848"/>
      <c r="AV1887" s="848"/>
      <c r="AW1887" s="848"/>
      <c r="AX1887" s="848"/>
      <c r="AY1887" s="848"/>
      <c r="AZ1887" s="848"/>
      <c r="BA1887" s="848"/>
      <c r="BB1887" s="848"/>
      <c r="BC1887" s="848"/>
      <c r="BD1887" s="848"/>
      <c r="BE1887" s="848"/>
      <c r="BF1887" s="848"/>
      <c r="BG1887" s="848"/>
      <c r="BH1887" s="848"/>
      <c r="BJ1887" s="1184" t="s">
        <v>4763</v>
      </c>
    </row>
    <row r="1888" spans="1:62" x14ac:dyDescent="0.3">
      <c r="A1888" s="1200">
        <v>10</v>
      </c>
      <c r="B1888" s="1210">
        <v>1001.2</v>
      </c>
      <c r="C1888" s="1203"/>
      <c r="D1888" s="1203"/>
      <c r="E1888" s="1203" t="s">
        <v>405</v>
      </c>
      <c r="F1888" s="1203"/>
      <c r="G1888" s="1202" t="str">
        <f t="shared" si="647"/>
        <v/>
      </c>
      <c r="H1888" s="1200" t="s">
        <v>4388</v>
      </c>
      <c r="I1888" s="4"/>
      <c r="J1888" s="27" t="s">
        <v>405</v>
      </c>
      <c r="K1888" s="4"/>
      <c r="L1888" s="884" t="s">
        <v>3543</v>
      </c>
      <c r="M1888" s="850"/>
      <c r="N1888" s="4"/>
      <c r="O1888" s="850"/>
      <c r="P1888" s="848"/>
      <c r="Q1888" s="848"/>
      <c r="R1888" s="848"/>
      <c r="S1888" s="848"/>
      <c r="T1888" s="848"/>
      <c r="U1888" s="848"/>
      <c r="V1888" s="848"/>
      <c r="W1888" s="848"/>
      <c r="X1888" s="1303"/>
      <c r="Y1888" s="1522"/>
      <c r="Z1888" s="1586"/>
      <c r="AB1888" s="848"/>
      <c r="AC1888" s="848"/>
      <c r="AD1888" s="848"/>
      <c r="AE1888" s="848"/>
      <c r="AF1888" s="848"/>
      <c r="AG1888" s="848"/>
      <c r="AH1888" s="848"/>
      <c r="AI1888" s="848"/>
      <c r="AJ1888" s="848"/>
      <c r="AK1888" s="848"/>
      <c r="AL1888" s="848"/>
      <c r="AM1888" s="848"/>
      <c r="AN1888" s="848"/>
      <c r="AO1888" s="848"/>
      <c r="AP1888" s="848"/>
      <c r="AQ1888" s="848"/>
      <c r="AR1888" s="848"/>
      <c r="AS1888" s="848"/>
      <c r="AT1888" s="848"/>
      <c r="AU1888" s="848"/>
      <c r="AV1888" s="848"/>
      <c r="AW1888" s="848"/>
      <c r="AX1888" s="848"/>
      <c r="AY1888" s="848"/>
      <c r="AZ1888" s="848"/>
      <c r="BA1888" s="848"/>
      <c r="BB1888" s="848"/>
      <c r="BC1888" s="848"/>
      <c r="BD1888" s="848"/>
      <c r="BE1888" s="848"/>
      <c r="BF1888" s="848"/>
      <c r="BG1888" s="848"/>
      <c r="BH1888" s="848"/>
      <c r="BJ1888" s="1184" t="s">
        <v>4763</v>
      </c>
    </row>
    <row r="1889" spans="1:62" ht="18" x14ac:dyDescent="0.35">
      <c r="A1889" s="1200">
        <v>10</v>
      </c>
      <c r="B1889" s="1210">
        <v>1002</v>
      </c>
      <c r="C1889" s="1203"/>
      <c r="D1889" s="1203"/>
      <c r="E1889" s="1203"/>
      <c r="F1889" s="1203"/>
      <c r="G1889" s="1202" t="s">
        <v>4389</v>
      </c>
      <c r="H1889" s="1200" t="s">
        <v>4386</v>
      </c>
      <c r="I1889" s="14" t="s">
        <v>3544</v>
      </c>
      <c r="J1889" s="23"/>
      <c r="K1889" s="23"/>
      <c r="L1889" s="258"/>
      <c r="M1889" s="594"/>
      <c r="N1889" s="604"/>
      <c r="O1889" s="594"/>
      <c r="P1889" s="23"/>
      <c r="Q1889" s="23"/>
      <c r="R1889" s="23"/>
      <c r="S1889" s="23"/>
      <c r="T1889" s="23"/>
      <c r="U1889" s="23"/>
      <c r="V1889" s="23"/>
      <c r="W1889" s="23"/>
      <c r="X1889" s="23"/>
      <c r="Y1889" s="23"/>
      <c r="Z1889" s="1168"/>
      <c r="AB1889" s="848"/>
      <c r="AC1889" s="848"/>
      <c r="AD1889" s="848"/>
      <c r="AE1889" s="848"/>
      <c r="AF1889" s="848"/>
      <c r="AG1889" s="848"/>
      <c r="AH1889" s="848"/>
      <c r="AI1889" s="848"/>
      <c r="AJ1889" s="848"/>
      <c r="AK1889" s="848"/>
      <c r="AL1889" s="848"/>
      <c r="AM1889" s="848"/>
      <c r="AN1889" s="848"/>
      <c r="AO1889" s="848"/>
      <c r="AP1889" s="848"/>
      <c r="AQ1889" s="848"/>
      <c r="AR1889" s="848"/>
      <c r="AS1889" s="848"/>
      <c r="AT1889" s="848"/>
      <c r="AU1889" s="848"/>
      <c r="AV1889" s="848"/>
      <c r="AW1889" s="848"/>
      <c r="AX1889" s="848"/>
      <c r="AY1889" s="848"/>
      <c r="AZ1889" s="848"/>
      <c r="BA1889" s="848"/>
      <c r="BB1889" s="848"/>
      <c r="BC1889" s="848"/>
      <c r="BD1889" s="848"/>
      <c r="BE1889" s="848"/>
      <c r="BF1889" s="848"/>
      <c r="BG1889" s="848"/>
      <c r="BH1889" s="848"/>
      <c r="BJ1889" s="1184" t="s">
        <v>4763</v>
      </c>
    </row>
    <row r="1890" spans="1:62" x14ac:dyDescent="0.3">
      <c r="A1890" s="1200">
        <v>10</v>
      </c>
      <c r="B1890" s="1210" t="s">
        <v>4667</v>
      </c>
      <c r="C1890" s="1203"/>
      <c r="D1890" s="1203"/>
      <c r="E1890" s="1203"/>
      <c r="F1890" s="1203"/>
      <c r="G1890" s="1200"/>
      <c r="H1890" s="1200"/>
      <c r="I1890" s="268">
        <v>1002</v>
      </c>
      <c r="J1890" s="140"/>
      <c r="K1890" s="140"/>
      <c r="L1890" s="1313" t="s">
        <v>3545</v>
      </c>
      <c r="M1890" s="854"/>
      <c r="N1890" s="140"/>
      <c r="O1890" s="854"/>
      <c r="P1890" s="97"/>
      <c r="Q1890" s="97"/>
      <c r="R1890" s="97"/>
      <c r="S1890" s="97"/>
      <c r="T1890" s="97"/>
      <c r="U1890" s="97"/>
      <c r="V1890" s="97"/>
      <c r="W1890" s="97"/>
      <c r="X1890" s="97"/>
      <c r="Y1890" s="848"/>
      <c r="Z1890" s="1055"/>
      <c r="AB1890" s="848"/>
      <c r="AC1890" s="848"/>
      <c r="AD1890" s="848"/>
      <c r="AE1890" s="848"/>
      <c r="AF1890" s="848"/>
      <c r="AG1890" s="848"/>
      <c r="AH1890" s="848"/>
      <c r="AI1890" s="848"/>
      <c r="AJ1890" s="848"/>
      <c r="AK1890" s="848"/>
      <c r="AL1890" s="848"/>
      <c r="AM1890" s="848"/>
      <c r="AN1890" s="848"/>
      <c r="AO1890" s="848"/>
      <c r="AP1890" s="848"/>
      <c r="AQ1890" s="848"/>
      <c r="AR1890" s="848"/>
      <c r="AS1890" s="848"/>
      <c r="AT1890" s="848"/>
      <c r="AU1890" s="848"/>
      <c r="AV1890" s="848"/>
      <c r="AW1890" s="848"/>
      <c r="AX1890" s="848"/>
      <c r="AY1890" s="848"/>
      <c r="AZ1890" s="848"/>
      <c r="BA1890" s="848"/>
      <c r="BB1890" s="848"/>
      <c r="BC1890" s="848"/>
      <c r="BD1890" s="848"/>
      <c r="BE1890" s="848"/>
      <c r="BF1890" s="848"/>
      <c r="BG1890" s="848"/>
      <c r="BH1890" s="848"/>
      <c r="BJ1890" s="1184" t="s">
        <v>4763</v>
      </c>
    </row>
    <row r="1891" spans="1:62" x14ac:dyDescent="0.3">
      <c r="A1891" s="1200">
        <v>10</v>
      </c>
      <c r="B1891" s="1210" t="s">
        <v>4667</v>
      </c>
      <c r="C1891" s="1203"/>
      <c r="D1891" s="1203"/>
      <c r="E1891" s="1203"/>
      <c r="F1891" s="1203"/>
      <c r="G1891" s="1200"/>
      <c r="H1891" s="1200"/>
      <c r="I1891" s="140"/>
      <c r="J1891" s="140"/>
      <c r="K1891" s="140"/>
      <c r="L1891" s="1313"/>
      <c r="M1891" s="854"/>
      <c r="N1891" s="140"/>
      <c r="O1891" s="854"/>
      <c r="P1891" s="97"/>
      <c r="Q1891" s="97"/>
      <c r="R1891" s="97"/>
      <c r="S1891" s="97"/>
      <c r="T1891" s="97"/>
      <c r="U1891" s="97"/>
      <c r="V1891" s="97"/>
      <c r="W1891" s="97"/>
      <c r="X1891" s="97"/>
      <c r="Y1891" s="848"/>
      <c r="Z1891" s="1055"/>
      <c r="AB1891" s="848"/>
      <c r="AC1891" s="848"/>
      <c r="AD1891" s="848"/>
      <c r="AE1891" s="848"/>
      <c r="AF1891" s="848"/>
      <c r="AG1891" s="848"/>
      <c r="AH1891" s="848"/>
      <c r="AI1891" s="848"/>
      <c r="AJ1891" s="848"/>
      <c r="AK1891" s="848"/>
      <c r="AL1891" s="848"/>
      <c r="AM1891" s="848"/>
      <c r="AN1891" s="848"/>
      <c r="AO1891" s="848"/>
      <c r="AP1891" s="848"/>
      <c r="AQ1891" s="848"/>
      <c r="AR1891" s="848"/>
      <c r="AS1891" s="848"/>
      <c r="AT1891" s="848"/>
      <c r="AU1891" s="848"/>
      <c r="AV1891" s="848"/>
      <c r="AW1891" s="848"/>
      <c r="AX1891" s="848"/>
      <c r="AY1891" s="848"/>
      <c r="AZ1891" s="848"/>
      <c r="BA1891" s="848"/>
      <c r="BB1891" s="848"/>
      <c r="BC1891" s="848"/>
      <c r="BD1891" s="848"/>
      <c r="BE1891" s="848"/>
      <c r="BF1891" s="848"/>
      <c r="BG1891" s="848"/>
      <c r="BH1891" s="848"/>
      <c r="BJ1891" s="1184" t="s">
        <v>4763</v>
      </c>
    </row>
    <row r="1892" spans="1:62" x14ac:dyDescent="0.3">
      <c r="A1892" s="1200">
        <v>10</v>
      </c>
      <c r="B1892" s="1210" t="s">
        <v>4667</v>
      </c>
      <c r="C1892" s="1203"/>
      <c r="D1892" s="1203"/>
      <c r="E1892" s="1203"/>
      <c r="F1892" s="1203"/>
      <c r="G1892" s="1200"/>
      <c r="H1892" s="1200"/>
      <c r="I1892" s="140"/>
      <c r="J1892" s="140"/>
      <c r="K1892" s="140"/>
      <c r="L1892" s="1313"/>
      <c r="M1892" s="854"/>
      <c r="N1892" s="140"/>
      <c r="O1892" s="854"/>
      <c r="P1892" s="97"/>
      <c r="Q1892" s="97"/>
      <c r="R1892" s="97"/>
      <c r="S1892" s="97"/>
      <c r="T1892" s="97"/>
      <c r="U1892" s="97"/>
      <c r="V1892" s="97"/>
      <c r="W1892" s="97"/>
      <c r="X1892" s="97"/>
      <c r="Y1892" s="848"/>
      <c r="Z1892" s="1055"/>
      <c r="AB1892" s="848"/>
      <c r="AC1892" s="848"/>
      <c r="AD1892" s="848"/>
      <c r="AE1892" s="848"/>
      <c r="AF1892" s="848"/>
      <c r="AG1892" s="848"/>
      <c r="AH1892" s="848"/>
      <c r="AI1892" s="848"/>
      <c r="AJ1892" s="848"/>
      <c r="AK1892" s="848"/>
      <c r="AL1892" s="848"/>
      <c r="AM1892" s="848"/>
      <c r="AN1892" s="848"/>
      <c r="AO1892" s="848"/>
      <c r="AP1892" s="848"/>
      <c r="AQ1892" s="848"/>
      <c r="AR1892" s="848"/>
      <c r="AS1892" s="848"/>
      <c r="AT1892" s="848"/>
      <c r="AU1892" s="848"/>
      <c r="AV1892" s="848"/>
      <c r="AW1892" s="848"/>
      <c r="AX1892" s="848"/>
      <c r="AY1892" s="848"/>
      <c r="AZ1892" s="848"/>
      <c r="BA1892" s="848"/>
      <c r="BB1892" s="848"/>
      <c r="BC1892" s="848"/>
      <c r="BD1892" s="848"/>
      <c r="BE1892" s="848"/>
      <c r="BF1892" s="848"/>
      <c r="BG1892" s="848"/>
      <c r="BH1892" s="848"/>
      <c r="BJ1892" s="1184" t="s">
        <v>4763</v>
      </c>
    </row>
    <row r="1893" spans="1:62" x14ac:dyDescent="0.3">
      <c r="A1893" s="1200">
        <v>10</v>
      </c>
      <c r="B1893" s="1210" t="s">
        <v>4667</v>
      </c>
      <c r="C1893" s="1203"/>
      <c r="D1893" s="1203"/>
      <c r="E1893" s="1203"/>
      <c r="F1893" s="1203"/>
      <c r="G1893" s="1200"/>
      <c r="H1893" s="1200"/>
      <c r="I1893" s="140"/>
      <c r="J1893" s="140"/>
      <c r="K1893" s="140"/>
      <c r="L1893" s="1313"/>
      <c r="M1893" s="854"/>
      <c r="N1893" s="140"/>
      <c r="O1893" s="854"/>
      <c r="P1893" s="97"/>
      <c r="Q1893" s="97"/>
      <c r="R1893" s="97"/>
      <c r="S1893" s="97"/>
      <c r="T1893" s="97"/>
      <c r="U1893" s="97"/>
      <c r="V1893" s="97"/>
      <c r="W1893" s="97"/>
      <c r="X1893" s="97"/>
      <c r="Y1893" s="848"/>
      <c r="Z1893" s="1055"/>
      <c r="AB1893" s="848"/>
      <c r="AC1893" s="848"/>
      <c r="AD1893" s="848"/>
      <c r="AE1893" s="848"/>
      <c r="AF1893" s="848"/>
      <c r="AG1893" s="848"/>
      <c r="AH1893" s="848"/>
      <c r="AI1893" s="848"/>
      <c r="AJ1893" s="848"/>
      <c r="AK1893" s="848"/>
      <c r="AL1893" s="848"/>
      <c r="AM1893" s="848"/>
      <c r="AN1893" s="848"/>
      <c r="AO1893" s="848"/>
      <c r="AP1893" s="848"/>
      <c r="AQ1893" s="848"/>
      <c r="AR1893" s="848"/>
      <c r="AS1893" s="848"/>
      <c r="AT1893" s="848"/>
      <c r="AU1893" s="848"/>
      <c r="AV1893" s="848"/>
      <c r="AW1893" s="848"/>
      <c r="AX1893" s="848"/>
      <c r="AY1893" s="848"/>
      <c r="AZ1893" s="848"/>
      <c r="BA1893" s="848"/>
      <c r="BB1893" s="848"/>
      <c r="BC1893" s="848"/>
      <c r="BD1893" s="848"/>
      <c r="BE1893" s="848"/>
      <c r="BF1893" s="848"/>
      <c r="BG1893" s="848"/>
      <c r="BH1893" s="848"/>
      <c r="BJ1893" s="1184" t="s">
        <v>4763</v>
      </c>
    </row>
    <row r="1894" spans="1:62" x14ac:dyDescent="0.3">
      <c r="A1894" s="1200">
        <v>10</v>
      </c>
      <c r="B1894" s="1210" t="s">
        <v>4667</v>
      </c>
      <c r="C1894" s="1203"/>
      <c r="D1894" s="1203"/>
      <c r="E1894" s="1203"/>
      <c r="F1894" s="1203"/>
      <c r="G1894" s="1200"/>
      <c r="H1894" s="1200"/>
      <c r="I1894" s="140"/>
      <c r="J1894" s="140"/>
      <c r="K1894" s="140"/>
      <c r="L1894" s="1313"/>
      <c r="M1894" s="854"/>
      <c r="N1894" s="140"/>
      <c r="O1894" s="854"/>
      <c r="P1894" s="97"/>
      <c r="Q1894" s="97"/>
      <c r="R1894" s="97"/>
      <c r="S1894" s="97"/>
      <c r="T1894" s="97"/>
      <c r="U1894" s="97"/>
      <c r="V1894" s="97"/>
      <c r="W1894" s="97"/>
      <c r="X1894" s="97"/>
      <c r="Y1894" s="848"/>
      <c r="Z1894" s="1055"/>
      <c r="AB1894" s="848"/>
      <c r="AC1894" s="848"/>
      <c r="AD1894" s="848"/>
      <c r="AE1894" s="848"/>
      <c r="AF1894" s="848"/>
      <c r="AG1894" s="848"/>
      <c r="AH1894" s="848"/>
      <c r="AI1894" s="848"/>
      <c r="AJ1894" s="848"/>
      <c r="AK1894" s="848"/>
      <c r="AL1894" s="848"/>
      <c r="AM1894" s="848"/>
      <c r="AN1894" s="848"/>
      <c r="AO1894" s="848"/>
      <c r="AP1894" s="848"/>
      <c r="AQ1894" s="848"/>
      <c r="AR1894" s="848"/>
      <c r="AS1894" s="848"/>
      <c r="AT1894" s="848"/>
      <c r="AU1894" s="848"/>
      <c r="AV1894" s="848"/>
      <c r="AW1894" s="848"/>
      <c r="AX1894" s="848"/>
      <c r="AY1894" s="848"/>
      <c r="AZ1894" s="848"/>
      <c r="BA1894" s="848"/>
      <c r="BB1894" s="848"/>
      <c r="BC1894" s="848"/>
      <c r="BD1894" s="848"/>
      <c r="BE1894" s="848"/>
      <c r="BF1894" s="848"/>
      <c r="BG1894" s="848"/>
      <c r="BH1894" s="848"/>
      <c r="BJ1894" s="1184" t="s">
        <v>4763</v>
      </c>
    </row>
    <row r="1895" spans="1:62" ht="15" thickBot="1" x14ac:dyDescent="0.35">
      <c r="A1895" s="1200">
        <v>10</v>
      </c>
      <c r="B1895" s="1210" t="s">
        <v>4667</v>
      </c>
      <c r="C1895" s="1203"/>
      <c r="D1895" s="1203"/>
      <c r="E1895" s="1203"/>
      <c r="F1895" s="1203"/>
      <c r="G1895" s="1200"/>
      <c r="H1895" s="1200"/>
      <c r="I1895" s="270"/>
      <c r="J1895" s="270"/>
      <c r="K1895" s="270"/>
      <c r="L1895" s="1332"/>
      <c r="M1895" s="858"/>
      <c r="N1895" s="270"/>
      <c r="O1895" s="858"/>
      <c r="P1895" s="104"/>
      <c r="Q1895" s="104"/>
      <c r="R1895" s="104"/>
      <c r="S1895" s="104"/>
      <c r="T1895" s="104"/>
      <c r="U1895" s="104"/>
      <c r="V1895" s="104"/>
      <c r="W1895" s="104"/>
      <c r="X1895" s="104"/>
      <c r="Y1895" s="104"/>
      <c r="Z1895" s="1172"/>
      <c r="AB1895" s="848"/>
      <c r="AC1895" s="848"/>
      <c r="AD1895" s="848"/>
      <c r="AE1895" s="848"/>
      <c r="AF1895" s="848"/>
      <c r="AG1895" s="848"/>
      <c r="AH1895" s="848"/>
      <c r="AI1895" s="848"/>
      <c r="AJ1895" s="848"/>
      <c r="AK1895" s="848"/>
      <c r="AL1895" s="848"/>
      <c r="AM1895" s="848"/>
      <c r="AN1895" s="848"/>
      <c r="AO1895" s="848"/>
      <c r="AP1895" s="848"/>
      <c r="AQ1895" s="848"/>
      <c r="AR1895" s="848"/>
      <c r="AS1895" s="848"/>
      <c r="AT1895" s="848"/>
      <c r="AU1895" s="848"/>
      <c r="AV1895" s="848"/>
      <c r="AW1895" s="848"/>
      <c r="AX1895" s="848"/>
      <c r="AY1895" s="848"/>
      <c r="AZ1895" s="848"/>
      <c r="BA1895" s="848"/>
      <c r="BB1895" s="848"/>
      <c r="BC1895" s="848"/>
      <c r="BD1895" s="848"/>
      <c r="BE1895" s="848"/>
      <c r="BF1895" s="848"/>
      <c r="BG1895" s="848"/>
      <c r="BH1895" s="848"/>
      <c r="BJ1895" s="1184" t="s">
        <v>4763</v>
      </c>
    </row>
    <row r="1896" spans="1:62" ht="15" thickTop="1" x14ac:dyDescent="0.3">
      <c r="A1896" s="1200">
        <v>10</v>
      </c>
      <c r="B1896" s="1210">
        <v>1002.1</v>
      </c>
      <c r="C1896" s="1203"/>
      <c r="D1896" s="1203"/>
      <c r="E1896" s="1203"/>
      <c r="F1896" s="1203"/>
      <c r="G1896" s="1202" t="str">
        <f>IF(N1896&gt;0,"P","")</f>
        <v/>
      </c>
      <c r="H1896" s="1200" t="s">
        <v>4388</v>
      </c>
      <c r="I1896" s="66">
        <v>1002.1</v>
      </c>
      <c r="J1896" s="4"/>
      <c r="K1896" s="4"/>
      <c r="L1896" s="1292" t="s">
        <v>3593</v>
      </c>
      <c r="M1896" s="1335">
        <v>1</v>
      </c>
      <c r="N1896" s="1336">
        <f>'Ch10'!O78</f>
        <v>0</v>
      </c>
      <c r="O1896" s="1436">
        <f>IF(AND(COUNTIF(W1899:W1905,TRUE)=3,COUNTIF(W1907:W1912,TRUE)&gt;1,S1899),ROUNDDOWN(COUNTIF(W1907:W1912,TRUE)/2,0),0)</f>
        <v>0</v>
      </c>
      <c r="P1896" s="848"/>
      <c r="Q1896" s="848"/>
      <c r="R1896" s="848"/>
      <c r="S1896" s="848"/>
      <c r="T1896" s="848"/>
      <c r="U1896" s="848"/>
      <c r="V1896" s="848"/>
      <c r="W1896" s="848"/>
      <c r="X1896" s="848"/>
      <c r="Y1896" s="848"/>
      <c r="Z1896" s="1055"/>
      <c r="AB1896" s="848"/>
      <c r="AC1896" s="848"/>
      <c r="AD1896" s="848"/>
      <c r="AE1896" s="848"/>
      <c r="AF1896" s="848"/>
      <c r="AG1896" s="848"/>
      <c r="AH1896" s="848"/>
      <c r="AI1896" s="848"/>
      <c r="AJ1896" s="848"/>
      <c r="AK1896" s="848"/>
      <c r="AL1896" s="311" t="str">
        <f t="shared" ref="AL1896" si="648">SUBSTITUTE(SUBSTITUTE(SUBSTITUTE("vpa"&amp;$B1896&amp;$C1896&amp;$D1896&amp;$E1896&amp;$F1896,".","_"),"(","_"),")","")</f>
        <v>vpa1002_1</v>
      </c>
      <c r="AM1896" s="311">
        <f>M1896</f>
        <v>1</v>
      </c>
      <c r="AN1896" s="311" t="str">
        <f>SUBSTITUTE(SUBSTITUTE(SUBSTITUTE("vpc"&amp;$B1896&amp;$C1896&amp;$D1896&amp;$E1896&amp;$F1896,".","_"),"(","_"),")","")</f>
        <v>vpc1002_1</v>
      </c>
      <c r="AO1896" s="311">
        <f>O1896</f>
        <v>0</v>
      </c>
      <c r="AP1896" s="848"/>
      <c r="AQ1896" s="848"/>
      <c r="AR1896" s="848"/>
      <c r="AS1896" s="848"/>
      <c r="AT1896" s="848"/>
      <c r="AU1896" s="848"/>
      <c r="AV1896" s="848"/>
      <c r="AW1896" s="848"/>
      <c r="AX1896" s="848"/>
      <c r="AY1896" s="848"/>
      <c r="AZ1896" s="848"/>
      <c r="BA1896" s="848"/>
      <c r="BB1896" s="848"/>
      <c r="BC1896" s="848"/>
      <c r="BD1896" s="848"/>
      <c r="BE1896" s="848"/>
      <c r="BF1896" s="848"/>
      <c r="BG1896" s="848"/>
      <c r="BH1896" s="848"/>
      <c r="BJ1896" s="1184" t="s">
        <v>4763</v>
      </c>
    </row>
    <row r="1897" spans="1:62" x14ac:dyDescent="0.3">
      <c r="A1897" s="1200">
        <v>10</v>
      </c>
      <c r="B1897" s="1210">
        <v>1002.1</v>
      </c>
      <c r="C1897" s="1203"/>
      <c r="D1897" s="1203"/>
      <c r="E1897" s="1203"/>
      <c r="F1897" s="1203"/>
      <c r="G1897" s="1202" t="str">
        <f t="shared" ref="G1897:G1913" si="649">G1896</f>
        <v/>
      </c>
      <c r="H1897" s="1200" t="s">
        <v>4388</v>
      </c>
      <c r="I1897" s="4"/>
      <c r="J1897" s="4"/>
      <c r="K1897" s="4"/>
      <c r="L1897" s="1292"/>
      <c r="M1897" s="1335"/>
      <c r="N1897" s="1310"/>
      <c r="O1897" s="1436"/>
      <c r="P1897" s="848"/>
      <c r="Q1897" s="848"/>
      <c r="R1897" s="848"/>
      <c r="S1897" s="848"/>
      <c r="T1897" s="848"/>
      <c r="U1897" s="848"/>
      <c r="V1897" s="848"/>
      <c r="W1897" s="848"/>
      <c r="X1897" s="848"/>
      <c r="Y1897" s="848"/>
      <c r="Z1897" s="1055"/>
      <c r="AB1897" s="848"/>
      <c r="AC1897" s="848"/>
      <c r="AD1897" s="848"/>
      <c r="AE1897" s="848"/>
      <c r="AF1897" s="848"/>
      <c r="AG1897" s="848"/>
      <c r="AH1897" s="848"/>
      <c r="AI1897" s="848"/>
      <c r="AJ1897" s="848"/>
      <c r="AK1897" s="848"/>
      <c r="AL1897" s="848"/>
      <c r="AM1897" s="848"/>
      <c r="AN1897" s="848"/>
      <c r="AO1897" s="848"/>
      <c r="AP1897" s="848"/>
      <c r="AQ1897" s="848"/>
      <c r="AR1897" s="848"/>
      <c r="AS1897" s="848"/>
      <c r="AT1897" s="848"/>
      <c r="AU1897" s="848"/>
      <c r="AV1897" s="848"/>
      <c r="AW1897" s="848"/>
      <c r="AX1897" s="848"/>
      <c r="AY1897" s="848"/>
      <c r="AZ1897" s="848"/>
      <c r="BA1897" s="848"/>
      <c r="BB1897" s="848"/>
      <c r="BC1897" s="848"/>
      <c r="BD1897" s="848"/>
      <c r="BE1897" s="848"/>
      <c r="BF1897" s="848"/>
      <c r="BG1897" s="848"/>
      <c r="BH1897" s="848"/>
      <c r="BJ1897" s="1184" t="s">
        <v>4763</v>
      </c>
    </row>
    <row r="1898" spans="1:62" x14ac:dyDescent="0.3">
      <c r="A1898" s="1200">
        <v>10</v>
      </c>
      <c r="B1898" s="1210">
        <v>1002.1</v>
      </c>
      <c r="C1898" s="1203"/>
      <c r="D1898" s="1203"/>
      <c r="E1898" s="1203"/>
      <c r="F1898" s="1203"/>
      <c r="G1898" s="1202" t="str">
        <f t="shared" si="649"/>
        <v/>
      </c>
      <c r="H1898" s="1200" t="s">
        <v>4388</v>
      </c>
      <c r="I1898" s="4"/>
      <c r="J1898" s="4"/>
      <c r="K1898" s="4"/>
      <c r="L1898" s="255" t="s">
        <v>3591</v>
      </c>
      <c r="M1898" s="1335"/>
      <c r="N1898" s="1310"/>
      <c r="O1898" s="1436"/>
      <c r="P1898" s="848"/>
      <c r="Q1898" s="848"/>
      <c r="R1898" s="848"/>
      <c r="S1898" s="848"/>
      <c r="T1898" s="848"/>
      <c r="U1898" s="848"/>
      <c r="V1898" s="848"/>
      <c r="W1898" s="848"/>
      <c r="X1898" s="848"/>
      <c r="Y1898" s="848"/>
      <c r="Z1898" s="1055"/>
      <c r="AB1898" s="848"/>
      <c r="AC1898" s="848"/>
      <c r="AD1898" s="848"/>
      <c r="AE1898" s="848"/>
      <c r="AF1898" s="848"/>
      <c r="AG1898" s="848"/>
      <c r="AH1898" s="848"/>
      <c r="AI1898" s="848"/>
      <c r="AJ1898" s="848"/>
      <c r="AK1898" s="848"/>
      <c r="AL1898" s="848"/>
      <c r="AM1898" s="848"/>
      <c r="AN1898" s="848"/>
      <c r="AO1898" s="848"/>
      <c r="AP1898" s="848"/>
      <c r="AQ1898" s="848"/>
      <c r="AR1898" s="848"/>
      <c r="AS1898" s="848"/>
      <c r="AT1898" s="848"/>
      <c r="AU1898" s="848"/>
      <c r="AV1898" s="848"/>
      <c r="AW1898" s="848"/>
      <c r="AX1898" s="848"/>
      <c r="AY1898" s="848"/>
      <c r="AZ1898" s="848"/>
      <c r="BA1898" s="848"/>
      <c r="BB1898" s="848"/>
      <c r="BC1898" s="848"/>
      <c r="BD1898" s="848"/>
      <c r="BE1898" s="848"/>
      <c r="BF1898" s="848"/>
      <c r="BG1898" s="848"/>
      <c r="BH1898" s="848"/>
      <c r="BJ1898" s="1184" t="s">
        <v>4763</v>
      </c>
    </row>
    <row r="1899" spans="1:62" x14ac:dyDescent="0.3">
      <c r="A1899" s="1200">
        <v>10</v>
      </c>
      <c r="B1899" s="1210">
        <v>1002.1</v>
      </c>
      <c r="C1899" s="1203"/>
      <c r="D1899" s="1203"/>
      <c r="E1899" s="1203" t="s">
        <v>271</v>
      </c>
      <c r="F1899" s="1203"/>
      <c r="G1899" s="1202" t="str">
        <f t="shared" si="649"/>
        <v/>
      </c>
      <c r="H1899" s="1200" t="s">
        <v>4388</v>
      </c>
      <c r="I1899" s="4"/>
      <c r="J1899" s="27" t="s">
        <v>271</v>
      </c>
      <c r="K1899" s="4"/>
      <c r="L1899" s="1329" t="s">
        <v>3546</v>
      </c>
      <c r="M1899" s="1361" t="str">
        <f t="shared" ref="M1899:M1906" si="650">IF(R1899,"Mandatory","N/A")</f>
        <v>N/A</v>
      </c>
      <c r="N1899" s="4"/>
      <c r="O1899" s="850"/>
      <c r="P1899" s="848" t="b">
        <v>0</v>
      </c>
      <c r="Q1899" s="848" t="b">
        <v>1</v>
      </c>
      <c r="R1899" s="848" t="b">
        <f>S1899</f>
        <v>0</v>
      </c>
      <c r="S1899" s="848" t="b">
        <f>IF(AY1837=INDEX(ddSingleOrMulti,2),TRUE,FALSE)</f>
        <v>0</v>
      </c>
      <c r="T1899" s="97" t="b">
        <f>AND(NOT(S1899),W1899=TRUE)</f>
        <v>0</v>
      </c>
      <c r="U1899" s="848"/>
      <c r="V1899" s="848"/>
      <c r="W1899" s="25"/>
      <c r="X1899" s="1303"/>
      <c r="Y1899" s="1522" t="str">
        <f>IF(LEN('Ch10'!X81)=0,"None",'Ch10'!X81)</f>
        <v>None</v>
      </c>
      <c r="Z1899" s="1586"/>
      <c r="AB1899" s="848"/>
      <c r="AC1899" s="848" t="b">
        <f>OR(AD1899:AE1899)</f>
        <v>0</v>
      </c>
      <c r="AD1899" s="848" t="b">
        <f>T1899</f>
        <v>0</v>
      </c>
      <c r="AE1899" s="848" t="b">
        <f>AND(R1899,O1896&lt;1)</f>
        <v>0</v>
      </c>
      <c r="AF1899" s="1182" t="b">
        <f>AND(AE1899,NOT(Q1899))</f>
        <v>0</v>
      </c>
      <c r="AG1899" s="848"/>
      <c r="AH1899" s="848"/>
      <c r="AI1899" s="848"/>
      <c r="AJ1899" s="848"/>
      <c r="AK1899" s="848"/>
      <c r="AL1899" s="311" t="str">
        <f t="shared" ref="AL1899" si="651">SUBSTITUTE(SUBSTITUTE(SUBSTITUTE("vpa"&amp;$B1899&amp;$C1899&amp;$D1899&amp;$E1899&amp;$F1899,".","_"),"(","_"),")","")</f>
        <v>vpa1002_1_1</v>
      </c>
      <c r="AM1899" s="311" t="str">
        <f>M1899</f>
        <v>N/A</v>
      </c>
      <c r="AN1899" s="848"/>
      <c r="AO1899" s="848"/>
      <c r="AP1899" s="311" t="str">
        <f>SUBSTITUTE(SUBSTITUTE(SUBSTITUTE("vch"&amp;$B1899&amp;$C1899&amp;$D1899&amp;$E1899&amp;$F1899,".","_"),"(","_"),")","")</f>
        <v>vch1002_1_1</v>
      </c>
      <c r="AQ1899" s="311">
        <f>W1899</f>
        <v>0</v>
      </c>
      <c r="AR1899" s="311" t="str">
        <f>SUBSTITUTE(SUBSTITUTE(SUBSTITUTE("vnt"&amp;$B1899&amp;$C1899&amp;$D1899&amp;$E1899&amp;$F1899,".","_"),"(","_"),")","")</f>
        <v>vnt1002_1_1</v>
      </c>
      <c r="AS1899" s="311">
        <f>X1899</f>
        <v>0</v>
      </c>
      <c r="AT1899" s="848"/>
      <c r="AU1899" s="848"/>
      <c r="AV1899" s="848"/>
      <c r="AW1899" s="848"/>
      <c r="AX1899" s="848"/>
      <c r="AY1899" s="848"/>
      <c r="AZ1899" s="848"/>
      <c r="BA1899" s="848"/>
      <c r="BB1899" s="848"/>
      <c r="BC1899" s="848"/>
      <c r="BD1899" s="848"/>
      <c r="BE1899" s="848"/>
      <c r="BF1899" s="848"/>
      <c r="BG1899" s="848"/>
      <c r="BH1899" s="848"/>
      <c r="BJ1899" s="1184" t="s">
        <v>4763</v>
      </c>
    </row>
    <row r="1900" spans="1:62" x14ac:dyDescent="0.3">
      <c r="A1900" s="1200">
        <v>10</v>
      </c>
      <c r="B1900" s="1210">
        <v>1002.1</v>
      </c>
      <c r="C1900" s="1203"/>
      <c r="D1900" s="1203"/>
      <c r="E1900" s="1203" t="s">
        <v>271</v>
      </c>
      <c r="F1900" s="1203"/>
      <c r="G1900" s="1202" t="str">
        <f t="shared" si="649"/>
        <v/>
      </c>
      <c r="H1900" s="1200" t="s">
        <v>4388</v>
      </c>
      <c r="I1900" s="4"/>
      <c r="J1900" s="27"/>
      <c r="K1900" s="4"/>
      <c r="L1900" s="1329"/>
      <c r="M1900" s="1361" t="str">
        <f t="shared" si="650"/>
        <v>N/A</v>
      </c>
      <c r="N1900" s="4"/>
      <c r="O1900" s="850"/>
      <c r="P1900" s="848"/>
      <c r="Q1900" s="848"/>
      <c r="R1900" s="848"/>
      <c r="S1900" s="848"/>
      <c r="T1900" s="848"/>
      <c r="U1900" s="848"/>
      <c r="V1900" s="848"/>
      <c r="W1900" s="848"/>
      <c r="X1900" s="1303"/>
      <c r="Y1900" s="1522"/>
      <c r="Z1900" s="1586"/>
      <c r="AB1900" s="848"/>
      <c r="AC1900" s="848"/>
      <c r="AD1900" s="848"/>
      <c r="AE1900" s="848"/>
      <c r="AF1900" s="848"/>
      <c r="AG1900" s="848"/>
      <c r="AH1900" s="848"/>
      <c r="AI1900" s="848"/>
      <c r="AJ1900" s="848"/>
      <c r="AK1900" s="848"/>
      <c r="AL1900" s="848"/>
      <c r="AM1900" s="848"/>
      <c r="AN1900" s="848"/>
      <c r="AO1900" s="848"/>
      <c r="AP1900" s="848"/>
      <c r="AQ1900" s="848"/>
      <c r="AR1900" s="848"/>
      <c r="AS1900" s="848"/>
      <c r="AT1900" s="848"/>
      <c r="AU1900" s="848"/>
      <c r="AV1900" s="848"/>
      <c r="AW1900" s="848"/>
      <c r="AX1900" s="848"/>
      <c r="AY1900" s="848"/>
      <c r="AZ1900" s="848"/>
      <c r="BA1900" s="848"/>
      <c r="BB1900" s="848"/>
      <c r="BC1900" s="848"/>
      <c r="BD1900" s="848"/>
      <c r="BE1900" s="848"/>
      <c r="BF1900" s="848"/>
      <c r="BG1900" s="848"/>
      <c r="BH1900" s="848"/>
      <c r="BJ1900" s="1184" t="s">
        <v>4763</v>
      </c>
    </row>
    <row r="1901" spans="1:62" x14ac:dyDescent="0.3">
      <c r="A1901" s="1200">
        <v>10</v>
      </c>
      <c r="B1901" s="1210">
        <v>1002.1</v>
      </c>
      <c r="C1901" s="1203"/>
      <c r="D1901" s="1203"/>
      <c r="E1901" s="1203" t="s">
        <v>271</v>
      </c>
      <c r="F1901" s="1203"/>
      <c r="G1901" s="1202" t="str">
        <f t="shared" si="649"/>
        <v/>
      </c>
      <c r="H1901" s="1200" t="s">
        <v>4388</v>
      </c>
      <c r="I1901" s="4"/>
      <c r="J1901" s="27"/>
      <c r="K1901" s="4"/>
      <c r="L1901" s="1329"/>
      <c r="M1901" s="1361" t="str">
        <f t="shared" si="650"/>
        <v>N/A</v>
      </c>
      <c r="N1901" s="4"/>
      <c r="O1901" s="850"/>
      <c r="P1901" s="848"/>
      <c r="Q1901" s="848"/>
      <c r="R1901" s="848"/>
      <c r="S1901" s="848"/>
      <c r="T1901" s="848"/>
      <c r="U1901" s="848"/>
      <c r="V1901" s="848"/>
      <c r="W1901" s="848"/>
      <c r="X1901" s="1303"/>
      <c r="Y1901" s="1522"/>
      <c r="Z1901" s="1586"/>
      <c r="AB1901" s="848"/>
      <c r="AC1901" s="848"/>
      <c r="AD1901" s="848"/>
      <c r="AE1901" s="848"/>
      <c r="AF1901" s="848"/>
      <c r="AG1901" s="848"/>
      <c r="AH1901" s="848"/>
      <c r="AI1901" s="848"/>
      <c r="AJ1901" s="848"/>
      <c r="AK1901" s="848"/>
      <c r="AL1901" s="848"/>
      <c r="AM1901" s="848"/>
      <c r="AN1901" s="848"/>
      <c r="AO1901" s="848"/>
      <c r="AP1901" s="848"/>
      <c r="AQ1901" s="848"/>
      <c r="AR1901" s="848"/>
      <c r="AS1901" s="848"/>
      <c r="AT1901" s="848"/>
      <c r="AU1901" s="848"/>
      <c r="AV1901" s="848"/>
      <c r="AW1901" s="848"/>
      <c r="AX1901" s="848"/>
      <c r="AY1901" s="848"/>
      <c r="AZ1901" s="848"/>
      <c r="BA1901" s="848"/>
      <c r="BB1901" s="848"/>
      <c r="BC1901" s="848"/>
      <c r="BD1901" s="848"/>
      <c r="BE1901" s="848"/>
      <c r="BF1901" s="848"/>
      <c r="BG1901" s="848"/>
      <c r="BH1901" s="848"/>
      <c r="BJ1901" s="1184" t="s">
        <v>4763</v>
      </c>
    </row>
    <row r="1902" spans="1:62" x14ac:dyDescent="0.3">
      <c r="A1902" s="1200">
        <v>10</v>
      </c>
      <c r="B1902" s="1210">
        <v>1002.1</v>
      </c>
      <c r="C1902" s="1203"/>
      <c r="D1902" s="1203"/>
      <c r="E1902" s="1203" t="s">
        <v>273</v>
      </c>
      <c r="F1902" s="1203"/>
      <c r="G1902" s="1202" t="str">
        <f t="shared" si="649"/>
        <v/>
      </c>
      <c r="H1902" s="1200" t="s">
        <v>4388</v>
      </c>
      <c r="I1902" s="4"/>
      <c r="J1902" s="237" t="s">
        <v>273</v>
      </c>
      <c r="K1902" s="216"/>
      <c r="L1902" s="1356" t="s">
        <v>3547</v>
      </c>
      <c r="M1902" s="1388" t="str">
        <f t="shared" si="650"/>
        <v>N/A</v>
      </c>
      <c r="N1902" s="4"/>
      <c r="O1902" s="850"/>
      <c r="P1902" s="848" t="b">
        <v>0</v>
      </c>
      <c r="Q1902" s="848" t="b">
        <v>1</v>
      </c>
      <c r="R1902" s="848" t="b">
        <f>S1902</f>
        <v>0</v>
      </c>
      <c r="S1902" s="848" t="b">
        <f>IF(AY1837=INDEX(ddSingleOrMulti,2),TRUE,FALSE)</f>
        <v>0</v>
      </c>
      <c r="T1902" s="97" t="b">
        <f>AND(NOT(S1902),W1902=TRUE)</f>
        <v>0</v>
      </c>
      <c r="U1902" s="848"/>
      <c r="V1902" s="848"/>
      <c r="W1902" s="25"/>
      <c r="X1902" s="1303"/>
      <c r="Y1902" s="1522" t="str">
        <f>IF(LEN('Ch10'!X84)=0,"None",'Ch10'!X84)</f>
        <v>None</v>
      </c>
      <c r="Z1902" s="1586"/>
      <c r="AB1902" s="848"/>
      <c r="AC1902" s="848" t="b">
        <f>OR(AD1902:AE1902)</f>
        <v>0</v>
      </c>
      <c r="AD1902" s="848" t="b">
        <f>T1902</f>
        <v>0</v>
      </c>
      <c r="AE1902" s="848" t="b">
        <f>AND(R1902,NOT(W1902=TRUE))</f>
        <v>0</v>
      </c>
      <c r="AF1902" s="1182" t="b">
        <f>AND(AE1902,NOT(Q1902))</f>
        <v>0</v>
      </c>
      <c r="AG1902" s="848"/>
      <c r="AH1902" s="848"/>
      <c r="AI1902" s="848"/>
      <c r="AJ1902" s="848"/>
      <c r="AK1902" s="848"/>
      <c r="AL1902" s="311" t="str">
        <f t="shared" ref="AL1902" si="652">SUBSTITUTE(SUBSTITUTE(SUBSTITUTE("vpa"&amp;$B1902&amp;$C1902&amp;$D1902&amp;$E1902&amp;$F1902,".","_"),"(","_"),")","")</f>
        <v>vpa1002_1_2</v>
      </c>
      <c r="AM1902" s="311" t="str">
        <f>M1902</f>
        <v>N/A</v>
      </c>
      <c r="AN1902" s="848"/>
      <c r="AO1902" s="848"/>
      <c r="AP1902" s="311" t="str">
        <f>SUBSTITUTE(SUBSTITUTE(SUBSTITUTE("vch"&amp;$B1902&amp;$C1902&amp;$D1902&amp;$E1902&amp;$F1902,".","_"),"(","_"),")","")</f>
        <v>vch1002_1_2</v>
      </c>
      <c r="AQ1902" s="311">
        <f>W1902</f>
        <v>0</v>
      </c>
      <c r="AR1902" s="311" t="str">
        <f>SUBSTITUTE(SUBSTITUTE(SUBSTITUTE("vnt"&amp;$B1902&amp;$C1902&amp;$D1902&amp;$E1902&amp;$F1902,".","_"),"(","_"),")","")</f>
        <v>vnt1002_1_2</v>
      </c>
      <c r="AS1902" s="311">
        <f>X1902</f>
        <v>0</v>
      </c>
      <c r="AT1902" s="848"/>
      <c r="AU1902" s="848"/>
      <c r="AV1902" s="848"/>
      <c r="AW1902" s="848"/>
      <c r="AX1902" s="848"/>
      <c r="AY1902" s="848"/>
      <c r="AZ1902" s="848"/>
      <c r="BA1902" s="848"/>
      <c r="BB1902" s="848"/>
      <c r="BC1902" s="848"/>
      <c r="BD1902" s="848"/>
      <c r="BE1902" s="848"/>
      <c r="BF1902" s="848"/>
      <c r="BG1902" s="848"/>
      <c r="BH1902" s="848"/>
      <c r="BJ1902" s="1184" t="s">
        <v>4763</v>
      </c>
    </row>
    <row r="1903" spans="1:62" x14ac:dyDescent="0.3">
      <c r="A1903" s="1200">
        <v>10</v>
      </c>
      <c r="B1903" s="1210">
        <v>1002.1</v>
      </c>
      <c r="C1903" s="1203"/>
      <c r="D1903" s="1203"/>
      <c r="E1903" s="1203" t="s">
        <v>273</v>
      </c>
      <c r="F1903" s="1203"/>
      <c r="G1903" s="1202" t="str">
        <f t="shared" si="649"/>
        <v/>
      </c>
      <c r="H1903" s="1200" t="s">
        <v>4388</v>
      </c>
      <c r="I1903" s="4"/>
      <c r="J1903" s="203"/>
      <c r="K1903" s="140"/>
      <c r="L1903" s="1305"/>
      <c r="M1903" s="1351" t="str">
        <f t="shared" si="650"/>
        <v>N/A</v>
      </c>
      <c r="N1903" s="4"/>
      <c r="O1903" s="850"/>
      <c r="P1903" s="848"/>
      <c r="Q1903" s="848"/>
      <c r="R1903" s="848"/>
      <c r="S1903" s="848"/>
      <c r="T1903" s="848"/>
      <c r="U1903" s="848"/>
      <c r="V1903" s="848"/>
      <c r="W1903" s="848"/>
      <c r="X1903" s="1303"/>
      <c r="Y1903" s="1522"/>
      <c r="Z1903" s="1586"/>
      <c r="AB1903" s="848"/>
      <c r="AC1903" s="848"/>
      <c r="AD1903" s="848"/>
      <c r="AE1903" s="848"/>
      <c r="AF1903" s="848"/>
      <c r="AG1903" s="848"/>
      <c r="AH1903" s="848"/>
      <c r="AI1903" s="848"/>
      <c r="AJ1903" s="848"/>
      <c r="AK1903" s="848"/>
      <c r="AL1903" s="848"/>
      <c r="AM1903" s="848"/>
      <c r="AN1903" s="848"/>
      <c r="AO1903" s="848"/>
      <c r="AP1903" s="848"/>
      <c r="AQ1903" s="848"/>
      <c r="AR1903" s="848"/>
      <c r="AS1903" s="848"/>
      <c r="AT1903" s="848"/>
      <c r="AU1903" s="848"/>
      <c r="AV1903" s="848"/>
      <c r="AW1903" s="848"/>
      <c r="AX1903" s="848"/>
      <c r="AY1903" s="848"/>
      <c r="AZ1903" s="848"/>
      <c r="BA1903" s="848"/>
      <c r="BB1903" s="848"/>
      <c r="BC1903" s="848"/>
      <c r="BD1903" s="848"/>
      <c r="BE1903" s="848"/>
      <c r="BF1903" s="848"/>
      <c r="BG1903" s="848"/>
      <c r="BH1903" s="848"/>
      <c r="BJ1903" s="1184" t="s">
        <v>4763</v>
      </c>
    </row>
    <row r="1904" spans="1:62" x14ac:dyDescent="0.3">
      <c r="A1904" s="1200">
        <v>10</v>
      </c>
      <c r="B1904" s="1210">
        <v>1002.1</v>
      </c>
      <c r="C1904" s="1203"/>
      <c r="D1904" s="1203"/>
      <c r="E1904" s="1203" t="s">
        <v>273</v>
      </c>
      <c r="F1904" s="1203"/>
      <c r="G1904" s="1202" t="str">
        <f t="shared" si="649"/>
        <v/>
      </c>
      <c r="H1904" s="1200" t="s">
        <v>4388</v>
      </c>
      <c r="I1904" s="4"/>
      <c r="J1904" s="231"/>
      <c r="K1904" s="238"/>
      <c r="L1904" s="1306"/>
      <c r="M1904" s="1352" t="str">
        <f t="shared" si="650"/>
        <v>N/A</v>
      </c>
      <c r="N1904" s="4"/>
      <c r="O1904" s="850"/>
      <c r="P1904" s="848"/>
      <c r="Q1904" s="848"/>
      <c r="R1904" s="848"/>
      <c r="S1904" s="848"/>
      <c r="T1904" s="848"/>
      <c r="U1904" s="848"/>
      <c r="V1904" s="848"/>
      <c r="W1904" s="848"/>
      <c r="X1904" s="1303"/>
      <c r="Y1904" s="1522"/>
      <c r="Z1904" s="1586"/>
      <c r="AB1904" s="848"/>
      <c r="AC1904" s="848"/>
      <c r="AD1904" s="848"/>
      <c r="AE1904" s="848"/>
      <c r="AF1904" s="848"/>
      <c r="AG1904" s="848"/>
      <c r="AH1904" s="848"/>
      <c r="AI1904" s="848"/>
      <c r="AJ1904" s="848"/>
      <c r="AK1904" s="848"/>
      <c r="AL1904" s="848"/>
      <c r="AM1904" s="848"/>
      <c r="AN1904" s="848"/>
      <c r="AO1904" s="848"/>
      <c r="AP1904" s="848"/>
      <c r="AQ1904" s="848"/>
      <c r="AR1904" s="848"/>
      <c r="AS1904" s="848"/>
      <c r="AT1904" s="848"/>
      <c r="AU1904" s="848"/>
      <c r="AV1904" s="848"/>
      <c r="AW1904" s="848"/>
      <c r="AX1904" s="848"/>
      <c r="AY1904" s="848"/>
      <c r="AZ1904" s="848"/>
      <c r="BA1904" s="848"/>
      <c r="BB1904" s="848"/>
      <c r="BC1904" s="848"/>
      <c r="BD1904" s="848"/>
      <c r="BE1904" s="848"/>
      <c r="BF1904" s="848"/>
      <c r="BG1904" s="848"/>
      <c r="BH1904" s="848"/>
      <c r="BJ1904" s="1184" t="s">
        <v>4763</v>
      </c>
    </row>
    <row r="1905" spans="1:62" x14ac:dyDescent="0.3">
      <c r="A1905" s="1200">
        <v>10</v>
      </c>
      <c r="B1905" s="1210">
        <v>1002.1</v>
      </c>
      <c r="C1905" s="1203"/>
      <c r="D1905" s="1203"/>
      <c r="E1905" s="1203" t="s">
        <v>275</v>
      </c>
      <c r="F1905" s="1203"/>
      <c r="G1905" s="1202" t="str">
        <f t="shared" si="649"/>
        <v/>
      </c>
      <c r="H1905" s="1200" t="s">
        <v>4388</v>
      </c>
      <c r="I1905" s="4"/>
      <c r="J1905" s="27" t="s">
        <v>275</v>
      </c>
      <c r="K1905" s="4"/>
      <c r="L1905" s="1329" t="s">
        <v>3548</v>
      </c>
      <c r="M1905" s="1361" t="str">
        <f t="shared" si="650"/>
        <v>N/A</v>
      </c>
      <c r="N1905" s="4"/>
      <c r="O1905" s="850"/>
      <c r="P1905" s="848" t="b">
        <v>0</v>
      </c>
      <c r="Q1905" s="848" t="b">
        <v>1</v>
      </c>
      <c r="R1905" s="848" t="b">
        <f>S1905</f>
        <v>0</v>
      </c>
      <c r="S1905" s="848" t="b">
        <f>IF(AY1837=INDEX(ddSingleOrMulti,2),TRUE,FALSE)</f>
        <v>0</v>
      </c>
      <c r="T1905" s="97" t="b">
        <f>AND(NOT(S1905),W1905=TRUE)</f>
        <v>0</v>
      </c>
      <c r="U1905" s="848"/>
      <c r="V1905" s="848"/>
      <c r="W1905" s="25"/>
      <c r="X1905" s="1303"/>
      <c r="Y1905" s="1522" t="str">
        <f>IF(LEN('Ch10'!X87)=0,"None",'Ch10'!X87)</f>
        <v>None</v>
      </c>
      <c r="Z1905" s="1586"/>
      <c r="AB1905" s="848"/>
      <c r="AC1905" s="848" t="b">
        <f>OR(AD1905:AE1905)</f>
        <v>0</v>
      </c>
      <c r="AD1905" s="848" t="b">
        <f>T1905</f>
        <v>0</v>
      </c>
      <c r="AE1905" s="848" t="b">
        <f>AND(R1905,NOT(W1905=TRUE))</f>
        <v>0</v>
      </c>
      <c r="AF1905" s="1182" t="b">
        <f>AND(AE1905,NOT(Q1905))</f>
        <v>0</v>
      </c>
      <c r="AG1905" s="848"/>
      <c r="AH1905" s="848"/>
      <c r="AI1905" s="848"/>
      <c r="AJ1905" s="848"/>
      <c r="AK1905" s="848"/>
      <c r="AL1905" s="311" t="str">
        <f t="shared" ref="AL1905" si="653">SUBSTITUTE(SUBSTITUTE(SUBSTITUTE("vpa"&amp;$B1905&amp;$C1905&amp;$D1905&amp;$E1905&amp;$F1905,".","_"),"(","_"),")","")</f>
        <v>vpa1002_1_3</v>
      </c>
      <c r="AM1905" s="311" t="str">
        <f>M1905</f>
        <v>N/A</v>
      </c>
      <c r="AN1905" s="848"/>
      <c r="AO1905" s="848"/>
      <c r="AP1905" s="311" t="str">
        <f>SUBSTITUTE(SUBSTITUTE(SUBSTITUTE("vch"&amp;$B1905&amp;$C1905&amp;$D1905&amp;$E1905&amp;$F1905,".","_"),"(","_"),")","")</f>
        <v>vch1002_1_3</v>
      </c>
      <c r="AQ1905" s="311">
        <f>W1905</f>
        <v>0</v>
      </c>
      <c r="AR1905" s="311" t="str">
        <f>SUBSTITUTE(SUBSTITUTE(SUBSTITUTE("vnt"&amp;$B1905&amp;$C1905&amp;$D1905&amp;$E1905&amp;$F1905,".","_"),"(","_"),")","")</f>
        <v>vnt1002_1_3</v>
      </c>
      <c r="AS1905" s="311">
        <f>X1905</f>
        <v>0</v>
      </c>
      <c r="AT1905" s="848"/>
      <c r="AU1905" s="848"/>
      <c r="AV1905" s="848"/>
      <c r="AW1905" s="848"/>
      <c r="AX1905" s="848"/>
      <c r="AY1905" s="848"/>
      <c r="AZ1905" s="848"/>
      <c r="BA1905" s="848"/>
      <c r="BB1905" s="848"/>
      <c r="BC1905" s="848"/>
      <c r="BD1905" s="848"/>
      <c r="BE1905" s="848"/>
      <c r="BF1905" s="848"/>
      <c r="BG1905" s="848"/>
      <c r="BH1905" s="848"/>
      <c r="BJ1905" s="1184" t="s">
        <v>4763</v>
      </c>
    </row>
    <row r="1906" spans="1:62" x14ac:dyDescent="0.3">
      <c r="A1906" s="1200">
        <v>10</v>
      </c>
      <c r="B1906" s="1210">
        <v>1002.1</v>
      </c>
      <c r="C1906" s="1203"/>
      <c r="D1906" s="1203"/>
      <c r="E1906" s="1203" t="s">
        <v>275</v>
      </c>
      <c r="F1906" s="1203"/>
      <c r="G1906" s="1202" t="str">
        <f t="shared" si="649"/>
        <v/>
      </c>
      <c r="H1906" s="1200" t="s">
        <v>4388</v>
      </c>
      <c r="I1906" s="4"/>
      <c r="J1906" s="27"/>
      <c r="K1906" s="4"/>
      <c r="L1906" s="1329"/>
      <c r="M1906" s="1361" t="str">
        <f t="shared" si="650"/>
        <v>N/A</v>
      </c>
      <c r="N1906" s="4"/>
      <c r="O1906" s="850"/>
      <c r="P1906" s="848"/>
      <c r="Q1906" s="848"/>
      <c r="R1906" s="848"/>
      <c r="S1906" s="848"/>
      <c r="T1906" s="848"/>
      <c r="U1906" s="848"/>
      <c r="V1906" s="848"/>
      <c r="W1906" s="848"/>
      <c r="X1906" s="1303"/>
      <c r="Y1906" s="1522"/>
      <c r="Z1906" s="1586"/>
      <c r="AB1906" s="848"/>
      <c r="AC1906" s="848"/>
      <c r="AD1906" s="848"/>
      <c r="AE1906" s="848"/>
      <c r="AF1906" s="848"/>
      <c r="AG1906" s="848"/>
      <c r="AH1906" s="848"/>
      <c r="AI1906" s="848"/>
      <c r="AJ1906" s="848"/>
      <c r="AK1906" s="848"/>
      <c r="AL1906" s="848"/>
      <c r="AM1906" s="848"/>
      <c r="AN1906" s="848"/>
      <c r="AO1906" s="848"/>
      <c r="AP1906" s="848"/>
      <c r="AQ1906" s="848"/>
      <c r="AR1906" s="848"/>
      <c r="AS1906" s="848"/>
      <c r="AT1906" s="848"/>
      <c r="AU1906" s="848"/>
      <c r="AV1906" s="848"/>
      <c r="AW1906" s="848"/>
      <c r="AX1906" s="848"/>
      <c r="AY1906" s="848"/>
      <c r="AZ1906" s="848"/>
      <c r="BA1906" s="848"/>
      <c r="BB1906" s="848"/>
      <c r="BC1906" s="848"/>
      <c r="BD1906" s="848"/>
      <c r="BE1906" s="848"/>
      <c r="BF1906" s="848"/>
      <c r="BG1906" s="848"/>
      <c r="BH1906" s="848"/>
      <c r="BJ1906" s="1184" t="s">
        <v>4763</v>
      </c>
    </row>
    <row r="1907" spans="1:62" x14ac:dyDescent="0.3">
      <c r="A1907" s="1200">
        <v>10</v>
      </c>
      <c r="B1907" s="1210">
        <v>1002.1</v>
      </c>
      <c r="C1907" s="1203"/>
      <c r="D1907" s="1203"/>
      <c r="E1907" s="1203" t="s">
        <v>285</v>
      </c>
      <c r="F1907" s="1203"/>
      <c r="G1907" s="1202" t="str">
        <f t="shared" si="649"/>
        <v/>
      </c>
      <c r="H1907" s="1200" t="s">
        <v>4388</v>
      </c>
      <c r="I1907" s="4"/>
      <c r="J1907" s="233" t="s">
        <v>285</v>
      </c>
      <c r="K1907" s="274"/>
      <c r="L1907" s="365" t="s">
        <v>3549</v>
      </c>
      <c r="M1907" s="864"/>
      <c r="N1907" s="4"/>
      <c r="O1907" s="850"/>
      <c r="P1907" s="848" t="b">
        <v>0</v>
      </c>
      <c r="Q1907" s="848" t="b">
        <v>1</v>
      </c>
      <c r="R1907" s="848" t="b">
        <v>0</v>
      </c>
      <c r="S1907" s="848" t="b">
        <f>IF(AY1837=INDEX(ddSingleOrMulti,2),TRUE,FALSE)</f>
        <v>0</v>
      </c>
      <c r="T1907" s="97" t="b">
        <f>AND(NOT(S1907),W1907=TRUE)</f>
        <v>0</v>
      </c>
      <c r="U1907" s="848"/>
      <c r="V1907" s="848"/>
      <c r="W1907" s="25"/>
      <c r="X1907" s="851"/>
      <c r="Y1907" s="889" t="str">
        <f>IF(LEN('Ch10'!X89)=0,"None",'Ch10'!X89)</f>
        <v>None</v>
      </c>
      <c r="Z1907" s="1169"/>
      <c r="AB1907" s="848"/>
      <c r="AC1907" s="848" t="b">
        <f>OR(AD1907:AE1907)</f>
        <v>0</v>
      </c>
      <c r="AD1907" s="848" t="b">
        <f>T1907</f>
        <v>0</v>
      </c>
      <c r="AE1907" s="848"/>
      <c r="AF1907" s="848"/>
      <c r="AG1907" s="848"/>
      <c r="AH1907" s="848"/>
      <c r="AI1907" s="848"/>
      <c r="AJ1907" s="848"/>
      <c r="AK1907" s="848"/>
      <c r="AL1907" s="848"/>
      <c r="AM1907" s="848"/>
      <c r="AN1907" s="848"/>
      <c r="AO1907" s="848"/>
      <c r="AP1907" s="311" t="str">
        <f t="shared" ref="AP1907:AP1908" si="654">SUBSTITUTE(SUBSTITUTE(SUBSTITUTE("vch"&amp;$B1907&amp;$C1907&amp;$D1907&amp;$E1907&amp;$F1907,".","_"),"(","_"),")","")</f>
        <v>vch1002_1_4</v>
      </c>
      <c r="AQ1907" s="311">
        <f>W1907</f>
        <v>0</v>
      </c>
      <c r="AR1907" s="311" t="str">
        <f t="shared" ref="AR1907:AR1908" si="655">SUBSTITUTE(SUBSTITUTE(SUBSTITUTE("vnt"&amp;$B1907&amp;$C1907&amp;$D1907&amp;$E1907&amp;$F1907,".","_"),"(","_"),")","")</f>
        <v>vnt1002_1_4</v>
      </c>
      <c r="AS1907" s="311">
        <f>X1907</f>
        <v>0</v>
      </c>
      <c r="AT1907" s="848"/>
      <c r="AU1907" s="848"/>
      <c r="AV1907" s="848"/>
      <c r="AW1907" s="848"/>
      <c r="AX1907" s="848"/>
      <c r="AY1907" s="848"/>
      <c r="AZ1907" s="848"/>
      <c r="BA1907" s="848"/>
      <c r="BB1907" s="848"/>
      <c r="BC1907" s="848"/>
      <c r="BD1907" s="848"/>
      <c r="BE1907" s="848"/>
      <c r="BF1907" s="848"/>
      <c r="BG1907" s="848"/>
      <c r="BH1907" s="848"/>
      <c r="BJ1907" s="1184" t="s">
        <v>4763</v>
      </c>
    </row>
    <row r="1908" spans="1:62" x14ac:dyDescent="0.3">
      <c r="A1908" s="1200">
        <v>10</v>
      </c>
      <c r="B1908" s="1210">
        <v>1002.1</v>
      </c>
      <c r="C1908" s="1203"/>
      <c r="D1908" s="1203"/>
      <c r="E1908" s="1203" t="s">
        <v>291</v>
      </c>
      <c r="F1908" s="1203"/>
      <c r="G1908" s="1202" t="str">
        <f t="shared" si="649"/>
        <v/>
      </c>
      <c r="H1908" s="1200" t="s">
        <v>4388</v>
      </c>
      <c r="I1908" s="4"/>
      <c r="J1908" s="27" t="s">
        <v>291</v>
      </c>
      <c r="K1908" s="4"/>
      <c r="L1908" s="1329" t="s">
        <v>3550</v>
      </c>
      <c r="M1908" s="854"/>
      <c r="N1908" s="4"/>
      <c r="O1908" s="850"/>
      <c r="P1908" s="848" t="b">
        <v>0</v>
      </c>
      <c r="Q1908" s="848" t="b">
        <v>1</v>
      </c>
      <c r="R1908" s="848" t="b">
        <v>0</v>
      </c>
      <c r="S1908" s="848" t="b">
        <f>IF(AY1837=INDEX(ddSingleOrMulti,2),TRUE,FALSE)</f>
        <v>0</v>
      </c>
      <c r="T1908" s="97" t="b">
        <f>AND(NOT(S1908),W1908=TRUE)</f>
        <v>0</v>
      </c>
      <c r="U1908" s="848"/>
      <c r="V1908" s="848"/>
      <c r="W1908" s="25"/>
      <c r="X1908" s="1303"/>
      <c r="Y1908" s="1522" t="str">
        <f>IF(LEN('Ch10'!X90)=0,"None",'Ch10'!X90)</f>
        <v>None</v>
      </c>
      <c r="Z1908" s="1586"/>
      <c r="AB1908" s="848"/>
      <c r="AC1908" s="848" t="b">
        <f>OR(AD1908:AE1908)</f>
        <v>0</v>
      </c>
      <c r="AD1908" s="848" t="b">
        <f>T1908</f>
        <v>0</v>
      </c>
      <c r="AE1908" s="848"/>
      <c r="AF1908" s="848"/>
      <c r="AG1908" s="848"/>
      <c r="AH1908" s="848"/>
      <c r="AI1908" s="848"/>
      <c r="AJ1908" s="848"/>
      <c r="AK1908" s="848"/>
      <c r="AL1908" s="848"/>
      <c r="AM1908" s="848"/>
      <c r="AN1908" s="848"/>
      <c r="AO1908" s="848"/>
      <c r="AP1908" s="311" t="str">
        <f t="shared" si="654"/>
        <v>vch1002_1_5</v>
      </c>
      <c r="AQ1908" s="311">
        <f>W1908</f>
        <v>0</v>
      </c>
      <c r="AR1908" s="311" t="str">
        <f t="shared" si="655"/>
        <v>vnt1002_1_5</v>
      </c>
      <c r="AS1908" s="311">
        <f>X1908</f>
        <v>0</v>
      </c>
      <c r="AT1908" s="848"/>
      <c r="AU1908" s="848"/>
      <c r="AV1908" s="848"/>
      <c r="AW1908" s="848"/>
      <c r="AX1908" s="848"/>
      <c r="AY1908" s="848"/>
      <c r="AZ1908" s="848"/>
      <c r="BA1908" s="848"/>
      <c r="BB1908" s="848"/>
      <c r="BC1908" s="848"/>
      <c r="BD1908" s="848"/>
      <c r="BE1908" s="848"/>
      <c r="BF1908" s="848"/>
      <c r="BG1908" s="848"/>
      <c r="BH1908" s="848"/>
      <c r="BJ1908" s="1184" t="s">
        <v>4763</v>
      </c>
    </row>
    <row r="1909" spans="1:62" x14ac:dyDescent="0.3">
      <c r="A1909" s="1200">
        <v>10</v>
      </c>
      <c r="B1909" s="1210">
        <v>1002.1</v>
      </c>
      <c r="C1909" s="1203"/>
      <c r="D1909" s="1203"/>
      <c r="E1909" s="1203" t="s">
        <v>291</v>
      </c>
      <c r="F1909" s="1203"/>
      <c r="G1909" s="1202" t="str">
        <f t="shared" si="649"/>
        <v/>
      </c>
      <c r="H1909" s="1200" t="s">
        <v>4388</v>
      </c>
      <c r="I1909" s="4"/>
      <c r="J1909" s="27"/>
      <c r="K1909" s="4"/>
      <c r="L1909" s="1329"/>
      <c r="M1909" s="854"/>
      <c r="N1909" s="4"/>
      <c r="O1909" s="850"/>
      <c r="P1909" s="848"/>
      <c r="Q1909" s="848"/>
      <c r="R1909" s="848"/>
      <c r="S1909" s="848"/>
      <c r="T1909" s="848"/>
      <c r="U1909" s="848"/>
      <c r="V1909" s="848"/>
      <c r="W1909" s="848"/>
      <c r="X1909" s="1303"/>
      <c r="Y1909" s="1522"/>
      <c r="Z1909" s="1586"/>
      <c r="AB1909" s="848"/>
      <c r="AC1909" s="848"/>
      <c r="AD1909" s="848"/>
      <c r="AE1909" s="848"/>
      <c r="AF1909" s="848"/>
      <c r="AG1909" s="848"/>
      <c r="AH1909" s="848"/>
      <c r="AI1909" s="848"/>
      <c r="AJ1909" s="848"/>
      <c r="AK1909" s="848"/>
      <c r="AL1909" s="848"/>
      <c r="AM1909" s="848"/>
      <c r="AN1909" s="848"/>
      <c r="AO1909" s="848"/>
      <c r="AP1909" s="848"/>
      <c r="AQ1909" s="848"/>
      <c r="AR1909" s="848"/>
      <c r="AS1909" s="848"/>
      <c r="AT1909" s="848"/>
      <c r="AU1909" s="848"/>
      <c r="AV1909" s="848"/>
      <c r="AW1909" s="848"/>
      <c r="AX1909" s="848"/>
      <c r="AY1909" s="848"/>
      <c r="AZ1909" s="848"/>
      <c r="BA1909" s="848"/>
      <c r="BB1909" s="848"/>
      <c r="BC1909" s="848"/>
      <c r="BD1909" s="848"/>
      <c r="BE1909" s="848"/>
      <c r="BF1909" s="848"/>
      <c r="BG1909" s="848"/>
      <c r="BH1909" s="848"/>
      <c r="BJ1909" s="1184" t="s">
        <v>4763</v>
      </c>
    </row>
    <row r="1910" spans="1:62" ht="15" customHeight="1" x14ac:dyDescent="0.3">
      <c r="A1910" s="1200">
        <v>10</v>
      </c>
      <c r="B1910" s="1210">
        <v>1002.1</v>
      </c>
      <c r="C1910" s="1203"/>
      <c r="D1910" s="1203"/>
      <c r="E1910" s="1203" t="s">
        <v>293</v>
      </c>
      <c r="F1910" s="1203"/>
      <c r="G1910" s="1202" t="str">
        <f t="shared" si="649"/>
        <v/>
      </c>
      <c r="H1910" s="1200" t="s">
        <v>4388</v>
      </c>
      <c r="I1910" s="4"/>
      <c r="J1910" s="233" t="s">
        <v>293</v>
      </c>
      <c r="K1910" s="274"/>
      <c r="L1910" s="365" t="s">
        <v>3507</v>
      </c>
      <c r="M1910" s="854"/>
      <c r="N1910" s="4"/>
      <c r="O1910" s="850"/>
      <c r="P1910" s="848" t="b">
        <v>0</v>
      </c>
      <c r="Q1910" s="848" t="b">
        <v>1</v>
      </c>
      <c r="R1910" s="848" t="b">
        <v>0</v>
      </c>
      <c r="S1910" s="848" t="b">
        <f>IF(AY1837=INDEX(ddSingleOrMulti,2),TRUE,FALSE)</f>
        <v>0</v>
      </c>
      <c r="T1910" s="97" t="b">
        <f>AND(NOT(S1910),W1910=TRUE)</f>
        <v>0</v>
      </c>
      <c r="U1910" s="848"/>
      <c r="V1910" s="848"/>
      <c r="W1910" s="25"/>
      <c r="X1910" s="851"/>
      <c r="Y1910" s="889" t="str">
        <f>IF(LEN('Ch10'!X92)=0,"None",'Ch10'!X92)</f>
        <v>None</v>
      </c>
      <c r="Z1910" s="1169"/>
      <c r="AB1910" s="848"/>
      <c r="AC1910" s="848" t="b">
        <f>OR(AD1910:AE1910)</f>
        <v>0</v>
      </c>
      <c r="AD1910" s="848" t="b">
        <f>T1910</f>
        <v>0</v>
      </c>
      <c r="AE1910" s="848"/>
      <c r="AF1910" s="848"/>
      <c r="AG1910" s="848"/>
      <c r="AH1910" s="848"/>
      <c r="AI1910" s="848"/>
      <c r="AJ1910" s="848"/>
      <c r="AK1910" s="848"/>
      <c r="AL1910" s="848"/>
      <c r="AM1910" s="848"/>
      <c r="AN1910" s="848"/>
      <c r="AO1910" s="848"/>
      <c r="AP1910" s="311" t="str">
        <f t="shared" ref="AP1910:AP1912" si="656">SUBSTITUTE(SUBSTITUTE(SUBSTITUTE("vch"&amp;$B1910&amp;$C1910&amp;$D1910&amp;$E1910&amp;$F1910,".","_"),"(","_"),")","")</f>
        <v>vch1002_1_6</v>
      </c>
      <c r="AQ1910" s="311">
        <f>W1910</f>
        <v>0</v>
      </c>
      <c r="AR1910" s="311" t="str">
        <f t="shared" ref="AR1910:AR1912" si="657">SUBSTITUTE(SUBSTITUTE(SUBSTITUTE("vnt"&amp;$B1910&amp;$C1910&amp;$D1910&amp;$E1910&amp;$F1910,".","_"),"(","_"),")","")</f>
        <v>vnt1002_1_6</v>
      </c>
      <c r="AS1910" s="311">
        <f>X1910</f>
        <v>0</v>
      </c>
      <c r="AT1910" s="848"/>
      <c r="AU1910" s="848"/>
      <c r="AV1910" s="848"/>
      <c r="AW1910" s="848"/>
      <c r="AX1910" s="848"/>
      <c r="AY1910" s="848"/>
      <c r="AZ1910" s="848"/>
      <c r="BA1910" s="848"/>
      <c r="BB1910" s="848"/>
      <c r="BC1910" s="848"/>
      <c r="BD1910" s="848"/>
      <c r="BE1910" s="848"/>
      <c r="BF1910" s="848"/>
      <c r="BG1910" s="848"/>
      <c r="BH1910" s="848"/>
      <c r="BJ1910" s="1184" t="s">
        <v>4763</v>
      </c>
    </row>
    <row r="1911" spans="1:62" x14ac:dyDescent="0.3">
      <c r="A1911" s="1200">
        <v>10</v>
      </c>
      <c r="B1911" s="1210">
        <v>1002.1</v>
      </c>
      <c r="C1911" s="1203"/>
      <c r="D1911" s="1203"/>
      <c r="E1911" s="1203" t="s">
        <v>405</v>
      </c>
      <c r="F1911" s="1203"/>
      <c r="G1911" s="1202" t="str">
        <f t="shared" si="649"/>
        <v/>
      </c>
      <c r="H1911" s="1200" t="s">
        <v>4388</v>
      </c>
      <c r="I1911" s="4"/>
      <c r="J1911" s="233" t="s">
        <v>405</v>
      </c>
      <c r="K1911" s="274"/>
      <c r="L1911" s="365" t="s">
        <v>3551</v>
      </c>
      <c r="M1911" s="854"/>
      <c r="N1911" s="4"/>
      <c r="O1911" s="850"/>
      <c r="P1911" s="848" t="b">
        <v>0</v>
      </c>
      <c r="Q1911" s="848" t="b">
        <v>1</v>
      </c>
      <c r="R1911" s="848" t="b">
        <v>0</v>
      </c>
      <c r="S1911" s="848" t="b">
        <f>IF(AY1837=INDEX(ddSingleOrMulti,2),TRUE,FALSE)</f>
        <v>0</v>
      </c>
      <c r="T1911" s="97" t="b">
        <f>AND(NOT(S1911),W1911=TRUE)</f>
        <v>0</v>
      </c>
      <c r="U1911" s="848"/>
      <c r="V1911" s="848"/>
      <c r="W1911" s="25"/>
      <c r="X1911" s="851"/>
      <c r="Y1911" s="889" t="str">
        <f>IF(LEN('Ch10'!X93)=0,"None",'Ch10'!X93)</f>
        <v>None</v>
      </c>
      <c r="Z1911" s="1169"/>
      <c r="AB1911" s="848"/>
      <c r="AC1911" s="848" t="b">
        <f>OR(AD1911:AE1911)</f>
        <v>0</v>
      </c>
      <c r="AD1911" s="848" t="b">
        <f>T1911</f>
        <v>0</v>
      </c>
      <c r="AE1911" s="848"/>
      <c r="AF1911" s="848"/>
      <c r="AG1911" s="848"/>
      <c r="AH1911" s="848"/>
      <c r="AI1911" s="848"/>
      <c r="AJ1911" s="848"/>
      <c r="AK1911" s="848"/>
      <c r="AL1911" s="848"/>
      <c r="AM1911" s="848"/>
      <c r="AN1911" s="848"/>
      <c r="AO1911" s="848"/>
      <c r="AP1911" s="311" t="str">
        <f t="shared" si="656"/>
        <v>vch1002_1_7</v>
      </c>
      <c r="AQ1911" s="311">
        <f>W1911</f>
        <v>0</v>
      </c>
      <c r="AR1911" s="311" t="str">
        <f t="shared" si="657"/>
        <v>vnt1002_1_7</v>
      </c>
      <c r="AS1911" s="311">
        <f>X1911</f>
        <v>0</v>
      </c>
      <c r="AT1911" s="848"/>
      <c r="AU1911" s="848"/>
      <c r="AV1911" s="848"/>
      <c r="AW1911" s="848"/>
      <c r="AX1911" s="848"/>
      <c r="AY1911" s="848"/>
      <c r="AZ1911" s="848"/>
      <c r="BA1911" s="848"/>
      <c r="BB1911" s="848"/>
      <c r="BC1911" s="848"/>
      <c r="BD1911" s="848"/>
      <c r="BE1911" s="848"/>
      <c r="BF1911" s="848"/>
      <c r="BG1911" s="848"/>
      <c r="BH1911" s="848"/>
      <c r="BJ1911" s="1184" t="s">
        <v>4763</v>
      </c>
    </row>
    <row r="1912" spans="1:62" x14ac:dyDescent="0.3">
      <c r="A1912" s="1200">
        <v>10</v>
      </c>
      <c r="B1912" s="1210">
        <v>1002.1</v>
      </c>
      <c r="C1912" s="1203"/>
      <c r="D1912" s="1203"/>
      <c r="E1912" s="1203" t="s">
        <v>456</v>
      </c>
      <c r="F1912" s="1203"/>
      <c r="G1912" s="1202" t="str">
        <f t="shared" si="649"/>
        <v/>
      </c>
      <c r="H1912" s="1200" t="s">
        <v>4388</v>
      </c>
      <c r="I1912" s="140"/>
      <c r="J1912" s="203" t="s">
        <v>456</v>
      </c>
      <c r="K1912" s="140"/>
      <c r="L1912" s="1305" t="s">
        <v>3552</v>
      </c>
      <c r="M1912" s="854"/>
      <c r="N1912" s="140"/>
      <c r="O1912" s="854"/>
      <c r="P1912" s="848" t="b">
        <v>0</v>
      </c>
      <c r="Q1912" s="848" t="b">
        <v>1</v>
      </c>
      <c r="R1912" s="97" t="b">
        <v>0</v>
      </c>
      <c r="S1912" s="97" t="b">
        <f>IF(AY1837=INDEX(ddSingleOrMulti,2),TRUE,FALSE)</f>
        <v>0</v>
      </c>
      <c r="T1912" s="97" t="b">
        <f>AND(NOT(S1912),W1912=TRUE)</f>
        <v>0</v>
      </c>
      <c r="U1912" s="97"/>
      <c r="V1912" s="97"/>
      <c r="W1912" s="25"/>
      <c r="X1912" s="1295"/>
      <c r="Y1912" s="1523" t="str">
        <f>IF(LEN('Ch10'!X94)=0,"None",'Ch10'!X94)</f>
        <v>None</v>
      </c>
      <c r="Z1912" s="1583"/>
      <c r="AB1912" s="848"/>
      <c r="AC1912" s="848" t="b">
        <f>OR(AD1912:AE1912)</f>
        <v>0</v>
      </c>
      <c r="AD1912" s="848" t="b">
        <f>T1912</f>
        <v>0</v>
      </c>
      <c r="AE1912" s="848"/>
      <c r="AF1912" s="848"/>
      <c r="AG1912" s="848"/>
      <c r="AH1912" s="848"/>
      <c r="AI1912" s="848"/>
      <c r="AJ1912" s="848"/>
      <c r="AK1912" s="848"/>
      <c r="AL1912" s="848"/>
      <c r="AM1912" s="848"/>
      <c r="AN1912" s="848"/>
      <c r="AO1912" s="848"/>
      <c r="AP1912" s="311" t="str">
        <f t="shared" si="656"/>
        <v>vch1002_1_8</v>
      </c>
      <c r="AQ1912" s="311">
        <f>W1912</f>
        <v>0</v>
      </c>
      <c r="AR1912" s="311" t="str">
        <f t="shared" si="657"/>
        <v>vnt1002_1_8</v>
      </c>
      <c r="AS1912" s="311">
        <f>X1912</f>
        <v>0</v>
      </c>
      <c r="AT1912" s="848"/>
      <c r="AU1912" s="848"/>
      <c r="AV1912" s="848"/>
      <c r="AW1912" s="848"/>
      <c r="AX1912" s="848"/>
      <c r="AY1912" s="848"/>
      <c r="AZ1912" s="848"/>
      <c r="BA1912" s="848"/>
      <c r="BB1912" s="848"/>
      <c r="BC1912" s="848"/>
      <c r="BD1912" s="848"/>
      <c r="BE1912" s="848"/>
      <c r="BF1912" s="848"/>
      <c r="BG1912" s="848"/>
      <c r="BH1912" s="848"/>
      <c r="BJ1912" s="1184" t="s">
        <v>4763</v>
      </c>
    </row>
    <row r="1913" spans="1:62" ht="15" thickBot="1" x14ac:dyDescent="0.35">
      <c r="A1913" s="1200">
        <v>10</v>
      </c>
      <c r="B1913" s="1210">
        <v>1002.1</v>
      </c>
      <c r="C1913" s="1203"/>
      <c r="D1913" s="1203"/>
      <c r="E1913" s="1203" t="s">
        <v>456</v>
      </c>
      <c r="F1913" s="1203"/>
      <c r="G1913" s="1202" t="str">
        <f t="shared" si="649"/>
        <v/>
      </c>
      <c r="H1913" s="1200" t="s">
        <v>4388</v>
      </c>
      <c r="I1913" s="270"/>
      <c r="J1913" s="270"/>
      <c r="K1913" s="270"/>
      <c r="L1913" s="1330"/>
      <c r="M1913" s="858"/>
      <c r="N1913" s="270"/>
      <c r="O1913" s="858"/>
      <c r="P1913" s="104"/>
      <c r="Q1913" s="104"/>
      <c r="R1913" s="104"/>
      <c r="S1913" s="104"/>
      <c r="T1913" s="104"/>
      <c r="U1913" s="104"/>
      <c r="V1913" s="104"/>
      <c r="W1913" s="104"/>
      <c r="X1913" s="1296"/>
      <c r="Y1913" s="1524"/>
      <c r="Z1913" s="1584"/>
      <c r="AB1913" s="848"/>
      <c r="AC1913" s="848"/>
      <c r="AD1913" s="848"/>
      <c r="AE1913" s="848"/>
      <c r="AF1913" s="848"/>
      <c r="AG1913" s="848"/>
      <c r="AH1913" s="848"/>
      <c r="AI1913" s="848"/>
      <c r="AJ1913" s="848"/>
      <c r="AK1913" s="848"/>
      <c r="AL1913" s="848"/>
      <c r="AM1913" s="848"/>
      <c r="AN1913" s="848"/>
      <c r="AO1913" s="848"/>
      <c r="AP1913" s="848"/>
      <c r="AQ1913" s="848"/>
      <c r="AR1913" s="848"/>
      <c r="AS1913" s="848"/>
      <c r="AT1913" s="848"/>
      <c r="AU1913" s="848"/>
      <c r="AV1913" s="848"/>
      <c r="AW1913" s="848"/>
      <c r="AX1913" s="848"/>
      <c r="AY1913" s="848"/>
      <c r="AZ1913" s="848"/>
      <c r="BA1913" s="848"/>
      <c r="BB1913" s="848"/>
      <c r="BC1913" s="848"/>
      <c r="BD1913" s="848"/>
      <c r="BE1913" s="848"/>
      <c r="BF1913" s="848"/>
      <c r="BG1913" s="848"/>
      <c r="BH1913" s="848"/>
      <c r="BJ1913" s="1184" t="s">
        <v>4763</v>
      </c>
    </row>
    <row r="1914" spans="1:62" ht="15" thickTop="1" x14ac:dyDescent="0.3">
      <c r="A1914" s="1200">
        <v>10</v>
      </c>
      <c r="B1914" s="1210">
        <v>1002.2</v>
      </c>
      <c r="C1914" s="1203"/>
      <c r="D1914" s="1203"/>
      <c r="E1914" s="1203"/>
      <c r="F1914" s="1203"/>
      <c r="G1914" s="1202" t="str">
        <f>IF(N1914&gt;0,"P","")</f>
        <v/>
      </c>
      <c r="H1914" s="1200" t="s">
        <v>4388</v>
      </c>
      <c r="I1914" s="152">
        <v>1002.2</v>
      </c>
      <c r="J1914" s="4"/>
      <c r="K1914" s="4"/>
      <c r="L1914" s="1292" t="s">
        <v>3594</v>
      </c>
      <c r="M1914" s="1335">
        <v>1</v>
      </c>
      <c r="N1914" s="1336">
        <f>'Ch10'!O96</f>
        <v>0</v>
      </c>
      <c r="O1914" s="1436">
        <f>IF(AND(COUNTIF(W1918:W1920,TRUE)=2,COUNTIF(W1923:W1939,TRUE)&gt;2,S1918),ROUNDDOWN(COUNTIF(W1923:W1939,TRUE)/2,0),0)</f>
        <v>0</v>
      </c>
      <c r="P1914" s="848"/>
      <c r="Q1914" s="848"/>
      <c r="R1914" s="848"/>
      <c r="S1914" s="848"/>
      <c r="T1914" s="848"/>
      <c r="U1914" s="848"/>
      <c r="V1914" s="848"/>
      <c r="W1914" s="848"/>
      <c r="X1914" s="848"/>
      <c r="Y1914" s="848"/>
      <c r="Z1914" s="1055"/>
      <c r="AB1914" s="848"/>
      <c r="AC1914" s="848"/>
      <c r="AD1914" s="848"/>
      <c r="AE1914" s="848"/>
      <c r="AF1914" s="848"/>
      <c r="AG1914" s="848"/>
      <c r="AH1914" s="848"/>
      <c r="AI1914" s="848"/>
      <c r="AJ1914" s="848"/>
      <c r="AK1914" s="848"/>
      <c r="AL1914" s="311" t="str">
        <f t="shared" ref="AL1914" si="658">SUBSTITUTE(SUBSTITUTE(SUBSTITUTE("vpa"&amp;$B1914&amp;$C1914&amp;$D1914&amp;$E1914&amp;$F1914,".","_"),"(","_"),")","")</f>
        <v>vpa1002_2</v>
      </c>
      <c r="AM1914" s="311">
        <f>M1914</f>
        <v>1</v>
      </c>
      <c r="AN1914" s="311" t="str">
        <f>SUBSTITUTE(SUBSTITUTE(SUBSTITUTE("vpc"&amp;$B1914&amp;$C1914&amp;$D1914&amp;$E1914&amp;$F1914,".","_"),"(","_"),")","")</f>
        <v>vpc1002_2</v>
      </c>
      <c r="AO1914" s="311">
        <f>O1914</f>
        <v>0</v>
      </c>
      <c r="AP1914" s="848"/>
      <c r="AQ1914" s="848"/>
      <c r="AR1914" s="848"/>
      <c r="AS1914" s="848"/>
      <c r="AT1914" s="848"/>
      <c r="AU1914" s="848"/>
      <c r="AV1914" s="848"/>
      <c r="AW1914" s="848"/>
      <c r="AX1914" s="848"/>
      <c r="AY1914" s="848"/>
      <c r="AZ1914" s="848"/>
      <c r="BA1914" s="848"/>
      <c r="BB1914" s="848"/>
      <c r="BC1914" s="848"/>
      <c r="BD1914" s="848"/>
      <c r="BE1914" s="848"/>
      <c r="BF1914" s="848"/>
      <c r="BG1914" s="848"/>
      <c r="BH1914" s="848"/>
      <c r="BJ1914" s="1184" t="s">
        <v>4763</v>
      </c>
    </row>
    <row r="1915" spans="1:62" x14ac:dyDescent="0.3">
      <c r="A1915" s="1200">
        <v>10</v>
      </c>
      <c r="B1915" s="1210">
        <v>1002.2</v>
      </c>
      <c r="C1915" s="1203"/>
      <c r="D1915" s="1203"/>
      <c r="E1915" s="1203"/>
      <c r="F1915" s="1203"/>
      <c r="G1915" s="1202" t="str">
        <f t="shared" ref="G1915:G1940" si="659">G1914</f>
        <v/>
      </c>
      <c r="H1915" s="1200" t="s">
        <v>4388</v>
      </c>
      <c r="I1915" s="4"/>
      <c r="J1915" s="4"/>
      <c r="K1915" s="4"/>
      <c r="L1915" s="1292"/>
      <c r="M1915" s="1335"/>
      <c r="N1915" s="1310"/>
      <c r="O1915" s="1436"/>
      <c r="P1915" s="848"/>
      <c r="Q1915" s="848"/>
      <c r="R1915" s="848"/>
      <c r="S1915" s="848"/>
      <c r="T1915" s="848"/>
      <c r="U1915" s="848"/>
      <c r="V1915" s="848"/>
      <c r="W1915" s="848"/>
      <c r="X1915" s="848"/>
      <c r="Y1915" s="848"/>
      <c r="Z1915" s="1055"/>
      <c r="AB1915" s="848"/>
      <c r="AC1915" s="848"/>
      <c r="AD1915" s="848"/>
      <c r="AE1915" s="848"/>
      <c r="AF1915" s="848"/>
      <c r="AG1915" s="848"/>
      <c r="AH1915" s="848"/>
      <c r="AI1915" s="848"/>
      <c r="AJ1915" s="848"/>
      <c r="AK1915" s="848"/>
      <c r="AL1915" s="848"/>
      <c r="AM1915" s="848"/>
      <c r="AN1915" s="848"/>
      <c r="AO1915" s="848"/>
      <c r="AP1915" s="848"/>
      <c r="AQ1915" s="848"/>
      <c r="AR1915" s="848"/>
      <c r="AS1915" s="848"/>
      <c r="AT1915" s="848"/>
      <c r="AU1915" s="848"/>
      <c r="AV1915" s="848"/>
      <c r="AW1915" s="848"/>
      <c r="AX1915" s="848"/>
      <c r="AY1915" s="848"/>
      <c r="AZ1915" s="848"/>
      <c r="BA1915" s="848"/>
      <c r="BB1915" s="848"/>
      <c r="BC1915" s="848"/>
      <c r="BD1915" s="848"/>
      <c r="BE1915" s="848"/>
      <c r="BF1915" s="848"/>
      <c r="BG1915" s="848"/>
      <c r="BH1915" s="848"/>
      <c r="BJ1915" s="1184" t="s">
        <v>4763</v>
      </c>
    </row>
    <row r="1916" spans="1:62" x14ac:dyDescent="0.3">
      <c r="A1916" s="1200">
        <v>10</v>
      </c>
      <c r="B1916" s="1210">
        <v>1002.2</v>
      </c>
      <c r="C1916" s="1203"/>
      <c r="D1916" s="1203"/>
      <c r="E1916" s="1203"/>
      <c r="F1916" s="1203"/>
      <c r="G1916" s="1202" t="str">
        <f t="shared" si="659"/>
        <v/>
      </c>
      <c r="H1916" s="1200" t="s">
        <v>4388</v>
      </c>
      <c r="I1916" s="4"/>
      <c r="J1916" s="4"/>
      <c r="K1916" s="4"/>
      <c r="L1916" s="1292"/>
      <c r="M1916" s="1335"/>
      <c r="N1916" s="1310"/>
      <c r="O1916" s="1436"/>
      <c r="P1916" s="848"/>
      <c r="Q1916" s="848"/>
      <c r="R1916" s="848"/>
      <c r="S1916" s="848"/>
      <c r="T1916" s="848"/>
      <c r="U1916" s="848"/>
      <c r="V1916" s="848"/>
      <c r="W1916" s="848"/>
      <c r="X1916" s="848"/>
      <c r="Y1916" s="848"/>
      <c r="Z1916" s="1055"/>
      <c r="AB1916" s="848"/>
      <c r="AC1916" s="848"/>
      <c r="AD1916" s="848"/>
      <c r="AE1916" s="848"/>
      <c r="AF1916" s="848"/>
      <c r="AG1916" s="848"/>
      <c r="AH1916" s="848"/>
      <c r="AI1916" s="848"/>
      <c r="AJ1916" s="848"/>
      <c r="AK1916" s="848"/>
      <c r="AL1916" s="848"/>
      <c r="AM1916" s="848"/>
      <c r="AN1916" s="848"/>
      <c r="AO1916" s="848"/>
      <c r="AP1916" s="848"/>
      <c r="AQ1916" s="848"/>
      <c r="AR1916" s="848"/>
      <c r="AS1916" s="848"/>
      <c r="AT1916" s="848"/>
      <c r="AU1916" s="848"/>
      <c r="AV1916" s="848"/>
      <c r="AW1916" s="848"/>
      <c r="AX1916" s="848"/>
      <c r="AY1916" s="848"/>
      <c r="AZ1916" s="848"/>
      <c r="BA1916" s="848"/>
      <c r="BB1916" s="848"/>
      <c r="BC1916" s="848"/>
      <c r="BD1916" s="848"/>
      <c r="BE1916" s="848"/>
      <c r="BF1916" s="848"/>
      <c r="BG1916" s="848"/>
      <c r="BH1916" s="848"/>
      <c r="BJ1916" s="1184" t="s">
        <v>4763</v>
      </c>
    </row>
    <row r="1917" spans="1:62" x14ac:dyDescent="0.3">
      <c r="A1917" s="1200">
        <v>10</v>
      </c>
      <c r="B1917" s="1210">
        <v>1002.2</v>
      </c>
      <c r="C1917" s="1203"/>
      <c r="D1917" s="1203"/>
      <c r="E1917" s="1203"/>
      <c r="F1917" s="1203"/>
      <c r="G1917" s="1202" t="str">
        <f t="shared" si="659"/>
        <v/>
      </c>
      <c r="H1917" s="1200" t="s">
        <v>4388</v>
      </c>
      <c r="I1917" s="4"/>
      <c r="J1917" s="4"/>
      <c r="K1917" s="4"/>
      <c r="L1917" s="256" t="s">
        <v>3591</v>
      </c>
      <c r="M1917" s="1335"/>
      <c r="N1917" s="1310"/>
      <c r="O1917" s="1436"/>
      <c r="P1917" s="848"/>
      <c r="Q1917" s="848"/>
      <c r="R1917" s="848"/>
      <c r="S1917" s="848"/>
      <c r="T1917" s="848"/>
      <c r="U1917" s="848"/>
      <c r="V1917" s="848"/>
      <c r="W1917" s="848"/>
      <c r="X1917" s="848"/>
      <c r="Y1917" s="848"/>
      <c r="Z1917" s="1055"/>
      <c r="AB1917" s="848"/>
      <c r="AC1917" s="848"/>
      <c r="AD1917" s="848"/>
      <c r="AE1917" s="848"/>
      <c r="AF1917" s="848"/>
      <c r="AG1917" s="848"/>
      <c r="AH1917" s="848"/>
      <c r="AI1917" s="848"/>
      <c r="AJ1917" s="848"/>
      <c r="AK1917" s="848"/>
      <c r="AL1917" s="848"/>
      <c r="AM1917" s="848"/>
      <c r="AN1917" s="848"/>
      <c r="AO1917" s="848"/>
      <c r="AP1917" s="848"/>
      <c r="AQ1917" s="848"/>
      <c r="AR1917" s="848"/>
      <c r="AS1917" s="848"/>
      <c r="AT1917" s="848"/>
      <c r="AU1917" s="848"/>
      <c r="AV1917" s="848"/>
      <c r="AW1917" s="848"/>
      <c r="AX1917" s="848"/>
      <c r="AY1917" s="848"/>
      <c r="AZ1917" s="848"/>
      <c r="BA1917" s="848"/>
      <c r="BB1917" s="848"/>
      <c r="BC1917" s="848"/>
      <c r="BD1917" s="848"/>
      <c r="BE1917" s="848"/>
      <c r="BF1917" s="848"/>
      <c r="BG1917" s="848"/>
      <c r="BH1917" s="848"/>
      <c r="BJ1917" s="1184" t="s">
        <v>4763</v>
      </c>
    </row>
    <row r="1918" spans="1:62" x14ac:dyDescent="0.3">
      <c r="A1918" s="1200">
        <v>10</v>
      </c>
      <c r="B1918" s="1210">
        <v>1002.2</v>
      </c>
      <c r="C1918" s="1203"/>
      <c r="D1918" s="1203"/>
      <c r="E1918" s="1203" t="s">
        <v>271</v>
      </c>
      <c r="F1918" s="1203"/>
      <c r="G1918" s="1202" t="str">
        <f t="shared" si="659"/>
        <v/>
      </c>
      <c r="H1918" s="1200" t="s">
        <v>4388</v>
      </c>
      <c r="I1918" s="4"/>
      <c r="J1918" s="203" t="s">
        <v>271</v>
      </c>
      <c r="K1918" s="140"/>
      <c r="L1918" s="1305" t="s">
        <v>3553</v>
      </c>
      <c r="M1918" s="1351" t="str">
        <f>IF(R1918,"Mandatory","N/A")</f>
        <v>N/A</v>
      </c>
      <c r="N1918" s="4"/>
      <c r="O1918" s="850"/>
      <c r="P1918" s="848" t="b">
        <v>0</v>
      </c>
      <c r="Q1918" s="848" t="b">
        <v>1</v>
      </c>
      <c r="R1918" s="848" t="b">
        <f>S1918</f>
        <v>0</v>
      </c>
      <c r="S1918" s="848" t="b">
        <f>IF(AY1837=INDEX(ddSingleOrMulti,2),TRUE,FALSE)</f>
        <v>0</v>
      </c>
      <c r="T1918" s="97" t="b">
        <f>AND(NOT(S1918),W1918=TRUE)</f>
        <v>0</v>
      </c>
      <c r="U1918" s="848"/>
      <c r="V1918" s="848"/>
      <c r="W1918" s="25"/>
      <c r="X1918" s="1303"/>
      <c r="Y1918" s="1522" t="str">
        <f>IF(LEN('Ch10'!X100)=0,"None",'Ch10'!X100)</f>
        <v>None</v>
      </c>
      <c r="Z1918" s="1586"/>
      <c r="AB1918" s="848"/>
      <c r="AC1918" s="848" t="b">
        <f>OR(AD1918:AE1918)</f>
        <v>0</v>
      </c>
      <c r="AD1918" s="848" t="b">
        <f>T1918</f>
        <v>0</v>
      </c>
      <c r="AE1918" s="1068" t="b">
        <f>AND(R1918,NOT(W1918=TRUE))</f>
        <v>0</v>
      </c>
      <c r="AF1918" s="1182" t="b">
        <f>AND(AE1918,NOT(Q1918))</f>
        <v>0</v>
      </c>
      <c r="AG1918" s="848"/>
      <c r="AH1918" s="848"/>
      <c r="AI1918" s="848"/>
      <c r="AJ1918" s="848"/>
      <c r="AK1918" s="848"/>
      <c r="AL1918" s="311" t="str">
        <f t="shared" ref="AL1918" si="660">SUBSTITUTE(SUBSTITUTE(SUBSTITUTE("vpa"&amp;$B1918&amp;$C1918&amp;$D1918&amp;$E1918&amp;$F1918,".","_"),"(","_"),")","")</f>
        <v>vpa1002_2_1</v>
      </c>
      <c r="AM1918" s="311" t="str">
        <f>M1918</f>
        <v>N/A</v>
      </c>
      <c r="AN1918" s="848"/>
      <c r="AO1918" s="848"/>
      <c r="AP1918" s="311" t="str">
        <f>SUBSTITUTE(SUBSTITUTE(SUBSTITUTE("vch"&amp;$B1918&amp;$C1918&amp;$D1918&amp;$E1918&amp;$F1918,".","_"),"(","_"),")","")</f>
        <v>vch1002_2_1</v>
      </c>
      <c r="AQ1918" s="311">
        <f>W1918</f>
        <v>0</v>
      </c>
      <c r="AR1918" s="311" t="str">
        <f>SUBSTITUTE(SUBSTITUTE(SUBSTITUTE("vnt"&amp;$B1918&amp;$C1918&amp;$D1918&amp;$E1918&amp;$F1918,".","_"),"(","_"),")","")</f>
        <v>vnt1002_2_1</v>
      </c>
      <c r="AS1918" s="311">
        <f>X1918</f>
        <v>0</v>
      </c>
      <c r="AT1918" s="848"/>
      <c r="AU1918" s="848"/>
      <c r="AV1918" s="848"/>
      <c r="AW1918" s="848"/>
      <c r="AX1918" s="848"/>
      <c r="AY1918" s="848"/>
      <c r="AZ1918" s="848"/>
      <c r="BA1918" s="848"/>
      <c r="BB1918" s="848"/>
      <c r="BC1918" s="848"/>
      <c r="BD1918" s="848"/>
      <c r="BE1918" s="848"/>
      <c r="BF1918" s="848"/>
      <c r="BG1918" s="848"/>
      <c r="BH1918" s="848"/>
      <c r="BJ1918" s="1184" t="s">
        <v>4763</v>
      </c>
    </row>
    <row r="1919" spans="1:62" x14ac:dyDescent="0.3">
      <c r="A1919" s="1200">
        <v>10</v>
      </c>
      <c r="B1919" s="1210">
        <v>1002.2</v>
      </c>
      <c r="C1919" s="1203"/>
      <c r="D1919" s="1203"/>
      <c r="E1919" s="1203" t="s">
        <v>271</v>
      </c>
      <c r="F1919" s="1203"/>
      <c r="G1919" s="1202" t="str">
        <f t="shared" si="659"/>
        <v/>
      </c>
      <c r="H1919" s="1200" t="s">
        <v>4388</v>
      </c>
      <c r="I1919" s="4"/>
      <c r="J1919" s="231"/>
      <c r="K1919" s="238"/>
      <c r="L1919" s="1306"/>
      <c r="M1919" s="1352" t="str">
        <f>IF(R1919,"Mandatory","N/A")</f>
        <v>N/A</v>
      </c>
      <c r="N1919" s="4"/>
      <c r="O1919" s="850"/>
      <c r="P1919" s="848"/>
      <c r="Q1919" s="848"/>
      <c r="R1919" s="848"/>
      <c r="S1919" s="848"/>
      <c r="T1919" s="848"/>
      <c r="U1919" s="848"/>
      <c r="V1919" s="848"/>
      <c r="W1919" s="848"/>
      <c r="X1919" s="1303"/>
      <c r="Y1919" s="1522"/>
      <c r="Z1919" s="1586"/>
      <c r="AB1919" s="848"/>
      <c r="AC1919" s="848"/>
      <c r="AD1919" s="848"/>
      <c r="AE1919" s="848"/>
      <c r="AF1919" s="848"/>
      <c r="AG1919" s="848"/>
      <c r="AH1919" s="848"/>
      <c r="AI1919" s="848"/>
      <c r="AJ1919" s="848"/>
      <c r="AK1919" s="848"/>
      <c r="AL1919" s="848"/>
      <c r="AM1919" s="848"/>
      <c r="AN1919" s="848"/>
      <c r="AO1919" s="848"/>
      <c r="AP1919" s="848"/>
      <c r="AQ1919" s="848"/>
      <c r="AR1919" s="848"/>
      <c r="AS1919" s="848"/>
      <c r="AT1919" s="848"/>
      <c r="AU1919" s="848"/>
      <c r="AV1919" s="848"/>
      <c r="AW1919" s="848"/>
      <c r="AX1919" s="848"/>
      <c r="AY1919" s="848"/>
      <c r="AZ1919" s="848"/>
      <c r="BA1919" s="848"/>
      <c r="BB1919" s="848"/>
      <c r="BC1919" s="848"/>
      <c r="BD1919" s="848"/>
      <c r="BE1919" s="848"/>
      <c r="BF1919" s="848"/>
      <c r="BG1919" s="848"/>
      <c r="BH1919" s="848"/>
      <c r="BJ1919" s="1184" t="s">
        <v>4763</v>
      </c>
    </row>
    <row r="1920" spans="1:62" x14ac:dyDescent="0.3">
      <c r="A1920" s="1200">
        <v>10</v>
      </c>
      <c r="B1920" s="1210">
        <v>1002.2</v>
      </c>
      <c r="C1920" s="1203"/>
      <c r="D1920" s="1203"/>
      <c r="E1920" s="1203" t="s">
        <v>273</v>
      </c>
      <c r="F1920" s="1203"/>
      <c r="G1920" s="1202" t="str">
        <f t="shared" si="659"/>
        <v/>
      </c>
      <c r="H1920" s="1200" t="s">
        <v>4388</v>
      </c>
      <c r="I1920" s="4"/>
      <c r="J1920" s="237" t="s">
        <v>273</v>
      </c>
      <c r="K1920" s="216"/>
      <c r="L1920" s="1356" t="s">
        <v>3554</v>
      </c>
      <c r="M1920" s="1388" t="str">
        <f>IF(R1920,"Mandatory","N/A")</f>
        <v>N/A</v>
      </c>
      <c r="N1920" s="4"/>
      <c r="O1920" s="850"/>
      <c r="P1920" s="848" t="b">
        <v>0</v>
      </c>
      <c r="Q1920" s="848" t="b">
        <v>1</v>
      </c>
      <c r="R1920" s="848" t="b">
        <f>S1920</f>
        <v>0</v>
      </c>
      <c r="S1920" s="848" t="b">
        <f>IF(AY1837=INDEX(ddSingleOrMulti,2),TRUE,FALSE)</f>
        <v>0</v>
      </c>
      <c r="T1920" s="97" t="b">
        <f>AND(NOT(S1920),W1920=TRUE)</f>
        <v>0</v>
      </c>
      <c r="U1920" s="848"/>
      <c r="V1920" s="848"/>
      <c r="W1920" s="25"/>
      <c r="X1920" s="1303"/>
      <c r="Y1920" s="1522" t="str">
        <f>IF(LEN('Ch10'!X102)=0,"None",'Ch10'!X102)</f>
        <v>None</v>
      </c>
      <c r="Z1920" s="1586"/>
      <c r="AB1920" s="848"/>
      <c r="AC1920" s="848" t="b">
        <f>OR(AD1920:AE1920)</f>
        <v>0</v>
      </c>
      <c r="AD1920" s="848" t="b">
        <f>T1920</f>
        <v>0</v>
      </c>
      <c r="AE1920" s="848" t="b">
        <f>AND(R1920,NOT(W1920=TRUE))</f>
        <v>0</v>
      </c>
      <c r="AF1920" s="1182" t="b">
        <f>AND(AE1920,NOT(Q1920))</f>
        <v>0</v>
      </c>
      <c r="AG1920" s="848"/>
      <c r="AH1920" s="848"/>
      <c r="AI1920" s="848"/>
      <c r="AJ1920" s="848"/>
      <c r="AK1920" s="848"/>
      <c r="AL1920" s="311" t="str">
        <f t="shared" ref="AL1920" si="661">SUBSTITUTE(SUBSTITUTE(SUBSTITUTE("vpa"&amp;$B1920&amp;$C1920&amp;$D1920&amp;$E1920&amp;$F1920,".","_"),"(","_"),")","")</f>
        <v>vpa1002_2_2</v>
      </c>
      <c r="AM1920" s="311" t="str">
        <f>M1920</f>
        <v>N/A</v>
      </c>
      <c r="AN1920" s="848"/>
      <c r="AO1920" s="848"/>
      <c r="AP1920" s="311" t="str">
        <f>SUBSTITUTE(SUBSTITUTE(SUBSTITUTE("vch"&amp;$B1920&amp;$C1920&amp;$D1920&amp;$E1920&amp;$F1920,".","_"),"(","_"),")","")</f>
        <v>vch1002_2_2</v>
      </c>
      <c r="AQ1920" s="311">
        <f>W1920</f>
        <v>0</v>
      </c>
      <c r="AR1920" s="311" t="str">
        <f>SUBSTITUTE(SUBSTITUTE(SUBSTITUTE("vnt"&amp;$B1920&amp;$C1920&amp;$D1920&amp;$E1920&amp;$F1920,".","_"),"(","_"),")","")</f>
        <v>vnt1002_2_2</v>
      </c>
      <c r="AS1920" s="311">
        <f>X1920</f>
        <v>0</v>
      </c>
      <c r="AT1920" s="848"/>
      <c r="AU1920" s="848"/>
      <c r="AV1920" s="848"/>
      <c r="AW1920" s="848"/>
      <c r="AX1920" s="848"/>
      <c r="AY1920" s="848"/>
      <c r="AZ1920" s="848"/>
      <c r="BA1920" s="848"/>
      <c r="BB1920" s="848"/>
      <c r="BC1920" s="848"/>
      <c r="BD1920" s="848"/>
      <c r="BE1920" s="848"/>
      <c r="BF1920" s="848"/>
      <c r="BG1920" s="848"/>
      <c r="BH1920" s="848"/>
      <c r="BJ1920" s="1184" t="s">
        <v>4763</v>
      </c>
    </row>
    <row r="1921" spans="1:62" x14ac:dyDescent="0.3">
      <c r="A1921" s="1200">
        <v>10</v>
      </c>
      <c r="B1921" s="1210">
        <v>1002.2</v>
      </c>
      <c r="C1921" s="1203"/>
      <c r="D1921" s="1203"/>
      <c r="E1921" s="1203" t="s">
        <v>273</v>
      </c>
      <c r="F1921" s="1203"/>
      <c r="G1921" s="1202" t="str">
        <f t="shared" si="659"/>
        <v/>
      </c>
      <c r="H1921" s="1200" t="s">
        <v>4388</v>
      </c>
      <c r="I1921" s="4"/>
      <c r="J1921" s="203"/>
      <c r="K1921" s="140"/>
      <c r="L1921" s="1305"/>
      <c r="M1921" s="1351" t="str">
        <f>IF(R1921,"Mandatory","N/A")</f>
        <v>N/A</v>
      </c>
      <c r="N1921" s="4"/>
      <c r="O1921" s="850"/>
      <c r="P1921" s="848"/>
      <c r="Q1921" s="848"/>
      <c r="R1921" s="848"/>
      <c r="S1921" s="848"/>
      <c r="T1921" s="848"/>
      <c r="U1921" s="848"/>
      <c r="V1921" s="848"/>
      <c r="W1921" s="848"/>
      <c r="X1921" s="1303"/>
      <c r="Y1921" s="1522"/>
      <c r="Z1921" s="1586"/>
      <c r="AB1921" s="848"/>
      <c r="AC1921" s="848"/>
      <c r="AD1921" s="848"/>
      <c r="AE1921" s="848"/>
      <c r="AF1921" s="848"/>
      <c r="AG1921" s="848"/>
      <c r="AH1921" s="848"/>
      <c r="AI1921" s="848"/>
      <c r="AJ1921" s="848"/>
      <c r="AK1921" s="848"/>
      <c r="AL1921" s="848"/>
      <c r="AM1921" s="848"/>
      <c r="AN1921" s="848"/>
      <c r="AO1921" s="848"/>
      <c r="AP1921" s="848"/>
      <c r="AQ1921" s="848"/>
      <c r="AR1921" s="848"/>
      <c r="AS1921" s="848"/>
      <c r="AT1921" s="848"/>
      <c r="AU1921" s="848"/>
      <c r="AV1921" s="848"/>
      <c r="AW1921" s="848"/>
      <c r="AX1921" s="848"/>
      <c r="AY1921" s="848"/>
      <c r="AZ1921" s="848"/>
      <c r="BA1921" s="848"/>
      <c r="BB1921" s="848"/>
      <c r="BC1921" s="848"/>
      <c r="BD1921" s="848"/>
      <c r="BE1921" s="848"/>
      <c r="BF1921" s="848"/>
      <c r="BG1921" s="848"/>
      <c r="BH1921" s="848"/>
      <c r="BJ1921" s="1184" t="s">
        <v>4763</v>
      </c>
    </row>
    <row r="1922" spans="1:62" x14ac:dyDescent="0.3">
      <c r="A1922" s="1200">
        <v>10</v>
      </c>
      <c r="B1922" s="1210">
        <v>1002.2</v>
      </c>
      <c r="C1922" s="1203"/>
      <c r="D1922" s="1203"/>
      <c r="E1922" s="1203" t="s">
        <v>273</v>
      </c>
      <c r="F1922" s="1203"/>
      <c r="G1922" s="1202" t="str">
        <f t="shared" si="659"/>
        <v/>
      </c>
      <c r="H1922" s="1200" t="s">
        <v>4388</v>
      </c>
      <c r="I1922" s="4"/>
      <c r="J1922" s="231"/>
      <c r="K1922" s="238"/>
      <c r="L1922" s="1306"/>
      <c r="M1922" s="1352" t="str">
        <f>IF(R1922,"Mandatory","N/A")</f>
        <v>N/A</v>
      </c>
      <c r="N1922" s="4"/>
      <c r="O1922" s="850"/>
      <c r="P1922" s="848"/>
      <c r="Q1922" s="848"/>
      <c r="R1922" s="848"/>
      <c r="S1922" s="848"/>
      <c r="T1922" s="848"/>
      <c r="U1922" s="848"/>
      <c r="V1922" s="848"/>
      <c r="W1922" s="848"/>
      <c r="X1922" s="1303"/>
      <c r="Y1922" s="1522"/>
      <c r="Z1922" s="1586"/>
      <c r="AB1922" s="848"/>
      <c r="AC1922" s="848"/>
      <c r="AD1922" s="848"/>
      <c r="AE1922" s="848"/>
      <c r="AF1922" s="848"/>
      <c r="AG1922" s="848"/>
      <c r="AH1922" s="848"/>
      <c r="AI1922" s="848"/>
      <c r="AJ1922" s="848"/>
      <c r="AK1922" s="848"/>
      <c r="AL1922" s="848"/>
      <c r="AM1922" s="848"/>
      <c r="AN1922" s="848"/>
      <c r="AO1922" s="848"/>
      <c r="AP1922" s="848"/>
      <c r="AQ1922" s="848"/>
      <c r="AR1922" s="848"/>
      <c r="AS1922" s="848"/>
      <c r="AT1922" s="848"/>
      <c r="AU1922" s="848"/>
      <c r="AV1922" s="848"/>
      <c r="AW1922" s="848"/>
      <c r="AX1922" s="848"/>
      <c r="AY1922" s="848"/>
      <c r="AZ1922" s="848"/>
      <c r="BA1922" s="848"/>
      <c r="BB1922" s="848"/>
      <c r="BC1922" s="848"/>
      <c r="BD1922" s="848"/>
      <c r="BE1922" s="848"/>
      <c r="BF1922" s="848"/>
      <c r="BG1922" s="848"/>
      <c r="BH1922" s="848"/>
      <c r="BJ1922" s="1184" t="s">
        <v>4763</v>
      </c>
    </row>
    <row r="1923" spans="1:62" x14ac:dyDescent="0.3">
      <c r="A1923" s="1200">
        <v>10</v>
      </c>
      <c r="B1923" s="1210">
        <v>1002.2</v>
      </c>
      <c r="C1923" s="1203"/>
      <c r="D1923" s="1203"/>
      <c r="E1923" s="1203" t="s">
        <v>275</v>
      </c>
      <c r="F1923" s="1203"/>
      <c r="G1923" s="1202" t="str">
        <f t="shared" si="659"/>
        <v/>
      </c>
      <c r="H1923" s="1200" t="s">
        <v>4388</v>
      </c>
      <c r="I1923" s="4"/>
      <c r="J1923" s="237" t="s">
        <v>275</v>
      </c>
      <c r="K1923" s="216"/>
      <c r="L1923" s="1356" t="s">
        <v>3523</v>
      </c>
      <c r="M1923" s="850"/>
      <c r="N1923" s="4"/>
      <c r="O1923" s="850"/>
      <c r="P1923" s="848" t="b">
        <v>0</v>
      </c>
      <c r="Q1923" s="848" t="b">
        <v>1</v>
      </c>
      <c r="R1923" s="848" t="b">
        <v>0</v>
      </c>
      <c r="S1923" s="848" t="b">
        <f>IF(AY1837=INDEX(ddSingleOrMulti,2),TRUE,FALSE)</f>
        <v>0</v>
      </c>
      <c r="T1923" s="97" t="b">
        <f>AND(NOT(S1923),W1923=TRUE)</f>
        <v>0</v>
      </c>
      <c r="U1923" s="848"/>
      <c r="V1923" s="848"/>
      <c r="W1923" s="25"/>
      <c r="X1923" s="1303"/>
      <c r="Y1923" s="1522" t="str">
        <f>IF(LEN('Ch10'!X105)=0,"None",'Ch10'!X105)</f>
        <v>None</v>
      </c>
      <c r="Z1923" s="1586"/>
      <c r="AB1923" s="848"/>
      <c r="AC1923" s="848" t="b">
        <f>OR(AD1923:AE1923)</f>
        <v>0</v>
      </c>
      <c r="AD1923" s="848" t="b">
        <f>T1923</f>
        <v>0</v>
      </c>
      <c r="AE1923" s="848"/>
      <c r="AF1923" s="848"/>
      <c r="AG1923" s="848"/>
      <c r="AH1923" s="848"/>
      <c r="AI1923" s="848"/>
      <c r="AJ1923" s="848"/>
      <c r="AK1923" s="848"/>
      <c r="AL1923" s="848"/>
      <c r="AM1923" s="848"/>
      <c r="AN1923" s="848"/>
      <c r="AO1923" s="848"/>
      <c r="AP1923" s="311" t="str">
        <f>SUBSTITUTE(SUBSTITUTE(SUBSTITUTE("vch"&amp;$B1923&amp;$C1923&amp;$D1923&amp;$E1923&amp;$F1923,".","_"),"(","_"),")","")</f>
        <v>vch1002_2_3</v>
      </c>
      <c r="AQ1923" s="311">
        <f>W1923</f>
        <v>0</v>
      </c>
      <c r="AR1923" s="311" t="str">
        <f>SUBSTITUTE(SUBSTITUTE(SUBSTITUTE("vnt"&amp;$B1923&amp;$C1923&amp;$D1923&amp;$E1923&amp;$F1923,".","_"),"(","_"),")","")</f>
        <v>vnt1002_2_3</v>
      </c>
      <c r="AS1923" s="311">
        <f>X1923</f>
        <v>0</v>
      </c>
      <c r="AT1923" s="848"/>
      <c r="AU1923" s="848"/>
      <c r="AV1923" s="848"/>
      <c r="AW1923" s="848"/>
      <c r="AX1923" s="848"/>
      <c r="AY1923" s="848"/>
      <c r="AZ1923" s="848"/>
      <c r="BA1923" s="848"/>
      <c r="BB1923" s="848"/>
      <c r="BC1923" s="848"/>
      <c r="BD1923" s="848"/>
      <c r="BE1923" s="848"/>
      <c r="BF1923" s="848"/>
      <c r="BG1923" s="848"/>
      <c r="BH1923" s="848"/>
      <c r="BJ1923" s="1184" t="s">
        <v>4763</v>
      </c>
    </row>
    <row r="1924" spans="1:62" x14ac:dyDescent="0.3">
      <c r="A1924" s="1200">
        <v>10</v>
      </c>
      <c r="B1924" s="1210">
        <v>1002.2</v>
      </c>
      <c r="C1924" s="1203"/>
      <c r="D1924" s="1203"/>
      <c r="E1924" s="1203" t="s">
        <v>275</v>
      </c>
      <c r="F1924" s="1203"/>
      <c r="G1924" s="1202" t="str">
        <f t="shared" si="659"/>
        <v/>
      </c>
      <c r="H1924" s="1200" t="s">
        <v>4388</v>
      </c>
      <c r="I1924" s="4"/>
      <c r="J1924" s="238"/>
      <c r="K1924" s="238"/>
      <c r="L1924" s="1306"/>
      <c r="M1924" s="850"/>
      <c r="N1924" s="4"/>
      <c r="O1924" s="850"/>
      <c r="P1924" s="848"/>
      <c r="Q1924" s="848"/>
      <c r="R1924" s="848"/>
      <c r="S1924" s="848"/>
      <c r="T1924" s="848"/>
      <c r="U1924" s="848"/>
      <c r="V1924" s="848"/>
      <c r="W1924" s="848"/>
      <c r="X1924" s="1303"/>
      <c r="Y1924" s="1522"/>
      <c r="Z1924" s="1586"/>
      <c r="AB1924" s="848"/>
      <c r="AC1924" s="848"/>
      <c r="AD1924" s="848"/>
      <c r="AE1924" s="848"/>
      <c r="AF1924" s="848"/>
      <c r="AG1924" s="848"/>
      <c r="AH1924" s="848"/>
      <c r="AI1924" s="848"/>
      <c r="AJ1924" s="848"/>
      <c r="AK1924" s="848"/>
      <c r="AL1924" s="848"/>
      <c r="AM1924" s="848"/>
      <c r="AN1924" s="848"/>
      <c r="AO1924" s="848"/>
      <c r="AP1924" s="848"/>
      <c r="AQ1924" s="848"/>
      <c r="AR1924" s="848"/>
      <c r="AS1924" s="848"/>
      <c r="AT1924" s="848"/>
      <c r="AU1924" s="848"/>
      <c r="AV1924" s="848"/>
      <c r="AW1924" s="848"/>
      <c r="AX1924" s="848"/>
      <c r="AY1924" s="848"/>
      <c r="AZ1924" s="848"/>
      <c r="BA1924" s="848"/>
      <c r="BB1924" s="848"/>
      <c r="BC1924" s="848"/>
      <c r="BD1924" s="848"/>
      <c r="BE1924" s="848"/>
      <c r="BF1924" s="848"/>
      <c r="BG1924" s="848"/>
      <c r="BH1924" s="848"/>
      <c r="BJ1924" s="1184" t="s">
        <v>4763</v>
      </c>
    </row>
    <row r="1925" spans="1:62" x14ac:dyDescent="0.3">
      <c r="A1925" s="1200">
        <v>10</v>
      </c>
      <c r="B1925" s="1210">
        <v>1002.2</v>
      </c>
      <c r="C1925" s="1203"/>
      <c r="D1925" s="1203"/>
      <c r="E1925" s="1203" t="s">
        <v>285</v>
      </c>
      <c r="F1925" s="1203"/>
      <c r="G1925" s="1202" t="str">
        <f t="shared" si="659"/>
        <v/>
      </c>
      <c r="H1925" s="1200" t="s">
        <v>4388</v>
      </c>
      <c r="I1925" s="4"/>
      <c r="J1925" s="27" t="s">
        <v>285</v>
      </c>
      <c r="K1925" s="4"/>
      <c r="L1925" s="1329" t="s">
        <v>3555</v>
      </c>
      <c r="M1925" s="850"/>
      <c r="N1925" s="4"/>
      <c r="O1925" s="850"/>
      <c r="P1925" s="848" t="b">
        <v>0</v>
      </c>
      <c r="Q1925" s="848" t="b">
        <v>1</v>
      </c>
      <c r="R1925" s="848" t="b">
        <v>0</v>
      </c>
      <c r="S1925" s="848" t="b">
        <f>IF(AY1837=INDEX(ddSingleOrMulti,2),TRUE,FALSE)</f>
        <v>0</v>
      </c>
      <c r="T1925" s="97" t="b">
        <f>AND(NOT(S1925),W1925=TRUE)</f>
        <v>0</v>
      </c>
      <c r="U1925" s="848"/>
      <c r="V1925" s="848"/>
      <c r="W1925" s="25"/>
      <c r="X1925" s="1303"/>
      <c r="Y1925" s="1522" t="str">
        <f>IF(LEN('Ch10'!X107)=0,"None",'Ch10'!X107)</f>
        <v>None</v>
      </c>
      <c r="Z1925" s="1586"/>
      <c r="AB1925" s="848"/>
      <c r="AC1925" s="848" t="b">
        <f>OR(AD1925:AE1925)</f>
        <v>0</v>
      </c>
      <c r="AD1925" s="848" t="b">
        <f>T1925</f>
        <v>0</v>
      </c>
      <c r="AE1925" s="848"/>
      <c r="AF1925" s="848"/>
      <c r="AG1925" s="848"/>
      <c r="AH1925" s="848"/>
      <c r="AI1925" s="848"/>
      <c r="AJ1925" s="848"/>
      <c r="AK1925" s="848"/>
      <c r="AL1925" s="848"/>
      <c r="AM1925" s="848"/>
      <c r="AN1925" s="848"/>
      <c r="AO1925" s="848"/>
      <c r="AP1925" s="311" t="str">
        <f>SUBSTITUTE(SUBSTITUTE(SUBSTITUTE("vch"&amp;$B1925&amp;$C1925&amp;$D1925&amp;$E1925&amp;$F1925,".","_"),"(","_"),")","")</f>
        <v>vch1002_2_4</v>
      </c>
      <c r="AQ1925" s="311">
        <f>W1925</f>
        <v>0</v>
      </c>
      <c r="AR1925" s="311" t="str">
        <f>SUBSTITUTE(SUBSTITUTE(SUBSTITUTE("vnt"&amp;$B1925&amp;$C1925&amp;$D1925&amp;$E1925&amp;$F1925,".","_"),"(","_"),")","")</f>
        <v>vnt1002_2_4</v>
      </c>
      <c r="AS1925" s="311">
        <f>X1925</f>
        <v>0</v>
      </c>
      <c r="AT1925" s="848"/>
      <c r="AU1925" s="848"/>
      <c r="AV1925" s="848"/>
      <c r="AW1925" s="848"/>
      <c r="AX1925" s="848"/>
      <c r="AY1925" s="848"/>
      <c r="AZ1925" s="848"/>
      <c r="BA1925" s="848"/>
      <c r="BB1925" s="848"/>
      <c r="BC1925" s="848"/>
      <c r="BD1925" s="848"/>
      <c r="BE1925" s="848"/>
      <c r="BF1925" s="848"/>
      <c r="BG1925" s="848"/>
      <c r="BH1925" s="848"/>
      <c r="BJ1925" s="1184" t="s">
        <v>4763</v>
      </c>
    </row>
    <row r="1926" spans="1:62" x14ac:dyDescent="0.3">
      <c r="A1926" s="1200">
        <v>10</v>
      </c>
      <c r="B1926" s="1210">
        <v>1002.2</v>
      </c>
      <c r="C1926" s="1203"/>
      <c r="D1926" s="1203"/>
      <c r="E1926" s="1203" t="s">
        <v>285</v>
      </c>
      <c r="F1926" s="1203"/>
      <c r="G1926" s="1202" t="str">
        <f t="shared" si="659"/>
        <v/>
      </c>
      <c r="H1926" s="1200" t="s">
        <v>4388</v>
      </c>
      <c r="I1926" s="4"/>
      <c r="J1926" s="4"/>
      <c r="K1926" s="4"/>
      <c r="L1926" s="1329"/>
      <c r="M1926" s="850"/>
      <c r="N1926" s="4"/>
      <c r="O1926" s="850"/>
      <c r="P1926" s="848"/>
      <c r="Q1926" s="848"/>
      <c r="R1926" s="848"/>
      <c r="S1926" s="848"/>
      <c r="T1926" s="848"/>
      <c r="U1926" s="848"/>
      <c r="V1926" s="848"/>
      <c r="W1926" s="848"/>
      <c r="X1926" s="1303"/>
      <c r="Y1926" s="1522"/>
      <c r="Z1926" s="1586"/>
      <c r="AB1926" s="848"/>
      <c r="AC1926" s="848"/>
      <c r="AD1926" s="848"/>
      <c r="AE1926" s="848"/>
      <c r="AF1926" s="848"/>
      <c r="AG1926" s="848"/>
      <c r="AH1926" s="848"/>
      <c r="AI1926" s="848"/>
      <c r="AJ1926" s="848"/>
      <c r="AK1926" s="848"/>
      <c r="AL1926" s="848"/>
      <c r="AM1926" s="848"/>
      <c r="AN1926" s="848"/>
      <c r="AO1926" s="848"/>
      <c r="AP1926" s="848"/>
      <c r="AQ1926" s="848"/>
      <c r="AR1926" s="848"/>
      <c r="AS1926" s="848"/>
      <c r="AT1926" s="848"/>
      <c r="AU1926" s="848"/>
      <c r="AV1926" s="848"/>
      <c r="AW1926" s="848"/>
      <c r="AX1926" s="848"/>
      <c r="AY1926" s="848"/>
      <c r="AZ1926" s="848"/>
      <c r="BA1926" s="848"/>
      <c r="BB1926" s="848"/>
      <c r="BC1926" s="848"/>
      <c r="BD1926" s="848"/>
      <c r="BE1926" s="848"/>
      <c r="BF1926" s="848"/>
      <c r="BG1926" s="848"/>
      <c r="BH1926" s="848"/>
      <c r="BJ1926" s="1184" t="s">
        <v>4763</v>
      </c>
    </row>
    <row r="1927" spans="1:62" x14ac:dyDescent="0.3">
      <c r="A1927" s="1200">
        <v>10</v>
      </c>
      <c r="B1927" s="1210">
        <v>1002.2</v>
      </c>
      <c r="C1927" s="1203"/>
      <c r="D1927" s="1203"/>
      <c r="E1927" s="1203" t="s">
        <v>285</v>
      </c>
      <c r="F1927" s="1203"/>
      <c r="G1927" s="1202" t="str">
        <f t="shared" si="659"/>
        <v/>
      </c>
      <c r="H1927" s="1200" t="s">
        <v>4388</v>
      </c>
      <c r="I1927" s="4"/>
      <c r="J1927" s="4"/>
      <c r="K1927" s="4"/>
      <c r="L1927" s="1329"/>
      <c r="M1927" s="850"/>
      <c r="N1927" s="4"/>
      <c r="O1927" s="850"/>
      <c r="P1927" s="848"/>
      <c r="Q1927" s="848"/>
      <c r="R1927" s="848"/>
      <c r="S1927" s="848"/>
      <c r="T1927" s="848"/>
      <c r="U1927" s="848"/>
      <c r="V1927" s="848"/>
      <c r="W1927" s="848"/>
      <c r="X1927" s="1303"/>
      <c r="Y1927" s="1522"/>
      <c r="Z1927" s="1586"/>
      <c r="AB1927" s="848"/>
      <c r="AC1927" s="848"/>
      <c r="AD1927" s="848"/>
      <c r="AE1927" s="848"/>
      <c r="AF1927" s="848"/>
      <c r="AG1927" s="848"/>
      <c r="AH1927" s="848"/>
      <c r="AI1927" s="848"/>
      <c r="AJ1927" s="848"/>
      <c r="AK1927" s="848"/>
      <c r="AL1927" s="848"/>
      <c r="AM1927" s="848"/>
      <c r="AN1927" s="848"/>
      <c r="AO1927" s="848"/>
      <c r="AP1927" s="848"/>
      <c r="AQ1927" s="848"/>
      <c r="AR1927" s="848"/>
      <c r="AS1927" s="848"/>
      <c r="AT1927" s="848"/>
      <c r="AU1927" s="848"/>
      <c r="AV1927" s="848"/>
      <c r="AW1927" s="848"/>
      <c r="AX1927" s="848"/>
      <c r="AY1927" s="848"/>
      <c r="AZ1927" s="848"/>
      <c r="BA1927" s="848"/>
      <c r="BB1927" s="848"/>
      <c r="BC1927" s="848"/>
      <c r="BD1927" s="848"/>
      <c r="BE1927" s="848"/>
      <c r="BF1927" s="848"/>
      <c r="BG1927" s="848"/>
      <c r="BH1927" s="848"/>
      <c r="BJ1927" s="1184" t="s">
        <v>4763</v>
      </c>
    </row>
    <row r="1928" spans="1:62" x14ac:dyDescent="0.3">
      <c r="A1928" s="1200">
        <v>10</v>
      </c>
      <c r="B1928" s="1210">
        <v>1002.2</v>
      </c>
      <c r="C1928" s="1203"/>
      <c r="D1928" s="1203"/>
      <c r="E1928" s="1203" t="s">
        <v>291</v>
      </c>
      <c r="F1928" s="1203"/>
      <c r="G1928" s="1202" t="str">
        <f t="shared" si="659"/>
        <v/>
      </c>
      <c r="H1928" s="1200" t="s">
        <v>4388</v>
      </c>
      <c r="I1928" s="4"/>
      <c r="J1928" s="237" t="s">
        <v>291</v>
      </c>
      <c r="K1928" s="216"/>
      <c r="L1928" s="1356" t="s">
        <v>3556</v>
      </c>
      <c r="M1928" s="850"/>
      <c r="N1928" s="4"/>
      <c r="O1928" s="850"/>
      <c r="P1928" s="848" t="b">
        <v>0</v>
      </c>
      <c r="Q1928" s="848" t="b">
        <v>1</v>
      </c>
      <c r="R1928" s="848" t="b">
        <v>0</v>
      </c>
      <c r="S1928" s="848" t="b">
        <f>IF(AY1837=INDEX(ddSingleOrMulti,2),TRUE,FALSE)</f>
        <v>0</v>
      </c>
      <c r="T1928" s="97" t="b">
        <f>AND(NOT(S1928),W1928=TRUE)</f>
        <v>0</v>
      </c>
      <c r="U1928" s="848"/>
      <c r="V1928" s="848"/>
      <c r="W1928" s="25"/>
      <c r="X1928" s="1303"/>
      <c r="Y1928" s="1522" t="str">
        <f>IF(LEN('Ch10'!X110)=0,"None",'Ch10'!X110)</f>
        <v>None</v>
      </c>
      <c r="Z1928" s="1586"/>
      <c r="AB1928" s="848"/>
      <c r="AC1928" s="848" t="b">
        <f>OR(AD1928:AE1928)</f>
        <v>0</v>
      </c>
      <c r="AD1928" s="848" t="b">
        <f>T1928</f>
        <v>0</v>
      </c>
      <c r="AE1928" s="848"/>
      <c r="AF1928" s="848"/>
      <c r="AG1928" s="848"/>
      <c r="AH1928" s="848"/>
      <c r="AI1928" s="848"/>
      <c r="AJ1928" s="848"/>
      <c r="AK1928" s="848"/>
      <c r="AL1928" s="848"/>
      <c r="AM1928" s="848"/>
      <c r="AN1928" s="848"/>
      <c r="AO1928" s="848"/>
      <c r="AP1928" s="311" t="str">
        <f>SUBSTITUTE(SUBSTITUTE(SUBSTITUTE("vch"&amp;$B1928&amp;$C1928&amp;$D1928&amp;$E1928&amp;$F1928,".","_"),"(","_"),")","")</f>
        <v>vch1002_2_5</v>
      </c>
      <c r="AQ1928" s="311">
        <f>W1928</f>
        <v>0</v>
      </c>
      <c r="AR1928" s="311" t="str">
        <f>SUBSTITUTE(SUBSTITUTE(SUBSTITUTE("vnt"&amp;$B1928&amp;$C1928&amp;$D1928&amp;$E1928&amp;$F1928,".","_"),"(","_"),")","")</f>
        <v>vnt1002_2_5</v>
      </c>
      <c r="AS1928" s="311">
        <f>X1928</f>
        <v>0</v>
      </c>
      <c r="AT1928" s="848"/>
      <c r="AU1928" s="848"/>
      <c r="AV1928" s="848"/>
      <c r="AW1928" s="848"/>
      <c r="AX1928" s="848"/>
      <c r="AY1928" s="848"/>
      <c r="AZ1928" s="848"/>
      <c r="BA1928" s="848"/>
      <c r="BB1928" s="848"/>
      <c r="BC1928" s="848"/>
      <c r="BD1928" s="848"/>
      <c r="BE1928" s="848"/>
      <c r="BF1928" s="848"/>
      <c r="BG1928" s="848"/>
      <c r="BH1928" s="848"/>
      <c r="BJ1928" s="1184" t="s">
        <v>4763</v>
      </c>
    </row>
    <row r="1929" spans="1:62" x14ac:dyDescent="0.3">
      <c r="A1929" s="1200">
        <v>10</v>
      </c>
      <c r="B1929" s="1210">
        <v>1002.2</v>
      </c>
      <c r="C1929" s="1203"/>
      <c r="D1929" s="1203"/>
      <c r="E1929" s="1203" t="s">
        <v>291</v>
      </c>
      <c r="F1929" s="1203"/>
      <c r="G1929" s="1202" t="str">
        <f t="shared" si="659"/>
        <v/>
      </c>
      <c r="H1929" s="1200" t="s">
        <v>4388</v>
      </c>
      <c r="I1929" s="4"/>
      <c r="J1929" s="231"/>
      <c r="K1929" s="238"/>
      <c r="L1929" s="1306"/>
      <c r="M1929" s="850"/>
      <c r="N1929" s="4"/>
      <c r="O1929" s="850"/>
      <c r="P1929" s="848"/>
      <c r="Q1929" s="848"/>
      <c r="R1929" s="848"/>
      <c r="S1929" s="848"/>
      <c r="T1929" s="848"/>
      <c r="U1929" s="848"/>
      <c r="V1929" s="848"/>
      <c r="W1929" s="848"/>
      <c r="X1929" s="1303"/>
      <c r="Y1929" s="1522"/>
      <c r="Z1929" s="1586"/>
      <c r="AB1929" s="848"/>
      <c r="AC1929" s="848"/>
      <c r="AD1929" s="848"/>
      <c r="AE1929" s="848"/>
      <c r="AF1929" s="848"/>
      <c r="AG1929" s="848"/>
      <c r="AH1929" s="848"/>
      <c r="AI1929" s="848"/>
      <c r="AJ1929" s="848"/>
      <c r="AK1929" s="848"/>
      <c r="AL1929" s="848"/>
      <c r="AM1929" s="848"/>
      <c r="AN1929" s="848"/>
      <c r="AO1929" s="848"/>
      <c r="AP1929" s="848"/>
      <c r="AQ1929" s="848"/>
      <c r="AR1929" s="848"/>
      <c r="AS1929" s="848"/>
      <c r="AT1929" s="848"/>
      <c r="AU1929" s="848"/>
      <c r="AV1929" s="848"/>
      <c r="AW1929" s="848"/>
      <c r="AX1929" s="848"/>
      <c r="AY1929" s="848"/>
      <c r="AZ1929" s="848"/>
      <c r="BA1929" s="848"/>
      <c r="BB1929" s="848"/>
      <c r="BC1929" s="848"/>
      <c r="BD1929" s="848"/>
      <c r="BE1929" s="848"/>
      <c r="BF1929" s="848"/>
      <c r="BG1929" s="848"/>
      <c r="BH1929" s="848"/>
      <c r="BJ1929" s="1184" t="s">
        <v>4763</v>
      </c>
    </row>
    <row r="1930" spans="1:62" x14ac:dyDescent="0.3">
      <c r="A1930" s="1200">
        <v>10</v>
      </c>
      <c r="B1930" s="1210">
        <v>1002.2</v>
      </c>
      <c r="C1930" s="1203"/>
      <c r="D1930" s="1203"/>
      <c r="E1930" s="1203" t="s">
        <v>293</v>
      </c>
      <c r="F1930" s="1203"/>
      <c r="G1930" s="1202" t="str">
        <f t="shared" si="659"/>
        <v/>
      </c>
      <c r="H1930" s="1200" t="s">
        <v>4388</v>
      </c>
      <c r="I1930" s="4"/>
      <c r="J1930" s="27" t="s">
        <v>293</v>
      </c>
      <c r="K1930" s="4"/>
      <c r="L1930" s="1074" t="s">
        <v>3506</v>
      </c>
      <c r="M1930" s="850"/>
      <c r="N1930" s="4"/>
      <c r="O1930" s="850"/>
      <c r="P1930" s="848" t="b">
        <v>0</v>
      </c>
      <c r="Q1930" s="848" t="b">
        <v>1</v>
      </c>
      <c r="R1930" s="848" t="b">
        <v>0</v>
      </c>
      <c r="S1930" s="848" t="b">
        <f>IF(AY1837=INDEX(ddSingleOrMulti,2),TRUE,FALSE)</f>
        <v>0</v>
      </c>
      <c r="T1930" s="97" t="b">
        <f>AND(NOT(S1930),W1930=TRUE)</f>
        <v>0</v>
      </c>
      <c r="U1930" s="848"/>
      <c r="V1930" s="848"/>
      <c r="W1930" s="25"/>
      <c r="X1930" s="851"/>
      <c r="Y1930" s="889" t="str">
        <f>IF(LEN('Ch10'!X112)=0,"None",'Ch10'!X112)</f>
        <v>None</v>
      </c>
      <c r="Z1930" s="1169"/>
      <c r="AB1930" s="848"/>
      <c r="AC1930" s="848" t="b">
        <f>OR(AD1930:AE1930)</f>
        <v>0</v>
      </c>
      <c r="AD1930" s="848" t="b">
        <f>T1930</f>
        <v>0</v>
      </c>
      <c r="AE1930" s="848"/>
      <c r="AF1930" s="848"/>
      <c r="AG1930" s="848"/>
      <c r="AH1930" s="848"/>
      <c r="AI1930" s="848"/>
      <c r="AJ1930" s="848"/>
      <c r="AK1930" s="848"/>
      <c r="AL1930" s="848"/>
      <c r="AM1930" s="848"/>
      <c r="AN1930" s="848"/>
      <c r="AO1930" s="848"/>
      <c r="AP1930" s="311" t="str">
        <f>SUBSTITUTE(SUBSTITUTE(SUBSTITUTE("vch"&amp;$B1930&amp;$C1930&amp;$D1930&amp;$E1930&amp;$F1930,".","_"),"(","_"),")","")</f>
        <v>vch1002_2_6</v>
      </c>
      <c r="AQ1930" s="311">
        <f>W1930</f>
        <v>0</v>
      </c>
      <c r="AR1930" s="311" t="str">
        <f t="shared" ref="AR1930:AR1931" si="662">SUBSTITUTE(SUBSTITUTE(SUBSTITUTE("vnt"&amp;$B1930&amp;$C1930&amp;$D1930&amp;$E1930&amp;$F1930,".","_"),"(","_"),")","")</f>
        <v>vnt1002_2_6</v>
      </c>
      <c r="AS1930" s="311">
        <f>X1930</f>
        <v>0</v>
      </c>
      <c r="AT1930" s="848"/>
      <c r="AU1930" s="848"/>
      <c r="AV1930" s="848"/>
      <c r="AW1930" s="848"/>
      <c r="AX1930" s="848"/>
      <c r="AY1930" s="848"/>
      <c r="AZ1930" s="848"/>
      <c r="BA1930" s="848"/>
      <c r="BB1930" s="848"/>
      <c r="BC1930" s="848"/>
      <c r="BD1930" s="848"/>
      <c r="BE1930" s="848"/>
      <c r="BF1930" s="848"/>
      <c r="BG1930" s="848"/>
      <c r="BH1930" s="848"/>
      <c r="BJ1930" s="1184" t="s">
        <v>4763</v>
      </c>
    </row>
    <row r="1931" spans="1:62" x14ac:dyDescent="0.3">
      <c r="A1931" s="1200">
        <v>10</v>
      </c>
      <c r="B1931" s="1210">
        <v>1002.2</v>
      </c>
      <c r="C1931" s="1203"/>
      <c r="D1931" s="1203"/>
      <c r="E1931" s="1203" t="s">
        <v>405</v>
      </c>
      <c r="F1931" s="1203"/>
      <c r="G1931" s="1202" t="str">
        <f t="shared" si="659"/>
        <v/>
      </c>
      <c r="H1931" s="1200" t="s">
        <v>4388</v>
      </c>
      <c r="I1931" s="4"/>
      <c r="J1931" s="237" t="s">
        <v>405</v>
      </c>
      <c r="K1931" s="216"/>
      <c r="L1931" s="1356" t="s">
        <v>3557</v>
      </c>
      <c r="M1931" s="850"/>
      <c r="N1931" s="4"/>
      <c r="O1931" s="850"/>
      <c r="P1931" s="848" t="b">
        <v>0</v>
      </c>
      <c r="Q1931" s="848" t="b">
        <v>1</v>
      </c>
      <c r="R1931" s="848" t="b">
        <v>0</v>
      </c>
      <c r="S1931" s="848" t="b">
        <f>IF(AY1837=INDEX(ddSingleOrMulti,2),TRUE,FALSE)</f>
        <v>0</v>
      </c>
      <c r="T1931" s="97" t="b">
        <f>AND(NOT(S1931),W1931=TRUE)</f>
        <v>0</v>
      </c>
      <c r="U1931" s="848"/>
      <c r="V1931" s="848"/>
      <c r="W1931" s="25"/>
      <c r="X1931" s="1303"/>
      <c r="Y1931" s="1522" t="str">
        <f>IF(LEN('Ch10'!X113)=0,"None",'Ch10'!X113)</f>
        <v>None</v>
      </c>
      <c r="Z1931" s="1586"/>
      <c r="AB1931" s="848"/>
      <c r="AC1931" s="848" t="b">
        <f>OR(AD1931:AE1931)</f>
        <v>0</v>
      </c>
      <c r="AD1931" s="848" t="b">
        <f>T1931</f>
        <v>0</v>
      </c>
      <c r="AE1931" s="848"/>
      <c r="AF1931" s="848"/>
      <c r="AG1931" s="848"/>
      <c r="AH1931" s="848"/>
      <c r="AI1931" s="848"/>
      <c r="AJ1931" s="848"/>
      <c r="AK1931" s="848"/>
      <c r="AL1931" s="848"/>
      <c r="AM1931" s="848"/>
      <c r="AN1931" s="848"/>
      <c r="AO1931" s="848"/>
      <c r="AP1931" s="311" t="str">
        <f>SUBSTITUTE(SUBSTITUTE(SUBSTITUTE("vch"&amp;$B1931&amp;$C1931&amp;$D1931&amp;$E1931&amp;$F1931,".","_"),"(","_"),")","")</f>
        <v>vch1002_2_7</v>
      </c>
      <c r="AQ1931" s="311">
        <f>W1931</f>
        <v>0</v>
      </c>
      <c r="AR1931" s="311" t="str">
        <f t="shared" si="662"/>
        <v>vnt1002_2_7</v>
      </c>
      <c r="AS1931" s="311">
        <f>X1931</f>
        <v>0</v>
      </c>
      <c r="AT1931" s="848"/>
      <c r="AU1931" s="848"/>
      <c r="AV1931" s="848"/>
      <c r="AW1931" s="848"/>
      <c r="AX1931" s="848"/>
      <c r="AY1931" s="848"/>
      <c r="AZ1931" s="848"/>
      <c r="BA1931" s="848"/>
      <c r="BB1931" s="848"/>
      <c r="BC1931" s="848"/>
      <c r="BD1931" s="848"/>
      <c r="BE1931" s="848"/>
      <c r="BF1931" s="848"/>
      <c r="BG1931" s="848"/>
      <c r="BH1931" s="848"/>
      <c r="BJ1931" s="1184" t="s">
        <v>4763</v>
      </c>
    </row>
    <row r="1932" spans="1:62" x14ac:dyDescent="0.3">
      <c r="A1932" s="1200">
        <v>10</v>
      </c>
      <c r="B1932" s="1210">
        <v>1002.2</v>
      </c>
      <c r="C1932" s="1203"/>
      <c r="D1932" s="1203"/>
      <c r="E1932" s="1203" t="s">
        <v>405</v>
      </c>
      <c r="F1932" s="1203"/>
      <c r="G1932" s="1202" t="str">
        <f t="shared" si="659"/>
        <v/>
      </c>
      <c r="H1932" s="1200" t="s">
        <v>4388</v>
      </c>
      <c r="I1932" s="4"/>
      <c r="J1932" s="238"/>
      <c r="K1932" s="238"/>
      <c r="L1932" s="1306"/>
      <c r="M1932" s="850"/>
      <c r="N1932" s="4"/>
      <c r="O1932" s="850"/>
      <c r="P1932" s="848"/>
      <c r="Q1932" s="848"/>
      <c r="R1932" s="848"/>
      <c r="S1932" s="848"/>
      <c r="T1932" s="848"/>
      <c r="U1932" s="848"/>
      <c r="V1932" s="848"/>
      <c r="W1932" s="848"/>
      <c r="X1932" s="1303"/>
      <c r="Y1932" s="1522"/>
      <c r="Z1932" s="1586"/>
      <c r="AB1932" s="848"/>
      <c r="AC1932" s="848"/>
      <c r="AD1932" s="848"/>
      <c r="AE1932" s="848"/>
      <c r="AF1932" s="848"/>
      <c r="AG1932" s="848"/>
      <c r="AH1932" s="848"/>
      <c r="AI1932" s="848"/>
      <c r="AJ1932" s="848"/>
      <c r="AK1932" s="848"/>
      <c r="AL1932" s="848"/>
      <c r="AM1932" s="848"/>
      <c r="AN1932" s="848"/>
      <c r="AO1932" s="848"/>
      <c r="AP1932" s="848"/>
      <c r="AQ1932" s="848"/>
      <c r="AR1932" s="848"/>
      <c r="AS1932" s="848"/>
      <c r="AT1932" s="848"/>
      <c r="AU1932" s="848"/>
      <c r="AV1932" s="848"/>
      <c r="AW1932" s="848"/>
      <c r="AX1932" s="848"/>
      <c r="AY1932" s="848"/>
      <c r="AZ1932" s="848"/>
      <c r="BA1932" s="848"/>
      <c r="BB1932" s="848"/>
      <c r="BC1932" s="848"/>
      <c r="BD1932" s="848"/>
      <c r="BE1932" s="848"/>
      <c r="BF1932" s="848"/>
      <c r="BG1932" s="848"/>
      <c r="BH1932" s="848"/>
      <c r="BJ1932" s="1184" t="s">
        <v>4763</v>
      </c>
    </row>
    <row r="1933" spans="1:62" x14ac:dyDescent="0.3">
      <c r="A1933" s="1200">
        <v>10</v>
      </c>
      <c r="B1933" s="1210">
        <v>1002.2</v>
      </c>
      <c r="C1933" s="1203"/>
      <c r="D1933" s="1203"/>
      <c r="E1933" s="1203" t="s">
        <v>456</v>
      </c>
      <c r="F1933" s="1203"/>
      <c r="G1933" s="1202" t="str">
        <f t="shared" si="659"/>
        <v/>
      </c>
      <c r="H1933" s="1200" t="s">
        <v>4388</v>
      </c>
      <c r="I1933" s="4"/>
      <c r="J1933" s="27" t="s">
        <v>456</v>
      </c>
      <c r="K1933" s="4"/>
      <c r="L1933" s="1367" t="s">
        <v>3521</v>
      </c>
      <c r="M1933" s="850"/>
      <c r="N1933" s="4"/>
      <c r="O1933" s="850"/>
      <c r="P1933" s="848" t="b">
        <v>0</v>
      </c>
      <c r="Q1933" s="848" t="b">
        <v>1</v>
      </c>
      <c r="R1933" s="848" t="b">
        <v>0</v>
      </c>
      <c r="S1933" s="848" t="b">
        <f>IF(AY1837=INDEX(ddSingleOrMulti,2),TRUE,FALSE)</f>
        <v>0</v>
      </c>
      <c r="T1933" s="97" t="b">
        <f>AND(NOT(S1933),W1933=TRUE)</f>
        <v>0</v>
      </c>
      <c r="U1933" s="848"/>
      <c r="V1933" s="848"/>
      <c r="W1933" s="25"/>
      <c r="X1933" s="1303"/>
      <c r="Y1933" s="1522" t="str">
        <f>IF(LEN('Ch10'!X115)=0,"None",'Ch10'!X115)</f>
        <v>None</v>
      </c>
      <c r="Z1933" s="1586"/>
      <c r="AB1933" s="848"/>
      <c r="AC1933" s="848" t="b">
        <f>OR(AD1933:AE1933)</f>
        <v>0</v>
      </c>
      <c r="AD1933" s="848" t="b">
        <f>T1933</f>
        <v>0</v>
      </c>
      <c r="AE1933" s="848"/>
      <c r="AF1933" s="848"/>
      <c r="AG1933" s="848"/>
      <c r="AH1933" s="848"/>
      <c r="AI1933" s="848"/>
      <c r="AJ1933" s="848"/>
      <c r="AK1933" s="848"/>
      <c r="AL1933" s="848"/>
      <c r="AM1933" s="848"/>
      <c r="AN1933" s="848"/>
      <c r="AO1933" s="848"/>
      <c r="AP1933" s="311" t="str">
        <f>SUBSTITUTE(SUBSTITUTE(SUBSTITUTE("vch"&amp;$B1933&amp;$C1933&amp;$D1933&amp;$E1933&amp;$F1933,".","_"),"(","_"),")","")</f>
        <v>vch1002_2_8</v>
      </c>
      <c r="AQ1933" s="311">
        <f>W1933</f>
        <v>0</v>
      </c>
      <c r="AR1933" s="311" t="str">
        <f>SUBSTITUTE(SUBSTITUTE(SUBSTITUTE("vnt"&amp;$B1933&amp;$C1933&amp;$D1933&amp;$E1933&amp;$F1933,".","_"),"(","_"),")","")</f>
        <v>vnt1002_2_8</v>
      </c>
      <c r="AS1933" s="311">
        <f>X1933</f>
        <v>0</v>
      </c>
      <c r="AT1933" s="848"/>
      <c r="AU1933" s="848"/>
      <c r="AV1933" s="848"/>
      <c r="AW1933" s="848"/>
      <c r="AX1933" s="848"/>
      <c r="AY1933" s="848"/>
      <c r="AZ1933" s="848"/>
      <c r="BA1933" s="848"/>
      <c r="BB1933" s="848"/>
      <c r="BC1933" s="848"/>
      <c r="BD1933" s="848"/>
      <c r="BE1933" s="848"/>
      <c r="BF1933" s="848"/>
      <c r="BG1933" s="848"/>
      <c r="BH1933" s="848"/>
      <c r="BJ1933" s="1184" t="s">
        <v>4763</v>
      </c>
    </row>
    <row r="1934" spans="1:62" x14ac:dyDescent="0.3">
      <c r="A1934" s="1200">
        <v>10</v>
      </c>
      <c r="B1934" s="1210">
        <v>1002.2</v>
      </c>
      <c r="C1934" s="1203"/>
      <c r="D1934" s="1203"/>
      <c r="E1934" s="1203" t="s">
        <v>456</v>
      </c>
      <c r="F1934" s="1203"/>
      <c r="G1934" s="1202" t="str">
        <f t="shared" si="659"/>
        <v/>
      </c>
      <c r="H1934" s="1200" t="s">
        <v>4388</v>
      </c>
      <c r="I1934" s="4"/>
      <c r="J1934" s="27"/>
      <c r="K1934" s="4"/>
      <c r="L1934" s="1367"/>
      <c r="M1934" s="850"/>
      <c r="N1934" s="4"/>
      <c r="O1934" s="850"/>
      <c r="P1934" s="848"/>
      <c r="Q1934" s="848"/>
      <c r="R1934" s="848"/>
      <c r="S1934" s="848"/>
      <c r="T1934" s="848"/>
      <c r="U1934" s="848"/>
      <c r="V1934" s="848"/>
      <c r="W1934" s="848"/>
      <c r="X1934" s="1303"/>
      <c r="Y1934" s="1522"/>
      <c r="Z1934" s="1586"/>
      <c r="AB1934" s="848"/>
      <c r="AC1934" s="848"/>
      <c r="AD1934" s="848"/>
      <c r="AE1934" s="848"/>
      <c r="AF1934" s="848"/>
      <c r="AG1934" s="848"/>
      <c r="AH1934" s="848"/>
      <c r="AI1934" s="848"/>
      <c r="AJ1934" s="848"/>
      <c r="AK1934" s="848"/>
      <c r="AL1934" s="848"/>
      <c r="AM1934" s="848"/>
      <c r="AN1934" s="848"/>
      <c r="AO1934" s="848"/>
      <c r="AP1934" s="848"/>
      <c r="AQ1934" s="848"/>
      <c r="AR1934" s="848"/>
      <c r="AS1934" s="848"/>
      <c r="AT1934" s="848"/>
      <c r="AU1934" s="848"/>
      <c r="AV1934" s="848"/>
      <c r="AW1934" s="848"/>
      <c r="AX1934" s="848"/>
      <c r="AY1934" s="848"/>
      <c r="AZ1934" s="848"/>
      <c r="BA1934" s="848"/>
      <c r="BB1934" s="848"/>
      <c r="BC1934" s="848"/>
      <c r="BD1934" s="848"/>
      <c r="BE1934" s="848"/>
      <c r="BF1934" s="848"/>
      <c r="BG1934" s="848"/>
      <c r="BH1934" s="848"/>
      <c r="BJ1934" s="1184" t="s">
        <v>4763</v>
      </c>
    </row>
    <row r="1935" spans="1:62" x14ac:dyDescent="0.3">
      <c r="A1935" s="1200">
        <v>10</v>
      </c>
      <c r="B1935" s="1210">
        <v>1002.2</v>
      </c>
      <c r="C1935" s="1203"/>
      <c r="D1935" s="1203"/>
      <c r="E1935" s="1203" t="s">
        <v>458</v>
      </c>
      <c r="F1935" s="1203"/>
      <c r="G1935" s="1202" t="str">
        <f t="shared" si="659"/>
        <v/>
      </c>
      <c r="H1935" s="1200" t="s">
        <v>4388</v>
      </c>
      <c r="I1935" s="4"/>
      <c r="J1935" s="237" t="s">
        <v>458</v>
      </c>
      <c r="K1935" s="216"/>
      <c r="L1935" s="1073" t="s">
        <v>3558</v>
      </c>
      <c r="M1935" s="850"/>
      <c r="N1935" s="4"/>
      <c r="O1935" s="850"/>
      <c r="P1935" s="848" t="b">
        <v>0</v>
      </c>
      <c r="Q1935" s="848" t="b">
        <v>1</v>
      </c>
      <c r="R1935" s="848" t="b">
        <v>0</v>
      </c>
      <c r="S1935" s="848" t="b">
        <f>IF(AY1837=INDEX(ddSingleOrMulti,2),TRUE,FALSE)</f>
        <v>0</v>
      </c>
      <c r="T1935" s="97" t="b">
        <f>AND(NOT(S1935),W1935=TRUE)</f>
        <v>0</v>
      </c>
      <c r="U1935" s="848"/>
      <c r="V1935" s="848"/>
      <c r="W1935" s="25"/>
      <c r="X1935" s="851"/>
      <c r="Y1935" s="889" t="str">
        <f>IF(LEN('Ch10'!X117)=0,"None",'Ch10'!X117)</f>
        <v>None</v>
      </c>
      <c r="Z1935" s="1169"/>
      <c r="AB1935" s="848"/>
      <c r="AC1935" s="848" t="b">
        <f>OR(AD1935:AE1935)</f>
        <v>0</v>
      </c>
      <c r="AD1935" s="848" t="b">
        <f>T1935</f>
        <v>0</v>
      </c>
      <c r="AE1935" s="848"/>
      <c r="AF1935" s="848"/>
      <c r="AG1935" s="848"/>
      <c r="AH1935" s="848"/>
      <c r="AI1935" s="848"/>
      <c r="AJ1935" s="848"/>
      <c r="AK1935" s="848"/>
      <c r="AL1935" s="848"/>
      <c r="AM1935" s="848"/>
      <c r="AN1935" s="848"/>
      <c r="AO1935" s="848"/>
      <c r="AP1935" s="311" t="str">
        <f>SUBSTITUTE(SUBSTITUTE(SUBSTITUTE("vch"&amp;$B1935&amp;$C1935&amp;$D1935&amp;$E1935&amp;$F1935,".","_"),"(","_"),")","")</f>
        <v>vch1002_2_9</v>
      </c>
      <c r="AQ1935" s="311">
        <f>W1935</f>
        <v>0</v>
      </c>
      <c r="AR1935" s="311" t="str">
        <f t="shared" ref="AR1935:AR1936" si="663">SUBSTITUTE(SUBSTITUTE(SUBSTITUTE("vnt"&amp;$B1935&amp;$C1935&amp;$D1935&amp;$E1935&amp;$F1935,".","_"),"(","_"),")","")</f>
        <v>vnt1002_2_9</v>
      </c>
      <c r="AS1935" s="311">
        <f>X1935</f>
        <v>0</v>
      </c>
      <c r="AT1935" s="848"/>
      <c r="AU1935" s="848"/>
      <c r="AV1935" s="848"/>
      <c r="AW1935" s="848"/>
      <c r="AX1935" s="848"/>
      <c r="AY1935" s="848"/>
      <c r="AZ1935" s="848"/>
      <c r="BA1935" s="848"/>
      <c r="BB1935" s="848"/>
      <c r="BC1935" s="848"/>
      <c r="BD1935" s="848"/>
      <c r="BE1935" s="848"/>
      <c r="BF1935" s="848"/>
      <c r="BG1935" s="848"/>
      <c r="BH1935" s="848"/>
      <c r="BJ1935" s="1184" t="s">
        <v>4763</v>
      </c>
    </row>
    <row r="1936" spans="1:62" x14ac:dyDescent="0.3">
      <c r="A1936" s="1200">
        <v>10</v>
      </c>
      <c r="B1936" s="1210">
        <v>1002.2</v>
      </c>
      <c r="C1936" s="1203"/>
      <c r="D1936" s="1203"/>
      <c r="E1936" s="1203" t="s">
        <v>460</v>
      </c>
      <c r="F1936" s="1203"/>
      <c r="G1936" s="1202" t="str">
        <f t="shared" si="659"/>
        <v/>
      </c>
      <c r="H1936" s="1200" t="s">
        <v>4388</v>
      </c>
      <c r="I1936" s="4"/>
      <c r="J1936" s="237" t="s">
        <v>460</v>
      </c>
      <c r="K1936" s="216"/>
      <c r="L1936" s="1356" t="s">
        <v>3559</v>
      </c>
      <c r="M1936" s="850"/>
      <c r="N1936" s="4"/>
      <c r="O1936" s="850"/>
      <c r="P1936" s="848" t="b">
        <v>0</v>
      </c>
      <c r="Q1936" s="848" t="b">
        <v>1</v>
      </c>
      <c r="R1936" s="848" t="b">
        <v>0</v>
      </c>
      <c r="S1936" s="848" t="b">
        <f>IF(AY1837=INDEX(ddSingleOrMulti,2),TRUE,FALSE)</f>
        <v>0</v>
      </c>
      <c r="T1936" s="97" t="b">
        <f>AND(NOT(S1936),W1936=TRUE)</f>
        <v>0</v>
      </c>
      <c r="U1936" s="848"/>
      <c r="V1936" s="848"/>
      <c r="W1936" s="25"/>
      <c r="X1936" s="1303"/>
      <c r="Y1936" s="1522" t="str">
        <f>IF(LEN('Ch10'!X118)=0,"None",'Ch10'!X118)</f>
        <v>None</v>
      </c>
      <c r="Z1936" s="1586"/>
      <c r="AB1936" s="848"/>
      <c r="AC1936" s="848" t="b">
        <f>OR(AD1936:AE1936)</f>
        <v>0</v>
      </c>
      <c r="AD1936" s="848" t="b">
        <f>T1936</f>
        <v>0</v>
      </c>
      <c r="AE1936" s="848"/>
      <c r="AF1936" s="848"/>
      <c r="AG1936" s="848"/>
      <c r="AH1936" s="848"/>
      <c r="AI1936" s="848"/>
      <c r="AJ1936" s="848"/>
      <c r="AK1936" s="848"/>
      <c r="AL1936" s="848"/>
      <c r="AM1936" s="848"/>
      <c r="AN1936" s="848"/>
      <c r="AO1936" s="848"/>
      <c r="AP1936" s="311" t="str">
        <f>SUBSTITUTE(SUBSTITUTE(SUBSTITUTE("vch"&amp;$B1936&amp;$C1936&amp;$D1936&amp;$E1936&amp;$F1936,".","_"),"(","_"),")","")</f>
        <v>vch1002_2_10</v>
      </c>
      <c r="AQ1936" s="311">
        <f>W1936</f>
        <v>0</v>
      </c>
      <c r="AR1936" s="311" t="str">
        <f t="shared" si="663"/>
        <v>vnt1002_2_10</v>
      </c>
      <c r="AS1936" s="311">
        <f>X1936</f>
        <v>0</v>
      </c>
      <c r="AT1936" s="848"/>
      <c r="AU1936" s="848"/>
      <c r="AV1936" s="848"/>
      <c r="AW1936" s="848"/>
      <c r="AX1936" s="848"/>
      <c r="AY1936" s="848"/>
      <c r="AZ1936" s="848"/>
      <c r="BA1936" s="848"/>
      <c r="BB1936" s="848"/>
      <c r="BC1936" s="848"/>
      <c r="BD1936" s="848"/>
      <c r="BE1936" s="848"/>
      <c r="BF1936" s="848"/>
      <c r="BG1936" s="848"/>
      <c r="BH1936" s="848"/>
      <c r="BJ1936" s="1184" t="s">
        <v>4763</v>
      </c>
    </row>
    <row r="1937" spans="1:62" x14ac:dyDescent="0.3">
      <c r="A1937" s="1200">
        <v>10</v>
      </c>
      <c r="B1937" s="1210">
        <v>1002.2</v>
      </c>
      <c r="C1937" s="1203"/>
      <c r="D1937" s="1203"/>
      <c r="E1937" s="1203" t="s">
        <v>460</v>
      </c>
      <c r="F1937" s="1203"/>
      <c r="G1937" s="1202" t="str">
        <f t="shared" si="659"/>
        <v/>
      </c>
      <c r="H1937" s="1200" t="s">
        <v>4388</v>
      </c>
      <c r="I1937" s="4"/>
      <c r="J1937" s="203"/>
      <c r="K1937" s="140"/>
      <c r="L1937" s="1305"/>
      <c r="M1937" s="850"/>
      <c r="N1937" s="4"/>
      <c r="O1937" s="850"/>
      <c r="P1937" s="848"/>
      <c r="Q1937" s="848"/>
      <c r="R1937" s="848"/>
      <c r="S1937" s="848"/>
      <c r="T1937" s="848"/>
      <c r="U1937" s="848"/>
      <c r="V1937" s="848"/>
      <c r="W1937" s="848"/>
      <c r="X1937" s="1303"/>
      <c r="Y1937" s="1522"/>
      <c r="Z1937" s="1586"/>
      <c r="AB1937" s="848"/>
      <c r="AC1937" s="848"/>
      <c r="AD1937" s="848"/>
      <c r="AE1937" s="848"/>
      <c r="AF1937" s="848"/>
      <c r="AG1937" s="848"/>
      <c r="AH1937" s="848"/>
      <c r="AI1937" s="848"/>
      <c r="AJ1937" s="848"/>
      <c r="AK1937" s="848"/>
      <c r="AL1937" s="848"/>
      <c r="AM1937" s="848"/>
      <c r="AN1937" s="848"/>
      <c r="AO1937" s="848"/>
      <c r="AP1937" s="848"/>
      <c r="AQ1937" s="848"/>
      <c r="AR1937" s="848"/>
      <c r="AS1937" s="848"/>
      <c r="AT1937" s="848"/>
      <c r="AU1937" s="848"/>
      <c r="AV1937" s="848"/>
      <c r="AW1937" s="848"/>
      <c r="AX1937" s="848"/>
      <c r="AY1937" s="848"/>
      <c r="AZ1937" s="848"/>
      <c r="BA1937" s="848"/>
      <c r="BB1937" s="848"/>
      <c r="BC1937" s="848"/>
      <c r="BD1937" s="848"/>
      <c r="BE1937" s="848"/>
      <c r="BF1937" s="848"/>
      <c r="BG1937" s="848"/>
      <c r="BH1937" s="848"/>
      <c r="BJ1937" s="1184" t="s">
        <v>4763</v>
      </c>
    </row>
    <row r="1938" spans="1:62" x14ac:dyDescent="0.3">
      <c r="A1938" s="1200">
        <v>10</v>
      </c>
      <c r="B1938" s="1210">
        <v>1002.2</v>
      </c>
      <c r="C1938" s="1203"/>
      <c r="D1938" s="1203"/>
      <c r="E1938" s="1203" t="s">
        <v>460</v>
      </c>
      <c r="F1938" s="1203"/>
      <c r="G1938" s="1202" t="str">
        <f t="shared" si="659"/>
        <v/>
      </c>
      <c r="H1938" s="1200" t="s">
        <v>4388</v>
      </c>
      <c r="I1938" s="4"/>
      <c r="J1938" s="231"/>
      <c r="K1938" s="238"/>
      <c r="L1938" s="1306"/>
      <c r="M1938" s="850"/>
      <c r="N1938" s="4"/>
      <c r="O1938" s="850"/>
      <c r="P1938" s="848"/>
      <c r="Q1938" s="848"/>
      <c r="R1938" s="848"/>
      <c r="S1938" s="848"/>
      <c r="T1938" s="848"/>
      <c r="U1938" s="848"/>
      <c r="V1938" s="848"/>
      <c r="W1938" s="848"/>
      <c r="X1938" s="1303"/>
      <c r="Y1938" s="1522"/>
      <c r="Z1938" s="1586"/>
      <c r="AB1938" s="848"/>
      <c r="AC1938" s="848"/>
      <c r="AD1938" s="848"/>
      <c r="AE1938" s="848"/>
      <c r="AF1938" s="848"/>
      <c r="AG1938" s="848"/>
      <c r="AH1938" s="848"/>
      <c r="AI1938" s="848"/>
      <c r="AJ1938" s="848"/>
      <c r="AK1938" s="848"/>
      <c r="AL1938" s="848"/>
      <c r="AM1938" s="848"/>
      <c r="AN1938" s="848"/>
      <c r="AO1938" s="848"/>
      <c r="AP1938" s="848"/>
      <c r="AQ1938" s="848"/>
      <c r="AR1938" s="848"/>
      <c r="AS1938" s="848"/>
      <c r="AT1938" s="848"/>
      <c r="AU1938" s="848"/>
      <c r="AV1938" s="848"/>
      <c r="AW1938" s="848"/>
      <c r="AX1938" s="848"/>
      <c r="AY1938" s="848"/>
      <c r="AZ1938" s="848"/>
      <c r="BA1938" s="848"/>
      <c r="BB1938" s="848"/>
      <c r="BC1938" s="848"/>
      <c r="BD1938" s="848"/>
      <c r="BE1938" s="848"/>
      <c r="BF1938" s="848"/>
      <c r="BG1938" s="848"/>
      <c r="BH1938" s="848"/>
      <c r="BJ1938" s="1184" t="s">
        <v>4763</v>
      </c>
    </row>
    <row r="1939" spans="1:62" x14ac:dyDescent="0.3">
      <c r="A1939" s="1200">
        <v>10</v>
      </c>
      <c r="B1939" s="1210">
        <v>1002.2</v>
      </c>
      <c r="C1939" s="1203"/>
      <c r="D1939" s="1203"/>
      <c r="E1939" s="1203" t="s">
        <v>462</v>
      </c>
      <c r="F1939" s="1203"/>
      <c r="G1939" s="1202" t="str">
        <f t="shared" si="659"/>
        <v/>
      </c>
      <c r="H1939" s="1200" t="s">
        <v>4388</v>
      </c>
      <c r="I1939" s="140"/>
      <c r="J1939" s="203" t="s">
        <v>462</v>
      </c>
      <c r="K1939" s="140"/>
      <c r="L1939" s="1293" t="s">
        <v>3560</v>
      </c>
      <c r="M1939" s="1353" t="str">
        <f ca="1">IF(R1939,"Mandatory per 902.2.1","N/A")</f>
        <v>N/A</v>
      </c>
      <c r="N1939" s="140"/>
      <c r="O1939" s="854"/>
      <c r="P1939" s="848" t="b">
        <v>0</v>
      </c>
      <c r="Q1939" s="848" t="b">
        <v>1</v>
      </c>
      <c r="R1939" s="1" t="b">
        <f ca="1">AND(S1939,OR($O$1758&gt;0,$R$1758))</f>
        <v>0</v>
      </c>
      <c r="S1939" s="97" t="b">
        <f>IF(AY1837=INDEX(ddSingleOrMulti,2),TRUE,FALSE)</f>
        <v>0</v>
      </c>
      <c r="T1939" s="97" t="b">
        <f>AND(NOT(S1939),W1939=TRUE)</f>
        <v>0</v>
      </c>
      <c r="U1939" s="97"/>
      <c r="V1939" s="97"/>
      <c r="W1939" s="25"/>
      <c r="X1939" s="1295"/>
      <c r="Y1939" s="1523" t="str">
        <f>IF(LEN('Ch10'!X121)=0,"None",'Ch10'!X121)</f>
        <v>None</v>
      </c>
      <c r="Z1939" s="1583"/>
      <c r="AB1939" s="848"/>
      <c r="AC1939" s="848" t="b">
        <f ca="1">OR(AD1939:AE1939)</f>
        <v>0</v>
      </c>
      <c r="AD1939" s="848" t="b">
        <f>T1939</f>
        <v>0</v>
      </c>
      <c r="AE1939" s="1068" t="b">
        <f ca="1">AND(R1939,NOT(W1939=TRUE))</f>
        <v>0</v>
      </c>
      <c r="AF1939" s="1182" t="b">
        <f ca="1">AND(AE1939,NOT(Q1939))</f>
        <v>0</v>
      </c>
      <c r="AG1939" s="848"/>
      <c r="AH1939" s="848"/>
      <c r="AI1939" s="848"/>
      <c r="AJ1939" s="848"/>
      <c r="AK1939" s="848"/>
      <c r="AL1939" s="848"/>
      <c r="AM1939" s="848"/>
      <c r="AN1939" s="848"/>
      <c r="AO1939" s="848"/>
      <c r="AP1939" s="311" t="str">
        <f>SUBSTITUTE(SUBSTITUTE(SUBSTITUTE("vch"&amp;$B1939&amp;$C1939&amp;$D1939&amp;$E1939&amp;$F1939,".","_"),"(","_"),")","")</f>
        <v>vch1002_2_11</v>
      </c>
      <c r="AQ1939" s="311">
        <f>W1939</f>
        <v>0</v>
      </c>
      <c r="AR1939" s="311" t="str">
        <f>SUBSTITUTE(SUBSTITUTE(SUBSTITUTE("vnt"&amp;$B1939&amp;$C1939&amp;$D1939&amp;$E1939&amp;$F1939,".","_"),"(","_"),")","")</f>
        <v>vnt1002_2_11</v>
      </c>
      <c r="AS1939" s="311">
        <f>X1939</f>
        <v>0</v>
      </c>
      <c r="AT1939" s="848"/>
      <c r="AU1939" s="848"/>
      <c r="AV1939" s="848"/>
      <c r="AW1939" s="848"/>
      <c r="AX1939" s="848"/>
      <c r="AY1939" s="848"/>
      <c r="AZ1939" s="848"/>
      <c r="BA1939" s="848"/>
      <c r="BB1939" s="848"/>
      <c r="BC1939" s="848"/>
      <c r="BD1939" s="848"/>
      <c r="BE1939" s="848"/>
      <c r="BF1939" s="848"/>
      <c r="BG1939" s="848"/>
      <c r="BH1939" s="848"/>
      <c r="BJ1939" s="1184" t="s">
        <v>4763</v>
      </c>
    </row>
    <row r="1940" spans="1:62" ht="15" thickBot="1" x14ac:dyDescent="0.35">
      <c r="A1940" s="1200">
        <v>10</v>
      </c>
      <c r="B1940" s="1210">
        <v>1002.2</v>
      </c>
      <c r="C1940" s="1203"/>
      <c r="D1940" s="1203"/>
      <c r="E1940" s="1203" t="s">
        <v>462</v>
      </c>
      <c r="F1940" s="1203"/>
      <c r="G1940" s="1202" t="str">
        <f t="shared" si="659"/>
        <v/>
      </c>
      <c r="H1940" s="1200" t="s">
        <v>4388</v>
      </c>
      <c r="I1940" s="270"/>
      <c r="J1940" s="213"/>
      <c r="K1940" s="270"/>
      <c r="L1940" s="1348"/>
      <c r="M1940" s="1437"/>
      <c r="N1940" s="270"/>
      <c r="O1940" s="858"/>
      <c r="P1940" s="104"/>
      <c r="Q1940" s="104"/>
      <c r="R1940" s="104"/>
      <c r="S1940" s="104"/>
      <c r="T1940" s="104"/>
      <c r="U1940" s="104"/>
      <c r="V1940" s="104"/>
      <c r="W1940" s="104"/>
      <c r="X1940" s="1296"/>
      <c r="Y1940" s="1524"/>
      <c r="Z1940" s="1584"/>
      <c r="AB1940" s="848"/>
      <c r="AC1940" s="848"/>
      <c r="AD1940" s="848"/>
      <c r="AE1940" s="848"/>
      <c r="AF1940" s="848"/>
      <c r="AG1940" s="848"/>
      <c r="AH1940" s="848"/>
      <c r="AI1940" s="848"/>
      <c r="AJ1940" s="848"/>
      <c r="AK1940" s="848"/>
      <c r="AL1940" s="848"/>
      <c r="AM1940" s="848"/>
      <c r="AN1940" s="848"/>
      <c r="AO1940" s="848"/>
      <c r="AP1940" s="848"/>
      <c r="AQ1940" s="848"/>
      <c r="AR1940" s="848"/>
      <c r="AS1940" s="848"/>
      <c r="AT1940" s="848"/>
      <c r="AU1940" s="848"/>
      <c r="AV1940" s="848"/>
      <c r="AW1940" s="848"/>
      <c r="AX1940" s="848"/>
      <c r="AY1940" s="848"/>
      <c r="AZ1940" s="848"/>
      <c r="BA1940" s="848"/>
      <c r="BB1940" s="848"/>
      <c r="BC1940" s="848"/>
      <c r="BD1940" s="848"/>
      <c r="BE1940" s="848"/>
      <c r="BF1940" s="848"/>
      <c r="BG1940" s="848"/>
      <c r="BH1940" s="848"/>
      <c r="BJ1940" s="1184" t="s">
        <v>4763</v>
      </c>
    </row>
    <row r="1941" spans="1:62" ht="15" thickTop="1" x14ac:dyDescent="0.3">
      <c r="A1941" s="1200">
        <v>10</v>
      </c>
      <c r="B1941" s="1210">
        <v>1002.3</v>
      </c>
      <c r="C1941" s="1203"/>
      <c r="D1941" s="1203"/>
      <c r="E1941" s="1203"/>
      <c r="F1941" s="1203"/>
      <c r="G1941" s="1202" t="str">
        <f>IF(N1941&gt;0,"P","")</f>
        <v/>
      </c>
      <c r="H1941" s="1200" t="s">
        <v>4388</v>
      </c>
      <c r="I1941" s="152">
        <v>1002.3</v>
      </c>
      <c r="J1941" s="4"/>
      <c r="K1941" s="4"/>
      <c r="L1941" s="1292" t="s">
        <v>3595</v>
      </c>
      <c r="M1941" s="1335">
        <v>1</v>
      </c>
      <c r="N1941" s="1336">
        <f>'Ch10'!O123</f>
        <v>0</v>
      </c>
      <c r="O1941" s="1436">
        <f>IF(AND(W1945=TRUE,COUNTIF(W1947:W1966,TRUE)&gt;3,S1945),ROUNDDOWN(COUNTIF(W1947:W1966,TRUE)/2,0),0)</f>
        <v>0</v>
      </c>
      <c r="P1941" s="848"/>
      <c r="Q1941" s="848"/>
      <c r="R1941" s="848"/>
      <c r="S1941" s="848"/>
      <c r="T1941" s="848"/>
      <c r="U1941" s="848"/>
      <c r="V1941" s="848"/>
      <c r="W1941" s="848"/>
      <c r="X1941" s="848"/>
      <c r="Y1941" s="848"/>
      <c r="Z1941" s="1055"/>
      <c r="AB1941" s="848"/>
      <c r="AC1941" s="848"/>
      <c r="AD1941" s="848"/>
      <c r="AE1941" s="848"/>
      <c r="AF1941" s="848"/>
      <c r="AG1941" s="848"/>
      <c r="AH1941" s="848"/>
      <c r="AI1941" s="848"/>
      <c r="AJ1941" s="848"/>
      <c r="AK1941" s="848"/>
      <c r="AL1941" s="311" t="str">
        <f t="shared" ref="AL1941" si="664">SUBSTITUTE(SUBSTITUTE(SUBSTITUTE("vpa"&amp;$B1941&amp;$C1941&amp;$D1941&amp;$E1941&amp;$F1941,".","_"),"(","_"),")","")</f>
        <v>vpa1002_3</v>
      </c>
      <c r="AM1941" s="311">
        <f>M1941</f>
        <v>1</v>
      </c>
      <c r="AN1941" s="311" t="str">
        <f>SUBSTITUTE(SUBSTITUTE(SUBSTITUTE("vpc"&amp;$B1941&amp;$C1941&amp;$D1941&amp;$E1941&amp;$F1941,".","_"),"(","_"),")","")</f>
        <v>vpc1002_3</v>
      </c>
      <c r="AO1941" s="311">
        <f>O1941</f>
        <v>0</v>
      </c>
      <c r="AP1941" s="848"/>
      <c r="AQ1941" s="848"/>
      <c r="AR1941" s="848"/>
      <c r="AS1941" s="848"/>
      <c r="AT1941" s="848"/>
      <c r="AU1941" s="848"/>
      <c r="AV1941" s="848"/>
      <c r="AW1941" s="848"/>
      <c r="AX1941" s="848"/>
      <c r="AY1941" s="848"/>
      <c r="AZ1941" s="848"/>
      <c r="BA1941" s="848"/>
      <c r="BB1941" s="848"/>
      <c r="BC1941" s="848"/>
      <c r="BD1941" s="848"/>
      <c r="BE1941" s="848"/>
      <c r="BF1941" s="848"/>
      <c r="BG1941" s="848"/>
      <c r="BH1941" s="848"/>
      <c r="BJ1941" s="1184" t="s">
        <v>4763</v>
      </c>
    </row>
    <row r="1942" spans="1:62" x14ac:dyDescent="0.3">
      <c r="A1942" s="1200">
        <v>10</v>
      </c>
      <c r="B1942" s="1210">
        <v>1002.3</v>
      </c>
      <c r="C1942" s="1203"/>
      <c r="D1942" s="1203"/>
      <c r="E1942" s="1203"/>
      <c r="F1942" s="1203"/>
      <c r="G1942" s="1202" t="str">
        <f t="shared" ref="G1942:G1966" si="665">G1941</f>
        <v/>
      </c>
      <c r="H1942" s="1200" t="s">
        <v>4388</v>
      </c>
      <c r="I1942" s="4"/>
      <c r="J1942" s="4"/>
      <c r="K1942" s="4"/>
      <c r="L1942" s="1292"/>
      <c r="M1942" s="1335"/>
      <c r="N1942" s="1310"/>
      <c r="O1942" s="1436"/>
      <c r="P1942" s="848"/>
      <c r="Q1942" s="848"/>
      <c r="R1942" s="848"/>
      <c r="S1942" s="848"/>
      <c r="T1942" s="848"/>
      <c r="U1942" s="848"/>
      <c r="V1942" s="848"/>
      <c r="W1942" s="848"/>
      <c r="X1942" s="848"/>
      <c r="Y1942" s="848"/>
      <c r="Z1942" s="1055"/>
      <c r="AB1942" s="848"/>
      <c r="AC1942" s="848"/>
      <c r="AD1942" s="848"/>
      <c r="AE1942" s="848"/>
      <c r="AF1942" s="848"/>
      <c r="AG1942" s="848"/>
      <c r="AH1942" s="848"/>
      <c r="AI1942" s="848"/>
      <c r="AJ1942" s="848"/>
      <c r="AK1942" s="848"/>
      <c r="AL1942" s="848"/>
      <c r="AM1942" s="848"/>
      <c r="AN1942" s="848"/>
      <c r="AO1942" s="848"/>
      <c r="AP1942" s="848"/>
      <c r="AQ1942" s="848"/>
      <c r="AR1942" s="848"/>
      <c r="AS1942" s="848"/>
      <c r="AT1942" s="848"/>
      <c r="AU1942" s="848"/>
      <c r="AV1942" s="848"/>
      <c r="AW1942" s="848"/>
      <c r="AX1942" s="848"/>
      <c r="AY1942" s="848"/>
      <c r="AZ1942" s="848"/>
      <c r="BA1942" s="848"/>
      <c r="BB1942" s="848"/>
      <c r="BC1942" s="848"/>
      <c r="BD1942" s="848"/>
      <c r="BE1942" s="848"/>
      <c r="BF1942" s="848"/>
      <c r="BG1942" s="848"/>
      <c r="BH1942" s="848"/>
      <c r="BJ1942" s="1184" t="s">
        <v>4763</v>
      </c>
    </row>
    <row r="1943" spans="1:62" x14ac:dyDescent="0.3">
      <c r="A1943" s="1200">
        <v>10</v>
      </c>
      <c r="B1943" s="1210">
        <v>1002.3</v>
      </c>
      <c r="C1943" s="1203"/>
      <c r="D1943" s="1203"/>
      <c r="E1943" s="1203"/>
      <c r="F1943" s="1203"/>
      <c r="G1943" s="1202" t="str">
        <f t="shared" si="665"/>
        <v/>
      </c>
      <c r="H1943" s="1200" t="s">
        <v>4388</v>
      </c>
      <c r="I1943" s="4"/>
      <c r="J1943" s="4"/>
      <c r="K1943" s="4"/>
      <c r="L1943" s="1292"/>
      <c r="M1943" s="1335"/>
      <c r="N1943" s="1310"/>
      <c r="O1943" s="1436"/>
      <c r="P1943" s="848"/>
      <c r="Q1943" s="848"/>
      <c r="R1943" s="848"/>
      <c r="S1943" s="848"/>
      <c r="T1943" s="848"/>
      <c r="U1943" s="848"/>
      <c r="V1943" s="848"/>
      <c r="W1943" s="848"/>
      <c r="X1943" s="848"/>
      <c r="Y1943" s="848"/>
      <c r="Z1943" s="1055"/>
      <c r="AB1943" s="848"/>
      <c r="AC1943" s="848"/>
      <c r="AD1943" s="848"/>
      <c r="AE1943" s="848"/>
      <c r="AF1943" s="848"/>
      <c r="AG1943" s="848"/>
      <c r="AH1943" s="848"/>
      <c r="AI1943" s="848"/>
      <c r="AJ1943" s="848"/>
      <c r="AK1943" s="848"/>
      <c r="AL1943" s="848"/>
      <c r="AM1943" s="848"/>
      <c r="AN1943" s="848"/>
      <c r="AO1943" s="848"/>
      <c r="AP1943" s="848"/>
      <c r="AQ1943" s="848"/>
      <c r="AR1943" s="848"/>
      <c r="AS1943" s="848"/>
      <c r="AT1943" s="848"/>
      <c r="AU1943" s="848"/>
      <c r="AV1943" s="848"/>
      <c r="AW1943" s="848"/>
      <c r="AX1943" s="848"/>
      <c r="AY1943" s="848"/>
      <c r="AZ1943" s="848"/>
      <c r="BA1943" s="848"/>
      <c r="BB1943" s="848"/>
      <c r="BC1943" s="848"/>
      <c r="BD1943" s="848"/>
      <c r="BE1943" s="848"/>
      <c r="BF1943" s="848"/>
      <c r="BG1943" s="848"/>
      <c r="BH1943" s="848"/>
      <c r="BJ1943" s="1184" t="s">
        <v>4763</v>
      </c>
    </row>
    <row r="1944" spans="1:62" x14ac:dyDescent="0.3">
      <c r="A1944" s="1200">
        <v>10</v>
      </c>
      <c r="B1944" s="1210">
        <v>1002.3</v>
      </c>
      <c r="C1944" s="1203"/>
      <c r="D1944" s="1203"/>
      <c r="E1944" s="1203"/>
      <c r="F1944" s="1203"/>
      <c r="G1944" s="1202" t="str">
        <f t="shared" si="665"/>
        <v/>
      </c>
      <c r="H1944" s="1200" t="s">
        <v>4388</v>
      </c>
      <c r="I1944" s="4"/>
      <c r="J1944" s="4"/>
      <c r="K1944" s="4"/>
      <c r="L1944" s="256" t="s">
        <v>3591</v>
      </c>
      <c r="M1944" s="1335"/>
      <c r="N1944" s="1310"/>
      <c r="O1944" s="1436"/>
      <c r="P1944" s="848"/>
      <c r="Q1944" s="848"/>
      <c r="R1944" s="848"/>
      <c r="S1944" s="848"/>
      <c r="T1944" s="848"/>
      <c r="U1944" s="848"/>
      <c r="V1944" s="848"/>
      <c r="W1944" s="848"/>
      <c r="X1944" s="848"/>
      <c r="Y1944" s="848"/>
      <c r="Z1944" s="1055"/>
      <c r="AB1944" s="848"/>
      <c r="AC1944" s="848"/>
      <c r="AD1944" s="848"/>
      <c r="AE1944" s="848"/>
      <c r="AF1944" s="848"/>
      <c r="AG1944" s="848"/>
      <c r="AH1944" s="848"/>
      <c r="AI1944" s="848"/>
      <c r="AJ1944" s="848"/>
      <c r="AK1944" s="848"/>
      <c r="AL1944" s="848"/>
      <c r="AM1944" s="848"/>
      <c r="AN1944" s="848"/>
      <c r="AO1944" s="848"/>
      <c r="AP1944" s="848"/>
      <c r="AQ1944" s="848"/>
      <c r="AR1944" s="848"/>
      <c r="AS1944" s="848"/>
      <c r="AT1944" s="848"/>
      <c r="AU1944" s="848"/>
      <c r="AV1944" s="848"/>
      <c r="AW1944" s="848"/>
      <c r="AX1944" s="848"/>
      <c r="AY1944" s="848"/>
      <c r="AZ1944" s="848"/>
      <c r="BA1944" s="848"/>
      <c r="BB1944" s="848"/>
      <c r="BC1944" s="848"/>
      <c r="BD1944" s="848"/>
      <c r="BE1944" s="848"/>
      <c r="BF1944" s="848"/>
      <c r="BG1944" s="848"/>
      <c r="BH1944" s="848"/>
      <c r="BJ1944" s="1184" t="s">
        <v>4763</v>
      </c>
    </row>
    <row r="1945" spans="1:62" x14ac:dyDescent="0.3">
      <c r="A1945" s="1200">
        <v>10</v>
      </c>
      <c r="B1945" s="1210">
        <v>1002.3</v>
      </c>
      <c r="C1945" s="1203"/>
      <c r="D1945" s="1203"/>
      <c r="E1945" s="1203" t="s">
        <v>271</v>
      </c>
      <c r="F1945" s="1203"/>
      <c r="G1945" s="1202" t="str">
        <f t="shared" si="665"/>
        <v/>
      </c>
      <c r="H1945" s="1200" t="s">
        <v>4388</v>
      </c>
      <c r="I1945" s="4"/>
      <c r="J1945" s="203" t="s">
        <v>271</v>
      </c>
      <c r="K1945" s="140"/>
      <c r="L1945" s="1305" t="s">
        <v>3561</v>
      </c>
      <c r="M1945" s="1351" t="str">
        <f>IF(R1945,"Mandatory","N/A")</f>
        <v>N/A</v>
      </c>
      <c r="N1945" s="4"/>
      <c r="O1945" s="850"/>
      <c r="P1945" s="848" t="b">
        <v>0</v>
      </c>
      <c r="Q1945" s="848" t="b">
        <v>1</v>
      </c>
      <c r="R1945" s="848" t="b">
        <f>S1945</f>
        <v>0</v>
      </c>
      <c r="S1945" s="848" t="b">
        <f>IF(AY1837=INDEX(ddSingleOrMulti,2),TRUE,FALSE)</f>
        <v>0</v>
      </c>
      <c r="T1945" s="97" t="b">
        <f>AND(NOT(S1945),W1945=TRUE)</f>
        <v>0</v>
      </c>
      <c r="U1945" s="848"/>
      <c r="V1945" s="848"/>
      <c r="W1945" s="25"/>
      <c r="X1945" s="1303"/>
      <c r="Y1945" s="1522" t="str">
        <f>IF(LEN('Ch10'!X127)=0,"None",'Ch10'!X127)</f>
        <v>None</v>
      </c>
      <c r="Z1945" s="1586"/>
      <c r="AB1945" s="848"/>
      <c r="AC1945" s="848" t="b">
        <f>OR(AD1945:AE1945)</f>
        <v>0</v>
      </c>
      <c r="AD1945" s="848" t="b">
        <f>T1945</f>
        <v>0</v>
      </c>
      <c r="AE1945" s="848" t="b">
        <f>AND(R1945,O1941&lt;1)</f>
        <v>0</v>
      </c>
      <c r="AF1945" s="1182" t="b">
        <f>AND(AE1945,NOT(Q1945))</f>
        <v>0</v>
      </c>
      <c r="AG1945" s="848"/>
      <c r="AH1945" s="848"/>
      <c r="AI1945" s="848"/>
      <c r="AJ1945" s="848"/>
      <c r="AK1945" s="848"/>
      <c r="AL1945" s="311" t="str">
        <f t="shared" ref="AL1945" si="666">SUBSTITUTE(SUBSTITUTE(SUBSTITUTE("vpa"&amp;$B1945&amp;$C1945&amp;$D1945&amp;$E1945&amp;$F1945,".","_"),"(","_"),")","")</f>
        <v>vpa1002_3_1</v>
      </c>
      <c r="AM1945" s="311" t="str">
        <f>M1945</f>
        <v>N/A</v>
      </c>
      <c r="AN1945" s="848"/>
      <c r="AO1945" s="848"/>
      <c r="AP1945" s="311" t="str">
        <f>SUBSTITUTE(SUBSTITUTE(SUBSTITUTE("vch"&amp;$B1945&amp;$C1945&amp;$D1945&amp;$E1945&amp;$F1945,".","_"),"(","_"),")","")</f>
        <v>vch1002_3_1</v>
      </c>
      <c r="AQ1945" s="311">
        <f>W1945</f>
        <v>0</v>
      </c>
      <c r="AR1945" s="311" t="str">
        <f>SUBSTITUTE(SUBSTITUTE(SUBSTITUTE("vnt"&amp;$B1945&amp;$C1945&amp;$D1945&amp;$E1945&amp;$F1945,".","_"),"(","_"),")","")</f>
        <v>vnt1002_3_1</v>
      </c>
      <c r="AS1945" s="311">
        <f>X1945</f>
        <v>0</v>
      </c>
      <c r="AT1945" s="848"/>
      <c r="AU1945" s="848"/>
      <c r="AV1945" s="848"/>
      <c r="AW1945" s="848"/>
      <c r="AX1945" s="848"/>
      <c r="AY1945" s="848"/>
      <c r="AZ1945" s="848"/>
      <c r="BA1945" s="848"/>
      <c r="BB1945" s="848"/>
      <c r="BC1945" s="848"/>
      <c r="BD1945" s="848"/>
      <c r="BE1945" s="848"/>
      <c r="BF1945" s="848"/>
      <c r="BG1945" s="848"/>
      <c r="BH1945" s="848"/>
      <c r="BJ1945" s="1184" t="s">
        <v>4763</v>
      </c>
    </row>
    <row r="1946" spans="1:62" x14ac:dyDescent="0.3">
      <c r="A1946" s="1200">
        <v>10</v>
      </c>
      <c r="B1946" s="1210">
        <v>1002.3</v>
      </c>
      <c r="C1946" s="1203"/>
      <c r="D1946" s="1203"/>
      <c r="E1946" s="1203" t="s">
        <v>271</v>
      </c>
      <c r="F1946" s="1203"/>
      <c r="G1946" s="1202" t="str">
        <f t="shared" si="665"/>
        <v/>
      </c>
      <c r="H1946" s="1200" t="s">
        <v>4388</v>
      </c>
      <c r="I1946" s="4"/>
      <c r="J1946" s="231"/>
      <c r="K1946" s="238"/>
      <c r="L1946" s="1306"/>
      <c r="M1946" s="1352" t="str">
        <f>IF(R1946,"Mandatory","N/A")</f>
        <v>N/A</v>
      </c>
      <c r="N1946" s="4"/>
      <c r="O1946" s="850"/>
      <c r="P1946" s="848"/>
      <c r="Q1946" s="848"/>
      <c r="R1946" s="848"/>
      <c r="S1946" s="848"/>
      <c r="T1946" s="848"/>
      <c r="U1946" s="848"/>
      <c r="V1946" s="848"/>
      <c r="W1946" s="848"/>
      <c r="X1946" s="1303"/>
      <c r="Y1946" s="1522"/>
      <c r="Z1946" s="1586"/>
      <c r="AB1946" s="848"/>
      <c r="AC1946" s="848"/>
      <c r="AD1946" s="848"/>
      <c r="AE1946" s="848"/>
      <c r="AF1946" s="848"/>
      <c r="AG1946" s="848"/>
      <c r="AH1946" s="848"/>
      <c r="AI1946" s="848"/>
      <c r="AJ1946" s="848"/>
      <c r="AK1946" s="848"/>
      <c r="AL1946" s="848"/>
      <c r="AM1946" s="848"/>
      <c r="AN1946" s="848"/>
      <c r="AO1946" s="848"/>
      <c r="AP1946" s="848"/>
      <c r="AQ1946" s="848"/>
      <c r="AR1946" s="848"/>
      <c r="AS1946" s="848"/>
      <c r="AT1946" s="848"/>
      <c r="AU1946" s="848"/>
      <c r="AV1946" s="848"/>
      <c r="AW1946" s="848"/>
      <c r="AX1946" s="848"/>
      <c r="AY1946" s="848"/>
      <c r="AZ1946" s="848"/>
      <c r="BA1946" s="848"/>
      <c r="BB1946" s="848"/>
      <c r="BC1946" s="848"/>
      <c r="BD1946" s="848"/>
      <c r="BE1946" s="848"/>
      <c r="BF1946" s="848"/>
      <c r="BG1946" s="848"/>
      <c r="BH1946" s="848"/>
      <c r="BJ1946" s="1184" t="s">
        <v>4763</v>
      </c>
    </row>
    <row r="1947" spans="1:62" x14ac:dyDescent="0.3">
      <c r="A1947" s="1200">
        <v>10</v>
      </c>
      <c r="B1947" s="1210">
        <v>1002.3</v>
      </c>
      <c r="C1947" s="1203"/>
      <c r="D1947" s="1203"/>
      <c r="E1947" s="1203" t="s">
        <v>273</v>
      </c>
      <c r="F1947" s="1203"/>
      <c r="G1947" s="1202" t="str">
        <f t="shared" si="665"/>
        <v/>
      </c>
      <c r="H1947" s="1200" t="s">
        <v>4388</v>
      </c>
      <c r="I1947" s="4"/>
      <c r="J1947" s="237" t="s">
        <v>273</v>
      </c>
      <c r="K1947" s="216"/>
      <c r="L1947" s="1356" t="s">
        <v>3513</v>
      </c>
      <c r="M1947" s="850"/>
      <c r="N1947" s="4"/>
      <c r="O1947" s="850"/>
      <c r="P1947" s="848" t="b">
        <v>0</v>
      </c>
      <c r="Q1947" s="848" t="b">
        <v>1</v>
      </c>
      <c r="R1947" s="848" t="b">
        <v>0</v>
      </c>
      <c r="S1947" s="848" t="b">
        <f>IF(AY1837=INDEX(ddSingleOrMulti,2),TRUE,FALSE)</f>
        <v>0</v>
      </c>
      <c r="T1947" s="97" t="b">
        <f>AND(NOT(S1947),W1947=TRUE)</f>
        <v>0</v>
      </c>
      <c r="U1947" s="848"/>
      <c r="V1947" s="848"/>
      <c r="W1947" s="25"/>
      <c r="X1947" s="1303"/>
      <c r="Y1947" s="1522" t="str">
        <f>IF(LEN('Ch10'!X129)=0,"None",'Ch10'!X129)</f>
        <v>None</v>
      </c>
      <c r="Z1947" s="1586"/>
      <c r="AB1947" s="848"/>
      <c r="AC1947" s="848" t="b">
        <f>OR(AD1947:AE1947)</f>
        <v>0</v>
      </c>
      <c r="AD1947" s="848" t="b">
        <f>T1947</f>
        <v>0</v>
      </c>
      <c r="AE1947" s="848"/>
      <c r="AF1947" s="848"/>
      <c r="AG1947" s="848"/>
      <c r="AH1947" s="848"/>
      <c r="AI1947" s="848"/>
      <c r="AJ1947" s="848"/>
      <c r="AK1947" s="848"/>
      <c r="AL1947" s="848"/>
      <c r="AM1947" s="848"/>
      <c r="AN1947" s="848"/>
      <c r="AO1947" s="848"/>
      <c r="AP1947" s="311" t="str">
        <f>SUBSTITUTE(SUBSTITUTE(SUBSTITUTE("vch"&amp;$B1947&amp;$C1947&amp;$D1947&amp;$E1947&amp;$F1947,".","_"),"(","_"),")","")</f>
        <v>vch1002_3_2</v>
      </c>
      <c r="AQ1947" s="311">
        <f>W1947</f>
        <v>0</v>
      </c>
      <c r="AR1947" s="311" t="str">
        <f>SUBSTITUTE(SUBSTITUTE(SUBSTITUTE("vnt"&amp;$B1947&amp;$C1947&amp;$D1947&amp;$E1947&amp;$F1947,".","_"),"(","_"),")","")</f>
        <v>vnt1002_3_2</v>
      </c>
      <c r="AS1947" s="311">
        <f>X1947</f>
        <v>0</v>
      </c>
      <c r="AT1947" s="848"/>
      <c r="AU1947" s="848"/>
      <c r="AV1947" s="848"/>
      <c r="AW1947" s="848"/>
      <c r="AX1947" s="848"/>
      <c r="AY1947" s="848"/>
      <c r="AZ1947" s="848"/>
      <c r="BA1947" s="848"/>
      <c r="BB1947" s="848"/>
      <c r="BC1947" s="848"/>
      <c r="BD1947" s="848"/>
      <c r="BE1947" s="848"/>
      <c r="BF1947" s="848"/>
      <c r="BG1947" s="848"/>
      <c r="BH1947" s="848"/>
      <c r="BJ1947" s="1184" t="s">
        <v>4763</v>
      </c>
    </row>
    <row r="1948" spans="1:62" x14ac:dyDescent="0.3">
      <c r="A1948" s="1200">
        <v>10</v>
      </c>
      <c r="B1948" s="1210">
        <v>1002.3</v>
      </c>
      <c r="C1948" s="1203"/>
      <c r="D1948" s="1203"/>
      <c r="E1948" s="1203" t="s">
        <v>273</v>
      </c>
      <c r="F1948" s="1203"/>
      <c r="G1948" s="1202" t="str">
        <f t="shared" si="665"/>
        <v/>
      </c>
      <c r="H1948" s="1200" t="s">
        <v>4388</v>
      </c>
      <c r="I1948" s="4"/>
      <c r="J1948" s="140"/>
      <c r="K1948" s="140"/>
      <c r="L1948" s="1305"/>
      <c r="M1948" s="850"/>
      <c r="N1948" s="4"/>
      <c r="O1948" s="850"/>
      <c r="P1948" s="848"/>
      <c r="Q1948" s="848"/>
      <c r="R1948" s="848"/>
      <c r="S1948" s="848"/>
      <c r="T1948" s="848"/>
      <c r="U1948" s="848"/>
      <c r="V1948" s="848"/>
      <c r="W1948" s="848"/>
      <c r="X1948" s="1303"/>
      <c r="Y1948" s="1522"/>
      <c r="Z1948" s="1586"/>
      <c r="AB1948" s="848"/>
      <c r="AC1948" s="848"/>
      <c r="AD1948" s="848"/>
      <c r="AE1948" s="848"/>
      <c r="AF1948" s="848"/>
      <c r="AG1948" s="848"/>
      <c r="AH1948" s="848"/>
      <c r="AI1948" s="848"/>
      <c r="AJ1948" s="848"/>
      <c r="AK1948" s="848"/>
      <c r="AL1948" s="848"/>
      <c r="AM1948" s="848"/>
      <c r="AN1948" s="848"/>
      <c r="AO1948" s="848"/>
      <c r="AP1948" s="848"/>
      <c r="AQ1948" s="848"/>
      <c r="AR1948" s="848"/>
      <c r="AS1948" s="848"/>
      <c r="AT1948" s="848"/>
      <c r="AU1948" s="848"/>
      <c r="AV1948" s="848"/>
      <c r="AW1948" s="848"/>
      <c r="AX1948" s="848"/>
      <c r="AY1948" s="848"/>
      <c r="AZ1948" s="848"/>
      <c r="BA1948" s="848"/>
      <c r="BB1948" s="848"/>
      <c r="BC1948" s="848"/>
      <c r="BD1948" s="848"/>
      <c r="BE1948" s="848"/>
      <c r="BF1948" s="848"/>
      <c r="BG1948" s="848"/>
      <c r="BH1948" s="848"/>
      <c r="BJ1948" s="1184" t="s">
        <v>4763</v>
      </c>
    </row>
    <row r="1949" spans="1:62" x14ac:dyDescent="0.3">
      <c r="A1949" s="1200">
        <v>10</v>
      </c>
      <c r="B1949" s="1210">
        <v>1002.3</v>
      </c>
      <c r="C1949" s="1203"/>
      <c r="D1949" s="1203"/>
      <c r="E1949" s="1203" t="s">
        <v>273</v>
      </c>
      <c r="F1949" s="1203"/>
      <c r="G1949" s="1202" t="str">
        <f t="shared" si="665"/>
        <v/>
      </c>
      <c r="H1949" s="1200" t="s">
        <v>4388</v>
      </c>
      <c r="I1949" s="4"/>
      <c r="J1949" s="140"/>
      <c r="K1949" s="140"/>
      <c r="L1949" s="1305"/>
      <c r="M1949" s="850"/>
      <c r="N1949" s="4"/>
      <c r="O1949" s="850"/>
      <c r="P1949" s="848"/>
      <c r="Q1949" s="848"/>
      <c r="R1949" s="848"/>
      <c r="S1949" s="848"/>
      <c r="T1949" s="848"/>
      <c r="U1949" s="848"/>
      <c r="V1949" s="848"/>
      <c r="W1949" s="848"/>
      <c r="X1949" s="1303"/>
      <c r="Y1949" s="1522"/>
      <c r="Z1949" s="1586"/>
      <c r="AB1949" s="848"/>
      <c r="AC1949" s="848"/>
      <c r="AD1949" s="848"/>
      <c r="AE1949" s="848"/>
      <c r="AF1949" s="848"/>
      <c r="AG1949" s="848"/>
      <c r="AH1949" s="848"/>
      <c r="AI1949" s="848"/>
      <c r="AJ1949" s="848"/>
      <c r="AK1949" s="848"/>
      <c r="AL1949" s="848"/>
      <c r="AM1949" s="848"/>
      <c r="AN1949" s="848"/>
      <c r="AO1949" s="848"/>
      <c r="AP1949" s="848"/>
      <c r="AQ1949" s="848"/>
      <c r="AR1949" s="848"/>
      <c r="AS1949" s="848"/>
      <c r="AT1949" s="848"/>
      <c r="AU1949" s="848"/>
      <c r="AV1949" s="848"/>
      <c r="AW1949" s="848"/>
      <c r="AX1949" s="848"/>
      <c r="AY1949" s="848"/>
      <c r="AZ1949" s="848"/>
      <c r="BA1949" s="848"/>
      <c r="BB1949" s="848"/>
      <c r="BC1949" s="848"/>
      <c r="BD1949" s="848"/>
      <c r="BE1949" s="848"/>
      <c r="BF1949" s="848"/>
      <c r="BG1949" s="848"/>
      <c r="BH1949" s="848"/>
      <c r="BJ1949" s="1184" t="s">
        <v>4763</v>
      </c>
    </row>
    <row r="1950" spans="1:62" x14ac:dyDescent="0.3">
      <c r="A1950" s="1200">
        <v>10</v>
      </c>
      <c r="B1950" s="1210">
        <v>1002.3</v>
      </c>
      <c r="C1950" s="1203"/>
      <c r="D1950" s="1203"/>
      <c r="E1950" s="1203" t="s">
        <v>273</v>
      </c>
      <c r="F1950" s="1203"/>
      <c r="G1950" s="1202" t="str">
        <f t="shared" si="665"/>
        <v/>
      </c>
      <c r="H1950" s="1200" t="s">
        <v>4388</v>
      </c>
      <c r="I1950" s="4"/>
      <c r="J1950" s="238"/>
      <c r="K1950" s="238"/>
      <c r="L1950" s="1306"/>
      <c r="M1950" s="850"/>
      <c r="N1950" s="4"/>
      <c r="O1950" s="850"/>
      <c r="P1950" s="848"/>
      <c r="Q1950" s="848"/>
      <c r="R1950" s="848"/>
      <c r="S1950" s="848"/>
      <c r="T1950" s="848"/>
      <c r="U1950" s="848"/>
      <c r="V1950" s="848"/>
      <c r="W1950" s="848"/>
      <c r="X1950" s="1303"/>
      <c r="Y1950" s="1522"/>
      <c r="Z1950" s="1586"/>
      <c r="AB1950" s="848"/>
      <c r="AC1950" s="848"/>
      <c r="AD1950" s="848"/>
      <c r="AE1950" s="848"/>
      <c r="AF1950" s="848"/>
      <c r="AG1950" s="848"/>
      <c r="AH1950" s="848"/>
      <c r="AI1950" s="848"/>
      <c r="AJ1950" s="848"/>
      <c r="AK1950" s="848"/>
      <c r="AL1950" s="848"/>
      <c r="AM1950" s="848"/>
      <c r="AN1950" s="848"/>
      <c r="AO1950" s="848"/>
      <c r="AP1950" s="848"/>
      <c r="AQ1950" s="848"/>
      <c r="AR1950" s="848"/>
      <c r="AS1950" s="848"/>
      <c r="AT1950" s="848"/>
      <c r="AU1950" s="848"/>
      <c r="AV1950" s="848"/>
      <c r="AW1950" s="848"/>
      <c r="AX1950" s="848"/>
      <c r="AY1950" s="848"/>
      <c r="AZ1950" s="848"/>
      <c r="BA1950" s="848"/>
      <c r="BB1950" s="848"/>
      <c r="BC1950" s="848"/>
      <c r="BD1950" s="848"/>
      <c r="BE1950" s="848"/>
      <c r="BF1950" s="848"/>
      <c r="BG1950" s="848"/>
      <c r="BH1950" s="848"/>
      <c r="BJ1950" s="1184" t="s">
        <v>4763</v>
      </c>
    </row>
    <row r="1951" spans="1:62" x14ac:dyDescent="0.3">
      <c r="A1951" s="1200">
        <v>10</v>
      </c>
      <c r="B1951" s="1210">
        <v>1002.3</v>
      </c>
      <c r="C1951" s="1203"/>
      <c r="D1951" s="1203"/>
      <c r="E1951" s="1203" t="s">
        <v>275</v>
      </c>
      <c r="F1951" s="1203"/>
      <c r="G1951" s="1202" t="str">
        <f t="shared" si="665"/>
        <v/>
      </c>
      <c r="H1951" s="1200" t="s">
        <v>4388</v>
      </c>
      <c r="I1951" s="4"/>
      <c r="J1951" s="237" t="s">
        <v>275</v>
      </c>
      <c r="K1951" s="216"/>
      <c r="L1951" s="885" t="s">
        <v>3562</v>
      </c>
      <c r="M1951" s="850"/>
      <c r="N1951" s="4"/>
      <c r="O1951" s="850"/>
      <c r="P1951" s="848" t="b">
        <v>0</v>
      </c>
      <c r="Q1951" s="848" t="b">
        <v>1</v>
      </c>
      <c r="R1951" s="848" t="b">
        <v>0</v>
      </c>
      <c r="S1951" s="848" t="b">
        <f>IF(AY1837=INDEX(ddSingleOrMulti,2),TRUE,FALSE)</f>
        <v>0</v>
      </c>
      <c r="T1951" s="97" t="b">
        <f>AND(NOT(S1951),W1951=TRUE)</f>
        <v>0</v>
      </c>
      <c r="U1951" s="848"/>
      <c r="V1951" s="848"/>
      <c r="W1951" s="25"/>
      <c r="X1951" s="1303"/>
      <c r="Y1951" s="1522" t="str">
        <f>IF(LEN('Ch10'!X133)=0,"None",'Ch10'!X133)</f>
        <v>None</v>
      </c>
      <c r="Z1951" s="1586"/>
      <c r="AB1951" s="848"/>
      <c r="AC1951" s="848" t="b">
        <f>OR(AD1951:AE1951)</f>
        <v>0</v>
      </c>
      <c r="AD1951" s="848" t="b">
        <f>T1951</f>
        <v>0</v>
      </c>
      <c r="AE1951" s="848"/>
      <c r="AF1951" s="848"/>
      <c r="AG1951" s="848"/>
      <c r="AH1951" s="848"/>
      <c r="AI1951" s="848"/>
      <c r="AJ1951" s="848"/>
      <c r="AK1951" s="848"/>
      <c r="AL1951" s="848"/>
      <c r="AM1951" s="848"/>
      <c r="AN1951" s="848"/>
      <c r="AO1951" s="848"/>
      <c r="AP1951" s="311" t="str">
        <f>SUBSTITUTE(SUBSTITUTE(SUBSTITUTE("vch"&amp;$B1951&amp;$C1951&amp;$D1951&amp;$E1951&amp;$F1951,".","_"),"(","_"),")","")</f>
        <v>vch1002_3_3</v>
      </c>
      <c r="AQ1951" s="311">
        <f>W1951</f>
        <v>0</v>
      </c>
      <c r="AR1951" s="311" t="str">
        <f>SUBSTITUTE(SUBSTITUTE(SUBSTITUTE("vnt"&amp;$B1951&amp;$C1951&amp;$D1951&amp;$E1951&amp;$F1951,".","_"),"(","_"),")","")</f>
        <v>vnt1002_3_3</v>
      </c>
      <c r="AS1951" s="311">
        <f>X1951</f>
        <v>0</v>
      </c>
      <c r="AT1951" s="848"/>
      <c r="AU1951" s="848"/>
      <c r="AV1951" s="848"/>
      <c r="AW1951" s="848"/>
      <c r="AX1951" s="848"/>
      <c r="AY1951" s="848"/>
      <c r="AZ1951" s="848"/>
      <c r="BA1951" s="848"/>
      <c r="BB1951" s="848"/>
      <c r="BC1951" s="848"/>
      <c r="BD1951" s="848"/>
      <c r="BE1951" s="848"/>
      <c r="BF1951" s="848"/>
      <c r="BG1951" s="848"/>
      <c r="BH1951" s="848"/>
      <c r="BJ1951" s="1184" t="s">
        <v>4763</v>
      </c>
    </row>
    <row r="1952" spans="1:62" x14ac:dyDescent="0.3">
      <c r="A1952" s="1200">
        <v>10</v>
      </c>
      <c r="B1952" s="1210">
        <v>1002.3</v>
      </c>
      <c r="C1952" s="1203"/>
      <c r="D1952" s="1203"/>
      <c r="E1952" s="1203" t="s">
        <v>275</v>
      </c>
      <c r="F1952" s="1203" t="s">
        <v>121</v>
      </c>
      <c r="G1952" s="1202" t="str">
        <f t="shared" si="665"/>
        <v/>
      </c>
      <c r="H1952" s="1204" t="s">
        <v>4388</v>
      </c>
      <c r="I1952" s="4"/>
      <c r="J1952" s="140"/>
      <c r="K1952" s="203" t="s">
        <v>121</v>
      </c>
      <c r="L1952" s="882" t="s">
        <v>3563</v>
      </c>
      <c r="M1952" s="850"/>
      <c r="N1952" s="4"/>
      <c r="O1952" s="850"/>
      <c r="P1952" s="848"/>
      <c r="Q1952" s="848"/>
      <c r="R1952" s="848"/>
      <c r="S1952" s="848"/>
      <c r="T1952" s="848"/>
      <c r="U1952" s="848"/>
      <c r="V1952" s="848"/>
      <c r="W1952" s="848"/>
      <c r="X1952" s="1303"/>
      <c r="Y1952" s="1522"/>
      <c r="Z1952" s="1586"/>
      <c r="AB1952" s="848"/>
      <c r="AC1952" s="848"/>
      <c r="AD1952" s="848"/>
      <c r="AE1952" s="848"/>
      <c r="AF1952" s="848"/>
      <c r="AG1952" s="848"/>
      <c r="AH1952" s="848"/>
      <c r="AI1952" s="848"/>
      <c r="AJ1952" s="848"/>
      <c r="AK1952" s="848"/>
      <c r="AL1952" s="848"/>
      <c r="AM1952" s="848"/>
      <c r="AN1952" s="848"/>
      <c r="AO1952" s="848"/>
      <c r="AP1952" s="848"/>
      <c r="AQ1952" s="848"/>
      <c r="AR1952" s="848"/>
      <c r="AS1952" s="848"/>
      <c r="AT1952" s="848"/>
      <c r="AU1952" s="848"/>
      <c r="AV1952" s="848"/>
      <c r="AW1952" s="848"/>
      <c r="AX1952" s="848"/>
      <c r="AY1952" s="848"/>
      <c r="AZ1952" s="848"/>
      <c r="BA1952" s="848"/>
      <c r="BB1952" s="848"/>
      <c r="BC1952" s="848"/>
      <c r="BD1952" s="848"/>
      <c r="BE1952" s="848"/>
      <c r="BF1952" s="848"/>
      <c r="BG1952" s="848"/>
      <c r="BH1952" s="848"/>
      <c r="BJ1952" s="1184" t="s">
        <v>4763</v>
      </c>
    </row>
    <row r="1953" spans="1:62" x14ac:dyDescent="0.3">
      <c r="A1953" s="1200">
        <v>10</v>
      </c>
      <c r="B1953" s="1210">
        <v>1002.3</v>
      </c>
      <c r="C1953" s="1203"/>
      <c r="D1953" s="1203"/>
      <c r="E1953" s="1203" t="s">
        <v>275</v>
      </c>
      <c r="F1953" s="1203" t="s">
        <v>122</v>
      </c>
      <c r="G1953" s="1202" t="str">
        <f t="shared" si="665"/>
        <v/>
      </c>
      <c r="H1953" s="1204" t="s">
        <v>4388</v>
      </c>
      <c r="I1953" s="4"/>
      <c r="J1953" s="140"/>
      <c r="K1953" s="203" t="s">
        <v>122</v>
      </c>
      <c r="L1953" s="882" t="s">
        <v>3564</v>
      </c>
      <c r="M1953" s="850"/>
      <c r="N1953" s="4"/>
      <c r="O1953" s="850"/>
      <c r="P1953" s="848"/>
      <c r="Q1953" s="848"/>
      <c r="R1953" s="848"/>
      <c r="S1953" s="848"/>
      <c r="T1953" s="848"/>
      <c r="U1953" s="848"/>
      <c r="V1953" s="848"/>
      <c r="W1953" s="848"/>
      <c r="X1953" s="1303"/>
      <c r="Y1953" s="1522"/>
      <c r="Z1953" s="1586"/>
      <c r="AB1953" s="848"/>
      <c r="AC1953" s="848"/>
      <c r="AD1953" s="848"/>
      <c r="AE1953" s="848"/>
      <c r="AF1953" s="848"/>
      <c r="AG1953" s="848"/>
      <c r="AH1953" s="848"/>
      <c r="AI1953" s="848"/>
      <c r="AJ1953" s="848"/>
      <c r="AK1953" s="848"/>
      <c r="AL1953" s="848"/>
      <c r="AM1953" s="848"/>
      <c r="AN1953" s="848"/>
      <c r="AO1953" s="848"/>
      <c r="AP1953" s="848"/>
      <c r="AQ1953" s="848"/>
      <c r="AR1953" s="848"/>
      <c r="AS1953" s="848"/>
      <c r="AT1953" s="848"/>
      <c r="AU1953" s="848"/>
      <c r="AV1953" s="848"/>
      <c r="AW1953" s="848"/>
      <c r="AX1953" s="848"/>
      <c r="AY1953" s="848"/>
      <c r="AZ1953" s="848"/>
      <c r="BA1953" s="848"/>
      <c r="BB1953" s="848"/>
      <c r="BC1953" s="848"/>
      <c r="BD1953" s="848"/>
      <c r="BE1953" s="848"/>
      <c r="BF1953" s="848"/>
      <c r="BG1953" s="848"/>
      <c r="BH1953" s="848"/>
      <c r="BJ1953" s="1184" t="s">
        <v>4763</v>
      </c>
    </row>
    <row r="1954" spans="1:62" x14ac:dyDescent="0.3">
      <c r="A1954" s="1200">
        <v>10</v>
      </c>
      <c r="B1954" s="1210">
        <v>1002.3</v>
      </c>
      <c r="C1954" s="1203"/>
      <c r="D1954" s="1203"/>
      <c r="E1954" s="1203" t="s">
        <v>275</v>
      </c>
      <c r="F1954" s="1203" t="s">
        <v>123</v>
      </c>
      <c r="G1954" s="1202" t="str">
        <f t="shared" si="665"/>
        <v/>
      </c>
      <c r="H1954" s="1204" t="s">
        <v>4388</v>
      </c>
      <c r="I1954" s="4"/>
      <c r="J1954" s="140"/>
      <c r="K1954" s="203" t="s">
        <v>123</v>
      </c>
      <c r="L1954" s="882" t="s">
        <v>3565</v>
      </c>
      <c r="M1954" s="850"/>
      <c r="N1954" s="4"/>
      <c r="O1954" s="850"/>
      <c r="P1954" s="848"/>
      <c r="Q1954" s="848"/>
      <c r="R1954" s="848"/>
      <c r="S1954" s="848"/>
      <c r="T1954" s="848"/>
      <c r="U1954" s="848"/>
      <c r="V1954" s="848"/>
      <c r="W1954" s="848"/>
      <c r="X1954" s="1303"/>
      <c r="Y1954" s="1522"/>
      <c r="Z1954" s="1586"/>
      <c r="AB1954" s="848"/>
      <c r="AC1954" s="848"/>
      <c r="AD1954" s="848"/>
      <c r="AE1954" s="848"/>
      <c r="AF1954" s="848"/>
      <c r="AG1954" s="848"/>
      <c r="AH1954" s="848"/>
      <c r="AI1954" s="848"/>
      <c r="AJ1954" s="848"/>
      <c r="AK1954" s="848"/>
      <c r="AL1954" s="848"/>
      <c r="AM1954" s="848"/>
      <c r="AN1954" s="848"/>
      <c r="AO1954" s="848"/>
      <c r="AP1954" s="848"/>
      <c r="AQ1954" s="848"/>
      <c r="AR1954" s="848"/>
      <c r="AS1954" s="848"/>
      <c r="AT1954" s="848"/>
      <c r="AU1954" s="848"/>
      <c r="AV1954" s="848"/>
      <c r="AW1954" s="848"/>
      <c r="AX1954" s="848"/>
      <c r="AY1954" s="848"/>
      <c r="AZ1954" s="848"/>
      <c r="BA1954" s="848"/>
      <c r="BB1954" s="848"/>
      <c r="BC1954" s="848"/>
      <c r="BD1954" s="848"/>
      <c r="BE1954" s="848"/>
      <c r="BF1954" s="848"/>
      <c r="BG1954" s="848"/>
      <c r="BH1954" s="848"/>
      <c r="BJ1954" s="1184" t="s">
        <v>4763</v>
      </c>
    </row>
    <row r="1955" spans="1:62" x14ac:dyDescent="0.3">
      <c r="A1955" s="1200">
        <v>10</v>
      </c>
      <c r="B1955" s="1210">
        <v>1002.3</v>
      </c>
      <c r="C1955" s="1203"/>
      <c r="D1955" s="1203"/>
      <c r="E1955" s="1203" t="s">
        <v>275</v>
      </c>
      <c r="F1955" s="1203" t="s">
        <v>423</v>
      </c>
      <c r="G1955" s="1202" t="str">
        <f t="shared" si="665"/>
        <v/>
      </c>
      <c r="H1955" s="1204" t="s">
        <v>4388</v>
      </c>
      <c r="I1955" s="4"/>
      <c r="J1955" s="140"/>
      <c r="K1955" s="203" t="s">
        <v>423</v>
      </c>
      <c r="L1955" s="882" t="s">
        <v>3566</v>
      </c>
      <c r="M1955" s="850"/>
      <c r="N1955" s="4"/>
      <c r="O1955" s="850"/>
      <c r="P1955" s="848"/>
      <c r="Q1955" s="848"/>
      <c r="R1955" s="848"/>
      <c r="S1955" s="848"/>
      <c r="T1955" s="848"/>
      <c r="U1955" s="848"/>
      <c r="V1955" s="848"/>
      <c r="W1955" s="848"/>
      <c r="X1955" s="1303"/>
      <c r="Y1955" s="1522"/>
      <c r="Z1955" s="1586"/>
      <c r="AB1955" s="848"/>
      <c r="AC1955" s="848"/>
      <c r="AD1955" s="848"/>
      <c r="AE1955" s="848"/>
      <c r="AF1955" s="848"/>
      <c r="AG1955" s="848"/>
      <c r="AH1955" s="848"/>
      <c r="AI1955" s="848"/>
      <c r="AJ1955" s="848"/>
      <c r="AK1955" s="848"/>
      <c r="AL1955" s="848"/>
      <c r="AM1955" s="848"/>
      <c r="AN1955" s="848"/>
      <c r="AO1955" s="848"/>
      <c r="AP1955" s="848"/>
      <c r="AQ1955" s="848"/>
      <c r="AR1955" s="848"/>
      <c r="AS1955" s="848"/>
      <c r="AT1955" s="848"/>
      <c r="AU1955" s="848"/>
      <c r="AV1955" s="848"/>
      <c r="AW1955" s="848"/>
      <c r="AX1955" s="848"/>
      <c r="AY1955" s="848"/>
      <c r="AZ1955" s="848"/>
      <c r="BA1955" s="848"/>
      <c r="BB1955" s="848"/>
      <c r="BC1955" s="848"/>
      <c r="BD1955" s="848"/>
      <c r="BE1955" s="848"/>
      <c r="BF1955" s="848"/>
      <c r="BG1955" s="848"/>
      <c r="BH1955" s="848"/>
      <c r="BJ1955" s="1184" t="s">
        <v>4763</v>
      </c>
    </row>
    <row r="1956" spans="1:62" x14ac:dyDescent="0.3">
      <c r="A1956" s="1200">
        <v>10</v>
      </c>
      <c r="B1956" s="1210">
        <v>1002.3</v>
      </c>
      <c r="C1956" s="1203"/>
      <c r="D1956" s="1203"/>
      <c r="E1956" s="1203" t="s">
        <v>275</v>
      </c>
      <c r="F1956" s="1203" t="s">
        <v>578</v>
      </c>
      <c r="G1956" s="1202" t="str">
        <f t="shared" si="665"/>
        <v/>
      </c>
      <c r="H1956" s="1204" t="s">
        <v>4388</v>
      </c>
      <c r="I1956" s="4"/>
      <c r="J1956" s="140"/>
      <c r="K1956" s="203" t="s">
        <v>578</v>
      </c>
      <c r="L1956" s="882" t="s">
        <v>3567</v>
      </c>
      <c r="M1956" s="850"/>
      <c r="N1956" s="4"/>
      <c r="O1956" s="850"/>
      <c r="P1956" s="848"/>
      <c r="Q1956" s="848"/>
      <c r="R1956" s="848"/>
      <c r="S1956" s="848"/>
      <c r="T1956" s="848"/>
      <c r="U1956" s="848"/>
      <c r="V1956" s="848"/>
      <c r="W1956" s="848"/>
      <c r="X1956" s="1303"/>
      <c r="Y1956" s="1522"/>
      <c r="Z1956" s="1586"/>
      <c r="AB1956" s="848"/>
      <c r="AC1956" s="848"/>
      <c r="AD1956" s="848"/>
      <c r="AE1956" s="848"/>
      <c r="AF1956" s="848"/>
      <c r="AG1956" s="848"/>
      <c r="AH1956" s="848"/>
      <c r="AI1956" s="848"/>
      <c r="AJ1956" s="848"/>
      <c r="AK1956" s="848"/>
      <c r="AL1956" s="848"/>
      <c r="AM1956" s="848"/>
      <c r="AN1956" s="848"/>
      <c r="AO1956" s="848"/>
      <c r="AP1956" s="848"/>
      <c r="AQ1956" s="848"/>
      <c r="AR1956" s="848"/>
      <c r="AS1956" s="848"/>
      <c r="AT1956" s="848"/>
      <c r="AU1956" s="848"/>
      <c r="AV1956" s="848"/>
      <c r="AW1956" s="848"/>
      <c r="AX1956" s="848"/>
      <c r="AY1956" s="848"/>
      <c r="AZ1956" s="848"/>
      <c r="BA1956" s="848"/>
      <c r="BB1956" s="848"/>
      <c r="BC1956" s="848"/>
      <c r="BD1956" s="848"/>
      <c r="BE1956" s="848"/>
      <c r="BF1956" s="848"/>
      <c r="BG1956" s="848"/>
      <c r="BH1956" s="848"/>
      <c r="BJ1956" s="1184" t="s">
        <v>4763</v>
      </c>
    </row>
    <row r="1957" spans="1:62" x14ac:dyDescent="0.3">
      <c r="A1957" s="1200">
        <v>10</v>
      </c>
      <c r="B1957" s="1210">
        <v>1002.3</v>
      </c>
      <c r="C1957" s="1203"/>
      <c r="D1957" s="1203"/>
      <c r="E1957" s="1203" t="s">
        <v>275</v>
      </c>
      <c r="F1957" s="1203" t="s">
        <v>645</v>
      </c>
      <c r="G1957" s="1202" t="str">
        <f t="shared" si="665"/>
        <v/>
      </c>
      <c r="H1957" s="1204" t="s">
        <v>4388</v>
      </c>
      <c r="I1957" s="4"/>
      <c r="J1957" s="238"/>
      <c r="K1957" s="231" t="s">
        <v>645</v>
      </c>
      <c r="L1957" s="886" t="s">
        <v>3568</v>
      </c>
      <c r="M1957" s="850"/>
      <c r="N1957" s="4"/>
      <c r="O1957" s="850"/>
      <c r="P1957" s="848"/>
      <c r="Q1957" s="848"/>
      <c r="R1957" s="848"/>
      <c r="S1957" s="848"/>
      <c r="T1957" s="848"/>
      <c r="U1957" s="848"/>
      <c r="V1957" s="848"/>
      <c r="W1957" s="848"/>
      <c r="X1957" s="1303"/>
      <c r="Y1957" s="1522"/>
      <c r="Z1957" s="1586"/>
      <c r="AB1957" s="848"/>
      <c r="AC1957" s="848"/>
      <c r="AD1957" s="848"/>
      <c r="AE1957" s="848"/>
      <c r="AF1957" s="848"/>
      <c r="AG1957" s="848"/>
      <c r="AH1957" s="848"/>
      <c r="AI1957" s="848"/>
      <c r="AJ1957" s="848"/>
      <c r="AK1957" s="848"/>
      <c r="AL1957" s="848"/>
      <c r="AM1957" s="848"/>
      <c r="AN1957" s="848"/>
      <c r="AO1957" s="848"/>
      <c r="AP1957" s="848"/>
      <c r="AQ1957" s="848"/>
      <c r="AR1957" s="848"/>
      <c r="AS1957" s="848"/>
      <c r="AT1957" s="848"/>
      <c r="AU1957" s="848"/>
      <c r="AV1957" s="848"/>
      <c r="AW1957" s="848"/>
      <c r="AX1957" s="848"/>
      <c r="AY1957" s="848"/>
      <c r="AZ1957" s="848"/>
      <c r="BA1957" s="848"/>
      <c r="BB1957" s="848"/>
      <c r="BC1957" s="848"/>
      <c r="BD1957" s="848"/>
      <c r="BE1957" s="848"/>
      <c r="BF1957" s="848"/>
      <c r="BG1957" s="848"/>
      <c r="BH1957" s="848"/>
      <c r="BJ1957" s="1184" t="s">
        <v>4763</v>
      </c>
    </row>
    <row r="1958" spans="1:62" x14ac:dyDescent="0.3">
      <c r="A1958" s="1200">
        <v>10</v>
      </c>
      <c r="B1958" s="1210">
        <v>1002.3</v>
      </c>
      <c r="C1958" s="1203"/>
      <c r="D1958" s="1203"/>
      <c r="E1958" s="1203" t="s">
        <v>285</v>
      </c>
      <c r="F1958" s="1203"/>
      <c r="G1958" s="1202" t="str">
        <f t="shared" si="665"/>
        <v/>
      </c>
      <c r="H1958" s="1200" t="s">
        <v>4388</v>
      </c>
      <c r="I1958" s="4"/>
      <c r="J1958" s="27" t="s">
        <v>285</v>
      </c>
      <c r="K1958" s="4"/>
      <c r="L1958" s="1329" t="s">
        <v>3517</v>
      </c>
      <c r="M1958" s="850"/>
      <c r="N1958" s="4"/>
      <c r="O1958" s="850"/>
      <c r="P1958" s="848" t="b">
        <v>0</v>
      </c>
      <c r="Q1958" s="848" t="b">
        <v>1</v>
      </c>
      <c r="R1958" s="848" t="b">
        <v>0</v>
      </c>
      <c r="S1958" s="848" t="b">
        <f>IF(AY1837=INDEX(ddSingleOrMulti,2),TRUE,FALSE)</f>
        <v>0</v>
      </c>
      <c r="T1958" s="97" t="b">
        <f>AND(NOT(S1958),W1958=TRUE)</f>
        <v>0</v>
      </c>
      <c r="U1958" s="848"/>
      <c r="V1958" s="848"/>
      <c r="W1958" s="25"/>
      <c r="X1958" s="1303"/>
      <c r="Y1958" s="1522" t="str">
        <f>IF(LEN('Ch10'!X140)=0,"None",'Ch10'!X140)</f>
        <v>None</v>
      </c>
      <c r="Z1958" s="1586"/>
      <c r="AB1958" s="848"/>
      <c r="AC1958" s="848" t="b">
        <f>OR(AD1958:AE1958)</f>
        <v>0</v>
      </c>
      <c r="AD1958" s="848" t="b">
        <f>T1958</f>
        <v>0</v>
      </c>
      <c r="AE1958" s="848"/>
      <c r="AF1958" s="848"/>
      <c r="AG1958" s="848"/>
      <c r="AH1958" s="848"/>
      <c r="AI1958" s="848"/>
      <c r="AJ1958" s="848"/>
      <c r="AK1958" s="848"/>
      <c r="AL1958" s="848"/>
      <c r="AM1958" s="848"/>
      <c r="AN1958" s="848"/>
      <c r="AO1958" s="848"/>
      <c r="AP1958" s="311" t="str">
        <f>SUBSTITUTE(SUBSTITUTE(SUBSTITUTE("vch"&amp;$B1958&amp;$C1958&amp;$D1958&amp;$E1958&amp;$F1958,".","_"),"(","_"),")","")</f>
        <v>vch1002_3_4</v>
      </c>
      <c r="AQ1958" s="311">
        <f>W1958</f>
        <v>0</v>
      </c>
      <c r="AR1958" s="311" t="str">
        <f>SUBSTITUTE(SUBSTITUTE(SUBSTITUTE("vnt"&amp;$B1958&amp;$C1958&amp;$D1958&amp;$E1958&amp;$F1958,".","_"),"(","_"),")","")</f>
        <v>vnt1002_3_4</v>
      </c>
      <c r="AS1958" s="311">
        <f>X1958</f>
        <v>0</v>
      </c>
      <c r="AT1958" s="848"/>
      <c r="AU1958" s="848"/>
      <c r="AV1958" s="848"/>
      <c r="AW1958" s="848"/>
      <c r="AX1958" s="848"/>
      <c r="AY1958" s="848"/>
      <c r="AZ1958" s="848"/>
      <c r="BA1958" s="848"/>
      <c r="BB1958" s="848"/>
      <c r="BC1958" s="848"/>
      <c r="BD1958" s="848"/>
      <c r="BE1958" s="848"/>
      <c r="BF1958" s="848"/>
      <c r="BG1958" s="848"/>
      <c r="BH1958" s="848"/>
      <c r="BJ1958" s="1184" t="s">
        <v>4763</v>
      </c>
    </row>
    <row r="1959" spans="1:62" x14ac:dyDescent="0.3">
      <c r="A1959" s="1200">
        <v>10</v>
      </c>
      <c r="B1959" s="1210">
        <v>1002.3</v>
      </c>
      <c r="C1959" s="1203"/>
      <c r="D1959" s="1203"/>
      <c r="E1959" s="1203" t="s">
        <v>285</v>
      </c>
      <c r="F1959" s="1203"/>
      <c r="G1959" s="1202" t="str">
        <f t="shared" si="665"/>
        <v/>
      </c>
      <c r="H1959" s="1200" t="s">
        <v>4388</v>
      </c>
      <c r="I1959" s="4"/>
      <c r="J1959" s="4"/>
      <c r="K1959" s="4"/>
      <c r="L1959" s="1329"/>
      <c r="M1959" s="850"/>
      <c r="N1959" s="4"/>
      <c r="O1959" s="850"/>
      <c r="P1959" s="848"/>
      <c r="Q1959" s="848"/>
      <c r="R1959" s="848"/>
      <c r="S1959" s="848"/>
      <c r="T1959" s="848"/>
      <c r="U1959" s="848"/>
      <c r="V1959" s="848"/>
      <c r="W1959" s="848"/>
      <c r="X1959" s="1303"/>
      <c r="Y1959" s="1522"/>
      <c r="Z1959" s="1586"/>
      <c r="AB1959" s="848"/>
      <c r="AC1959" s="848"/>
      <c r="AD1959" s="848"/>
      <c r="AE1959" s="848"/>
      <c r="AF1959" s="848"/>
      <c r="AG1959" s="848"/>
      <c r="AH1959" s="848"/>
      <c r="AI1959" s="848"/>
      <c r="AJ1959" s="848"/>
      <c r="AK1959" s="848"/>
      <c r="AL1959" s="848"/>
      <c r="AM1959" s="848"/>
      <c r="AN1959" s="848"/>
      <c r="AO1959" s="848"/>
      <c r="AP1959" s="848"/>
      <c r="AQ1959" s="848"/>
      <c r="AR1959" s="848"/>
      <c r="AS1959" s="848"/>
      <c r="AT1959" s="848"/>
      <c r="AU1959" s="848"/>
      <c r="AV1959" s="848"/>
      <c r="AW1959" s="848"/>
      <c r="AX1959" s="848"/>
      <c r="AY1959" s="848"/>
      <c r="AZ1959" s="848"/>
      <c r="BA1959" s="848"/>
      <c r="BB1959" s="848"/>
      <c r="BC1959" s="848"/>
      <c r="BD1959" s="848"/>
      <c r="BE1959" s="848"/>
      <c r="BF1959" s="848"/>
      <c r="BG1959" s="848"/>
      <c r="BH1959" s="848"/>
      <c r="BJ1959" s="1184" t="s">
        <v>4763</v>
      </c>
    </row>
    <row r="1960" spans="1:62" x14ac:dyDescent="0.3">
      <c r="A1960" s="1200">
        <v>10</v>
      </c>
      <c r="B1960" s="1210">
        <v>1002.3</v>
      </c>
      <c r="C1960" s="1203"/>
      <c r="D1960" s="1203"/>
      <c r="E1960" s="1203" t="s">
        <v>291</v>
      </c>
      <c r="F1960" s="1203"/>
      <c r="G1960" s="1202" t="str">
        <f t="shared" si="665"/>
        <v/>
      </c>
      <c r="H1960" s="1200" t="s">
        <v>4388</v>
      </c>
      <c r="I1960" s="4"/>
      <c r="J1960" s="233" t="s">
        <v>291</v>
      </c>
      <c r="K1960" s="274"/>
      <c r="L1960" s="275" t="s">
        <v>3519</v>
      </c>
      <c r="M1960" s="850"/>
      <c r="N1960" s="4"/>
      <c r="O1960" s="850"/>
      <c r="P1960" s="848" t="b">
        <v>0</v>
      </c>
      <c r="Q1960" s="848" t="b">
        <v>1</v>
      </c>
      <c r="R1960" s="848" t="b">
        <v>0</v>
      </c>
      <c r="S1960" s="848" t="b">
        <f>IF(AY1837=INDEX(ddSingleOrMulti,2),TRUE,FALSE)</f>
        <v>0</v>
      </c>
      <c r="T1960" s="97" t="b">
        <f>AND(NOT(S1960),W1960=TRUE)</f>
        <v>0</v>
      </c>
      <c r="U1960" s="848"/>
      <c r="V1960" s="848"/>
      <c r="W1960" s="25"/>
      <c r="X1960" s="851"/>
      <c r="Y1960" s="889" t="str">
        <f>IF(LEN('Ch10'!X142)=0,"None",'Ch10'!X142)</f>
        <v>None</v>
      </c>
      <c r="Z1960" s="1169"/>
      <c r="AB1960" s="848"/>
      <c r="AC1960" s="848" t="b">
        <f>OR(AD1960:AE1960)</f>
        <v>0</v>
      </c>
      <c r="AD1960" s="848" t="b">
        <f>T1960</f>
        <v>0</v>
      </c>
      <c r="AE1960" s="848"/>
      <c r="AF1960" s="848"/>
      <c r="AG1960" s="848"/>
      <c r="AH1960" s="848"/>
      <c r="AI1960" s="848"/>
      <c r="AJ1960" s="848"/>
      <c r="AK1960" s="848"/>
      <c r="AL1960" s="848"/>
      <c r="AM1960" s="848"/>
      <c r="AN1960" s="848"/>
      <c r="AO1960" s="848"/>
      <c r="AP1960" s="311" t="str">
        <f t="shared" ref="AP1960:AP1961" si="667">SUBSTITUTE(SUBSTITUTE(SUBSTITUTE("vch"&amp;$B1960&amp;$C1960&amp;$D1960&amp;$E1960&amp;$F1960,".","_"),"(","_"),")","")</f>
        <v>vch1002_3_5</v>
      </c>
      <c r="AQ1960" s="311">
        <f>W1960</f>
        <v>0</v>
      </c>
      <c r="AR1960" s="311" t="str">
        <f t="shared" ref="AR1960:AR1961" si="668">SUBSTITUTE(SUBSTITUTE(SUBSTITUTE("vnt"&amp;$B1960&amp;$C1960&amp;$D1960&amp;$E1960&amp;$F1960,".","_"),"(","_"),")","")</f>
        <v>vnt1002_3_5</v>
      </c>
      <c r="AS1960" s="311">
        <f>X1960</f>
        <v>0</v>
      </c>
      <c r="AT1960" s="848"/>
      <c r="AU1960" s="848"/>
      <c r="AV1960" s="848"/>
      <c r="AW1960" s="848"/>
      <c r="AX1960" s="848"/>
      <c r="AY1960" s="848"/>
      <c r="AZ1960" s="848"/>
      <c r="BA1960" s="848"/>
      <c r="BB1960" s="848"/>
      <c r="BC1960" s="848"/>
      <c r="BD1960" s="848"/>
      <c r="BE1960" s="848"/>
      <c r="BF1960" s="848"/>
      <c r="BG1960" s="848"/>
      <c r="BH1960" s="848"/>
      <c r="BJ1960" s="1184" t="s">
        <v>4763</v>
      </c>
    </row>
    <row r="1961" spans="1:62" x14ac:dyDescent="0.3">
      <c r="A1961" s="1200">
        <v>10</v>
      </c>
      <c r="B1961" s="1210">
        <v>1002.3</v>
      </c>
      <c r="C1961" s="1203"/>
      <c r="D1961" s="1203"/>
      <c r="E1961" s="1203" t="s">
        <v>293</v>
      </c>
      <c r="F1961" s="1203"/>
      <c r="G1961" s="1202" t="str">
        <f t="shared" si="665"/>
        <v/>
      </c>
      <c r="H1961" s="1200" t="s">
        <v>4388</v>
      </c>
      <c r="I1961" s="4"/>
      <c r="J1961" s="27" t="s">
        <v>293</v>
      </c>
      <c r="K1961" s="4"/>
      <c r="L1961" s="1329" t="s">
        <v>3569</v>
      </c>
      <c r="M1961" s="850"/>
      <c r="N1961" s="4"/>
      <c r="O1961" s="850"/>
      <c r="P1961" s="848" t="b">
        <v>0</v>
      </c>
      <c r="Q1961" s="848" t="b">
        <v>1</v>
      </c>
      <c r="R1961" s="848" t="b">
        <v>0</v>
      </c>
      <c r="S1961" s="848" t="b">
        <f>IF(AY1837=INDEX(ddSingleOrMulti,2),TRUE,FALSE)</f>
        <v>0</v>
      </c>
      <c r="T1961" s="97" t="b">
        <f>AND(NOT(S1961),W1961=TRUE)</f>
        <v>0</v>
      </c>
      <c r="U1961" s="848"/>
      <c r="V1961" s="848"/>
      <c r="W1961" s="25"/>
      <c r="X1961" s="1303"/>
      <c r="Y1961" s="1522" t="str">
        <f>IF(LEN('Ch10'!X143)=0,"None",'Ch10'!X143)</f>
        <v>None</v>
      </c>
      <c r="Z1961" s="1586"/>
      <c r="AB1961" s="848"/>
      <c r="AC1961" s="848" t="b">
        <f>OR(AD1961:AE1961)</f>
        <v>0</v>
      </c>
      <c r="AD1961" s="848" t="b">
        <f>T1961</f>
        <v>0</v>
      </c>
      <c r="AE1961" s="848"/>
      <c r="AF1961" s="848"/>
      <c r="AG1961" s="848"/>
      <c r="AH1961" s="848"/>
      <c r="AI1961" s="848"/>
      <c r="AJ1961" s="848"/>
      <c r="AK1961" s="848"/>
      <c r="AL1961" s="848"/>
      <c r="AM1961" s="848"/>
      <c r="AN1961" s="848"/>
      <c r="AO1961" s="848"/>
      <c r="AP1961" s="311" t="str">
        <f t="shared" si="667"/>
        <v>vch1002_3_6</v>
      </c>
      <c r="AQ1961" s="311">
        <f>W1961</f>
        <v>0</v>
      </c>
      <c r="AR1961" s="311" t="str">
        <f t="shared" si="668"/>
        <v>vnt1002_3_6</v>
      </c>
      <c r="AS1961" s="311">
        <f>X1961</f>
        <v>0</v>
      </c>
      <c r="AT1961" s="848"/>
      <c r="AU1961" s="848"/>
      <c r="AV1961" s="848"/>
      <c r="AW1961" s="848"/>
      <c r="AX1961" s="848"/>
      <c r="AY1961" s="848"/>
      <c r="AZ1961" s="848"/>
      <c r="BA1961" s="848"/>
      <c r="BB1961" s="848"/>
      <c r="BC1961" s="848"/>
      <c r="BD1961" s="848"/>
      <c r="BE1961" s="848"/>
      <c r="BF1961" s="848"/>
      <c r="BG1961" s="848"/>
      <c r="BH1961" s="848"/>
      <c r="BJ1961" s="1184" t="s">
        <v>4763</v>
      </c>
    </row>
    <row r="1962" spans="1:62" x14ac:dyDescent="0.3">
      <c r="A1962" s="1200">
        <v>10</v>
      </c>
      <c r="B1962" s="1210">
        <v>1002.3</v>
      </c>
      <c r="C1962" s="1203"/>
      <c r="D1962" s="1203"/>
      <c r="E1962" s="1203" t="s">
        <v>293</v>
      </c>
      <c r="F1962" s="1203"/>
      <c r="G1962" s="1202" t="str">
        <f t="shared" si="665"/>
        <v/>
      </c>
      <c r="H1962" s="1200" t="s">
        <v>4388</v>
      </c>
      <c r="I1962" s="4"/>
      <c r="J1962" s="27"/>
      <c r="K1962" s="4"/>
      <c r="L1962" s="1329"/>
      <c r="M1962" s="850"/>
      <c r="N1962" s="4"/>
      <c r="O1962" s="850"/>
      <c r="P1962" s="848"/>
      <c r="Q1962" s="848"/>
      <c r="R1962" s="848"/>
      <c r="S1962" s="848"/>
      <c r="T1962" s="848"/>
      <c r="U1962" s="848"/>
      <c r="V1962" s="848"/>
      <c r="W1962" s="848"/>
      <c r="X1962" s="1303"/>
      <c r="Y1962" s="1522"/>
      <c r="Z1962" s="1586"/>
      <c r="AB1962" s="848"/>
      <c r="AC1962" s="848"/>
      <c r="AD1962" s="848"/>
      <c r="AE1962" s="848"/>
      <c r="AF1962" s="848"/>
      <c r="AG1962" s="848"/>
      <c r="AH1962" s="848"/>
      <c r="AI1962" s="848"/>
      <c r="AJ1962" s="848"/>
      <c r="AK1962" s="848"/>
      <c r="AL1962" s="848"/>
      <c r="AM1962" s="848"/>
      <c r="AN1962" s="848"/>
      <c r="AO1962" s="848"/>
      <c r="AP1962" s="848"/>
      <c r="AQ1962" s="848"/>
      <c r="AR1962" s="848"/>
      <c r="AS1962" s="848"/>
      <c r="AT1962" s="848"/>
      <c r="AU1962" s="848"/>
      <c r="AV1962" s="848"/>
      <c r="AW1962" s="848"/>
      <c r="AX1962" s="848"/>
      <c r="AY1962" s="848"/>
      <c r="AZ1962" s="848"/>
      <c r="BA1962" s="848"/>
      <c r="BB1962" s="848"/>
      <c r="BC1962" s="848"/>
      <c r="BD1962" s="848"/>
      <c r="BE1962" s="848"/>
      <c r="BF1962" s="848"/>
      <c r="BG1962" s="848"/>
      <c r="BH1962" s="848"/>
      <c r="BJ1962" s="1184" t="s">
        <v>4763</v>
      </c>
    </row>
    <row r="1963" spans="1:62" x14ac:dyDescent="0.3">
      <c r="A1963" s="1200">
        <v>10</v>
      </c>
      <c r="B1963" s="1210">
        <v>1002.3</v>
      </c>
      <c r="C1963" s="1203"/>
      <c r="D1963" s="1203"/>
      <c r="E1963" s="1203" t="s">
        <v>405</v>
      </c>
      <c r="F1963" s="1203"/>
      <c r="G1963" s="1202" t="str">
        <f t="shared" si="665"/>
        <v/>
      </c>
      <c r="H1963" s="1200" t="s">
        <v>4388</v>
      </c>
      <c r="I1963" s="4"/>
      <c r="J1963" s="233" t="s">
        <v>405</v>
      </c>
      <c r="K1963" s="274"/>
      <c r="L1963" s="275" t="s">
        <v>3525</v>
      </c>
      <c r="M1963" s="850"/>
      <c r="N1963" s="4"/>
      <c r="O1963" s="850"/>
      <c r="P1963" s="848" t="b">
        <v>0</v>
      </c>
      <c r="Q1963" s="848" t="b">
        <v>1</v>
      </c>
      <c r="R1963" s="848" t="b">
        <v>0</v>
      </c>
      <c r="S1963" s="848" t="b">
        <f>IF(AY1837=INDEX(ddSingleOrMulti,2),TRUE,FALSE)</f>
        <v>0</v>
      </c>
      <c r="T1963" s="97" t="b">
        <f>AND(NOT(S1963),W1963=TRUE)</f>
        <v>0</v>
      </c>
      <c r="U1963" s="848"/>
      <c r="V1963" s="848"/>
      <c r="W1963" s="25"/>
      <c r="X1963" s="851"/>
      <c r="Y1963" s="889" t="str">
        <f>IF(LEN('Ch10'!X145)=0,"None",'Ch10'!X145)</f>
        <v>None</v>
      </c>
      <c r="Z1963" s="1169"/>
      <c r="AB1963" s="848"/>
      <c r="AC1963" s="848" t="b">
        <f>OR(AD1963:AE1963)</f>
        <v>0</v>
      </c>
      <c r="AD1963" s="848" t="b">
        <f>T1963</f>
        <v>0</v>
      </c>
      <c r="AE1963" s="848"/>
      <c r="AF1963" s="848"/>
      <c r="AG1963" s="848"/>
      <c r="AH1963" s="848"/>
      <c r="AI1963" s="848"/>
      <c r="AJ1963" s="848"/>
      <c r="AK1963" s="848"/>
      <c r="AL1963" s="848"/>
      <c r="AM1963" s="848"/>
      <c r="AN1963" s="848"/>
      <c r="AO1963" s="848"/>
      <c r="AP1963" s="311" t="str">
        <f t="shared" ref="AP1963:AP1967" si="669">SUBSTITUTE(SUBSTITUTE(SUBSTITUTE("vch"&amp;$B1963&amp;$C1963&amp;$D1963&amp;$E1963&amp;$F1963,".","_"),"(","_"),")","")</f>
        <v>vch1002_3_7</v>
      </c>
      <c r="AQ1963" s="311">
        <f>W1963</f>
        <v>0</v>
      </c>
      <c r="AR1963" s="311" t="str">
        <f t="shared" ref="AR1963:AR1967" si="670">SUBSTITUTE(SUBSTITUTE(SUBSTITUTE("vnt"&amp;$B1963&amp;$C1963&amp;$D1963&amp;$E1963&amp;$F1963,".","_"),"(","_"),")","")</f>
        <v>vnt1002_3_7</v>
      </c>
      <c r="AS1963" s="311">
        <f>X1963</f>
        <v>0</v>
      </c>
      <c r="AT1963" s="848"/>
      <c r="AU1963" s="848"/>
      <c r="AV1963" s="848"/>
      <c r="AW1963" s="848"/>
      <c r="AX1963" s="848"/>
      <c r="AY1963" s="848"/>
      <c r="AZ1963" s="848"/>
      <c r="BA1963" s="848"/>
      <c r="BB1963" s="848"/>
      <c r="BC1963" s="848"/>
      <c r="BD1963" s="848"/>
      <c r="BE1963" s="848"/>
      <c r="BF1963" s="848"/>
      <c r="BG1963" s="848"/>
      <c r="BH1963" s="848"/>
      <c r="BJ1963" s="1184" t="s">
        <v>4763</v>
      </c>
    </row>
    <row r="1964" spans="1:62" x14ac:dyDescent="0.3">
      <c r="A1964" s="1200">
        <v>10</v>
      </c>
      <c r="B1964" s="1210">
        <v>1002.3</v>
      </c>
      <c r="C1964" s="1203"/>
      <c r="D1964" s="1203"/>
      <c r="E1964" s="1203" t="s">
        <v>456</v>
      </c>
      <c r="F1964" s="1203"/>
      <c r="G1964" s="1202" t="str">
        <f t="shared" si="665"/>
        <v/>
      </c>
      <c r="H1964" s="1200" t="s">
        <v>4388</v>
      </c>
      <c r="I1964" s="4"/>
      <c r="J1964" s="27" t="s">
        <v>456</v>
      </c>
      <c r="K1964" s="4"/>
      <c r="L1964" s="884" t="s">
        <v>3570</v>
      </c>
      <c r="M1964" s="850"/>
      <c r="N1964" s="4"/>
      <c r="O1964" s="850"/>
      <c r="P1964" s="848" t="b">
        <v>0</v>
      </c>
      <c r="Q1964" s="848" t="b">
        <v>1</v>
      </c>
      <c r="R1964" s="848" t="b">
        <v>0</v>
      </c>
      <c r="S1964" s="848" t="b">
        <f>IF(AY1837=INDEX(ddSingleOrMulti,2),TRUE,FALSE)</f>
        <v>0</v>
      </c>
      <c r="T1964" s="97" t="b">
        <f>AND(NOT(S1964),W1964=TRUE)</f>
        <v>0</v>
      </c>
      <c r="U1964" s="848"/>
      <c r="V1964" s="848"/>
      <c r="W1964" s="25"/>
      <c r="X1964" s="851"/>
      <c r="Y1964" s="889" t="str">
        <f>IF(LEN('Ch10'!X146)=0,"None",'Ch10'!X146)</f>
        <v>None</v>
      </c>
      <c r="Z1964" s="1169"/>
      <c r="AB1964" s="848"/>
      <c r="AC1964" s="848" t="b">
        <f>OR(AD1964:AE1964)</f>
        <v>0</v>
      </c>
      <c r="AD1964" s="848" t="b">
        <f>T1964</f>
        <v>0</v>
      </c>
      <c r="AE1964" s="848"/>
      <c r="AF1964" s="848"/>
      <c r="AG1964" s="848"/>
      <c r="AH1964" s="848"/>
      <c r="AI1964" s="848"/>
      <c r="AJ1964" s="848"/>
      <c r="AK1964" s="848"/>
      <c r="AL1964" s="848"/>
      <c r="AM1964" s="848"/>
      <c r="AN1964" s="848"/>
      <c r="AO1964" s="848"/>
      <c r="AP1964" s="311" t="str">
        <f t="shared" si="669"/>
        <v>vch1002_3_8</v>
      </c>
      <c r="AQ1964" s="311">
        <f>W1964</f>
        <v>0</v>
      </c>
      <c r="AR1964" s="311" t="str">
        <f t="shared" si="670"/>
        <v>vnt1002_3_8</v>
      </c>
      <c r="AS1964" s="311">
        <f>X1964</f>
        <v>0</v>
      </c>
      <c r="AT1964" s="848"/>
      <c r="AU1964" s="848"/>
      <c r="AV1964" s="848"/>
      <c r="AW1964" s="848"/>
      <c r="AX1964" s="848"/>
      <c r="AY1964" s="848"/>
      <c r="AZ1964" s="848"/>
      <c r="BA1964" s="848"/>
      <c r="BB1964" s="848"/>
      <c r="BC1964" s="848"/>
      <c r="BD1964" s="848"/>
      <c r="BE1964" s="848"/>
      <c r="BF1964" s="848"/>
      <c r="BG1964" s="848"/>
      <c r="BH1964" s="848"/>
      <c r="BJ1964" s="1184" t="s">
        <v>4763</v>
      </c>
    </row>
    <row r="1965" spans="1:62" x14ac:dyDescent="0.3">
      <c r="A1965" s="1200">
        <v>10</v>
      </c>
      <c r="B1965" s="1210">
        <v>1002.3</v>
      </c>
      <c r="C1965" s="1203"/>
      <c r="D1965" s="1203"/>
      <c r="E1965" s="1203" t="s">
        <v>458</v>
      </c>
      <c r="F1965" s="1203"/>
      <c r="G1965" s="1202" t="str">
        <f t="shared" si="665"/>
        <v/>
      </c>
      <c r="H1965" s="1200" t="s">
        <v>4388</v>
      </c>
      <c r="I1965" s="4"/>
      <c r="J1965" s="233" t="s">
        <v>458</v>
      </c>
      <c r="K1965" s="274"/>
      <c r="L1965" s="275" t="s">
        <v>3571</v>
      </c>
      <c r="M1965" s="850"/>
      <c r="N1965" s="4"/>
      <c r="O1965" s="850"/>
      <c r="P1965" s="848" t="b">
        <v>0</v>
      </c>
      <c r="Q1965" s="848" t="b">
        <v>1</v>
      </c>
      <c r="R1965" s="848" t="b">
        <v>0</v>
      </c>
      <c r="S1965" s="848" t="b">
        <f>IF(AY1837=INDEX(ddSingleOrMulti,2),TRUE,FALSE)</f>
        <v>0</v>
      </c>
      <c r="T1965" s="97" t="b">
        <f>AND(NOT(S1965),W1965=TRUE)</f>
        <v>0</v>
      </c>
      <c r="U1965" s="848"/>
      <c r="V1965" s="848"/>
      <c r="W1965" s="25"/>
      <c r="X1965" s="851"/>
      <c r="Y1965" s="889" t="str">
        <f>IF(LEN('Ch10'!X147)=0,"None",'Ch10'!X147)</f>
        <v>None</v>
      </c>
      <c r="Z1965" s="1169"/>
      <c r="AB1965" s="848"/>
      <c r="AC1965" s="848" t="b">
        <f>OR(AD1965:AE1965)</f>
        <v>0</v>
      </c>
      <c r="AD1965" s="848" t="b">
        <f>T1965</f>
        <v>0</v>
      </c>
      <c r="AE1965" s="848"/>
      <c r="AF1965" s="848"/>
      <c r="AG1965" s="848"/>
      <c r="AH1965" s="848"/>
      <c r="AI1965" s="848"/>
      <c r="AJ1965" s="848"/>
      <c r="AK1965" s="848"/>
      <c r="AL1965" s="848"/>
      <c r="AM1965" s="848"/>
      <c r="AN1965" s="848"/>
      <c r="AO1965" s="848"/>
      <c r="AP1965" s="311" t="str">
        <f t="shared" si="669"/>
        <v>vch1002_3_9</v>
      </c>
      <c r="AQ1965" s="311">
        <f>W1965</f>
        <v>0</v>
      </c>
      <c r="AR1965" s="311" t="str">
        <f t="shared" si="670"/>
        <v>vnt1002_3_9</v>
      </c>
      <c r="AS1965" s="311">
        <f>X1965</f>
        <v>0</v>
      </c>
      <c r="AT1965" s="848"/>
      <c r="AU1965" s="848"/>
      <c r="AV1965" s="848"/>
      <c r="AW1965" s="848"/>
      <c r="AX1965" s="848"/>
      <c r="AY1965" s="848"/>
      <c r="AZ1965" s="848"/>
      <c r="BA1965" s="848"/>
      <c r="BB1965" s="848"/>
      <c r="BC1965" s="848"/>
      <c r="BD1965" s="848"/>
      <c r="BE1965" s="848"/>
      <c r="BF1965" s="848"/>
      <c r="BG1965" s="848"/>
      <c r="BH1965" s="848"/>
      <c r="BJ1965" s="1184" t="s">
        <v>4763</v>
      </c>
    </row>
    <row r="1966" spans="1:62" ht="15" thickBot="1" x14ac:dyDescent="0.35">
      <c r="A1966" s="1200">
        <v>10</v>
      </c>
      <c r="B1966" s="1210">
        <v>1002.3</v>
      </c>
      <c r="C1966" s="1203"/>
      <c r="D1966" s="1203"/>
      <c r="E1966" s="1203" t="s">
        <v>460</v>
      </c>
      <c r="F1966" s="1203"/>
      <c r="G1966" s="1202" t="str">
        <f t="shared" si="665"/>
        <v/>
      </c>
      <c r="H1966" s="1200" t="s">
        <v>4388</v>
      </c>
      <c r="I1966" s="270"/>
      <c r="J1966" s="213" t="s">
        <v>460</v>
      </c>
      <c r="K1966" s="270"/>
      <c r="L1966" s="883" t="s">
        <v>3572</v>
      </c>
      <c r="M1966" s="858"/>
      <c r="N1966" s="270"/>
      <c r="O1966" s="858"/>
      <c r="P1966" s="848" t="b">
        <v>0</v>
      </c>
      <c r="Q1966" s="848" t="b">
        <v>1</v>
      </c>
      <c r="R1966" s="104" t="b">
        <v>0</v>
      </c>
      <c r="S1966" s="104" t="b">
        <f>IF(AY1837=INDEX(ddSingleOrMulti,2),TRUE,FALSE)</f>
        <v>0</v>
      </c>
      <c r="T1966" s="104" t="b">
        <f>AND(NOT(S1966),W1966=TRUE)</f>
        <v>0</v>
      </c>
      <c r="U1966" s="104"/>
      <c r="V1966" s="104"/>
      <c r="W1966" s="105"/>
      <c r="X1966" s="853"/>
      <c r="Y1966" s="890" t="str">
        <f>IF(LEN('Ch10'!X148)=0,"None",'Ch10'!X148)</f>
        <v>None</v>
      </c>
      <c r="Z1966" s="1173"/>
      <c r="AB1966" s="848"/>
      <c r="AC1966" s="848" t="b">
        <f>OR(AD1966:AE1966)</f>
        <v>0</v>
      </c>
      <c r="AD1966" s="848" t="b">
        <f>T1966</f>
        <v>0</v>
      </c>
      <c r="AE1966" s="848"/>
      <c r="AF1966" s="848"/>
      <c r="AG1966" s="848"/>
      <c r="AH1966" s="848"/>
      <c r="AI1966" s="848"/>
      <c r="AJ1966" s="848"/>
      <c r="AK1966" s="848"/>
      <c r="AL1966" s="848"/>
      <c r="AM1966" s="848"/>
      <c r="AN1966" s="848"/>
      <c r="AO1966" s="848"/>
      <c r="AP1966" s="311" t="str">
        <f t="shared" si="669"/>
        <v>vch1002_3_10</v>
      </c>
      <c r="AQ1966" s="311">
        <f>W1966</f>
        <v>0</v>
      </c>
      <c r="AR1966" s="311" t="str">
        <f t="shared" si="670"/>
        <v>vnt1002_3_10</v>
      </c>
      <c r="AS1966" s="311">
        <f>X1966</f>
        <v>0</v>
      </c>
      <c r="AT1966" s="848"/>
      <c r="AU1966" s="848"/>
      <c r="AV1966" s="848"/>
      <c r="AW1966" s="848"/>
      <c r="AX1966" s="848"/>
      <c r="AY1966" s="848"/>
      <c r="AZ1966" s="848"/>
      <c r="BA1966" s="848"/>
      <c r="BB1966" s="848"/>
      <c r="BC1966" s="848"/>
      <c r="BD1966" s="848"/>
      <c r="BE1966" s="848"/>
      <c r="BF1966" s="848"/>
      <c r="BG1966" s="848"/>
      <c r="BH1966" s="848"/>
      <c r="BJ1966" s="1184" t="s">
        <v>4763</v>
      </c>
    </row>
    <row r="1967" spans="1:62" ht="15" thickTop="1" x14ac:dyDescent="0.3">
      <c r="A1967" s="1200">
        <v>10</v>
      </c>
      <c r="B1967" s="1210">
        <v>1002.4</v>
      </c>
      <c r="C1967" s="1203"/>
      <c r="D1967" s="1203"/>
      <c r="E1967" s="1203"/>
      <c r="F1967" s="1203"/>
      <c r="G1967" s="1202" t="str">
        <f>IF(M1967="Mandatory","P","")</f>
        <v/>
      </c>
      <c r="H1967" s="1200" t="s">
        <v>4388</v>
      </c>
      <c r="I1967" s="152">
        <v>1002.4</v>
      </c>
      <c r="J1967" s="4"/>
      <c r="K1967" s="4"/>
      <c r="L1967" s="1292" t="s">
        <v>3573</v>
      </c>
      <c r="M1967" s="1361" t="str">
        <f>IF(R1967,"Mandatory","N/A")</f>
        <v>N/A</v>
      </c>
      <c r="N1967" s="4"/>
      <c r="O1967" s="850"/>
      <c r="P1967" s="848" t="b">
        <v>0</v>
      </c>
      <c r="Q1967" s="848" t="b">
        <v>1</v>
      </c>
      <c r="R1967" s="848" t="b">
        <f>S1967</f>
        <v>0</v>
      </c>
      <c r="S1967" s="848" t="b">
        <f>IF(AY1837=INDEX(ddSingleOrMulti,2),TRUE,FALSE)</f>
        <v>0</v>
      </c>
      <c r="T1967" s="97" t="b">
        <f>AND(NOT(S1967),W1967=TRUE)</f>
        <v>0</v>
      </c>
      <c r="U1967" s="848"/>
      <c r="V1967" s="848"/>
      <c r="W1967" s="127"/>
      <c r="X1967" s="1304"/>
      <c r="Y1967" s="1525" t="str">
        <f>IF(LEN('Ch10'!X149)=0,"None",'Ch10'!X149)</f>
        <v>None</v>
      </c>
      <c r="Z1967" s="1585"/>
      <c r="AB1967" s="848"/>
      <c r="AC1967" s="848" t="b">
        <f>OR(AD1967:AE1967)</f>
        <v>0</v>
      </c>
      <c r="AD1967" s="848" t="b">
        <f>T1967</f>
        <v>0</v>
      </c>
      <c r="AE1967" s="848" t="b">
        <f>AND(R1967,NOT(W1967=TRUE))</f>
        <v>0</v>
      </c>
      <c r="AF1967" s="1182" t="b">
        <f>AND(AE1967,NOT(Q1967))</f>
        <v>0</v>
      </c>
      <c r="AG1967" s="848"/>
      <c r="AH1967" s="848"/>
      <c r="AI1967" s="848"/>
      <c r="AJ1967" s="848"/>
      <c r="AK1967" s="848"/>
      <c r="AL1967" s="311" t="str">
        <f t="shared" ref="AL1967" si="671">SUBSTITUTE(SUBSTITUTE(SUBSTITUTE("vpa"&amp;$B1967&amp;$C1967&amp;$D1967&amp;$E1967&amp;$F1967,".","_"),"(","_"),")","")</f>
        <v>vpa1002_4</v>
      </c>
      <c r="AM1967" s="311" t="str">
        <f>M1967</f>
        <v>N/A</v>
      </c>
      <c r="AN1967" s="848"/>
      <c r="AO1967" s="848"/>
      <c r="AP1967" s="311" t="str">
        <f t="shared" si="669"/>
        <v>vch1002_4</v>
      </c>
      <c r="AQ1967" s="311">
        <f>W1967</f>
        <v>0</v>
      </c>
      <c r="AR1967" s="311" t="str">
        <f t="shared" si="670"/>
        <v>vnt1002_4</v>
      </c>
      <c r="AS1967" s="311">
        <f>X1967</f>
        <v>0</v>
      </c>
      <c r="AT1967" s="848"/>
      <c r="AU1967" s="848"/>
      <c r="AV1967" s="848"/>
      <c r="AW1967" s="848"/>
      <c r="AX1967" s="848"/>
      <c r="AY1967" s="848"/>
      <c r="AZ1967" s="848"/>
      <c r="BA1967" s="848"/>
      <c r="BB1967" s="848"/>
      <c r="BC1967" s="848"/>
      <c r="BD1967" s="848"/>
      <c r="BE1967" s="848"/>
      <c r="BF1967" s="848"/>
      <c r="BG1967" s="848"/>
      <c r="BH1967" s="848"/>
      <c r="BJ1967" s="1184" t="s">
        <v>4763</v>
      </c>
    </row>
    <row r="1968" spans="1:62" x14ac:dyDescent="0.3">
      <c r="A1968" s="1200">
        <v>10</v>
      </c>
      <c r="B1968" s="1210">
        <v>1002.4</v>
      </c>
      <c r="C1968" s="1203"/>
      <c r="D1968" s="1203"/>
      <c r="E1968" s="1203"/>
      <c r="F1968" s="1203"/>
      <c r="G1968" s="1202" t="str">
        <f t="shared" ref="G1968:G1978" si="672">G1967</f>
        <v/>
      </c>
      <c r="H1968" s="1200" t="s">
        <v>4388</v>
      </c>
      <c r="I1968" s="4"/>
      <c r="J1968" s="4"/>
      <c r="K1968" s="4"/>
      <c r="L1968" s="1292"/>
      <c r="M1968" s="1361" t="str">
        <f>IF(R1968,"Mandatory","N/A")</f>
        <v>N/A</v>
      </c>
      <c r="N1968" s="4"/>
      <c r="O1968" s="850"/>
      <c r="P1968" s="848"/>
      <c r="Q1968" s="848"/>
      <c r="R1968" s="848"/>
      <c r="S1968" s="848"/>
      <c r="T1968" s="848"/>
      <c r="U1968" s="848"/>
      <c r="V1968" s="848"/>
      <c r="W1968" s="848"/>
      <c r="X1968" s="1303"/>
      <c r="Y1968" s="1522"/>
      <c r="Z1968" s="1586"/>
      <c r="AB1968" s="848"/>
      <c r="AC1968" s="848"/>
      <c r="AD1968" s="848"/>
      <c r="AE1968" s="848"/>
      <c r="AF1968" s="848"/>
      <c r="AG1968" s="848"/>
      <c r="AH1968" s="848"/>
      <c r="AI1968" s="848"/>
      <c r="AJ1968" s="848"/>
      <c r="AK1968" s="848"/>
      <c r="AL1968" s="848"/>
      <c r="AM1968" s="848"/>
      <c r="AN1968" s="848"/>
      <c r="AO1968" s="848"/>
      <c r="AP1968" s="848"/>
      <c r="AQ1968" s="848"/>
      <c r="AR1968" s="848"/>
      <c r="AS1968" s="848"/>
      <c r="AT1968" s="848"/>
      <c r="AU1968" s="848"/>
      <c r="AV1968" s="848"/>
      <c r="AW1968" s="848"/>
      <c r="AX1968" s="848"/>
      <c r="AY1968" s="848"/>
      <c r="AZ1968" s="848"/>
      <c r="BA1968" s="848"/>
      <c r="BB1968" s="848"/>
      <c r="BC1968" s="848"/>
      <c r="BD1968" s="848"/>
      <c r="BE1968" s="848"/>
      <c r="BF1968" s="848"/>
      <c r="BG1968" s="848"/>
      <c r="BH1968" s="848"/>
      <c r="BJ1968" s="1184" t="s">
        <v>4763</v>
      </c>
    </row>
    <row r="1969" spans="1:62" x14ac:dyDescent="0.3">
      <c r="A1969" s="1200">
        <v>10</v>
      </c>
      <c r="B1969" s="1210">
        <v>1002.4</v>
      </c>
      <c r="C1969" s="1203"/>
      <c r="D1969" s="1203"/>
      <c r="E1969" s="1203"/>
      <c r="F1969" s="1203"/>
      <c r="G1969" s="1202" t="str">
        <f t="shared" si="672"/>
        <v/>
      </c>
      <c r="H1969" s="1200" t="s">
        <v>4388</v>
      </c>
      <c r="I1969" s="4"/>
      <c r="J1969" s="4"/>
      <c r="K1969" s="4"/>
      <c r="L1969" s="1292"/>
      <c r="M1969" s="1361" t="str">
        <f>IF(R1969,"Mandatory","N/A")</f>
        <v>N/A</v>
      </c>
      <c r="N1969" s="4"/>
      <c r="O1969" s="850"/>
      <c r="P1969" s="848"/>
      <c r="Q1969" s="848"/>
      <c r="R1969" s="848"/>
      <c r="S1969" s="848"/>
      <c r="T1969" s="848"/>
      <c r="U1969" s="848"/>
      <c r="V1969" s="848"/>
      <c r="W1969" s="848"/>
      <c r="X1969" s="1303"/>
      <c r="Y1969" s="1522"/>
      <c r="Z1969" s="1586"/>
      <c r="AB1969" s="848"/>
      <c r="AC1969" s="848"/>
      <c r="AD1969" s="848"/>
      <c r="AE1969" s="848"/>
      <c r="AF1969" s="848"/>
      <c r="AG1969" s="848"/>
      <c r="AH1969" s="848"/>
      <c r="AI1969" s="848"/>
      <c r="AJ1969" s="848"/>
      <c r="AK1969" s="848"/>
      <c r="AL1969" s="848"/>
      <c r="AM1969" s="848"/>
      <c r="AN1969" s="848"/>
      <c r="AO1969" s="848"/>
      <c r="AP1969" s="848"/>
      <c r="AQ1969" s="848"/>
      <c r="AR1969" s="848"/>
      <c r="AS1969" s="848"/>
      <c r="AT1969" s="848"/>
      <c r="AU1969" s="848"/>
      <c r="AV1969" s="848"/>
      <c r="AW1969" s="848"/>
      <c r="AX1969" s="848"/>
      <c r="AY1969" s="848"/>
      <c r="AZ1969" s="848"/>
      <c r="BA1969" s="848"/>
      <c r="BB1969" s="848"/>
      <c r="BC1969" s="848"/>
      <c r="BD1969" s="848"/>
      <c r="BE1969" s="848"/>
      <c r="BF1969" s="848"/>
      <c r="BG1969" s="848"/>
      <c r="BH1969" s="848"/>
      <c r="BJ1969" s="1184" t="s">
        <v>4763</v>
      </c>
    </row>
    <row r="1970" spans="1:62" x14ac:dyDescent="0.3">
      <c r="A1970" s="1200">
        <v>10</v>
      </c>
      <c r="B1970" s="1210">
        <v>1002.4</v>
      </c>
      <c r="C1970" s="1203"/>
      <c r="D1970" s="1203"/>
      <c r="E1970" s="1203"/>
      <c r="F1970" s="1203"/>
      <c r="G1970" s="1202" t="str">
        <f t="shared" si="672"/>
        <v/>
      </c>
      <c r="H1970" s="1200" t="s">
        <v>4388</v>
      </c>
      <c r="I1970" s="4"/>
      <c r="J1970" s="4"/>
      <c r="K1970" s="4"/>
      <c r="L1970" s="1292"/>
      <c r="M1970" s="1361" t="str">
        <f>IF(R1970,"Mandatory","N/A")</f>
        <v>N/A</v>
      </c>
      <c r="N1970" s="4"/>
      <c r="O1970" s="850"/>
      <c r="P1970" s="848"/>
      <c r="Q1970" s="848"/>
      <c r="R1970" s="848"/>
      <c r="S1970" s="848"/>
      <c r="T1970" s="848"/>
      <c r="U1970" s="848"/>
      <c r="V1970" s="848"/>
      <c r="W1970" s="848"/>
      <c r="X1970" s="1303"/>
      <c r="Y1970" s="1522"/>
      <c r="Z1970" s="1586"/>
      <c r="AB1970" s="848"/>
      <c r="AC1970" s="848"/>
      <c r="AD1970" s="848"/>
      <c r="AE1970" s="848"/>
      <c r="AF1970" s="848"/>
      <c r="AG1970" s="848"/>
      <c r="AH1970" s="848"/>
      <c r="AI1970" s="848"/>
      <c r="AJ1970" s="848"/>
      <c r="AK1970" s="848"/>
      <c r="AL1970" s="848"/>
      <c r="AM1970" s="848"/>
      <c r="AN1970" s="848"/>
      <c r="AO1970" s="848"/>
      <c r="AP1970" s="848"/>
      <c r="AQ1970" s="848"/>
      <c r="AR1970" s="848"/>
      <c r="AS1970" s="848"/>
      <c r="AT1970" s="848"/>
      <c r="AU1970" s="848"/>
      <c r="AV1970" s="848"/>
      <c r="AW1970" s="848"/>
      <c r="AX1970" s="848"/>
      <c r="AY1970" s="848"/>
      <c r="AZ1970" s="848"/>
      <c r="BA1970" s="848"/>
      <c r="BB1970" s="848"/>
      <c r="BC1970" s="848"/>
      <c r="BD1970" s="848"/>
      <c r="BE1970" s="848"/>
      <c r="BF1970" s="848"/>
      <c r="BG1970" s="848"/>
      <c r="BH1970" s="848"/>
      <c r="BJ1970" s="1184" t="s">
        <v>4763</v>
      </c>
    </row>
    <row r="1971" spans="1:62" x14ac:dyDescent="0.3">
      <c r="A1971" s="1200">
        <v>10</v>
      </c>
      <c r="B1971" s="1210">
        <v>1002.4</v>
      </c>
      <c r="C1971" s="1203"/>
      <c r="D1971" s="1203"/>
      <c r="E1971" s="1203"/>
      <c r="F1971" s="1203"/>
      <c r="G1971" s="1202" t="str">
        <f t="shared" si="672"/>
        <v/>
      </c>
      <c r="H1971" s="1200" t="s">
        <v>4388</v>
      </c>
      <c r="I1971" s="4"/>
      <c r="J1971" s="4"/>
      <c r="K1971" s="4"/>
      <c r="L1971" s="1292"/>
      <c r="M1971" s="1361" t="str">
        <f>IF(R1971,"Mandatory","N/A")</f>
        <v>N/A</v>
      </c>
      <c r="N1971" s="4"/>
      <c r="O1971" s="850"/>
      <c r="P1971" s="848"/>
      <c r="Q1971" s="848"/>
      <c r="R1971" s="848"/>
      <c r="S1971" s="848"/>
      <c r="T1971" s="848"/>
      <c r="U1971" s="848"/>
      <c r="V1971" s="848"/>
      <c r="W1971" s="848"/>
      <c r="X1971" s="1303"/>
      <c r="Y1971" s="1522"/>
      <c r="Z1971" s="1586"/>
      <c r="AB1971" s="848"/>
      <c r="AC1971" s="848"/>
      <c r="AD1971" s="848"/>
      <c r="AE1971" s="848"/>
      <c r="AF1971" s="848"/>
      <c r="AG1971" s="848"/>
      <c r="AH1971" s="848"/>
      <c r="AI1971" s="848"/>
      <c r="AJ1971" s="848"/>
      <c r="AK1971" s="848"/>
      <c r="AL1971" s="848"/>
      <c r="AM1971" s="848"/>
      <c r="AN1971" s="848"/>
      <c r="AO1971" s="848"/>
      <c r="AP1971" s="848"/>
      <c r="AQ1971" s="848"/>
      <c r="AR1971" s="848"/>
      <c r="AS1971" s="848"/>
      <c r="AT1971" s="848"/>
      <c r="AU1971" s="848"/>
      <c r="AV1971" s="848"/>
      <c r="AW1971" s="848"/>
      <c r="AX1971" s="848"/>
      <c r="AY1971" s="848"/>
      <c r="AZ1971" s="848"/>
      <c r="BA1971" s="848"/>
      <c r="BB1971" s="848"/>
      <c r="BC1971" s="848"/>
      <c r="BD1971" s="848"/>
      <c r="BE1971" s="848"/>
      <c r="BF1971" s="848"/>
      <c r="BG1971" s="848"/>
      <c r="BH1971" s="848"/>
      <c r="BJ1971" s="1184" t="s">
        <v>4763</v>
      </c>
    </row>
    <row r="1972" spans="1:62" x14ac:dyDescent="0.3">
      <c r="A1972" s="1200">
        <v>10</v>
      </c>
      <c r="B1972" s="1210">
        <v>1002.4</v>
      </c>
      <c r="C1972" s="1203"/>
      <c r="D1972" s="1203"/>
      <c r="E1972" s="1203" t="s">
        <v>271</v>
      </c>
      <c r="F1972" s="1203"/>
      <c r="G1972" s="1202" t="str">
        <f t="shared" si="672"/>
        <v/>
      </c>
      <c r="H1972" s="1200" t="s">
        <v>4388</v>
      </c>
      <c r="I1972" s="4"/>
      <c r="J1972" s="27" t="s">
        <v>271</v>
      </c>
      <c r="K1972" s="4"/>
      <c r="L1972" s="884" t="s">
        <v>3563</v>
      </c>
      <c r="M1972" s="850"/>
      <c r="N1972" s="4"/>
      <c r="O1972" s="850"/>
      <c r="P1972" s="848"/>
      <c r="Q1972" s="848"/>
      <c r="R1972" s="848"/>
      <c r="S1972" s="848"/>
      <c r="T1972" s="848"/>
      <c r="U1972" s="848"/>
      <c r="V1972" s="848"/>
      <c r="W1972" s="848"/>
      <c r="X1972" s="1303"/>
      <c r="Y1972" s="1522"/>
      <c r="Z1972" s="1586"/>
      <c r="AB1972" s="848"/>
      <c r="AC1972" s="848"/>
      <c r="AD1972" s="848"/>
      <c r="AE1972" s="848"/>
      <c r="AF1972" s="848"/>
      <c r="AG1972" s="848"/>
      <c r="AH1972" s="848"/>
      <c r="AI1972" s="848"/>
      <c r="AJ1972" s="848"/>
      <c r="AK1972" s="848"/>
      <c r="AL1972" s="848"/>
      <c r="AM1972" s="848"/>
      <c r="AN1972" s="848"/>
      <c r="AO1972" s="848"/>
      <c r="AP1972" s="848"/>
      <c r="AQ1972" s="848"/>
      <c r="AR1972" s="848"/>
      <c r="AS1972" s="848"/>
      <c r="AT1972" s="848"/>
      <c r="AU1972" s="848"/>
      <c r="AV1972" s="848"/>
      <c r="AW1972" s="848"/>
      <c r="AX1972" s="848"/>
      <c r="AY1972" s="848"/>
      <c r="AZ1972" s="848"/>
      <c r="BA1972" s="848"/>
      <c r="BB1972" s="848"/>
      <c r="BC1972" s="848"/>
      <c r="BD1972" s="848"/>
      <c r="BE1972" s="848"/>
      <c r="BF1972" s="848"/>
      <c r="BG1972" s="848"/>
      <c r="BH1972" s="848"/>
      <c r="BJ1972" s="1184" t="s">
        <v>4763</v>
      </c>
    </row>
    <row r="1973" spans="1:62" x14ac:dyDescent="0.3">
      <c r="A1973" s="1200">
        <v>10</v>
      </c>
      <c r="B1973" s="1210">
        <v>1002.4</v>
      </c>
      <c r="C1973" s="1203"/>
      <c r="D1973" s="1203"/>
      <c r="E1973" s="1203" t="s">
        <v>273</v>
      </c>
      <c r="F1973" s="1203"/>
      <c r="G1973" s="1202" t="str">
        <f t="shared" si="672"/>
        <v/>
      </c>
      <c r="H1973" s="1200" t="s">
        <v>4388</v>
      </c>
      <c r="I1973" s="4"/>
      <c r="J1973" s="27" t="s">
        <v>273</v>
      </c>
      <c r="K1973" s="4"/>
      <c r="L1973" s="884" t="s">
        <v>3564</v>
      </c>
      <c r="M1973" s="850"/>
      <c r="N1973" s="4"/>
      <c r="O1973" s="850"/>
      <c r="P1973" s="848"/>
      <c r="Q1973" s="848"/>
      <c r="R1973" s="848"/>
      <c r="S1973" s="848"/>
      <c r="T1973" s="848"/>
      <c r="U1973" s="848"/>
      <c r="V1973" s="848"/>
      <c r="W1973" s="848"/>
      <c r="X1973" s="1303"/>
      <c r="Y1973" s="1522"/>
      <c r="Z1973" s="1586"/>
      <c r="AB1973" s="848"/>
      <c r="AC1973" s="848"/>
      <c r="AD1973" s="848"/>
      <c r="AE1973" s="848"/>
      <c r="AF1973" s="848"/>
      <c r="AG1973" s="848"/>
      <c r="AH1973" s="848"/>
      <c r="AI1973" s="848"/>
      <c r="AJ1973" s="848"/>
      <c r="AK1973" s="848"/>
      <c r="AL1973" s="848"/>
      <c r="AM1973" s="848"/>
      <c r="AN1973" s="848"/>
      <c r="AO1973" s="848"/>
      <c r="AP1973" s="848"/>
      <c r="AQ1973" s="848"/>
      <c r="AR1973" s="848"/>
      <c r="AS1973" s="848"/>
      <c r="AT1973" s="848"/>
      <c r="AU1973" s="848"/>
      <c r="AV1973" s="848"/>
      <c r="AW1973" s="848"/>
      <c r="AX1973" s="848"/>
      <c r="AY1973" s="848"/>
      <c r="AZ1973" s="848"/>
      <c r="BA1973" s="848"/>
      <c r="BB1973" s="848"/>
      <c r="BC1973" s="848"/>
      <c r="BD1973" s="848"/>
      <c r="BE1973" s="848"/>
      <c r="BF1973" s="848"/>
      <c r="BG1973" s="848"/>
      <c r="BH1973" s="848"/>
      <c r="BJ1973" s="1184" t="s">
        <v>4763</v>
      </c>
    </row>
    <row r="1974" spans="1:62" x14ac:dyDescent="0.3">
      <c r="A1974" s="1200">
        <v>10</v>
      </c>
      <c r="B1974" s="1210">
        <v>1002.4</v>
      </c>
      <c r="C1974" s="1203"/>
      <c r="D1974" s="1203"/>
      <c r="E1974" s="1203" t="s">
        <v>275</v>
      </c>
      <c r="F1974" s="1203"/>
      <c r="G1974" s="1202" t="str">
        <f t="shared" si="672"/>
        <v/>
      </c>
      <c r="H1974" s="1200" t="s">
        <v>4388</v>
      </c>
      <c r="I1974" s="4"/>
      <c r="J1974" s="27" t="s">
        <v>275</v>
      </c>
      <c r="K1974" s="4"/>
      <c r="L1974" s="884" t="s">
        <v>3565</v>
      </c>
      <c r="M1974" s="850"/>
      <c r="N1974" s="4"/>
      <c r="O1974" s="850"/>
      <c r="P1974" s="848"/>
      <c r="Q1974" s="848"/>
      <c r="R1974" s="848"/>
      <c r="S1974" s="848"/>
      <c r="T1974" s="848"/>
      <c r="U1974" s="848"/>
      <c r="V1974" s="848"/>
      <c r="W1974" s="848"/>
      <c r="X1974" s="1303"/>
      <c r="Y1974" s="1522"/>
      <c r="Z1974" s="1586"/>
      <c r="AB1974" s="848"/>
      <c r="AC1974" s="848"/>
      <c r="AD1974" s="848"/>
      <c r="AE1974" s="848"/>
      <c r="AF1974" s="848"/>
      <c r="AG1974" s="848"/>
      <c r="AH1974" s="848"/>
      <c r="AI1974" s="848"/>
      <c r="AJ1974" s="848"/>
      <c r="AK1974" s="848"/>
      <c r="AL1974" s="848"/>
      <c r="AM1974" s="848"/>
      <c r="AN1974" s="848"/>
      <c r="AO1974" s="848"/>
      <c r="AP1974" s="848"/>
      <c r="AQ1974" s="848"/>
      <c r="AR1974" s="848"/>
      <c r="AS1974" s="848"/>
      <c r="AT1974" s="848"/>
      <c r="AU1974" s="848"/>
      <c r="AV1974" s="848"/>
      <c r="AW1974" s="848"/>
      <c r="AX1974" s="848"/>
      <c r="AY1974" s="848"/>
      <c r="AZ1974" s="848"/>
      <c r="BA1974" s="848"/>
      <c r="BB1974" s="848"/>
      <c r="BC1974" s="848"/>
      <c r="BD1974" s="848"/>
      <c r="BE1974" s="848"/>
      <c r="BF1974" s="848"/>
      <c r="BG1974" s="848"/>
      <c r="BH1974" s="848"/>
      <c r="BJ1974" s="1184" t="s">
        <v>4763</v>
      </c>
    </row>
    <row r="1975" spans="1:62" x14ac:dyDescent="0.3">
      <c r="A1975" s="1200">
        <v>10</v>
      </c>
      <c r="B1975" s="1210">
        <v>1002.4</v>
      </c>
      <c r="C1975" s="1203"/>
      <c r="D1975" s="1203"/>
      <c r="E1975" s="1203" t="s">
        <v>285</v>
      </c>
      <c r="F1975" s="1203"/>
      <c r="G1975" s="1202" t="str">
        <f t="shared" si="672"/>
        <v/>
      </c>
      <c r="H1975" s="1200" t="s">
        <v>4388</v>
      </c>
      <c r="I1975" s="4"/>
      <c r="J1975" s="27" t="s">
        <v>285</v>
      </c>
      <c r="K1975" s="4"/>
      <c r="L1975" s="884" t="s">
        <v>3574</v>
      </c>
      <c r="M1975" s="850"/>
      <c r="N1975" s="4"/>
      <c r="O1975" s="850"/>
      <c r="P1975" s="848"/>
      <c r="Q1975" s="848"/>
      <c r="R1975" s="848"/>
      <c r="S1975" s="848"/>
      <c r="T1975" s="848"/>
      <c r="U1975" s="848"/>
      <c r="V1975" s="848"/>
      <c r="W1975" s="848"/>
      <c r="X1975" s="1303"/>
      <c r="Y1975" s="1522"/>
      <c r="Z1975" s="1586"/>
      <c r="AB1975" s="848"/>
      <c r="AC1975" s="848"/>
      <c r="AD1975" s="848"/>
      <c r="AE1975" s="848"/>
      <c r="AF1975" s="848"/>
      <c r="AG1975" s="848"/>
      <c r="AH1975" s="848"/>
      <c r="AI1975" s="848"/>
      <c r="AJ1975" s="848"/>
      <c r="AK1975" s="848"/>
      <c r="AL1975" s="848"/>
      <c r="AM1975" s="848"/>
      <c r="AN1975" s="848"/>
      <c r="AO1975" s="848"/>
      <c r="AP1975" s="848"/>
      <c r="AQ1975" s="848"/>
      <c r="AR1975" s="848"/>
      <c r="AS1975" s="848"/>
      <c r="AT1975" s="848"/>
      <c r="AU1975" s="848"/>
      <c r="AV1975" s="848"/>
      <c r="AW1975" s="848"/>
      <c r="AX1975" s="848"/>
      <c r="AY1975" s="848"/>
      <c r="AZ1975" s="848"/>
      <c r="BA1975" s="848"/>
      <c r="BB1975" s="848"/>
      <c r="BC1975" s="848"/>
      <c r="BD1975" s="848"/>
      <c r="BE1975" s="848"/>
      <c r="BF1975" s="848"/>
      <c r="BG1975" s="848"/>
      <c r="BH1975" s="848"/>
      <c r="BJ1975" s="1184" t="s">
        <v>4763</v>
      </c>
    </row>
    <row r="1976" spans="1:62" x14ac:dyDescent="0.3">
      <c r="A1976" s="1200">
        <v>10</v>
      </c>
      <c r="B1976" s="1210">
        <v>1002.4</v>
      </c>
      <c r="C1976" s="1203"/>
      <c r="D1976" s="1203"/>
      <c r="E1976" s="1203" t="s">
        <v>291</v>
      </c>
      <c r="F1976" s="1203"/>
      <c r="G1976" s="1202" t="str">
        <f t="shared" si="672"/>
        <v/>
      </c>
      <c r="H1976" s="1200" t="s">
        <v>4388</v>
      </c>
      <c r="I1976" s="4"/>
      <c r="J1976" s="27" t="s">
        <v>291</v>
      </c>
      <c r="K1976" s="4"/>
      <c r="L1976" s="884" t="s">
        <v>3575</v>
      </c>
      <c r="M1976" s="850"/>
      <c r="N1976" s="4"/>
      <c r="O1976" s="850"/>
      <c r="P1976" s="848"/>
      <c r="Q1976" s="848"/>
      <c r="R1976" s="848"/>
      <c r="S1976" s="848"/>
      <c r="T1976" s="848"/>
      <c r="U1976" s="848"/>
      <c r="V1976" s="848"/>
      <c r="W1976" s="848"/>
      <c r="X1976" s="1303"/>
      <c r="Y1976" s="1522"/>
      <c r="Z1976" s="1586"/>
      <c r="AB1976" s="848"/>
      <c r="AC1976" s="848"/>
      <c r="AD1976" s="848"/>
      <c r="AE1976" s="848"/>
      <c r="AF1976" s="848"/>
      <c r="AG1976" s="848"/>
      <c r="AH1976" s="848"/>
      <c r="AI1976" s="848"/>
      <c r="AJ1976" s="848"/>
      <c r="AK1976" s="848"/>
      <c r="AL1976" s="848"/>
      <c r="AM1976" s="848"/>
      <c r="AN1976" s="848"/>
      <c r="AO1976" s="848"/>
      <c r="AP1976" s="848"/>
      <c r="AQ1976" s="848"/>
      <c r="AR1976" s="848"/>
      <c r="AS1976" s="848"/>
      <c r="AT1976" s="848"/>
      <c r="AU1976" s="848"/>
      <c r="AV1976" s="848"/>
      <c r="AW1976" s="848"/>
      <c r="AX1976" s="848"/>
      <c r="AY1976" s="848"/>
      <c r="AZ1976" s="848"/>
      <c r="BA1976" s="848"/>
      <c r="BB1976" s="848"/>
      <c r="BC1976" s="848"/>
      <c r="BD1976" s="848"/>
      <c r="BE1976" s="848"/>
      <c r="BF1976" s="848"/>
      <c r="BG1976" s="848"/>
      <c r="BH1976" s="848"/>
      <c r="BJ1976" s="1184" t="s">
        <v>4763</v>
      </c>
    </row>
    <row r="1977" spans="1:62" x14ac:dyDescent="0.3">
      <c r="A1977" s="1200">
        <v>10</v>
      </c>
      <c r="B1977" s="1210">
        <v>1002.4</v>
      </c>
      <c r="C1977" s="1203"/>
      <c r="D1977" s="1203"/>
      <c r="E1977" s="1203" t="s">
        <v>293</v>
      </c>
      <c r="F1977" s="1203"/>
      <c r="G1977" s="1202" t="str">
        <f t="shared" si="672"/>
        <v/>
      </c>
      <c r="H1977" s="1200" t="s">
        <v>4388</v>
      </c>
      <c r="I1977" s="4"/>
      <c r="J1977" s="27" t="s">
        <v>293</v>
      </c>
      <c r="K1977" s="4"/>
      <c r="L1977" s="884" t="s">
        <v>3568</v>
      </c>
      <c r="M1977" s="850"/>
      <c r="N1977" s="4"/>
      <c r="O1977" s="850"/>
      <c r="P1977" s="848"/>
      <c r="Q1977" s="848"/>
      <c r="R1977" s="848"/>
      <c r="S1977" s="848"/>
      <c r="T1977" s="848"/>
      <c r="U1977" s="848"/>
      <c r="V1977" s="848"/>
      <c r="W1977" s="848"/>
      <c r="X1977" s="1303"/>
      <c r="Y1977" s="1522"/>
      <c r="Z1977" s="1586"/>
      <c r="AB1977" s="848"/>
      <c r="AC1977" s="848"/>
      <c r="AD1977" s="848"/>
      <c r="AE1977" s="848"/>
      <c r="AF1977" s="848"/>
      <c r="AG1977" s="848"/>
      <c r="AH1977" s="848"/>
      <c r="AI1977" s="848"/>
      <c r="AJ1977" s="848"/>
      <c r="AK1977" s="848"/>
      <c r="AL1977" s="848"/>
      <c r="AM1977" s="848"/>
      <c r="AN1977" s="848"/>
      <c r="AO1977" s="848"/>
      <c r="AP1977" s="848"/>
      <c r="AQ1977" s="848"/>
      <c r="AR1977" s="848"/>
      <c r="AS1977" s="848"/>
      <c r="AT1977" s="848"/>
      <c r="AU1977" s="848"/>
      <c r="AV1977" s="848"/>
      <c r="AW1977" s="848"/>
      <c r="AX1977" s="848"/>
      <c r="AY1977" s="848"/>
      <c r="AZ1977" s="848"/>
      <c r="BA1977" s="848"/>
      <c r="BB1977" s="848"/>
      <c r="BC1977" s="848"/>
      <c r="BD1977" s="848"/>
      <c r="BE1977" s="848"/>
      <c r="BF1977" s="848"/>
      <c r="BG1977" s="848"/>
      <c r="BH1977" s="848"/>
      <c r="BJ1977" s="1184" t="s">
        <v>4763</v>
      </c>
    </row>
    <row r="1978" spans="1:62" x14ac:dyDescent="0.3">
      <c r="A1978" s="1200">
        <v>10</v>
      </c>
      <c r="B1978" s="1210">
        <v>1002.4</v>
      </c>
      <c r="C1978" s="1203"/>
      <c r="D1978" s="1203"/>
      <c r="E1978" s="1203" t="s">
        <v>405</v>
      </c>
      <c r="F1978" s="1203"/>
      <c r="G1978" s="1202" t="str">
        <f t="shared" si="672"/>
        <v/>
      </c>
      <c r="H1978" s="1200" t="s">
        <v>4388</v>
      </c>
      <c r="I1978" s="4"/>
      <c r="J1978" s="27" t="s">
        <v>405</v>
      </c>
      <c r="K1978" s="4"/>
      <c r="L1978" s="884" t="s">
        <v>3576</v>
      </c>
      <c r="M1978" s="850"/>
      <c r="N1978" s="4"/>
      <c r="O1978" s="850"/>
      <c r="P1978" s="848"/>
      <c r="Q1978" s="848"/>
      <c r="R1978" s="848"/>
      <c r="S1978" s="848"/>
      <c r="T1978" s="848"/>
      <c r="U1978" s="848"/>
      <c r="V1978" s="848"/>
      <c r="W1978" s="848"/>
      <c r="X1978" s="1303"/>
      <c r="Y1978" s="1522"/>
      <c r="Z1978" s="1586"/>
      <c r="AB1978" s="848"/>
      <c r="AC1978" s="848"/>
      <c r="AD1978" s="848"/>
      <c r="AE1978" s="848"/>
      <c r="AF1978" s="848"/>
      <c r="AG1978" s="848"/>
      <c r="AH1978" s="848"/>
      <c r="AI1978" s="848"/>
      <c r="AJ1978" s="848"/>
      <c r="AK1978" s="848"/>
      <c r="AL1978" s="848"/>
      <c r="AM1978" s="848"/>
      <c r="AN1978" s="848"/>
      <c r="AO1978" s="848"/>
      <c r="AP1978" s="848"/>
      <c r="AQ1978" s="848"/>
      <c r="AR1978" s="848"/>
      <c r="AS1978" s="848"/>
      <c r="AT1978" s="848"/>
      <c r="AU1978" s="848"/>
      <c r="AV1978" s="848"/>
      <c r="AW1978" s="848"/>
      <c r="AX1978" s="848"/>
      <c r="AY1978" s="848"/>
      <c r="AZ1978" s="848"/>
      <c r="BA1978" s="848"/>
      <c r="BB1978" s="848"/>
      <c r="BC1978" s="848"/>
      <c r="BD1978" s="848"/>
      <c r="BE1978" s="848"/>
      <c r="BF1978" s="848"/>
      <c r="BG1978" s="848"/>
      <c r="BH1978" s="848"/>
      <c r="BJ1978" s="1184" t="s">
        <v>4763</v>
      </c>
    </row>
    <row r="1979" spans="1:62" ht="18" x14ac:dyDescent="0.35">
      <c r="A1979" s="1200">
        <v>10</v>
      </c>
      <c r="B1979" s="1210">
        <v>1003</v>
      </c>
      <c r="C1979" s="1203"/>
      <c r="D1979" s="1203"/>
      <c r="E1979" s="1203"/>
      <c r="F1979" s="1203"/>
      <c r="G1979" s="1202" t="s">
        <v>4389</v>
      </c>
      <c r="H1979" s="1200" t="s">
        <v>4386</v>
      </c>
      <c r="I1979" s="72" t="s">
        <v>3577</v>
      </c>
      <c r="J1979" s="23"/>
      <c r="K1979" s="23"/>
      <c r="L1979" s="258"/>
      <c r="M1979" s="594"/>
      <c r="N1979" s="604"/>
      <c r="O1979" s="594"/>
      <c r="P1979" s="23"/>
      <c r="Q1979" s="23"/>
      <c r="R1979" s="23"/>
      <c r="S1979" s="23"/>
      <c r="T1979" s="23"/>
      <c r="U1979" s="23"/>
      <c r="V1979" s="23"/>
      <c r="W1979" s="23"/>
      <c r="X1979" s="23"/>
      <c r="Y1979" s="23"/>
      <c r="Z1979" s="1168"/>
      <c r="AB1979" s="848"/>
      <c r="AC1979" s="848"/>
      <c r="AD1979" s="848"/>
      <c r="AE1979" s="848"/>
      <c r="AF1979" s="848"/>
      <c r="AG1979" s="848"/>
      <c r="AH1979" s="848"/>
      <c r="AI1979" s="848"/>
      <c r="AJ1979" s="848"/>
      <c r="AK1979" s="848"/>
      <c r="AL1979" s="848"/>
      <c r="AM1979" s="848"/>
      <c r="AN1979" s="848"/>
      <c r="AO1979" s="848"/>
      <c r="AP1979" s="848"/>
      <c r="AQ1979" s="848"/>
      <c r="AR1979" s="848"/>
      <c r="AS1979" s="848"/>
      <c r="AT1979" s="848"/>
      <c r="AU1979" s="848"/>
      <c r="AV1979" s="848"/>
      <c r="AW1979" s="848"/>
      <c r="AX1979" s="848"/>
      <c r="AY1979" s="848"/>
      <c r="AZ1979" s="848"/>
      <c r="BA1979" s="848"/>
      <c r="BB1979" s="848"/>
      <c r="BC1979" s="848"/>
      <c r="BD1979" s="848"/>
      <c r="BE1979" s="848"/>
      <c r="BF1979" s="848"/>
      <c r="BG1979" s="848"/>
      <c r="BH1979" s="848"/>
      <c r="BJ1979" s="1184" t="s">
        <v>4763</v>
      </c>
    </row>
    <row r="1980" spans="1:62" x14ac:dyDescent="0.3">
      <c r="A1980" s="1200">
        <v>10</v>
      </c>
      <c r="B1980" s="1210" t="s">
        <v>4438</v>
      </c>
      <c r="C1980" s="1203"/>
      <c r="D1980" s="1203"/>
      <c r="E1980" s="1203"/>
      <c r="F1980" s="1203"/>
      <c r="G1980" s="1200"/>
      <c r="H1980" s="1200"/>
      <c r="I1980" s="926" t="s">
        <v>4438</v>
      </c>
      <c r="J1980" s="140"/>
      <c r="K1980" s="140"/>
      <c r="L1980" s="1313" t="s">
        <v>3578</v>
      </c>
      <c r="M1980" s="898"/>
      <c r="N1980" s="140"/>
      <c r="O1980" s="898"/>
      <c r="P1980" s="97"/>
      <c r="Q1980" s="97"/>
      <c r="R1980" s="97"/>
      <c r="S1980" s="97"/>
      <c r="T1980" s="97"/>
      <c r="U1980" s="97"/>
      <c r="V1980" s="97"/>
      <c r="W1980" s="97"/>
      <c r="X1980" s="97"/>
      <c r="Y1980" s="97"/>
      <c r="Z1980" s="1174"/>
      <c r="AB1980" s="848"/>
      <c r="AC1980" s="848"/>
      <c r="AD1980" s="848"/>
      <c r="AE1980" s="848"/>
      <c r="AF1980" s="848"/>
      <c r="AG1980" s="848"/>
      <c r="AH1980" s="848"/>
      <c r="AI1980" s="848"/>
      <c r="AJ1980" s="848"/>
      <c r="AK1980" s="848"/>
      <c r="AL1980" s="848"/>
      <c r="AM1980" s="848"/>
      <c r="AN1980" s="848"/>
      <c r="AO1980" s="848"/>
      <c r="AP1980" s="848"/>
      <c r="AQ1980" s="848"/>
      <c r="AR1980" s="848"/>
      <c r="AS1980" s="848"/>
      <c r="AT1980" s="848"/>
      <c r="AU1980" s="848"/>
      <c r="AV1980" s="848"/>
      <c r="AW1980" s="848"/>
      <c r="AX1980" s="848"/>
      <c r="AY1980" s="848"/>
      <c r="AZ1980" s="848"/>
      <c r="BA1980" s="848"/>
      <c r="BB1980" s="848"/>
      <c r="BC1980" s="848"/>
      <c r="BD1980" s="848"/>
      <c r="BE1980" s="848"/>
      <c r="BF1980" s="848"/>
      <c r="BG1980" s="848"/>
      <c r="BH1980" s="848"/>
      <c r="BJ1980" s="1184" t="s">
        <v>4763</v>
      </c>
    </row>
    <row r="1981" spans="1:62" x14ac:dyDescent="0.3">
      <c r="A1981" s="1200">
        <v>10</v>
      </c>
      <c r="B1981" s="1210" t="s">
        <v>4438</v>
      </c>
      <c r="C1981" s="1203"/>
      <c r="D1981" s="1203"/>
      <c r="E1981" s="1203"/>
      <c r="F1981" s="1203"/>
      <c r="G1981" s="1200"/>
      <c r="H1981" s="1200"/>
      <c r="I1981" s="899"/>
      <c r="J1981" s="140"/>
      <c r="K1981" s="140"/>
      <c r="L1981" s="1313"/>
      <c r="M1981" s="898"/>
      <c r="N1981" s="140"/>
      <c r="O1981" s="898"/>
      <c r="P1981" s="97"/>
      <c r="Q1981" s="97"/>
      <c r="R1981" s="97"/>
      <c r="S1981" s="97"/>
      <c r="T1981" s="97"/>
      <c r="U1981" s="97"/>
      <c r="V1981" s="97"/>
      <c r="W1981" s="97"/>
      <c r="X1981" s="97"/>
      <c r="Y1981" s="97"/>
      <c r="Z1981" s="1174"/>
      <c r="AB1981" s="848"/>
      <c r="AC1981" s="848"/>
      <c r="AD1981" s="848"/>
      <c r="AE1981" s="848"/>
      <c r="AF1981" s="848"/>
      <c r="AG1981" s="848"/>
      <c r="AH1981" s="848"/>
      <c r="AI1981" s="848"/>
      <c r="AJ1981" s="848"/>
      <c r="AK1981" s="848"/>
      <c r="AL1981" s="848"/>
      <c r="AM1981" s="848"/>
      <c r="AN1981" s="848"/>
      <c r="AO1981" s="848"/>
      <c r="AP1981" s="848"/>
      <c r="AQ1981" s="848"/>
      <c r="AR1981" s="848"/>
      <c r="AS1981" s="848"/>
      <c r="AT1981" s="848"/>
      <c r="AU1981" s="848"/>
      <c r="AV1981" s="848"/>
      <c r="AW1981" s="848"/>
      <c r="AX1981" s="848"/>
      <c r="AY1981" s="848"/>
      <c r="AZ1981" s="848"/>
      <c r="BA1981" s="848"/>
      <c r="BB1981" s="848"/>
      <c r="BC1981" s="848"/>
      <c r="BD1981" s="848"/>
      <c r="BE1981" s="848"/>
      <c r="BF1981" s="848"/>
      <c r="BG1981" s="848"/>
      <c r="BH1981" s="848"/>
      <c r="BJ1981" s="1184" t="s">
        <v>4763</v>
      </c>
    </row>
    <row r="1982" spans="1:62" ht="15" thickBot="1" x14ac:dyDescent="0.35">
      <c r="A1982" s="1200">
        <v>10</v>
      </c>
      <c r="B1982" s="1210" t="s">
        <v>4438</v>
      </c>
      <c r="C1982" s="1203"/>
      <c r="D1982" s="1203"/>
      <c r="E1982" s="1203"/>
      <c r="F1982" s="1203"/>
      <c r="G1982" s="1200"/>
      <c r="H1982" s="1200"/>
      <c r="I1982" s="903"/>
      <c r="J1982" s="270"/>
      <c r="K1982" s="270"/>
      <c r="L1982" s="1332"/>
      <c r="M1982" s="897"/>
      <c r="N1982" s="270"/>
      <c r="O1982" s="897"/>
      <c r="P1982" s="104"/>
      <c r="Q1982" s="104"/>
      <c r="R1982" s="104"/>
      <c r="S1982" s="104"/>
      <c r="T1982" s="104"/>
      <c r="U1982" s="104"/>
      <c r="V1982" s="104"/>
      <c r="W1982" s="104"/>
      <c r="X1982" s="104"/>
      <c r="Y1982" s="104"/>
      <c r="Z1982" s="1172"/>
      <c r="AB1982" s="848"/>
      <c r="AC1982" s="848"/>
      <c r="AD1982" s="848"/>
      <c r="AE1982" s="848"/>
      <c r="AF1982" s="848"/>
      <c r="AG1982" s="848"/>
      <c r="AH1982" s="848"/>
      <c r="AI1982" s="848"/>
      <c r="AJ1982" s="848"/>
      <c r="AK1982" s="848"/>
      <c r="AL1982" s="848"/>
      <c r="AM1982" s="848"/>
      <c r="AN1982" s="848"/>
      <c r="AO1982" s="848"/>
      <c r="AP1982" s="848"/>
      <c r="AQ1982" s="848"/>
      <c r="AR1982" s="848"/>
      <c r="AS1982" s="848"/>
      <c r="AT1982" s="848"/>
      <c r="AU1982" s="848"/>
      <c r="AV1982" s="848"/>
      <c r="AW1982" s="848"/>
      <c r="AX1982" s="848"/>
      <c r="AY1982" s="848"/>
      <c r="AZ1982" s="848"/>
      <c r="BA1982" s="848"/>
      <c r="BB1982" s="848"/>
      <c r="BC1982" s="848"/>
      <c r="BD1982" s="848"/>
      <c r="BE1982" s="848"/>
      <c r="BF1982" s="848"/>
      <c r="BG1982" s="848"/>
      <c r="BH1982" s="848"/>
      <c r="BJ1982" s="1184" t="s">
        <v>4763</v>
      </c>
    </row>
    <row r="1983" spans="1:62" ht="15" thickTop="1" x14ac:dyDescent="0.3">
      <c r="A1983" s="1200">
        <v>10</v>
      </c>
      <c r="B1983" s="1210">
        <v>1003.1</v>
      </c>
      <c r="C1983" s="1203"/>
      <c r="D1983" s="1203"/>
      <c r="E1983" s="1203"/>
      <c r="F1983" s="1203"/>
      <c r="G1983" s="1202" t="str">
        <f>IF(N1983&gt;0,"P","")</f>
        <v>P</v>
      </c>
      <c r="H1983" s="1200" t="s">
        <v>4386</v>
      </c>
      <c r="I1983" s="152">
        <v>1003.1</v>
      </c>
      <c r="J1983" s="4"/>
      <c r="K1983" s="4"/>
      <c r="L1983" s="257" t="s">
        <v>3579</v>
      </c>
      <c r="M1983" s="866" t="s">
        <v>3580</v>
      </c>
      <c r="N1983" s="850">
        <f>'Ch10'!O165</f>
        <v>1</v>
      </c>
      <c r="O1983" s="850">
        <f>MIN(2,COUNTIF(W1984:W1989,TRUE))</f>
        <v>0</v>
      </c>
      <c r="P1983" s="848"/>
      <c r="Q1983" s="848"/>
      <c r="R1983" s="848"/>
      <c r="S1983" s="848"/>
      <c r="T1983" s="848"/>
      <c r="U1983" s="848"/>
      <c r="V1983" s="848"/>
      <c r="W1983" s="848"/>
      <c r="X1983" s="848"/>
      <c r="Y1983" s="848"/>
      <c r="Z1983" s="1055"/>
      <c r="AB1983" s="848"/>
      <c r="AC1983" s="848"/>
      <c r="AD1983" s="848"/>
      <c r="AE1983" s="848"/>
      <c r="AF1983" s="848"/>
      <c r="AG1983" s="848"/>
      <c r="AH1983" s="848"/>
      <c r="AI1983" s="848"/>
      <c r="AJ1983" s="848"/>
      <c r="AK1983" s="848"/>
      <c r="AL1983" s="311" t="str">
        <f t="shared" ref="AL1983:AL1984" si="673">SUBSTITUTE(SUBSTITUTE(SUBSTITUTE("vpa"&amp;$B1983&amp;$C1983&amp;$D1983&amp;$E1983&amp;$F1983,".","_"),"(","_"),")","")</f>
        <v>vpa1003_1</v>
      </c>
      <c r="AM1983" s="311" t="str">
        <f>M1983</f>
        <v>2 Max</v>
      </c>
      <c r="AN1983" s="311" t="str">
        <f>SUBSTITUTE(SUBSTITUTE(SUBSTITUTE("vpc"&amp;$B1983&amp;$C1983&amp;$D1983&amp;$E1983&amp;$F1983,".","_"),"(","_"),")","")</f>
        <v>vpc1003_1</v>
      </c>
      <c r="AO1983" s="311">
        <f>O1983</f>
        <v>0</v>
      </c>
      <c r="AP1983" s="848"/>
      <c r="AQ1983" s="848"/>
      <c r="AR1983" s="848"/>
      <c r="AS1983" s="848"/>
      <c r="AT1983" s="848"/>
      <c r="AU1983" s="848"/>
      <c r="AV1983" s="848"/>
      <c r="AW1983" s="848"/>
      <c r="AX1983" s="848"/>
      <c r="AY1983" s="848"/>
      <c r="AZ1983" s="848"/>
      <c r="BA1983" s="848"/>
      <c r="BB1983" s="848"/>
      <c r="BC1983" s="848"/>
      <c r="BD1983" s="848"/>
      <c r="BE1983" s="848"/>
      <c r="BF1983" s="848"/>
      <c r="BG1983" s="848"/>
      <c r="BH1983" s="848"/>
      <c r="BJ1983" s="1184" t="s">
        <v>4763</v>
      </c>
    </row>
    <row r="1984" spans="1:62" x14ac:dyDescent="0.3">
      <c r="A1984" s="1200">
        <v>10</v>
      </c>
      <c r="B1984" s="1210">
        <v>1003.1</v>
      </c>
      <c r="C1984" s="1203"/>
      <c r="D1984" s="1203"/>
      <c r="E1984" s="1203" t="s">
        <v>271</v>
      </c>
      <c r="F1984" s="1203"/>
      <c r="G1984" s="1202" t="str">
        <f t="shared" ref="G1984:G1991" si="674">G1983</f>
        <v>P</v>
      </c>
      <c r="H1984" s="1200" t="s">
        <v>4387</v>
      </c>
      <c r="I1984" s="893"/>
      <c r="J1984" s="203" t="s">
        <v>271</v>
      </c>
      <c r="K1984" s="140"/>
      <c r="L1984" s="1313" t="s">
        <v>3581</v>
      </c>
      <c r="M1984" s="1318">
        <v>1</v>
      </c>
      <c r="N1984" s="4"/>
      <c r="O1984" s="850"/>
      <c r="P1984" s="848" t="b">
        <v>1</v>
      </c>
      <c r="Q1984" s="848" t="b">
        <v>0</v>
      </c>
      <c r="R1984" s="848" t="b">
        <v>0</v>
      </c>
      <c r="S1984" s="848" t="b">
        <v>1</v>
      </c>
      <c r="T1984" s="848" t="b">
        <v>0</v>
      </c>
      <c r="U1984" s="848"/>
      <c r="V1984" s="848"/>
      <c r="W1984" s="25"/>
      <c r="X1984" s="1303"/>
      <c r="Y1984" s="1522" t="str">
        <f>IF(LEN('Ch10'!X166)=0,"None",'Ch10'!X166)</f>
        <v>None</v>
      </c>
      <c r="Z1984" s="1586"/>
      <c r="AB1984" s="848"/>
      <c r="AC1984" s="848"/>
      <c r="AD1984" s="848"/>
      <c r="AE1984" s="848"/>
      <c r="AF1984" s="848"/>
      <c r="AG1984" s="848"/>
      <c r="AH1984" s="848"/>
      <c r="AI1984" s="848"/>
      <c r="AJ1984" s="848"/>
      <c r="AK1984" s="848"/>
      <c r="AL1984" s="311" t="str">
        <f t="shared" si="673"/>
        <v>vpa1003_1_1</v>
      </c>
      <c r="AM1984" s="311">
        <f>M1984</f>
        <v>1</v>
      </c>
      <c r="AN1984" s="848"/>
      <c r="AO1984" s="848"/>
      <c r="AP1984" s="311" t="str">
        <f>SUBSTITUTE(SUBSTITUTE(SUBSTITUTE("vch"&amp;$B1984&amp;$C1984&amp;$D1984&amp;$E1984&amp;$F1984,".","_"),"(","_"),")","")</f>
        <v>vch1003_1_1</v>
      </c>
      <c r="AQ1984" s="311">
        <f>W1984</f>
        <v>0</v>
      </c>
      <c r="AR1984" s="311" t="str">
        <f>SUBSTITUTE(SUBSTITUTE(SUBSTITUTE("vnt"&amp;$B1984&amp;$C1984&amp;$D1984&amp;$E1984&amp;$F1984,".","_"),"(","_"),")","")</f>
        <v>vnt1003_1_1</v>
      </c>
      <c r="AS1984" s="311">
        <f>X1984</f>
        <v>0</v>
      </c>
      <c r="AT1984" s="848"/>
      <c r="AU1984" s="848"/>
      <c r="AV1984" s="848"/>
      <c r="AW1984" s="848"/>
      <c r="AX1984" s="848"/>
      <c r="AY1984" s="848"/>
      <c r="AZ1984" s="848"/>
      <c r="BA1984" s="848"/>
      <c r="BB1984" s="848"/>
      <c r="BC1984" s="848"/>
      <c r="BD1984" s="848"/>
      <c r="BE1984" s="848"/>
      <c r="BF1984" s="848"/>
      <c r="BG1984" s="848"/>
      <c r="BH1984" s="848"/>
      <c r="BJ1984" s="1184" t="s">
        <v>4763</v>
      </c>
    </row>
    <row r="1985" spans="1:62" x14ac:dyDescent="0.3">
      <c r="A1985" s="1200">
        <v>10</v>
      </c>
      <c r="B1985" s="1210">
        <v>1003.1</v>
      </c>
      <c r="C1985" s="1203"/>
      <c r="D1985" s="1203"/>
      <c r="E1985" s="1203" t="s">
        <v>271</v>
      </c>
      <c r="F1985" s="1203"/>
      <c r="G1985" s="1202" t="str">
        <f t="shared" si="674"/>
        <v>P</v>
      </c>
      <c r="H1985" s="1200" t="s">
        <v>4387</v>
      </c>
      <c r="I1985" s="893"/>
      <c r="J1985" s="231"/>
      <c r="K1985" s="238"/>
      <c r="L1985" s="1350"/>
      <c r="M1985" s="1319"/>
      <c r="N1985" s="4"/>
      <c r="O1985" s="850"/>
      <c r="P1985" s="848"/>
      <c r="Q1985" s="848"/>
      <c r="R1985" s="848"/>
      <c r="S1985" s="848"/>
      <c r="T1985" s="848"/>
      <c r="U1985" s="848"/>
      <c r="V1985" s="848"/>
      <c r="W1985" s="848"/>
      <c r="X1985" s="1303"/>
      <c r="Y1985" s="1522"/>
      <c r="Z1985" s="1586"/>
      <c r="AB1985" s="848"/>
      <c r="AC1985" s="848"/>
      <c r="AD1985" s="848"/>
      <c r="AE1985" s="848"/>
      <c r="AF1985" s="848"/>
      <c r="AG1985" s="848"/>
      <c r="AH1985" s="848"/>
      <c r="AI1985" s="848"/>
      <c r="AJ1985" s="848"/>
      <c r="AK1985" s="848"/>
      <c r="AL1985" s="848"/>
      <c r="AM1985" s="848"/>
      <c r="AN1985" s="848"/>
      <c r="AO1985" s="848"/>
      <c r="AP1985" s="848"/>
      <c r="AQ1985" s="848"/>
      <c r="AR1985" s="848"/>
      <c r="AS1985" s="848"/>
      <c r="AT1985" s="848"/>
      <c r="AU1985" s="848"/>
      <c r="AV1985" s="848"/>
      <c r="AW1985" s="848"/>
      <c r="AX1985" s="848"/>
      <c r="AY1985" s="848"/>
      <c r="AZ1985" s="848"/>
      <c r="BA1985" s="848"/>
      <c r="BB1985" s="848"/>
      <c r="BC1985" s="848"/>
      <c r="BD1985" s="848"/>
      <c r="BE1985" s="848"/>
      <c r="BF1985" s="848"/>
      <c r="BG1985" s="848"/>
      <c r="BH1985" s="848"/>
      <c r="BJ1985" s="1184" t="s">
        <v>4763</v>
      </c>
    </row>
    <row r="1986" spans="1:62" x14ac:dyDescent="0.3">
      <c r="A1986" s="1200">
        <v>10</v>
      </c>
      <c r="B1986" s="1210">
        <v>1003.1</v>
      </c>
      <c r="C1986" s="1203"/>
      <c r="D1986" s="1203"/>
      <c r="E1986" s="1203" t="s">
        <v>273</v>
      </c>
      <c r="F1986" s="1203"/>
      <c r="G1986" s="1202" t="str">
        <f t="shared" si="674"/>
        <v>P</v>
      </c>
      <c r="H1986" s="1200" t="s">
        <v>4388</v>
      </c>
      <c r="I1986" s="893"/>
      <c r="J1986" s="237" t="s">
        <v>273</v>
      </c>
      <c r="K1986" s="216"/>
      <c r="L1986" s="1364" t="s">
        <v>3582</v>
      </c>
      <c r="M1986" s="1323">
        <v>1</v>
      </c>
      <c r="N1986" s="4"/>
      <c r="O1986" s="850"/>
      <c r="P1986" s="848" t="b">
        <v>0</v>
      </c>
      <c r="Q1986" s="848" t="b">
        <v>1</v>
      </c>
      <c r="R1986" s="848" t="b">
        <v>0</v>
      </c>
      <c r="S1986" s="848" t="b">
        <v>1</v>
      </c>
      <c r="T1986" s="848" t="b">
        <v>0</v>
      </c>
      <c r="U1986" s="848"/>
      <c r="V1986" s="848"/>
      <c r="W1986" s="25"/>
      <c r="X1986" s="1303"/>
      <c r="Y1986" s="1522" t="str">
        <f>IF(LEN('Ch10'!X168)=0,"None",'Ch10'!X168)</f>
        <v>None</v>
      </c>
      <c r="Z1986" s="1586"/>
      <c r="AB1986" s="848"/>
      <c r="AC1986" s="848"/>
      <c r="AD1986" s="848"/>
      <c r="AE1986" s="848"/>
      <c r="AF1986" s="848"/>
      <c r="AG1986" s="848"/>
      <c r="AH1986" s="848"/>
      <c r="AI1986" s="848"/>
      <c r="AJ1986" s="848"/>
      <c r="AK1986" s="848"/>
      <c r="AL1986" s="311" t="str">
        <f t="shared" ref="AL1986" si="675">SUBSTITUTE(SUBSTITUTE(SUBSTITUTE("vpa"&amp;$B1986&amp;$C1986&amp;$D1986&amp;$E1986&amp;$F1986,".","_"),"(","_"),")","")</f>
        <v>vpa1003_1_2</v>
      </c>
      <c r="AM1986" s="311">
        <f>M1986</f>
        <v>1</v>
      </c>
      <c r="AN1986" s="848"/>
      <c r="AO1986" s="848"/>
      <c r="AP1986" s="311" t="str">
        <f>SUBSTITUTE(SUBSTITUTE(SUBSTITUTE("vch"&amp;$B1986&amp;$C1986&amp;$D1986&amp;$E1986&amp;$F1986,".","_"),"(","_"),")","")</f>
        <v>vch1003_1_2</v>
      </c>
      <c r="AQ1986" s="311">
        <f>W1986</f>
        <v>0</v>
      </c>
      <c r="AR1986" s="311" t="str">
        <f>SUBSTITUTE(SUBSTITUTE(SUBSTITUTE("vnt"&amp;$B1986&amp;$C1986&amp;$D1986&amp;$E1986&amp;$F1986,".","_"),"(","_"),")","")</f>
        <v>vnt1003_1_2</v>
      </c>
      <c r="AS1986" s="311">
        <f>X1986</f>
        <v>0</v>
      </c>
      <c r="AT1986" s="848"/>
      <c r="AU1986" s="848"/>
      <c r="AV1986" s="848"/>
      <c r="AW1986" s="848"/>
      <c r="AX1986" s="848"/>
      <c r="AY1986" s="848"/>
      <c r="AZ1986" s="848"/>
      <c r="BA1986" s="848"/>
      <c r="BB1986" s="848"/>
      <c r="BC1986" s="848"/>
      <c r="BD1986" s="848"/>
      <c r="BE1986" s="848"/>
      <c r="BF1986" s="848"/>
      <c r="BG1986" s="848"/>
      <c r="BH1986" s="848"/>
      <c r="BJ1986" s="1184" t="s">
        <v>4763</v>
      </c>
    </row>
    <row r="1987" spans="1:62" x14ac:dyDescent="0.3">
      <c r="A1987" s="1200">
        <v>10</v>
      </c>
      <c r="B1987" s="1210">
        <v>1003.1</v>
      </c>
      <c r="C1987" s="1203"/>
      <c r="D1987" s="1203"/>
      <c r="E1987" s="1203" t="s">
        <v>273</v>
      </c>
      <c r="F1987" s="1203"/>
      <c r="G1987" s="1202" t="str">
        <f t="shared" si="674"/>
        <v>P</v>
      </c>
      <c r="H1987" s="1200" t="s">
        <v>4388</v>
      </c>
      <c r="I1987" s="893"/>
      <c r="J1987" s="203"/>
      <c r="K1987" s="140"/>
      <c r="L1987" s="1313"/>
      <c r="M1987" s="1318"/>
      <c r="N1987" s="4"/>
      <c r="O1987" s="850"/>
      <c r="P1987" s="848"/>
      <c r="Q1987" s="848"/>
      <c r="R1987" s="848"/>
      <c r="S1987" s="848"/>
      <c r="T1987" s="848"/>
      <c r="U1987" s="848"/>
      <c r="V1987" s="848"/>
      <c r="W1987" s="848"/>
      <c r="X1987" s="1303"/>
      <c r="Y1987" s="1522"/>
      <c r="Z1987" s="1586"/>
      <c r="AB1987" s="848"/>
      <c r="AC1987" s="848"/>
      <c r="AD1987" s="848"/>
      <c r="AE1987" s="848"/>
      <c r="AF1987" s="848"/>
      <c r="AG1987" s="848"/>
      <c r="AH1987" s="848"/>
      <c r="AI1987" s="848"/>
      <c r="AJ1987" s="848"/>
      <c r="AK1987" s="848"/>
      <c r="AL1987" s="848"/>
      <c r="AM1987" s="848"/>
      <c r="AN1987" s="848"/>
      <c r="AO1987" s="848"/>
      <c r="AP1987" s="848"/>
      <c r="AQ1987" s="848"/>
      <c r="AR1987" s="848"/>
      <c r="AS1987" s="848"/>
      <c r="AT1987" s="848"/>
      <c r="AU1987" s="848"/>
      <c r="AV1987" s="848"/>
      <c r="AW1987" s="848"/>
      <c r="AX1987" s="848"/>
      <c r="AY1987" s="848"/>
      <c r="AZ1987" s="848"/>
      <c r="BA1987" s="848"/>
      <c r="BB1987" s="848"/>
      <c r="BC1987" s="848"/>
      <c r="BD1987" s="848"/>
      <c r="BE1987" s="848"/>
      <c r="BF1987" s="848"/>
      <c r="BG1987" s="848"/>
      <c r="BH1987" s="848"/>
      <c r="BJ1987" s="1184" t="s">
        <v>4763</v>
      </c>
    </row>
    <row r="1988" spans="1:62" x14ac:dyDescent="0.3">
      <c r="A1988" s="1200">
        <v>10</v>
      </c>
      <c r="B1988" s="1210">
        <v>1003.1</v>
      </c>
      <c r="C1988" s="1203"/>
      <c r="D1988" s="1203"/>
      <c r="E1988" s="1203" t="s">
        <v>273</v>
      </c>
      <c r="F1988" s="1203"/>
      <c r="G1988" s="1202" t="str">
        <f t="shared" si="674"/>
        <v>P</v>
      </c>
      <c r="H1988" s="1200" t="s">
        <v>4388</v>
      </c>
      <c r="I1988" s="893"/>
      <c r="J1988" s="231"/>
      <c r="K1988" s="238"/>
      <c r="L1988" s="1350"/>
      <c r="M1988" s="1319"/>
      <c r="N1988" s="4"/>
      <c r="O1988" s="850"/>
      <c r="P1988" s="848"/>
      <c r="Q1988" s="848"/>
      <c r="R1988" s="848"/>
      <c r="S1988" s="848"/>
      <c r="T1988" s="848"/>
      <c r="U1988" s="848"/>
      <c r="V1988" s="848"/>
      <c r="W1988" s="848"/>
      <c r="X1988" s="1303"/>
      <c r="Y1988" s="1522"/>
      <c r="Z1988" s="1586"/>
      <c r="AB1988" s="848"/>
      <c r="AC1988" s="848"/>
      <c r="AD1988" s="848"/>
      <c r="AE1988" s="848"/>
      <c r="AF1988" s="848"/>
      <c r="AG1988" s="848"/>
      <c r="AH1988" s="848"/>
      <c r="AI1988" s="848"/>
      <c r="AJ1988" s="848"/>
      <c r="AK1988" s="848"/>
      <c r="AL1988" s="848"/>
      <c r="AM1988" s="848"/>
      <c r="AN1988" s="848"/>
      <c r="AO1988" s="848"/>
      <c r="AP1988" s="848"/>
      <c r="AQ1988" s="848"/>
      <c r="AR1988" s="848"/>
      <c r="AS1988" s="848"/>
      <c r="AT1988" s="848"/>
      <c r="AU1988" s="848"/>
      <c r="AV1988" s="848"/>
      <c r="AW1988" s="848"/>
      <c r="AX1988" s="848"/>
      <c r="AY1988" s="848"/>
      <c r="AZ1988" s="848"/>
      <c r="BA1988" s="848"/>
      <c r="BB1988" s="848"/>
      <c r="BC1988" s="848"/>
      <c r="BD1988" s="848"/>
      <c r="BE1988" s="848"/>
      <c r="BF1988" s="848"/>
      <c r="BG1988" s="848"/>
      <c r="BH1988" s="848"/>
      <c r="BJ1988" s="1184" t="s">
        <v>4763</v>
      </c>
    </row>
    <row r="1989" spans="1:62" x14ac:dyDescent="0.3">
      <c r="A1989" s="1200">
        <v>10</v>
      </c>
      <c r="B1989" s="1210">
        <v>1003.1</v>
      </c>
      <c r="C1989" s="1203"/>
      <c r="D1989" s="1203"/>
      <c r="E1989" s="1203" t="s">
        <v>275</v>
      </c>
      <c r="F1989" s="1203"/>
      <c r="G1989" s="1202" t="str">
        <f t="shared" si="674"/>
        <v>P</v>
      </c>
      <c r="H1989" s="1200" t="s">
        <v>4387</v>
      </c>
      <c r="I1989" s="893"/>
      <c r="J1989" s="27" t="s">
        <v>275</v>
      </c>
      <c r="K1989" s="4"/>
      <c r="L1989" s="1292" t="s">
        <v>3583</v>
      </c>
      <c r="M1989" s="1335">
        <v>1</v>
      </c>
      <c r="N1989" s="4"/>
      <c r="O1989" s="850"/>
      <c r="P1989" s="848" t="b">
        <v>1</v>
      </c>
      <c r="Q1989" s="848" t="b">
        <v>0</v>
      </c>
      <c r="R1989" s="848" t="b">
        <v>0</v>
      </c>
      <c r="S1989" s="848" t="b">
        <v>1</v>
      </c>
      <c r="T1989" s="848" t="b">
        <v>0</v>
      </c>
      <c r="U1989" s="848"/>
      <c r="V1989" s="848"/>
      <c r="W1989" s="25"/>
      <c r="X1989" s="1303"/>
      <c r="Y1989" s="1522" t="str">
        <f>IF(LEN('Ch10'!X171)=0,"None",'Ch10'!X171)</f>
        <v>None</v>
      </c>
      <c r="Z1989" s="1586"/>
      <c r="AB1989" s="848"/>
      <c r="AC1989" s="848"/>
      <c r="AD1989" s="848"/>
      <c r="AE1989" s="848"/>
      <c r="AF1989" s="848"/>
      <c r="AG1989" s="848"/>
      <c r="AH1989" s="848"/>
      <c r="AI1989" s="848"/>
      <c r="AJ1989" s="848"/>
      <c r="AK1989" s="848"/>
      <c r="AL1989" s="311" t="str">
        <f t="shared" ref="AL1989" si="676">SUBSTITUTE(SUBSTITUTE(SUBSTITUTE("vpa"&amp;$B1989&amp;$C1989&amp;$D1989&amp;$E1989&amp;$F1989,".","_"),"(","_"),")","")</f>
        <v>vpa1003_1_3</v>
      </c>
      <c r="AM1989" s="311">
        <f>M1989</f>
        <v>1</v>
      </c>
      <c r="AN1989" s="848"/>
      <c r="AO1989" s="848"/>
      <c r="AP1989" s="311" t="str">
        <f>SUBSTITUTE(SUBSTITUTE(SUBSTITUTE("vch"&amp;$B1989&amp;$C1989&amp;$D1989&amp;$E1989&amp;$F1989,".","_"),"(","_"),")","")</f>
        <v>vch1003_1_3</v>
      </c>
      <c r="AQ1989" s="311">
        <f>W1989</f>
        <v>0</v>
      </c>
      <c r="AR1989" s="311" t="str">
        <f>SUBSTITUTE(SUBSTITUTE(SUBSTITUTE("vnt"&amp;$B1989&amp;$C1989&amp;$D1989&amp;$E1989&amp;$F1989,".","_"),"(","_"),")","")</f>
        <v>vnt1003_1_3</v>
      </c>
      <c r="AS1989" s="311">
        <f>X1989</f>
        <v>0</v>
      </c>
      <c r="AT1989" s="848"/>
      <c r="AU1989" s="848"/>
      <c r="AV1989" s="848"/>
      <c r="AW1989" s="848"/>
      <c r="AX1989" s="848"/>
      <c r="AY1989" s="848"/>
      <c r="AZ1989" s="848"/>
      <c r="BA1989" s="848"/>
      <c r="BB1989" s="848"/>
      <c r="BC1989" s="848"/>
      <c r="BD1989" s="848"/>
      <c r="BE1989" s="848"/>
      <c r="BF1989" s="848"/>
      <c r="BG1989" s="848"/>
      <c r="BH1989" s="848"/>
      <c r="BJ1989" s="1184" t="s">
        <v>4763</v>
      </c>
    </row>
    <row r="1990" spans="1:62" x14ac:dyDescent="0.3">
      <c r="A1990" s="1200">
        <v>10</v>
      </c>
      <c r="B1990" s="1210">
        <v>1003.1</v>
      </c>
      <c r="C1990" s="1203"/>
      <c r="D1990" s="1203"/>
      <c r="E1990" s="1203" t="s">
        <v>275</v>
      </c>
      <c r="F1990" s="1203"/>
      <c r="G1990" s="1202" t="str">
        <f t="shared" si="674"/>
        <v>P</v>
      </c>
      <c r="H1990" s="1200" t="s">
        <v>4387</v>
      </c>
      <c r="I1990" s="893"/>
      <c r="J1990" s="4"/>
      <c r="K1990" s="4"/>
      <c r="L1990" s="1292"/>
      <c r="M1990" s="1335"/>
      <c r="N1990" s="4"/>
      <c r="O1990" s="850"/>
      <c r="P1990" s="848"/>
      <c r="Q1990" s="848"/>
      <c r="R1990" s="848"/>
      <c r="S1990" s="848"/>
      <c r="T1990" s="848"/>
      <c r="U1990" s="848"/>
      <c r="V1990" s="848"/>
      <c r="W1990" s="848"/>
      <c r="X1990" s="1303"/>
      <c r="Y1990" s="1522"/>
      <c r="Z1990" s="1586"/>
      <c r="AB1990" s="848"/>
      <c r="AC1990" s="848"/>
      <c r="AD1990" s="848"/>
      <c r="AE1990" s="848"/>
      <c r="AF1990" s="848"/>
      <c r="AG1990" s="848"/>
      <c r="AH1990" s="848"/>
      <c r="AI1990" s="848"/>
      <c r="AJ1990" s="848"/>
      <c r="AK1990" s="848"/>
      <c r="AL1990" s="848"/>
      <c r="AM1990" s="848"/>
      <c r="AN1990" s="848"/>
      <c r="AO1990" s="848"/>
      <c r="AP1990" s="848"/>
      <c r="AQ1990" s="848"/>
      <c r="AR1990" s="848"/>
      <c r="AS1990" s="848"/>
      <c r="AT1990" s="848"/>
      <c r="AU1990" s="848"/>
      <c r="AV1990" s="848"/>
      <c r="AW1990" s="848"/>
      <c r="AX1990" s="848"/>
      <c r="AY1990" s="848"/>
      <c r="AZ1990" s="848"/>
      <c r="BA1990" s="848"/>
      <c r="BB1990" s="848"/>
      <c r="BC1990" s="848"/>
      <c r="BD1990" s="848"/>
      <c r="BE1990" s="848"/>
      <c r="BF1990" s="848"/>
      <c r="BG1990" s="848"/>
      <c r="BH1990" s="848"/>
      <c r="BJ1990" s="1184" t="s">
        <v>4763</v>
      </c>
    </row>
    <row r="1991" spans="1:62" x14ac:dyDescent="0.3">
      <c r="A1991" s="1200">
        <v>10</v>
      </c>
      <c r="B1991" s="1210">
        <v>1003.1</v>
      </c>
      <c r="C1991" s="1203"/>
      <c r="D1991" s="1203"/>
      <c r="E1991" s="1203" t="s">
        <v>275</v>
      </c>
      <c r="F1991" s="1203"/>
      <c r="G1991" s="1202" t="str">
        <f t="shared" si="674"/>
        <v>P</v>
      </c>
      <c r="H1991" s="1200" t="s">
        <v>4387</v>
      </c>
      <c r="I1991" s="893"/>
      <c r="J1991" s="4"/>
      <c r="K1991" s="4"/>
      <c r="L1991" s="1292"/>
      <c r="M1991" s="1335"/>
      <c r="N1991" s="4"/>
      <c r="O1991" s="850"/>
      <c r="P1991" s="848"/>
      <c r="Q1991" s="848"/>
      <c r="R1991" s="848"/>
      <c r="S1991" s="848"/>
      <c r="T1991" s="848"/>
      <c r="U1991" s="848"/>
      <c r="V1991" s="848"/>
      <c r="W1991" s="848"/>
      <c r="X1991" s="1303"/>
      <c r="Y1991" s="1522"/>
      <c r="Z1991" s="1586"/>
      <c r="AB1991" s="848"/>
      <c r="AC1991" s="848"/>
      <c r="AD1991" s="848"/>
      <c r="AE1991" s="848"/>
      <c r="AF1991" s="848"/>
      <c r="AG1991" s="848"/>
      <c r="AH1991" s="848"/>
      <c r="AI1991" s="848"/>
      <c r="AJ1991" s="848"/>
      <c r="AK1991" s="848"/>
      <c r="AL1991" s="848"/>
      <c r="AM1991" s="848"/>
      <c r="AN1991" s="848"/>
      <c r="AO1991" s="848"/>
      <c r="AP1991" s="848"/>
      <c r="AQ1991" s="848"/>
      <c r="AR1991" s="848"/>
      <c r="AS1991" s="848"/>
      <c r="AT1991" s="848"/>
      <c r="AU1991" s="848"/>
      <c r="AV1991" s="848"/>
      <c r="AW1991" s="848"/>
      <c r="AX1991" s="848"/>
      <c r="AY1991" s="848"/>
      <c r="AZ1991" s="848"/>
      <c r="BA1991" s="848"/>
      <c r="BB1991" s="848"/>
      <c r="BC1991" s="848"/>
      <c r="BD1991" s="848"/>
      <c r="BE1991" s="848"/>
      <c r="BF1991" s="848"/>
      <c r="BG1991" s="848"/>
      <c r="BH1991" s="848"/>
      <c r="BJ1991" s="1184" t="s">
        <v>4763</v>
      </c>
    </row>
    <row r="1992" spans="1:62" ht="18" x14ac:dyDescent="0.35">
      <c r="A1992" s="1200">
        <v>10</v>
      </c>
      <c r="B1992" s="1210">
        <v>1004</v>
      </c>
      <c r="C1992" s="1208"/>
      <c r="D1992" s="1208"/>
      <c r="E1992" s="1208"/>
      <c r="F1992" s="1208"/>
      <c r="G1992" s="1202" t="s">
        <v>4389</v>
      </c>
      <c r="H1992" s="1200" t="s">
        <v>4386</v>
      </c>
      <c r="I1992" s="72" t="s">
        <v>3584</v>
      </c>
      <c r="J1992" s="23"/>
      <c r="K1992" s="23"/>
      <c r="L1992" s="258"/>
      <c r="M1992" s="594"/>
      <c r="N1992" s="604"/>
      <c r="O1992" s="594"/>
      <c r="P1992" s="23"/>
      <c r="Q1992" s="23"/>
      <c r="R1992" s="23"/>
      <c r="S1992" s="23"/>
      <c r="T1992" s="23"/>
      <c r="U1992" s="23"/>
      <c r="V1992" s="23"/>
      <c r="W1992" s="23"/>
      <c r="X1992" s="23"/>
      <c r="Y1992" s="23"/>
      <c r="Z1992" s="1168"/>
      <c r="AB1992" s="848"/>
      <c r="AC1992" s="848"/>
      <c r="AD1992" s="848"/>
      <c r="AE1992" s="848"/>
      <c r="AF1992" s="848"/>
      <c r="AG1992" s="848"/>
      <c r="AH1992" s="848"/>
      <c r="AI1992" s="848"/>
      <c r="AJ1992" s="848"/>
      <c r="AK1992" s="848"/>
      <c r="AL1992" s="848"/>
      <c r="AM1992" s="848"/>
      <c r="AN1992" s="848"/>
      <c r="AO1992" s="848"/>
      <c r="AP1992" s="848"/>
      <c r="AQ1992" s="848"/>
      <c r="AR1992" s="848"/>
      <c r="AS1992" s="848"/>
      <c r="AT1992" s="848"/>
      <c r="AU1992" s="848"/>
      <c r="AV1992" s="848"/>
      <c r="AW1992" s="848"/>
      <c r="AX1992" s="848"/>
      <c r="AY1992" s="848"/>
      <c r="AZ1992" s="848"/>
      <c r="BA1992" s="848"/>
      <c r="BB1992" s="848"/>
      <c r="BC1992" s="848"/>
      <c r="BD1992" s="848"/>
      <c r="BE1992" s="848"/>
      <c r="BF1992" s="848"/>
      <c r="BG1992" s="848"/>
      <c r="BH1992" s="848"/>
      <c r="BJ1992" s="1184" t="s">
        <v>4763</v>
      </c>
    </row>
    <row r="1993" spans="1:62" x14ac:dyDescent="0.3">
      <c r="A1993" s="1200">
        <v>10</v>
      </c>
      <c r="B1993" s="1210" t="s">
        <v>4439</v>
      </c>
      <c r="C1993" s="1203"/>
      <c r="D1993" s="1203"/>
      <c r="E1993" s="1203"/>
      <c r="F1993" s="1203"/>
      <c r="G1993" s="1200"/>
      <c r="H1993" s="1200"/>
      <c r="I1993" s="926" t="s">
        <v>4439</v>
      </c>
      <c r="J1993" s="140"/>
      <c r="K1993" s="140"/>
      <c r="L1993" s="1313" t="s">
        <v>3585</v>
      </c>
      <c r="M1993" s="898"/>
      <c r="N1993" s="140"/>
      <c r="O1993" s="898"/>
      <c r="P1993" s="97"/>
      <c r="Q1993" s="97"/>
      <c r="R1993" s="97"/>
      <c r="S1993" s="97"/>
      <c r="T1993" s="97"/>
      <c r="U1993" s="97"/>
      <c r="V1993" s="97"/>
      <c r="W1993" s="97"/>
      <c r="X1993" s="97"/>
      <c r="Y1993" s="97"/>
      <c r="Z1993" s="1174"/>
      <c r="AB1993" s="848"/>
      <c r="AC1993" s="848"/>
      <c r="AD1993" s="848"/>
      <c r="AE1993" s="848"/>
      <c r="AF1993" s="848"/>
      <c r="AG1993" s="848"/>
      <c r="AH1993" s="848"/>
      <c r="AI1993" s="848"/>
      <c r="AJ1993" s="848"/>
      <c r="AK1993" s="848"/>
      <c r="AL1993" s="848"/>
      <c r="AM1993" s="848"/>
      <c r="AN1993" s="848"/>
      <c r="AO1993" s="848"/>
      <c r="AP1993" s="848"/>
      <c r="AQ1993" s="848"/>
      <c r="AR1993" s="848"/>
      <c r="AS1993" s="848"/>
      <c r="AT1993" s="848"/>
      <c r="AU1993" s="848"/>
      <c r="AV1993" s="848"/>
      <c r="AW1993" s="848"/>
      <c r="AX1993" s="848"/>
      <c r="AY1993" s="848"/>
      <c r="AZ1993" s="848"/>
      <c r="BA1993" s="848"/>
      <c r="BB1993" s="848"/>
      <c r="BC1993" s="848"/>
      <c r="BD1993" s="848"/>
      <c r="BE1993" s="848"/>
      <c r="BF1993" s="848"/>
      <c r="BG1993" s="848"/>
      <c r="BH1993" s="848"/>
      <c r="BJ1993" s="1184" t="s">
        <v>4763</v>
      </c>
    </row>
    <row r="1994" spans="1:62" x14ac:dyDescent="0.3">
      <c r="A1994" s="1200">
        <v>10</v>
      </c>
      <c r="B1994" s="1210" t="s">
        <v>4439</v>
      </c>
      <c r="C1994" s="1203"/>
      <c r="D1994" s="1203"/>
      <c r="E1994" s="1203"/>
      <c r="F1994" s="1203"/>
      <c r="G1994" s="1200"/>
      <c r="H1994" s="1200"/>
      <c r="I1994" s="899"/>
      <c r="J1994" s="140"/>
      <c r="K1994" s="140"/>
      <c r="L1994" s="1313"/>
      <c r="M1994" s="898"/>
      <c r="N1994" s="140"/>
      <c r="O1994" s="898"/>
      <c r="P1994" s="97"/>
      <c r="Q1994" s="97"/>
      <c r="R1994" s="97"/>
      <c r="S1994" s="97"/>
      <c r="T1994" s="97"/>
      <c r="U1994" s="97"/>
      <c r="V1994" s="97"/>
      <c r="W1994" s="97"/>
      <c r="X1994" s="97"/>
      <c r="Y1994" s="97"/>
      <c r="Z1994" s="1174"/>
      <c r="AB1994" s="848"/>
      <c r="AC1994" s="848"/>
      <c r="AD1994" s="848"/>
      <c r="AE1994" s="848"/>
      <c r="AF1994" s="848"/>
      <c r="AG1994" s="848"/>
      <c r="AH1994" s="848"/>
      <c r="AI1994" s="848"/>
      <c r="AJ1994" s="848"/>
      <c r="AK1994" s="848"/>
      <c r="AL1994" s="848"/>
      <c r="AM1994" s="848"/>
      <c r="AN1994" s="848"/>
      <c r="AO1994" s="848"/>
      <c r="AP1994" s="848"/>
      <c r="AQ1994" s="848"/>
      <c r="AR1994" s="848"/>
      <c r="AS1994" s="848"/>
      <c r="AT1994" s="848"/>
      <c r="AU1994" s="848"/>
      <c r="AV1994" s="848"/>
      <c r="AW1994" s="848"/>
      <c r="AX1994" s="848"/>
      <c r="AY1994" s="848"/>
      <c r="AZ1994" s="848"/>
      <c r="BA1994" s="848"/>
      <c r="BB1994" s="848"/>
      <c r="BC1994" s="848"/>
      <c r="BD1994" s="848"/>
      <c r="BE1994" s="848"/>
      <c r="BF1994" s="848"/>
      <c r="BG1994" s="848"/>
      <c r="BH1994" s="848"/>
      <c r="BJ1994" s="1184" t="s">
        <v>4763</v>
      </c>
    </row>
    <row r="1995" spans="1:62" x14ac:dyDescent="0.3">
      <c r="A1995" s="1200">
        <v>10</v>
      </c>
      <c r="B1995" s="1210" t="s">
        <v>4439</v>
      </c>
      <c r="C1995" s="1203"/>
      <c r="D1995" s="1203"/>
      <c r="E1995" s="1203"/>
      <c r="F1995" s="1203"/>
      <c r="G1995" s="1200"/>
      <c r="H1995" s="1200"/>
      <c r="I1995" s="899"/>
      <c r="J1995" s="140"/>
      <c r="K1995" s="140"/>
      <c r="L1995" s="1313"/>
      <c r="M1995" s="898"/>
      <c r="N1995" s="140"/>
      <c r="O1995" s="898"/>
      <c r="P1995" s="97"/>
      <c r="Q1995" s="97"/>
      <c r="R1995" s="97"/>
      <c r="S1995" s="97"/>
      <c r="T1995" s="97"/>
      <c r="U1995" s="97"/>
      <c r="V1995" s="97"/>
      <c r="W1995" s="97"/>
      <c r="X1995" s="97"/>
      <c r="Y1995" s="97"/>
      <c r="Z1995" s="1174"/>
      <c r="AB1995" s="848"/>
      <c r="AC1995" s="848"/>
      <c r="AD1995" s="848"/>
      <c r="AE1995" s="848"/>
      <c r="AF1995" s="848"/>
      <c r="AG1995" s="848"/>
      <c r="AH1995" s="848"/>
      <c r="AI1995" s="848"/>
      <c r="AJ1995" s="848"/>
      <c r="AK1995" s="848"/>
      <c r="AL1995" s="848"/>
      <c r="AM1995" s="848"/>
      <c r="AN1995" s="848"/>
      <c r="AO1995" s="848"/>
      <c r="AP1995" s="848"/>
      <c r="AQ1995" s="848"/>
      <c r="AR1995" s="848"/>
      <c r="AS1995" s="848"/>
      <c r="AT1995" s="848"/>
      <c r="AU1995" s="848"/>
      <c r="AV1995" s="848"/>
      <c r="AW1995" s="848"/>
      <c r="AX1995" s="848"/>
      <c r="AY1995" s="848"/>
      <c r="AZ1995" s="848"/>
      <c r="BA1995" s="848"/>
      <c r="BB1995" s="848"/>
      <c r="BC1995" s="848"/>
      <c r="BD1995" s="848"/>
      <c r="BE1995" s="848"/>
      <c r="BF1995" s="848"/>
      <c r="BG1995" s="848"/>
      <c r="BH1995" s="848"/>
      <c r="BJ1995" s="1184" t="s">
        <v>4763</v>
      </c>
    </row>
    <row r="1996" spans="1:62" ht="15" thickBot="1" x14ac:dyDescent="0.35">
      <c r="A1996" s="1200">
        <v>10</v>
      </c>
      <c r="B1996" s="1210" t="s">
        <v>4439</v>
      </c>
      <c r="C1996" s="1203"/>
      <c r="D1996" s="1203"/>
      <c r="E1996" s="1203"/>
      <c r="F1996" s="1203"/>
      <c r="G1996" s="1200"/>
      <c r="H1996" s="1200"/>
      <c r="I1996" s="903"/>
      <c r="J1996" s="270"/>
      <c r="K1996" s="270"/>
      <c r="L1996" s="1332"/>
      <c r="M1996" s="897"/>
      <c r="N1996" s="270"/>
      <c r="O1996" s="897"/>
      <c r="P1996" s="104"/>
      <c r="Q1996" s="104"/>
      <c r="R1996" s="104"/>
      <c r="S1996" s="104"/>
      <c r="T1996" s="104"/>
      <c r="U1996" s="104"/>
      <c r="V1996" s="104"/>
      <c r="W1996" s="104"/>
      <c r="X1996" s="104"/>
      <c r="Y1996" s="104"/>
      <c r="Z1996" s="1172"/>
      <c r="AB1996" s="848"/>
      <c r="AC1996" s="848"/>
      <c r="AD1996" s="848"/>
      <c r="AE1996" s="848"/>
      <c r="AF1996" s="848"/>
      <c r="AG1996" s="848"/>
      <c r="AH1996" s="848"/>
      <c r="AI1996" s="848"/>
      <c r="AJ1996" s="848"/>
      <c r="AK1996" s="848"/>
      <c r="AL1996" s="848"/>
      <c r="AM1996" s="848"/>
      <c r="AN1996" s="848"/>
      <c r="AO1996" s="848"/>
      <c r="AP1996" s="848"/>
      <c r="AQ1996" s="848"/>
      <c r="AR1996" s="848"/>
      <c r="AS1996" s="848"/>
      <c r="AT1996" s="848"/>
      <c r="AU1996" s="848"/>
      <c r="AV1996" s="848"/>
      <c r="AW1996" s="848"/>
      <c r="AX1996" s="848"/>
      <c r="AY1996" s="848"/>
      <c r="AZ1996" s="848"/>
      <c r="BA1996" s="848"/>
      <c r="BB1996" s="848"/>
      <c r="BC1996" s="848"/>
      <c r="BD1996" s="848"/>
      <c r="BE1996" s="848"/>
      <c r="BF1996" s="848"/>
      <c r="BG1996" s="848"/>
      <c r="BH1996" s="848"/>
      <c r="BJ1996" s="1184" t="s">
        <v>4763</v>
      </c>
    </row>
    <row r="1997" spans="1:62" ht="15" thickTop="1" x14ac:dyDescent="0.3">
      <c r="A1997" s="1200">
        <v>10</v>
      </c>
      <c r="B1997" s="1210">
        <v>1004.1</v>
      </c>
      <c r="C1997" s="1203"/>
      <c r="D1997" s="1203"/>
      <c r="E1997" s="1203"/>
      <c r="F1997" s="1203"/>
      <c r="G1997" s="1196" t="str">
        <f>IF(COUNTIF(G2002:G2004,"P")&gt;0,"P","")</f>
        <v/>
      </c>
      <c r="H1997" s="1200" t="s">
        <v>4388</v>
      </c>
      <c r="I1997" s="152">
        <v>1004.1</v>
      </c>
      <c r="J1997" s="4"/>
      <c r="K1997" s="4"/>
      <c r="L1997" s="1292" t="s">
        <v>3586</v>
      </c>
      <c r="M1997" s="850"/>
      <c r="N1997" s="4"/>
      <c r="O1997" s="850"/>
      <c r="P1997" s="848"/>
      <c r="Q1997" s="848"/>
      <c r="R1997" s="848"/>
      <c r="S1997" s="848"/>
      <c r="T1997" s="848"/>
      <c r="U1997" s="848"/>
      <c r="V1997" s="848"/>
      <c r="W1997" s="848"/>
      <c r="X1997" s="848"/>
      <c r="Y1997" s="848"/>
      <c r="Z1997" s="1055"/>
      <c r="AB1997" s="848"/>
      <c r="AC1997" s="848"/>
      <c r="AD1997" s="848"/>
      <c r="AE1997" s="848"/>
      <c r="AF1997" s="848"/>
      <c r="AG1997" s="848"/>
      <c r="AH1997" s="848"/>
      <c r="AI1997" s="848"/>
      <c r="AJ1997" s="848"/>
      <c r="AK1997" s="848"/>
      <c r="AL1997" s="848"/>
      <c r="AM1997" s="848"/>
      <c r="AN1997" s="848"/>
      <c r="AO1997" s="848"/>
      <c r="AP1997" s="848"/>
      <c r="AQ1997" s="848"/>
      <c r="AR1997" s="848"/>
      <c r="AS1997" s="848"/>
      <c r="AT1997" s="848"/>
      <c r="AU1997" s="848"/>
      <c r="AV1997" s="848"/>
      <c r="AW1997" s="848"/>
      <c r="AX1997" s="848"/>
      <c r="AY1997" s="848"/>
      <c r="AZ1997" s="848"/>
      <c r="BA1997" s="848"/>
      <c r="BB1997" s="848"/>
      <c r="BC1997" s="848"/>
      <c r="BD1997" s="848"/>
      <c r="BE1997" s="848"/>
      <c r="BF1997" s="848"/>
      <c r="BG1997" s="848"/>
      <c r="BH1997" s="848"/>
      <c r="BJ1997" s="1184" t="s">
        <v>4763</v>
      </c>
    </row>
    <row r="1998" spans="1:62" x14ac:dyDescent="0.3">
      <c r="A1998" s="1200">
        <v>10</v>
      </c>
      <c r="B1998" s="1210">
        <v>1004.1</v>
      </c>
      <c r="C1998" s="1203"/>
      <c r="D1998" s="1203"/>
      <c r="E1998" s="1203"/>
      <c r="F1998" s="1203"/>
      <c r="G1998" s="1202" t="str">
        <f t="shared" ref="G1998:G2001" si="677">G1997</f>
        <v/>
      </c>
      <c r="H1998" s="1200" t="s">
        <v>4388</v>
      </c>
      <c r="I1998" s="4"/>
      <c r="J1998" s="4"/>
      <c r="K1998" s="4"/>
      <c r="L1998" s="1292"/>
      <c r="M1998" s="850"/>
      <c r="N1998" s="4"/>
      <c r="O1998" s="850"/>
      <c r="P1998" s="848"/>
      <c r="Q1998" s="848"/>
      <c r="R1998" s="848"/>
      <c r="S1998" s="848"/>
      <c r="T1998" s="848"/>
      <c r="U1998" s="848"/>
      <c r="V1998" s="848"/>
      <c r="W1998" s="848"/>
      <c r="X1998" s="848"/>
      <c r="Y1998" s="848"/>
      <c r="Z1998" s="1055"/>
      <c r="AB1998" s="848"/>
      <c r="AC1998" s="848"/>
      <c r="AD1998" s="848"/>
      <c r="AE1998" s="848"/>
      <c r="AF1998" s="848"/>
      <c r="AG1998" s="848"/>
      <c r="AH1998" s="848"/>
      <c r="AI1998" s="848"/>
      <c r="AJ1998" s="848"/>
      <c r="AK1998" s="848"/>
      <c r="AL1998" s="848"/>
      <c r="AM1998" s="848"/>
      <c r="AN1998" s="848"/>
      <c r="AO1998" s="848"/>
      <c r="AP1998" s="848"/>
      <c r="AQ1998" s="848"/>
      <c r="AR1998" s="848"/>
      <c r="AS1998" s="848"/>
      <c r="AT1998" s="848"/>
      <c r="AU1998" s="848"/>
      <c r="AV1998" s="848"/>
      <c r="AW1998" s="848"/>
      <c r="AX1998" s="848"/>
      <c r="AY1998" s="848"/>
      <c r="AZ1998" s="848"/>
      <c r="BA1998" s="848"/>
      <c r="BB1998" s="848"/>
      <c r="BC1998" s="848"/>
      <c r="BD1998" s="848"/>
      <c r="BE1998" s="848"/>
      <c r="BF1998" s="848"/>
      <c r="BG1998" s="848"/>
      <c r="BH1998" s="848"/>
      <c r="BJ1998" s="1184" t="s">
        <v>4763</v>
      </c>
    </row>
    <row r="1999" spans="1:62" x14ac:dyDescent="0.3">
      <c r="A1999" s="1200">
        <v>10</v>
      </c>
      <c r="B1999" s="1210">
        <v>1004.1</v>
      </c>
      <c r="C1999" s="1203"/>
      <c r="D1999" s="1203"/>
      <c r="E1999" s="1203"/>
      <c r="F1999" s="1203"/>
      <c r="G1999" s="1202" t="str">
        <f t="shared" si="677"/>
        <v/>
      </c>
      <c r="H1999" s="1200" t="s">
        <v>4388</v>
      </c>
      <c r="I1999" s="4"/>
      <c r="J1999" s="4"/>
      <c r="K1999" s="4"/>
      <c r="L1999" s="1292"/>
      <c r="M1999" s="850"/>
      <c r="N1999" s="4"/>
      <c r="O1999" s="850"/>
      <c r="P1999" s="848"/>
      <c r="Q1999" s="848"/>
      <c r="R1999" s="848"/>
      <c r="S1999" s="848"/>
      <c r="T1999" s="848"/>
      <c r="U1999" s="848"/>
      <c r="V1999" s="848"/>
      <c r="W1999" s="848"/>
      <c r="X1999" s="848"/>
      <c r="Y1999" s="848"/>
      <c r="Z1999" s="1055"/>
      <c r="AB1999" s="848"/>
      <c r="AC1999" s="848"/>
      <c r="AD1999" s="848"/>
      <c r="AE1999" s="848"/>
      <c r="AF1999" s="848"/>
      <c r="AG1999" s="848"/>
      <c r="AH1999" s="848"/>
      <c r="AI1999" s="848"/>
      <c r="AJ1999" s="848"/>
      <c r="AK1999" s="848"/>
      <c r="AL1999" s="848"/>
      <c r="AM1999" s="848"/>
      <c r="AN1999" s="848"/>
      <c r="AO1999" s="848"/>
      <c r="AP1999" s="848"/>
      <c r="AQ1999" s="848"/>
      <c r="AR1999" s="848"/>
      <c r="AS1999" s="848"/>
      <c r="AT1999" s="848"/>
      <c r="AU1999" s="848"/>
      <c r="AV1999" s="848"/>
      <c r="AW1999" s="848"/>
      <c r="AX1999" s="848"/>
      <c r="AY1999" s="848"/>
      <c r="AZ1999" s="848"/>
      <c r="BA1999" s="848"/>
      <c r="BB1999" s="848"/>
      <c r="BC1999" s="848"/>
      <c r="BD1999" s="848"/>
      <c r="BE1999" s="848"/>
      <c r="BF1999" s="848"/>
      <c r="BG1999" s="848"/>
      <c r="BH1999" s="848"/>
      <c r="BJ1999" s="1184" t="s">
        <v>4763</v>
      </c>
    </row>
    <row r="2000" spans="1:62" x14ac:dyDescent="0.3">
      <c r="A2000" s="1200">
        <v>10</v>
      </c>
      <c r="B2000" s="1210">
        <v>1004.1</v>
      </c>
      <c r="C2000" s="1203"/>
      <c r="D2000" s="1203"/>
      <c r="E2000" s="1203"/>
      <c r="F2000" s="1203"/>
      <c r="G2000" s="1202" t="str">
        <f t="shared" si="677"/>
        <v/>
      </c>
      <c r="H2000" s="1200" t="s">
        <v>4388</v>
      </c>
      <c r="I2000" s="4"/>
      <c r="J2000" s="4"/>
      <c r="K2000" s="4"/>
      <c r="L2000" s="1292"/>
      <c r="M2000" s="850"/>
      <c r="N2000" s="4"/>
      <c r="O2000" s="850"/>
      <c r="P2000" s="848"/>
      <c r="Q2000" s="848"/>
      <c r="R2000" s="848"/>
      <c r="S2000" s="848"/>
      <c r="T2000" s="848"/>
      <c r="U2000" s="848"/>
      <c r="V2000" s="848"/>
      <c r="W2000" s="848"/>
      <c r="X2000" s="848"/>
      <c r="Y2000" s="848"/>
      <c r="Z2000" s="1055"/>
      <c r="AB2000" s="848"/>
      <c r="AC2000" s="848"/>
      <c r="AD2000" s="848"/>
      <c r="AE2000" s="848"/>
      <c r="AF2000" s="848"/>
      <c r="AG2000" s="848"/>
      <c r="AH2000" s="848"/>
      <c r="AI2000" s="848"/>
      <c r="AJ2000" s="848"/>
      <c r="AK2000" s="848"/>
      <c r="AL2000" s="848"/>
      <c r="AM2000" s="848"/>
      <c r="AN2000" s="848"/>
      <c r="AO2000" s="848"/>
      <c r="AP2000" s="848"/>
      <c r="AQ2000" s="848"/>
      <c r="AR2000" s="848"/>
      <c r="AS2000" s="848"/>
      <c r="AT2000" s="848"/>
      <c r="AU2000" s="848"/>
      <c r="AV2000" s="848"/>
      <c r="AW2000" s="848"/>
      <c r="AX2000" s="848"/>
      <c r="AY2000" s="848"/>
      <c r="AZ2000" s="848"/>
      <c r="BA2000" s="848"/>
      <c r="BB2000" s="848"/>
      <c r="BC2000" s="848"/>
      <c r="BD2000" s="848"/>
      <c r="BE2000" s="848"/>
      <c r="BF2000" s="848"/>
      <c r="BG2000" s="848"/>
      <c r="BH2000" s="848"/>
      <c r="BJ2000" s="1184" t="s">
        <v>4763</v>
      </c>
    </row>
    <row r="2001" spans="1:62" x14ac:dyDescent="0.3">
      <c r="A2001" s="1200">
        <v>10</v>
      </c>
      <c r="B2001" s="1210">
        <v>1004.1</v>
      </c>
      <c r="C2001" s="1203"/>
      <c r="D2001" s="1203"/>
      <c r="E2001" s="1203"/>
      <c r="F2001" s="1203"/>
      <c r="G2001" s="1202" t="str">
        <f t="shared" si="677"/>
        <v/>
      </c>
      <c r="H2001" s="1200" t="s">
        <v>4388</v>
      </c>
      <c r="I2001" s="4"/>
      <c r="J2001" s="4"/>
      <c r="K2001" s="4"/>
      <c r="L2001" s="1292"/>
      <c r="M2001" s="850"/>
      <c r="N2001" s="4"/>
      <c r="O2001" s="850"/>
      <c r="P2001" s="848"/>
      <c r="Q2001" s="848"/>
      <c r="R2001" s="848"/>
      <c r="S2001" s="848"/>
      <c r="T2001" s="848"/>
      <c r="U2001" s="848"/>
      <c r="V2001" s="848"/>
      <c r="W2001" s="848"/>
      <c r="X2001" s="848"/>
      <c r="Y2001" s="848"/>
      <c r="Z2001" s="1055"/>
      <c r="AB2001" s="848"/>
      <c r="AC2001" s="848"/>
      <c r="AD2001" s="848"/>
      <c r="AE2001" s="848"/>
      <c r="AF2001" s="848"/>
      <c r="AG2001" s="848"/>
      <c r="AH2001" s="848"/>
      <c r="AI2001" s="848"/>
      <c r="AJ2001" s="848"/>
      <c r="AK2001" s="848"/>
      <c r="AL2001" s="848"/>
      <c r="AM2001" s="848"/>
      <c r="AN2001" s="848"/>
      <c r="AO2001" s="848"/>
      <c r="AP2001" s="848"/>
      <c r="AQ2001" s="848"/>
      <c r="AR2001" s="848"/>
      <c r="AS2001" s="848"/>
      <c r="AT2001" s="848"/>
      <c r="AU2001" s="848"/>
      <c r="AV2001" s="848"/>
      <c r="AW2001" s="848"/>
      <c r="AX2001" s="848"/>
      <c r="AY2001" s="848"/>
      <c r="AZ2001" s="848"/>
      <c r="BA2001" s="848"/>
      <c r="BB2001" s="848"/>
      <c r="BC2001" s="848"/>
      <c r="BD2001" s="848"/>
      <c r="BE2001" s="848"/>
      <c r="BF2001" s="848"/>
      <c r="BG2001" s="848"/>
      <c r="BH2001" s="848"/>
      <c r="BJ2001" s="1184" t="s">
        <v>4763</v>
      </c>
    </row>
    <row r="2002" spans="1:62" x14ac:dyDescent="0.3">
      <c r="A2002" s="1200">
        <v>10</v>
      </c>
      <c r="B2002" s="1210">
        <v>1004.1</v>
      </c>
      <c r="C2002" s="1203"/>
      <c r="D2002" s="1203"/>
      <c r="E2002" s="1203" t="s">
        <v>271</v>
      </c>
      <c r="F2002" s="1203"/>
      <c r="G2002" s="1202" t="str">
        <f>IF(N2002&gt;0,"P","")</f>
        <v/>
      </c>
      <c r="H2002" s="1200" t="s">
        <v>4388</v>
      </c>
      <c r="I2002" s="4"/>
      <c r="J2002" s="203" t="s">
        <v>271</v>
      </c>
      <c r="K2002" s="140"/>
      <c r="L2002" s="1305" t="s">
        <v>4365</v>
      </c>
      <c r="M2002" s="1318">
        <v>1</v>
      </c>
      <c r="N2002" s="1310">
        <f>'Ch10'!O184</f>
        <v>0</v>
      </c>
      <c r="O2002" s="1308">
        <f>M2002*S2002*W2002</f>
        <v>0</v>
      </c>
      <c r="P2002" s="848" t="b">
        <v>0</v>
      </c>
      <c r="Q2002" s="848" t="b">
        <v>1</v>
      </c>
      <c r="R2002" s="848" t="b">
        <v>0</v>
      </c>
      <c r="S2002" s="848" t="b">
        <v>1</v>
      </c>
      <c r="T2002" s="848" t="b">
        <v>0</v>
      </c>
      <c r="U2002" s="848"/>
      <c r="V2002" s="848"/>
      <c r="W2002" s="25"/>
      <c r="X2002" s="1303"/>
      <c r="Y2002" s="1522" t="str">
        <f>IF(LEN('Ch10'!X184)=0,"None",'Ch10'!X184)</f>
        <v>None</v>
      </c>
      <c r="Z2002" s="1586"/>
      <c r="AB2002" s="848"/>
      <c r="AC2002" s="848"/>
      <c r="AD2002" s="848"/>
      <c r="AE2002" s="848"/>
      <c r="AF2002" s="848"/>
      <c r="AG2002" s="848"/>
      <c r="AH2002" s="848"/>
      <c r="AI2002" s="848"/>
      <c r="AJ2002" s="848"/>
      <c r="AK2002" s="848"/>
      <c r="AL2002" s="311" t="str">
        <f t="shared" ref="AL2002" si="678">SUBSTITUTE(SUBSTITUTE(SUBSTITUTE("vpa"&amp;$B2002&amp;$C2002&amp;$D2002&amp;$E2002&amp;$F2002,".","_"),"(","_"),")","")</f>
        <v>vpa1004_1_1</v>
      </c>
      <c r="AM2002" s="311">
        <f>M2002</f>
        <v>1</v>
      </c>
      <c r="AN2002" s="311" t="str">
        <f>SUBSTITUTE(SUBSTITUTE(SUBSTITUTE("vpc"&amp;$B2002&amp;$C2002&amp;$D2002&amp;$E2002&amp;$F2002,".","_"),"(","_"),")","")</f>
        <v>vpc1004_1_1</v>
      </c>
      <c r="AO2002" s="311">
        <f>O2002</f>
        <v>0</v>
      </c>
      <c r="AP2002" s="311" t="str">
        <f>SUBSTITUTE(SUBSTITUTE(SUBSTITUTE("vch"&amp;$B2002&amp;$C2002&amp;$D2002&amp;$E2002&amp;$F2002,".","_"),"(","_"),")","")</f>
        <v>vch1004_1_1</v>
      </c>
      <c r="AQ2002" s="311">
        <f>W2002</f>
        <v>0</v>
      </c>
      <c r="AR2002" s="311" t="str">
        <f>SUBSTITUTE(SUBSTITUTE(SUBSTITUTE("vnt"&amp;$B2002&amp;$C2002&amp;$D2002&amp;$E2002&amp;$F2002,".","_"),"(","_"),")","")</f>
        <v>vnt1004_1_1</v>
      </c>
      <c r="AS2002" s="311">
        <f>X2002</f>
        <v>0</v>
      </c>
      <c r="AT2002" s="848"/>
      <c r="AU2002" s="848"/>
      <c r="AV2002" s="848"/>
      <c r="AW2002" s="848"/>
      <c r="AX2002" s="848"/>
      <c r="AY2002" s="848"/>
      <c r="AZ2002" s="848"/>
      <c r="BA2002" s="848"/>
      <c r="BB2002" s="848"/>
      <c r="BC2002" s="848"/>
      <c r="BD2002" s="848"/>
      <c r="BE2002" s="848"/>
      <c r="BF2002" s="848"/>
      <c r="BG2002" s="848"/>
      <c r="BH2002" s="848"/>
      <c r="BJ2002" s="1184" t="s">
        <v>4763</v>
      </c>
    </row>
    <row r="2003" spans="1:62" x14ac:dyDescent="0.3">
      <c r="A2003" s="1200">
        <v>10</v>
      </c>
      <c r="B2003" s="1210">
        <v>1004.1</v>
      </c>
      <c r="C2003" s="1203"/>
      <c r="D2003" s="1203"/>
      <c r="E2003" s="1203" t="s">
        <v>271</v>
      </c>
      <c r="F2003" s="1203"/>
      <c r="G2003" s="1202" t="str">
        <f t="shared" ref="G2003" si="679">G2002</f>
        <v/>
      </c>
      <c r="H2003" s="1200" t="s">
        <v>4388</v>
      </c>
      <c r="I2003" s="4"/>
      <c r="J2003" s="231"/>
      <c r="K2003" s="238"/>
      <c r="L2003" s="1306"/>
      <c r="M2003" s="1319"/>
      <c r="N2003" s="1309"/>
      <c r="O2003" s="1309"/>
      <c r="P2003" s="848"/>
      <c r="Q2003" s="848"/>
      <c r="R2003" s="848"/>
      <c r="S2003" s="848"/>
      <c r="T2003" s="848"/>
      <c r="U2003" s="848"/>
      <c r="V2003" s="848"/>
      <c r="W2003" s="848"/>
      <c r="X2003" s="1303"/>
      <c r="Y2003" s="1522"/>
      <c r="Z2003" s="1586"/>
      <c r="AB2003" s="848"/>
      <c r="AC2003" s="848"/>
      <c r="AD2003" s="848"/>
      <c r="AE2003" s="848"/>
      <c r="AF2003" s="848"/>
      <c r="AG2003" s="848"/>
      <c r="AH2003" s="848"/>
      <c r="AI2003" s="848"/>
      <c r="AJ2003" s="848"/>
      <c r="AK2003" s="848"/>
      <c r="AL2003" s="848"/>
      <c r="AM2003" s="848"/>
      <c r="AN2003" s="848"/>
      <c r="AO2003" s="848"/>
      <c r="AP2003" s="848"/>
      <c r="AQ2003" s="848"/>
      <c r="AR2003" s="848"/>
      <c r="AS2003" s="848"/>
      <c r="AT2003" s="848"/>
      <c r="AU2003" s="848"/>
      <c r="AV2003" s="848"/>
      <c r="AW2003" s="848"/>
      <c r="AX2003" s="848"/>
      <c r="AY2003" s="848"/>
      <c r="AZ2003" s="848"/>
      <c r="BA2003" s="848"/>
      <c r="BB2003" s="848"/>
      <c r="BC2003" s="848"/>
      <c r="BD2003" s="848"/>
      <c r="BE2003" s="848"/>
      <c r="BF2003" s="848"/>
      <c r="BG2003" s="848"/>
      <c r="BH2003" s="848"/>
      <c r="BJ2003" s="1184" t="s">
        <v>4763</v>
      </c>
    </row>
    <row r="2004" spans="1:62" x14ac:dyDescent="0.3">
      <c r="A2004" s="1200">
        <v>10</v>
      </c>
      <c r="B2004" s="1210">
        <v>1004.1</v>
      </c>
      <c r="C2004" s="1203"/>
      <c r="D2004" s="1203"/>
      <c r="E2004" s="1203" t="s">
        <v>273</v>
      </c>
      <c r="F2004" s="1203"/>
      <c r="G2004" s="1202" t="str">
        <f>IF(N2004&gt;0,"P","")</f>
        <v/>
      </c>
      <c r="H2004" s="1200" t="s">
        <v>4388</v>
      </c>
      <c r="I2004" s="4"/>
      <c r="J2004" s="237" t="s">
        <v>273</v>
      </c>
      <c r="K2004" s="216"/>
      <c r="L2004" s="1356" t="s">
        <v>3588</v>
      </c>
      <c r="M2004" s="1323">
        <v>3</v>
      </c>
      <c r="N2004" s="1324">
        <f>'Ch10'!O186</f>
        <v>0</v>
      </c>
      <c r="O2004" s="1324">
        <f>M2004*S2004*W2004</f>
        <v>0</v>
      </c>
      <c r="P2004" s="848" t="b">
        <v>0</v>
      </c>
      <c r="Q2004" s="848" t="b">
        <v>1</v>
      </c>
      <c r="R2004" s="848" t="b">
        <v>0</v>
      </c>
      <c r="S2004" s="848" t="b">
        <v>1</v>
      </c>
      <c r="T2004" s="848" t="b">
        <v>0</v>
      </c>
      <c r="U2004" s="848"/>
      <c r="V2004" s="848"/>
      <c r="W2004" s="25"/>
      <c r="X2004" s="1303"/>
      <c r="Y2004" s="1522" t="str">
        <f>IF(LEN('Ch10'!X186)=0,"None",'Ch10'!X186)</f>
        <v>None</v>
      </c>
      <c r="Z2004" s="1586"/>
      <c r="AB2004" s="848"/>
      <c r="AC2004" s="848"/>
      <c r="AD2004" s="848"/>
      <c r="AE2004" s="848"/>
      <c r="AF2004" s="848"/>
      <c r="AG2004" s="848"/>
      <c r="AH2004" s="848"/>
      <c r="AI2004" s="848"/>
      <c r="AJ2004" s="848"/>
      <c r="AK2004" s="848"/>
      <c r="AL2004" s="311" t="str">
        <f t="shared" ref="AL2004" si="680">SUBSTITUTE(SUBSTITUTE(SUBSTITUTE("vpa"&amp;$B2004&amp;$C2004&amp;$D2004&amp;$E2004&amp;$F2004,".","_"),"(","_"),")","")</f>
        <v>vpa1004_1_2</v>
      </c>
      <c r="AM2004" s="311">
        <f>M2004</f>
        <v>3</v>
      </c>
      <c r="AN2004" s="311" t="str">
        <f>SUBSTITUTE(SUBSTITUTE(SUBSTITUTE("vpc"&amp;$B2004&amp;$C2004&amp;$D2004&amp;$E2004&amp;$F2004,".","_"),"(","_"),")","")</f>
        <v>vpc1004_1_2</v>
      </c>
      <c r="AO2004" s="311">
        <f>O2004</f>
        <v>0</v>
      </c>
      <c r="AP2004" s="311" t="str">
        <f>SUBSTITUTE(SUBSTITUTE(SUBSTITUTE("vch"&amp;$B2004&amp;$C2004&amp;$D2004&amp;$E2004&amp;$F2004,".","_"),"(","_"),")","")</f>
        <v>vch1004_1_2</v>
      </c>
      <c r="AQ2004" s="311">
        <f>W2004</f>
        <v>0</v>
      </c>
      <c r="AR2004" s="311" t="str">
        <f>SUBSTITUTE(SUBSTITUTE(SUBSTITUTE("vnt"&amp;$B2004&amp;$C2004&amp;$D2004&amp;$E2004&amp;$F2004,".","_"),"(","_"),")","")</f>
        <v>vnt1004_1_2</v>
      </c>
      <c r="AS2004" s="311">
        <f>X2004</f>
        <v>0</v>
      </c>
      <c r="AT2004" s="848"/>
      <c r="AU2004" s="848"/>
      <c r="AV2004" s="848"/>
      <c r="AW2004" s="848"/>
      <c r="AX2004" s="848"/>
      <c r="AY2004" s="848"/>
      <c r="AZ2004" s="848"/>
      <c r="BA2004" s="848"/>
      <c r="BB2004" s="848"/>
      <c r="BC2004" s="848"/>
      <c r="BD2004" s="848"/>
      <c r="BE2004" s="848"/>
      <c r="BF2004" s="848"/>
      <c r="BG2004" s="848"/>
      <c r="BH2004" s="848"/>
      <c r="BJ2004" s="1184" t="s">
        <v>4763</v>
      </c>
    </row>
    <row r="2005" spans="1:62" x14ac:dyDescent="0.3">
      <c r="A2005" s="1200">
        <v>10</v>
      </c>
      <c r="B2005" s="1210">
        <v>1004.1</v>
      </c>
      <c r="C2005" s="1203"/>
      <c r="D2005" s="1203"/>
      <c r="E2005" s="1203" t="s">
        <v>273</v>
      </c>
      <c r="F2005" s="1203"/>
      <c r="G2005" s="1202" t="str">
        <f t="shared" ref="G2005" si="681">G2004</f>
        <v/>
      </c>
      <c r="H2005" s="1200" t="s">
        <v>4388</v>
      </c>
      <c r="I2005" s="4"/>
      <c r="J2005" s="238"/>
      <c r="K2005" s="238"/>
      <c r="L2005" s="1306"/>
      <c r="M2005" s="1319"/>
      <c r="N2005" s="1309"/>
      <c r="O2005" s="1309"/>
      <c r="P2005" s="848"/>
      <c r="Q2005" s="848"/>
      <c r="R2005" s="848"/>
      <c r="S2005" s="848"/>
      <c r="T2005" s="848"/>
      <c r="U2005" s="848"/>
      <c r="V2005" s="848"/>
      <c r="W2005" s="848"/>
      <c r="X2005" s="1303"/>
      <c r="Y2005" s="1522"/>
      <c r="Z2005" s="1586"/>
      <c r="AB2005" s="848"/>
      <c r="AC2005" s="848"/>
      <c r="AD2005" s="848"/>
      <c r="AE2005" s="848"/>
      <c r="AF2005" s="848"/>
      <c r="AG2005" s="848"/>
      <c r="AH2005" s="848"/>
      <c r="AI2005" s="848"/>
      <c r="AJ2005" s="848"/>
      <c r="AK2005" s="848"/>
      <c r="AL2005" s="848"/>
      <c r="AM2005" s="848"/>
      <c r="AN2005" s="848"/>
      <c r="AO2005" s="848"/>
      <c r="AP2005" s="848"/>
      <c r="AQ2005" s="848"/>
      <c r="AR2005" s="848"/>
      <c r="AS2005" s="848"/>
      <c r="AT2005" s="848"/>
      <c r="AU2005" s="848"/>
      <c r="AV2005" s="848"/>
      <c r="AW2005" s="848"/>
      <c r="AX2005" s="848"/>
      <c r="AY2005" s="848"/>
      <c r="AZ2005" s="848"/>
      <c r="BA2005" s="848"/>
      <c r="BB2005" s="848"/>
      <c r="BC2005" s="848"/>
      <c r="BD2005" s="848"/>
      <c r="BE2005" s="848"/>
      <c r="BF2005" s="848"/>
      <c r="BG2005" s="848"/>
      <c r="BH2005" s="848"/>
      <c r="BJ2005" s="1184" t="s">
        <v>4763</v>
      </c>
    </row>
  </sheetData>
  <sheetProtection algorithmName="SHA-512" hashValue="+JRLT3H8jqCsQ+N/5qD3IrGH9jesi6GelxBOM5C0RL3msla6qk1P3sHKszDw9Fw7zlcGKuAnvt74/9KSe7seMA==" saltValue="LwEVvnLXu56nvzxZ66DtVw==" spinCount="100000" sheet="1" objects="1" scenarios="1" selectLockedCells="1" autoFilter="0"/>
  <autoFilter ref="A7:H2005" xr:uid="{00000000-0009-0000-0000-00000F000000}"/>
  <mergeCells count="2427">
    <mergeCell ref="Z1986:Z1988"/>
    <mergeCell ref="Z1989:Z1991"/>
    <mergeCell ref="Z2002:Z2003"/>
    <mergeCell ref="Z2004:Z2005"/>
    <mergeCell ref="Z6:Z7"/>
    <mergeCell ref="Z1912:Z1913"/>
    <mergeCell ref="Z1918:Z1919"/>
    <mergeCell ref="Z1920:Z1922"/>
    <mergeCell ref="Z1923:Z1924"/>
    <mergeCell ref="Z1925:Z1927"/>
    <mergeCell ref="Z1928:Z1929"/>
    <mergeCell ref="Z1931:Z1932"/>
    <mergeCell ref="Z1933:Z1934"/>
    <mergeCell ref="Z1936:Z1938"/>
    <mergeCell ref="Z1939:Z1940"/>
    <mergeCell ref="Z1945:Z1946"/>
    <mergeCell ref="Z1947:Z1950"/>
    <mergeCell ref="Z1951:Z1957"/>
    <mergeCell ref="Z1958:Z1959"/>
    <mergeCell ref="Z1961:Z1962"/>
    <mergeCell ref="Z1967:Z1978"/>
    <mergeCell ref="Z1984:Z1985"/>
    <mergeCell ref="Z1841:Z1842"/>
    <mergeCell ref="Z1843:Z1844"/>
    <mergeCell ref="Z1846:Z1847"/>
    <mergeCell ref="Z1850:Z1855"/>
    <mergeCell ref="Z1856:Z1859"/>
    <mergeCell ref="Z1860:Z1861"/>
    <mergeCell ref="Z1862:Z1863"/>
    <mergeCell ref="Z1865:Z1866"/>
    <mergeCell ref="Z1867:Z1868"/>
    <mergeCell ref="Z1870:Z1871"/>
    <mergeCell ref="Z1872:Z1873"/>
    <mergeCell ref="Z1874:Z1875"/>
    <mergeCell ref="Z1878:Z1888"/>
    <mergeCell ref="Z1899:Z1901"/>
    <mergeCell ref="Z1902:Z1904"/>
    <mergeCell ref="Z1905:Z1906"/>
    <mergeCell ref="Z1908:Z1909"/>
    <mergeCell ref="Z1758:Z1766"/>
    <mergeCell ref="Z1767:Z1768"/>
    <mergeCell ref="Z1769:Z1771"/>
    <mergeCell ref="Z1772:Z1774"/>
    <mergeCell ref="Z1775:Z1781"/>
    <mergeCell ref="Z1784:Z1785"/>
    <mergeCell ref="Z1786:Z1788"/>
    <mergeCell ref="Z1789:Z1790"/>
    <mergeCell ref="Z1791:Z1792"/>
    <mergeCell ref="Z1795:Z1798"/>
    <mergeCell ref="Z1799:Z1802"/>
    <mergeCell ref="Z1803:Z1807"/>
    <mergeCell ref="Z1811:Z1815"/>
    <mergeCell ref="Z1816:Z1818"/>
    <mergeCell ref="Z1820:Z1824"/>
    <mergeCell ref="Z1825:Z1826"/>
    <mergeCell ref="Z1835:Z1838"/>
    <mergeCell ref="Z1695:Z1699"/>
    <mergeCell ref="Z1701:Z1704"/>
    <mergeCell ref="Z1705:Z1709"/>
    <mergeCell ref="Z1710:Z1711"/>
    <mergeCell ref="Z1712:Z1715"/>
    <mergeCell ref="Z1718:Z1719"/>
    <mergeCell ref="Z1720:Z1721"/>
    <mergeCell ref="Z1726:Z1727"/>
    <mergeCell ref="Z1728:Z1729"/>
    <mergeCell ref="Z1730:Z1731"/>
    <mergeCell ref="Z1732:Z1734"/>
    <mergeCell ref="Z1735:Z1738"/>
    <mergeCell ref="Z1739:Z1742"/>
    <mergeCell ref="Z1743:Z1747"/>
    <mergeCell ref="Z1750:Z1751"/>
    <mergeCell ref="Z1752:Z1753"/>
    <mergeCell ref="Z1754:Z1756"/>
    <mergeCell ref="Z1599:Z1600"/>
    <mergeCell ref="Z1604:Z1605"/>
    <mergeCell ref="Z1606:Z1607"/>
    <mergeCell ref="Z1608:Z1613"/>
    <mergeCell ref="Z1618:Z1622"/>
    <mergeCell ref="Z1623:Z1633"/>
    <mergeCell ref="Z1637:Z1638"/>
    <mergeCell ref="Z1639:Z1641"/>
    <mergeCell ref="Z1642:Z1643"/>
    <mergeCell ref="Z1651:Z1660"/>
    <mergeCell ref="Z1661:Z1664"/>
    <mergeCell ref="Z1665:Z1670"/>
    <mergeCell ref="Z1671:Z1673"/>
    <mergeCell ref="Z1676:Z1677"/>
    <mergeCell ref="Z1679:Z1680"/>
    <mergeCell ref="Z1681:Z1685"/>
    <mergeCell ref="Z1686:Z1691"/>
    <mergeCell ref="Z1530:Z1531"/>
    <mergeCell ref="Z1537:Z1538"/>
    <mergeCell ref="Z1540:Z1542"/>
    <mergeCell ref="Z1548:Z1550"/>
    <mergeCell ref="Z1551:Z1552"/>
    <mergeCell ref="Z1553:Z1555"/>
    <mergeCell ref="Z1559:Z1564"/>
    <mergeCell ref="Z1565:Z1567"/>
    <mergeCell ref="Z1570:Z1572"/>
    <mergeCell ref="Z1573:Z1575"/>
    <mergeCell ref="Z1576:Z1579"/>
    <mergeCell ref="Z1580:Z1582"/>
    <mergeCell ref="Z1583:Z1585"/>
    <mergeCell ref="Z1589:Z1591"/>
    <mergeCell ref="Z1592:Z1593"/>
    <mergeCell ref="Z1594:Z1596"/>
    <mergeCell ref="Z1597:Z1598"/>
    <mergeCell ref="Z1440:Z1448"/>
    <mergeCell ref="Z1449:Z1453"/>
    <mergeCell ref="Z1454:Z1455"/>
    <mergeCell ref="Z1459:Z1462"/>
    <mergeCell ref="Z1464:Z1466"/>
    <mergeCell ref="Z1469:Z1470"/>
    <mergeCell ref="Z1471:Z1476"/>
    <mergeCell ref="Z1480:Z1483"/>
    <mergeCell ref="Z1484:Z1485"/>
    <mergeCell ref="Z1488:Z1490"/>
    <mergeCell ref="Z1494:Z1495"/>
    <mergeCell ref="Z1496:Z1498"/>
    <mergeCell ref="Z1502:Z1503"/>
    <mergeCell ref="Z1505:Z1508"/>
    <mergeCell ref="Z1509:Z1510"/>
    <mergeCell ref="Z1513:Z1523"/>
    <mergeCell ref="Z1527:Z1528"/>
    <mergeCell ref="Z1321:Z1324"/>
    <mergeCell ref="Z1331:Z1332"/>
    <mergeCell ref="Z1336:Z1338"/>
    <mergeCell ref="Z1339:Z1345"/>
    <mergeCell ref="Z1346:Z1353"/>
    <mergeCell ref="Z1364:Z1365"/>
    <mergeCell ref="Z1366:Z1367"/>
    <mergeCell ref="Z1368:Z1369"/>
    <mergeCell ref="Z1370:Z1378"/>
    <mergeCell ref="Z1379:Z1380"/>
    <mergeCell ref="Z1384:Z1386"/>
    <mergeCell ref="Z1387:Z1389"/>
    <mergeCell ref="Z1390:Z1394"/>
    <mergeCell ref="Z1411:Z1421"/>
    <mergeCell ref="Z1422:Z1426"/>
    <mergeCell ref="Z1427:Z1429"/>
    <mergeCell ref="Z1433:Z1438"/>
    <mergeCell ref="Z1230:Z1231"/>
    <mergeCell ref="Z1233:Z1236"/>
    <mergeCell ref="Z1237:Z1241"/>
    <mergeCell ref="Z1242:Z1246"/>
    <mergeCell ref="Z1247:Z1249"/>
    <mergeCell ref="Z1250:Z1251"/>
    <mergeCell ref="Z1252:Z1254"/>
    <mergeCell ref="Z1256:Z1258"/>
    <mergeCell ref="Z1260:Z1264"/>
    <mergeCell ref="Z1265:Z1266"/>
    <mergeCell ref="Z1274:Z1279"/>
    <mergeCell ref="Z1288:Z1290"/>
    <mergeCell ref="Z1291:Z1298"/>
    <mergeCell ref="Z1299:Z1304"/>
    <mergeCell ref="Z1314:Z1315"/>
    <mergeCell ref="Z1317:Z1318"/>
    <mergeCell ref="Z1319:Z1320"/>
    <mergeCell ref="Z1150:Z1152"/>
    <mergeCell ref="Z1155:Z1159"/>
    <mergeCell ref="Z1160:Z1161"/>
    <mergeCell ref="Z1168:Z1169"/>
    <mergeCell ref="Z1172:Z1173"/>
    <mergeCell ref="Z1174:Z1176"/>
    <mergeCell ref="Z1178:Z1179"/>
    <mergeCell ref="Z1183:Z1184"/>
    <mergeCell ref="Z1185:Z1186"/>
    <mergeCell ref="Z1187:Z1188"/>
    <mergeCell ref="Z1192:Z1193"/>
    <mergeCell ref="Z1196:Z1198"/>
    <mergeCell ref="Z1199:Z1206"/>
    <mergeCell ref="Z1207:Z1209"/>
    <mergeCell ref="Z1210:Z1211"/>
    <mergeCell ref="Z1213:Z1220"/>
    <mergeCell ref="Z1226:Z1229"/>
    <mergeCell ref="Z1074:Z1075"/>
    <mergeCell ref="Z1076:Z1084"/>
    <mergeCell ref="Z1086:Z1103"/>
    <mergeCell ref="Z1104:Z1105"/>
    <mergeCell ref="Z1106:Z1107"/>
    <mergeCell ref="Z1109:Z1116"/>
    <mergeCell ref="Z1120:Z1121"/>
    <mergeCell ref="Z1122:Z1123"/>
    <mergeCell ref="Z1124:Z1125"/>
    <mergeCell ref="Z1129:Z1130"/>
    <mergeCell ref="Z1134:Z1135"/>
    <mergeCell ref="Z1136:Z1137"/>
    <mergeCell ref="Z1138:Z1139"/>
    <mergeCell ref="Z1140:Z1141"/>
    <mergeCell ref="Z1142:Z1143"/>
    <mergeCell ref="Z1145:Z1146"/>
    <mergeCell ref="Z1148:Z1149"/>
    <mergeCell ref="Z987:Z992"/>
    <mergeCell ref="Z993:Z999"/>
    <mergeCell ref="Z1000:Z1004"/>
    <mergeCell ref="Z1006:Z1011"/>
    <mergeCell ref="Z1012:Z1014"/>
    <mergeCell ref="Z1015:Z1019"/>
    <mergeCell ref="Z1020:Z1022"/>
    <mergeCell ref="Z1026:Z1030"/>
    <mergeCell ref="Z1035:Z1039"/>
    <mergeCell ref="Z1040:Z1041"/>
    <mergeCell ref="Z1043:Z1046"/>
    <mergeCell ref="Z1047:Z1052"/>
    <mergeCell ref="Z1053:Z1059"/>
    <mergeCell ref="Z1060:Z1064"/>
    <mergeCell ref="Z1066:Z1067"/>
    <mergeCell ref="Z1068:Z1069"/>
    <mergeCell ref="Z1072:Z1073"/>
    <mergeCell ref="Z887:Z892"/>
    <mergeCell ref="Z895:Z896"/>
    <mergeCell ref="Z903:Z906"/>
    <mergeCell ref="Z907:Z912"/>
    <mergeCell ref="Z913:Z915"/>
    <mergeCell ref="Z916:Z917"/>
    <mergeCell ref="Z920:Z932"/>
    <mergeCell ref="Z933:Z935"/>
    <mergeCell ref="Z936:Z937"/>
    <mergeCell ref="Z939:Z945"/>
    <mergeCell ref="Z946:Z947"/>
    <mergeCell ref="Z948:Z950"/>
    <mergeCell ref="Z951:Z953"/>
    <mergeCell ref="Z955:Z961"/>
    <mergeCell ref="Z962:Z969"/>
    <mergeCell ref="Z970:Z977"/>
    <mergeCell ref="Z978:Z985"/>
    <mergeCell ref="Z813:Z814"/>
    <mergeCell ref="Z816:Z819"/>
    <mergeCell ref="Z835:Z837"/>
    <mergeCell ref="Z838:Z839"/>
    <mergeCell ref="Z841:Z842"/>
    <mergeCell ref="Z844:Z845"/>
    <mergeCell ref="Z849:Z850"/>
    <mergeCell ref="Z851:Z853"/>
    <mergeCell ref="Z856:Z857"/>
    <mergeCell ref="Z859:Z862"/>
    <mergeCell ref="Z863:Z864"/>
    <mergeCell ref="Z865:Z867"/>
    <mergeCell ref="Z868:Z869"/>
    <mergeCell ref="Z872:Z874"/>
    <mergeCell ref="Z875:Z877"/>
    <mergeCell ref="Z878:Z880"/>
    <mergeCell ref="Z881:Z886"/>
    <mergeCell ref="Z728:Z732"/>
    <mergeCell ref="Z733:Z736"/>
    <mergeCell ref="Z737:Z738"/>
    <mergeCell ref="Z739:Z740"/>
    <mergeCell ref="Z743:Z746"/>
    <mergeCell ref="Z747:Z748"/>
    <mergeCell ref="Z749:Z750"/>
    <mergeCell ref="Z756:Z764"/>
    <mergeCell ref="Z765:Z771"/>
    <mergeCell ref="Z777:Z778"/>
    <mergeCell ref="Z779:Z781"/>
    <mergeCell ref="Z782:Z784"/>
    <mergeCell ref="Z785:Z792"/>
    <mergeCell ref="Z795:Z797"/>
    <mergeCell ref="Z800:Z802"/>
    <mergeCell ref="Z803:Z807"/>
    <mergeCell ref="Z809:Z811"/>
    <mergeCell ref="Z606:Z611"/>
    <mergeCell ref="Z615:Z616"/>
    <mergeCell ref="Z618:Z619"/>
    <mergeCell ref="Z621:Z628"/>
    <mergeCell ref="Z630:Z632"/>
    <mergeCell ref="Z633:Z636"/>
    <mergeCell ref="Z646:Z654"/>
    <mergeCell ref="Z655:Z661"/>
    <mergeCell ref="Z662:Z663"/>
    <mergeCell ref="Z668:Z674"/>
    <mergeCell ref="Z675:Z681"/>
    <mergeCell ref="Z682:Z687"/>
    <mergeCell ref="Z688:Z693"/>
    <mergeCell ref="Z694:Z699"/>
    <mergeCell ref="Z700:Z705"/>
    <mergeCell ref="Z707:Z714"/>
    <mergeCell ref="Z724:Z725"/>
    <mergeCell ref="Z485:Z487"/>
    <mergeCell ref="Z488:Z490"/>
    <mergeCell ref="Z492:Z496"/>
    <mergeCell ref="Z497:Z498"/>
    <mergeCell ref="Z503:Z508"/>
    <mergeCell ref="Z509:Z515"/>
    <mergeCell ref="Z516:Z518"/>
    <mergeCell ref="Z520:Z521"/>
    <mergeCell ref="Z522:Z523"/>
    <mergeCell ref="Z524:Z525"/>
    <mergeCell ref="Z526:Z527"/>
    <mergeCell ref="Z532:Z546"/>
    <mergeCell ref="Z547:Z555"/>
    <mergeCell ref="Z560:Z566"/>
    <mergeCell ref="Z573:Z588"/>
    <mergeCell ref="Z601:Z602"/>
    <mergeCell ref="Z604:Z605"/>
    <mergeCell ref="Z402:Z403"/>
    <mergeCell ref="Z404:Z406"/>
    <mergeCell ref="Z407:Z408"/>
    <mergeCell ref="Z409:Z410"/>
    <mergeCell ref="Z411:Z414"/>
    <mergeCell ref="Z415:Z417"/>
    <mergeCell ref="Z423:Z432"/>
    <mergeCell ref="Z433:Z435"/>
    <mergeCell ref="Z437:Z440"/>
    <mergeCell ref="Z441:Z446"/>
    <mergeCell ref="Z447:Z448"/>
    <mergeCell ref="Z451:Z462"/>
    <mergeCell ref="Z463:Z464"/>
    <mergeCell ref="Z465:Z467"/>
    <mergeCell ref="Z468:Z471"/>
    <mergeCell ref="Z474:Z475"/>
    <mergeCell ref="Z482:Z483"/>
    <mergeCell ref="Z283:Z285"/>
    <mergeCell ref="Z286:Z288"/>
    <mergeCell ref="Z298:Z300"/>
    <mergeCell ref="Z309:Z313"/>
    <mergeCell ref="Z314:Z331"/>
    <mergeCell ref="Z332:Z339"/>
    <mergeCell ref="Z340:Z345"/>
    <mergeCell ref="Z351:Z353"/>
    <mergeCell ref="Z354:Z355"/>
    <mergeCell ref="Z356:Z359"/>
    <mergeCell ref="Z361:Z362"/>
    <mergeCell ref="Z363:Z364"/>
    <mergeCell ref="Z369:Z370"/>
    <mergeCell ref="Z375:Z376"/>
    <mergeCell ref="Z377:Z378"/>
    <mergeCell ref="Z380:Z385"/>
    <mergeCell ref="Z389:Z399"/>
    <mergeCell ref="Z182:Z188"/>
    <mergeCell ref="Z189:Z191"/>
    <mergeCell ref="Z192:Z193"/>
    <mergeCell ref="Z195:Z196"/>
    <mergeCell ref="Z197:Z198"/>
    <mergeCell ref="Z199:Z202"/>
    <mergeCell ref="Z203:Z205"/>
    <mergeCell ref="Z207:Z214"/>
    <mergeCell ref="Z222:Z223"/>
    <mergeCell ref="Z225:Z228"/>
    <mergeCell ref="Z229:Z233"/>
    <mergeCell ref="Z235:Z244"/>
    <mergeCell ref="Z245:Z247"/>
    <mergeCell ref="Z248:Z253"/>
    <mergeCell ref="Z255:Z256"/>
    <mergeCell ref="Z257:Z262"/>
    <mergeCell ref="Z267:Z280"/>
    <mergeCell ref="Z113:Z117"/>
    <mergeCell ref="Z118:Z121"/>
    <mergeCell ref="Z122:Z127"/>
    <mergeCell ref="Z128:Z129"/>
    <mergeCell ref="Z130:Z131"/>
    <mergeCell ref="Z132:Z133"/>
    <mergeCell ref="Z134:Z138"/>
    <mergeCell ref="Z140:Z144"/>
    <mergeCell ref="Z145:Z146"/>
    <mergeCell ref="Z147:Z149"/>
    <mergeCell ref="Z150:Z151"/>
    <mergeCell ref="Z152:Z153"/>
    <mergeCell ref="Z154:Z155"/>
    <mergeCell ref="Z156:Z162"/>
    <mergeCell ref="Z163:Z168"/>
    <mergeCell ref="Z169:Z173"/>
    <mergeCell ref="Z177:Z181"/>
    <mergeCell ref="Z13:Z17"/>
    <mergeCell ref="Z18:Z19"/>
    <mergeCell ref="Z20:Z21"/>
    <mergeCell ref="Z22:Z23"/>
    <mergeCell ref="Z24:Z25"/>
    <mergeCell ref="Z26:Z34"/>
    <mergeCell ref="Z35:Z37"/>
    <mergeCell ref="Z38:Z42"/>
    <mergeCell ref="Z44:Z47"/>
    <mergeCell ref="Z49:Z53"/>
    <mergeCell ref="Z54:Z65"/>
    <mergeCell ref="Z66:Z78"/>
    <mergeCell ref="Z79:Z91"/>
    <mergeCell ref="Z92:Z98"/>
    <mergeCell ref="Z99:Z101"/>
    <mergeCell ref="Z102:Z105"/>
    <mergeCell ref="Z106:Z112"/>
    <mergeCell ref="A1:H3"/>
    <mergeCell ref="A4:A6"/>
    <mergeCell ref="G4:G6"/>
    <mergeCell ref="H4:H6"/>
    <mergeCell ref="Y1370:Y1378"/>
    <mergeCell ref="Y1379:Y1380"/>
    <mergeCell ref="Y1384:Y1386"/>
    <mergeCell ref="Y1387:Y1389"/>
    <mergeCell ref="Y1390:Y1394"/>
    <mergeCell ref="Y1319:Y1320"/>
    <mergeCell ref="Y1321:Y1324"/>
    <mergeCell ref="Y1331:Y1332"/>
    <mergeCell ref="Y1336:Y1338"/>
    <mergeCell ref="Y1339:Y1345"/>
    <mergeCell ref="Y1346:Y1353"/>
    <mergeCell ref="Y1364:Y1365"/>
    <mergeCell ref="Y1366:Y1367"/>
    <mergeCell ref="Y1368:Y1369"/>
    <mergeCell ref="Y1256:Y1258"/>
    <mergeCell ref="Y1260:Y1264"/>
    <mergeCell ref="Y1265:Y1266"/>
    <mergeCell ref="Y1274:Y1279"/>
    <mergeCell ref="Y1288:Y1290"/>
    <mergeCell ref="Y1291:Y1298"/>
    <mergeCell ref="Y1299:Y1304"/>
    <mergeCell ref="Y1314:Y1315"/>
    <mergeCell ref="Y1317:Y1318"/>
    <mergeCell ref="Y1213:Y1220"/>
    <mergeCell ref="Y1226:Y1229"/>
    <mergeCell ref="Y1230:Y1231"/>
    <mergeCell ref="Y1233:Y1236"/>
    <mergeCell ref="Y1237:Y1241"/>
    <mergeCell ref="Y1242:Y1246"/>
    <mergeCell ref="Y1247:Y1249"/>
    <mergeCell ref="Y1250:Y1251"/>
    <mergeCell ref="Y1252:Y1254"/>
    <mergeCell ref="Y1178:Y1179"/>
    <mergeCell ref="Y1183:Y1184"/>
    <mergeCell ref="Y1185:Y1186"/>
    <mergeCell ref="Y1187:Y1188"/>
    <mergeCell ref="Y1192:Y1193"/>
    <mergeCell ref="Y1196:Y1198"/>
    <mergeCell ref="Y1199:Y1206"/>
    <mergeCell ref="Y1207:Y1209"/>
    <mergeCell ref="Y1210:Y1211"/>
    <mergeCell ref="Y1142:Y1143"/>
    <mergeCell ref="Y1145:Y1146"/>
    <mergeCell ref="Y1148:Y1149"/>
    <mergeCell ref="Y1150:Y1152"/>
    <mergeCell ref="Y1155:Y1159"/>
    <mergeCell ref="Y1160:Y1161"/>
    <mergeCell ref="Y1168:Y1169"/>
    <mergeCell ref="Y1172:Y1173"/>
    <mergeCell ref="Y1174:Y1176"/>
    <mergeCell ref="Y1109:Y1116"/>
    <mergeCell ref="Y1120:Y1121"/>
    <mergeCell ref="Y1122:Y1123"/>
    <mergeCell ref="Y1124:Y1125"/>
    <mergeCell ref="Y1129:Y1130"/>
    <mergeCell ref="Y1134:Y1135"/>
    <mergeCell ref="Y1136:Y1137"/>
    <mergeCell ref="Y1138:Y1139"/>
    <mergeCell ref="Y1140:Y1141"/>
    <mergeCell ref="Y1060:Y1064"/>
    <mergeCell ref="Y1066:Y1067"/>
    <mergeCell ref="Y1068:Y1069"/>
    <mergeCell ref="Y1072:Y1073"/>
    <mergeCell ref="Y1074:Y1075"/>
    <mergeCell ref="Y1076:Y1084"/>
    <mergeCell ref="Y1086:Y1103"/>
    <mergeCell ref="Y1104:Y1105"/>
    <mergeCell ref="Y1106:Y1107"/>
    <mergeCell ref="Y1012:Y1014"/>
    <mergeCell ref="Y1015:Y1019"/>
    <mergeCell ref="Y1020:Y1022"/>
    <mergeCell ref="Y1026:Y1030"/>
    <mergeCell ref="Y1035:Y1039"/>
    <mergeCell ref="Y1040:Y1041"/>
    <mergeCell ref="Y1043:Y1046"/>
    <mergeCell ref="Y1047:Y1052"/>
    <mergeCell ref="Y1053:Y1059"/>
    <mergeCell ref="Y951:Y953"/>
    <mergeCell ref="Y955:Y961"/>
    <mergeCell ref="Y962:Y969"/>
    <mergeCell ref="Y970:Y977"/>
    <mergeCell ref="Y978:Y985"/>
    <mergeCell ref="Y987:Y992"/>
    <mergeCell ref="Y993:Y999"/>
    <mergeCell ref="Y1000:Y1004"/>
    <mergeCell ref="Y1006:Y1011"/>
    <mergeCell ref="Y907:Y912"/>
    <mergeCell ref="Y913:Y915"/>
    <mergeCell ref="Y916:Y917"/>
    <mergeCell ref="Y920:Y932"/>
    <mergeCell ref="Y933:Y935"/>
    <mergeCell ref="Y936:Y937"/>
    <mergeCell ref="Y939:Y945"/>
    <mergeCell ref="Y946:Y947"/>
    <mergeCell ref="Y948:Y950"/>
    <mergeCell ref="Y865:Y867"/>
    <mergeCell ref="Y868:Y869"/>
    <mergeCell ref="Y872:Y874"/>
    <mergeCell ref="Y875:Y877"/>
    <mergeCell ref="Y878:Y880"/>
    <mergeCell ref="Y881:Y886"/>
    <mergeCell ref="Y887:Y892"/>
    <mergeCell ref="Y895:Y896"/>
    <mergeCell ref="Y903:Y906"/>
    <mergeCell ref="Y816:Y819"/>
    <mergeCell ref="Y841:Y842"/>
    <mergeCell ref="Y844:Y845"/>
    <mergeCell ref="Y849:Y850"/>
    <mergeCell ref="Y851:Y853"/>
    <mergeCell ref="Y856:Y857"/>
    <mergeCell ref="Y859:Y862"/>
    <mergeCell ref="Y863:Y864"/>
    <mergeCell ref="Y777:Y778"/>
    <mergeCell ref="Y779:Y781"/>
    <mergeCell ref="Y782:Y784"/>
    <mergeCell ref="Y785:Y792"/>
    <mergeCell ref="Y795:Y797"/>
    <mergeCell ref="Y800:Y802"/>
    <mergeCell ref="Y803:Y807"/>
    <mergeCell ref="Y809:Y811"/>
    <mergeCell ref="Y813:Y814"/>
    <mergeCell ref="Y835:Y837"/>
    <mergeCell ref="Y838:Y839"/>
    <mergeCell ref="L1381:L1382"/>
    <mergeCell ref="X1384:X1386"/>
    <mergeCell ref="L1385:L1386"/>
    <mergeCell ref="L1387:L1389"/>
    <mergeCell ref="M1387:M1389"/>
    <mergeCell ref="O1387:O1389"/>
    <mergeCell ref="X1387:X1389"/>
    <mergeCell ref="L1390:L1392"/>
    <mergeCell ref="M1390:M1392"/>
    <mergeCell ref="O1390:O1392"/>
    <mergeCell ref="X1390:X1394"/>
    <mergeCell ref="L1393:L1394"/>
    <mergeCell ref="L1370:L1373"/>
    <mergeCell ref="M1370:M1373"/>
    <mergeCell ref="O1370:O1373"/>
    <mergeCell ref="X1370:X1378"/>
    <mergeCell ref="L1374:L1376"/>
    <mergeCell ref="L1377:L1378"/>
    <mergeCell ref="L1379:L1380"/>
    <mergeCell ref="M1379:M1380"/>
    <mergeCell ref="O1379:O1380"/>
    <mergeCell ref="X1379:X1380"/>
    <mergeCell ref="N1390:N1392"/>
    <mergeCell ref="N1387:N1389"/>
    <mergeCell ref="N1379:N1380"/>
    <mergeCell ref="N1370:N1373"/>
    <mergeCell ref="L1364:L1365"/>
    <mergeCell ref="M1364:M1365"/>
    <mergeCell ref="O1364:O1365"/>
    <mergeCell ref="X1364:X1365"/>
    <mergeCell ref="L1366:L1367"/>
    <mergeCell ref="M1366:M1367"/>
    <mergeCell ref="O1366:O1367"/>
    <mergeCell ref="X1366:X1367"/>
    <mergeCell ref="L1368:L1369"/>
    <mergeCell ref="M1368:M1369"/>
    <mergeCell ref="O1368:O1369"/>
    <mergeCell ref="X1368:X1369"/>
    <mergeCell ref="L1339:L1341"/>
    <mergeCell ref="O1339:O1341"/>
    <mergeCell ref="X1339:X1345"/>
    <mergeCell ref="L1342:L1343"/>
    <mergeCell ref="M1342:M1343"/>
    <mergeCell ref="L1344:L1345"/>
    <mergeCell ref="M1344:M1345"/>
    <mergeCell ref="L1346:L1347"/>
    <mergeCell ref="O1346:O1347"/>
    <mergeCell ref="X1346:X1353"/>
    <mergeCell ref="L1350:L1351"/>
    <mergeCell ref="L1352:L1353"/>
    <mergeCell ref="N1368:N1369"/>
    <mergeCell ref="N1366:N1367"/>
    <mergeCell ref="N1364:N1365"/>
    <mergeCell ref="N1346:N1347"/>
    <mergeCell ref="N1339:N1341"/>
    <mergeCell ref="L1326:L1327"/>
    <mergeCell ref="M1326:M1327"/>
    <mergeCell ref="O1326:O1327"/>
    <mergeCell ref="L1331:L1332"/>
    <mergeCell ref="M1331:M1332"/>
    <mergeCell ref="X1331:X1332"/>
    <mergeCell ref="L1334:L1335"/>
    <mergeCell ref="L1336:L1338"/>
    <mergeCell ref="X1336:X1338"/>
    <mergeCell ref="L1317:L1318"/>
    <mergeCell ref="M1317:M1318"/>
    <mergeCell ref="O1317:O1318"/>
    <mergeCell ref="X1317:X1318"/>
    <mergeCell ref="L1319:L1320"/>
    <mergeCell ref="M1319:M1320"/>
    <mergeCell ref="O1319:O1320"/>
    <mergeCell ref="X1319:X1320"/>
    <mergeCell ref="L1321:L1324"/>
    <mergeCell ref="M1321:M1324"/>
    <mergeCell ref="O1321:O1324"/>
    <mergeCell ref="X1321:X1324"/>
    <mergeCell ref="N1326:N1327"/>
    <mergeCell ref="N1321:N1324"/>
    <mergeCell ref="N1319:N1320"/>
    <mergeCell ref="N1317:N1318"/>
    <mergeCell ref="M1336:M1338"/>
    <mergeCell ref="N1336:N1338"/>
    <mergeCell ref="O1336:O1338"/>
    <mergeCell ref="O1299:O1301"/>
    <mergeCell ref="X1299:X1304"/>
    <mergeCell ref="L1303:L1304"/>
    <mergeCell ref="M1303:M1304"/>
    <mergeCell ref="L1305:L1306"/>
    <mergeCell ref="M1305:M1306"/>
    <mergeCell ref="O1305:O1306"/>
    <mergeCell ref="L1314:L1315"/>
    <mergeCell ref="X1314:X1315"/>
    <mergeCell ref="L1281:L1283"/>
    <mergeCell ref="L1284:L1285"/>
    <mergeCell ref="X1288:X1290"/>
    <mergeCell ref="L1289:L1290"/>
    <mergeCell ref="L1291:L1293"/>
    <mergeCell ref="M1291:M1293"/>
    <mergeCell ref="O1291:O1293"/>
    <mergeCell ref="X1291:X1298"/>
    <mergeCell ref="L1294:L1295"/>
    <mergeCell ref="L1297:L1298"/>
    <mergeCell ref="N1305:N1306"/>
    <mergeCell ref="N1299:N1301"/>
    <mergeCell ref="N1291:N1293"/>
    <mergeCell ref="L1260:L1264"/>
    <mergeCell ref="M1260:M1264"/>
    <mergeCell ref="O1260:O1264"/>
    <mergeCell ref="X1260:X1264"/>
    <mergeCell ref="L1265:L1266"/>
    <mergeCell ref="M1265:M1266"/>
    <mergeCell ref="O1265:O1266"/>
    <mergeCell ref="X1265:X1266"/>
    <mergeCell ref="L1274:L1279"/>
    <mergeCell ref="M1274:M1279"/>
    <mergeCell ref="O1274:O1279"/>
    <mergeCell ref="W1274:W1279"/>
    <mergeCell ref="X1274:X1279"/>
    <mergeCell ref="L1250:L1251"/>
    <mergeCell ref="M1250:M1251"/>
    <mergeCell ref="O1250:O1251"/>
    <mergeCell ref="X1250:X1251"/>
    <mergeCell ref="L1252:L1254"/>
    <mergeCell ref="M1252:M1254"/>
    <mergeCell ref="O1252:O1254"/>
    <mergeCell ref="X1252:X1254"/>
    <mergeCell ref="L1256:L1258"/>
    <mergeCell ref="M1256:M1258"/>
    <mergeCell ref="O1256:O1258"/>
    <mergeCell ref="X1256:X1258"/>
    <mergeCell ref="N1265:N1266"/>
    <mergeCell ref="N1260:N1264"/>
    <mergeCell ref="N1256:N1258"/>
    <mergeCell ref="N1252:N1254"/>
    <mergeCell ref="N1250:N1251"/>
    <mergeCell ref="N1274:N1279"/>
    <mergeCell ref="L1237:L1239"/>
    <mergeCell ref="O1237:O1239"/>
    <mergeCell ref="X1237:X1241"/>
    <mergeCell ref="L1242:L1244"/>
    <mergeCell ref="O1242:O1244"/>
    <mergeCell ref="X1242:X1246"/>
    <mergeCell ref="L1247:L1248"/>
    <mergeCell ref="M1247:M1248"/>
    <mergeCell ref="O1247:O1248"/>
    <mergeCell ref="X1247:X1249"/>
    <mergeCell ref="L1224:L1225"/>
    <mergeCell ref="L1226:L1227"/>
    <mergeCell ref="O1226:O1227"/>
    <mergeCell ref="X1226:X1229"/>
    <mergeCell ref="L1230:L1231"/>
    <mergeCell ref="M1230:M1231"/>
    <mergeCell ref="O1230:O1231"/>
    <mergeCell ref="X1230:X1231"/>
    <mergeCell ref="L1233:L1234"/>
    <mergeCell ref="O1233:O1234"/>
    <mergeCell ref="X1233:X1236"/>
    <mergeCell ref="N1247:N1248"/>
    <mergeCell ref="N1242:N1244"/>
    <mergeCell ref="N1237:N1239"/>
    <mergeCell ref="N1233:N1234"/>
    <mergeCell ref="N1230:N1231"/>
    <mergeCell ref="N1226:N1227"/>
    <mergeCell ref="L1207:L1209"/>
    <mergeCell ref="X1207:X1209"/>
    <mergeCell ref="L1210:L1211"/>
    <mergeCell ref="X1210:X1211"/>
    <mergeCell ref="L1213:L1216"/>
    <mergeCell ref="O1213:O1220"/>
    <mergeCell ref="X1213:X1220"/>
    <mergeCell ref="W1215:W1216"/>
    <mergeCell ref="L1217:L1219"/>
    <mergeCell ref="L1192:L1193"/>
    <mergeCell ref="X1192:X1193"/>
    <mergeCell ref="L1194:L1195"/>
    <mergeCell ref="L1196:L1198"/>
    <mergeCell ref="X1196:X1198"/>
    <mergeCell ref="L1199:L1200"/>
    <mergeCell ref="X1199:X1206"/>
    <mergeCell ref="L1201:L1202"/>
    <mergeCell ref="L1203:L1204"/>
    <mergeCell ref="L1205:L1206"/>
    <mergeCell ref="N1213:N1220"/>
    <mergeCell ref="L1183:L1184"/>
    <mergeCell ref="X1183:X1184"/>
    <mergeCell ref="L1185:L1186"/>
    <mergeCell ref="X1185:X1186"/>
    <mergeCell ref="L1187:L1188"/>
    <mergeCell ref="X1187:X1188"/>
    <mergeCell ref="L1189:L1190"/>
    <mergeCell ref="M1189:M1190"/>
    <mergeCell ref="O1189:O1190"/>
    <mergeCell ref="L1168:L1169"/>
    <mergeCell ref="X1168:X1169"/>
    <mergeCell ref="L1172:L1173"/>
    <mergeCell ref="X1172:X1173"/>
    <mergeCell ref="L1174:L1175"/>
    <mergeCell ref="X1174:X1176"/>
    <mergeCell ref="L1178:L1179"/>
    <mergeCell ref="X1178:X1179"/>
    <mergeCell ref="L1180:L1182"/>
    <mergeCell ref="N1189:N1190"/>
    <mergeCell ref="L1155:L1159"/>
    <mergeCell ref="X1155:X1159"/>
    <mergeCell ref="L1160:L1161"/>
    <mergeCell ref="M1160:M1161"/>
    <mergeCell ref="O1160:O1161"/>
    <mergeCell ref="X1160:X1161"/>
    <mergeCell ref="L1162:L1163"/>
    <mergeCell ref="O1162:O1163"/>
    <mergeCell ref="L1166:L1167"/>
    <mergeCell ref="L1140:L1141"/>
    <mergeCell ref="X1140:X1141"/>
    <mergeCell ref="L1142:L1143"/>
    <mergeCell ref="X1142:X1143"/>
    <mergeCell ref="L1145:L1146"/>
    <mergeCell ref="X1145:X1146"/>
    <mergeCell ref="L1148:L1149"/>
    <mergeCell ref="X1148:X1149"/>
    <mergeCell ref="L1150:L1151"/>
    <mergeCell ref="X1150:X1152"/>
    <mergeCell ref="N1162:N1163"/>
    <mergeCell ref="N1160:N1161"/>
    <mergeCell ref="L1132:L1133"/>
    <mergeCell ref="M1132:M1133"/>
    <mergeCell ref="O1132:O1133"/>
    <mergeCell ref="L1134:L1135"/>
    <mergeCell ref="X1134:X1135"/>
    <mergeCell ref="L1136:L1137"/>
    <mergeCell ref="X1136:X1137"/>
    <mergeCell ref="L1138:L1139"/>
    <mergeCell ref="X1138:X1139"/>
    <mergeCell ref="L1122:L1123"/>
    <mergeCell ref="M1122:M1123"/>
    <mergeCell ref="O1122:O1123"/>
    <mergeCell ref="X1122:X1123"/>
    <mergeCell ref="L1124:L1125"/>
    <mergeCell ref="M1124:M1125"/>
    <mergeCell ref="O1124:O1125"/>
    <mergeCell ref="X1124:X1125"/>
    <mergeCell ref="X1129:X1130"/>
    <mergeCell ref="N1132:N1133"/>
    <mergeCell ref="N1124:N1125"/>
    <mergeCell ref="N1122:N1123"/>
    <mergeCell ref="X1106:X1107"/>
    <mergeCell ref="L1109:L1111"/>
    <mergeCell ref="O1109:O1111"/>
    <mergeCell ref="X1109:X1116"/>
    <mergeCell ref="L1118:L1119"/>
    <mergeCell ref="L1120:L1121"/>
    <mergeCell ref="M1120:M1121"/>
    <mergeCell ref="O1120:O1121"/>
    <mergeCell ref="X1120:X1121"/>
    <mergeCell ref="L1076:L1080"/>
    <mergeCell ref="O1076:O1080"/>
    <mergeCell ref="X1076:X1084"/>
    <mergeCell ref="X1086:X1103"/>
    <mergeCell ref="L1092:L1093"/>
    <mergeCell ref="O1092:O1093"/>
    <mergeCell ref="L1104:L1105"/>
    <mergeCell ref="M1104:M1105"/>
    <mergeCell ref="O1104:O1105"/>
    <mergeCell ref="X1104:X1105"/>
    <mergeCell ref="N1120:N1121"/>
    <mergeCell ref="N1109:N1111"/>
    <mergeCell ref="N1104:N1105"/>
    <mergeCell ref="N1092:N1093"/>
    <mergeCell ref="N1076:N1080"/>
    <mergeCell ref="M1066:M1067"/>
    <mergeCell ref="O1066:O1067"/>
    <mergeCell ref="X1066:X1067"/>
    <mergeCell ref="M1068:M1069"/>
    <mergeCell ref="O1068:O1069"/>
    <mergeCell ref="X1068:X1069"/>
    <mergeCell ref="L1072:L1073"/>
    <mergeCell ref="X1072:X1073"/>
    <mergeCell ref="X1074:X1075"/>
    <mergeCell ref="L1047:L1049"/>
    <mergeCell ref="O1047:O1049"/>
    <mergeCell ref="X1047:X1052"/>
    <mergeCell ref="X1053:X1059"/>
    <mergeCell ref="L1055:L1058"/>
    <mergeCell ref="L1060:L1061"/>
    <mergeCell ref="M1060:M1061"/>
    <mergeCell ref="O1060:O1061"/>
    <mergeCell ref="X1060:X1064"/>
    <mergeCell ref="L1063:L1064"/>
    <mergeCell ref="N1068:N1069"/>
    <mergeCell ref="N1066:N1067"/>
    <mergeCell ref="N1060:N1061"/>
    <mergeCell ref="N1047:N1049"/>
    <mergeCell ref="X1026:X1030"/>
    <mergeCell ref="L1032:L1034"/>
    <mergeCell ref="X1035:X1039"/>
    <mergeCell ref="L1040:L1041"/>
    <mergeCell ref="M1040:M1041"/>
    <mergeCell ref="O1040:O1041"/>
    <mergeCell ref="X1040:X1041"/>
    <mergeCell ref="L1043:L1045"/>
    <mergeCell ref="M1043:M1046"/>
    <mergeCell ref="O1043:O1046"/>
    <mergeCell ref="X1043:X1046"/>
    <mergeCell ref="L1000:L1004"/>
    <mergeCell ref="M1000:M1004"/>
    <mergeCell ref="O1000:O1004"/>
    <mergeCell ref="X1000:X1004"/>
    <mergeCell ref="X1006:X1011"/>
    <mergeCell ref="X1012:X1014"/>
    <mergeCell ref="X1015:X1019"/>
    <mergeCell ref="X1020:X1022"/>
    <mergeCell ref="L1023:L1025"/>
    <mergeCell ref="N1043:N1046"/>
    <mergeCell ref="N1040:N1041"/>
    <mergeCell ref="N1000:N1004"/>
    <mergeCell ref="L970:L974"/>
    <mergeCell ref="M970:M974"/>
    <mergeCell ref="O970:O974"/>
    <mergeCell ref="X970:X977"/>
    <mergeCell ref="L978:L985"/>
    <mergeCell ref="X978:X985"/>
    <mergeCell ref="L987:L994"/>
    <mergeCell ref="X987:X992"/>
    <mergeCell ref="X993:X999"/>
    <mergeCell ref="L995:L996"/>
    <mergeCell ref="L951:L953"/>
    <mergeCell ref="M951:M953"/>
    <mergeCell ref="O951:O953"/>
    <mergeCell ref="X951:X953"/>
    <mergeCell ref="L955:L960"/>
    <mergeCell ref="M955:M960"/>
    <mergeCell ref="X955:X961"/>
    <mergeCell ref="L962:L969"/>
    <mergeCell ref="X962:X969"/>
    <mergeCell ref="N970:N974"/>
    <mergeCell ref="N951:N953"/>
    <mergeCell ref="L939:L944"/>
    <mergeCell ref="M939:M944"/>
    <mergeCell ref="O939:O944"/>
    <mergeCell ref="X939:X945"/>
    <mergeCell ref="L946:L947"/>
    <mergeCell ref="M946:M947"/>
    <mergeCell ref="O946:O947"/>
    <mergeCell ref="X946:X947"/>
    <mergeCell ref="L948:L950"/>
    <mergeCell ref="M948:M950"/>
    <mergeCell ref="O948:O950"/>
    <mergeCell ref="X948:X950"/>
    <mergeCell ref="L920:L921"/>
    <mergeCell ref="M920:M921"/>
    <mergeCell ref="X920:X932"/>
    <mergeCell ref="L923:L928"/>
    <mergeCell ref="L929:L932"/>
    <mergeCell ref="L933:L934"/>
    <mergeCell ref="M933:M934"/>
    <mergeCell ref="X933:X935"/>
    <mergeCell ref="L936:L937"/>
    <mergeCell ref="M936:M937"/>
    <mergeCell ref="X936:X937"/>
    <mergeCell ref="N948:N950"/>
    <mergeCell ref="N946:N947"/>
    <mergeCell ref="N939:N944"/>
    <mergeCell ref="W934:W935"/>
    <mergeCell ref="L907:L911"/>
    <mergeCell ref="M907:M911"/>
    <mergeCell ref="O907:O911"/>
    <mergeCell ref="W907:W908"/>
    <mergeCell ref="X907:X912"/>
    <mergeCell ref="L913:L915"/>
    <mergeCell ref="X913:X915"/>
    <mergeCell ref="L916:L917"/>
    <mergeCell ref="X916:X917"/>
    <mergeCell ref="L887:L892"/>
    <mergeCell ref="M887:M892"/>
    <mergeCell ref="X887:X892"/>
    <mergeCell ref="L893:L894"/>
    <mergeCell ref="M893:M894"/>
    <mergeCell ref="L895:L896"/>
    <mergeCell ref="X895:X896"/>
    <mergeCell ref="L900:L901"/>
    <mergeCell ref="L903:L906"/>
    <mergeCell ref="M903:M906"/>
    <mergeCell ref="X903:X906"/>
    <mergeCell ref="N907:N911"/>
    <mergeCell ref="L868:L869"/>
    <mergeCell ref="X868:X869"/>
    <mergeCell ref="L872:L874"/>
    <mergeCell ref="X872:X874"/>
    <mergeCell ref="L875:L877"/>
    <mergeCell ref="X875:X877"/>
    <mergeCell ref="L878:L880"/>
    <mergeCell ref="X878:X880"/>
    <mergeCell ref="L881:L886"/>
    <mergeCell ref="M881:M886"/>
    <mergeCell ref="X881:X886"/>
    <mergeCell ref="L851:L852"/>
    <mergeCell ref="X851:X853"/>
    <mergeCell ref="L856:L857"/>
    <mergeCell ref="X856:X857"/>
    <mergeCell ref="L859:L862"/>
    <mergeCell ref="X859:X862"/>
    <mergeCell ref="L863:L864"/>
    <mergeCell ref="X863:X864"/>
    <mergeCell ref="L865:L867"/>
    <mergeCell ref="X865:X867"/>
    <mergeCell ref="L832:L834"/>
    <mergeCell ref="M832:M834"/>
    <mergeCell ref="L835:L839"/>
    <mergeCell ref="L841:L842"/>
    <mergeCell ref="X841:X842"/>
    <mergeCell ref="L844:L845"/>
    <mergeCell ref="X844:X845"/>
    <mergeCell ref="L849:L850"/>
    <mergeCell ref="X849:X850"/>
    <mergeCell ref="L809:L811"/>
    <mergeCell ref="M809:M811"/>
    <mergeCell ref="X809:X811"/>
    <mergeCell ref="L813:L814"/>
    <mergeCell ref="M813:M814"/>
    <mergeCell ref="X813:X814"/>
    <mergeCell ref="L816:L819"/>
    <mergeCell ref="M816:M819"/>
    <mergeCell ref="X816:X819"/>
    <mergeCell ref="X835:X837"/>
    <mergeCell ref="X838:X839"/>
    <mergeCell ref="L793:L794"/>
    <mergeCell ref="M793:M794"/>
    <mergeCell ref="L795:L796"/>
    <mergeCell ref="X795:X797"/>
    <mergeCell ref="L800:L802"/>
    <mergeCell ref="M800:M802"/>
    <mergeCell ref="X800:X802"/>
    <mergeCell ref="L803:L807"/>
    <mergeCell ref="M803:M807"/>
    <mergeCell ref="X803:X807"/>
    <mergeCell ref="L773:L776"/>
    <mergeCell ref="L777:L778"/>
    <mergeCell ref="M777:M784"/>
    <mergeCell ref="X777:X778"/>
    <mergeCell ref="L779:L781"/>
    <mergeCell ref="X779:X781"/>
    <mergeCell ref="L782:L784"/>
    <mergeCell ref="X782:X784"/>
    <mergeCell ref="L785:L792"/>
    <mergeCell ref="O785:O792"/>
    <mergeCell ref="X785:X792"/>
    <mergeCell ref="N785:N792"/>
    <mergeCell ref="X2:Y2"/>
    <mergeCell ref="X1:Y1"/>
    <mergeCell ref="Y6:Y7"/>
    <mergeCell ref="O6:O7"/>
    <mergeCell ref="I6:K7"/>
    <mergeCell ref="L6:L7"/>
    <mergeCell ref="M6:M7"/>
    <mergeCell ref="W6:W7"/>
    <mergeCell ref="X6:X7"/>
    <mergeCell ref="N6:N7"/>
    <mergeCell ref="X4:Y4"/>
    <mergeCell ref="X5:Y5"/>
    <mergeCell ref="Y13:Y17"/>
    <mergeCell ref="L18:L19"/>
    <mergeCell ref="M18:M19"/>
    <mergeCell ref="O18:O19"/>
    <mergeCell ref="Y18:Y19"/>
    <mergeCell ref="N13:N14"/>
    <mergeCell ref="X13:X17"/>
    <mergeCell ref="X18:X19"/>
    <mergeCell ref="L9:L11"/>
    <mergeCell ref="Y20:Y21"/>
    <mergeCell ref="L22:L23"/>
    <mergeCell ref="M22:M23"/>
    <mergeCell ref="O22:O23"/>
    <mergeCell ref="Y22:Y23"/>
    <mergeCell ref="N20:N21"/>
    <mergeCell ref="N22:N23"/>
    <mergeCell ref="X20:X21"/>
    <mergeCell ref="X22:X23"/>
    <mergeCell ref="L20:L21"/>
    <mergeCell ref="Y38:Y42"/>
    <mergeCell ref="N35:N37"/>
    <mergeCell ref="N38:N39"/>
    <mergeCell ref="X35:X37"/>
    <mergeCell ref="X38:X42"/>
    <mergeCell ref="L35:L37"/>
    <mergeCell ref="M35:M37"/>
    <mergeCell ref="O35:O37"/>
    <mergeCell ref="Y35:Y37"/>
    <mergeCell ref="Y24:Y25"/>
    <mergeCell ref="Y26:Y34"/>
    <mergeCell ref="L44:L47"/>
    <mergeCell ref="M44:M47"/>
    <mergeCell ref="O44:O47"/>
    <mergeCell ref="X44:X47"/>
    <mergeCell ref="L49:L52"/>
    <mergeCell ref="X49:X53"/>
    <mergeCell ref="I5:K5"/>
    <mergeCell ref="I1:K1"/>
    <mergeCell ref="M1:O5"/>
    <mergeCell ref="I2:L2"/>
    <mergeCell ref="I3:L3"/>
    <mergeCell ref="I4:L4"/>
    <mergeCell ref="L24:L25"/>
    <mergeCell ref="M24:M25"/>
    <mergeCell ref="O24:O25"/>
    <mergeCell ref="X26:X34"/>
    <mergeCell ref="L38:L39"/>
    <mergeCell ref="M38:M39"/>
    <mergeCell ref="O38:O39"/>
    <mergeCell ref="M20:M21"/>
    <mergeCell ref="O20:O21"/>
    <mergeCell ref="L13:L14"/>
    <mergeCell ref="M13:M14"/>
    <mergeCell ref="O13:O14"/>
    <mergeCell ref="L26:L29"/>
    <mergeCell ref="M26:M34"/>
    <mergeCell ref="O26:O34"/>
    <mergeCell ref="N24:N25"/>
    <mergeCell ref="N26:N34"/>
    <mergeCell ref="X24:X25"/>
    <mergeCell ref="W1:W3"/>
    <mergeCell ref="X3:Y3"/>
    <mergeCell ref="I54:L54"/>
    <mergeCell ref="X54:X65"/>
    <mergeCell ref="L56:L57"/>
    <mergeCell ref="M56:M57"/>
    <mergeCell ref="O56:O57"/>
    <mergeCell ref="L58:L59"/>
    <mergeCell ref="M58:M59"/>
    <mergeCell ref="O58:O59"/>
    <mergeCell ref="L62:L63"/>
    <mergeCell ref="M62:M63"/>
    <mergeCell ref="O62:O63"/>
    <mergeCell ref="L64:L65"/>
    <mergeCell ref="M64:M65"/>
    <mergeCell ref="O64:O65"/>
    <mergeCell ref="N64:N65"/>
    <mergeCell ref="N62:N63"/>
    <mergeCell ref="L69:L70"/>
    <mergeCell ref="M69:M70"/>
    <mergeCell ref="O69:O70"/>
    <mergeCell ref="L71:L72"/>
    <mergeCell ref="O71:O72"/>
    <mergeCell ref="L76:L77"/>
    <mergeCell ref="M76:M77"/>
    <mergeCell ref="O76:O77"/>
    <mergeCell ref="N76:N77"/>
    <mergeCell ref="N71:N72"/>
    <mergeCell ref="N69:N70"/>
    <mergeCell ref="L92:L95"/>
    <mergeCell ref="X92:X98"/>
    <mergeCell ref="L96:L98"/>
    <mergeCell ref="L99:L101"/>
    <mergeCell ref="M99:M101"/>
    <mergeCell ref="O99:O101"/>
    <mergeCell ref="X99:X101"/>
    <mergeCell ref="N99:N101"/>
    <mergeCell ref="L79:L80"/>
    <mergeCell ref="X79:X91"/>
    <mergeCell ref="L82:L83"/>
    <mergeCell ref="M82:M83"/>
    <mergeCell ref="O82:O83"/>
    <mergeCell ref="L84:L85"/>
    <mergeCell ref="M84:M90"/>
    <mergeCell ref="O84:O90"/>
    <mergeCell ref="L87:L88"/>
    <mergeCell ref="N84:N90"/>
    <mergeCell ref="N82:N83"/>
    <mergeCell ref="L113:L114"/>
    <mergeCell ref="O113:O114"/>
    <mergeCell ref="X113:X117"/>
    <mergeCell ref="L118:L119"/>
    <mergeCell ref="X118:X121"/>
    <mergeCell ref="L120:L121"/>
    <mergeCell ref="N113:N114"/>
    <mergeCell ref="L102:L105"/>
    <mergeCell ref="M102:M105"/>
    <mergeCell ref="O102:O105"/>
    <mergeCell ref="X102:X105"/>
    <mergeCell ref="L106:L109"/>
    <mergeCell ref="O106:O109"/>
    <mergeCell ref="X106:X112"/>
    <mergeCell ref="N106:N109"/>
    <mergeCell ref="N102:N105"/>
    <mergeCell ref="L122:L123"/>
    <mergeCell ref="O122:O123"/>
    <mergeCell ref="X122:X127"/>
    <mergeCell ref="L128:L129"/>
    <mergeCell ref="M128:M129"/>
    <mergeCell ref="O128:O129"/>
    <mergeCell ref="X128:X129"/>
    <mergeCell ref="N128:N129"/>
    <mergeCell ref="N122:N123"/>
    <mergeCell ref="X134:X138"/>
    <mergeCell ref="L140:L144"/>
    <mergeCell ref="M140:M144"/>
    <mergeCell ref="O140:O144"/>
    <mergeCell ref="X140:X144"/>
    <mergeCell ref="N140:N144"/>
    <mergeCell ref="L130:L131"/>
    <mergeCell ref="M130:M131"/>
    <mergeCell ref="O130:O131"/>
    <mergeCell ref="X130:X131"/>
    <mergeCell ref="L132:L133"/>
    <mergeCell ref="M132:M133"/>
    <mergeCell ref="O132:O133"/>
    <mergeCell ref="X132:X133"/>
    <mergeCell ref="N132:N133"/>
    <mergeCell ref="N130:N131"/>
    <mergeCell ref="L145:L146"/>
    <mergeCell ref="M145:M146"/>
    <mergeCell ref="O145:O146"/>
    <mergeCell ref="X145:X146"/>
    <mergeCell ref="L147:L149"/>
    <mergeCell ref="X147:X149"/>
    <mergeCell ref="M147:M149"/>
    <mergeCell ref="N147:N149"/>
    <mergeCell ref="O147:O149"/>
    <mergeCell ref="N145:N146"/>
    <mergeCell ref="L150:L151"/>
    <mergeCell ref="M150:M151"/>
    <mergeCell ref="O150:O151"/>
    <mergeCell ref="X150:X151"/>
    <mergeCell ref="L152:L153"/>
    <mergeCell ref="M152:M153"/>
    <mergeCell ref="O152:O153"/>
    <mergeCell ref="X152:X153"/>
    <mergeCell ref="N152:N153"/>
    <mergeCell ref="N150:N151"/>
    <mergeCell ref="L154:L155"/>
    <mergeCell ref="M154:M155"/>
    <mergeCell ref="O154:O155"/>
    <mergeCell ref="X154:X155"/>
    <mergeCell ref="L156:L157"/>
    <mergeCell ref="O156:O157"/>
    <mergeCell ref="X156:X162"/>
    <mergeCell ref="L160:L161"/>
    <mergeCell ref="M160:M161"/>
    <mergeCell ref="N156:N157"/>
    <mergeCell ref="N154:N155"/>
    <mergeCell ref="L163:L164"/>
    <mergeCell ref="X163:X168"/>
    <mergeCell ref="L165:L166"/>
    <mergeCell ref="M165:M166"/>
    <mergeCell ref="O165:O166"/>
    <mergeCell ref="L167:L168"/>
    <mergeCell ref="M167:M168"/>
    <mergeCell ref="O167:O168"/>
    <mergeCell ref="N167:N168"/>
    <mergeCell ref="N165:N166"/>
    <mergeCell ref="L175:L176"/>
    <mergeCell ref="L177:L180"/>
    <mergeCell ref="M177:M181"/>
    <mergeCell ref="O177:O181"/>
    <mergeCell ref="X177:X181"/>
    <mergeCell ref="N177:N181"/>
    <mergeCell ref="L169:L171"/>
    <mergeCell ref="M169:M171"/>
    <mergeCell ref="O169:O171"/>
    <mergeCell ref="X169:X173"/>
    <mergeCell ref="L172:L173"/>
    <mergeCell ref="M172:M173"/>
    <mergeCell ref="N169:N171"/>
    <mergeCell ref="L189:L191"/>
    <mergeCell ref="X189:X191"/>
    <mergeCell ref="L192:L193"/>
    <mergeCell ref="M192:M193"/>
    <mergeCell ref="O192:O193"/>
    <mergeCell ref="X192:X193"/>
    <mergeCell ref="N192:N193"/>
    <mergeCell ref="L182:L183"/>
    <mergeCell ref="X182:X188"/>
    <mergeCell ref="L185:L186"/>
    <mergeCell ref="M185:M186"/>
    <mergeCell ref="O185:O186"/>
    <mergeCell ref="L187:L188"/>
    <mergeCell ref="M187:M188"/>
    <mergeCell ref="O187:O188"/>
    <mergeCell ref="N187:N188"/>
    <mergeCell ref="N185:N186"/>
    <mergeCell ref="L195:L196"/>
    <mergeCell ref="M195:M196"/>
    <mergeCell ref="O195:O196"/>
    <mergeCell ref="X195:X196"/>
    <mergeCell ref="L197:L198"/>
    <mergeCell ref="M197:M198"/>
    <mergeCell ref="O197:O198"/>
    <mergeCell ref="X197:X198"/>
    <mergeCell ref="N197:N198"/>
    <mergeCell ref="N195:N196"/>
    <mergeCell ref="L199:L202"/>
    <mergeCell ref="M199:M202"/>
    <mergeCell ref="O199:O202"/>
    <mergeCell ref="X199:X202"/>
    <mergeCell ref="L203:L205"/>
    <mergeCell ref="M203:M205"/>
    <mergeCell ref="O203:O205"/>
    <mergeCell ref="X203:X205"/>
    <mergeCell ref="N203:N205"/>
    <mergeCell ref="N199:N202"/>
    <mergeCell ref="M207:M214"/>
    <mergeCell ref="O207:O214"/>
    <mergeCell ref="X207:X214"/>
    <mergeCell ref="L217:L219"/>
    <mergeCell ref="L220:L221"/>
    <mergeCell ref="L222:L223"/>
    <mergeCell ref="M222:M223"/>
    <mergeCell ref="O222:O223"/>
    <mergeCell ref="L229:L230"/>
    <mergeCell ref="O229:O230"/>
    <mergeCell ref="N229:N230"/>
    <mergeCell ref="N222:N223"/>
    <mergeCell ref="N207:N214"/>
    <mergeCell ref="X222:X223"/>
    <mergeCell ref="X225:X228"/>
    <mergeCell ref="X229:X233"/>
    <mergeCell ref="X235:X244"/>
    <mergeCell ref="X248:X253"/>
    <mergeCell ref="L255:L256"/>
    <mergeCell ref="M255:M256"/>
    <mergeCell ref="O255:O256"/>
    <mergeCell ref="X255:X256"/>
    <mergeCell ref="N255:N256"/>
    <mergeCell ref="L235:L236"/>
    <mergeCell ref="M235:M236"/>
    <mergeCell ref="O235:O236"/>
    <mergeCell ref="L237:L239"/>
    <mergeCell ref="L240:L243"/>
    <mergeCell ref="L245:L247"/>
    <mergeCell ref="M245:M247"/>
    <mergeCell ref="O245:O247"/>
    <mergeCell ref="N245:N247"/>
    <mergeCell ref="N235:N236"/>
    <mergeCell ref="X245:X247"/>
    <mergeCell ref="L257:L262"/>
    <mergeCell ref="M257:M262"/>
    <mergeCell ref="X257:X262"/>
    <mergeCell ref="L264:L266"/>
    <mergeCell ref="L267:L270"/>
    <mergeCell ref="O267:O270"/>
    <mergeCell ref="X267:X280"/>
    <mergeCell ref="L277:L278"/>
    <mergeCell ref="L279:L280"/>
    <mergeCell ref="N267:N270"/>
    <mergeCell ref="L286:L288"/>
    <mergeCell ref="M286:M288"/>
    <mergeCell ref="O286:O288"/>
    <mergeCell ref="X286:X288"/>
    <mergeCell ref="L290:L292"/>
    <mergeCell ref="N298:N300"/>
    <mergeCell ref="N286:N288"/>
    <mergeCell ref="L281:L282"/>
    <mergeCell ref="L283:L285"/>
    <mergeCell ref="M283:M285"/>
    <mergeCell ref="O283:O285"/>
    <mergeCell ref="X283:X285"/>
    <mergeCell ref="N283:N285"/>
    <mergeCell ref="L325:L326"/>
    <mergeCell ref="N314:N315"/>
    <mergeCell ref="N309:N311"/>
    <mergeCell ref="X314:X331"/>
    <mergeCell ref="L330:L331"/>
    <mergeCell ref="M328:M329"/>
    <mergeCell ref="L328:L329"/>
    <mergeCell ref="L298:L300"/>
    <mergeCell ref="M298:M300"/>
    <mergeCell ref="O298:O300"/>
    <mergeCell ref="X298:X300"/>
    <mergeCell ref="L301:L303"/>
    <mergeCell ref="M301:M303"/>
    <mergeCell ref="L309:L311"/>
    <mergeCell ref="M309:M311"/>
    <mergeCell ref="O309:O311"/>
    <mergeCell ref="X309:X313"/>
    <mergeCell ref="L314:L315"/>
    <mergeCell ref="M314:M315"/>
    <mergeCell ref="O314:O315"/>
    <mergeCell ref="L319:L320"/>
    <mergeCell ref="L323:L324"/>
    <mergeCell ref="L340:L342"/>
    <mergeCell ref="M340:M345"/>
    <mergeCell ref="O340:O345"/>
    <mergeCell ref="X340:X345"/>
    <mergeCell ref="L343:L345"/>
    <mergeCell ref="L332:L336"/>
    <mergeCell ref="M332:M339"/>
    <mergeCell ref="O332:O339"/>
    <mergeCell ref="X332:X339"/>
    <mergeCell ref="L337:L339"/>
    <mergeCell ref="N340:N345"/>
    <mergeCell ref="N332:N339"/>
    <mergeCell ref="L356:L357"/>
    <mergeCell ref="M356:M359"/>
    <mergeCell ref="O356:O359"/>
    <mergeCell ref="X356:X359"/>
    <mergeCell ref="L361:L362"/>
    <mergeCell ref="M361:M362"/>
    <mergeCell ref="X361:X362"/>
    <mergeCell ref="L347:L348"/>
    <mergeCell ref="L351:L353"/>
    <mergeCell ref="M351:M353"/>
    <mergeCell ref="X351:X353"/>
    <mergeCell ref="L354:L355"/>
    <mergeCell ref="M354:M355"/>
    <mergeCell ref="O354:O355"/>
    <mergeCell ref="X354:X355"/>
    <mergeCell ref="N356:N359"/>
    <mergeCell ref="N354:N355"/>
    <mergeCell ref="L369:L370"/>
    <mergeCell ref="M369:M370"/>
    <mergeCell ref="O369:O370"/>
    <mergeCell ref="X369:X370"/>
    <mergeCell ref="L372:L374"/>
    <mergeCell ref="L363:L364"/>
    <mergeCell ref="M363:M364"/>
    <mergeCell ref="O363:O364"/>
    <mergeCell ref="X363:X364"/>
    <mergeCell ref="L366:L368"/>
    <mergeCell ref="N369:N370"/>
    <mergeCell ref="N363:N364"/>
    <mergeCell ref="X380:X385"/>
    <mergeCell ref="L381:L382"/>
    <mergeCell ref="M381:M382"/>
    <mergeCell ref="O381:O382"/>
    <mergeCell ref="L383:L385"/>
    <mergeCell ref="M383:M385"/>
    <mergeCell ref="O383:O385"/>
    <mergeCell ref="L375:L376"/>
    <mergeCell ref="M375:M376"/>
    <mergeCell ref="O375:O376"/>
    <mergeCell ref="X375:X376"/>
    <mergeCell ref="L377:L378"/>
    <mergeCell ref="M377:M378"/>
    <mergeCell ref="X377:X378"/>
    <mergeCell ref="N383:N385"/>
    <mergeCell ref="N381:N382"/>
    <mergeCell ref="N375:N376"/>
    <mergeCell ref="L386:L387"/>
    <mergeCell ref="L389:L392"/>
    <mergeCell ref="M389:M392"/>
    <mergeCell ref="O389:O392"/>
    <mergeCell ref="X389:X399"/>
    <mergeCell ref="L393:L396"/>
    <mergeCell ref="M393:M396"/>
    <mergeCell ref="O393:O396"/>
    <mergeCell ref="L397:L399"/>
    <mergeCell ref="M397:M399"/>
    <mergeCell ref="O397:O399"/>
    <mergeCell ref="N397:N399"/>
    <mergeCell ref="N393:N396"/>
    <mergeCell ref="N389:N392"/>
    <mergeCell ref="L407:L408"/>
    <mergeCell ref="M407:M408"/>
    <mergeCell ref="O407:O408"/>
    <mergeCell ref="X407:X408"/>
    <mergeCell ref="L409:L410"/>
    <mergeCell ref="M409:M410"/>
    <mergeCell ref="O409:O410"/>
    <mergeCell ref="X409:X410"/>
    <mergeCell ref="L402:L403"/>
    <mergeCell ref="M402:M403"/>
    <mergeCell ref="O402:O403"/>
    <mergeCell ref="X402:X403"/>
    <mergeCell ref="L404:L405"/>
    <mergeCell ref="M404:M406"/>
    <mergeCell ref="O404:O406"/>
    <mergeCell ref="X404:X406"/>
    <mergeCell ref="N409:N410"/>
    <mergeCell ref="N407:N408"/>
    <mergeCell ref="N404:N406"/>
    <mergeCell ref="N402:N403"/>
    <mergeCell ref="L418:L422"/>
    <mergeCell ref="M423:M432"/>
    <mergeCell ref="X423:X432"/>
    <mergeCell ref="L427:L428"/>
    <mergeCell ref="L433:L435"/>
    <mergeCell ref="M433:M435"/>
    <mergeCell ref="O433:O435"/>
    <mergeCell ref="X433:X435"/>
    <mergeCell ref="L411:L414"/>
    <mergeCell ref="M411:M414"/>
    <mergeCell ref="O411:O414"/>
    <mergeCell ref="X411:X414"/>
    <mergeCell ref="L415:L416"/>
    <mergeCell ref="M415:M417"/>
    <mergeCell ref="X415:X417"/>
    <mergeCell ref="N433:N435"/>
    <mergeCell ref="N411:N414"/>
    <mergeCell ref="L437:L440"/>
    <mergeCell ref="M437:M440"/>
    <mergeCell ref="O437:O440"/>
    <mergeCell ref="X437:X440"/>
    <mergeCell ref="X441:X446"/>
    <mergeCell ref="L442:L444"/>
    <mergeCell ref="M442:M444"/>
    <mergeCell ref="L445:L446"/>
    <mergeCell ref="M445:M446"/>
    <mergeCell ref="N437:N440"/>
    <mergeCell ref="L463:L464"/>
    <mergeCell ref="M463:M464"/>
    <mergeCell ref="X463:X464"/>
    <mergeCell ref="L465:L466"/>
    <mergeCell ref="M465:M467"/>
    <mergeCell ref="O465:O467"/>
    <mergeCell ref="X465:X467"/>
    <mergeCell ref="L447:L448"/>
    <mergeCell ref="M447:M448"/>
    <mergeCell ref="O447:O448"/>
    <mergeCell ref="X447:X448"/>
    <mergeCell ref="L450:L455"/>
    <mergeCell ref="M450:M462"/>
    <mergeCell ref="O450:O462"/>
    <mergeCell ref="X451:X462"/>
    <mergeCell ref="L461:L462"/>
    <mergeCell ref="N465:N467"/>
    <mergeCell ref="N450:N462"/>
    <mergeCell ref="N447:N448"/>
    <mergeCell ref="L478:L481"/>
    <mergeCell ref="M478:M481"/>
    <mergeCell ref="O478:O481"/>
    <mergeCell ref="L482:L483"/>
    <mergeCell ref="X482:X483"/>
    <mergeCell ref="L468:L471"/>
    <mergeCell ref="M468:M471"/>
    <mergeCell ref="X468:X471"/>
    <mergeCell ref="L472:L473"/>
    <mergeCell ref="L474:L475"/>
    <mergeCell ref="M474:M475"/>
    <mergeCell ref="O474:O475"/>
    <mergeCell ref="X474:X475"/>
    <mergeCell ref="N478:N481"/>
    <mergeCell ref="N474:N475"/>
    <mergeCell ref="L492:L496"/>
    <mergeCell ref="M492:M496"/>
    <mergeCell ref="X492:X496"/>
    <mergeCell ref="L497:L498"/>
    <mergeCell ref="M497:M498"/>
    <mergeCell ref="O497:O498"/>
    <mergeCell ref="X497:X498"/>
    <mergeCell ref="L485:L487"/>
    <mergeCell ref="X485:X487"/>
    <mergeCell ref="L488:L490"/>
    <mergeCell ref="M488:M490"/>
    <mergeCell ref="O488:O490"/>
    <mergeCell ref="X488:X490"/>
    <mergeCell ref="N497:N498"/>
    <mergeCell ref="N488:N490"/>
    <mergeCell ref="L509:L511"/>
    <mergeCell ref="M509:M515"/>
    <mergeCell ref="O509:O515"/>
    <mergeCell ref="X509:X515"/>
    <mergeCell ref="L513:L515"/>
    <mergeCell ref="L501:L502"/>
    <mergeCell ref="L503:L504"/>
    <mergeCell ref="M503:M508"/>
    <mergeCell ref="O503:O508"/>
    <mergeCell ref="X503:X508"/>
    <mergeCell ref="L506:L508"/>
    <mergeCell ref="N509:N515"/>
    <mergeCell ref="N503:N508"/>
    <mergeCell ref="L516:L517"/>
    <mergeCell ref="M516:M518"/>
    <mergeCell ref="O516:O518"/>
    <mergeCell ref="X516:X518"/>
    <mergeCell ref="L520:L521"/>
    <mergeCell ref="M520:M527"/>
    <mergeCell ref="O520:O527"/>
    <mergeCell ref="X520:X521"/>
    <mergeCell ref="X522:X523"/>
    <mergeCell ref="L524:L525"/>
    <mergeCell ref="X524:X525"/>
    <mergeCell ref="X526:X527"/>
    <mergeCell ref="N520:N527"/>
    <mergeCell ref="N516:N518"/>
    <mergeCell ref="L547:L548"/>
    <mergeCell ref="M547:M548"/>
    <mergeCell ref="O547:O548"/>
    <mergeCell ref="X547:X555"/>
    <mergeCell ref="L549:L551"/>
    <mergeCell ref="L553:L555"/>
    <mergeCell ref="L529:L530"/>
    <mergeCell ref="L532:L537"/>
    <mergeCell ref="M532:M546"/>
    <mergeCell ref="O532:O546"/>
    <mergeCell ref="X532:X546"/>
    <mergeCell ref="L538:L541"/>
    <mergeCell ref="L543:L544"/>
    <mergeCell ref="L545:L546"/>
    <mergeCell ref="N547:N548"/>
    <mergeCell ref="N532:N546"/>
    <mergeCell ref="L556:L557"/>
    <mergeCell ref="M556:M557"/>
    <mergeCell ref="O556:O557"/>
    <mergeCell ref="X560:X566"/>
    <mergeCell ref="O572:O581"/>
    <mergeCell ref="X573:X588"/>
    <mergeCell ref="L580:L581"/>
    <mergeCell ref="L583:L584"/>
    <mergeCell ref="M583:M584"/>
    <mergeCell ref="L585:L586"/>
    <mergeCell ref="M585:M586"/>
    <mergeCell ref="L587:L588"/>
    <mergeCell ref="M587:M588"/>
    <mergeCell ref="N572:N581"/>
    <mergeCell ref="N556:N557"/>
    <mergeCell ref="X601:X602"/>
    <mergeCell ref="L603:L604"/>
    <mergeCell ref="M603:M605"/>
    <mergeCell ref="O603:O605"/>
    <mergeCell ref="X604:X605"/>
    <mergeCell ref="L589:L590"/>
    <mergeCell ref="L592:L593"/>
    <mergeCell ref="L600:L601"/>
    <mergeCell ref="M600:M602"/>
    <mergeCell ref="O600:O602"/>
    <mergeCell ref="N603:N605"/>
    <mergeCell ref="N600:N602"/>
    <mergeCell ref="L615:L616"/>
    <mergeCell ref="M615:M616"/>
    <mergeCell ref="O615:O616"/>
    <mergeCell ref="X615:X616"/>
    <mergeCell ref="L618:L619"/>
    <mergeCell ref="M618:M619"/>
    <mergeCell ref="O618:O619"/>
    <mergeCell ref="X618:X619"/>
    <mergeCell ref="L606:L609"/>
    <mergeCell ref="M606:M611"/>
    <mergeCell ref="O606:O611"/>
    <mergeCell ref="X606:X611"/>
    <mergeCell ref="L613:L614"/>
    <mergeCell ref="N618:N619"/>
    <mergeCell ref="N615:N616"/>
    <mergeCell ref="N606:N611"/>
    <mergeCell ref="L630:L631"/>
    <mergeCell ref="M630:M636"/>
    <mergeCell ref="O630:O636"/>
    <mergeCell ref="X630:X632"/>
    <mergeCell ref="L632:L634"/>
    <mergeCell ref="X633:X636"/>
    <mergeCell ref="L635:L636"/>
    <mergeCell ref="L621:L623"/>
    <mergeCell ref="M621:M628"/>
    <mergeCell ref="O621:O628"/>
    <mergeCell ref="X621:X628"/>
    <mergeCell ref="L624:L625"/>
    <mergeCell ref="N621:N628"/>
    <mergeCell ref="L655:L661"/>
    <mergeCell ref="M655:M661"/>
    <mergeCell ref="O655:O661"/>
    <mergeCell ref="X655:X661"/>
    <mergeCell ref="L638:L643"/>
    <mergeCell ref="L644:L645"/>
    <mergeCell ref="L646:L648"/>
    <mergeCell ref="M646:M654"/>
    <mergeCell ref="O646:O654"/>
    <mergeCell ref="L668:L670"/>
    <mergeCell ref="M668:M681"/>
    <mergeCell ref="W668:W669"/>
    <mergeCell ref="X668:X674"/>
    <mergeCell ref="W675:W676"/>
    <mergeCell ref="X675:X681"/>
    <mergeCell ref="L677:L679"/>
    <mergeCell ref="L680:L681"/>
    <mergeCell ref="L662:L663"/>
    <mergeCell ref="M662:M663"/>
    <mergeCell ref="O662:O663"/>
    <mergeCell ref="X662:X663"/>
    <mergeCell ref="L664:L667"/>
    <mergeCell ref="M664:M667"/>
    <mergeCell ref="O664:O667"/>
    <mergeCell ref="M682:M705"/>
    <mergeCell ref="X682:X687"/>
    <mergeCell ref="X688:X693"/>
    <mergeCell ref="L694:L695"/>
    <mergeCell ref="X694:X699"/>
    <mergeCell ref="X700:X705"/>
    <mergeCell ref="L702:L703"/>
    <mergeCell ref="L704:L705"/>
    <mergeCell ref="L715:L717"/>
    <mergeCell ref="M715:M717"/>
    <mergeCell ref="O715:O717"/>
    <mergeCell ref="L724:L725"/>
    <mergeCell ref="M724:M725"/>
    <mergeCell ref="L707:L711"/>
    <mergeCell ref="M707:M714"/>
    <mergeCell ref="O707:O714"/>
    <mergeCell ref="X707:X714"/>
    <mergeCell ref="L713:L714"/>
    <mergeCell ref="L737:L738"/>
    <mergeCell ref="M737:M738"/>
    <mergeCell ref="X737:X738"/>
    <mergeCell ref="X724:X725"/>
    <mergeCell ref="L726:L727"/>
    <mergeCell ref="M726:M727"/>
    <mergeCell ref="O726:O727"/>
    <mergeCell ref="L728:L732"/>
    <mergeCell ref="M728:M732"/>
    <mergeCell ref="X728:X732"/>
    <mergeCell ref="L765:L770"/>
    <mergeCell ref="W765:W766"/>
    <mergeCell ref="X765:X771"/>
    <mergeCell ref="O257:O262"/>
    <mergeCell ref="N257:N262"/>
    <mergeCell ref="L751:L755"/>
    <mergeCell ref="M751:M755"/>
    <mergeCell ref="O751:O755"/>
    <mergeCell ref="L756:L763"/>
    <mergeCell ref="X756:X764"/>
    <mergeCell ref="L747:L748"/>
    <mergeCell ref="M747:M748"/>
    <mergeCell ref="X747:X748"/>
    <mergeCell ref="L749:L750"/>
    <mergeCell ref="M749:M750"/>
    <mergeCell ref="X749:X750"/>
    <mergeCell ref="L739:L740"/>
    <mergeCell ref="M739:M740"/>
    <mergeCell ref="X739:X740"/>
    <mergeCell ref="L743:L746"/>
    <mergeCell ref="M743:M746"/>
    <mergeCell ref="L682:L689"/>
    <mergeCell ref="L733:L736"/>
    <mergeCell ref="M733:M736"/>
    <mergeCell ref="Y66:Y78"/>
    <mergeCell ref="Y79:Y91"/>
    <mergeCell ref="Y92:Y98"/>
    <mergeCell ref="Y99:Y101"/>
    <mergeCell ref="Y102:Y105"/>
    <mergeCell ref="N58:N59"/>
    <mergeCell ref="N56:N57"/>
    <mergeCell ref="N44:N47"/>
    <mergeCell ref="Y44:Y47"/>
    <mergeCell ref="Y49:Y53"/>
    <mergeCell ref="Y54:Y65"/>
    <mergeCell ref="X66:X78"/>
    <mergeCell ref="Y130:Y131"/>
    <mergeCell ref="Y132:Y133"/>
    <mergeCell ref="Y134:Y138"/>
    <mergeCell ref="Y140:Y144"/>
    <mergeCell ref="Y145:Y146"/>
    <mergeCell ref="Y106:Y112"/>
    <mergeCell ref="Y113:Y117"/>
    <mergeCell ref="Y118:Y121"/>
    <mergeCell ref="Y122:Y127"/>
    <mergeCell ref="Y128:Y129"/>
    <mergeCell ref="Y163:Y168"/>
    <mergeCell ref="Y169:Y173"/>
    <mergeCell ref="Y177:Y181"/>
    <mergeCell ref="Y182:Y188"/>
    <mergeCell ref="Y189:Y191"/>
    <mergeCell ref="Y147:Y149"/>
    <mergeCell ref="Y150:Y151"/>
    <mergeCell ref="X733:X736"/>
    <mergeCell ref="Y152:Y153"/>
    <mergeCell ref="Y154:Y155"/>
    <mergeCell ref="Y156:Y162"/>
    <mergeCell ref="Y207:Y214"/>
    <mergeCell ref="Y248:Y253"/>
    <mergeCell ref="Y255:Y256"/>
    <mergeCell ref="Y192:Y193"/>
    <mergeCell ref="Y195:Y196"/>
    <mergeCell ref="Y197:Y198"/>
    <mergeCell ref="Y199:Y202"/>
    <mergeCell ref="Y203:Y205"/>
    <mergeCell ref="Y222:Y223"/>
    <mergeCell ref="Y225:Y228"/>
    <mergeCell ref="Y229:Y233"/>
    <mergeCell ref="Y235:Y244"/>
    <mergeCell ref="Y245:Y247"/>
    <mergeCell ref="Y309:Y313"/>
    <mergeCell ref="Y332:Y339"/>
    <mergeCell ref="Y340:Y345"/>
    <mergeCell ref="Y351:Y353"/>
    <mergeCell ref="Y257:Y262"/>
    <mergeCell ref="Y267:Y280"/>
    <mergeCell ref="Y283:Y285"/>
    <mergeCell ref="Y286:Y288"/>
    <mergeCell ref="Y298:Y300"/>
    <mergeCell ref="Y314:Y331"/>
    <mergeCell ref="Y375:Y376"/>
    <mergeCell ref="Y377:Y378"/>
    <mergeCell ref="Y380:Y385"/>
    <mergeCell ref="Y389:Y399"/>
    <mergeCell ref="Y402:Y403"/>
    <mergeCell ref="Y354:Y355"/>
    <mergeCell ref="Y356:Y359"/>
    <mergeCell ref="Y361:Y362"/>
    <mergeCell ref="Y363:Y364"/>
    <mergeCell ref="Y369:Y370"/>
    <mergeCell ref="Y423:Y432"/>
    <mergeCell ref="Y433:Y435"/>
    <mergeCell ref="Y437:Y440"/>
    <mergeCell ref="Y441:Y446"/>
    <mergeCell ref="Y447:Y448"/>
    <mergeCell ref="Y404:Y406"/>
    <mergeCell ref="Y407:Y408"/>
    <mergeCell ref="Y409:Y410"/>
    <mergeCell ref="Y411:Y414"/>
    <mergeCell ref="Y415:Y417"/>
    <mergeCell ref="Y482:Y483"/>
    <mergeCell ref="Y485:Y487"/>
    <mergeCell ref="Y488:Y490"/>
    <mergeCell ref="Y492:Y496"/>
    <mergeCell ref="Y497:Y498"/>
    <mergeCell ref="Y451:Y462"/>
    <mergeCell ref="Y463:Y464"/>
    <mergeCell ref="Y465:Y467"/>
    <mergeCell ref="Y468:Y471"/>
    <mergeCell ref="Y474:Y475"/>
    <mergeCell ref="Y756:Y764"/>
    <mergeCell ref="Y765:Y771"/>
    <mergeCell ref="Y728:Y732"/>
    <mergeCell ref="Y733:Y736"/>
    <mergeCell ref="Y737:Y738"/>
    <mergeCell ref="Y739:Y740"/>
    <mergeCell ref="Y743:Y746"/>
    <mergeCell ref="Y524:Y525"/>
    <mergeCell ref="Y526:Y527"/>
    <mergeCell ref="Y532:Y546"/>
    <mergeCell ref="Y547:Y555"/>
    <mergeCell ref="Y560:Y566"/>
    <mergeCell ref="Y503:Y508"/>
    <mergeCell ref="Y509:Y515"/>
    <mergeCell ref="Y516:Y518"/>
    <mergeCell ref="Y520:Y521"/>
    <mergeCell ref="Y522:Y523"/>
    <mergeCell ref="Y618:Y619"/>
    <mergeCell ref="Y621:Y628"/>
    <mergeCell ref="Y630:Y632"/>
    <mergeCell ref="Y633:Y636"/>
    <mergeCell ref="Y646:Y654"/>
    <mergeCell ref="Y573:Y588"/>
    <mergeCell ref="Y601:Y602"/>
    <mergeCell ref="Y604:Y605"/>
    <mergeCell ref="Y606:Y611"/>
    <mergeCell ref="Y615:Y616"/>
    <mergeCell ref="N751:N755"/>
    <mergeCell ref="N726:N727"/>
    <mergeCell ref="N715:N717"/>
    <mergeCell ref="N707:N714"/>
    <mergeCell ref="N664:N667"/>
    <mergeCell ref="N662:N663"/>
    <mergeCell ref="N655:N661"/>
    <mergeCell ref="N646:N654"/>
    <mergeCell ref="N630:N636"/>
    <mergeCell ref="Y688:Y693"/>
    <mergeCell ref="Y694:Y699"/>
    <mergeCell ref="Y700:Y705"/>
    <mergeCell ref="Y707:Y714"/>
    <mergeCell ref="Y724:Y725"/>
    <mergeCell ref="Y655:Y661"/>
    <mergeCell ref="Y662:Y663"/>
    <mergeCell ref="Y668:Y674"/>
    <mergeCell ref="Y675:Y681"/>
    <mergeCell ref="Y682:Y687"/>
    <mergeCell ref="Y747:Y748"/>
    <mergeCell ref="Y749:Y750"/>
    <mergeCell ref="X743:X746"/>
    <mergeCell ref="X646:X654"/>
    <mergeCell ref="L1397:L1401"/>
    <mergeCell ref="O1397:O1401"/>
    <mergeCell ref="L1402:L1404"/>
    <mergeCell ref="L1405:L1407"/>
    <mergeCell ref="L1411:L1412"/>
    <mergeCell ref="M1411:M1412"/>
    <mergeCell ref="X1411:X1421"/>
    <mergeCell ref="L1413:L1414"/>
    <mergeCell ref="M1413:M1414"/>
    <mergeCell ref="L1415:L1416"/>
    <mergeCell ref="M1415:M1416"/>
    <mergeCell ref="L1417:L1419"/>
    <mergeCell ref="M1417:M1419"/>
    <mergeCell ref="L1420:L1421"/>
    <mergeCell ref="M1420:M1421"/>
    <mergeCell ref="L1422:L1426"/>
    <mergeCell ref="M1422:M1426"/>
    <mergeCell ref="X1422:X1426"/>
    <mergeCell ref="N1397:N1401"/>
    <mergeCell ref="L1427:L1429"/>
    <mergeCell ref="M1427:M1429"/>
    <mergeCell ref="O1427:O1429"/>
    <mergeCell ref="X1427:X1429"/>
    <mergeCell ref="L1430:L1431"/>
    <mergeCell ref="O1433:O1434"/>
    <mergeCell ref="X1433:X1438"/>
    <mergeCell ref="L1435:L1436"/>
    <mergeCell ref="L1437:L1438"/>
    <mergeCell ref="L1440:L1445"/>
    <mergeCell ref="M1440:M1441"/>
    <mergeCell ref="O1440:O1445"/>
    <mergeCell ref="X1440:X1448"/>
    <mergeCell ref="M1442:M1445"/>
    <mergeCell ref="L1446:L1448"/>
    <mergeCell ref="M1446:M1448"/>
    <mergeCell ref="L1449:L1450"/>
    <mergeCell ref="O1449:O1450"/>
    <mergeCell ref="X1449:X1453"/>
    <mergeCell ref="N1449:N1450"/>
    <mergeCell ref="N1440:N1445"/>
    <mergeCell ref="N1433:N1434"/>
    <mergeCell ref="N1427:N1429"/>
    <mergeCell ref="M1454:M1455"/>
    <mergeCell ref="O1454:O1455"/>
    <mergeCell ref="X1454:X1455"/>
    <mergeCell ref="L1457:L1458"/>
    <mergeCell ref="M1459:M1462"/>
    <mergeCell ref="O1459:O1462"/>
    <mergeCell ref="X1459:X1462"/>
    <mergeCell ref="L1460:L1462"/>
    <mergeCell ref="L1464:L1465"/>
    <mergeCell ref="M1464:M1466"/>
    <mergeCell ref="O1464:O1466"/>
    <mergeCell ref="X1464:X1466"/>
    <mergeCell ref="L1467:L1468"/>
    <mergeCell ref="L1469:L1470"/>
    <mergeCell ref="M1469:M1470"/>
    <mergeCell ref="X1469:X1470"/>
    <mergeCell ref="L1471:L1473"/>
    <mergeCell ref="M1471:M1473"/>
    <mergeCell ref="O1471:O1473"/>
    <mergeCell ref="X1471:X1476"/>
    <mergeCell ref="L1474:L1476"/>
    <mergeCell ref="N1471:N1473"/>
    <mergeCell ref="N1464:N1466"/>
    <mergeCell ref="N1459:N1462"/>
    <mergeCell ref="N1454:N1455"/>
    <mergeCell ref="L1478:L1479"/>
    <mergeCell ref="M1480:M1483"/>
    <mergeCell ref="O1480:O1483"/>
    <mergeCell ref="X1480:X1483"/>
    <mergeCell ref="L1481:L1483"/>
    <mergeCell ref="L1484:L1485"/>
    <mergeCell ref="M1484:M1485"/>
    <mergeCell ref="O1484:O1485"/>
    <mergeCell ref="X1484:X1485"/>
    <mergeCell ref="L1488:L1490"/>
    <mergeCell ref="M1488:M1490"/>
    <mergeCell ref="O1488:O1490"/>
    <mergeCell ref="X1488:X1490"/>
    <mergeCell ref="L1494:L1495"/>
    <mergeCell ref="M1494:M1495"/>
    <mergeCell ref="O1494:O1495"/>
    <mergeCell ref="X1494:X1495"/>
    <mergeCell ref="N1494:N1495"/>
    <mergeCell ref="N1488:N1490"/>
    <mergeCell ref="N1484:N1485"/>
    <mergeCell ref="N1480:N1483"/>
    <mergeCell ref="L1496:L1498"/>
    <mergeCell ref="M1496:M1498"/>
    <mergeCell ref="X1496:X1498"/>
    <mergeCell ref="L1499:L1500"/>
    <mergeCell ref="L1502:L1503"/>
    <mergeCell ref="M1502:M1503"/>
    <mergeCell ref="O1502:O1504"/>
    <mergeCell ref="X1502:X1503"/>
    <mergeCell ref="L1505:L1506"/>
    <mergeCell ref="M1505:M1506"/>
    <mergeCell ref="O1505:O1506"/>
    <mergeCell ref="X1505:X1508"/>
    <mergeCell ref="L1507:L1508"/>
    <mergeCell ref="L1509:L1510"/>
    <mergeCell ref="M1509:M1510"/>
    <mergeCell ref="O1509:O1510"/>
    <mergeCell ref="X1509:X1510"/>
    <mergeCell ref="N1509:N1510"/>
    <mergeCell ref="N1505:N1506"/>
    <mergeCell ref="N1502:N1504"/>
    <mergeCell ref="L1511:L1512"/>
    <mergeCell ref="X1513:X1523"/>
    <mergeCell ref="L1515:L1516"/>
    <mergeCell ref="L1519:L1520"/>
    <mergeCell ref="M1519:M1520"/>
    <mergeCell ref="L1521:L1523"/>
    <mergeCell ref="M1521:M1523"/>
    <mergeCell ref="L1524:L1526"/>
    <mergeCell ref="O1524:O1526"/>
    <mergeCell ref="M1527:M1528"/>
    <mergeCell ref="X1527:X1528"/>
    <mergeCell ref="L1530:L1531"/>
    <mergeCell ref="X1530:X1531"/>
    <mergeCell ref="L1533:L1534"/>
    <mergeCell ref="O1533:O1535"/>
    <mergeCell ref="M1537:M1538"/>
    <mergeCell ref="X1537:X1538"/>
    <mergeCell ref="N1533:N1535"/>
    <mergeCell ref="N1524:N1526"/>
    <mergeCell ref="M1530:M1531"/>
    <mergeCell ref="N1530:N1531"/>
    <mergeCell ref="O1530:O1531"/>
    <mergeCell ref="L1540:L1542"/>
    <mergeCell ref="M1540:M1542"/>
    <mergeCell ref="O1540:O1542"/>
    <mergeCell ref="X1540:X1542"/>
    <mergeCell ref="L1543:L1545"/>
    <mergeCell ref="M1543:M1545"/>
    <mergeCell ref="O1543:O1545"/>
    <mergeCell ref="L1548:L1550"/>
    <mergeCell ref="M1548:M1550"/>
    <mergeCell ref="O1548:O1550"/>
    <mergeCell ref="X1548:X1550"/>
    <mergeCell ref="L1551:L1552"/>
    <mergeCell ref="M1551:M1552"/>
    <mergeCell ref="O1551:O1552"/>
    <mergeCell ref="X1551:X1552"/>
    <mergeCell ref="L1553:L1554"/>
    <mergeCell ref="M1553:M1555"/>
    <mergeCell ref="O1553:O1555"/>
    <mergeCell ref="X1553:X1555"/>
    <mergeCell ref="N1553:N1555"/>
    <mergeCell ref="N1551:N1552"/>
    <mergeCell ref="N1548:N1550"/>
    <mergeCell ref="N1543:N1545"/>
    <mergeCell ref="N1540:N1542"/>
    <mergeCell ref="L1559:L1562"/>
    <mergeCell ref="M1559:M1564"/>
    <mergeCell ref="O1559:O1564"/>
    <mergeCell ref="X1559:X1564"/>
    <mergeCell ref="L1563:L1564"/>
    <mergeCell ref="L1565:L1566"/>
    <mergeCell ref="M1565:M1566"/>
    <mergeCell ref="O1565:O1566"/>
    <mergeCell ref="X1565:X1567"/>
    <mergeCell ref="L1568:L1569"/>
    <mergeCell ref="X1570:X1572"/>
    <mergeCell ref="X1573:X1575"/>
    <mergeCell ref="L1576:L1579"/>
    <mergeCell ref="M1576:M1579"/>
    <mergeCell ref="X1576:X1579"/>
    <mergeCell ref="L1580:L1582"/>
    <mergeCell ref="M1580:M1582"/>
    <mergeCell ref="O1580:O1582"/>
    <mergeCell ref="X1580:X1582"/>
    <mergeCell ref="N1580:N1582"/>
    <mergeCell ref="N1565:N1566"/>
    <mergeCell ref="N1559:N1564"/>
    <mergeCell ref="X1583:X1585"/>
    <mergeCell ref="L1587:L1588"/>
    <mergeCell ref="L1589:L1591"/>
    <mergeCell ref="O1589:O1591"/>
    <mergeCell ref="X1589:X1591"/>
    <mergeCell ref="M1590:M1591"/>
    <mergeCell ref="L1592:L1593"/>
    <mergeCell ref="O1592:O1593"/>
    <mergeCell ref="X1592:X1593"/>
    <mergeCell ref="L1594:L1596"/>
    <mergeCell ref="O1594:O1596"/>
    <mergeCell ref="X1594:X1596"/>
    <mergeCell ref="M1595:M1596"/>
    <mergeCell ref="L1597:L1598"/>
    <mergeCell ref="O1597:O1598"/>
    <mergeCell ref="X1597:X1598"/>
    <mergeCell ref="L1599:L1600"/>
    <mergeCell ref="O1599:O1600"/>
    <mergeCell ref="X1599:X1600"/>
    <mergeCell ref="N1599:N1600"/>
    <mergeCell ref="N1597:N1598"/>
    <mergeCell ref="N1594:N1596"/>
    <mergeCell ref="N1592:N1593"/>
    <mergeCell ref="N1589:N1591"/>
    <mergeCell ref="L1604:L1605"/>
    <mergeCell ref="O1604:O1605"/>
    <mergeCell ref="X1604:X1605"/>
    <mergeCell ref="L1606:L1607"/>
    <mergeCell ref="O1606:O1607"/>
    <mergeCell ref="X1606:X1607"/>
    <mergeCell ref="L1608:L1613"/>
    <mergeCell ref="M1608:M1613"/>
    <mergeCell ref="O1608:O1613"/>
    <mergeCell ref="X1608:X1613"/>
    <mergeCell ref="L1615:L1617"/>
    <mergeCell ref="M1615:M1617"/>
    <mergeCell ref="L1618:L1621"/>
    <mergeCell ref="M1618:M1622"/>
    <mergeCell ref="X1618:X1622"/>
    <mergeCell ref="X1623:X1633"/>
    <mergeCell ref="L1627:L1628"/>
    <mergeCell ref="M1627:M1628"/>
    <mergeCell ref="L1631:L1632"/>
    <mergeCell ref="M1631:M1632"/>
    <mergeCell ref="N1608:N1613"/>
    <mergeCell ref="N1606:N1607"/>
    <mergeCell ref="N1604:N1605"/>
    <mergeCell ref="N1615:N1617"/>
    <mergeCell ref="O1615:O1617"/>
    <mergeCell ref="L1634:L1635"/>
    <mergeCell ref="L1637:L1638"/>
    <mergeCell ref="M1637:M1638"/>
    <mergeCell ref="O1637:O1638"/>
    <mergeCell ref="X1637:X1638"/>
    <mergeCell ref="L1639:L1641"/>
    <mergeCell ref="M1639:M1641"/>
    <mergeCell ref="O1639:O1641"/>
    <mergeCell ref="X1639:X1641"/>
    <mergeCell ref="L1642:L1643"/>
    <mergeCell ref="M1642:M1643"/>
    <mergeCell ref="X1642:X1643"/>
    <mergeCell ref="L1644:L1648"/>
    <mergeCell ref="M1644:M1650"/>
    <mergeCell ref="O1644:O1650"/>
    <mergeCell ref="L1649:L1650"/>
    <mergeCell ref="L1651:L1654"/>
    <mergeCell ref="X1651:X1660"/>
    <mergeCell ref="N1644:N1650"/>
    <mergeCell ref="N1639:N1641"/>
    <mergeCell ref="N1637:N1638"/>
    <mergeCell ref="X1661:X1664"/>
    <mergeCell ref="L1663:L1664"/>
    <mergeCell ref="L1665:L1670"/>
    <mergeCell ref="M1665:M1670"/>
    <mergeCell ref="O1665:O1670"/>
    <mergeCell ref="X1665:X1670"/>
    <mergeCell ref="L1671:L1673"/>
    <mergeCell ref="X1671:X1673"/>
    <mergeCell ref="L1674:L1675"/>
    <mergeCell ref="M1674:M1675"/>
    <mergeCell ref="O1674:O1675"/>
    <mergeCell ref="L1676:L1677"/>
    <mergeCell ref="X1676:X1677"/>
    <mergeCell ref="X1679:X1680"/>
    <mergeCell ref="L1681:L1682"/>
    <mergeCell ref="M1681:M1684"/>
    <mergeCell ref="O1681:O1684"/>
    <mergeCell ref="X1681:X1685"/>
    <mergeCell ref="L1683:L1684"/>
    <mergeCell ref="N1681:N1684"/>
    <mergeCell ref="N1674:N1675"/>
    <mergeCell ref="N1665:N1670"/>
    <mergeCell ref="L1686:L1691"/>
    <mergeCell ref="M1686:M1691"/>
    <mergeCell ref="O1686:O1691"/>
    <mergeCell ref="X1686:X1691"/>
    <mergeCell ref="L1692:L1694"/>
    <mergeCell ref="O1692:O1694"/>
    <mergeCell ref="L1695:L1699"/>
    <mergeCell ref="M1695:M1699"/>
    <mergeCell ref="X1695:X1699"/>
    <mergeCell ref="L1701:L1703"/>
    <mergeCell ref="M1701:M1703"/>
    <mergeCell ref="X1701:X1704"/>
    <mergeCell ref="L1705:L1709"/>
    <mergeCell ref="M1705:M1709"/>
    <mergeCell ref="O1705:O1709"/>
    <mergeCell ref="X1705:X1709"/>
    <mergeCell ref="L1710:L1711"/>
    <mergeCell ref="M1710:M1711"/>
    <mergeCell ref="X1710:X1711"/>
    <mergeCell ref="N1705:N1709"/>
    <mergeCell ref="N1692:N1694"/>
    <mergeCell ref="N1686:N1691"/>
    <mergeCell ref="L1712:L1713"/>
    <mergeCell ref="O1712:O1713"/>
    <mergeCell ref="X1712:X1715"/>
    <mergeCell ref="L1716:L1717"/>
    <mergeCell ref="L1718:L1719"/>
    <mergeCell ref="M1718:M1719"/>
    <mergeCell ref="O1718:O1719"/>
    <mergeCell ref="X1718:X1719"/>
    <mergeCell ref="L1720:L1721"/>
    <mergeCell ref="M1720:M1721"/>
    <mergeCell ref="O1720:O1721"/>
    <mergeCell ref="X1720:X1721"/>
    <mergeCell ref="L1726:L1727"/>
    <mergeCell ref="M1726:M1727"/>
    <mergeCell ref="X1726:X1727"/>
    <mergeCell ref="L1728:L1729"/>
    <mergeCell ref="M1728:M1729"/>
    <mergeCell ref="O1728:O1729"/>
    <mergeCell ref="X1728:X1729"/>
    <mergeCell ref="N1728:N1729"/>
    <mergeCell ref="N1720:N1721"/>
    <mergeCell ref="N1718:N1719"/>
    <mergeCell ref="N1712:N1713"/>
    <mergeCell ref="L1730:L1731"/>
    <mergeCell ref="M1730:M1731"/>
    <mergeCell ref="X1730:X1731"/>
    <mergeCell ref="L1732:L1734"/>
    <mergeCell ref="M1732:M1734"/>
    <mergeCell ref="O1732:O1734"/>
    <mergeCell ref="X1732:X1734"/>
    <mergeCell ref="L1735:L1736"/>
    <mergeCell ref="M1735:M1736"/>
    <mergeCell ref="O1735:O1736"/>
    <mergeCell ref="X1735:X1738"/>
    <mergeCell ref="L1739:L1740"/>
    <mergeCell ref="M1739:M1740"/>
    <mergeCell ref="O1739:O1740"/>
    <mergeCell ref="X1739:X1742"/>
    <mergeCell ref="X1743:X1747"/>
    <mergeCell ref="M1744:M1745"/>
    <mergeCell ref="M1746:M1747"/>
    <mergeCell ref="N1739:N1740"/>
    <mergeCell ref="N1735:N1736"/>
    <mergeCell ref="N1732:N1734"/>
    <mergeCell ref="L1748:L1749"/>
    <mergeCell ref="M1748:M1749"/>
    <mergeCell ref="O1748:O1749"/>
    <mergeCell ref="L1750:L1751"/>
    <mergeCell ref="X1750:X1751"/>
    <mergeCell ref="L1752:L1753"/>
    <mergeCell ref="X1752:X1753"/>
    <mergeCell ref="L1754:L1756"/>
    <mergeCell ref="X1754:X1756"/>
    <mergeCell ref="L1758:L1760"/>
    <mergeCell ref="M1758:M1760"/>
    <mergeCell ref="O1758:O1760"/>
    <mergeCell ref="X1758:X1766"/>
    <mergeCell ref="L1761:L1762"/>
    <mergeCell ref="M1761:M1762"/>
    <mergeCell ref="L1763:L1764"/>
    <mergeCell ref="M1763:M1764"/>
    <mergeCell ref="N1748:N1749"/>
    <mergeCell ref="L1767:L1768"/>
    <mergeCell ref="M1767:M1768"/>
    <mergeCell ref="O1767:O1768"/>
    <mergeCell ref="X1767:X1768"/>
    <mergeCell ref="L1769:L1771"/>
    <mergeCell ref="M1769:M1771"/>
    <mergeCell ref="O1769:O1771"/>
    <mergeCell ref="X1769:X1771"/>
    <mergeCell ref="L1772:L1774"/>
    <mergeCell ref="M1772:M1774"/>
    <mergeCell ref="O1772:O1774"/>
    <mergeCell ref="X1772:X1774"/>
    <mergeCell ref="L1775:L1776"/>
    <mergeCell ref="X1775:X1781"/>
    <mergeCell ref="L1782:L1783"/>
    <mergeCell ref="M1782:M1783"/>
    <mergeCell ref="O1782:O1783"/>
    <mergeCell ref="L1784:L1785"/>
    <mergeCell ref="X1784:X1785"/>
    <mergeCell ref="L1786:L1788"/>
    <mergeCell ref="X1786:X1788"/>
    <mergeCell ref="L1789:L1790"/>
    <mergeCell ref="M1789:M1790"/>
    <mergeCell ref="O1789:O1790"/>
    <mergeCell ref="X1789:X1790"/>
    <mergeCell ref="L1791:L1792"/>
    <mergeCell ref="M1791:M1792"/>
    <mergeCell ref="X1791:X1792"/>
    <mergeCell ref="X1795:X1798"/>
    <mergeCell ref="L1796:L1797"/>
    <mergeCell ref="M1796:M1797"/>
    <mergeCell ref="X1799:X1802"/>
    <mergeCell ref="L1801:L1802"/>
    <mergeCell ref="M1801:M1802"/>
    <mergeCell ref="L1803:L1804"/>
    <mergeCell ref="M1803:M1804"/>
    <mergeCell ref="O1803:O1804"/>
    <mergeCell ref="X1803:X1807"/>
    <mergeCell ref="L1806:L1807"/>
    <mergeCell ref="L1809:L1810"/>
    <mergeCell ref="L1811:L1815"/>
    <mergeCell ref="M1811:M1815"/>
    <mergeCell ref="O1811:O1815"/>
    <mergeCell ref="X1811:X1815"/>
    <mergeCell ref="L1816:L1818"/>
    <mergeCell ref="M1816:M1818"/>
    <mergeCell ref="O1816:O1818"/>
    <mergeCell ref="X1816:X1818"/>
    <mergeCell ref="L1820:L1824"/>
    <mergeCell ref="M1820:M1824"/>
    <mergeCell ref="O1820:O1824"/>
    <mergeCell ref="X1820:X1824"/>
    <mergeCell ref="L1825:L1826"/>
    <mergeCell ref="M1825:M1826"/>
    <mergeCell ref="O1825:O1826"/>
    <mergeCell ref="X1825:X1826"/>
    <mergeCell ref="L1828:L1829"/>
    <mergeCell ref="L1830:L1831"/>
    <mergeCell ref="M1830:M1832"/>
    <mergeCell ref="O1830:O1832"/>
    <mergeCell ref="L1835:L1838"/>
    <mergeCell ref="M1835:M1838"/>
    <mergeCell ref="X1835:X1838"/>
    <mergeCell ref="L1841:L1842"/>
    <mergeCell ref="X1841:X1842"/>
    <mergeCell ref="L1843:L1844"/>
    <mergeCell ref="X1843:X1844"/>
    <mergeCell ref="L1850:L1851"/>
    <mergeCell ref="X1850:X1855"/>
    <mergeCell ref="L1854:L1855"/>
    <mergeCell ref="X1846:X1847"/>
    <mergeCell ref="M1846:M1847"/>
    <mergeCell ref="L1846:L1847"/>
    <mergeCell ref="L1856:L1859"/>
    <mergeCell ref="X1856:X1859"/>
    <mergeCell ref="L1860:L1861"/>
    <mergeCell ref="X1860:X1861"/>
    <mergeCell ref="L1862:L1863"/>
    <mergeCell ref="X1862:X1863"/>
    <mergeCell ref="L1865:L1866"/>
    <mergeCell ref="X1865:X1866"/>
    <mergeCell ref="L1867:L1868"/>
    <mergeCell ref="X1867:X1868"/>
    <mergeCell ref="L1870:L1871"/>
    <mergeCell ref="X1870:X1871"/>
    <mergeCell ref="L1872:L1873"/>
    <mergeCell ref="X1872:X1873"/>
    <mergeCell ref="L1874:L1875"/>
    <mergeCell ref="X1874:X1875"/>
    <mergeCell ref="L1878:L1881"/>
    <mergeCell ref="M1878:M1881"/>
    <mergeCell ref="X1878:X1888"/>
    <mergeCell ref="L1890:L1895"/>
    <mergeCell ref="L1896:L1897"/>
    <mergeCell ref="M1896:M1898"/>
    <mergeCell ref="O1896:O1898"/>
    <mergeCell ref="L1899:L1901"/>
    <mergeCell ref="M1899:M1901"/>
    <mergeCell ref="X1899:X1901"/>
    <mergeCell ref="L1902:L1904"/>
    <mergeCell ref="M1902:M1904"/>
    <mergeCell ref="X1902:X1904"/>
    <mergeCell ref="L1905:L1906"/>
    <mergeCell ref="M1905:M1906"/>
    <mergeCell ref="X1905:X1906"/>
    <mergeCell ref="L1908:L1909"/>
    <mergeCell ref="X1908:X1909"/>
    <mergeCell ref="L1912:L1913"/>
    <mergeCell ref="X1912:X1913"/>
    <mergeCell ref="L1914:L1916"/>
    <mergeCell ref="M1914:M1917"/>
    <mergeCell ref="O1914:O1917"/>
    <mergeCell ref="L1918:L1919"/>
    <mergeCell ref="M1918:M1919"/>
    <mergeCell ref="X1918:X1919"/>
    <mergeCell ref="L1920:L1922"/>
    <mergeCell ref="M1920:M1922"/>
    <mergeCell ref="X1920:X1922"/>
    <mergeCell ref="L1923:L1924"/>
    <mergeCell ref="X1923:X1924"/>
    <mergeCell ref="L1925:L1927"/>
    <mergeCell ref="X1925:X1927"/>
    <mergeCell ref="L1928:L1929"/>
    <mergeCell ref="X1928:X1929"/>
    <mergeCell ref="L1931:L1932"/>
    <mergeCell ref="X1931:X1932"/>
    <mergeCell ref="L1933:L1934"/>
    <mergeCell ref="X1933:X1934"/>
    <mergeCell ref="L1936:L1938"/>
    <mergeCell ref="X1936:X1938"/>
    <mergeCell ref="L1939:L1940"/>
    <mergeCell ref="X1939:X1940"/>
    <mergeCell ref="L1941:L1943"/>
    <mergeCell ref="M1941:M1944"/>
    <mergeCell ref="O1941:O1944"/>
    <mergeCell ref="L1945:L1946"/>
    <mergeCell ref="M1945:M1946"/>
    <mergeCell ref="X1945:X1946"/>
    <mergeCell ref="L1947:L1950"/>
    <mergeCell ref="X1947:X1950"/>
    <mergeCell ref="X1951:X1957"/>
    <mergeCell ref="L1958:L1959"/>
    <mergeCell ref="X1958:X1959"/>
    <mergeCell ref="M1939:M1940"/>
    <mergeCell ref="L1961:L1962"/>
    <mergeCell ref="X1961:X1962"/>
    <mergeCell ref="L1967:L1971"/>
    <mergeCell ref="M1967:M1971"/>
    <mergeCell ref="X1967:X1978"/>
    <mergeCell ref="L1980:L1982"/>
    <mergeCell ref="L1984:L1985"/>
    <mergeCell ref="M1984:M1985"/>
    <mergeCell ref="X1984:X1985"/>
    <mergeCell ref="L1986:L1988"/>
    <mergeCell ref="M1986:M1988"/>
    <mergeCell ref="X1986:X1988"/>
    <mergeCell ref="L1989:L1991"/>
    <mergeCell ref="M1989:M1991"/>
    <mergeCell ref="X1989:X1991"/>
    <mergeCell ref="L1993:L1996"/>
    <mergeCell ref="L1997:L2001"/>
    <mergeCell ref="L2002:L2003"/>
    <mergeCell ref="M2002:M2003"/>
    <mergeCell ref="O2002:O2003"/>
    <mergeCell ref="X2002:X2003"/>
    <mergeCell ref="L2004:L2005"/>
    <mergeCell ref="M2004:M2005"/>
    <mergeCell ref="O2004:O2005"/>
    <mergeCell ref="X2004:X2005"/>
    <mergeCell ref="Y1411:Y1421"/>
    <mergeCell ref="Y1422:Y1426"/>
    <mergeCell ref="Y1427:Y1429"/>
    <mergeCell ref="Y1433:Y1438"/>
    <mergeCell ref="Y1440:Y1448"/>
    <mergeCell ref="Y1449:Y1453"/>
    <mergeCell ref="Y1454:Y1455"/>
    <mergeCell ref="Y1459:Y1462"/>
    <mergeCell ref="Y1464:Y1466"/>
    <mergeCell ref="Y1469:Y1470"/>
    <mergeCell ref="Y1471:Y1476"/>
    <mergeCell ref="Y1480:Y1483"/>
    <mergeCell ref="Y1484:Y1485"/>
    <mergeCell ref="Y1488:Y1490"/>
    <mergeCell ref="Y1494:Y1495"/>
    <mergeCell ref="Y1496:Y1498"/>
    <mergeCell ref="Y1502:Y1503"/>
    <mergeCell ref="Y1505:Y1508"/>
    <mergeCell ref="Y1509:Y1510"/>
    <mergeCell ref="Y1513:Y1523"/>
    <mergeCell ref="Y1527:Y1528"/>
    <mergeCell ref="Y1530:Y1531"/>
    <mergeCell ref="Y1537:Y1538"/>
    <mergeCell ref="Y1540:Y1542"/>
    <mergeCell ref="Y1548:Y1550"/>
    <mergeCell ref="Y1551:Y1552"/>
    <mergeCell ref="Y1553:Y1555"/>
    <mergeCell ref="Y1559:Y1564"/>
    <mergeCell ref="Y1565:Y1567"/>
    <mergeCell ref="Y1570:Y1572"/>
    <mergeCell ref="Y1573:Y1575"/>
    <mergeCell ref="Y1576:Y1579"/>
    <mergeCell ref="Y1580:Y1582"/>
    <mergeCell ref="Y1583:Y1585"/>
    <mergeCell ref="Y1589:Y1591"/>
    <mergeCell ref="Y1592:Y1593"/>
    <mergeCell ref="Y1594:Y1596"/>
    <mergeCell ref="Y1597:Y1598"/>
    <mergeCell ref="Y1599:Y1600"/>
    <mergeCell ref="Y1604:Y1605"/>
    <mergeCell ref="Y1606:Y1607"/>
    <mergeCell ref="Y1608:Y1613"/>
    <mergeCell ref="Y1618:Y1622"/>
    <mergeCell ref="Y1623:Y1633"/>
    <mergeCell ref="Y1637:Y1638"/>
    <mergeCell ref="Y1639:Y1641"/>
    <mergeCell ref="Y1642:Y1643"/>
    <mergeCell ref="Y1651:Y1660"/>
    <mergeCell ref="Y1661:Y1664"/>
    <mergeCell ref="Y1665:Y1670"/>
    <mergeCell ref="Y1671:Y1673"/>
    <mergeCell ref="Y1676:Y1677"/>
    <mergeCell ref="Y1679:Y1680"/>
    <mergeCell ref="Y1681:Y1685"/>
    <mergeCell ref="Y1686:Y1691"/>
    <mergeCell ref="Y1695:Y1699"/>
    <mergeCell ref="Y1701:Y1704"/>
    <mergeCell ref="Y1705:Y1709"/>
    <mergeCell ref="Y1710:Y1711"/>
    <mergeCell ref="Y1712:Y1715"/>
    <mergeCell ref="Y1718:Y1719"/>
    <mergeCell ref="Y1720:Y1721"/>
    <mergeCell ref="Y1726:Y1727"/>
    <mergeCell ref="Y1728:Y1729"/>
    <mergeCell ref="Y1730:Y1731"/>
    <mergeCell ref="Y1732:Y1734"/>
    <mergeCell ref="Y1735:Y1738"/>
    <mergeCell ref="Y1739:Y1742"/>
    <mergeCell ref="Y1743:Y1747"/>
    <mergeCell ref="Y1750:Y1751"/>
    <mergeCell ref="Y1752:Y1753"/>
    <mergeCell ref="Y1754:Y1756"/>
    <mergeCell ref="Y1758:Y1766"/>
    <mergeCell ref="Y1767:Y1768"/>
    <mergeCell ref="Y1769:Y1771"/>
    <mergeCell ref="Y1772:Y1774"/>
    <mergeCell ref="Y1775:Y1781"/>
    <mergeCell ref="Y1784:Y1785"/>
    <mergeCell ref="Y1786:Y1788"/>
    <mergeCell ref="Y1789:Y1790"/>
    <mergeCell ref="Y1791:Y1792"/>
    <mergeCell ref="Y1795:Y1798"/>
    <mergeCell ref="Y1799:Y1802"/>
    <mergeCell ref="Y1803:Y1807"/>
    <mergeCell ref="Y1811:Y1815"/>
    <mergeCell ref="Y1816:Y1818"/>
    <mergeCell ref="Y1820:Y1824"/>
    <mergeCell ref="Y1825:Y1826"/>
    <mergeCell ref="Y1835:Y1838"/>
    <mergeCell ref="Y1841:Y1842"/>
    <mergeCell ref="Y1843:Y1844"/>
    <mergeCell ref="Y1850:Y1855"/>
    <mergeCell ref="Y1846:Y1847"/>
    <mergeCell ref="Y1856:Y1859"/>
    <mergeCell ref="Y1860:Y1861"/>
    <mergeCell ref="Y1862:Y1863"/>
    <mergeCell ref="Y1865:Y1866"/>
    <mergeCell ref="Y1867:Y1868"/>
    <mergeCell ref="Y1870:Y1871"/>
    <mergeCell ref="Y1872:Y1873"/>
    <mergeCell ref="Y1874:Y1875"/>
    <mergeCell ref="Y1878:Y1888"/>
    <mergeCell ref="Y1899:Y1901"/>
    <mergeCell ref="Y1902:Y1904"/>
    <mergeCell ref="Y1905:Y1906"/>
    <mergeCell ref="Y1908:Y1909"/>
    <mergeCell ref="Y1912:Y1913"/>
    <mergeCell ref="Y1918:Y1919"/>
    <mergeCell ref="Y1920:Y1922"/>
    <mergeCell ref="Y1923:Y1924"/>
    <mergeCell ref="Y1925:Y1927"/>
    <mergeCell ref="Y1928:Y1929"/>
    <mergeCell ref="Y1931:Y1932"/>
    <mergeCell ref="Y1933:Y1934"/>
    <mergeCell ref="Y1936:Y1938"/>
    <mergeCell ref="Y1939:Y1940"/>
    <mergeCell ref="Y1945:Y1946"/>
    <mergeCell ref="Y1947:Y1950"/>
    <mergeCell ref="Y1951:Y1957"/>
    <mergeCell ref="Y1958:Y1959"/>
    <mergeCell ref="Y1961:Y1962"/>
    <mergeCell ref="Y1967:Y1978"/>
    <mergeCell ref="Y1984:Y1985"/>
    <mergeCell ref="Y1986:Y1988"/>
    <mergeCell ref="Y1989:Y1991"/>
    <mergeCell ref="Y2002:Y2003"/>
    <mergeCell ref="Y2004:Y2005"/>
    <mergeCell ref="N2004:N2005"/>
    <mergeCell ref="N2002:N2003"/>
    <mergeCell ref="N1941:N1944"/>
    <mergeCell ref="N1914:N1917"/>
    <mergeCell ref="N1896:N1898"/>
    <mergeCell ref="N1830:N1832"/>
    <mergeCell ref="N1825:N1826"/>
    <mergeCell ref="N1820:N1824"/>
    <mergeCell ref="N1816:N1818"/>
    <mergeCell ref="N1811:N1815"/>
    <mergeCell ref="N1803:N1804"/>
    <mergeCell ref="N1789:N1790"/>
    <mergeCell ref="N1782:N1783"/>
    <mergeCell ref="N1772:N1774"/>
    <mergeCell ref="N1769:N1771"/>
    <mergeCell ref="N1767:N1768"/>
    <mergeCell ref="N1758:N1760"/>
  </mergeCells>
  <conditionalFormatting sqref="X2">
    <cfRule type="expression" dxfId="2159" priority="4747">
      <formula>$AG$3</formula>
    </cfRule>
  </conditionalFormatting>
  <conditionalFormatting sqref="X3">
    <cfRule type="expression" dxfId="2158" priority="4748">
      <formula>$AI$3</formula>
    </cfRule>
  </conditionalFormatting>
  <conditionalFormatting sqref="I2">
    <cfRule type="expression" dxfId="2157" priority="4720">
      <formula>$AM$2="Gold"</formula>
    </cfRule>
    <cfRule type="expression" dxfId="2156" priority="4721">
      <formula>$AM$2="Silver"</formula>
    </cfRule>
    <cfRule type="expression" dxfId="2155" priority="4722">
      <formula>$AM$2="Bronze"</formula>
    </cfRule>
    <cfRule type="expression" dxfId="2154" priority="4723">
      <formula>$AM$2="Emerald"</formula>
    </cfRule>
  </conditionalFormatting>
  <conditionalFormatting sqref="L5">
    <cfRule type="notContainsBlanks" dxfId="2153" priority="4719">
      <formula>LEN(TRIM(L5))&gt;0</formula>
    </cfRule>
  </conditionalFormatting>
  <conditionalFormatting sqref="L1">
    <cfRule type="notContainsBlanks" dxfId="2152" priority="4678">
      <formula>LEN(TRIM(L1))&gt;0</formula>
    </cfRule>
  </conditionalFormatting>
  <conditionalFormatting sqref="W67">
    <cfRule type="notContainsBlanks" dxfId="2151" priority="4677">
      <formula>LEN(TRIM(W67))&gt;0</formula>
    </cfRule>
  </conditionalFormatting>
  <conditionalFormatting sqref="X26:X34">
    <cfRule type="expression" dxfId="2150" priority="4368">
      <formula>$W$26=TRUE</formula>
    </cfRule>
  </conditionalFormatting>
  <conditionalFormatting sqref="X207:X214">
    <cfRule type="expression" dxfId="2149" priority="4367">
      <formula>$W$213=TRUE</formula>
    </cfRule>
  </conditionalFormatting>
  <conditionalFormatting sqref="L277:L278">
    <cfRule type="expression" dxfId="2148" priority="4342">
      <formula>AY277&gt;4099</formula>
    </cfRule>
  </conditionalFormatting>
  <conditionalFormatting sqref="M277:M278">
    <cfRule type="expression" dxfId="2147" priority="4341">
      <formula>$AY$22&gt;4099</formula>
    </cfRule>
  </conditionalFormatting>
  <conditionalFormatting sqref="X573:X588">
    <cfRule type="expression" dxfId="2146" priority="4208">
      <formula>NOT(ISBLANK(W580))</formula>
    </cfRule>
  </conditionalFormatting>
  <conditionalFormatting sqref="X332">
    <cfRule type="expression" dxfId="2145" priority="4091">
      <formula>W332=TRUE</formula>
    </cfRule>
  </conditionalFormatting>
  <conditionalFormatting sqref="X340">
    <cfRule type="expression" dxfId="2144" priority="4086">
      <formula>W340=TRUE</formula>
    </cfRule>
  </conditionalFormatting>
  <conditionalFormatting sqref="X404:X406">
    <cfRule type="expression" dxfId="2143" priority="4009">
      <formula>W404="N/A"</formula>
    </cfRule>
  </conditionalFormatting>
  <conditionalFormatting sqref="X415">
    <cfRule type="expression" dxfId="2142" priority="4008">
      <formula>W415="N/A"</formula>
    </cfRule>
  </conditionalFormatting>
  <conditionalFormatting sqref="X516:X518">
    <cfRule type="expression" dxfId="2141" priority="3983">
      <formula>W516</formula>
    </cfRule>
  </conditionalFormatting>
  <conditionalFormatting sqref="W503">
    <cfRule type="expression" dxfId="2140" priority="3982">
      <formula>AND($R$503,$S$503)</formula>
    </cfRule>
  </conditionalFormatting>
  <conditionalFormatting sqref="W503">
    <cfRule type="expression" dxfId="2139" priority="3981">
      <formula>AND(IF($R$503,$W$503,TRUE),LEN(TRIM($W$503))&gt;0)</formula>
    </cfRule>
  </conditionalFormatting>
  <conditionalFormatting sqref="W503">
    <cfRule type="expression" dxfId="2138" priority="3980">
      <formula>OR($S$503 = FALSE, AND($P$503 = FALSE, ReportType &lt;&gt; "Final"), AND($Q$503 = FALSE, ReportType &lt;&gt; "Rough"))</formula>
    </cfRule>
  </conditionalFormatting>
  <conditionalFormatting sqref="W503">
    <cfRule type="expression" dxfId="2137" priority="3979">
      <formula>OR($T$503 = TRUE, AND($W$503 = TRUE, $S$503 = FALSE))</formula>
    </cfRule>
  </conditionalFormatting>
  <conditionalFormatting sqref="X503 X509:X515">
    <cfRule type="expression" dxfId="2136" priority="3978">
      <formula>W503&gt;0</formula>
    </cfRule>
  </conditionalFormatting>
  <conditionalFormatting sqref="W509">
    <cfRule type="expression" dxfId="2135" priority="3977">
      <formula>AND(R509,S509)</formula>
    </cfRule>
  </conditionalFormatting>
  <conditionalFormatting sqref="W509">
    <cfRule type="expression" dxfId="2134" priority="3976">
      <formula>AND(IF(R509,W509,TRUE),LEN(TRIM(W509))&gt;0)</formula>
    </cfRule>
  </conditionalFormatting>
  <conditionalFormatting sqref="W509">
    <cfRule type="expression" dxfId="2133" priority="3975">
      <formula>OR(S509 = FALSE, AND($P$509 = FALSE, ReportType &lt;&gt; "Final"), AND($Q$509 = FALSE, ReportType &lt;&gt; "Rough"))</formula>
    </cfRule>
  </conditionalFormatting>
  <conditionalFormatting sqref="W509">
    <cfRule type="expression" dxfId="2132" priority="3974">
      <formula>OR(T509 = TRUE, AND(W509 = TRUE, S509 = FALSE))</formula>
    </cfRule>
  </conditionalFormatting>
  <conditionalFormatting sqref="W521">
    <cfRule type="expression" dxfId="2131" priority="3973">
      <formula>AND(R521,S521)</formula>
    </cfRule>
  </conditionalFormatting>
  <conditionalFormatting sqref="W521">
    <cfRule type="expression" dxfId="2130" priority="3972">
      <formula>AND(IF(R521,W521,TRUE),LEN(TRIM(W521))&gt;0)</formula>
    </cfRule>
  </conditionalFormatting>
  <conditionalFormatting sqref="W521">
    <cfRule type="expression" dxfId="2129" priority="3971">
      <formula>OR(S521 = FALSE, AND($P$521 = FALSE, ReportType &lt;&gt; "Final"), AND($Q$521 = FALSE, ReportType &lt;&gt; "Rough"))</formula>
    </cfRule>
  </conditionalFormatting>
  <conditionalFormatting sqref="W521">
    <cfRule type="expression" dxfId="2128" priority="3970">
      <formula>OR(T521 = TRUE, AND(W521 = TRUE, S521 = FALSE))</formula>
    </cfRule>
  </conditionalFormatting>
  <conditionalFormatting sqref="W523">
    <cfRule type="expression" dxfId="2127" priority="3969">
      <formula>AND(R523,S523)</formula>
    </cfRule>
  </conditionalFormatting>
  <conditionalFormatting sqref="W523">
    <cfRule type="expression" dxfId="2126" priority="3968">
      <formula>AND(IF(R523,W523,TRUE),LEN(TRIM(W523))&gt;0)</formula>
    </cfRule>
  </conditionalFormatting>
  <conditionalFormatting sqref="W523">
    <cfRule type="expression" dxfId="2125" priority="3967">
      <formula>OR(S523 = FALSE, AND($P$523 = FALSE, ReportType &lt;&gt; "Final"), AND($Q$523 = FALSE, ReportType &lt;&gt; "Rough"))</formula>
    </cfRule>
  </conditionalFormatting>
  <conditionalFormatting sqref="W523">
    <cfRule type="expression" dxfId="2124" priority="3966">
      <formula>OR(T523 = TRUE, AND(W523 = TRUE, S523 = FALSE))</formula>
    </cfRule>
  </conditionalFormatting>
  <conditionalFormatting sqref="W525">
    <cfRule type="expression" dxfId="2123" priority="3965">
      <formula>AND(R525,S525)</formula>
    </cfRule>
  </conditionalFormatting>
  <conditionalFormatting sqref="W525">
    <cfRule type="expression" dxfId="2122" priority="3964">
      <formula>AND(IF(R525,W525,TRUE),LEN(TRIM(W525))&gt;0)</formula>
    </cfRule>
  </conditionalFormatting>
  <conditionalFormatting sqref="W525">
    <cfRule type="expression" dxfId="2121" priority="3963">
      <formula>OR(S525 = FALSE, AND($P$525 = FALSE, ReportType &lt;&gt; "Final"), AND($Q$525 = FALSE, ReportType &lt;&gt; "Rough"))</formula>
    </cfRule>
  </conditionalFormatting>
  <conditionalFormatting sqref="W525">
    <cfRule type="expression" dxfId="2120" priority="3962">
      <formula>OR(T525 = TRUE, AND(W525 = TRUE, S525 = FALSE))</formula>
    </cfRule>
  </conditionalFormatting>
  <conditionalFormatting sqref="W527">
    <cfRule type="expression" dxfId="2119" priority="3961">
      <formula>AND(R527,S527)</formula>
    </cfRule>
  </conditionalFormatting>
  <conditionalFormatting sqref="W527">
    <cfRule type="expression" dxfId="2118" priority="3960">
      <formula>AND(IF(R527,W527,TRUE),LEN(TRIM(W527))&gt;0)</formula>
    </cfRule>
  </conditionalFormatting>
  <conditionalFormatting sqref="W527">
    <cfRule type="expression" dxfId="2117" priority="3959">
      <formula>OR(S527 = FALSE, AND($P$527 = FALSE, ReportType &lt;&gt; "Final"), AND($Q$527 = FALSE, ReportType &lt;&gt; "Rough"))</formula>
    </cfRule>
  </conditionalFormatting>
  <conditionalFormatting sqref="W527">
    <cfRule type="expression" dxfId="2116" priority="3958">
      <formula>OR(T527 = TRUE, AND(W527 = TRUE, S527 = FALSE))</formula>
    </cfRule>
  </conditionalFormatting>
  <conditionalFormatting sqref="X520 X522 X524 X526">
    <cfRule type="expression" dxfId="2115" priority="3957">
      <formula>W521&gt;0</formula>
    </cfRule>
  </conditionalFormatting>
  <conditionalFormatting sqref="X567">
    <cfRule type="expression" dxfId="2114" priority="3908">
      <formula>W567</formula>
    </cfRule>
  </conditionalFormatting>
  <conditionalFormatting sqref="X568">
    <cfRule type="expression" dxfId="2113" priority="3907">
      <formula>W568</formula>
    </cfRule>
  </conditionalFormatting>
  <conditionalFormatting sqref="X600:X601 X603:X604">
    <cfRule type="expression" dxfId="2112" priority="3858">
      <formula>NOT(ISBLANK(W600))</formula>
    </cfRule>
  </conditionalFormatting>
  <conditionalFormatting sqref="X606:X611">
    <cfRule type="expression" dxfId="2111" priority="3853">
      <formula>NOT(ISBLANK(W606))</formula>
    </cfRule>
  </conditionalFormatting>
  <conditionalFormatting sqref="X621:X628">
    <cfRule type="expression" dxfId="2110" priority="3848">
      <formula>NOT(ISBLANK(W621))</formula>
    </cfRule>
  </conditionalFormatting>
  <conditionalFormatting sqref="X630:X632">
    <cfRule type="expression" dxfId="2109" priority="3839">
      <formula>NOT(ISBLANK(W631))</formula>
    </cfRule>
  </conditionalFormatting>
  <conditionalFormatting sqref="X633:X636">
    <cfRule type="expression" dxfId="2108" priority="3838">
      <formula>NOT(ISBLANK(W634))</formula>
    </cfRule>
  </conditionalFormatting>
  <conditionalFormatting sqref="X668:X674">
    <cfRule type="expression" dxfId="2107" priority="3829">
      <formula>NOT(ISBLANK(W670))</formula>
    </cfRule>
  </conditionalFormatting>
  <conditionalFormatting sqref="X675:X681">
    <cfRule type="expression" dxfId="2106" priority="3828">
      <formula>NOT(ISBLANK(W677))</formula>
    </cfRule>
  </conditionalFormatting>
  <conditionalFormatting sqref="X682:X687">
    <cfRule type="expression" dxfId="2105" priority="3811">
      <formula>NOT(ISBLANK(W683))</formula>
    </cfRule>
  </conditionalFormatting>
  <conditionalFormatting sqref="X688:X693">
    <cfRule type="expression" dxfId="2104" priority="3810">
      <formula>NOT(ISBLANK(W689))</formula>
    </cfRule>
  </conditionalFormatting>
  <conditionalFormatting sqref="X694:X699">
    <cfRule type="expression" dxfId="2103" priority="3809">
      <formula>NOT(ISBLANK(W695))</formula>
    </cfRule>
  </conditionalFormatting>
  <conditionalFormatting sqref="X700:X705">
    <cfRule type="expression" dxfId="2102" priority="3808">
      <formula>NOT(ISBLANK(W701))</formula>
    </cfRule>
  </conditionalFormatting>
  <conditionalFormatting sqref="X707:X714">
    <cfRule type="expression" dxfId="2101" priority="3803">
      <formula>NOT(ISBLANK(W707))</formula>
    </cfRule>
  </conditionalFormatting>
  <conditionalFormatting sqref="W757">
    <cfRule type="expression" dxfId="2100" priority="3802">
      <formula>AND(R757,S757)</formula>
    </cfRule>
  </conditionalFormatting>
  <conditionalFormatting sqref="W757">
    <cfRule type="expression" dxfId="2099" priority="3801">
      <formula>AND(IF(R757,W757,TRUE),LEN(TRIM(W757))&gt;0)</formula>
    </cfRule>
  </conditionalFormatting>
  <conditionalFormatting sqref="W757">
    <cfRule type="expression" dxfId="2098" priority="3800">
      <formula>OR(S757 = FALSE, AND($P$757 = FALSE, ReportType &lt;&gt; "Final"), AND($Q$757 = FALSE, ReportType &lt;&gt; "Rough"))</formula>
    </cfRule>
  </conditionalFormatting>
  <conditionalFormatting sqref="W757">
    <cfRule type="expression" dxfId="2097" priority="3799">
      <formula>OR(T757 = TRUE, AND(W757 = TRUE, S757 = FALSE))</formula>
    </cfRule>
  </conditionalFormatting>
  <conditionalFormatting sqref="W767">
    <cfRule type="expression" dxfId="2096" priority="3798">
      <formula>AND(R767,S767)</formula>
    </cfRule>
  </conditionalFormatting>
  <conditionalFormatting sqref="W767">
    <cfRule type="expression" dxfId="2095" priority="3797">
      <formula>AND(IF(R767,W767,TRUE),LEN(TRIM(W767))&gt;0)</formula>
    </cfRule>
  </conditionalFormatting>
  <conditionalFormatting sqref="W767">
    <cfRule type="expression" dxfId="2094" priority="3796">
      <formula>OR(S767 = FALSE, AND($P$767 = FALSE, ReportType &lt;&gt; "Final"), AND($Q$767 = FALSE, ReportType &lt;&gt; "Rough"))</formula>
    </cfRule>
  </conditionalFormatting>
  <conditionalFormatting sqref="W767">
    <cfRule type="expression" dxfId="2093" priority="3795">
      <formula>OR(T767 = TRUE, AND(W767 = TRUE, S767 = FALSE))</formula>
    </cfRule>
  </conditionalFormatting>
  <conditionalFormatting sqref="X756:X764">
    <cfRule type="expression" dxfId="2092" priority="3794">
      <formula>W757&gt;0</formula>
    </cfRule>
  </conditionalFormatting>
  <conditionalFormatting sqref="X765:X771">
    <cfRule type="expression" dxfId="2091" priority="3793">
      <formula>W767&gt;0</formula>
    </cfRule>
  </conditionalFormatting>
  <conditionalFormatting sqref="W38">
    <cfRule type="expression" dxfId="2090" priority="3756">
      <formula>AND($R$38,$S$38)</formula>
    </cfRule>
  </conditionalFormatting>
  <conditionalFormatting sqref="W38">
    <cfRule type="expression" dxfId="2089" priority="3755">
      <formula>AND(IF($R$38,$W$38,TRUE),LEN(TRIM($W$38))&gt;0)</formula>
    </cfRule>
  </conditionalFormatting>
  <conditionalFormatting sqref="W38">
    <cfRule type="expression" dxfId="2088" priority="3754">
      <formula>OR($S$38 = FALSE, AND($P$38 = FALSE, ReportType &lt;&gt; "Final"), AND($Q$38 = FALSE, ReportType &lt;&gt; "Rough"))</formula>
    </cfRule>
  </conditionalFormatting>
  <conditionalFormatting sqref="W38">
    <cfRule type="expression" dxfId="2087" priority="3753">
      <formula>OR($T$38 = TRUE, AND(LEN(TRIM($W$38))&gt;0, $S$38 = FALSE))</formula>
    </cfRule>
  </conditionalFormatting>
  <conditionalFormatting sqref="W71">
    <cfRule type="expression" dxfId="2086" priority="3712">
      <formula>AND($R$71,$S$71)</formula>
    </cfRule>
  </conditionalFormatting>
  <conditionalFormatting sqref="W71">
    <cfRule type="expression" dxfId="2085" priority="3711">
      <formula>AND(IF($R$71,$W$71,TRUE),LEN(TRIM($W$71))&gt;0)</formula>
    </cfRule>
  </conditionalFormatting>
  <conditionalFormatting sqref="W71">
    <cfRule type="expression" dxfId="2084" priority="3710">
      <formula>OR($S$71 = FALSE, AND($P$71 = FALSE, ReportType &lt;&gt; "Final"), AND($Q$71 = FALSE, ReportType &lt;&gt; "Rough"))</formula>
    </cfRule>
  </conditionalFormatting>
  <conditionalFormatting sqref="W71">
    <cfRule type="expression" dxfId="2083" priority="3709">
      <formula>OR($T$71 = TRUE, AND(LEN(TRIM($W$71))&gt;0, $S$71 = FALSE))</formula>
    </cfRule>
  </conditionalFormatting>
  <conditionalFormatting sqref="W106">
    <cfRule type="expression" dxfId="2082" priority="3668">
      <formula>AND($R$106,$S$106)</formula>
    </cfRule>
  </conditionalFormatting>
  <conditionalFormatting sqref="W106">
    <cfRule type="expression" dxfId="2081" priority="3667">
      <formula>AND(IF($R$106,$W$106,TRUE),LEN(TRIM($W$106))&gt;0)</formula>
    </cfRule>
  </conditionalFormatting>
  <conditionalFormatting sqref="W106">
    <cfRule type="expression" dxfId="2080" priority="3666">
      <formula>OR($S$106 = FALSE, AND($P$106 = FALSE, ReportType &lt;&gt; "Final"), AND($Q$106 = FALSE, ReportType &lt;&gt; "Rough"))</formula>
    </cfRule>
  </conditionalFormatting>
  <conditionalFormatting sqref="W106">
    <cfRule type="expression" dxfId="2079" priority="3665">
      <formula>OR($T$106 = TRUE, AND(LEN(TRIM($W$106))&gt;0, $S$106 = FALSE))</formula>
    </cfRule>
  </conditionalFormatting>
  <conditionalFormatting sqref="W113">
    <cfRule type="expression" dxfId="2078" priority="3664">
      <formula>AND($R$113,$S$113)</formula>
    </cfRule>
  </conditionalFormatting>
  <conditionalFormatting sqref="W113">
    <cfRule type="expression" dxfId="2077" priority="3663">
      <formula>AND(IF($R$113,$W$113,TRUE),LEN(TRIM($W$113))&gt;0)</formula>
    </cfRule>
  </conditionalFormatting>
  <conditionalFormatting sqref="W113">
    <cfRule type="expression" dxfId="2076" priority="3662">
      <formula>OR($S$113 = FALSE, AND($P$113 = FALSE, ReportType &lt;&gt; "Final"), AND($Q$113 = FALSE, ReportType &lt;&gt; "Rough"))</formula>
    </cfRule>
  </conditionalFormatting>
  <conditionalFormatting sqref="W113">
    <cfRule type="expression" dxfId="2075" priority="3661">
      <formula>OR($T$113 = TRUE, AND(LEN(TRIM($W$113))&gt;0, $S$113 = FALSE))</formula>
    </cfRule>
  </conditionalFormatting>
  <conditionalFormatting sqref="W120">
    <cfRule type="expression" dxfId="2074" priority="3660">
      <formula>AND($R$120,$S$120)</formula>
    </cfRule>
  </conditionalFormatting>
  <conditionalFormatting sqref="W120">
    <cfRule type="expression" dxfId="2073" priority="3659">
      <formula>AND(IF($R$120,$W$120,TRUE),LEN(TRIM($W$120))&gt;0)</formula>
    </cfRule>
  </conditionalFormatting>
  <conditionalFormatting sqref="W120">
    <cfRule type="expression" dxfId="2072" priority="3658">
      <formula>OR($S$120 = FALSE, AND($P$120 = FALSE, ReportType &lt;&gt; "Final"), AND($Q$120 = FALSE, ReportType &lt;&gt; "Rough"))</formula>
    </cfRule>
  </conditionalFormatting>
  <conditionalFormatting sqref="W120">
    <cfRule type="expression" dxfId="2071" priority="3657">
      <formula>OR($T$120 = TRUE, AND(LEN(TRIM($W$120))&gt;0, $S$120 = FALSE))</formula>
    </cfRule>
  </conditionalFormatting>
  <conditionalFormatting sqref="W122">
    <cfRule type="expression" dxfId="2070" priority="3656">
      <formula>AND($R$122,$S$122)</formula>
    </cfRule>
  </conditionalFormatting>
  <conditionalFormatting sqref="W122">
    <cfRule type="expression" dxfId="2069" priority="3655">
      <formula>AND(IF($R$122,$W$122,TRUE),LEN(TRIM($W$122))&gt;0)</formula>
    </cfRule>
  </conditionalFormatting>
  <conditionalFormatting sqref="W122">
    <cfRule type="expression" dxfId="2068" priority="3654">
      <formula>OR($S$122 = FALSE, AND($P$122 = FALSE, ReportType &lt;&gt; "Final"), AND($Q$122 = FALSE, ReportType &lt;&gt; "Rough"))</formula>
    </cfRule>
  </conditionalFormatting>
  <conditionalFormatting sqref="W122">
    <cfRule type="expression" dxfId="2067" priority="3653">
      <formula>OR($T$122 = TRUE, AND(LEN(TRIM($W$122))&gt;0, $S$122 = FALSE))</formula>
    </cfRule>
  </conditionalFormatting>
  <conditionalFormatting sqref="W134">
    <cfRule type="expression" dxfId="2066" priority="3652">
      <formula>AND($R$134,$S$134)</formula>
    </cfRule>
  </conditionalFormatting>
  <conditionalFormatting sqref="W134">
    <cfRule type="expression" dxfId="2065" priority="3651">
      <formula>AND(IF($R$134,$W$134,TRUE),LEN(TRIM($W$134))&gt;0)</formula>
    </cfRule>
  </conditionalFormatting>
  <conditionalFormatting sqref="W134">
    <cfRule type="expression" dxfId="2064" priority="3650">
      <formula>OR($S$134 = FALSE, AND($P$134 = FALSE, ReportType &lt;&gt; "Final"), AND($Q$134 = FALSE, ReportType &lt;&gt; "Rough"))</formula>
    </cfRule>
  </conditionalFormatting>
  <conditionalFormatting sqref="W134">
    <cfRule type="expression" dxfId="2063" priority="3649">
      <formula>OR($T$134 = TRUE, AND(LEN(TRIM($W$134))&gt;0, $S$134 = FALSE))</formula>
    </cfRule>
  </conditionalFormatting>
  <conditionalFormatting sqref="W170">
    <cfRule type="expression" dxfId="2062" priority="3584">
      <formula>AND($R$170,$S$170)</formula>
    </cfRule>
  </conditionalFormatting>
  <conditionalFormatting sqref="W170">
    <cfRule type="expression" dxfId="2061" priority="3583">
      <formula>AND(IF($R$170,$W$170,TRUE),LEN(TRIM($W$170))&gt;0)</formula>
    </cfRule>
  </conditionalFormatting>
  <conditionalFormatting sqref="W170">
    <cfRule type="expression" dxfId="2060" priority="3582">
      <formula>OR($S$170 = FALSE, AND($P$170 = FALSE, ReportType &lt;&gt; "Final"), AND($Q$170 = FALSE, ReportType &lt;&gt; "Rough"))</formula>
    </cfRule>
  </conditionalFormatting>
  <conditionalFormatting sqref="W170">
    <cfRule type="expression" dxfId="2059" priority="3581">
      <formula>OR($T$170 = TRUE, AND(LEN(TRIM($W$170))&gt;0, $S$170 = FALSE))</formula>
    </cfRule>
  </conditionalFormatting>
  <conditionalFormatting sqref="W225">
    <cfRule type="expression" dxfId="2058" priority="3496">
      <formula>AND($R$225,$S$225)</formula>
    </cfRule>
  </conditionalFormatting>
  <conditionalFormatting sqref="W225">
    <cfRule type="expression" dxfId="2057" priority="3495">
      <formula>AND(IF($R$225,$W$225,TRUE),LEN(TRIM($W$225))&gt;0)</formula>
    </cfRule>
  </conditionalFormatting>
  <conditionalFormatting sqref="W225">
    <cfRule type="expression" dxfId="2056" priority="3494">
      <formula>OR($S$225 = FALSE, AND($P$225 = FALSE, ReportType &lt;&gt; "Final"), AND($Q$225 = FALSE, ReportType &lt;&gt; "Rough"))</formula>
    </cfRule>
  </conditionalFormatting>
  <conditionalFormatting sqref="W225">
    <cfRule type="expression" dxfId="2055" priority="3493">
      <formula>OR($T$225 = TRUE, AND(LEN(TRIM($W$225))&gt;0, $S$225 = FALSE))</formula>
    </cfRule>
  </conditionalFormatting>
  <conditionalFormatting sqref="W229">
    <cfRule type="expression" dxfId="2054" priority="3492">
      <formula>AND($R$229,$S$229)</formula>
    </cfRule>
  </conditionalFormatting>
  <conditionalFormatting sqref="W229">
    <cfRule type="expression" dxfId="2053" priority="3491">
      <formula>AND(IF($R$229,$W$229,TRUE),LEN(TRIM($W$229))&gt;0)</formula>
    </cfRule>
  </conditionalFormatting>
  <conditionalFormatting sqref="W229">
    <cfRule type="expression" dxfId="2052" priority="3490">
      <formula>OR($S$229 = FALSE, AND($P$229 = FALSE, ReportType &lt;&gt; "Final"), AND($Q$229 = FALSE, ReportType &lt;&gt; "Rough"))</formula>
    </cfRule>
  </conditionalFormatting>
  <conditionalFormatting sqref="W229">
    <cfRule type="expression" dxfId="2051" priority="3489">
      <formula>OR($T$229 = TRUE, AND(LEN(TRIM($W$229))&gt;0, $S$229 = FALSE))</formula>
    </cfRule>
  </conditionalFormatting>
  <conditionalFormatting sqref="W248">
    <cfRule type="expression" dxfId="2050" priority="3472">
      <formula>AND($R$248,$S$248)</formula>
    </cfRule>
  </conditionalFormatting>
  <conditionalFormatting sqref="W248">
    <cfRule type="expression" dxfId="2049" priority="3471">
      <formula>AND(IF($R$248,$W$248,TRUE),LEN(TRIM($W$248))&gt;0)</formula>
    </cfRule>
  </conditionalFormatting>
  <conditionalFormatting sqref="W248">
    <cfRule type="expression" dxfId="2048" priority="3470">
      <formula>OR($S$248 = FALSE, AND($P$248 = FALSE, ReportType &lt;&gt; "Final"), AND($Q$248 = FALSE, ReportType &lt;&gt; "Rough"))</formula>
    </cfRule>
  </conditionalFormatting>
  <conditionalFormatting sqref="W248">
    <cfRule type="expression" dxfId="2047" priority="3469">
      <formula>OR($T$248 = TRUE, AND(LEN(TRIM($W$248))&gt;0, $S$248 = FALSE))</formula>
    </cfRule>
  </conditionalFormatting>
  <conditionalFormatting sqref="W310">
    <cfRule type="expression" dxfId="2046" priority="3400">
      <formula>AND($R$310,$S$310)</formula>
    </cfRule>
  </conditionalFormatting>
  <conditionalFormatting sqref="W310">
    <cfRule type="expression" dxfId="2045" priority="3399">
      <formula>AND(IF($R$310,$W$310,TRUE),LEN(TRIM($W$310))&gt;0)</formula>
    </cfRule>
  </conditionalFormatting>
  <conditionalFormatting sqref="W310">
    <cfRule type="expression" dxfId="2044" priority="3398">
      <formula>OR($S$310 = FALSE, AND($P$310 = FALSE, ReportType &lt;&gt; "Final"), AND($Q$310 = FALSE, ReportType &lt;&gt; "Rough"))</formula>
    </cfRule>
  </conditionalFormatting>
  <conditionalFormatting sqref="W310">
    <cfRule type="expression" dxfId="2043" priority="3397">
      <formula>OR($T$310 = TRUE, AND(LEN(TRIM($W$310))&gt;0, $S$310 = FALSE))</formula>
    </cfRule>
  </conditionalFormatting>
  <conditionalFormatting sqref="W317">
    <cfRule type="expression" dxfId="2042" priority="3396">
      <formula>AND($R$317,$S$317)</formula>
    </cfRule>
  </conditionalFormatting>
  <conditionalFormatting sqref="W317">
    <cfRule type="expression" dxfId="2041" priority="3395">
      <formula>AND(IF($R$317,$W$317,TRUE),LEN(TRIM($W$317))&gt;0)</formula>
    </cfRule>
  </conditionalFormatting>
  <conditionalFormatting sqref="W317">
    <cfRule type="expression" dxfId="2040" priority="3394">
      <formula>OR($S$317 = FALSE, AND($P$317 = FALSE, ReportType &lt;&gt; "Final"), AND($Q$317 = FALSE, ReportType &lt;&gt; "Rough"))</formula>
    </cfRule>
  </conditionalFormatting>
  <conditionalFormatting sqref="W317">
    <cfRule type="expression" dxfId="2039" priority="3393">
      <formula>OR($T$317 = TRUE, AND(LEN(TRIM($W$317))&gt;0, $S$317 = FALSE))</formula>
    </cfRule>
  </conditionalFormatting>
  <conditionalFormatting sqref="W318">
    <cfRule type="expression" dxfId="2038" priority="3392">
      <formula>AND($R$318,$S$318)</formula>
    </cfRule>
  </conditionalFormatting>
  <conditionalFormatting sqref="W318">
    <cfRule type="expression" dxfId="2037" priority="3391">
      <formula>AND(IF($R$318,$W$318,TRUE),LEN(TRIM($W$318))&gt;0)</formula>
    </cfRule>
  </conditionalFormatting>
  <conditionalFormatting sqref="W318">
    <cfRule type="expression" dxfId="2036" priority="3390">
      <formula>OR($S$318 = FALSE, AND($P$318 = FALSE, ReportType &lt;&gt; "Final"), AND($Q$318 = FALSE, ReportType &lt;&gt; "Rough"))</formula>
    </cfRule>
  </conditionalFormatting>
  <conditionalFormatting sqref="W318">
    <cfRule type="expression" dxfId="2035" priority="3389">
      <formula>OR($T$318 = TRUE, AND(LEN(TRIM($W$318))&gt;0, $S$318 = FALSE))</formula>
    </cfRule>
  </conditionalFormatting>
  <conditionalFormatting sqref="W319">
    <cfRule type="expression" dxfId="2034" priority="3388">
      <formula>AND($R$319,$S$319)</formula>
    </cfRule>
  </conditionalFormatting>
  <conditionalFormatting sqref="W319">
    <cfRule type="expression" dxfId="2033" priority="3387">
      <formula>AND(IF($R$319,$W$319,TRUE),LEN(TRIM($W$319))&gt;0)</formula>
    </cfRule>
  </conditionalFormatting>
  <conditionalFormatting sqref="W319">
    <cfRule type="expression" dxfId="2032" priority="3386">
      <formula>OR($S$319 = FALSE, AND($P$319 = FALSE, ReportType &lt;&gt; "Final"), AND($Q$319 = FALSE, ReportType &lt;&gt; "Rough"))</formula>
    </cfRule>
  </conditionalFormatting>
  <conditionalFormatting sqref="W319">
    <cfRule type="expression" dxfId="2031" priority="3385">
      <formula>OR($T$319 = TRUE, AND(LEN(TRIM($W$319))&gt;0, $S$319 = FALSE))</formula>
    </cfRule>
  </conditionalFormatting>
  <conditionalFormatting sqref="W323">
    <cfRule type="expression" dxfId="2030" priority="3384">
      <formula>AND($R$323,$S$323)</formula>
    </cfRule>
  </conditionalFormatting>
  <conditionalFormatting sqref="W323">
    <cfRule type="expression" dxfId="2029" priority="3383">
      <formula>AND(IF($R$323,$W$323,TRUE),LEN(TRIM($W$323))&gt;0)</formula>
    </cfRule>
  </conditionalFormatting>
  <conditionalFormatting sqref="W323">
    <cfRule type="expression" dxfId="2028" priority="3382">
      <formula>OR($S$323 = FALSE, AND($P$323 = FALSE, ReportType &lt;&gt; "Final"), AND($Q$323 = FALSE, ReportType &lt;&gt; "Rough"))</formula>
    </cfRule>
  </conditionalFormatting>
  <conditionalFormatting sqref="W323">
    <cfRule type="expression" dxfId="2027" priority="3381">
      <formula>OR($T$323 = TRUE, AND(LEN(TRIM($W$323))&gt;0, $S$323 = FALSE))</formula>
    </cfRule>
  </conditionalFormatting>
  <conditionalFormatting sqref="W325">
    <cfRule type="expression" dxfId="2026" priority="3380">
      <formula>AND($R$325,$S$325)</formula>
    </cfRule>
  </conditionalFormatting>
  <conditionalFormatting sqref="W325">
    <cfRule type="expression" dxfId="2025" priority="3379">
      <formula>AND(IF($R$325,$W$325,TRUE),LEN(TRIM($W$325))&gt;0)</formula>
    </cfRule>
  </conditionalFormatting>
  <conditionalFormatting sqref="W325">
    <cfRule type="expression" dxfId="2024" priority="3378">
      <formula>OR($S$325 = FALSE, AND($P$325 = FALSE, ReportType &lt;&gt; "Final"), AND($Q$325 = FALSE, ReportType &lt;&gt; "Rough"))</formula>
    </cfRule>
  </conditionalFormatting>
  <conditionalFormatting sqref="W325">
    <cfRule type="expression" dxfId="2023" priority="3377">
      <formula>OR($T$325 = TRUE, AND(LEN(TRIM($W$325))&gt;0, $S$325 = FALSE))</formula>
    </cfRule>
  </conditionalFormatting>
  <conditionalFormatting sqref="W380">
    <cfRule type="expression" dxfId="2022" priority="3328">
      <formula>AND($R$380,$S$380)</formula>
    </cfRule>
  </conditionalFormatting>
  <conditionalFormatting sqref="W380">
    <cfRule type="expression" dxfId="2021" priority="3327">
      <formula>AND(IF($R$380,$W$380,TRUE),LEN(TRIM($W$380))&gt;0)</formula>
    </cfRule>
  </conditionalFormatting>
  <conditionalFormatting sqref="W380">
    <cfRule type="expression" dxfId="2020" priority="3326">
      <formula>OR($S$380 = FALSE, AND($P$380 = FALSE, ReportType &lt;&gt; "Final"), AND($Q$380 = FALSE, ReportType &lt;&gt; "Rough"))</formula>
    </cfRule>
  </conditionalFormatting>
  <conditionalFormatting sqref="W380">
    <cfRule type="expression" dxfId="2019" priority="3325">
      <formula>OR($T$380 = TRUE, AND(LEN(TRIM($W$380))&gt;0, $S$380 = FALSE))</formula>
    </cfRule>
  </conditionalFormatting>
  <conditionalFormatting sqref="W441">
    <cfRule type="expression" dxfId="2018" priority="3264">
      <formula>AND($R$441,$S$441)</formula>
    </cfRule>
  </conditionalFormatting>
  <conditionalFormatting sqref="W441">
    <cfRule type="expression" dxfId="2017" priority="3263">
      <formula>AND(IF($R$441,$W$441,TRUE),LEN(TRIM($W$441))&gt;0)</formula>
    </cfRule>
  </conditionalFormatting>
  <conditionalFormatting sqref="W441">
    <cfRule type="expression" dxfId="2016" priority="3262">
      <formula>OR($S$441 = FALSE, AND($P$441 = FALSE, ReportType &lt;&gt; "Final"), AND($Q$441 = FALSE, ReportType &lt;&gt; "Rough"))</formula>
    </cfRule>
  </conditionalFormatting>
  <conditionalFormatting sqref="W441">
    <cfRule type="expression" dxfId="2015" priority="3261">
      <formula>OR($T$441 = TRUE, AND(LEN(TRIM($W$441))&gt;0, $S$441 = FALSE))</formula>
    </cfRule>
  </conditionalFormatting>
  <conditionalFormatting sqref="W451">
    <cfRule type="expression" dxfId="2014" priority="3252">
      <formula>AND($R$451,$S$451)</formula>
    </cfRule>
  </conditionalFormatting>
  <conditionalFormatting sqref="W451">
    <cfRule type="expression" dxfId="2013" priority="3251">
      <formula>AND(IF($R$451,$W$451,TRUE),LEN(TRIM($W$451))&gt;0)</formula>
    </cfRule>
  </conditionalFormatting>
  <conditionalFormatting sqref="W451">
    <cfRule type="expression" dxfId="2012" priority="3250">
      <formula>OR($S$451 = FALSE, AND($P$451 = FALSE, ReportType &lt;&gt; "Final"), AND($Q$451 = FALSE, ReportType &lt;&gt; "Rough"))</formula>
    </cfRule>
  </conditionalFormatting>
  <conditionalFormatting sqref="W451">
    <cfRule type="expression" dxfId="2011" priority="3249">
      <formula>OR($T$451 = TRUE, AND(LEN(TRIM($W$451))&gt;0, $S$451 = FALSE))</formula>
    </cfRule>
  </conditionalFormatting>
  <conditionalFormatting sqref="W573">
    <cfRule type="expression" dxfId="2010" priority="3144">
      <formula>AND($R$573,$S$573)</formula>
    </cfRule>
  </conditionalFormatting>
  <conditionalFormatting sqref="W573">
    <cfRule type="expression" dxfId="2009" priority="3143">
      <formula>AND(IF($R$573,$W$573,TRUE),LEN(TRIM($W$573))&gt;0)</formula>
    </cfRule>
  </conditionalFormatting>
  <conditionalFormatting sqref="W573">
    <cfRule type="expression" dxfId="2008" priority="3142">
      <formula>OR($S$573 = FALSE, AND($P$573 = FALSE, ReportType &lt;&gt; "Final"), AND($Q$573 = FALSE, ReportType &lt;&gt; "Rough"))</formula>
    </cfRule>
  </conditionalFormatting>
  <conditionalFormatting sqref="W573">
    <cfRule type="expression" dxfId="2007" priority="3141">
      <formula>OR($T$573 = TRUE, AND(LEN(TRIM($W$573))&gt;0, $S$573 = FALSE))</formula>
    </cfRule>
  </conditionalFormatting>
  <conditionalFormatting sqref="W574">
    <cfRule type="expression" dxfId="2006" priority="3140">
      <formula>AND($R$574,$S$574)</formula>
    </cfRule>
  </conditionalFormatting>
  <conditionalFormatting sqref="W574">
    <cfRule type="expression" dxfId="2005" priority="3139">
      <formula>AND(IF($R$574,$W$574,TRUE),LEN(TRIM($W$574))&gt;0)</formula>
    </cfRule>
  </conditionalFormatting>
  <conditionalFormatting sqref="W574">
    <cfRule type="expression" dxfId="2004" priority="3138">
      <formula>OR($S$574 = FALSE, AND($P$574 = FALSE, ReportType &lt;&gt; "Final"), AND($Q$574 = FALSE, ReportType &lt;&gt; "Rough"))</formula>
    </cfRule>
  </conditionalFormatting>
  <conditionalFormatting sqref="W574">
    <cfRule type="expression" dxfId="2003" priority="3137">
      <formula>OR($T$574 = TRUE, AND(LEN(TRIM($W$574))&gt;0, $S$574 = FALSE))</formula>
    </cfRule>
  </conditionalFormatting>
  <conditionalFormatting sqref="W575">
    <cfRule type="expression" dxfId="2002" priority="3136">
      <formula>AND($R$575,$S$575)</formula>
    </cfRule>
  </conditionalFormatting>
  <conditionalFormatting sqref="W575">
    <cfRule type="expression" dxfId="2001" priority="3135">
      <formula>AND(IF($R$575,$W$575,TRUE),LEN(TRIM($W$575))&gt;0)</formula>
    </cfRule>
  </conditionalFormatting>
  <conditionalFormatting sqref="W575">
    <cfRule type="expression" dxfId="2000" priority="3134">
      <formula>OR($S$575 = FALSE, AND($P$575 = FALSE, ReportType &lt;&gt; "Final"), AND($Q$575 = FALSE, ReportType &lt;&gt; "Rough"))</formula>
    </cfRule>
  </conditionalFormatting>
  <conditionalFormatting sqref="W575">
    <cfRule type="expression" dxfId="1999" priority="3133">
      <formula>OR($T$575 = TRUE, AND(LEN(TRIM($W$575))&gt;0, $S$575 = FALSE))</formula>
    </cfRule>
  </conditionalFormatting>
  <conditionalFormatting sqref="W576">
    <cfRule type="expression" dxfId="1998" priority="3132">
      <formula>AND($R$576,$S$576)</formula>
    </cfRule>
  </conditionalFormatting>
  <conditionalFormatting sqref="W576">
    <cfRule type="expression" dxfId="1997" priority="3131">
      <formula>AND(IF($R$576,$W$576,TRUE),LEN(TRIM($W$576))&gt;0)</formula>
    </cfRule>
  </conditionalFormatting>
  <conditionalFormatting sqref="W576">
    <cfRule type="expression" dxfId="1996" priority="3130">
      <formula>OR($S$576 = FALSE, AND($P$576 = FALSE, ReportType &lt;&gt; "Final"), AND($Q$576 = FALSE, ReportType &lt;&gt; "Rough"))</formula>
    </cfRule>
  </conditionalFormatting>
  <conditionalFormatting sqref="W576">
    <cfRule type="expression" dxfId="1995" priority="3129">
      <formula>OR($T$576 = TRUE, AND(LEN(TRIM($W$576))&gt;0, $S$576 = FALSE))</formula>
    </cfRule>
  </conditionalFormatting>
  <conditionalFormatting sqref="W577">
    <cfRule type="expression" dxfId="1994" priority="3128">
      <formula>AND($R$577,$S$577)</formula>
    </cfRule>
  </conditionalFormatting>
  <conditionalFormatting sqref="W577">
    <cfRule type="expression" dxfId="1993" priority="3127">
      <formula>AND(IF($R$577,$W$577,TRUE),LEN(TRIM($W$577))&gt;0)</formula>
    </cfRule>
  </conditionalFormatting>
  <conditionalFormatting sqref="W577">
    <cfRule type="expression" dxfId="1992" priority="3126">
      <formula>OR($S$577 = FALSE, AND($P$577 = FALSE, ReportType &lt;&gt; "Final"), AND($Q$577 = FALSE, ReportType &lt;&gt; "Rough"))</formula>
    </cfRule>
  </conditionalFormatting>
  <conditionalFormatting sqref="W577">
    <cfRule type="expression" dxfId="1991" priority="3125">
      <formula>OR($T$577 = TRUE, AND(LEN(TRIM($W$577))&gt;0, $S$577 = FALSE))</formula>
    </cfRule>
  </conditionalFormatting>
  <conditionalFormatting sqref="W578">
    <cfRule type="expression" dxfId="1990" priority="3124">
      <formula>AND($R$578,$S$578)</formula>
    </cfRule>
  </conditionalFormatting>
  <conditionalFormatting sqref="W578">
    <cfRule type="expression" dxfId="1989" priority="3123">
      <formula>AND(IF($R$578,$W$578,TRUE),LEN(TRIM($W$578))&gt;0)</formula>
    </cfRule>
  </conditionalFormatting>
  <conditionalFormatting sqref="W578">
    <cfRule type="expression" dxfId="1988" priority="3122">
      <formula>OR($S$578 = FALSE, AND($P$578 = FALSE, ReportType &lt;&gt; "Final"), AND($Q$578 = FALSE, ReportType &lt;&gt; "Rough"))</formula>
    </cfRule>
  </conditionalFormatting>
  <conditionalFormatting sqref="W578">
    <cfRule type="expression" dxfId="1987" priority="3121">
      <formula>OR($T$578 = TRUE, AND(LEN(TRIM($W$578))&gt;0, $S$578 = FALSE))</formula>
    </cfRule>
  </conditionalFormatting>
  <conditionalFormatting sqref="W579">
    <cfRule type="expression" dxfId="1986" priority="3120">
      <formula>AND($R$579,$S$579)</formula>
    </cfRule>
  </conditionalFormatting>
  <conditionalFormatting sqref="W579">
    <cfRule type="expression" dxfId="1985" priority="3119">
      <formula>AND(IF($R$579,$W$579,TRUE),LEN(TRIM($W$579))&gt;0)</formula>
    </cfRule>
  </conditionalFormatting>
  <conditionalFormatting sqref="W579">
    <cfRule type="expression" dxfId="1984" priority="3118">
      <formula>OR($S$579 = FALSE, AND($P$579 = FALSE, ReportType &lt;&gt; "Final"), AND($Q$579 = FALSE, ReportType &lt;&gt; "Rough"))</formula>
    </cfRule>
  </conditionalFormatting>
  <conditionalFormatting sqref="W579">
    <cfRule type="expression" dxfId="1983" priority="3117">
      <formula>OR($T$579 = TRUE, AND(LEN(TRIM($W$579))&gt;0, $S$579 = FALSE))</formula>
    </cfRule>
  </conditionalFormatting>
  <conditionalFormatting sqref="W580">
    <cfRule type="expression" dxfId="1982" priority="3116">
      <formula>AND($R$580,$S$580)</formula>
    </cfRule>
  </conditionalFormatting>
  <conditionalFormatting sqref="W580">
    <cfRule type="expression" dxfId="1981" priority="3115">
      <formula>AND(IF($R$580,$W$580,TRUE),LEN(TRIM($W$580))&gt;0)</formula>
    </cfRule>
  </conditionalFormatting>
  <conditionalFormatting sqref="W580">
    <cfRule type="expression" dxfId="1980" priority="3114">
      <formula>OR($S$580 = FALSE, AND($P$580 = FALSE, ReportType &lt;&gt; "Final"), AND($Q$580 = FALSE, ReportType &lt;&gt; "Rough"))</formula>
    </cfRule>
  </conditionalFormatting>
  <conditionalFormatting sqref="W580">
    <cfRule type="expression" dxfId="1979" priority="3113">
      <formula>OR($T$580 = TRUE, AND(LEN(TRIM($W$580))&gt;0, $S$580 = FALSE))</formula>
    </cfRule>
  </conditionalFormatting>
  <conditionalFormatting sqref="W600">
    <cfRule type="expression" dxfId="1978" priority="3112">
      <formula>AND($R$600,$S$600)</formula>
    </cfRule>
  </conditionalFormatting>
  <conditionalFormatting sqref="W600">
    <cfRule type="expression" dxfId="1977" priority="3111">
      <formula>AND(IF($R$600,$W$600,TRUE),LEN(TRIM($W$600))&gt;0)</formula>
    </cfRule>
  </conditionalFormatting>
  <conditionalFormatting sqref="W600">
    <cfRule type="expression" dxfId="1976" priority="3110">
      <formula>OR($S$600 = FALSE, AND($P$600 = FALSE, ReportType &lt;&gt; "Final"), AND($Q$600 = FALSE, ReportType &lt;&gt; "Rough"))</formula>
    </cfRule>
  </conditionalFormatting>
  <conditionalFormatting sqref="W600">
    <cfRule type="expression" dxfId="1975" priority="3109">
      <formula>OR($T$600 = TRUE, AND(LEN(TRIM($W$600))&gt;0, $S$600 = FALSE))</formula>
    </cfRule>
  </conditionalFormatting>
  <conditionalFormatting sqref="W601">
    <cfRule type="expression" dxfId="1974" priority="3108">
      <formula>AND($R$601,$S$601)</formula>
    </cfRule>
  </conditionalFormatting>
  <conditionalFormatting sqref="W601">
    <cfRule type="expression" dxfId="1973" priority="3107">
      <formula>AND(IF($R$601,$W$601,TRUE),LEN(TRIM($W$601))&gt;0)</formula>
    </cfRule>
  </conditionalFormatting>
  <conditionalFormatting sqref="W601">
    <cfRule type="expression" dxfId="1972" priority="3106">
      <formula>OR($S$601 = FALSE, AND($P$601 = FALSE, ReportType &lt;&gt; "Final"), AND($Q$601 = FALSE, ReportType &lt;&gt; "Rough"))</formula>
    </cfRule>
  </conditionalFormatting>
  <conditionalFormatting sqref="W601">
    <cfRule type="expression" dxfId="1971" priority="3105">
      <formula>OR($T$601 = TRUE, AND(LEN(TRIM($W$601))&gt;0, $S$601 = FALSE))</formula>
    </cfRule>
  </conditionalFormatting>
  <conditionalFormatting sqref="W603">
    <cfRule type="expression" dxfId="1970" priority="3104">
      <formula>AND($R$603,$S$603)</formula>
    </cfRule>
  </conditionalFormatting>
  <conditionalFormatting sqref="W603">
    <cfRule type="expression" dxfId="1969" priority="3103">
      <formula>AND(IF($R$603,$W$603,TRUE),LEN(TRIM($W$603))&gt;0)</formula>
    </cfRule>
  </conditionalFormatting>
  <conditionalFormatting sqref="W603">
    <cfRule type="expression" dxfId="1968" priority="3102">
      <formula>OR($S$603 = FALSE, AND($P$603 = FALSE, ReportType &lt;&gt; "Final"), AND($Q$603 = FALSE, ReportType &lt;&gt; "Rough"))</formula>
    </cfRule>
  </conditionalFormatting>
  <conditionalFormatting sqref="W603">
    <cfRule type="expression" dxfId="1967" priority="3101">
      <formula>OR($T$603 = TRUE, AND(LEN(TRIM($W$603))&gt;0, $S$603 = FALSE))</formula>
    </cfRule>
  </conditionalFormatting>
  <conditionalFormatting sqref="W604">
    <cfRule type="expression" dxfId="1966" priority="3100">
      <formula>AND($R$604,$S$604)</formula>
    </cfRule>
  </conditionalFormatting>
  <conditionalFormatting sqref="W604">
    <cfRule type="expression" dxfId="1965" priority="3099">
      <formula>AND(IF($R$604,$W$604,TRUE),LEN(TRIM($W$604))&gt;0)</formula>
    </cfRule>
  </conditionalFormatting>
  <conditionalFormatting sqref="W604">
    <cfRule type="expression" dxfId="1964" priority="3098">
      <formula>OR($S$604 = FALSE, AND($P$604 = FALSE, ReportType &lt;&gt; "Final"), AND($Q$604 = FALSE, ReportType &lt;&gt; "Rough"))</formula>
    </cfRule>
  </conditionalFormatting>
  <conditionalFormatting sqref="W604">
    <cfRule type="expression" dxfId="1963" priority="3097">
      <formula>OR($T$604 = TRUE, AND(LEN(TRIM($W$604))&gt;0, $S$604 = FALSE))</formula>
    </cfRule>
  </conditionalFormatting>
  <conditionalFormatting sqref="W606">
    <cfRule type="expression" dxfId="1962" priority="3096">
      <formula>AND($R$606,$S$606)</formula>
    </cfRule>
  </conditionalFormatting>
  <conditionalFormatting sqref="W606">
    <cfRule type="expression" dxfId="1961" priority="3095">
      <formula>AND(IF($R$606,$W$606,TRUE),LEN(TRIM($W$606))&gt;0)</formula>
    </cfRule>
  </conditionalFormatting>
  <conditionalFormatting sqref="W606">
    <cfRule type="expression" dxfId="1960" priority="3094">
      <formula>OR($S$606 = FALSE, AND($P$606 = FALSE, ReportType &lt;&gt; "Final"), AND($Q$606 = FALSE, ReportType &lt;&gt; "Rough"))</formula>
    </cfRule>
  </conditionalFormatting>
  <conditionalFormatting sqref="W606">
    <cfRule type="expression" dxfId="1959" priority="3093">
      <formula>OR($T$606 = TRUE, AND(LEN(TRIM($W$606))&gt;0, $S$606 = FALSE))</formula>
    </cfRule>
  </conditionalFormatting>
  <conditionalFormatting sqref="W621">
    <cfRule type="expression" dxfId="1958" priority="3080">
      <formula>AND($R$621,$S$621)</formula>
    </cfRule>
  </conditionalFormatting>
  <conditionalFormatting sqref="W621">
    <cfRule type="expression" dxfId="1957" priority="3079">
      <formula>AND(IF($R$621,$W$621,TRUE),LEN(TRIM($W$621))&gt;0)</formula>
    </cfRule>
  </conditionalFormatting>
  <conditionalFormatting sqref="W621">
    <cfRule type="expression" dxfId="1956" priority="3078">
      <formula>OR($S$621 = FALSE, AND($P$621 = FALSE, ReportType &lt;&gt; "Final"), AND($Q$621 = FALSE, ReportType &lt;&gt; "Rough"))</formula>
    </cfRule>
  </conditionalFormatting>
  <conditionalFormatting sqref="W621">
    <cfRule type="expression" dxfId="1955" priority="3077">
      <formula>OR($T$621 = TRUE, AND(LEN(TRIM($W$621))&gt;0, $S$621 = FALSE))</formula>
    </cfRule>
  </conditionalFormatting>
  <conditionalFormatting sqref="W631">
    <cfRule type="expression" dxfId="1954" priority="3076">
      <formula>AND($R$631,$S$631)</formula>
    </cfRule>
  </conditionalFormatting>
  <conditionalFormatting sqref="W631">
    <cfRule type="expression" dxfId="1953" priority="3075">
      <formula>AND(IF($R$631,$W$631,TRUE),LEN(TRIM($W$631))&gt;0)</formula>
    </cfRule>
  </conditionalFormatting>
  <conditionalFormatting sqref="W631">
    <cfRule type="expression" dxfId="1952" priority="3074">
      <formula>OR($S$631 = FALSE, AND($P$631 = FALSE, ReportType &lt;&gt; "Final"), AND($Q$631 = FALSE, ReportType &lt;&gt; "Rough"))</formula>
    </cfRule>
  </conditionalFormatting>
  <conditionalFormatting sqref="W631">
    <cfRule type="expression" dxfId="1951" priority="3073">
      <formula>OR($T$631 = TRUE, AND(LEN(TRIM($W$631))&gt;0, $S$631 = FALSE))</formula>
    </cfRule>
  </conditionalFormatting>
  <conditionalFormatting sqref="W634">
    <cfRule type="expression" dxfId="1950" priority="3072">
      <formula>AND($R$634,$S$634)</formula>
    </cfRule>
  </conditionalFormatting>
  <conditionalFormatting sqref="W634">
    <cfRule type="expression" dxfId="1949" priority="3071">
      <formula>AND(IF($R$634,$W$634,TRUE),LEN(TRIM($W$634))&gt;0)</formula>
    </cfRule>
  </conditionalFormatting>
  <conditionalFormatting sqref="W634">
    <cfRule type="expression" dxfId="1948" priority="3070">
      <formula>OR($S$634 = FALSE, AND($P$634 = FALSE, ReportType &lt;&gt; "Final"), AND($Q$634 = FALSE, ReportType &lt;&gt; "Rough"))</formula>
    </cfRule>
  </conditionalFormatting>
  <conditionalFormatting sqref="W634">
    <cfRule type="expression" dxfId="1947" priority="3069">
      <formula>OR($T$634 = TRUE, AND(LEN(TRIM($W$634))&gt;0, $S$634 = FALSE))</formula>
    </cfRule>
  </conditionalFormatting>
  <conditionalFormatting sqref="W670">
    <cfRule type="expression" dxfId="1946" priority="3056">
      <formula>AND($R$670,$S$670)</formula>
    </cfRule>
  </conditionalFormatting>
  <conditionalFormatting sqref="W670">
    <cfRule type="expression" dxfId="1945" priority="3055">
      <formula>AND(IF($R$670,$W$670,TRUE),LEN(TRIM($W$670))&gt;0)</formula>
    </cfRule>
  </conditionalFormatting>
  <conditionalFormatting sqref="W670">
    <cfRule type="expression" dxfId="1944" priority="3054">
      <formula>OR($S$670 = FALSE, AND($P$670 = FALSE, ReportType &lt;&gt; "Final"), AND($Q$670 = FALSE, ReportType &lt;&gt; "Rough"))</formula>
    </cfRule>
  </conditionalFormatting>
  <conditionalFormatting sqref="W670">
    <cfRule type="expression" dxfId="1943" priority="3053">
      <formula>OR($T$670 = TRUE, AND(LEN(TRIM($W$670))&gt;0, $S$670 = FALSE))</formula>
    </cfRule>
  </conditionalFormatting>
  <conditionalFormatting sqref="W677">
    <cfRule type="expression" dxfId="1942" priority="3052">
      <formula>AND($R$677,$S$677)</formula>
    </cfRule>
  </conditionalFormatting>
  <conditionalFormatting sqref="W677">
    <cfRule type="expression" dxfId="1941" priority="3051">
      <formula>AND(IF($R$677,$W$677,TRUE),LEN(TRIM($W$677))&gt;0)</formula>
    </cfRule>
  </conditionalFormatting>
  <conditionalFormatting sqref="W677">
    <cfRule type="expression" dxfId="1940" priority="3050">
      <formula>OR($S$677 = FALSE, AND($P$677 = FALSE, ReportType &lt;&gt; "Final"), AND($Q$677 = FALSE, ReportType &lt;&gt; "Rough"))</formula>
    </cfRule>
  </conditionalFormatting>
  <conditionalFormatting sqref="W677">
    <cfRule type="expression" dxfId="1939" priority="3049">
      <formula>OR($T$677 = TRUE, AND(LEN(TRIM($W$677))&gt;0, $S$677 = FALSE))</formula>
    </cfRule>
  </conditionalFormatting>
  <conditionalFormatting sqref="W683">
    <cfRule type="expression" dxfId="1938" priority="3048">
      <formula>AND($R$683,$S$683)</formula>
    </cfRule>
  </conditionalFormatting>
  <conditionalFormatting sqref="W683">
    <cfRule type="expression" dxfId="1937" priority="3047">
      <formula>AND(IF($R$683,$W$683,TRUE),LEN(TRIM($W$683))&gt;0)</formula>
    </cfRule>
  </conditionalFormatting>
  <conditionalFormatting sqref="W683">
    <cfRule type="expression" dxfId="1936" priority="3046">
      <formula>OR($S$683 = FALSE, AND($P$683 = FALSE, ReportType &lt;&gt; "Final"), AND($Q$683 = FALSE, ReportType &lt;&gt; "Rough"))</formula>
    </cfRule>
  </conditionalFormatting>
  <conditionalFormatting sqref="W683">
    <cfRule type="expression" dxfId="1935" priority="3045">
      <formula>OR($T$683 = TRUE, AND(LEN(TRIM($W$683))&gt;0, $S$683 = FALSE))</formula>
    </cfRule>
  </conditionalFormatting>
  <conditionalFormatting sqref="W689">
    <cfRule type="expression" dxfId="1934" priority="3044">
      <formula>AND($R$689,$S$689)</formula>
    </cfRule>
  </conditionalFormatting>
  <conditionalFormatting sqref="W689">
    <cfRule type="expression" dxfId="1933" priority="3043">
      <formula>AND(IF($R$689,$W$689,TRUE),LEN(TRIM($W$689))&gt;0)</formula>
    </cfRule>
  </conditionalFormatting>
  <conditionalFormatting sqref="W689">
    <cfRule type="expression" dxfId="1932" priority="3042">
      <formula>OR($S$689 = FALSE, AND($P$689 = FALSE, ReportType &lt;&gt; "Final"), AND($Q$689 = FALSE, ReportType &lt;&gt; "Rough"))</formula>
    </cfRule>
  </conditionalFormatting>
  <conditionalFormatting sqref="W689">
    <cfRule type="expression" dxfId="1931" priority="3041">
      <formula>OR($T$689 = TRUE, AND(LEN(TRIM($W$689))&gt;0, $S$689 = FALSE))</formula>
    </cfRule>
  </conditionalFormatting>
  <conditionalFormatting sqref="W695">
    <cfRule type="expression" dxfId="1930" priority="3040">
      <formula>AND($R$695,$S$695)</formula>
    </cfRule>
  </conditionalFormatting>
  <conditionalFormatting sqref="W695">
    <cfRule type="expression" dxfId="1929" priority="3039">
      <formula>AND(IF($R$695,$W$695,TRUE),LEN(TRIM($W$695))&gt;0)</formula>
    </cfRule>
  </conditionalFormatting>
  <conditionalFormatting sqref="W695">
    <cfRule type="expression" dxfId="1928" priority="3038">
      <formula>OR($S$695 = FALSE, AND($P$695 = FALSE, ReportType &lt;&gt; "Final"), AND($Q$695 = FALSE, ReportType &lt;&gt; "Rough"))</formula>
    </cfRule>
  </conditionalFormatting>
  <conditionalFormatting sqref="W695">
    <cfRule type="expression" dxfId="1927" priority="3037">
      <formula>OR($T$695 = TRUE, AND(LEN(TRIM($W$695))&gt;0, $S$695 = FALSE))</formula>
    </cfRule>
  </conditionalFormatting>
  <conditionalFormatting sqref="W701">
    <cfRule type="expression" dxfId="1926" priority="3036">
      <formula>AND($R$701,$S$701)</formula>
    </cfRule>
  </conditionalFormatting>
  <conditionalFormatting sqref="W701">
    <cfRule type="expression" dxfId="1925" priority="3035">
      <formula>AND(IF($R$701,$W$701,TRUE),LEN(TRIM($W$701))&gt;0)</formula>
    </cfRule>
  </conditionalFormatting>
  <conditionalFormatting sqref="W701">
    <cfRule type="expression" dxfId="1924" priority="3034">
      <formula>OR($S$701 = FALSE, AND($P$701 = FALSE, ReportType &lt;&gt; "Final"), AND($Q$701 = FALSE, ReportType &lt;&gt; "Rough"))</formula>
    </cfRule>
  </conditionalFormatting>
  <conditionalFormatting sqref="W701">
    <cfRule type="expression" dxfId="1923" priority="3033">
      <formula>OR($T$701 = TRUE, AND(LEN(TRIM($W$701))&gt;0, $S$701 = FALSE))</formula>
    </cfRule>
  </conditionalFormatting>
  <conditionalFormatting sqref="W707">
    <cfRule type="expression" dxfId="1922" priority="3032">
      <formula>AND($R$707,$S$707)</formula>
    </cfRule>
  </conditionalFormatting>
  <conditionalFormatting sqref="W707">
    <cfRule type="expression" dxfId="1921" priority="3031">
      <formula>AND(IF($R$707,$W$707,TRUE),LEN(TRIM($W$707))&gt;0)</formula>
    </cfRule>
  </conditionalFormatting>
  <conditionalFormatting sqref="W707">
    <cfRule type="expression" dxfId="1920" priority="3030">
      <formula>OR($S$707 = FALSE, AND($P$707 = FALSE, ReportType &lt;&gt; "Final"), AND($Q$707 = FALSE, ReportType &lt;&gt; "Rough"))</formula>
    </cfRule>
  </conditionalFormatting>
  <conditionalFormatting sqref="W707">
    <cfRule type="expression" dxfId="1919" priority="3029">
      <formula>OR($T$707 = TRUE, AND(LEN(TRIM($W$707))&gt;0, $S$707 = FALSE))</formula>
    </cfRule>
  </conditionalFormatting>
  <conditionalFormatting sqref="W371">
    <cfRule type="expression" dxfId="1918" priority="2964">
      <formula>AND($R$371,$S$371)</formula>
    </cfRule>
  </conditionalFormatting>
  <conditionalFormatting sqref="W371">
    <cfRule type="expression" dxfId="1917" priority="2963">
      <formula>AND($W$371&lt;&gt;"Not Met",LEN(TRIM($W$371))&gt;0)</formula>
    </cfRule>
  </conditionalFormatting>
  <conditionalFormatting sqref="W371">
    <cfRule type="expression" dxfId="1916" priority="2962">
      <formula>OR($S$371 = FALSE, AND($P$371 = FALSE, ReportType &lt;&gt; "Final"), AND($Q$371 = FALSE, ReportType &lt;&gt; "Rough"))</formula>
    </cfRule>
  </conditionalFormatting>
  <conditionalFormatting sqref="W371">
    <cfRule type="expression" dxfId="1915" priority="2961">
      <formula>OR($T$371 = TRUE, AND(LEN(TRIM($W$371))&gt;0, $S$371 = FALSE))</formula>
    </cfRule>
  </conditionalFormatting>
  <conditionalFormatting sqref="W377">
    <cfRule type="expression" dxfId="1914" priority="2960">
      <formula>AND($R$377,$S$377)</formula>
    </cfRule>
  </conditionalFormatting>
  <conditionalFormatting sqref="W377">
    <cfRule type="expression" dxfId="1913" priority="2959">
      <formula>AND($W$377&lt;&gt;"Not Met",LEN(TRIM($W$377))&gt;0)</formula>
    </cfRule>
  </conditionalFormatting>
  <conditionalFormatting sqref="W377">
    <cfRule type="expression" dxfId="1912" priority="2958">
      <formula>OR($S$377 = FALSE, AND($P$377 = FALSE, ReportType &lt;&gt; "Final"), AND($Q$377 = FALSE, ReportType &lt;&gt; "Rough"))</formula>
    </cfRule>
  </conditionalFormatting>
  <conditionalFormatting sqref="W377">
    <cfRule type="expression" dxfId="1911" priority="2957">
      <formula>OR($T$377 = TRUE, AND(LEN(TRIM($W$377))&gt;0, $S$377 = FALSE))</formula>
    </cfRule>
  </conditionalFormatting>
  <conditionalFormatting sqref="W404">
    <cfRule type="expression" dxfId="1910" priority="2956">
      <formula>AND($R$404,$S$404)</formula>
    </cfRule>
  </conditionalFormatting>
  <conditionalFormatting sqref="W404">
    <cfRule type="expression" dxfId="1909" priority="2955">
      <formula>AND($W$404&lt;&gt;"Not Met",LEN(TRIM($W$404))&gt;0)</formula>
    </cfRule>
  </conditionalFormatting>
  <conditionalFormatting sqref="W404">
    <cfRule type="expression" dxfId="1908" priority="2954">
      <formula>OR($S$404 = FALSE, AND($P$404 = FALSE, ReportType &lt;&gt; "Final"), AND($Q$404 = FALSE, ReportType &lt;&gt; "Rough"))</formula>
    </cfRule>
  </conditionalFormatting>
  <conditionalFormatting sqref="W404">
    <cfRule type="expression" dxfId="1907" priority="2953">
      <formula>OR($T$404 = TRUE, AND(LEN(TRIM($W$404))&gt;0, $S$404 = FALSE))</formula>
    </cfRule>
  </conditionalFormatting>
  <conditionalFormatting sqref="W415">
    <cfRule type="expression" dxfId="1906" priority="2952">
      <formula>AND($R$415,$S$415)</formula>
    </cfRule>
  </conditionalFormatting>
  <conditionalFormatting sqref="W415">
    <cfRule type="expression" dxfId="1905" priority="2951">
      <formula>AND($W$415&lt;&gt;"Not Met",LEN(TRIM($W$415))&gt;0)</formula>
    </cfRule>
  </conditionalFormatting>
  <conditionalFormatting sqref="W415">
    <cfRule type="expression" dxfId="1904" priority="2950">
      <formula>OR($S$415 = FALSE, AND($P$415 = FALSE, ReportType &lt;&gt; "Final"), AND($Q$415 = FALSE, ReportType &lt;&gt; "Rough"))</formula>
    </cfRule>
  </conditionalFormatting>
  <conditionalFormatting sqref="W415">
    <cfRule type="expression" dxfId="1903" priority="2949">
      <formula>OR($T$415 = TRUE, AND(LEN(TRIM($W$415))&gt;0, $S$415 = FALSE))</formula>
    </cfRule>
  </conditionalFormatting>
  <conditionalFormatting sqref="W463">
    <cfRule type="expression" dxfId="1902" priority="2948">
      <formula>AND($R$463,$S$463)</formula>
    </cfRule>
  </conditionalFormatting>
  <conditionalFormatting sqref="W463">
    <cfRule type="expression" dxfId="1901" priority="2947">
      <formula>AND($W$463&lt;&gt;"Not Met",LEN(TRIM($W$463))&gt;0)</formula>
    </cfRule>
  </conditionalFormatting>
  <conditionalFormatting sqref="W463">
    <cfRule type="expression" dxfId="1900" priority="2946">
      <formula>OR($S$463 = FALSE, AND($P$463 = FALSE, ReportType &lt;&gt; "Final"), AND($Q$463 = FALSE, ReportType &lt;&gt; "Rough"))</formula>
    </cfRule>
  </conditionalFormatting>
  <conditionalFormatting sqref="W463">
    <cfRule type="expression" dxfId="1899" priority="2945">
      <formula>OR($T$463 = TRUE, AND(LEN(TRIM($W$463))&gt;0, $S$463 = FALSE))</formula>
    </cfRule>
  </conditionalFormatting>
  <conditionalFormatting sqref="W468">
    <cfRule type="expression" dxfId="1898" priority="2944">
      <formula>AND($R$468,$S$468)</formula>
    </cfRule>
  </conditionalFormatting>
  <conditionalFormatting sqref="W468">
    <cfRule type="expression" dxfId="1897" priority="2943">
      <formula>AND($W$468&lt;&gt;"Not Met",LEN(TRIM($W$468))&gt;0)</formula>
    </cfRule>
  </conditionalFormatting>
  <conditionalFormatting sqref="W468">
    <cfRule type="expression" dxfId="1896" priority="2942">
      <formula>OR($S$468 = FALSE, AND($P$468 = FALSE, ReportType &lt;&gt; "Final"), AND($Q$468 = FALSE, ReportType &lt;&gt; "Rough"))</formula>
    </cfRule>
  </conditionalFormatting>
  <conditionalFormatting sqref="W468">
    <cfRule type="expression" dxfId="1895" priority="2941">
      <formula>OR($T$468 = TRUE, AND(LEN(TRIM($W$468))&gt;0, $S$468 = FALSE))</formula>
    </cfRule>
  </conditionalFormatting>
  <conditionalFormatting sqref="W474">
    <cfRule type="expression" dxfId="1894" priority="2940">
      <formula>AND($R$474,$S$474)</formula>
    </cfRule>
  </conditionalFormatting>
  <conditionalFormatting sqref="W474">
    <cfRule type="expression" dxfId="1893" priority="2939">
      <formula>AND($W$474&lt;&gt;"Not Met",LEN(TRIM($W$474))&gt;0)</formula>
    </cfRule>
  </conditionalFormatting>
  <conditionalFormatting sqref="W474">
    <cfRule type="expression" dxfId="1892" priority="2938">
      <formula>OR($S$474 = FALSE, AND($P$474 = FALSE, ReportType &lt;&gt; "Final"), AND($Q$474 = FALSE, ReportType &lt;&gt; "Rough"))</formula>
    </cfRule>
  </conditionalFormatting>
  <conditionalFormatting sqref="W474">
    <cfRule type="expression" dxfId="1891" priority="2937">
      <formula>OR($T$474 = TRUE, AND(LEN(TRIM($W$474))&gt;0, $S$474 = FALSE))</formula>
    </cfRule>
  </conditionalFormatting>
  <conditionalFormatting sqref="W14">
    <cfRule type="expression" dxfId="1890" priority="2933">
      <formula>OR($T$14 = TRUE, AND($W$14 = TRUE, $S$14 = FALSE))</formula>
    </cfRule>
    <cfRule type="expression" dxfId="1889" priority="2934">
      <formula>OR($S$14 = FALSE, AND($P$14 = FALSE, ReportType &lt;&gt; "Final"), AND($Q$14 = FALSE, ReportType &lt;&gt; "Rough"))</formula>
    </cfRule>
    <cfRule type="expression" dxfId="1888" priority="2935">
      <formula>AND(IF($R$14,$W$14,TRUE),LEN(TRIM($W$14))&gt;0)</formula>
    </cfRule>
    <cfRule type="expression" dxfId="1887" priority="2936">
      <formula>AND($R$14,$S$14)</formula>
    </cfRule>
  </conditionalFormatting>
  <conditionalFormatting sqref="W15">
    <cfRule type="expression" dxfId="1886" priority="2929">
      <formula>OR($T$15 = TRUE, AND($W$15 = TRUE, $S$15 = FALSE))</formula>
    </cfRule>
    <cfRule type="expression" dxfId="1885" priority="2930">
      <formula>OR($S$15 = FALSE, AND($P$15 = FALSE, ReportType &lt;&gt; "Final"), AND($Q$15 = FALSE, ReportType &lt;&gt; "Rough"))</formula>
    </cfRule>
    <cfRule type="expression" dxfId="1884" priority="2931">
      <formula>AND(IF($R$15,$W$15,TRUE),LEN(TRIM($W$15))&gt;0)</formula>
    </cfRule>
    <cfRule type="expression" dxfId="1883" priority="2932">
      <formula>AND($R$15,$S$15)</formula>
    </cfRule>
  </conditionalFormatting>
  <conditionalFormatting sqref="W16">
    <cfRule type="expression" dxfId="1882" priority="2925">
      <formula>OR($T$16 = TRUE, AND($W$16 = TRUE, $S$16 = FALSE))</formula>
    </cfRule>
    <cfRule type="expression" dxfId="1881" priority="2926">
      <formula>OR($S$16 = FALSE, AND($P$16 = FALSE, ReportType &lt;&gt; "Final"), AND($Q$16 = FALSE, ReportType &lt;&gt; "Rough"))</formula>
    </cfRule>
    <cfRule type="expression" dxfId="1880" priority="2927">
      <formula>AND(IF($R$16,$W$16,TRUE),LEN(TRIM($W$16))&gt;0)</formula>
    </cfRule>
    <cfRule type="expression" dxfId="1879" priority="2928">
      <formula>AND($R$16,$S$16)</formula>
    </cfRule>
  </conditionalFormatting>
  <conditionalFormatting sqref="W17">
    <cfRule type="expression" dxfId="1878" priority="2924">
      <formula>AND($R$17,$S$17)</formula>
    </cfRule>
  </conditionalFormatting>
  <conditionalFormatting sqref="W17">
    <cfRule type="expression" dxfId="1877" priority="2923">
      <formula>AND(IF($R$17,$W$17,TRUE),LEN(TRIM($W$17))&gt;0)</formula>
    </cfRule>
  </conditionalFormatting>
  <conditionalFormatting sqref="W17">
    <cfRule type="expression" dxfId="1876" priority="2922">
      <formula>OR($S$17 = FALSE, AND($P$17 = FALSE, ReportType &lt;&gt; "Final"), AND($Q$17 = FALSE, ReportType &lt;&gt; "Rough"))</formula>
    </cfRule>
  </conditionalFormatting>
  <conditionalFormatting sqref="W17">
    <cfRule type="expression" dxfId="1875" priority="2921">
      <formula>OR($T$17 = TRUE, AND($W$17 = TRUE, $S$17 = FALSE))</formula>
    </cfRule>
  </conditionalFormatting>
  <conditionalFormatting sqref="W20">
    <cfRule type="expression" dxfId="1874" priority="2917">
      <formula>OR($T$20 = TRUE, AND($W$20 = TRUE, $S$20 = FALSE))</formula>
    </cfRule>
    <cfRule type="expression" dxfId="1873" priority="2918">
      <formula>OR($S$20 = FALSE, AND($P$20 = FALSE, ReportType &lt;&gt; "Final"), AND($Q$20 = FALSE, ReportType &lt;&gt; "Rough"))</formula>
    </cfRule>
    <cfRule type="expression" dxfId="1872" priority="2919">
      <formula>AND(IF($R$20,$W$20,TRUE),LEN(TRIM($W$20))&gt;0)</formula>
    </cfRule>
    <cfRule type="expression" dxfId="1871" priority="2920">
      <formula>AND($R$20,$S$20)</formula>
    </cfRule>
  </conditionalFormatting>
  <conditionalFormatting sqref="W22">
    <cfRule type="expression" dxfId="1870" priority="2916">
      <formula>AND($R$22,$S$22)</formula>
    </cfRule>
  </conditionalFormatting>
  <conditionalFormatting sqref="W22">
    <cfRule type="expression" dxfId="1869" priority="2915">
      <formula>AND(IF($R$22,$W$22,TRUE),LEN(TRIM($W$22))&gt;0)</formula>
    </cfRule>
  </conditionalFormatting>
  <conditionalFormatting sqref="W22">
    <cfRule type="expression" dxfId="1868" priority="2914">
      <formula>OR($S$22 = FALSE, AND($P$22 = FALSE, ReportType &lt;&gt; "Final"), AND($Q$22 = FALSE, ReportType &lt;&gt; "Rough"))</formula>
    </cfRule>
  </conditionalFormatting>
  <conditionalFormatting sqref="W22">
    <cfRule type="expression" dxfId="1867" priority="2913">
      <formula>OR($T$22 = TRUE, AND($W$22 = TRUE, $S$22 = FALSE))</formula>
    </cfRule>
  </conditionalFormatting>
  <conditionalFormatting sqref="W24">
    <cfRule type="expression" dxfId="1866" priority="2912">
      <formula>AND($R$24,$S$24)</formula>
    </cfRule>
  </conditionalFormatting>
  <conditionalFormatting sqref="W24">
    <cfRule type="expression" dxfId="1865" priority="2911">
      <formula>AND(IF($R$24,$W$24,TRUE),LEN(TRIM($W$24))&gt;0)</formula>
    </cfRule>
  </conditionalFormatting>
  <conditionalFormatting sqref="W24">
    <cfRule type="expression" dxfId="1864" priority="2910">
      <formula>OR($S$24 = FALSE, AND($P$24 = FALSE, ReportType &lt;&gt; "Final"), AND($Q$24 = FALSE, ReportType &lt;&gt; "Rough"))</formula>
    </cfRule>
  </conditionalFormatting>
  <conditionalFormatting sqref="W24">
    <cfRule type="expression" dxfId="1863" priority="2909">
      <formula>OR($T$24 = TRUE, AND($W$24 = TRUE, $S$24 = FALSE))</formula>
    </cfRule>
  </conditionalFormatting>
  <conditionalFormatting sqref="W26">
    <cfRule type="expression" dxfId="1862" priority="2908">
      <formula>AND($R$26,$S$26)</formula>
    </cfRule>
  </conditionalFormatting>
  <conditionalFormatting sqref="W26">
    <cfRule type="expression" dxfId="1861" priority="2907">
      <formula>AND(IF($R$26,$W$26,TRUE),LEN(TRIM($W$26))&gt;0)</formula>
    </cfRule>
  </conditionalFormatting>
  <conditionalFormatting sqref="W26">
    <cfRule type="expression" dxfId="1860" priority="2906">
      <formula>OR($S$26 = FALSE, AND($P$26 = FALSE, ReportType &lt;&gt; "Final"), AND($Q$26 = FALSE, ReportType &lt;&gt; "Rough"))</formula>
    </cfRule>
  </conditionalFormatting>
  <conditionalFormatting sqref="W26">
    <cfRule type="expression" dxfId="1859" priority="2905">
      <formula>OR($T$26 = TRUE, AND($W$26 = TRUE, $S$26 = FALSE))</formula>
    </cfRule>
  </conditionalFormatting>
  <conditionalFormatting sqref="W35">
    <cfRule type="expression" dxfId="1858" priority="2904">
      <formula>AND($R$35,$S$35)</formula>
    </cfRule>
  </conditionalFormatting>
  <conditionalFormatting sqref="W35">
    <cfRule type="expression" dxfId="1857" priority="2903">
      <formula>AND(IF($R$35,$W$35,TRUE),LEN(TRIM($W$35))&gt;0)</formula>
    </cfRule>
  </conditionalFormatting>
  <conditionalFormatting sqref="W35">
    <cfRule type="expression" dxfId="1856" priority="2902">
      <formula>OR($S$35 = FALSE, AND($P$35 = FALSE, ReportType &lt;&gt; "Final"), AND($Q$35 = FALSE, ReportType &lt;&gt; "Rough"))</formula>
    </cfRule>
  </conditionalFormatting>
  <conditionalFormatting sqref="W35">
    <cfRule type="expression" dxfId="1855" priority="2901">
      <formula>OR($T$35 = TRUE, AND($W$35 = TRUE, $S$35 = FALSE))</formula>
    </cfRule>
  </conditionalFormatting>
  <conditionalFormatting sqref="W44">
    <cfRule type="expression" dxfId="1854" priority="2900">
      <formula>AND($R$44,$S$44)</formula>
    </cfRule>
  </conditionalFormatting>
  <conditionalFormatting sqref="W44">
    <cfRule type="expression" dxfId="1853" priority="2899">
      <formula>AND(IF($R$44,$W$44,TRUE),LEN(TRIM($W$44))&gt;0)</formula>
    </cfRule>
  </conditionalFormatting>
  <conditionalFormatting sqref="W44">
    <cfRule type="expression" dxfId="1852" priority="2898">
      <formula>OR($S$44 = FALSE, AND($P$44 = FALSE, ReportType &lt;&gt; "Final"), AND($Q$44 = FALSE, ReportType &lt;&gt; "Rough"))</formula>
    </cfRule>
  </conditionalFormatting>
  <conditionalFormatting sqref="W44">
    <cfRule type="expression" dxfId="1851" priority="2897">
      <formula>OR($T$44 = TRUE, AND($W$44 = TRUE, $S$44 = FALSE))</formula>
    </cfRule>
  </conditionalFormatting>
  <conditionalFormatting sqref="W55">
    <cfRule type="expression" dxfId="1850" priority="2896">
      <formula>AND($R$55,$S$55)</formula>
    </cfRule>
  </conditionalFormatting>
  <conditionalFormatting sqref="W55">
    <cfRule type="expression" dxfId="1849" priority="2895">
      <formula>AND(IF($R$55,$W$55,TRUE),LEN(TRIM($W$55))&gt;0)</formula>
    </cfRule>
  </conditionalFormatting>
  <conditionalFormatting sqref="W55">
    <cfRule type="expression" dxfId="1848" priority="2894">
      <formula>OR($S$55 = FALSE, AND($P$55 = FALSE, ReportType &lt;&gt; "Final"), AND($Q$55 = FALSE, ReportType &lt;&gt; "Rough"))</formula>
    </cfRule>
  </conditionalFormatting>
  <conditionalFormatting sqref="W55">
    <cfRule type="expression" dxfId="1847" priority="2893">
      <formula>OR($T$55 = TRUE, AND($W$55 = TRUE, $S$55 = FALSE))</formula>
    </cfRule>
  </conditionalFormatting>
  <conditionalFormatting sqref="W56">
    <cfRule type="expression" dxfId="1846" priority="2892">
      <formula>AND($R$56,$S$56)</formula>
    </cfRule>
  </conditionalFormatting>
  <conditionalFormatting sqref="W56">
    <cfRule type="expression" dxfId="1845" priority="2891">
      <formula>AND(IF($R$56,$W$56,TRUE),LEN(TRIM($W$56))&gt;0)</formula>
    </cfRule>
  </conditionalFormatting>
  <conditionalFormatting sqref="W56">
    <cfRule type="expression" dxfId="1844" priority="2890">
      <formula>OR($S$56 = FALSE, AND($P$56 = FALSE, ReportType &lt;&gt; "Final"), AND($Q$56 = FALSE, ReportType &lt;&gt; "Rough"))</formula>
    </cfRule>
  </conditionalFormatting>
  <conditionalFormatting sqref="W56">
    <cfRule type="expression" dxfId="1843" priority="2889">
      <formula>OR($T$56 = TRUE, AND($W$56 = TRUE, $S$56 = FALSE))</formula>
    </cfRule>
  </conditionalFormatting>
  <conditionalFormatting sqref="W58">
    <cfRule type="expression" dxfId="1842" priority="2888">
      <formula>AND($R$58,$S$58)</formula>
    </cfRule>
  </conditionalFormatting>
  <conditionalFormatting sqref="W58">
    <cfRule type="expression" dxfId="1841" priority="2887">
      <formula>AND(IF($R$58,$W$58,TRUE),LEN(TRIM($W$58))&gt;0)</formula>
    </cfRule>
  </conditionalFormatting>
  <conditionalFormatting sqref="W58">
    <cfRule type="expression" dxfId="1840" priority="2886">
      <formula>OR($S$58 = FALSE, AND($P$58 = FALSE, ReportType &lt;&gt; "Final"), AND($Q$58 = FALSE, ReportType &lt;&gt; "Rough"))</formula>
    </cfRule>
  </conditionalFormatting>
  <conditionalFormatting sqref="W58">
    <cfRule type="expression" dxfId="1839" priority="2885">
      <formula>OR($T$58 = TRUE, AND($W$58 = TRUE, $S$58 = FALSE))</formula>
    </cfRule>
  </conditionalFormatting>
  <conditionalFormatting sqref="W60">
    <cfRule type="expression" dxfId="1838" priority="2884">
      <formula>AND($R$60,$S$60)</formula>
    </cfRule>
  </conditionalFormatting>
  <conditionalFormatting sqref="W60">
    <cfRule type="expression" dxfId="1837" priority="2883">
      <formula>AND(IF($R$60,$W$60,TRUE),LEN(TRIM($W$60))&gt;0)</formula>
    </cfRule>
  </conditionalFormatting>
  <conditionalFormatting sqref="W60">
    <cfRule type="expression" dxfId="1836" priority="2882">
      <formula>OR($S$60 = FALSE, AND($P$60 = FALSE, ReportType &lt;&gt; "Final"), AND($Q$60 = FALSE, ReportType &lt;&gt; "Rough"))</formula>
    </cfRule>
  </conditionalFormatting>
  <conditionalFormatting sqref="W60">
    <cfRule type="expression" dxfId="1835" priority="2881">
      <formula>OR($T$60 = TRUE, AND($W$60 = TRUE, $S$60 = FALSE))</formula>
    </cfRule>
  </conditionalFormatting>
  <conditionalFormatting sqref="W61">
    <cfRule type="expression" dxfId="1834" priority="2880">
      <formula>AND($R$61,$S$61)</formula>
    </cfRule>
  </conditionalFormatting>
  <conditionalFormatting sqref="W61">
    <cfRule type="expression" dxfId="1833" priority="2879">
      <formula>AND(IF($R$61,$W$61,TRUE),LEN(TRIM($W$61))&gt;0)</formula>
    </cfRule>
  </conditionalFormatting>
  <conditionalFormatting sqref="W61">
    <cfRule type="expression" dxfId="1832" priority="2878">
      <formula>OR($S$61 = FALSE, AND($P$61 = FALSE, ReportType &lt;&gt; "Final"), AND($Q$61 = FALSE, ReportType &lt;&gt; "Rough"))</formula>
    </cfRule>
  </conditionalFormatting>
  <conditionalFormatting sqref="W61">
    <cfRule type="expression" dxfId="1831" priority="2877">
      <formula>OR($T$61 = TRUE, AND($W$61 = TRUE, $S$61 = FALSE))</formula>
    </cfRule>
  </conditionalFormatting>
  <conditionalFormatting sqref="W62">
    <cfRule type="expression" dxfId="1830" priority="2876">
      <formula>AND($R$62,$S$62)</formula>
    </cfRule>
  </conditionalFormatting>
  <conditionalFormatting sqref="W62">
    <cfRule type="expression" dxfId="1829" priority="2875">
      <formula>AND(IF($R$62,$W$62,TRUE),LEN(TRIM($W$62))&gt;0)</formula>
    </cfRule>
  </conditionalFormatting>
  <conditionalFormatting sqref="W62">
    <cfRule type="expression" dxfId="1828" priority="2874">
      <formula>OR($S$62 = FALSE, AND($P$62 = FALSE, ReportType &lt;&gt; "Final"), AND($Q$62 = FALSE, ReportType &lt;&gt; "Rough"))</formula>
    </cfRule>
  </conditionalFormatting>
  <conditionalFormatting sqref="W62">
    <cfRule type="expression" dxfId="1827" priority="2873">
      <formula>OR($T$62 = TRUE, AND($W$62 = TRUE, $S$62 = FALSE))</formula>
    </cfRule>
  </conditionalFormatting>
  <conditionalFormatting sqref="W64">
    <cfRule type="expression" dxfId="1826" priority="2872">
      <formula>AND($R$64,$S$64)</formula>
    </cfRule>
  </conditionalFormatting>
  <conditionalFormatting sqref="W64">
    <cfRule type="expression" dxfId="1825" priority="2871">
      <formula>AND(IF($R$64,$W$64,TRUE),LEN(TRIM($W$64))&gt;0)</formula>
    </cfRule>
  </conditionalFormatting>
  <conditionalFormatting sqref="W64">
    <cfRule type="expression" dxfId="1824" priority="2870">
      <formula>OR($S$64 = FALSE, AND($P$64 = FALSE, ReportType &lt;&gt; "Final"), AND($Q$64 = FALSE, ReportType &lt;&gt; "Rough"))</formula>
    </cfRule>
  </conditionalFormatting>
  <conditionalFormatting sqref="W64">
    <cfRule type="expression" dxfId="1823" priority="2869">
      <formula>OR($T$64 = TRUE, AND($W$64 = TRUE, $S$64 = FALSE))</formula>
    </cfRule>
  </conditionalFormatting>
  <conditionalFormatting sqref="W68">
    <cfRule type="expression" dxfId="1822" priority="2868">
      <formula>AND($R$68,$S$68)</formula>
    </cfRule>
  </conditionalFormatting>
  <conditionalFormatting sqref="W68">
    <cfRule type="expression" dxfId="1821" priority="2867">
      <formula>AND(IF($R$68,$W$68,TRUE),LEN(TRIM($W$68))&gt;0)</formula>
    </cfRule>
  </conditionalFormatting>
  <conditionalFormatting sqref="W68">
    <cfRule type="expression" dxfId="1820" priority="2866">
      <formula>OR($S$68 = FALSE, AND($P$68 = FALSE, ReportType &lt;&gt; "Final"), AND($Q$68 = FALSE, ReportType &lt;&gt; "Rough"))</formula>
    </cfRule>
  </conditionalFormatting>
  <conditionalFormatting sqref="W68">
    <cfRule type="expression" dxfId="1819" priority="2865">
      <formula>OR($T$68 = TRUE, AND($W$68 = TRUE, $S$68 = FALSE))</formula>
    </cfRule>
  </conditionalFormatting>
  <conditionalFormatting sqref="W69">
    <cfRule type="expression" dxfId="1818" priority="2864">
      <formula>AND($R$69,$S$69)</formula>
    </cfRule>
  </conditionalFormatting>
  <conditionalFormatting sqref="W69">
    <cfRule type="expression" dxfId="1817" priority="2863">
      <formula>AND(IF($R$69,$W$69,TRUE),LEN(TRIM($W$69))&gt;0)</formula>
    </cfRule>
  </conditionalFormatting>
  <conditionalFormatting sqref="W69">
    <cfRule type="expression" dxfId="1816" priority="2862">
      <formula>OR($S$69 = FALSE, AND($P$69 = FALSE, ReportType &lt;&gt; "Final"), AND($Q$69 = FALSE, ReportType &lt;&gt; "Rough"))</formula>
    </cfRule>
  </conditionalFormatting>
  <conditionalFormatting sqref="W69">
    <cfRule type="expression" dxfId="1815" priority="2861">
      <formula>OR($T$69 = TRUE, AND($W$69 = TRUE, $S$69 = FALSE))</formula>
    </cfRule>
  </conditionalFormatting>
  <conditionalFormatting sqref="W76">
    <cfRule type="expression" dxfId="1814" priority="2860">
      <formula>AND($R$76,$S$76)</formula>
    </cfRule>
  </conditionalFormatting>
  <conditionalFormatting sqref="W76">
    <cfRule type="expression" dxfId="1813" priority="2859">
      <formula>AND(IF($R$76,$W$76,TRUE),LEN(TRIM($W$76))&gt;0)</formula>
    </cfRule>
  </conditionalFormatting>
  <conditionalFormatting sqref="W76">
    <cfRule type="expression" dxfId="1812" priority="2858">
      <formula>OR($S$76 = FALSE, AND($P$76 = FALSE, ReportType &lt;&gt; "Final"), AND($Q$76 = FALSE, ReportType &lt;&gt; "Rough"))</formula>
    </cfRule>
  </conditionalFormatting>
  <conditionalFormatting sqref="W76">
    <cfRule type="expression" dxfId="1811" priority="2857">
      <formula>OR($T$76 = TRUE, AND($W$76 = TRUE, $S$76 = FALSE))</formula>
    </cfRule>
  </conditionalFormatting>
  <conditionalFormatting sqref="W78">
    <cfRule type="expression" dxfId="1810" priority="2856">
      <formula>AND($R$78,$S$78)</formula>
    </cfRule>
  </conditionalFormatting>
  <conditionalFormatting sqref="W78">
    <cfRule type="expression" dxfId="1809" priority="2855">
      <formula>AND(IF($R$78,$W$78,TRUE),LEN(TRIM($W$78))&gt;0)</formula>
    </cfRule>
  </conditionalFormatting>
  <conditionalFormatting sqref="W78">
    <cfRule type="expression" dxfId="1808" priority="2854">
      <formula>OR($S$78 = FALSE, AND($P$78 = FALSE, ReportType &lt;&gt; "Final"), AND($Q$78 = FALSE, ReportType &lt;&gt; "Rough"))</formula>
    </cfRule>
  </conditionalFormatting>
  <conditionalFormatting sqref="W78">
    <cfRule type="expression" dxfId="1807" priority="2853">
      <formula>OR($T$78 = TRUE, AND($W$78 = TRUE, $S$78 = FALSE))</formula>
    </cfRule>
  </conditionalFormatting>
  <conditionalFormatting sqref="W82">
    <cfRule type="expression" dxfId="1806" priority="2852">
      <formula>AND($R$82,$S$82)</formula>
    </cfRule>
  </conditionalFormatting>
  <conditionalFormatting sqref="W82">
    <cfRule type="expression" dxfId="1805" priority="2851">
      <formula>AND(IF($R$82,$W$82,TRUE),LEN(TRIM($W$82))&gt;0)</formula>
    </cfRule>
  </conditionalFormatting>
  <conditionalFormatting sqref="W82">
    <cfRule type="expression" dxfId="1804" priority="2850">
      <formula>OR($S$82 = FALSE, AND($P$82 = FALSE, ReportType &lt;&gt; "Final"), AND($Q$82 = FALSE, ReportType &lt;&gt; "Rough"))</formula>
    </cfRule>
  </conditionalFormatting>
  <conditionalFormatting sqref="W82">
    <cfRule type="expression" dxfId="1803" priority="2849">
      <formula>OR($T$82 = TRUE, AND($W$82 = TRUE, $S$82 = FALSE))</formula>
    </cfRule>
  </conditionalFormatting>
  <conditionalFormatting sqref="W86">
    <cfRule type="expression" dxfId="1802" priority="2848">
      <formula>AND($R$86,$S$86)</formula>
    </cfRule>
  </conditionalFormatting>
  <conditionalFormatting sqref="W86">
    <cfRule type="expression" dxfId="1801" priority="2847">
      <formula>AND(IF($R$86,$W$86,TRUE),LEN(TRIM($W$86))&gt;0)</formula>
    </cfRule>
  </conditionalFormatting>
  <conditionalFormatting sqref="W86">
    <cfRule type="expression" dxfId="1800" priority="2846">
      <formula>OR($S$86 = FALSE, AND($P$86 = FALSE, ReportType &lt;&gt; "Final"), AND($Q$86 = FALSE, ReportType &lt;&gt; "Rough"))</formula>
    </cfRule>
  </conditionalFormatting>
  <conditionalFormatting sqref="W86">
    <cfRule type="expression" dxfId="1799" priority="2845">
      <formula>OR($T$86 = TRUE, AND($W$86 = TRUE, $S$86 = FALSE))</formula>
    </cfRule>
  </conditionalFormatting>
  <conditionalFormatting sqref="W87">
    <cfRule type="expression" dxfId="1798" priority="2844">
      <formula>AND($R$87,$S$87)</formula>
    </cfRule>
  </conditionalFormatting>
  <conditionalFormatting sqref="W87">
    <cfRule type="expression" dxfId="1797" priority="2843">
      <formula>AND(IF($R$87,$W$87,TRUE),LEN(TRIM($W$87))&gt;0)</formula>
    </cfRule>
  </conditionalFormatting>
  <conditionalFormatting sqref="W87">
    <cfRule type="expression" dxfId="1796" priority="2842">
      <formula>OR($S$87 = FALSE, AND($P$87 = FALSE, ReportType &lt;&gt; "Final"), AND($Q$87 = FALSE, ReportType &lt;&gt; "Rough"))</formula>
    </cfRule>
  </conditionalFormatting>
  <conditionalFormatting sqref="W87">
    <cfRule type="expression" dxfId="1795" priority="2841">
      <formula>OR($T$87 = TRUE, AND($W$87 = TRUE, $S$87 = FALSE))</formula>
    </cfRule>
  </conditionalFormatting>
  <conditionalFormatting sqref="W89">
    <cfRule type="expression" dxfId="1794" priority="2840">
      <formula>AND($R$89,$S$89)</formula>
    </cfRule>
  </conditionalFormatting>
  <conditionalFormatting sqref="W89">
    <cfRule type="expression" dxfId="1793" priority="2839">
      <formula>AND(IF($R$89,$W$89,TRUE),LEN(TRIM($W$89))&gt;0)</formula>
    </cfRule>
  </conditionalFormatting>
  <conditionalFormatting sqref="W89">
    <cfRule type="expression" dxfId="1792" priority="2838">
      <formula>OR($S$89 = FALSE, AND($P$89 = FALSE, ReportType &lt;&gt; "Final"), AND($Q$89 = FALSE, ReportType &lt;&gt; "Rough"))</formula>
    </cfRule>
  </conditionalFormatting>
  <conditionalFormatting sqref="W89">
    <cfRule type="expression" dxfId="1791" priority="2837">
      <formula>OR($T$89 = TRUE, AND($W$89 = TRUE, $S$89 = FALSE))</formula>
    </cfRule>
  </conditionalFormatting>
  <conditionalFormatting sqref="W90">
    <cfRule type="expression" dxfId="1790" priority="2836">
      <formula>AND($R$90,$S$90)</formula>
    </cfRule>
  </conditionalFormatting>
  <conditionalFormatting sqref="W90">
    <cfRule type="expression" dxfId="1789" priority="2835">
      <formula>AND(IF($R$90,$W$90,TRUE),LEN(TRIM($W$90))&gt;0)</formula>
    </cfRule>
  </conditionalFormatting>
  <conditionalFormatting sqref="W90">
    <cfRule type="expression" dxfId="1788" priority="2834">
      <formula>OR($S$90 = FALSE, AND($P$90 = FALSE, ReportType &lt;&gt; "Final"), AND($Q$90 = FALSE, ReportType &lt;&gt; "Rough"))</formula>
    </cfRule>
  </conditionalFormatting>
  <conditionalFormatting sqref="W90">
    <cfRule type="expression" dxfId="1787" priority="2833">
      <formula>OR($T$90 = TRUE, AND($W$90 = TRUE, $S$90 = FALSE))</formula>
    </cfRule>
  </conditionalFormatting>
  <conditionalFormatting sqref="W91">
    <cfRule type="expression" dxfId="1786" priority="2832">
      <formula>AND($R$91,$S$91)</formula>
    </cfRule>
  </conditionalFormatting>
  <conditionalFormatting sqref="W91">
    <cfRule type="expression" dxfId="1785" priority="2831">
      <formula>AND(IF($R$91,$W$91,TRUE),LEN(TRIM($W$91))&gt;0)</formula>
    </cfRule>
  </conditionalFormatting>
  <conditionalFormatting sqref="W91">
    <cfRule type="expression" dxfId="1784" priority="2830">
      <formula>OR($S$91 = FALSE, AND($P$91 = FALSE, ReportType &lt;&gt; "Final"), AND($Q$91 = FALSE, ReportType &lt;&gt; "Rough"))</formula>
    </cfRule>
  </conditionalFormatting>
  <conditionalFormatting sqref="W91">
    <cfRule type="expression" dxfId="1783" priority="2829">
      <formula>OR($T$91 = TRUE, AND($W$91 = TRUE, $S$91 = FALSE))</formula>
    </cfRule>
  </conditionalFormatting>
  <conditionalFormatting sqref="W99">
    <cfRule type="expression" dxfId="1782" priority="2828">
      <formula>AND($R$99,$S$99)</formula>
    </cfRule>
  </conditionalFormatting>
  <conditionalFormatting sqref="W99">
    <cfRule type="expression" dxfId="1781" priority="2827">
      <formula>AND(IF($R$99,$W$99,TRUE),LEN(TRIM($W$99))&gt;0)</formula>
    </cfRule>
  </conditionalFormatting>
  <conditionalFormatting sqref="W99">
    <cfRule type="expression" dxfId="1780" priority="2826">
      <formula>OR($S$99 = FALSE, AND($P$99 = FALSE, ReportType &lt;&gt; "Final"), AND($Q$99 = FALSE, ReportType &lt;&gt; "Rough"))</formula>
    </cfRule>
  </conditionalFormatting>
  <conditionalFormatting sqref="W99">
    <cfRule type="expression" dxfId="1779" priority="2825">
      <formula>OR($T$99 = TRUE, AND($W$99 = TRUE, $S$99 = FALSE))</formula>
    </cfRule>
  </conditionalFormatting>
  <conditionalFormatting sqref="W102">
    <cfRule type="expression" dxfId="1778" priority="2824">
      <formula>AND($R$102,$S$102)</formula>
    </cfRule>
  </conditionalFormatting>
  <conditionalFormatting sqref="W102">
    <cfRule type="expression" dxfId="1777" priority="2823">
      <formula>AND(IF($R$102,$W$102,TRUE),LEN(TRIM($W$102))&gt;0)</formula>
    </cfRule>
  </conditionalFormatting>
  <conditionalFormatting sqref="W102">
    <cfRule type="expression" dxfId="1776" priority="2822">
      <formula>OR($S$102 = FALSE, AND($P$102 = FALSE, ReportType &lt;&gt; "Final"), AND($Q$102 = FALSE, ReportType &lt;&gt; "Rough"))</formula>
    </cfRule>
  </conditionalFormatting>
  <conditionalFormatting sqref="W102">
    <cfRule type="expression" dxfId="1775" priority="2821">
      <formula>OR($T$102 = TRUE, AND($W$102 = TRUE, $S$102 = FALSE))</formula>
    </cfRule>
  </conditionalFormatting>
  <conditionalFormatting sqref="W128">
    <cfRule type="expression" dxfId="1774" priority="2820">
      <formula>AND($R$128,$S$128)</formula>
    </cfRule>
  </conditionalFormatting>
  <conditionalFormatting sqref="W128">
    <cfRule type="expression" dxfId="1773" priority="2819">
      <formula>AND(IF($R$128,$W$128,TRUE),LEN(TRIM($W$128))&gt;0)</formula>
    </cfRule>
  </conditionalFormatting>
  <conditionalFormatting sqref="W128">
    <cfRule type="expression" dxfId="1772" priority="2818">
      <formula>OR($S$128 = FALSE, AND($P$128 = FALSE, ReportType &lt;&gt; "Final"), AND($Q$128 = FALSE, ReportType &lt;&gt; "Rough"))</formula>
    </cfRule>
  </conditionalFormatting>
  <conditionalFormatting sqref="W128">
    <cfRule type="expression" dxfId="1771" priority="2817">
      <formula>OR($T$128 = TRUE, AND($W$128 = TRUE, $S$128 = FALSE))</formula>
    </cfRule>
  </conditionalFormatting>
  <conditionalFormatting sqref="W130">
    <cfRule type="expression" dxfId="1770" priority="2816">
      <formula>AND($R$130,$S$130)</formula>
    </cfRule>
  </conditionalFormatting>
  <conditionalFormatting sqref="W130">
    <cfRule type="expression" dxfId="1769" priority="2815">
      <formula>AND(IF($R$130,$W$130,TRUE),LEN(TRIM($W$130))&gt;0)</formula>
    </cfRule>
  </conditionalFormatting>
  <conditionalFormatting sqref="W130">
    <cfRule type="expression" dxfId="1768" priority="2814">
      <formula>OR($S$130 = FALSE, AND($P$130 = FALSE, ReportType &lt;&gt; "Final"), AND($Q$130 = FALSE, ReportType &lt;&gt; "Rough"))</formula>
    </cfRule>
  </conditionalFormatting>
  <conditionalFormatting sqref="W130">
    <cfRule type="expression" dxfId="1767" priority="2813">
      <formula>OR($T$130 = TRUE, AND($W$130 = TRUE, $S$130 = FALSE))</formula>
    </cfRule>
  </conditionalFormatting>
  <conditionalFormatting sqref="W132">
    <cfRule type="expression" dxfId="1766" priority="2812">
      <formula>AND($R$132,$S$132)</formula>
    </cfRule>
  </conditionalFormatting>
  <conditionalFormatting sqref="W132">
    <cfRule type="expression" dxfId="1765" priority="2811">
      <formula>AND(IF($R$132,$W$132,TRUE),LEN(TRIM($W$132))&gt;0)</formula>
    </cfRule>
  </conditionalFormatting>
  <conditionalFormatting sqref="W132">
    <cfRule type="expression" dxfId="1764" priority="2810">
      <formula>OR($S$132 = FALSE, AND($P$132 = FALSE, ReportType &lt;&gt; "Final"), AND($Q$132 = FALSE, ReportType &lt;&gt; "Rough"))</formula>
    </cfRule>
  </conditionalFormatting>
  <conditionalFormatting sqref="W132">
    <cfRule type="expression" dxfId="1763" priority="2809">
      <formula>OR($T$132 = TRUE, AND($W$132 = TRUE, $S$132 = FALSE))</formula>
    </cfRule>
  </conditionalFormatting>
  <conditionalFormatting sqref="W139">
    <cfRule type="expression" dxfId="1762" priority="2808">
      <formula>AND($R$139,$S$139)</formula>
    </cfRule>
  </conditionalFormatting>
  <conditionalFormatting sqref="W139">
    <cfRule type="expression" dxfId="1761" priority="2807">
      <formula>AND(IF($R$139,$W$139,TRUE),LEN(TRIM($W$139))&gt;0)</formula>
    </cfRule>
  </conditionalFormatting>
  <conditionalFormatting sqref="W139">
    <cfRule type="expression" dxfId="1760" priority="2806">
      <formula>OR($S$139 = FALSE, AND($P$139 = FALSE, ReportType &lt;&gt; "Final"), AND($Q$139 = FALSE, ReportType &lt;&gt; "Rough"))</formula>
    </cfRule>
  </conditionalFormatting>
  <conditionalFormatting sqref="W139">
    <cfRule type="expression" dxfId="1759" priority="2805">
      <formula>OR($T$139 = TRUE, AND($W$139 = TRUE, $S$139 = FALSE))</formula>
    </cfRule>
  </conditionalFormatting>
  <conditionalFormatting sqref="W140">
    <cfRule type="expression" dxfId="1758" priority="2804">
      <formula>AND($R$140,$S$140)</formula>
    </cfRule>
  </conditionalFormatting>
  <conditionalFormatting sqref="W140">
    <cfRule type="expression" dxfId="1757" priority="2803">
      <formula>AND(IF($R$140,$W$140,TRUE),LEN(TRIM($W$140))&gt;0)</formula>
    </cfRule>
  </conditionalFormatting>
  <conditionalFormatting sqref="W140">
    <cfRule type="expression" dxfId="1756" priority="2802">
      <formula>OR($S$140 = FALSE, AND($P$140 = FALSE, ReportType &lt;&gt; "Final"), AND($Q$140 = FALSE, ReportType &lt;&gt; "Rough"))</formula>
    </cfRule>
  </conditionalFormatting>
  <conditionalFormatting sqref="W140">
    <cfRule type="expression" dxfId="1755" priority="2801">
      <formula>OR($T$140 = TRUE, AND($W$140 = TRUE, $S$140 = FALSE))</formula>
    </cfRule>
  </conditionalFormatting>
  <conditionalFormatting sqref="W145">
    <cfRule type="expression" dxfId="1754" priority="2800">
      <formula>AND($R$145,$S$145)</formula>
    </cfRule>
  </conditionalFormatting>
  <conditionalFormatting sqref="W145">
    <cfRule type="expression" dxfId="1753" priority="2799">
      <formula>AND(IF($R$145,$W$145,TRUE),LEN(TRIM($W$145))&gt;0)</formula>
    </cfRule>
  </conditionalFormatting>
  <conditionalFormatting sqref="W145">
    <cfRule type="expression" dxfId="1752" priority="2798">
      <formula>OR($S$145 = FALSE, AND($P$145 = FALSE, ReportType &lt;&gt; "Final"), AND($Q$145 = FALSE, ReportType &lt;&gt; "Rough"))</formula>
    </cfRule>
  </conditionalFormatting>
  <conditionalFormatting sqref="W145">
    <cfRule type="expression" dxfId="1751" priority="2797">
      <formula>OR($T$145 = TRUE, AND($W$145 = TRUE, $S$145 = FALSE))</formula>
    </cfRule>
  </conditionalFormatting>
  <conditionalFormatting sqref="W147">
    <cfRule type="expression" dxfId="1750" priority="2796">
      <formula>AND($R$147,$S$147)</formula>
    </cfRule>
  </conditionalFormatting>
  <conditionalFormatting sqref="W147">
    <cfRule type="expression" dxfId="1749" priority="2795">
      <formula>AND(IF($R$147,$W$147,TRUE),LEN(TRIM($W$147))&gt;0)</formula>
    </cfRule>
  </conditionalFormatting>
  <conditionalFormatting sqref="W147">
    <cfRule type="expression" dxfId="1748" priority="2794">
      <formula>OR($S$147 = FALSE, AND($P$147 = FALSE, ReportType &lt;&gt; "Final"), AND($Q$147 = FALSE, ReportType &lt;&gt; "Rough"))</formula>
    </cfRule>
  </conditionalFormatting>
  <conditionalFormatting sqref="W147">
    <cfRule type="expression" dxfId="1747" priority="2793">
      <formula>OR($T$147 = TRUE, AND($W$147 = TRUE, $S$147 = FALSE))</formula>
    </cfRule>
  </conditionalFormatting>
  <conditionalFormatting sqref="W150">
    <cfRule type="expression" dxfId="1746" priority="2792">
      <formula>AND($R$150,$S$150)</formula>
    </cfRule>
  </conditionalFormatting>
  <conditionalFormatting sqref="W150">
    <cfRule type="expression" dxfId="1745" priority="2791">
      <formula>AND(IF($R$150,$W$150,TRUE),LEN(TRIM($W$150))&gt;0)</formula>
    </cfRule>
  </conditionalFormatting>
  <conditionalFormatting sqref="W150">
    <cfRule type="expression" dxfId="1744" priority="2790">
      <formula>OR($S$150 = FALSE, AND($P$150 = FALSE, ReportType &lt;&gt; "Final"), AND($Q$150 = FALSE, ReportType &lt;&gt; "Rough"))</formula>
    </cfRule>
  </conditionalFormatting>
  <conditionalFormatting sqref="W150">
    <cfRule type="expression" dxfId="1743" priority="2789">
      <formula>OR($T$150 = TRUE, AND($W$150 = TRUE, $S$150 = FALSE))</formula>
    </cfRule>
  </conditionalFormatting>
  <conditionalFormatting sqref="W152">
    <cfRule type="expression" dxfId="1742" priority="2788">
      <formula>AND($R$152,$S$152)</formula>
    </cfRule>
  </conditionalFormatting>
  <conditionalFormatting sqref="W152">
    <cfRule type="expression" dxfId="1741" priority="2787">
      <formula>AND(IF($R$152,$W$152,TRUE),LEN(TRIM($W$152))&gt;0)</formula>
    </cfRule>
  </conditionalFormatting>
  <conditionalFormatting sqref="W152">
    <cfRule type="expression" dxfId="1740" priority="2786">
      <formula>OR($S$152 = FALSE, AND($P$152 = FALSE, ReportType &lt;&gt; "Final"), AND($Q$152 = FALSE, ReportType &lt;&gt; "Rough"))</formula>
    </cfRule>
  </conditionalFormatting>
  <conditionalFormatting sqref="W152">
    <cfRule type="expression" dxfId="1739" priority="2785">
      <formula>OR($T$152 = TRUE, AND($W$152 = TRUE, $S$152 = FALSE))</formula>
    </cfRule>
  </conditionalFormatting>
  <conditionalFormatting sqref="W154">
    <cfRule type="expression" dxfId="1738" priority="2784">
      <formula>AND($R$154,$S$154)</formula>
    </cfRule>
  </conditionalFormatting>
  <conditionalFormatting sqref="W154">
    <cfRule type="expression" dxfId="1737" priority="2783">
      <formula>AND(IF($R$154,$W$154,TRUE),LEN(TRIM($W$154))&gt;0)</formula>
    </cfRule>
  </conditionalFormatting>
  <conditionalFormatting sqref="W154">
    <cfRule type="expression" dxfId="1736" priority="2782">
      <formula>OR($S$154 = FALSE, AND($P$154 = FALSE, ReportType &lt;&gt; "Final"), AND($Q$154 = FALSE, ReportType &lt;&gt; "Rough"))</formula>
    </cfRule>
  </conditionalFormatting>
  <conditionalFormatting sqref="W154">
    <cfRule type="expression" dxfId="1735" priority="2781">
      <formula>OR($T$154 = TRUE, AND($W$154 = TRUE, $S$154 = FALSE))</formula>
    </cfRule>
  </conditionalFormatting>
  <conditionalFormatting sqref="W158">
    <cfRule type="expression" dxfId="1734" priority="2780">
      <formula>AND($R$158,$S$158)</formula>
    </cfRule>
  </conditionalFormatting>
  <conditionalFormatting sqref="W158">
    <cfRule type="expression" dxfId="1733" priority="2779">
      <formula>AND(IF($R$158,$W$158,TRUE),LEN(TRIM($W$158))&gt;0)</formula>
    </cfRule>
  </conditionalFormatting>
  <conditionalFormatting sqref="W158">
    <cfRule type="expression" dxfId="1732" priority="2778">
      <formula>OR($S$158 = FALSE, AND($P$158 = FALSE, ReportType &lt;&gt; "Final"), AND($Q$158 = FALSE, ReportType &lt;&gt; "Rough"))</formula>
    </cfRule>
  </conditionalFormatting>
  <conditionalFormatting sqref="W158">
    <cfRule type="expression" dxfId="1731" priority="2777">
      <formula>OR($T$158 = TRUE, AND($W$158 = TRUE, $S$158 = FALSE))</formula>
    </cfRule>
  </conditionalFormatting>
  <conditionalFormatting sqref="W159">
    <cfRule type="expression" dxfId="1730" priority="2776">
      <formula>AND($R$159,$S$159)</formula>
    </cfRule>
  </conditionalFormatting>
  <conditionalFormatting sqref="W159">
    <cfRule type="expression" dxfId="1729" priority="2775">
      <formula>AND(IF($R$159,$W$159,TRUE),LEN(TRIM($W$159))&gt;0)</formula>
    </cfRule>
  </conditionalFormatting>
  <conditionalFormatting sqref="W159">
    <cfRule type="expression" dxfId="1728" priority="2774">
      <formula>OR($S$159 = FALSE, AND($P$159 = FALSE, ReportType &lt;&gt; "Final"), AND($Q$159 = FALSE, ReportType &lt;&gt; "Rough"))</formula>
    </cfRule>
  </conditionalFormatting>
  <conditionalFormatting sqref="W159">
    <cfRule type="expression" dxfId="1727" priority="2773">
      <formula>OR($T$159 = TRUE, AND($W$159 = TRUE, $S$159 = FALSE))</formula>
    </cfRule>
  </conditionalFormatting>
  <conditionalFormatting sqref="W160">
    <cfRule type="expression" dxfId="1726" priority="2772">
      <formula>AND($R$160,$S$160)</formula>
    </cfRule>
  </conditionalFormatting>
  <conditionalFormatting sqref="W160">
    <cfRule type="expression" dxfId="1725" priority="2771">
      <formula>AND(IF($R$160,$W$160,TRUE),LEN(TRIM($W$160))&gt;0)</formula>
    </cfRule>
  </conditionalFormatting>
  <conditionalFormatting sqref="W160">
    <cfRule type="expression" dxfId="1724" priority="2770">
      <formula>OR($S$160 = FALSE, AND($P$160 = FALSE, ReportType &lt;&gt; "Final"), AND($Q$160 = FALSE, ReportType &lt;&gt; "Rough"))</formula>
    </cfRule>
  </conditionalFormatting>
  <conditionalFormatting sqref="W160">
    <cfRule type="expression" dxfId="1723" priority="2769">
      <formula>OR($T$160 = TRUE, AND($W$160 = TRUE, $S$160 = FALSE))</formula>
    </cfRule>
  </conditionalFormatting>
  <conditionalFormatting sqref="W162">
    <cfRule type="expression" dxfId="1722" priority="2768">
      <formula>AND($R$162,$S$162)</formula>
    </cfRule>
  </conditionalFormatting>
  <conditionalFormatting sqref="W162">
    <cfRule type="expression" dxfId="1721" priority="2767">
      <formula>AND(IF($R$162,$W$162,TRUE),LEN(TRIM($W$162))&gt;0)</formula>
    </cfRule>
  </conditionalFormatting>
  <conditionalFormatting sqref="W162">
    <cfRule type="expression" dxfId="1720" priority="2766">
      <formula>OR($S$162 = FALSE, AND($P$162 = FALSE, ReportType &lt;&gt; "Final"), AND($Q$162 = FALSE, ReportType &lt;&gt; "Rough"))</formula>
    </cfRule>
  </conditionalFormatting>
  <conditionalFormatting sqref="W162">
    <cfRule type="expression" dxfId="1719" priority="2765">
      <formula>OR($T$162 = TRUE, AND($W$162 = TRUE, $S$162 = FALSE))</formula>
    </cfRule>
  </conditionalFormatting>
  <conditionalFormatting sqref="W165">
    <cfRule type="expression" dxfId="1718" priority="2764">
      <formula>AND($R$165,$S$165)</formula>
    </cfRule>
  </conditionalFormatting>
  <conditionalFormatting sqref="W165">
    <cfRule type="expression" dxfId="1717" priority="2763">
      <formula>AND(IF($R$165,$W$165,TRUE),LEN(TRIM($W$165))&gt;0)</formula>
    </cfRule>
  </conditionalFormatting>
  <conditionalFormatting sqref="W165">
    <cfRule type="expression" dxfId="1716" priority="2762">
      <formula>OR($S$165 = FALSE, AND($P$165 = FALSE, ReportType &lt;&gt; "Final"), AND($Q$165 = FALSE, ReportType &lt;&gt; "Rough"))</formula>
    </cfRule>
  </conditionalFormatting>
  <conditionalFormatting sqref="W165">
    <cfRule type="expression" dxfId="1715" priority="2761">
      <formula>OR($T$165 = TRUE, AND($W$165 = TRUE, $S$165 = FALSE))</formula>
    </cfRule>
  </conditionalFormatting>
  <conditionalFormatting sqref="W167">
    <cfRule type="expression" dxfId="1714" priority="2760">
      <formula>AND($R$167,$S$167)</formula>
    </cfRule>
  </conditionalFormatting>
  <conditionalFormatting sqref="W167">
    <cfRule type="expression" dxfId="1713" priority="2759">
      <formula>AND(IF($R$167,$W$167,TRUE),LEN(TRIM($W$167))&gt;0)</formula>
    </cfRule>
  </conditionalFormatting>
  <conditionalFormatting sqref="W167">
    <cfRule type="expression" dxfId="1712" priority="2758">
      <formula>OR($S$167 = FALSE, AND($P$167 = FALSE, ReportType &lt;&gt; "Final"), AND($Q$167 = FALSE, ReportType &lt;&gt; "Rough"))</formula>
    </cfRule>
  </conditionalFormatting>
  <conditionalFormatting sqref="W167">
    <cfRule type="expression" dxfId="1711" priority="2757">
      <formula>OR($T$167 = TRUE, AND($W$167 = TRUE, $S$167 = FALSE))</formula>
    </cfRule>
  </conditionalFormatting>
  <conditionalFormatting sqref="W177">
    <cfRule type="expression" dxfId="1710" priority="2756">
      <formula>AND($R$177,$S$177)</formula>
    </cfRule>
  </conditionalFormatting>
  <conditionalFormatting sqref="W177">
    <cfRule type="expression" dxfId="1709" priority="2755">
      <formula>AND(IF($R$177,$W$177,TRUE),LEN(TRIM($W$177))&gt;0)</formula>
    </cfRule>
  </conditionalFormatting>
  <conditionalFormatting sqref="W177">
    <cfRule type="expression" dxfId="1708" priority="2754">
      <formula>OR($S$177 = FALSE, AND($P$177 = FALSE, ReportType &lt;&gt; "Final"), AND($Q$177 = FALSE, ReportType &lt;&gt; "Rough"))</formula>
    </cfRule>
  </conditionalFormatting>
  <conditionalFormatting sqref="W177">
    <cfRule type="expression" dxfId="1707" priority="2753">
      <formula>OR($T$177 = TRUE, AND($W$177 = TRUE, $S$177 = FALSE))</formula>
    </cfRule>
  </conditionalFormatting>
  <conditionalFormatting sqref="W184">
    <cfRule type="expression" dxfId="1706" priority="2752">
      <formula>AND($R$184,$S$184)</formula>
    </cfRule>
  </conditionalFormatting>
  <conditionalFormatting sqref="W184">
    <cfRule type="expression" dxfId="1705" priority="2751">
      <formula>AND(IF($R$184,$W$184,TRUE),LEN(TRIM($W$184))&gt;0)</formula>
    </cfRule>
  </conditionalFormatting>
  <conditionalFormatting sqref="W184">
    <cfRule type="expression" dxfId="1704" priority="2750">
      <formula>OR($S$184 = FALSE, AND($P$184 = FALSE, ReportType &lt;&gt; "Final"), AND($Q$184 = FALSE, ReportType &lt;&gt; "Rough"))</formula>
    </cfRule>
  </conditionalFormatting>
  <conditionalFormatting sqref="W184">
    <cfRule type="expression" dxfId="1703" priority="2749">
      <formula>OR($T$184 = TRUE, AND($W$184 = TRUE, $S$184 = FALSE))</formula>
    </cfRule>
  </conditionalFormatting>
  <conditionalFormatting sqref="W185">
    <cfRule type="expression" dxfId="1702" priority="2748">
      <formula>AND($R$185,$S$185)</formula>
    </cfRule>
  </conditionalFormatting>
  <conditionalFormatting sqref="W185">
    <cfRule type="expression" dxfId="1701" priority="2747">
      <formula>AND(IF($R$185,$W$185,TRUE),LEN(TRIM($W$185))&gt;0)</formula>
    </cfRule>
  </conditionalFormatting>
  <conditionalFormatting sqref="W185">
    <cfRule type="expression" dxfId="1700" priority="2746">
      <formula>OR($S$185 = FALSE, AND($P$185 = FALSE, ReportType &lt;&gt; "Final"), AND($Q$185 = FALSE, ReportType &lt;&gt; "Rough"))</formula>
    </cfRule>
  </conditionalFormatting>
  <conditionalFormatting sqref="W185">
    <cfRule type="expression" dxfId="1699" priority="2745">
      <formula>OR($T$185 = TRUE, AND($W$185 = TRUE, $S$185 = FALSE))</formula>
    </cfRule>
  </conditionalFormatting>
  <conditionalFormatting sqref="W187">
    <cfRule type="expression" dxfId="1698" priority="2744">
      <formula>AND($R$187,$S$187)</formula>
    </cfRule>
  </conditionalFormatting>
  <conditionalFormatting sqref="W187">
    <cfRule type="expression" dxfId="1697" priority="2743">
      <formula>AND(IF($R$187,$W$187,TRUE),LEN(TRIM($W$187))&gt;0)</formula>
    </cfRule>
  </conditionalFormatting>
  <conditionalFormatting sqref="W187">
    <cfRule type="expression" dxfId="1696" priority="2742">
      <formula>OR($S$187 = FALSE, AND($P$187 = FALSE, ReportType &lt;&gt; "Final"), AND($Q$187 = FALSE, ReportType &lt;&gt; "Rough"))</formula>
    </cfRule>
  </conditionalFormatting>
  <conditionalFormatting sqref="W187">
    <cfRule type="expression" dxfId="1695" priority="2741">
      <formula>OR($T$187 = TRUE, AND($W$187 = TRUE, $S$187 = FALSE))</formula>
    </cfRule>
  </conditionalFormatting>
  <conditionalFormatting sqref="W192">
    <cfRule type="expression" dxfId="1694" priority="2740">
      <formula>AND($R$192,$S$192)</formula>
    </cfRule>
  </conditionalFormatting>
  <conditionalFormatting sqref="W192">
    <cfRule type="expression" dxfId="1693" priority="2739">
      <formula>AND(IF($R$192,$W$192,TRUE),LEN(TRIM($W$192))&gt;0)</formula>
    </cfRule>
  </conditionalFormatting>
  <conditionalFormatting sqref="W192">
    <cfRule type="expression" dxfId="1692" priority="2738">
      <formula>OR($S$192 = FALSE, AND($P$192 = FALSE, ReportType &lt;&gt; "Final"), AND($Q$192 = FALSE, ReportType &lt;&gt; "Rough"))</formula>
    </cfRule>
  </conditionalFormatting>
  <conditionalFormatting sqref="W192">
    <cfRule type="expression" dxfId="1691" priority="2737">
      <formula>OR($T$192 = TRUE, AND($W$192 = TRUE, $S$192 = FALSE))</formula>
    </cfRule>
  </conditionalFormatting>
  <conditionalFormatting sqref="W194">
    <cfRule type="expression" dxfId="1690" priority="2736">
      <formula>AND($R$194,$S$194)</formula>
    </cfRule>
  </conditionalFormatting>
  <conditionalFormatting sqref="W194">
    <cfRule type="expression" dxfId="1689" priority="2735">
      <formula>AND(IF($R$194,$W$194,TRUE),LEN(TRIM($W$194))&gt;0)</formula>
    </cfRule>
  </conditionalFormatting>
  <conditionalFormatting sqref="W194">
    <cfRule type="expression" dxfId="1688" priority="2734">
      <formula>OR($S$194 = FALSE, AND($P$194 = FALSE, ReportType &lt;&gt; "Final"), AND($Q$194 = FALSE, ReportType &lt;&gt; "Rough"))</formula>
    </cfRule>
  </conditionalFormatting>
  <conditionalFormatting sqref="W194">
    <cfRule type="expression" dxfId="1687" priority="2733">
      <formula>OR($T$194 = TRUE, AND($W$194 = TRUE, $S$194 = FALSE))</formula>
    </cfRule>
  </conditionalFormatting>
  <conditionalFormatting sqref="W195">
    <cfRule type="expression" dxfId="1686" priority="2732">
      <formula>AND($R$195,$S$195)</formula>
    </cfRule>
  </conditionalFormatting>
  <conditionalFormatting sqref="W195">
    <cfRule type="expression" dxfId="1685" priority="2731">
      <formula>AND(IF($R$195,$W$195,TRUE),LEN(TRIM($W$195))&gt;0)</formula>
    </cfRule>
  </conditionalFormatting>
  <conditionalFormatting sqref="W195">
    <cfRule type="expression" dxfId="1684" priority="2730">
      <formula>OR($S$195 = FALSE, AND($P$195 = FALSE, ReportType &lt;&gt; "Final"), AND($Q$195 = FALSE, ReportType &lt;&gt; "Rough"))</formula>
    </cfRule>
  </conditionalFormatting>
  <conditionalFormatting sqref="W195">
    <cfRule type="expression" dxfId="1683" priority="2729">
      <formula>OR($T$195 = TRUE, AND($W$195 = TRUE, $S$195 = FALSE))</formula>
    </cfRule>
  </conditionalFormatting>
  <conditionalFormatting sqref="W197">
    <cfRule type="expression" dxfId="1682" priority="2728">
      <formula>AND($R$197,$S$197)</formula>
    </cfRule>
  </conditionalFormatting>
  <conditionalFormatting sqref="W197">
    <cfRule type="expression" dxfId="1681" priority="2727">
      <formula>AND(IF($R$197,$W$197,TRUE),LEN(TRIM($W$197))&gt;0)</formula>
    </cfRule>
  </conditionalFormatting>
  <conditionalFormatting sqref="W197">
    <cfRule type="expression" dxfId="1680" priority="2726">
      <formula>OR($S$197 = FALSE, AND($P$197 = FALSE, ReportType &lt;&gt; "Final"), AND($Q$197 = FALSE, ReportType &lt;&gt; "Rough"))</formula>
    </cfRule>
  </conditionalFormatting>
  <conditionalFormatting sqref="W197">
    <cfRule type="expression" dxfId="1679" priority="2725">
      <formula>OR($T$197 = TRUE, AND($W$197 = TRUE, $S$197 = FALSE))</formula>
    </cfRule>
  </conditionalFormatting>
  <conditionalFormatting sqref="W199">
    <cfRule type="expression" dxfId="1678" priority="2724">
      <formula>AND($R$199,$S$199)</formula>
    </cfRule>
  </conditionalFormatting>
  <conditionalFormatting sqref="W199">
    <cfRule type="expression" dxfId="1677" priority="2723">
      <formula>AND(IF($R$199,$W$199,TRUE),LEN(TRIM($W$199))&gt;0)</formula>
    </cfRule>
  </conditionalFormatting>
  <conditionalFormatting sqref="W199">
    <cfRule type="expression" dxfId="1676" priority="2722">
      <formula>OR($S$199 = FALSE, AND($P$199 = FALSE, ReportType &lt;&gt; "Final"), AND($Q$199 = FALSE, ReportType &lt;&gt; "Rough"))</formula>
    </cfRule>
  </conditionalFormatting>
  <conditionalFormatting sqref="W199">
    <cfRule type="expression" dxfId="1675" priority="2721">
      <formula>OR($T$199 = TRUE, AND($W$199 = TRUE, $S$199 = FALSE))</formula>
    </cfRule>
  </conditionalFormatting>
  <conditionalFormatting sqref="W203">
    <cfRule type="expression" dxfId="1674" priority="2720">
      <formula>AND($R$203,$S$203)</formula>
    </cfRule>
  </conditionalFormatting>
  <conditionalFormatting sqref="W203">
    <cfRule type="expression" dxfId="1673" priority="2719">
      <formula>AND(IF($R$203,$W$203,TRUE),LEN(TRIM($W$203))&gt;0)</formula>
    </cfRule>
  </conditionalFormatting>
  <conditionalFormatting sqref="W203">
    <cfRule type="expression" dxfId="1672" priority="2718">
      <formula>OR($S$203 = FALSE, AND($P$203 = FALSE, ReportType &lt;&gt; "Final"), AND($Q$203 = FALSE, ReportType &lt;&gt; "Rough"))</formula>
    </cfRule>
  </conditionalFormatting>
  <conditionalFormatting sqref="W203">
    <cfRule type="expression" dxfId="1671" priority="2717">
      <formula>OR($T$203 = TRUE, AND($W$203 = TRUE, $S$203 = FALSE))</formula>
    </cfRule>
  </conditionalFormatting>
  <conditionalFormatting sqref="W206">
    <cfRule type="expression" dxfId="1670" priority="2716">
      <formula>AND($R$206,$S$206)</formula>
    </cfRule>
  </conditionalFormatting>
  <conditionalFormatting sqref="W206">
    <cfRule type="expression" dxfId="1669" priority="2715">
      <formula>AND(IF($R$206,$W$206,TRUE),LEN(TRIM($W$206))&gt;0)</formula>
    </cfRule>
  </conditionalFormatting>
  <conditionalFormatting sqref="W206">
    <cfRule type="expression" dxfId="1668" priority="2714">
      <formula>OR($S$206 = FALSE, AND($P$206 = FALSE, ReportType &lt;&gt; "Final"), AND($Q$206 = FALSE, ReportType &lt;&gt; "Rough"))</formula>
    </cfRule>
  </conditionalFormatting>
  <conditionalFormatting sqref="W206">
    <cfRule type="expression" dxfId="1667" priority="2713">
      <formula>OR($T$206 = TRUE, AND($W$206 = TRUE, $S$206 = FALSE))</formula>
    </cfRule>
  </conditionalFormatting>
  <conditionalFormatting sqref="W208">
    <cfRule type="expression" dxfId="1666" priority="2712">
      <formula>AND($R$208,$S$208)</formula>
    </cfRule>
  </conditionalFormatting>
  <conditionalFormatting sqref="W208">
    <cfRule type="expression" dxfId="1665" priority="2711">
      <formula>AND(IF($R$208,$W$208,TRUE),LEN(TRIM($W$208))&gt;0)</formula>
    </cfRule>
  </conditionalFormatting>
  <conditionalFormatting sqref="W208">
    <cfRule type="expression" dxfId="1664" priority="2710">
      <formula>OR($S$208 = FALSE, AND($P$208 = FALSE, ReportType &lt;&gt; "Final"), AND($Q$208 = FALSE, ReportType &lt;&gt; "Rough"))</formula>
    </cfRule>
  </conditionalFormatting>
  <conditionalFormatting sqref="W208">
    <cfRule type="expression" dxfId="1663" priority="2709">
      <formula>OR($T$208 = TRUE, AND($W$208 = TRUE, $S$208 = FALSE))</formula>
    </cfRule>
  </conditionalFormatting>
  <conditionalFormatting sqref="W209">
    <cfRule type="expression" dxfId="1662" priority="2708">
      <formula>AND($R$209,$S$209)</formula>
    </cfRule>
  </conditionalFormatting>
  <conditionalFormatting sqref="W209">
    <cfRule type="expression" dxfId="1661" priority="2707">
      <formula>AND(IF($R$209,$W$209,TRUE),LEN(TRIM($W$209))&gt;0)</formula>
    </cfRule>
  </conditionalFormatting>
  <conditionalFormatting sqref="W209">
    <cfRule type="expression" dxfId="1660" priority="2706">
      <formula>OR($S$209 = FALSE, AND($P$209 = FALSE, ReportType &lt;&gt; "Final"), AND($Q$209 = FALSE, ReportType &lt;&gt; "Rough"))</formula>
    </cfRule>
  </conditionalFormatting>
  <conditionalFormatting sqref="W209">
    <cfRule type="expression" dxfId="1659" priority="2705">
      <formula>OR($T$209 = TRUE, AND($W$209 = TRUE, $S$209 = FALSE))</formula>
    </cfRule>
  </conditionalFormatting>
  <conditionalFormatting sqref="W210">
    <cfRule type="expression" dxfId="1658" priority="2704">
      <formula>AND($R$210,$S$210)</formula>
    </cfRule>
  </conditionalFormatting>
  <conditionalFormatting sqref="W210">
    <cfRule type="expression" dxfId="1657" priority="2703">
      <formula>AND(IF($R$210,$W$210,TRUE),LEN(TRIM($W$210))&gt;0)</formula>
    </cfRule>
  </conditionalFormatting>
  <conditionalFormatting sqref="W210">
    <cfRule type="expression" dxfId="1656" priority="2702">
      <formula>OR($S$210 = FALSE, AND($P$210 = FALSE, ReportType &lt;&gt; "Final"), AND($Q$210 = FALSE, ReportType &lt;&gt; "Rough"))</formula>
    </cfRule>
  </conditionalFormatting>
  <conditionalFormatting sqref="W210">
    <cfRule type="expression" dxfId="1655" priority="2701">
      <formula>OR($T$210 = TRUE, AND($W$210 = TRUE, $S$210 = FALSE))</formula>
    </cfRule>
  </conditionalFormatting>
  <conditionalFormatting sqref="W211">
    <cfRule type="expression" dxfId="1654" priority="2700">
      <formula>AND($R$211,$S$211)</formula>
    </cfRule>
  </conditionalFormatting>
  <conditionalFormatting sqref="W211">
    <cfRule type="expression" dxfId="1653" priority="2699">
      <formula>AND(IF($R$211,$W$211,TRUE),LEN(TRIM($W$211))&gt;0)</formula>
    </cfRule>
  </conditionalFormatting>
  <conditionalFormatting sqref="W211">
    <cfRule type="expression" dxfId="1652" priority="2698">
      <formula>OR($S$211 = FALSE, AND($P$211 = FALSE, ReportType &lt;&gt; "Final"), AND($Q$211 = FALSE, ReportType &lt;&gt; "Rough"))</formula>
    </cfRule>
  </conditionalFormatting>
  <conditionalFormatting sqref="W211">
    <cfRule type="expression" dxfId="1651" priority="2697">
      <formula>OR($T$211 = TRUE, AND($W$211 = TRUE, $S$211 = FALSE))</formula>
    </cfRule>
  </conditionalFormatting>
  <conditionalFormatting sqref="W212">
    <cfRule type="expression" dxfId="1650" priority="2696">
      <formula>AND($R$212,$S$212)</formula>
    </cfRule>
  </conditionalFormatting>
  <conditionalFormatting sqref="W212">
    <cfRule type="expression" dxfId="1649" priority="2695">
      <formula>AND(IF($R$212,$W$212,TRUE),LEN(TRIM($W$212))&gt;0)</formula>
    </cfRule>
  </conditionalFormatting>
  <conditionalFormatting sqref="W212">
    <cfRule type="expression" dxfId="1648" priority="2694">
      <formula>OR($S$212 = FALSE, AND($P$212 = FALSE, ReportType &lt;&gt; "Final"), AND($Q$212 = FALSE, ReportType &lt;&gt; "Rough"))</formula>
    </cfRule>
  </conditionalFormatting>
  <conditionalFormatting sqref="W212">
    <cfRule type="expression" dxfId="1647" priority="2693">
      <formula>OR($T$212 = TRUE, AND($W$212 = TRUE, $S$212 = FALSE))</formula>
    </cfRule>
  </conditionalFormatting>
  <conditionalFormatting sqref="W213">
    <cfRule type="expression" dxfId="1646" priority="2692">
      <formula>AND($R$213,$S$213)</formula>
    </cfRule>
  </conditionalFormatting>
  <conditionalFormatting sqref="W213">
    <cfRule type="expression" dxfId="1645" priority="2691">
      <formula>AND(IF($R$213,$W$213,TRUE),LEN(TRIM($W$213))&gt;0)</formula>
    </cfRule>
  </conditionalFormatting>
  <conditionalFormatting sqref="W213">
    <cfRule type="expression" dxfId="1644" priority="2690">
      <formula>OR($S$213 = FALSE, AND($P$213 = FALSE, ReportType &lt;&gt; "Final"), AND($Q$213 = FALSE, ReportType &lt;&gt; "Rough"))</formula>
    </cfRule>
  </conditionalFormatting>
  <conditionalFormatting sqref="W213">
    <cfRule type="expression" dxfId="1643" priority="2689">
      <formula>OR($T$213 = TRUE, AND($W$213 = TRUE, $S$213 = FALSE))</formula>
    </cfRule>
  </conditionalFormatting>
  <conditionalFormatting sqref="W215">
    <cfRule type="expression" dxfId="1642" priority="2688">
      <formula>AND($R$215,$S$215)</formula>
    </cfRule>
  </conditionalFormatting>
  <conditionalFormatting sqref="W215">
    <cfRule type="expression" dxfId="1641" priority="2687">
      <formula>AND(IF($R$215,$W$215,TRUE),LEN(TRIM($W$215))&gt;0)</formula>
    </cfRule>
  </conditionalFormatting>
  <conditionalFormatting sqref="W215">
    <cfRule type="expression" dxfId="1640" priority="2686">
      <formula>OR($S$215 = FALSE, AND($P$215 = FALSE, ReportType &lt;&gt; "Final"), AND($Q$215 = FALSE, ReportType &lt;&gt; "Rough"))</formula>
    </cfRule>
  </conditionalFormatting>
  <conditionalFormatting sqref="W215">
    <cfRule type="expression" dxfId="1639" priority="2685">
      <formula>OR($T$215 = TRUE, AND($W$215 = TRUE, $S$215 = FALSE))</formula>
    </cfRule>
  </conditionalFormatting>
  <conditionalFormatting sqref="W222">
    <cfRule type="expression" dxfId="1638" priority="2684">
      <formula>AND($R$222,$S$222)</formula>
    </cfRule>
  </conditionalFormatting>
  <conditionalFormatting sqref="W222">
    <cfRule type="expression" dxfId="1637" priority="2683">
      <formula>AND(IF($R$222,$W$222,TRUE),LEN(TRIM($W$222))&gt;0)</formula>
    </cfRule>
  </conditionalFormatting>
  <conditionalFormatting sqref="W222">
    <cfRule type="expression" dxfId="1636" priority="2682">
      <formula>OR($S$222 = FALSE, AND($P$222 = FALSE, ReportType &lt;&gt; "Final"), AND($Q$222 = FALSE, ReportType &lt;&gt; "Rough"))</formula>
    </cfRule>
  </conditionalFormatting>
  <conditionalFormatting sqref="W222">
    <cfRule type="expression" dxfId="1635" priority="2681">
      <formula>OR($T$222 = TRUE, AND($W$222 = TRUE, $S$222 = FALSE))</formula>
    </cfRule>
  </conditionalFormatting>
  <conditionalFormatting sqref="W224">
    <cfRule type="expression" dxfId="1634" priority="2680">
      <formula>AND($R$224,$S$224)</formula>
    </cfRule>
  </conditionalFormatting>
  <conditionalFormatting sqref="W224">
    <cfRule type="expression" dxfId="1633" priority="2679">
      <formula>AND(IF($R$224,$W$224,TRUE),LEN(TRIM($W$224))&gt;0)</formula>
    </cfRule>
  </conditionalFormatting>
  <conditionalFormatting sqref="W224">
    <cfRule type="expression" dxfId="1632" priority="2678">
      <formula>OR($S$224 = FALSE, AND($P$224 = FALSE, ReportType &lt;&gt; "Final"), AND($Q$224 = FALSE, ReportType &lt;&gt; "Rough"))</formula>
    </cfRule>
  </conditionalFormatting>
  <conditionalFormatting sqref="W224">
    <cfRule type="expression" dxfId="1631" priority="2677">
      <formula>OR($T$224 = TRUE, AND($W$224 = TRUE, $S$224 = FALSE))</formula>
    </cfRule>
  </conditionalFormatting>
  <conditionalFormatting sqref="W237">
    <cfRule type="expression" dxfId="1630" priority="2676">
      <formula>AND($R$237,$S$237)</formula>
    </cfRule>
  </conditionalFormatting>
  <conditionalFormatting sqref="W237">
    <cfRule type="expression" dxfId="1629" priority="2675">
      <formula>AND(IF($R$237,$W$237,TRUE),LEN(TRIM($W$237))&gt;0)</formula>
    </cfRule>
  </conditionalFormatting>
  <conditionalFormatting sqref="W237">
    <cfRule type="expression" dxfId="1628" priority="2674">
      <formula>OR($S$237 = FALSE, AND($P$237 = FALSE, ReportType &lt;&gt; "Final"), AND($Q$237 = FALSE, ReportType &lt;&gt; "Rough"))</formula>
    </cfRule>
  </conditionalFormatting>
  <conditionalFormatting sqref="W237">
    <cfRule type="expression" dxfId="1627" priority="2673">
      <formula>OR($T$237 = TRUE, AND($W$237 = TRUE, $S$237 = FALSE))</formula>
    </cfRule>
  </conditionalFormatting>
  <conditionalFormatting sqref="W240">
    <cfRule type="expression" dxfId="1626" priority="2672">
      <formula>AND($R$240,$S$240)</formula>
    </cfRule>
  </conditionalFormatting>
  <conditionalFormatting sqref="W240">
    <cfRule type="expression" dxfId="1625" priority="2671">
      <formula>AND(IF($R$240,$W$240,TRUE),LEN(TRIM($W$240))&gt;0)</formula>
    </cfRule>
  </conditionalFormatting>
  <conditionalFormatting sqref="W240">
    <cfRule type="expression" dxfId="1624" priority="2670">
      <formula>OR($S$240 = FALSE, AND($P$240 = FALSE, ReportType &lt;&gt; "Final"), AND($Q$240 = FALSE, ReportType &lt;&gt; "Rough"))</formula>
    </cfRule>
  </conditionalFormatting>
  <conditionalFormatting sqref="W240">
    <cfRule type="expression" dxfId="1623" priority="2669">
      <formula>OR($T$240 = TRUE, AND($W$240 = TRUE, $S$240 = FALSE))</formula>
    </cfRule>
  </conditionalFormatting>
  <conditionalFormatting sqref="W244">
    <cfRule type="expression" dxfId="1622" priority="2668">
      <formula>AND($R$244,$S$244)</formula>
    </cfRule>
  </conditionalFormatting>
  <conditionalFormatting sqref="W244">
    <cfRule type="expression" dxfId="1621" priority="2667">
      <formula>AND(IF($R$244,$W$244,TRUE),LEN(TRIM($W$244))&gt;0)</formula>
    </cfRule>
  </conditionalFormatting>
  <conditionalFormatting sqref="W244">
    <cfRule type="expression" dxfId="1620" priority="2666">
      <formula>OR($S$244 = FALSE, AND($P$244 = FALSE, ReportType &lt;&gt; "Final"), AND($Q$244 = FALSE, ReportType &lt;&gt; "Rough"))</formula>
    </cfRule>
  </conditionalFormatting>
  <conditionalFormatting sqref="W244">
    <cfRule type="expression" dxfId="1619" priority="2665">
      <formula>OR($T$244 = TRUE, AND($W$244 = TRUE, $S$244 = FALSE))</formula>
    </cfRule>
  </conditionalFormatting>
  <conditionalFormatting sqref="W245">
    <cfRule type="expression" dxfId="1618" priority="2664">
      <formula>AND($R$245,$S$245)</formula>
    </cfRule>
  </conditionalFormatting>
  <conditionalFormatting sqref="W245">
    <cfRule type="expression" dxfId="1617" priority="2663">
      <formula>AND(IF($R$245,$W$245,TRUE),LEN(TRIM($W$245))&gt;0)</formula>
    </cfRule>
  </conditionalFormatting>
  <conditionalFormatting sqref="W245">
    <cfRule type="expression" dxfId="1616" priority="2662">
      <formula>OR($S$245 = FALSE, AND($P$245 = FALSE, ReportType &lt;&gt; "Final"), AND($Q$245 = FALSE, ReportType &lt;&gt; "Rough"))</formula>
    </cfRule>
  </conditionalFormatting>
  <conditionalFormatting sqref="W245">
    <cfRule type="expression" dxfId="1615" priority="2661">
      <formula>OR($T$245 = TRUE, AND($W$245 = TRUE, $S$245 = FALSE))</formula>
    </cfRule>
  </conditionalFormatting>
  <conditionalFormatting sqref="W254">
    <cfRule type="expression" dxfId="1614" priority="2660">
      <formula>AND($R$254,$S$254)</formula>
    </cfRule>
  </conditionalFormatting>
  <conditionalFormatting sqref="W254">
    <cfRule type="expression" dxfId="1613" priority="2659">
      <formula>AND(IF($R$254,$W$254,TRUE),LEN(TRIM($W$254))&gt;0)</formula>
    </cfRule>
  </conditionalFormatting>
  <conditionalFormatting sqref="W254">
    <cfRule type="expression" dxfId="1612" priority="2658">
      <formula>OR($S$254 = FALSE, AND($P$254 = FALSE, ReportType &lt;&gt; "Final"), AND($Q$254 = FALSE, ReportType &lt;&gt; "Rough"))</formula>
    </cfRule>
  </conditionalFormatting>
  <conditionalFormatting sqref="W254">
    <cfRule type="expression" dxfId="1611" priority="2657">
      <formula>OR($T$254 = TRUE, AND($W$254 = TRUE, $S$254 = FALSE))</formula>
    </cfRule>
  </conditionalFormatting>
  <conditionalFormatting sqref="W255">
    <cfRule type="expression" dxfId="1610" priority="2656">
      <formula>AND($R$255,$S$255)</formula>
    </cfRule>
  </conditionalFormatting>
  <conditionalFormatting sqref="W255">
    <cfRule type="expression" dxfId="1609" priority="2655">
      <formula>AND(IF($R$255,$W$255,TRUE),LEN(TRIM($W$255))&gt;0)</formula>
    </cfRule>
  </conditionalFormatting>
  <conditionalFormatting sqref="W255">
    <cfRule type="expression" dxfId="1608" priority="2654">
      <formula>OR($S$255 = FALSE, AND($P$255 = FALSE, ReportType &lt;&gt; "Final"), AND($Q$255 = FALSE, ReportType &lt;&gt; "Rough"))</formula>
    </cfRule>
  </conditionalFormatting>
  <conditionalFormatting sqref="W255">
    <cfRule type="expression" dxfId="1607" priority="2653">
      <formula>OR($T$255 = TRUE, AND($W$255 = TRUE, $S$255 = FALSE))</formula>
    </cfRule>
  </conditionalFormatting>
  <conditionalFormatting sqref="W257">
    <cfRule type="expression" dxfId="1606" priority="2652">
      <formula>AND($R$257,$S$257)</formula>
    </cfRule>
  </conditionalFormatting>
  <conditionalFormatting sqref="W257">
    <cfRule type="expression" dxfId="1605" priority="2651">
      <formula>AND(IF($R$257,$W$257,TRUE),LEN(TRIM($W$257))&gt;0)</formula>
    </cfRule>
  </conditionalFormatting>
  <conditionalFormatting sqref="W257">
    <cfRule type="expression" dxfId="1604" priority="2650">
      <formula>OR($S$257 = FALSE, AND($P$257 = FALSE, ReportType &lt;&gt; "Final"), AND($Q$257 = FALSE, ReportType &lt;&gt; "Rough"))</formula>
    </cfRule>
  </conditionalFormatting>
  <conditionalFormatting sqref="W257">
    <cfRule type="expression" dxfId="1603" priority="2649">
      <formula>OR($T$257 = TRUE, AND($W$257 = TRUE, $S$257 = FALSE))</formula>
    </cfRule>
  </conditionalFormatting>
  <conditionalFormatting sqref="W283">
    <cfRule type="expression" dxfId="1602" priority="2648">
      <formula>AND($R$283,$S$283)</formula>
    </cfRule>
  </conditionalFormatting>
  <conditionalFormatting sqref="W283">
    <cfRule type="expression" dxfId="1601" priority="2647">
      <formula>AND(IF($R$283,$W$283,TRUE),LEN(TRIM($W$283))&gt;0)</formula>
    </cfRule>
  </conditionalFormatting>
  <conditionalFormatting sqref="W283">
    <cfRule type="expression" dxfId="1600" priority="2646">
      <formula>OR($S$283 = FALSE, AND($P$283 = FALSE, ReportType &lt;&gt; "Final"), AND($Q$283 = FALSE, ReportType &lt;&gt; "Rough"))</formula>
    </cfRule>
  </conditionalFormatting>
  <conditionalFormatting sqref="W283">
    <cfRule type="expression" dxfId="1599" priority="2645">
      <formula>OR($T$283 = TRUE, AND($W$283 = TRUE, $S$283 = FALSE))</formula>
    </cfRule>
  </conditionalFormatting>
  <conditionalFormatting sqref="W286">
    <cfRule type="expression" dxfId="1598" priority="2644">
      <formula>AND($R$286,$S$286)</formula>
    </cfRule>
  </conditionalFormatting>
  <conditionalFormatting sqref="W286">
    <cfRule type="expression" dxfId="1597" priority="2643">
      <formula>AND(IF($R$286,$W$286,TRUE),LEN(TRIM($W$286))&gt;0)</formula>
    </cfRule>
  </conditionalFormatting>
  <conditionalFormatting sqref="W286">
    <cfRule type="expression" dxfId="1596" priority="2642">
      <formula>OR($S$286 = FALSE, AND($P$286 = FALSE, ReportType &lt;&gt; "Final"), AND($Q$286 = FALSE, ReportType &lt;&gt; "Rough"))</formula>
    </cfRule>
  </conditionalFormatting>
  <conditionalFormatting sqref="W286">
    <cfRule type="expression" dxfId="1595" priority="2641">
      <formula>OR($T$286 = TRUE, AND($W$286 = TRUE, $S$286 = FALSE))</formula>
    </cfRule>
  </conditionalFormatting>
  <conditionalFormatting sqref="W289">
    <cfRule type="expression" dxfId="1594" priority="2640">
      <formula>AND($R$289,$S$289)</formula>
    </cfRule>
  </conditionalFormatting>
  <conditionalFormatting sqref="W289">
    <cfRule type="expression" dxfId="1593" priority="2639">
      <formula>AND(IF($R$289,$W$289,TRUE),LEN(TRIM($W$289))&gt;0)</formula>
    </cfRule>
  </conditionalFormatting>
  <conditionalFormatting sqref="W289">
    <cfRule type="expression" dxfId="1592" priority="2638">
      <formula>OR($S$289 = FALSE, AND($P$289 = FALSE, ReportType &lt;&gt; "Final"), AND($Q$289 = FALSE, ReportType &lt;&gt; "Rough"))</formula>
    </cfRule>
  </conditionalFormatting>
  <conditionalFormatting sqref="W289">
    <cfRule type="expression" dxfId="1591" priority="2637">
      <formula>OR($T$289 = TRUE, AND($W$289 = TRUE, $S$289 = FALSE))</formula>
    </cfRule>
  </conditionalFormatting>
  <conditionalFormatting sqref="W293">
    <cfRule type="expression" dxfId="1590" priority="2636">
      <formula>AND($R$293,$S$293)</formula>
    </cfRule>
  </conditionalFormatting>
  <conditionalFormatting sqref="W293">
    <cfRule type="expression" dxfId="1589" priority="2635">
      <formula>AND(IF($R$293,$W$293,TRUE),LEN(TRIM($W$293))&gt;0)</formula>
    </cfRule>
  </conditionalFormatting>
  <conditionalFormatting sqref="W293">
    <cfRule type="expression" dxfId="1588" priority="2634">
      <formula>OR($S$293 = FALSE, AND($P$293 = FALSE, ReportType &lt;&gt; "Final"), AND($Q$293 = FALSE, ReportType &lt;&gt; "Rough"))</formula>
    </cfRule>
  </conditionalFormatting>
  <conditionalFormatting sqref="W293">
    <cfRule type="expression" dxfId="1587" priority="2633">
      <formula>OR($T$293 = TRUE, AND($W$293 = TRUE, $S$293 = FALSE))</formula>
    </cfRule>
  </conditionalFormatting>
  <conditionalFormatting sqref="W294">
    <cfRule type="expression" dxfId="1586" priority="2632">
      <formula>AND($R$294,$S$294)</formula>
    </cfRule>
  </conditionalFormatting>
  <conditionalFormatting sqref="W294">
    <cfRule type="expression" dxfId="1585" priority="2631">
      <formula>AND(IF($R$294,$W$294,TRUE),LEN(TRIM($W$294))&gt;0)</formula>
    </cfRule>
  </conditionalFormatting>
  <conditionalFormatting sqref="W294">
    <cfRule type="expression" dxfId="1584" priority="2630">
      <formula>OR($S$294 = FALSE, AND($P$294 = FALSE, ReportType &lt;&gt; "Final"), AND($Q$294 = FALSE, ReportType &lt;&gt; "Rough"))</formula>
    </cfRule>
  </conditionalFormatting>
  <conditionalFormatting sqref="W294">
    <cfRule type="expression" dxfId="1583" priority="2629">
      <formula>OR($T$294 = TRUE, AND($W$294 = TRUE, $S$294 = FALSE))</formula>
    </cfRule>
  </conditionalFormatting>
  <conditionalFormatting sqref="W295">
    <cfRule type="expression" dxfId="1582" priority="2628">
      <formula>AND($R$295,$S$295)</formula>
    </cfRule>
  </conditionalFormatting>
  <conditionalFormatting sqref="W295">
    <cfRule type="expression" dxfId="1581" priority="2627">
      <formula>AND(IF($R$295,$W$295,TRUE),LEN(TRIM($W$295))&gt;0)</formula>
    </cfRule>
  </conditionalFormatting>
  <conditionalFormatting sqref="W295">
    <cfRule type="expression" dxfId="1580" priority="2626">
      <formula>OR($S$295 = FALSE, AND($P$295 = FALSE, ReportType &lt;&gt; "Final"), AND($Q$295 = FALSE, ReportType &lt;&gt; "Rough"))</formula>
    </cfRule>
  </conditionalFormatting>
  <conditionalFormatting sqref="W295">
    <cfRule type="expression" dxfId="1579" priority="2625">
      <formula>OR($T$295 = TRUE, AND($W$295 = TRUE, $S$295 = FALSE))</formula>
    </cfRule>
  </conditionalFormatting>
  <conditionalFormatting sqref="W296">
    <cfRule type="expression" dxfId="1578" priority="2624">
      <formula>AND($R$296,$S$296)</formula>
    </cfRule>
  </conditionalFormatting>
  <conditionalFormatting sqref="W296">
    <cfRule type="expression" dxfId="1577" priority="2623">
      <formula>AND(IF($R$296,$W$296,TRUE),LEN(TRIM($W$296))&gt;0)</formula>
    </cfRule>
  </conditionalFormatting>
  <conditionalFormatting sqref="W296">
    <cfRule type="expression" dxfId="1576" priority="2622">
      <formula>OR($S$296 = FALSE, AND($P$296 = FALSE, ReportType &lt;&gt; "Final"), AND($Q$296 = FALSE, ReportType &lt;&gt; "Rough"))</formula>
    </cfRule>
  </conditionalFormatting>
  <conditionalFormatting sqref="W296">
    <cfRule type="expression" dxfId="1575" priority="2621">
      <formula>OR($T$296 = TRUE, AND($W$296 = TRUE, $S$296 = FALSE))</formula>
    </cfRule>
  </conditionalFormatting>
  <conditionalFormatting sqref="W297">
    <cfRule type="expression" dxfId="1574" priority="2620">
      <formula>AND($R$297,$S$297)</formula>
    </cfRule>
  </conditionalFormatting>
  <conditionalFormatting sqref="W297">
    <cfRule type="expression" dxfId="1573" priority="2619">
      <formula>AND(IF($R$297,$W$297,TRUE),LEN(TRIM($W$297))&gt;0)</formula>
    </cfRule>
  </conditionalFormatting>
  <conditionalFormatting sqref="W297">
    <cfRule type="expression" dxfId="1572" priority="2618">
      <formula>OR($S$297 = FALSE, AND($P$297 = FALSE, ReportType &lt;&gt; "Final"), AND($Q$297 = FALSE, ReportType &lt;&gt; "Rough"))</formula>
    </cfRule>
  </conditionalFormatting>
  <conditionalFormatting sqref="W297">
    <cfRule type="expression" dxfId="1571" priority="2617">
      <formula>OR($T$297 = TRUE, AND($W$297 = TRUE, $S$297 = FALSE))</formula>
    </cfRule>
  </conditionalFormatting>
  <conditionalFormatting sqref="W298">
    <cfRule type="expression" dxfId="1570" priority="2616">
      <formula>AND($R$298,$S$298)</formula>
    </cfRule>
  </conditionalFormatting>
  <conditionalFormatting sqref="W298">
    <cfRule type="expression" dxfId="1569" priority="2615">
      <formula>AND(IF($R$298,$W$298,TRUE),LEN(TRIM($W$298))&gt;0)</formula>
    </cfRule>
  </conditionalFormatting>
  <conditionalFormatting sqref="W298">
    <cfRule type="expression" dxfId="1568" priority="2614">
      <formula>OR($S$298 = FALSE, AND($P$298 = FALSE, ReportType &lt;&gt; "Final"), AND($Q$298 = FALSE, ReportType &lt;&gt; "Rough"))</formula>
    </cfRule>
  </conditionalFormatting>
  <conditionalFormatting sqref="W298">
    <cfRule type="expression" dxfId="1567" priority="2613">
      <formula>OR($T$298 = TRUE, AND($W$298 = TRUE, $S$298 = FALSE))</formula>
    </cfRule>
  </conditionalFormatting>
  <conditionalFormatting sqref="W304">
    <cfRule type="expression" dxfId="1566" priority="2612">
      <formula>AND($R$304,$S$304)</formula>
    </cfRule>
  </conditionalFormatting>
  <conditionalFormatting sqref="W304">
    <cfRule type="expression" dxfId="1565" priority="2611">
      <formula>AND(IF($R$304,$W$304,TRUE),LEN(TRIM($W$304))&gt;0)</formula>
    </cfRule>
  </conditionalFormatting>
  <conditionalFormatting sqref="W304">
    <cfRule type="expression" dxfId="1564" priority="2610">
      <formula>OR($S$304 = FALSE, AND($P$304 = FALSE, ReportType &lt;&gt; "Final"), AND($Q$304 = FALSE, ReportType &lt;&gt; "Rough"))</formula>
    </cfRule>
  </conditionalFormatting>
  <conditionalFormatting sqref="W304">
    <cfRule type="expression" dxfId="1563" priority="2609">
      <formula>OR($T$304 = TRUE, AND($W$304 = TRUE, $S$304 = FALSE))</formula>
    </cfRule>
  </conditionalFormatting>
  <conditionalFormatting sqref="W305">
    <cfRule type="expression" dxfId="1562" priority="2608">
      <formula>AND($R$305,$S$305)</formula>
    </cfRule>
  </conditionalFormatting>
  <conditionalFormatting sqref="W305">
    <cfRule type="expression" dxfId="1561" priority="2607">
      <formula>AND(IF($R$305,$W$305,TRUE),LEN(TRIM($W$305))&gt;0)</formula>
    </cfRule>
  </conditionalFormatting>
  <conditionalFormatting sqref="W305">
    <cfRule type="expression" dxfId="1560" priority="2606">
      <formula>OR($S$305 = FALSE, AND($P$305 = FALSE, ReportType &lt;&gt; "Final"), AND($Q$305 = FALSE, ReportType &lt;&gt; "Rough"))</formula>
    </cfRule>
  </conditionalFormatting>
  <conditionalFormatting sqref="W305">
    <cfRule type="expression" dxfId="1559" priority="2605">
      <formula>OR($T$305 = TRUE, AND($W$305 = TRUE, $S$305 = FALSE))</formula>
    </cfRule>
  </conditionalFormatting>
  <conditionalFormatting sqref="W306">
    <cfRule type="expression" dxfId="1558" priority="2604">
      <formula>AND($R$306,$S$306)</formula>
    </cfRule>
  </conditionalFormatting>
  <conditionalFormatting sqref="W306">
    <cfRule type="expression" dxfId="1557" priority="2603">
      <formula>AND(IF($R$306,$W$306,TRUE),LEN(TRIM($W$306))&gt;0)</formula>
    </cfRule>
  </conditionalFormatting>
  <conditionalFormatting sqref="W306">
    <cfRule type="expression" dxfId="1556" priority="2602">
      <formula>OR($S$306 = FALSE, AND($P$306 = FALSE, ReportType &lt;&gt; "Final"), AND($Q$306 = FALSE, ReportType &lt;&gt; "Rough"))</formula>
    </cfRule>
  </conditionalFormatting>
  <conditionalFormatting sqref="W306">
    <cfRule type="expression" dxfId="1555" priority="2601">
      <formula>OR($T$306 = TRUE, AND($W$306 = TRUE, $S$306 = FALSE))</formula>
    </cfRule>
  </conditionalFormatting>
  <conditionalFormatting sqref="W307">
    <cfRule type="expression" dxfId="1554" priority="2600">
      <formula>AND($R$307,$S$307)</formula>
    </cfRule>
  </conditionalFormatting>
  <conditionalFormatting sqref="W307">
    <cfRule type="expression" dxfId="1553" priority="2599">
      <formula>AND(IF($R$307,$W$307,TRUE),LEN(TRIM($W$307))&gt;0)</formula>
    </cfRule>
  </conditionalFormatting>
  <conditionalFormatting sqref="W307">
    <cfRule type="expression" dxfId="1552" priority="2598">
      <formula>OR($S$307 = FALSE, AND($P$307 = FALSE, ReportType &lt;&gt; "Final"), AND($Q$307 = FALSE, ReportType &lt;&gt; "Rough"))</formula>
    </cfRule>
  </conditionalFormatting>
  <conditionalFormatting sqref="W307">
    <cfRule type="expression" dxfId="1551" priority="2597">
      <formula>OR($T$307 = TRUE, AND($W$307 = TRUE, $S$307 = FALSE))</formula>
    </cfRule>
  </conditionalFormatting>
  <conditionalFormatting sqref="W308">
    <cfRule type="expression" dxfId="1550" priority="2596">
      <formula>AND($R$308,$S$308)</formula>
    </cfRule>
  </conditionalFormatting>
  <conditionalFormatting sqref="W308">
    <cfRule type="expression" dxfId="1549" priority="2595">
      <formula>AND(IF($R$308,$W$308,TRUE),LEN(TRIM($W$308))&gt;0)</formula>
    </cfRule>
  </conditionalFormatting>
  <conditionalFormatting sqref="W308">
    <cfRule type="expression" dxfId="1548" priority="2594">
      <formula>OR($S$308 = FALSE, AND($P$308 = FALSE, ReportType &lt;&gt; "Final"), AND($Q$308 = FALSE, ReportType &lt;&gt; "Rough"))</formula>
    </cfRule>
  </conditionalFormatting>
  <conditionalFormatting sqref="W308">
    <cfRule type="expression" dxfId="1547" priority="2593">
      <formula>OR($T$308 = TRUE, AND($W$308 = TRUE, $S$308 = FALSE))</formula>
    </cfRule>
  </conditionalFormatting>
  <conditionalFormatting sqref="W332">
    <cfRule type="expression" dxfId="1546" priority="2592">
      <formula>AND($R$332,$S$332)</formula>
    </cfRule>
  </conditionalFormatting>
  <conditionalFormatting sqref="W332">
    <cfRule type="expression" dxfId="1545" priority="2591">
      <formula>AND(IF($R$332,$W$332,TRUE),LEN(TRIM($W$332))&gt;0)</formula>
    </cfRule>
  </conditionalFormatting>
  <conditionalFormatting sqref="W332">
    <cfRule type="expression" dxfId="1544" priority="2590">
      <formula>OR($S$332 = FALSE, AND($P$332 = FALSE, ReportType &lt;&gt; "Final"), AND($Q$332 = FALSE, ReportType &lt;&gt; "Rough"))</formula>
    </cfRule>
  </conditionalFormatting>
  <conditionalFormatting sqref="W332">
    <cfRule type="expression" dxfId="1543" priority="2589">
      <formula>OR($T$332 = TRUE, AND($W$332 = TRUE, $S$332 = FALSE))</formula>
    </cfRule>
  </conditionalFormatting>
  <conditionalFormatting sqref="W340">
    <cfRule type="expression" dxfId="1542" priority="2588">
      <formula>AND($R$340,$S$340)</formula>
    </cfRule>
  </conditionalFormatting>
  <conditionalFormatting sqref="W340">
    <cfRule type="expression" dxfId="1541" priority="2587">
      <formula>AND(IF($R$340,$W$340,TRUE),LEN(TRIM($W$340))&gt;0)</formula>
    </cfRule>
  </conditionalFormatting>
  <conditionalFormatting sqref="W340">
    <cfRule type="expression" dxfId="1540" priority="2586">
      <formula>OR($S$340 = FALSE, AND($P$340 = FALSE, ReportType &lt;&gt; "Final"), AND($Q$340 = FALSE, ReportType &lt;&gt; "Rough"))</formula>
    </cfRule>
  </conditionalFormatting>
  <conditionalFormatting sqref="W340">
    <cfRule type="expression" dxfId="1539" priority="2585">
      <formula>OR($T$340 = TRUE, AND($W$340 = TRUE, $S$340 = FALSE))</formula>
    </cfRule>
  </conditionalFormatting>
  <conditionalFormatting sqref="W351">
    <cfRule type="expression" dxfId="1538" priority="2584">
      <formula>AND($R$351,$S$351)</formula>
    </cfRule>
  </conditionalFormatting>
  <conditionalFormatting sqref="W351">
    <cfRule type="expression" dxfId="1537" priority="2583">
      <formula>AND(IF($R$351,$W$351,TRUE),LEN(TRIM($W$351))&gt;0)</formula>
    </cfRule>
  </conditionalFormatting>
  <conditionalFormatting sqref="W351">
    <cfRule type="expression" dxfId="1536" priority="2582">
      <formula>OR($S$351 = FALSE, AND($P$351 = FALSE, ReportType &lt;&gt; "Final"), AND($Q$351 = FALSE, ReportType &lt;&gt; "Rough"))</formula>
    </cfRule>
  </conditionalFormatting>
  <conditionalFormatting sqref="W351">
    <cfRule type="expression" dxfId="1535" priority="2581">
      <formula>OR($T$351 = TRUE, AND($W$351 = TRUE, $S$351 = FALSE))</formula>
    </cfRule>
  </conditionalFormatting>
  <conditionalFormatting sqref="W354">
    <cfRule type="expression" dxfId="1534" priority="2580">
      <formula>AND($R$354,$S$354)</formula>
    </cfRule>
  </conditionalFormatting>
  <conditionalFormatting sqref="W354">
    <cfRule type="expression" dxfId="1533" priority="2579">
      <formula>AND(IF($R$354,$W$354,TRUE),LEN(TRIM($W$354))&gt;0)</formula>
    </cfRule>
  </conditionalFormatting>
  <conditionalFormatting sqref="W354">
    <cfRule type="expression" dxfId="1532" priority="2578">
      <formula>OR($S$354 = FALSE, AND($P$354 = FALSE, ReportType &lt;&gt; "Final"), AND($Q$354 = FALSE, ReportType &lt;&gt; "Rough"))</formula>
    </cfRule>
  </conditionalFormatting>
  <conditionalFormatting sqref="W354">
    <cfRule type="expression" dxfId="1531" priority="2577">
      <formula>OR($T$354 = TRUE, AND($W$354 = TRUE, $S$354 = FALSE))</formula>
    </cfRule>
  </conditionalFormatting>
  <conditionalFormatting sqref="W358">
    <cfRule type="expression" dxfId="1530" priority="2576">
      <formula>AND($R$358,$S$358)</formula>
    </cfRule>
  </conditionalFormatting>
  <conditionalFormatting sqref="W358">
    <cfRule type="expression" dxfId="1529" priority="2575">
      <formula>AND(IF($R$358,$W$358,TRUE),LEN(TRIM($W$358))&gt;0)</formula>
    </cfRule>
  </conditionalFormatting>
  <conditionalFormatting sqref="W358">
    <cfRule type="expression" dxfId="1528" priority="2574">
      <formula>OR($S$358 = FALSE, AND($P$358 = FALSE, ReportType &lt;&gt; "Final"), AND($Q$358 = FALSE, ReportType &lt;&gt; "Rough"))</formula>
    </cfRule>
  </conditionalFormatting>
  <conditionalFormatting sqref="W358">
    <cfRule type="expression" dxfId="1527" priority="2573">
      <formula>OR($T$358 = TRUE, AND($W$358 = TRUE, $S$358 = FALSE))</formula>
    </cfRule>
  </conditionalFormatting>
  <conditionalFormatting sqref="W359">
    <cfRule type="expression" dxfId="1526" priority="2572">
      <formula>AND($R$359,$S$359)</formula>
    </cfRule>
  </conditionalFormatting>
  <conditionalFormatting sqref="W359">
    <cfRule type="expression" dxfId="1525" priority="2571">
      <formula>AND(IF($R$359,$W$359,TRUE),LEN(TRIM($W$359))&gt;0)</formula>
    </cfRule>
  </conditionalFormatting>
  <conditionalFormatting sqref="W359">
    <cfRule type="expression" dxfId="1524" priority="2570">
      <formula>OR($S$359 = FALSE, AND($P$359 = FALSE, ReportType &lt;&gt; "Final"), AND($Q$359 = FALSE, ReportType &lt;&gt; "Rough"))</formula>
    </cfRule>
  </conditionalFormatting>
  <conditionalFormatting sqref="W359">
    <cfRule type="expression" dxfId="1523" priority="2569">
      <formula>OR($T$359 = TRUE, AND($W$359 = TRUE, $S$359 = FALSE))</formula>
    </cfRule>
  </conditionalFormatting>
  <conditionalFormatting sqref="W361">
    <cfRule type="expression" dxfId="1522" priority="2568">
      <formula>AND($R$361,$S$361)</formula>
    </cfRule>
  </conditionalFormatting>
  <conditionalFormatting sqref="W361">
    <cfRule type="expression" dxfId="1521" priority="2567">
      <formula>AND(IF($R$361,$W$361,TRUE),LEN(TRIM($W$361))&gt;0)</formula>
    </cfRule>
  </conditionalFormatting>
  <conditionalFormatting sqref="W361">
    <cfRule type="expression" dxfId="1520" priority="2566">
      <formula>OR($S$361 = FALSE, AND($P$361 = FALSE, ReportType &lt;&gt; "Final"), AND($Q$361 = FALSE, ReportType &lt;&gt; "Rough"))</formula>
    </cfRule>
  </conditionalFormatting>
  <conditionalFormatting sqref="W361">
    <cfRule type="expression" dxfId="1519" priority="2565">
      <formula>OR($T$361 = TRUE, AND($W$361 = TRUE, $S$361 = FALSE))</formula>
    </cfRule>
  </conditionalFormatting>
  <conditionalFormatting sqref="W363">
    <cfRule type="expression" dxfId="1518" priority="2564">
      <formula>AND($R$363,$S$363)</formula>
    </cfRule>
  </conditionalFormatting>
  <conditionalFormatting sqref="W363">
    <cfRule type="expression" dxfId="1517" priority="2563">
      <formula>AND(IF($R$363,$W$363,TRUE),LEN(TRIM($W$363))&gt;0)</formula>
    </cfRule>
  </conditionalFormatting>
  <conditionalFormatting sqref="W363">
    <cfRule type="expression" dxfId="1516" priority="2562">
      <formula>OR($S$363 = FALSE, AND($P$363 = FALSE, ReportType &lt;&gt; "Final"), AND($Q$363 = FALSE, ReportType &lt;&gt; "Rough"))</formula>
    </cfRule>
  </conditionalFormatting>
  <conditionalFormatting sqref="W363">
    <cfRule type="expression" dxfId="1515" priority="2561">
      <formula>OR($T$363 = TRUE, AND($W$363 = TRUE, $S$363 = FALSE))</formula>
    </cfRule>
  </conditionalFormatting>
  <conditionalFormatting sqref="W369">
    <cfRule type="expression" dxfId="1514" priority="2560">
      <formula>AND($R$369,$S$369)</formula>
    </cfRule>
  </conditionalFormatting>
  <conditionalFormatting sqref="W369">
    <cfRule type="expression" dxfId="1513" priority="2559">
      <formula>AND(IF($R$369,$W$369,TRUE),LEN(TRIM($W$369))&gt;0)</formula>
    </cfRule>
  </conditionalFormatting>
  <conditionalFormatting sqref="W369">
    <cfRule type="expression" dxfId="1512" priority="2558">
      <formula>OR($S$369 = FALSE, AND($P$369 = FALSE, ReportType &lt;&gt; "Final"), AND($Q$369 = FALSE, ReportType &lt;&gt; "Rough"))</formula>
    </cfRule>
  </conditionalFormatting>
  <conditionalFormatting sqref="W369">
    <cfRule type="expression" dxfId="1511" priority="2557">
      <formula>OR($T$369 = TRUE, AND($W$369 = TRUE, $S$369 = FALSE))</formula>
    </cfRule>
  </conditionalFormatting>
  <conditionalFormatting sqref="W375">
    <cfRule type="expression" dxfId="1510" priority="2556">
      <formula>AND($R$375,$S$375)</formula>
    </cfRule>
  </conditionalFormatting>
  <conditionalFormatting sqref="W375">
    <cfRule type="expression" dxfId="1509" priority="2555">
      <formula>AND(IF($R$375,$W$375,TRUE),LEN(TRIM($W$375))&gt;0)</formula>
    </cfRule>
  </conditionalFormatting>
  <conditionalFormatting sqref="W375">
    <cfRule type="expression" dxfId="1508" priority="2554">
      <formula>OR($S$375 = FALSE, AND($P$375 = FALSE, ReportType &lt;&gt; "Final"), AND($Q$375 = FALSE, ReportType &lt;&gt; "Rough"))</formula>
    </cfRule>
  </conditionalFormatting>
  <conditionalFormatting sqref="W375">
    <cfRule type="expression" dxfId="1507" priority="2553">
      <formula>OR($T$375 = TRUE, AND($W$375 = TRUE, $S$375 = FALSE))</formula>
    </cfRule>
  </conditionalFormatting>
  <conditionalFormatting sqref="W381">
    <cfRule type="expression" dxfId="1506" priority="2552">
      <formula>AND($R$381,$S$381)</formula>
    </cfRule>
  </conditionalFormatting>
  <conditionalFormatting sqref="W381">
    <cfRule type="expression" dxfId="1505" priority="2551">
      <formula>AND(IF($R$381,$W$381,TRUE),LEN(TRIM($W$381))&gt;0)</formula>
    </cfRule>
  </conditionalFormatting>
  <conditionalFormatting sqref="W381">
    <cfRule type="expression" dxfId="1504" priority="2550">
      <formula>OR($S$381 = FALSE, AND($P$381 = FALSE, ReportType &lt;&gt; "Final"), AND($Q$381 = FALSE, ReportType &lt;&gt; "Rough"))</formula>
    </cfRule>
  </conditionalFormatting>
  <conditionalFormatting sqref="W381">
    <cfRule type="expression" dxfId="1503" priority="2549">
      <formula>OR($T$381 = TRUE, AND($W$381 = TRUE, $S$381 = FALSE))</formula>
    </cfRule>
  </conditionalFormatting>
  <conditionalFormatting sqref="W383">
    <cfRule type="expression" dxfId="1502" priority="2548">
      <formula>AND($R$383,$S$383)</formula>
    </cfRule>
  </conditionalFormatting>
  <conditionalFormatting sqref="W383">
    <cfRule type="expression" dxfId="1501" priority="2547">
      <formula>AND(IF($R$383,$W$383,TRUE),LEN(TRIM($W$383))&gt;0)</formula>
    </cfRule>
  </conditionalFormatting>
  <conditionalFormatting sqref="W383">
    <cfRule type="expression" dxfId="1500" priority="2546">
      <formula>OR($S$383 = FALSE, AND($P$383 = FALSE, ReportType &lt;&gt; "Final"), AND($Q$383 = FALSE, ReportType &lt;&gt; "Rough"))</formula>
    </cfRule>
  </conditionalFormatting>
  <conditionalFormatting sqref="W383">
    <cfRule type="expression" dxfId="1499" priority="2545">
      <formula>OR($T$383 = TRUE, AND($W$383 = TRUE, $S$383 = FALSE))</formula>
    </cfRule>
  </conditionalFormatting>
  <conditionalFormatting sqref="W389">
    <cfRule type="expression" dxfId="1498" priority="2544">
      <formula>AND($R$389,$S$389)</formula>
    </cfRule>
  </conditionalFormatting>
  <conditionalFormatting sqref="W389">
    <cfRule type="expression" dxfId="1497" priority="2543">
      <formula>AND(IF($R$389,$W$389,TRUE),LEN(TRIM($W$389))&gt;0)</formula>
    </cfRule>
  </conditionalFormatting>
  <conditionalFormatting sqref="W389">
    <cfRule type="expression" dxfId="1496" priority="2542">
      <formula>OR($S$389 = FALSE, AND($P$389 = FALSE, ReportType &lt;&gt; "Final"), AND($Q$389 = FALSE, ReportType &lt;&gt; "Rough"))</formula>
    </cfRule>
  </conditionalFormatting>
  <conditionalFormatting sqref="W389">
    <cfRule type="expression" dxfId="1495" priority="2541">
      <formula>OR($T$389 = TRUE, AND($W$389 = TRUE, $S$389 = FALSE))</formula>
    </cfRule>
  </conditionalFormatting>
  <conditionalFormatting sqref="W393">
    <cfRule type="expression" dxfId="1494" priority="2540">
      <formula>AND($R$393,$S$393)</formula>
    </cfRule>
  </conditionalFormatting>
  <conditionalFormatting sqref="W393">
    <cfRule type="expression" dxfId="1493" priority="2539">
      <formula>AND(IF($R$393,$W$393,TRUE),LEN(TRIM($W$393))&gt;0)</formula>
    </cfRule>
  </conditionalFormatting>
  <conditionalFormatting sqref="W393">
    <cfRule type="expression" dxfId="1492" priority="2538">
      <formula>OR($S$393 = FALSE, AND($P$393 = FALSE, ReportType &lt;&gt; "Final"), AND($Q$393 = FALSE, ReportType &lt;&gt; "Rough"))</formula>
    </cfRule>
  </conditionalFormatting>
  <conditionalFormatting sqref="W393">
    <cfRule type="expression" dxfId="1491" priority="2537">
      <formula>OR($T$393 = TRUE, AND($W$393 = TRUE, $S$393 = FALSE))</formula>
    </cfRule>
  </conditionalFormatting>
  <conditionalFormatting sqref="W397">
    <cfRule type="expression" dxfId="1490" priority="2536">
      <formula>AND($R$397,$S$397)</formula>
    </cfRule>
  </conditionalFormatting>
  <conditionalFormatting sqref="W397">
    <cfRule type="expression" dxfId="1489" priority="2535">
      <formula>AND(IF($R$397,$W$397,TRUE),LEN(TRIM($W$397))&gt;0)</formula>
    </cfRule>
  </conditionalFormatting>
  <conditionalFormatting sqref="W397">
    <cfRule type="expression" dxfId="1488" priority="2534">
      <formula>OR($S$397 = FALSE, AND($P$397 = FALSE, ReportType &lt;&gt; "Final"), AND($Q$397 = FALSE, ReportType &lt;&gt; "Rough"))</formula>
    </cfRule>
  </conditionalFormatting>
  <conditionalFormatting sqref="W397">
    <cfRule type="expression" dxfId="1487" priority="2533">
      <formula>OR($T$397 = TRUE, AND($W$397 = TRUE, $S$397 = FALSE))</formula>
    </cfRule>
  </conditionalFormatting>
  <conditionalFormatting sqref="W402">
    <cfRule type="expression" dxfId="1486" priority="2532">
      <formula>AND($R$402,$S$402)</formula>
    </cfRule>
  </conditionalFormatting>
  <conditionalFormatting sqref="W402">
    <cfRule type="expression" dxfId="1485" priority="2531">
      <formula>AND(IF($R$402,$W$402,TRUE),LEN(TRIM($W$402))&gt;0)</formula>
    </cfRule>
  </conditionalFormatting>
  <conditionalFormatting sqref="W402">
    <cfRule type="expression" dxfId="1484" priority="2530">
      <formula>OR($S$402 = FALSE, AND($P$402 = FALSE, ReportType &lt;&gt; "Final"), AND($Q$402 = FALSE, ReportType &lt;&gt; "Rough"))</formula>
    </cfRule>
  </conditionalFormatting>
  <conditionalFormatting sqref="W402">
    <cfRule type="expression" dxfId="1483" priority="2529">
      <formula>OR($T$402 = TRUE, AND($W$402 = TRUE, $S$402 = FALSE))</formula>
    </cfRule>
  </conditionalFormatting>
  <conditionalFormatting sqref="W407">
    <cfRule type="expression" dxfId="1482" priority="2528">
      <formula>AND($R$407,$S$407)</formula>
    </cfRule>
  </conditionalFormatting>
  <conditionalFormatting sqref="W407">
    <cfRule type="expression" dxfId="1481" priority="2527">
      <formula>AND(IF($R$407,$W$407,TRUE),LEN(TRIM($W$407))&gt;0)</formula>
    </cfRule>
  </conditionalFormatting>
  <conditionalFormatting sqref="W407">
    <cfRule type="expression" dxfId="1480" priority="2526">
      <formula>OR($S$407 = FALSE, AND($P$407 = FALSE, ReportType &lt;&gt; "Final"), AND($Q$407 = FALSE, ReportType &lt;&gt; "Rough"))</formula>
    </cfRule>
  </conditionalFormatting>
  <conditionalFormatting sqref="W407">
    <cfRule type="expression" dxfId="1479" priority="2525">
      <formula>OR($T$407 = TRUE, AND($W$407 = TRUE, $S$407 = FALSE))</formula>
    </cfRule>
  </conditionalFormatting>
  <conditionalFormatting sqref="W409">
    <cfRule type="expression" dxfId="1478" priority="2524">
      <formula>AND($R$409,$S$409)</formula>
    </cfRule>
  </conditionalFormatting>
  <conditionalFormatting sqref="W409">
    <cfRule type="expression" dxfId="1477" priority="2523">
      <formula>AND(IF($R$409,$W$409,TRUE),LEN(TRIM($W$409))&gt;0)</formula>
    </cfRule>
  </conditionalFormatting>
  <conditionalFormatting sqref="W409">
    <cfRule type="expression" dxfId="1476" priority="2522">
      <formula>OR($S$409 = FALSE, AND($P$409 = FALSE, ReportType &lt;&gt; "Final"), AND($Q$409 = FALSE, ReportType &lt;&gt; "Rough"))</formula>
    </cfRule>
  </conditionalFormatting>
  <conditionalFormatting sqref="W409">
    <cfRule type="expression" dxfId="1475" priority="2521">
      <formula>OR($T$409 = TRUE, AND($W$409 = TRUE, $S$409 = FALSE))</formula>
    </cfRule>
  </conditionalFormatting>
  <conditionalFormatting sqref="W411">
    <cfRule type="expression" dxfId="1474" priority="2520">
      <formula>AND($R$411,$S$411)</formula>
    </cfRule>
  </conditionalFormatting>
  <conditionalFormatting sqref="W411">
    <cfRule type="expression" dxfId="1473" priority="2519">
      <formula>AND(IF($R$411,$W$411,TRUE),LEN(TRIM($W$411))&gt;0)</formula>
    </cfRule>
  </conditionalFormatting>
  <conditionalFormatting sqref="W411">
    <cfRule type="expression" dxfId="1472" priority="2518">
      <formula>OR($S$411 = FALSE, AND($P$411 = FALSE, ReportType &lt;&gt; "Final"), AND($Q$411 = FALSE, ReportType &lt;&gt; "Rough"))</formula>
    </cfRule>
  </conditionalFormatting>
  <conditionalFormatting sqref="W411">
    <cfRule type="expression" dxfId="1471" priority="2517">
      <formula>OR($T$411 = TRUE, AND($W$411 = TRUE, $S$411 = FALSE))</formula>
    </cfRule>
  </conditionalFormatting>
  <conditionalFormatting sqref="W423">
    <cfRule type="expression" dxfId="1470" priority="2516">
      <formula>AND($R$423,$S$423)</formula>
    </cfRule>
  </conditionalFormatting>
  <conditionalFormatting sqref="W423">
    <cfRule type="expression" dxfId="1469" priority="2515">
      <formula>AND(IF($R$423,$W$423,TRUE),LEN(TRIM($W$423))&gt;0)</formula>
    </cfRule>
  </conditionalFormatting>
  <conditionalFormatting sqref="W423">
    <cfRule type="expression" dxfId="1468" priority="2514">
      <formula>OR($S$423 = FALSE, AND($P$423 = FALSE, ReportType &lt;&gt; "Final"), AND($Q$423 = FALSE, ReportType &lt;&gt; "Rough"))</formula>
    </cfRule>
  </conditionalFormatting>
  <conditionalFormatting sqref="W423">
    <cfRule type="expression" dxfId="1467" priority="2513">
      <formula>OR($T$423 = TRUE, AND($W$423 = TRUE, $S$423 = FALSE))</formula>
    </cfRule>
  </conditionalFormatting>
  <conditionalFormatting sqref="W433">
    <cfRule type="expression" dxfId="1466" priority="2512">
      <formula>AND($R$433,$S$433)</formula>
    </cfRule>
  </conditionalFormatting>
  <conditionalFormatting sqref="W433">
    <cfRule type="expression" dxfId="1465" priority="2511">
      <formula>AND(IF($R$433,$W$433,TRUE),LEN(TRIM($W$433))&gt;0)</formula>
    </cfRule>
  </conditionalFormatting>
  <conditionalFormatting sqref="W433">
    <cfRule type="expression" dxfId="1464" priority="2510">
      <formula>OR($S$433 = FALSE, AND($P$433 = FALSE, ReportType &lt;&gt; "Final"), AND($Q$433 = FALSE, ReportType &lt;&gt; "Rough"))</formula>
    </cfRule>
  </conditionalFormatting>
  <conditionalFormatting sqref="W433">
    <cfRule type="expression" dxfId="1463" priority="2509">
      <formula>OR($T$433 = TRUE, AND($W$433 = TRUE, $S$433 = FALSE))</formula>
    </cfRule>
  </conditionalFormatting>
  <conditionalFormatting sqref="W436">
    <cfRule type="expression" dxfId="1462" priority="2508">
      <formula>AND($R$436,$S$436)</formula>
    </cfRule>
  </conditionalFormatting>
  <conditionalFormatting sqref="W436">
    <cfRule type="expression" dxfId="1461" priority="2507">
      <formula>AND(IF($R$436,$W$436,TRUE),LEN(TRIM($W$436))&gt;0)</formula>
    </cfRule>
  </conditionalFormatting>
  <conditionalFormatting sqref="W436">
    <cfRule type="expression" dxfId="1460" priority="2506">
      <formula>OR($S$436 = FALSE, AND($P$436 = FALSE, ReportType &lt;&gt; "Final"), AND($Q$436 = FALSE, ReportType &lt;&gt; "Rough"))</formula>
    </cfRule>
  </conditionalFormatting>
  <conditionalFormatting sqref="W436">
    <cfRule type="expression" dxfId="1459" priority="2505">
      <formula>OR($T$436 = TRUE, AND($W$436 = TRUE, $S$436 = FALSE))</formula>
    </cfRule>
  </conditionalFormatting>
  <conditionalFormatting sqref="W437">
    <cfRule type="expression" dxfId="1458" priority="2504">
      <formula>AND($R$437,$S$437)</formula>
    </cfRule>
  </conditionalFormatting>
  <conditionalFormatting sqref="W437">
    <cfRule type="expression" dxfId="1457" priority="2503">
      <formula>AND(IF($R$437,$W$437,TRUE),LEN(TRIM($W$437))&gt;0)</formula>
    </cfRule>
  </conditionalFormatting>
  <conditionalFormatting sqref="W437">
    <cfRule type="expression" dxfId="1456" priority="2502">
      <formula>OR($S$437 = FALSE, AND($P$437 = FALSE, ReportType &lt;&gt; "Final"), AND($Q$437 = FALSE, ReportType &lt;&gt; "Rough"))</formula>
    </cfRule>
  </conditionalFormatting>
  <conditionalFormatting sqref="W437">
    <cfRule type="expression" dxfId="1455" priority="2501">
      <formula>OR($T$437 = TRUE, AND($W$437 = TRUE, $S$437 = FALSE))</formula>
    </cfRule>
  </conditionalFormatting>
  <conditionalFormatting sqref="W447">
    <cfRule type="expression" dxfId="1454" priority="2500">
      <formula>AND($R$447,$S$447)</formula>
    </cfRule>
  </conditionalFormatting>
  <conditionalFormatting sqref="W447">
    <cfRule type="expression" dxfId="1453" priority="2499">
      <formula>AND(IF($R$447,$W$447,TRUE),LEN(TRIM($W$447))&gt;0)</formula>
    </cfRule>
  </conditionalFormatting>
  <conditionalFormatting sqref="W447">
    <cfRule type="expression" dxfId="1452" priority="2498">
      <formula>OR($S$447 = FALSE, AND($P$447 = FALSE, ReportType &lt;&gt; "Final"), AND($Q$447 = FALSE, ReportType &lt;&gt; "Rough"))</formula>
    </cfRule>
  </conditionalFormatting>
  <conditionalFormatting sqref="W447">
    <cfRule type="expression" dxfId="1451" priority="2497">
      <formula>OR($T$447 = TRUE, AND($W$447 = TRUE, $S$447 = FALSE))</formula>
    </cfRule>
  </conditionalFormatting>
  <conditionalFormatting sqref="W449">
    <cfRule type="expression" dxfId="1450" priority="2496">
      <formula>AND($R$449,$S$449)</formula>
    </cfRule>
  </conditionalFormatting>
  <conditionalFormatting sqref="W449">
    <cfRule type="expression" dxfId="1449" priority="2495">
      <formula>AND(IF($R$449,$W$449,TRUE),LEN(TRIM($W$449))&gt;0)</formula>
    </cfRule>
  </conditionalFormatting>
  <conditionalFormatting sqref="W449">
    <cfRule type="expression" dxfId="1448" priority="2494">
      <formula>OR($S$449 = FALSE, AND($P$449 = FALSE, ReportType &lt;&gt; "Final"), AND($Q$449 = FALSE, ReportType &lt;&gt; "Rough"))</formula>
    </cfRule>
  </conditionalFormatting>
  <conditionalFormatting sqref="W449">
    <cfRule type="expression" dxfId="1447" priority="2493">
      <formula>OR($T$449 = TRUE, AND($W$449 = TRUE, $S$449 = FALSE))</formula>
    </cfRule>
  </conditionalFormatting>
  <conditionalFormatting sqref="W465">
    <cfRule type="expression" dxfId="1446" priority="2492">
      <formula>AND($R$465,$S$465)</formula>
    </cfRule>
  </conditionalFormatting>
  <conditionalFormatting sqref="W465">
    <cfRule type="expression" dxfId="1445" priority="2491">
      <formula>AND(IF($R$465,$W$465,TRUE),LEN(TRIM($W$465))&gt;0)</formula>
    </cfRule>
  </conditionalFormatting>
  <conditionalFormatting sqref="W465">
    <cfRule type="expression" dxfId="1444" priority="2490">
      <formula>OR($S$465 = FALSE, AND($P$465 = FALSE, ReportType &lt;&gt; "Final"), AND($Q$465 = FALSE, ReportType &lt;&gt; "Rough"))</formula>
    </cfRule>
  </conditionalFormatting>
  <conditionalFormatting sqref="W465">
    <cfRule type="expression" dxfId="1443" priority="2489">
      <formula>OR($T$465 = TRUE, AND($W$465 = TRUE, $S$465 = FALSE))</formula>
    </cfRule>
  </conditionalFormatting>
  <conditionalFormatting sqref="W476">
    <cfRule type="expression" dxfId="1442" priority="2488">
      <formula>AND($R$476,$S$476)</formula>
    </cfRule>
  </conditionalFormatting>
  <conditionalFormatting sqref="W476">
    <cfRule type="expression" dxfId="1441" priority="2487">
      <formula>AND(IF($R$476,$W$476,TRUE),LEN(TRIM($W$476))&gt;0)</formula>
    </cfRule>
  </conditionalFormatting>
  <conditionalFormatting sqref="W476">
    <cfRule type="expression" dxfId="1440" priority="2486">
      <formula>OR($S$476 = FALSE, AND($P$476 = FALSE, ReportType &lt;&gt; "Final"), AND($Q$476 = FALSE, ReportType &lt;&gt; "Rough"))</formula>
    </cfRule>
  </conditionalFormatting>
  <conditionalFormatting sqref="W476">
    <cfRule type="expression" dxfId="1439" priority="2485">
      <formula>OR($T$476 = TRUE, AND($W$476 = TRUE, $S$476 = FALSE))</formula>
    </cfRule>
  </conditionalFormatting>
  <conditionalFormatting sqref="W477">
    <cfRule type="expression" dxfId="1438" priority="2484">
      <formula>AND($R$477,$S$477)</formula>
    </cfRule>
  </conditionalFormatting>
  <conditionalFormatting sqref="W477">
    <cfRule type="expression" dxfId="1437" priority="2483">
      <formula>AND(IF($R$477,$W$477,TRUE),LEN(TRIM($W$477))&gt;0)</formula>
    </cfRule>
  </conditionalFormatting>
  <conditionalFormatting sqref="W477">
    <cfRule type="expression" dxfId="1436" priority="2482">
      <formula>OR($S$477 = FALSE, AND($P$477 = FALSE, ReportType &lt;&gt; "Final"), AND($Q$477 = FALSE, ReportType &lt;&gt; "Rough"))</formula>
    </cfRule>
  </conditionalFormatting>
  <conditionalFormatting sqref="W477">
    <cfRule type="expression" dxfId="1435" priority="2481">
      <formula>OR($T$477 = TRUE, AND($W$477 = TRUE, $S$477 = FALSE))</formula>
    </cfRule>
  </conditionalFormatting>
  <conditionalFormatting sqref="W482">
    <cfRule type="expression" dxfId="1434" priority="2480">
      <formula>AND($R$482,$S$482)</formula>
    </cfRule>
  </conditionalFormatting>
  <conditionalFormatting sqref="W482">
    <cfRule type="expression" dxfId="1433" priority="2479">
      <formula>AND(IF($R$482,$W$482,TRUE),LEN(TRIM($W$482))&gt;0)</formula>
    </cfRule>
  </conditionalFormatting>
  <conditionalFormatting sqref="W482">
    <cfRule type="expression" dxfId="1432" priority="2478">
      <formula>OR($S$482 = FALSE, AND($P$482 = FALSE, ReportType &lt;&gt; "Final"), AND($Q$482 = FALSE, ReportType &lt;&gt; "Rough"))</formula>
    </cfRule>
  </conditionalFormatting>
  <conditionalFormatting sqref="W482">
    <cfRule type="expression" dxfId="1431" priority="2477">
      <formula>OR($T$482 = TRUE, AND($W$482 = TRUE, $S$482 = FALSE))</formula>
    </cfRule>
  </conditionalFormatting>
  <conditionalFormatting sqref="W484">
    <cfRule type="expression" dxfId="1430" priority="2476">
      <formula>AND($R$484,$S$484)</formula>
    </cfRule>
  </conditionalFormatting>
  <conditionalFormatting sqref="W484">
    <cfRule type="expression" dxfId="1429" priority="2475">
      <formula>AND(IF($R$484,$W$484,TRUE),LEN(TRIM($W$484))&gt;0)</formula>
    </cfRule>
  </conditionalFormatting>
  <conditionalFormatting sqref="W484">
    <cfRule type="expression" dxfId="1428" priority="2474">
      <formula>OR($S$484 = FALSE, AND($P$484 = FALSE, ReportType &lt;&gt; "Final"), AND($Q$484 = FALSE, ReportType &lt;&gt; "Rough"))</formula>
    </cfRule>
  </conditionalFormatting>
  <conditionalFormatting sqref="W484">
    <cfRule type="expression" dxfId="1427" priority="2473">
      <formula>OR($T$484 = TRUE, AND($W$484 = TRUE, $S$484 = FALSE))</formula>
    </cfRule>
  </conditionalFormatting>
  <conditionalFormatting sqref="W485">
    <cfRule type="expression" dxfId="1426" priority="2472">
      <formula>AND($R$485,$S$485)</formula>
    </cfRule>
  </conditionalFormatting>
  <conditionalFormatting sqref="W485">
    <cfRule type="expression" dxfId="1425" priority="2471">
      <formula>AND(IF($R$485,$W$485,TRUE),LEN(TRIM($W$485))&gt;0)</formula>
    </cfRule>
  </conditionalFormatting>
  <conditionalFormatting sqref="W485">
    <cfRule type="expression" dxfId="1424" priority="2470">
      <formula>OR($S$485 = FALSE, AND($P$485 = FALSE, ReportType &lt;&gt; "Final"), AND($Q$485 = FALSE, ReportType &lt;&gt; "Rough"))</formula>
    </cfRule>
  </conditionalFormatting>
  <conditionalFormatting sqref="W485">
    <cfRule type="expression" dxfId="1423" priority="2469">
      <formula>OR($T$485 = TRUE, AND($W$485 = TRUE, $S$485 = FALSE))</formula>
    </cfRule>
  </conditionalFormatting>
  <conditionalFormatting sqref="W488">
    <cfRule type="expression" dxfId="1422" priority="2468">
      <formula>AND($R$488,$S$488)</formula>
    </cfRule>
  </conditionalFormatting>
  <conditionalFormatting sqref="W488">
    <cfRule type="expression" dxfId="1421" priority="2467">
      <formula>AND(IF($R$488,$W$488,TRUE),LEN(TRIM($W$488))&gt;0)</formula>
    </cfRule>
  </conditionalFormatting>
  <conditionalFormatting sqref="W488">
    <cfRule type="expression" dxfId="1420" priority="2466">
      <formula>OR($S$488 = FALSE, AND($P$488 = FALSE, ReportType &lt;&gt; "Final"), AND($Q$488 = FALSE, ReportType &lt;&gt; "Rough"))</formula>
    </cfRule>
  </conditionalFormatting>
  <conditionalFormatting sqref="W488">
    <cfRule type="expression" dxfId="1419" priority="2465">
      <formula>OR($T$488 = TRUE, AND($W$488 = TRUE, $S$488 = FALSE))</formula>
    </cfRule>
  </conditionalFormatting>
  <conditionalFormatting sqref="W492">
    <cfRule type="expression" dxfId="1418" priority="2464">
      <formula>AND($R$492,$S$492)</formula>
    </cfRule>
  </conditionalFormatting>
  <conditionalFormatting sqref="W492">
    <cfRule type="expression" dxfId="1417" priority="2463">
      <formula>AND(IF($R$492,$W$492,TRUE),LEN(TRIM($W$492))&gt;0)</formula>
    </cfRule>
  </conditionalFormatting>
  <conditionalFormatting sqref="W492">
    <cfRule type="expression" dxfId="1416" priority="2462">
      <formula>OR($S$492 = FALSE, AND($P$492 = FALSE, ReportType &lt;&gt; "Final"), AND($Q$492 = FALSE, ReportType &lt;&gt; "Rough"))</formula>
    </cfRule>
  </conditionalFormatting>
  <conditionalFormatting sqref="W492">
    <cfRule type="expression" dxfId="1415" priority="2461">
      <formula>OR($T$492 = TRUE, AND($W$492 = TRUE, $S$492 = FALSE))</formula>
    </cfRule>
  </conditionalFormatting>
  <conditionalFormatting sqref="W497">
    <cfRule type="expression" dxfId="1414" priority="2460">
      <formula>AND($R$497,$S$497)</formula>
    </cfRule>
  </conditionalFormatting>
  <conditionalFormatting sqref="W497">
    <cfRule type="expression" dxfId="1413" priority="2459">
      <formula>AND(IF($R$497,$W$497,TRUE),LEN(TRIM($W$497))&gt;0)</formula>
    </cfRule>
  </conditionalFormatting>
  <conditionalFormatting sqref="W497">
    <cfRule type="expression" dxfId="1412" priority="2458">
      <formula>OR($S$497 = FALSE, AND($P$497 = FALSE, ReportType &lt;&gt; "Final"), AND($Q$497 = FALSE, ReportType &lt;&gt; "Rough"))</formula>
    </cfRule>
  </conditionalFormatting>
  <conditionalFormatting sqref="W497">
    <cfRule type="expression" dxfId="1411" priority="2457">
      <formula>OR($T$497 = TRUE, AND($W$497 = TRUE, $S$497 = FALSE))</formula>
    </cfRule>
  </conditionalFormatting>
  <conditionalFormatting sqref="W499">
    <cfRule type="expression" dxfId="1410" priority="2456">
      <formula>AND($R$499,$S$499)</formula>
    </cfRule>
  </conditionalFormatting>
  <conditionalFormatting sqref="W499">
    <cfRule type="expression" dxfId="1409" priority="2455">
      <formula>AND(IF($R$499,$W$499,TRUE),LEN(TRIM($W$499))&gt;0)</formula>
    </cfRule>
  </conditionalFormatting>
  <conditionalFormatting sqref="W499">
    <cfRule type="expression" dxfId="1408" priority="2454">
      <formula>OR($S$499 = FALSE, AND($P$499 = FALSE, ReportType &lt;&gt; "Final"), AND($Q$499 = FALSE, ReportType &lt;&gt; "Rough"))</formula>
    </cfRule>
  </conditionalFormatting>
  <conditionalFormatting sqref="W499">
    <cfRule type="expression" dxfId="1407" priority="2453">
      <formula>OR($T$499 = TRUE, AND($W$499 = TRUE, $S$499 = FALSE))</formula>
    </cfRule>
  </conditionalFormatting>
  <conditionalFormatting sqref="W516">
    <cfRule type="expression" dxfId="1406" priority="2452">
      <formula>AND($R$516,$S$516)</formula>
    </cfRule>
  </conditionalFormatting>
  <conditionalFormatting sqref="W516">
    <cfRule type="expression" dxfId="1405" priority="2451">
      <formula>AND(IF($R$516,$W$516,TRUE),LEN(TRIM($W$516))&gt;0)</formula>
    </cfRule>
  </conditionalFormatting>
  <conditionalFormatting sqref="W516">
    <cfRule type="expression" dxfId="1404" priority="2450">
      <formula>OR($S$516 = FALSE, AND($P$516 = FALSE, ReportType &lt;&gt; "Final"), AND($Q$516 = FALSE, ReportType &lt;&gt; "Rough"))</formula>
    </cfRule>
  </conditionalFormatting>
  <conditionalFormatting sqref="W516">
    <cfRule type="expression" dxfId="1403" priority="2449">
      <formula>OR($T$516 = TRUE, AND($W$516 = TRUE, $S$516 = FALSE))</formula>
    </cfRule>
  </conditionalFormatting>
  <conditionalFormatting sqref="W532">
    <cfRule type="expression" dxfId="1402" priority="2448">
      <formula>AND($R$532,$S$532)</formula>
    </cfRule>
  </conditionalFormatting>
  <conditionalFormatting sqref="W532">
    <cfRule type="expression" dxfId="1401" priority="2447">
      <formula>AND(IF($R$532,$W$532,TRUE),LEN(TRIM($W$532))&gt;0)</formula>
    </cfRule>
  </conditionalFormatting>
  <conditionalFormatting sqref="W532">
    <cfRule type="expression" dxfId="1400" priority="2446">
      <formula>OR($S$532 = FALSE, AND($P$532 = FALSE, ReportType &lt;&gt; "Final"), AND($Q$532 = FALSE, ReportType &lt;&gt; "Rough"))</formula>
    </cfRule>
  </conditionalFormatting>
  <conditionalFormatting sqref="W532">
    <cfRule type="expression" dxfId="1399" priority="2445">
      <formula>OR($T$532 = TRUE, AND($W$532 = TRUE, $S$532 = FALSE))</formula>
    </cfRule>
  </conditionalFormatting>
  <conditionalFormatting sqref="W545">
    <cfRule type="expression" dxfId="1398" priority="2444">
      <formula>AND($R$545,$S$545)</formula>
    </cfRule>
  </conditionalFormatting>
  <conditionalFormatting sqref="W545">
    <cfRule type="expression" dxfId="1397" priority="2443">
      <formula>AND(IF($R$545,$W$545,TRUE),LEN(TRIM($W$545))&gt;0)</formula>
    </cfRule>
  </conditionalFormatting>
  <conditionalFormatting sqref="W545">
    <cfRule type="expression" dxfId="1396" priority="2442">
      <formula>OR($S$545 = FALSE, AND($P$545 = FALSE, ReportType &lt;&gt; "Final"), AND($Q$545 = FALSE, ReportType &lt;&gt; "Rough"))</formula>
    </cfRule>
  </conditionalFormatting>
  <conditionalFormatting sqref="W545">
    <cfRule type="expression" dxfId="1395" priority="2441">
      <formula>OR($T$545 = TRUE, AND($W$545 = TRUE, $S$545 = FALSE))</formula>
    </cfRule>
  </conditionalFormatting>
  <conditionalFormatting sqref="W547">
    <cfRule type="expression" dxfId="1394" priority="2440">
      <formula>AND($R$547,$S$547)</formula>
    </cfRule>
  </conditionalFormatting>
  <conditionalFormatting sqref="W547">
    <cfRule type="expression" dxfId="1393" priority="2439">
      <formula>AND(IF($R$547,$W$547,TRUE),LEN(TRIM($W$547))&gt;0)</formula>
    </cfRule>
  </conditionalFormatting>
  <conditionalFormatting sqref="W547">
    <cfRule type="expression" dxfId="1392" priority="2438">
      <formula>OR($S$547 = FALSE, AND($P$547 = FALSE, ReportType &lt;&gt; "Final"), AND($Q$547 = FALSE, ReportType &lt;&gt; "Rough"))</formula>
    </cfRule>
  </conditionalFormatting>
  <conditionalFormatting sqref="W547">
    <cfRule type="expression" dxfId="1391" priority="2437">
      <formula>OR($T$547 = TRUE, AND($W$547 = TRUE, $S$547 = FALSE))</formula>
    </cfRule>
  </conditionalFormatting>
  <conditionalFormatting sqref="W560">
    <cfRule type="expression" dxfId="1390" priority="2436">
      <formula>AND($R$560,$S$560)</formula>
    </cfRule>
  </conditionalFormatting>
  <conditionalFormatting sqref="W560">
    <cfRule type="expression" dxfId="1389" priority="2435">
      <formula>AND(IF($R$560,$W$560,TRUE),LEN(TRIM($W$560))&gt;0)</formula>
    </cfRule>
  </conditionalFormatting>
  <conditionalFormatting sqref="W560">
    <cfRule type="expression" dxfId="1388" priority="2434">
      <formula>OR($S$560 = FALSE, AND($P$560 = FALSE, ReportType &lt;&gt; "Final"), AND($Q$560 = FALSE, ReportType &lt;&gt; "Rough"))</formula>
    </cfRule>
  </conditionalFormatting>
  <conditionalFormatting sqref="W560">
    <cfRule type="expression" dxfId="1387" priority="2433">
      <formula>OR($T$560 = TRUE, AND($W$560 = TRUE, $S$560 = FALSE))</formula>
    </cfRule>
  </conditionalFormatting>
  <conditionalFormatting sqref="W561">
    <cfRule type="expression" dxfId="1386" priority="2432">
      <formula>AND($R$561,$S$561)</formula>
    </cfRule>
  </conditionalFormatting>
  <conditionalFormatting sqref="W561">
    <cfRule type="expression" dxfId="1385" priority="2431">
      <formula>AND(IF($R$561,$W$561,TRUE),LEN(TRIM($W$561))&gt;0)</formula>
    </cfRule>
  </conditionalFormatting>
  <conditionalFormatting sqref="W561">
    <cfRule type="expression" dxfId="1384" priority="2430">
      <formula>OR($S$561 = FALSE, AND($P$561 = FALSE, ReportType &lt;&gt; "Final"), AND($Q$561 = FALSE, ReportType &lt;&gt; "Rough"))</formula>
    </cfRule>
  </conditionalFormatting>
  <conditionalFormatting sqref="W561">
    <cfRule type="expression" dxfId="1383" priority="2429">
      <formula>OR($T$561 = TRUE, AND($W$561 = TRUE, $S$561 = FALSE))</formula>
    </cfRule>
  </conditionalFormatting>
  <conditionalFormatting sqref="W562">
    <cfRule type="expression" dxfId="1382" priority="2428">
      <formula>AND($R$562,$S$562)</formula>
    </cfRule>
  </conditionalFormatting>
  <conditionalFormatting sqref="W562">
    <cfRule type="expression" dxfId="1381" priority="2427">
      <formula>AND(IF($R$562,$W$562,TRUE),LEN(TRIM($W$562))&gt;0)</formula>
    </cfRule>
  </conditionalFormatting>
  <conditionalFormatting sqref="W562">
    <cfRule type="expression" dxfId="1380" priority="2426">
      <formula>OR($S$562 = FALSE, AND($P$562 = FALSE, ReportType &lt;&gt; "Final"), AND($Q$562 = FALSE, ReportType &lt;&gt; "Rough"))</formula>
    </cfRule>
  </conditionalFormatting>
  <conditionalFormatting sqref="W562">
    <cfRule type="expression" dxfId="1379" priority="2425">
      <formula>OR($T$562 = TRUE, AND($W$562 = TRUE, $S$562 = FALSE))</formula>
    </cfRule>
  </conditionalFormatting>
  <conditionalFormatting sqref="W563">
    <cfRule type="expression" dxfId="1378" priority="2424">
      <formula>AND($R$563,$S$563)</formula>
    </cfRule>
  </conditionalFormatting>
  <conditionalFormatting sqref="W563">
    <cfRule type="expression" dxfId="1377" priority="2423">
      <formula>AND(IF($R$563,$W$563,TRUE),LEN(TRIM($W$563))&gt;0)</formula>
    </cfRule>
  </conditionalFormatting>
  <conditionalFormatting sqref="W563">
    <cfRule type="expression" dxfId="1376" priority="2422">
      <formula>OR($S$563 = FALSE, AND($P$563 = FALSE, ReportType &lt;&gt; "Final"), AND($Q$563 = FALSE, ReportType &lt;&gt; "Rough"))</formula>
    </cfRule>
  </conditionalFormatting>
  <conditionalFormatting sqref="W563">
    <cfRule type="expression" dxfId="1375" priority="2421">
      <formula>OR($T$563 = TRUE, AND($W$563 = TRUE, $S$563 = FALSE))</formula>
    </cfRule>
  </conditionalFormatting>
  <conditionalFormatting sqref="W564">
    <cfRule type="expression" dxfId="1374" priority="2420">
      <formula>AND($R$564,$S$564)</formula>
    </cfRule>
  </conditionalFormatting>
  <conditionalFormatting sqref="W564">
    <cfRule type="expression" dxfId="1373" priority="2419">
      <formula>AND(IF($R$564,$W$564,TRUE),LEN(TRIM($W$564))&gt;0)</formula>
    </cfRule>
  </conditionalFormatting>
  <conditionalFormatting sqref="W564">
    <cfRule type="expression" dxfId="1372" priority="2418">
      <formula>OR($S$564 = FALSE, AND($P$564 = FALSE, ReportType &lt;&gt; "Final"), AND($Q$564 = FALSE, ReportType &lt;&gt; "Rough"))</formula>
    </cfRule>
  </conditionalFormatting>
  <conditionalFormatting sqref="W564">
    <cfRule type="expression" dxfId="1371" priority="2417">
      <formula>OR($T$564 = TRUE, AND($W$564 = TRUE, $S$564 = FALSE))</formula>
    </cfRule>
  </conditionalFormatting>
  <conditionalFormatting sqref="W565">
    <cfRule type="expression" dxfId="1370" priority="2416">
      <formula>AND($R$565,$S$565)</formula>
    </cfRule>
  </conditionalFormatting>
  <conditionalFormatting sqref="W565">
    <cfRule type="expression" dxfId="1369" priority="2415">
      <formula>AND(IF($R$565,$W$565,TRUE),LEN(TRIM($W$565))&gt;0)</formula>
    </cfRule>
  </conditionalFormatting>
  <conditionalFormatting sqref="W565">
    <cfRule type="expression" dxfId="1368" priority="2414">
      <formula>OR($S$565 = FALSE, AND($P$565 = FALSE, ReportType &lt;&gt; "Final"), AND($Q$565 = FALSE, ReportType &lt;&gt; "Rough"))</formula>
    </cfRule>
  </conditionalFormatting>
  <conditionalFormatting sqref="W565">
    <cfRule type="expression" dxfId="1367" priority="2413">
      <formula>OR($T$565 = TRUE, AND($W$565 = TRUE, $S$565 = FALSE))</formula>
    </cfRule>
  </conditionalFormatting>
  <conditionalFormatting sqref="W566">
    <cfRule type="expression" dxfId="1366" priority="2412">
      <formula>AND($R$566,$S$566)</formula>
    </cfRule>
  </conditionalFormatting>
  <conditionalFormatting sqref="W566">
    <cfRule type="expression" dxfId="1365" priority="2411">
      <formula>AND(IF($R$566,$W$566,TRUE),LEN(TRIM($W$566))&gt;0)</formula>
    </cfRule>
  </conditionalFormatting>
  <conditionalFormatting sqref="W566">
    <cfRule type="expression" dxfId="1364" priority="2410">
      <formula>OR($S$566 = FALSE, AND($P$566 = FALSE, ReportType &lt;&gt; "Final"), AND($Q$566 = FALSE, ReportType &lt;&gt; "Rough"))</formula>
    </cfRule>
  </conditionalFormatting>
  <conditionalFormatting sqref="W566">
    <cfRule type="expression" dxfId="1363" priority="2409">
      <formula>OR($T$566 = TRUE, AND($W$566 = TRUE, $S$566 = FALSE))</formula>
    </cfRule>
  </conditionalFormatting>
  <conditionalFormatting sqref="W567">
    <cfRule type="expression" dxfId="1362" priority="2408">
      <formula>AND($R$567,$S$567)</formula>
    </cfRule>
  </conditionalFormatting>
  <conditionalFormatting sqref="W567">
    <cfRule type="expression" dxfId="1361" priority="2407">
      <formula>AND(IF($R$567,$W$567,TRUE),LEN(TRIM($W$567))&gt;0)</formula>
    </cfRule>
  </conditionalFormatting>
  <conditionalFormatting sqref="W567">
    <cfRule type="expression" dxfId="1360" priority="2406">
      <formula>OR($S$567 = FALSE, AND($P$567 = FALSE, ReportType &lt;&gt; "Final"), AND($Q$567 = FALSE, ReportType &lt;&gt; "Rough"))</formula>
    </cfRule>
  </conditionalFormatting>
  <conditionalFormatting sqref="W567">
    <cfRule type="expression" dxfId="1359" priority="2405">
      <formula>OR($T$567 = TRUE, AND($W$567 = TRUE, $S$567 = FALSE))</formula>
    </cfRule>
  </conditionalFormatting>
  <conditionalFormatting sqref="W568">
    <cfRule type="expression" dxfId="1358" priority="2404">
      <formula>AND($R$568,$S$568)</formula>
    </cfRule>
  </conditionalFormatting>
  <conditionalFormatting sqref="W568">
    <cfRule type="expression" dxfId="1357" priority="2403">
      <formula>AND(IF($R$568,$W$568,TRUE),LEN(TRIM($W$568))&gt;0)</formula>
    </cfRule>
  </conditionalFormatting>
  <conditionalFormatting sqref="W568">
    <cfRule type="expression" dxfId="1356" priority="2402">
      <formula>OR($S$568 = FALSE, AND($P$568 = FALSE, ReportType &lt;&gt; "Final"), AND($Q$568 = FALSE, ReportType &lt;&gt; "Rough"))</formula>
    </cfRule>
  </conditionalFormatting>
  <conditionalFormatting sqref="W568">
    <cfRule type="expression" dxfId="1355" priority="2401">
      <formula>OR($T$568 = TRUE, AND($W$568 = TRUE, $S$568 = FALSE))</formula>
    </cfRule>
  </conditionalFormatting>
  <conditionalFormatting sqref="W615">
    <cfRule type="expression" dxfId="1354" priority="2400">
      <formula>AND($R$615,$S$615)</formula>
    </cfRule>
  </conditionalFormatting>
  <conditionalFormatting sqref="W615">
    <cfRule type="expression" dxfId="1353" priority="2399">
      <formula>AND(IF($R$615,$W$615,TRUE),LEN(TRIM($W$615))&gt;0)</formula>
    </cfRule>
  </conditionalFormatting>
  <conditionalFormatting sqref="W615">
    <cfRule type="expression" dxfId="1352" priority="2398">
      <formula>OR($S$615 = FALSE, AND($P$615 = FALSE, ReportType &lt;&gt; "Final"), AND($Q$615 = FALSE, ReportType &lt;&gt; "Rough"))</formula>
    </cfRule>
  </conditionalFormatting>
  <conditionalFormatting sqref="W615">
    <cfRule type="expression" dxfId="1351" priority="2397">
      <formula>OR($T$615 = TRUE, AND($W$615 = TRUE, $S$615 = FALSE))</formula>
    </cfRule>
  </conditionalFormatting>
  <conditionalFormatting sqref="W617">
    <cfRule type="expression" dxfId="1350" priority="2396">
      <formula>AND($R$617,$S$617)</formula>
    </cfRule>
  </conditionalFormatting>
  <conditionalFormatting sqref="W617">
    <cfRule type="expression" dxfId="1349" priority="2395">
      <formula>AND(IF($R$617,$W$617,TRUE),LEN(TRIM($W$617))&gt;0)</formula>
    </cfRule>
  </conditionalFormatting>
  <conditionalFormatting sqref="W617">
    <cfRule type="expression" dxfId="1348" priority="2394">
      <formula>OR($S$617 = FALSE, AND($P$617 = FALSE, ReportType &lt;&gt; "Final"), AND($Q$617 = FALSE, ReportType &lt;&gt; "Rough"))</formula>
    </cfRule>
  </conditionalFormatting>
  <conditionalFormatting sqref="W617">
    <cfRule type="expression" dxfId="1347" priority="2393">
      <formula>OR($T$617 = TRUE, AND($W$617 = TRUE, $S$617 = FALSE))</formula>
    </cfRule>
  </conditionalFormatting>
  <conditionalFormatting sqref="W618">
    <cfRule type="expression" dxfId="1346" priority="2392">
      <formula>AND($R$618,$S$618)</formula>
    </cfRule>
  </conditionalFormatting>
  <conditionalFormatting sqref="W618">
    <cfRule type="expression" dxfId="1345" priority="2391">
      <formula>AND(IF($R$618,$W$618,TRUE),LEN(TRIM($W$618))&gt;0)</formula>
    </cfRule>
  </conditionalFormatting>
  <conditionalFormatting sqref="W618">
    <cfRule type="expression" dxfId="1344" priority="2390">
      <formula>OR($S$618 = FALSE, AND($P$618 = FALSE, ReportType &lt;&gt; "Final"), AND($Q$618 = FALSE, ReportType &lt;&gt; "Rough"))</formula>
    </cfRule>
  </conditionalFormatting>
  <conditionalFormatting sqref="W618">
    <cfRule type="expression" dxfId="1343" priority="2389">
      <formula>OR($T$618 = TRUE, AND($W$618 = TRUE, $S$618 = FALSE))</formula>
    </cfRule>
  </conditionalFormatting>
  <conditionalFormatting sqref="W646">
    <cfRule type="expression" dxfId="1342" priority="2388">
      <formula>AND($R$646,$S$646)</formula>
    </cfRule>
  </conditionalFormatting>
  <conditionalFormatting sqref="W646">
    <cfRule type="expression" dxfId="1341" priority="2387">
      <formula>AND(IF($R$646,$W$646,TRUE),LEN(TRIM($W$646))&gt;0)</formula>
    </cfRule>
  </conditionalFormatting>
  <conditionalFormatting sqref="W646">
    <cfRule type="expression" dxfId="1340" priority="2386">
      <formula>OR($S$646 = FALSE, AND($P$646 = FALSE, ReportType &lt;&gt; "Final"), AND($Q$646 = FALSE, ReportType &lt;&gt; "Rough"))</formula>
    </cfRule>
  </conditionalFormatting>
  <conditionalFormatting sqref="W646">
    <cfRule type="expression" dxfId="1339" priority="2385">
      <formula>OR($T$646 = TRUE, AND($W$646 = TRUE, $S$646 = FALSE))</formula>
    </cfRule>
  </conditionalFormatting>
  <conditionalFormatting sqref="W655">
    <cfRule type="expression" dxfId="1338" priority="2384">
      <formula>AND($R$655,$S$655)</formula>
    </cfRule>
  </conditionalFormatting>
  <conditionalFormatting sqref="W655">
    <cfRule type="expression" dxfId="1337" priority="2383">
      <formula>AND(IF($R$655,$W$655,TRUE),LEN(TRIM($W$655))&gt;0)</formula>
    </cfRule>
  </conditionalFormatting>
  <conditionalFormatting sqref="W655">
    <cfRule type="expression" dxfId="1336" priority="2382">
      <formula>OR($S$655 = FALSE, AND($P$655 = FALSE, ReportType &lt;&gt; "Final"), AND($Q$655 = FALSE, ReportType &lt;&gt; "Rough"))</formula>
    </cfRule>
  </conditionalFormatting>
  <conditionalFormatting sqref="W655">
    <cfRule type="expression" dxfId="1335" priority="2381">
      <formula>OR($T$655 = TRUE, AND($W$655 = TRUE, $S$655 = FALSE))</formula>
    </cfRule>
  </conditionalFormatting>
  <conditionalFormatting sqref="W662">
    <cfRule type="expression" dxfId="1334" priority="2380">
      <formula>AND($R$662,$S$662)</formula>
    </cfRule>
  </conditionalFormatting>
  <conditionalFormatting sqref="W662">
    <cfRule type="expression" dxfId="1333" priority="2379">
      <formula>AND(IF($R$662,$W$662,TRUE),LEN(TRIM($W$662))&gt;0)</formula>
    </cfRule>
  </conditionalFormatting>
  <conditionalFormatting sqref="W662">
    <cfRule type="expression" dxfId="1332" priority="2378">
      <formula>OR($S$662 = FALSE, AND($P$662 = FALSE, ReportType &lt;&gt; "Final"), AND($Q$662 = FALSE, ReportType &lt;&gt; "Rough"))</formula>
    </cfRule>
  </conditionalFormatting>
  <conditionalFormatting sqref="W662">
    <cfRule type="expression" dxfId="1331" priority="2377">
      <formula>OR($T$662 = TRUE, AND($W$662 = TRUE, $S$662 = FALSE))</formula>
    </cfRule>
  </conditionalFormatting>
  <conditionalFormatting sqref="W718">
    <cfRule type="expression" dxfId="1330" priority="2376">
      <formula>AND($R$718,$S$718)</formula>
    </cfRule>
  </conditionalFormatting>
  <conditionalFormatting sqref="W718">
    <cfRule type="expression" dxfId="1329" priority="2375">
      <formula>AND(IF($R$718,$W$718,TRUE),LEN(TRIM($W$718))&gt;0)</formula>
    </cfRule>
  </conditionalFormatting>
  <conditionalFormatting sqref="W718">
    <cfRule type="expression" dxfId="1328" priority="2374">
      <formula>OR($S$718 = FALSE, AND($P$718 = FALSE, ReportType &lt;&gt; "Final"), AND($Q$718 = FALSE, ReportType &lt;&gt; "Rough"))</formula>
    </cfRule>
  </conditionalFormatting>
  <conditionalFormatting sqref="W718">
    <cfRule type="expression" dxfId="1327" priority="2373">
      <formula>OR($T$718 = TRUE, AND($W$718 = TRUE, $S$718 = FALSE))</formula>
    </cfRule>
  </conditionalFormatting>
  <conditionalFormatting sqref="W719">
    <cfRule type="expression" dxfId="1326" priority="2372">
      <formula>AND($R$719,$S$719)</formula>
    </cfRule>
  </conditionalFormatting>
  <conditionalFormatting sqref="W719">
    <cfRule type="expression" dxfId="1325" priority="2371">
      <formula>AND(IF($R$719,$W$719,TRUE),LEN(TRIM($W$719))&gt;0)</formula>
    </cfRule>
  </conditionalFormatting>
  <conditionalFormatting sqref="W719">
    <cfRule type="expression" dxfId="1324" priority="2370">
      <formula>OR($S$719 = FALSE, AND($P$719 = FALSE, ReportType &lt;&gt; "Final"), AND($Q$719 = FALSE, ReportType &lt;&gt; "Rough"))</formula>
    </cfRule>
  </conditionalFormatting>
  <conditionalFormatting sqref="W719">
    <cfRule type="expression" dxfId="1323" priority="2369">
      <formula>OR($T$719 = TRUE, AND($W$719 = TRUE, $S$719 = FALSE))</formula>
    </cfRule>
  </conditionalFormatting>
  <conditionalFormatting sqref="W721">
    <cfRule type="expression" dxfId="1322" priority="2368">
      <formula>AND($R$721,$S$721)</formula>
    </cfRule>
  </conditionalFormatting>
  <conditionalFormatting sqref="W721">
    <cfRule type="expression" dxfId="1321" priority="2367">
      <formula>AND(IF($R$721,$W$721,TRUE),LEN(TRIM($W$721))&gt;0)</formula>
    </cfRule>
  </conditionalFormatting>
  <conditionalFormatting sqref="W721">
    <cfRule type="expression" dxfId="1320" priority="2366">
      <formula>OR($S$721 = FALSE, AND($P$721 = FALSE, ReportType &lt;&gt; "Final"), AND($Q$721 = FALSE, ReportType &lt;&gt; "Rough"))</formula>
    </cfRule>
  </conditionalFormatting>
  <conditionalFormatting sqref="W721">
    <cfRule type="expression" dxfId="1319" priority="2365">
      <formula>OR($T$721 = TRUE, AND($W$721 = TRUE, $S$721 = FALSE))</formula>
    </cfRule>
  </conditionalFormatting>
  <conditionalFormatting sqref="W720">
    <cfRule type="expression" dxfId="1318" priority="2364">
      <formula>AND($R$720,$S$720)</formula>
    </cfRule>
  </conditionalFormatting>
  <conditionalFormatting sqref="W720">
    <cfRule type="expression" dxfId="1317" priority="2363">
      <formula>AND(IF($R$720,$W$720,TRUE),LEN(TRIM($W$720))&gt;0)</formula>
    </cfRule>
  </conditionalFormatting>
  <conditionalFormatting sqref="W720">
    <cfRule type="expression" dxfId="1316" priority="2362">
      <formula>OR($S$720 = FALSE, AND($P$720 = FALSE, ReportType &lt;&gt; "Final"), AND($Q$720 = FALSE, ReportType &lt;&gt; "Rough"))</formula>
    </cfRule>
  </conditionalFormatting>
  <conditionalFormatting sqref="W720">
    <cfRule type="expression" dxfId="1315" priority="2361">
      <formula>OR($T$720 = TRUE, AND($W$720 = TRUE, $S$720 = FALSE))</formula>
    </cfRule>
  </conditionalFormatting>
  <conditionalFormatting sqref="W722">
    <cfRule type="expression" dxfId="1314" priority="2360">
      <formula>AND($R$722,$S$722)</formula>
    </cfRule>
  </conditionalFormatting>
  <conditionalFormatting sqref="W722">
    <cfRule type="expression" dxfId="1313" priority="2359">
      <formula>AND(IF($R$722,$W$722,TRUE),LEN(TRIM($W$722))&gt;0)</formula>
    </cfRule>
  </conditionalFormatting>
  <conditionalFormatting sqref="W722">
    <cfRule type="expression" dxfId="1312" priority="2358">
      <formula>OR($S$722 = FALSE, AND($P$722 = FALSE, ReportType &lt;&gt; "Final"), AND($Q$722 = FALSE, ReportType &lt;&gt; "Rough"))</formula>
    </cfRule>
  </conditionalFormatting>
  <conditionalFormatting sqref="W722">
    <cfRule type="expression" dxfId="1311" priority="2357">
      <formula>OR($T$722 = TRUE, AND($W$722 = TRUE, $S$722 = FALSE))</formula>
    </cfRule>
  </conditionalFormatting>
  <conditionalFormatting sqref="W723">
    <cfRule type="expression" dxfId="1310" priority="2356">
      <formula>AND($R$723,$S$723)</formula>
    </cfRule>
  </conditionalFormatting>
  <conditionalFormatting sqref="W723">
    <cfRule type="expression" dxfId="1309" priority="2355">
      <formula>AND(IF($R$723,$W$723,TRUE),LEN(TRIM($W$723))&gt;0)</formula>
    </cfRule>
  </conditionalFormatting>
  <conditionalFormatting sqref="W723">
    <cfRule type="expression" dxfId="1308" priority="2354">
      <formula>OR($S$723 = FALSE, AND($P$723 = FALSE, ReportType &lt;&gt; "Final"), AND($Q$723 = FALSE, ReportType &lt;&gt; "Rough"))</formula>
    </cfRule>
  </conditionalFormatting>
  <conditionalFormatting sqref="W723">
    <cfRule type="expression" dxfId="1307" priority="2353">
      <formula>OR($T$723 = TRUE, AND($W$723 = TRUE, $S$723 = FALSE))</formula>
    </cfRule>
  </conditionalFormatting>
  <conditionalFormatting sqref="W724">
    <cfRule type="expression" dxfId="1306" priority="2352">
      <formula>AND($R$724,$S$724)</formula>
    </cfRule>
  </conditionalFormatting>
  <conditionalFormatting sqref="W724">
    <cfRule type="expression" dxfId="1305" priority="2351">
      <formula>AND(IF($R$724,$W$724,TRUE),LEN(TRIM($W$724))&gt;0)</formula>
    </cfRule>
  </conditionalFormatting>
  <conditionalFormatting sqref="W724">
    <cfRule type="expression" dxfId="1304" priority="2350">
      <formula>OR($S$724 = FALSE, AND($P$724 = FALSE, ReportType &lt;&gt; "Final"), AND($Q$724 = FALSE, ReportType &lt;&gt; "Rough"))</formula>
    </cfRule>
  </conditionalFormatting>
  <conditionalFormatting sqref="W724">
    <cfRule type="expression" dxfId="1303" priority="2349">
      <formula>OR($T$724 = TRUE, AND($W$724 = TRUE, $S$724 = FALSE))</formula>
    </cfRule>
  </conditionalFormatting>
  <conditionalFormatting sqref="W728">
    <cfRule type="expression" dxfId="1302" priority="2348">
      <formula>AND($R$728,$S$728)</formula>
    </cfRule>
  </conditionalFormatting>
  <conditionalFormatting sqref="W728">
    <cfRule type="expression" dxfId="1301" priority="2347">
      <formula>AND(IF($R$728,$W$728,TRUE),LEN(TRIM($W$728))&gt;0)</formula>
    </cfRule>
  </conditionalFormatting>
  <conditionalFormatting sqref="W728">
    <cfRule type="expression" dxfId="1300" priority="2346">
      <formula>OR($S$728 = FALSE, AND($P$728 = FALSE, ReportType &lt;&gt; "Final"), AND($Q$728 = FALSE, ReportType &lt;&gt; "Rough"))</formula>
    </cfRule>
  </conditionalFormatting>
  <conditionalFormatting sqref="W728">
    <cfRule type="expression" dxfId="1299" priority="2345">
      <formula>OR($T$728 = TRUE, AND($W$728 = TRUE, $S$728 = FALSE))</formula>
    </cfRule>
  </conditionalFormatting>
  <conditionalFormatting sqref="W733">
    <cfRule type="expression" dxfId="1298" priority="2344">
      <formula>AND($R$733,$S$733)</formula>
    </cfRule>
  </conditionalFormatting>
  <conditionalFormatting sqref="W733">
    <cfRule type="expression" dxfId="1297" priority="2343">
      <formula>AND(IF($R$733,$W$733,TRUE),LEN(TRIM($W$733))&gt;0)</formula>
    </cfRule>
  </conditionalFormatting>
  <conditionalFormatting sqref="W733">
    <cfRule type="expression" dxfId="1296" priority="2342">
      <formula>OR($S$733 = FALSE, AND($P$733 = FALSE, ReportType &lt;&gt; "Final"), AND($Q$733 = FALSE, ReportType &lt;&gt; "Rough"))</formula>
    </cfRule>
  </conditionalFormatting>
  <conditionalFormatting sqref="W733">
    <cfRule type="expression" dxfId="1295" priority="2341">
      <formula>OR($T$733 = TRUE, AND($W$733 = TRUE, $S$733 = FALSE))</formula>
    </cfRule>
  </conditionalFormatting>
  <conditionalFormatting sqref="W737">
    <cfRule type="expression" dxfId="1294" priority="2340">
      <formula>AND($R$737,$S$737)</formula>
    </cfRule>
  </conditionalFormatting>
  <conditionalFormatting sqref="W737">
    <cfRule type="expression" dxfId="1293" priority="2339">
      <formula>AND(IF($R$737,$W$737,TRUE),LEN(TRIM($W$737))&gt;0)</formula>
    </cfRule>
  </conditionalFormatting>
  <conditionalFormatting sqref="W737">
    <cfRule type="expression" dxfId="1292" priority="2338">
      <formula>OR($S$737 = FALSE, AND($P$737 = FALSE, ReportType &lt;&gt; "Final"), AND($Q$737 = FALSE, ReportType &lt;&gt; "Rough"))</formula>
    </cfRule>
  </conditionalFormatting>
  <conditionalFormatting sqref="W737">
    <cfRule type="expression" dxfId="1291" priority="2337">
      <formula>OR($T$737 = TRUE, AND($W$737 = TRUE, $S$737 = FALSE))</formula>
    </cfRule>
  </conditionalFormatting>
  <conditionalFormatting sqref="W739">
    <cfRule type="expression" dxfId="1290" priority="2336">
      <formula>AND($R$739,$S$739)</formula>
    </cfRule>
  </conditionalFormatting>
  <conditionalFormatting sqref="W739">
    <cfRule type="expression" dxfId="1289" priority="2335">
      <formula>AND(IF($R$739,$W$739,TRUE),LEN(TRIM($W$739))&gt;0)</formula>
    </cfRule>
  </conditionalFormatting>
  <conditionalFormatting sqref="W739">
    <cfRule type="expression" dxfId="1288" priority="2334">
      <formula>OR($S$739 = FALSE, AND($P$739 = FALSE, ReportType &lt;&gt; "Final"), AND($Q$739 = FALSE, ReportType &lt;&gt; "Rough"))</formula>
    </cfRule>
  </conditionalFormatting>
  <conditionalFormatting sqref="W739">
    <cfRule type="expression" dxfId="1287" priority="2333">
      <formula>OR($T$739 = TRUE, AND($W$739 = TRUE, $S$739 = FALSE))</formula>
    </cfRule>
  </conditionalFormatting>
  <conditionalFormatting sqref="W741">
    <cfRule type="expression" dxfId="1286" priority="2332">
      <formula>AND($R$741,$S$741)</formula>
    </cfRule>
  </conditionalFormatting>
  <conditionalFormatting sqref="W741">
    <cfRule type="expression" dxfId="1285" priority="2331">
      <formula>AND(IF($R$741,$W$741,TRUE),LEN(TRIM($W$741))&gt;0)</formula>
    </cfRule>
  </conditionalFormatting>
  <conditionalFormatting sqref="W741">
    <cfRule type="expression" dxfId="1284" priority="2330">
      <formula>OR($S$741 = FALSE, AND($P$741 = FALSE, ReportType &lt;&gt; "Final"), AND($Q$741 = FALSE, ReportType &lt;&gt; "Rough"))</formula>
    </cfRule>
  </conditionalFormatting>
  <conditionalFormatting sqref="W741">
    <cfRule type="expression" dxfId="1283" priority="2329">
      <formula>OR($T$741 = TRUE, AND($W$741 = TRUE, $S$741 = FALSE))</formula>
    </cfRule>
  </conditionalFormatting>
  <conditionalFormatting sqref="W742">
    <cfRule type="expression" dxfId="1282" priority="2328">
      <formula>AND($R$742,$S$742)</formula>
    </cfRule>
  </conditionalFormatting>
  <conditionalFormatting sqref="W742">
    <cfRule type="expression" dxfId="1281" priority="2327">
      <formula>AND(IF($R$742,$W$742,TRUE),LEN(TRIM($W$742))&gt;0)</formula>
    </cfRule>
  </conditionalFormatting>
  <conditionalFormatting sqref="W742">
    <cfRule type="expression" dxfId="1280" priority="2326">
      <formula>OR($S$742 = FALSE, AND($P$742 = FALSE, ReportType &lt;&gt; "Final"), AND($Q$742 = FALSE, ReportType &lt;&gt; "Rough"))</formula>
    </cfRule>
  </conditionalFormatting>
  <conditionalFormatting sqref="W742">
    <cfRule type="expression" dxfId="1279" priority="2325">
      <formula>OR($T$742 = TRUE, AND($W$742 = TRUE, $S$742 = FALSE))</formula>
    </cfRule>
  </conditionalFormatting>
  <conditionalFormatting sqref="W743">
    <cfRule type="expression" dxfId="1278" priority="2324">
      <formula>AND($R$743,$S$743)</formula>
    </cfRule>
  </conditionalFormatting>
  <conditionalFormatting sqref="W743">
    <cfRule type="expression" dxfId="1277" priority="2323">
      <formula>AND(IF($R$743,$W$743,TRUE),LEN(TRIM($W$743))&gt;0)</formula>
    </cfRule>
  </conditionalFormatting>
  <conditionalFormatting sqref="W743">
    <cfRule type="expression" dxfId="1276" priority="2322">
      <formula>OR($S$743 = FALSE, AND($P$743 = FALSE, ReportType &lt;&gt; "Final"), AND($Q$743 = FALSE, ReportType &lt;&gt; "Rough"))</formula>
    </cfRule>
  </conditionalFormatting>
  <conditionalFormatting sqref="W743">
    <cfRule type="expression" dxfId="1275" priority="2321">
      <formula>OR($T$743 = TRUE, AND($W$743 = TRUE, $S$743 = FALSE))</formula>
    </cfRule>
  </conditionalFormatting>
  <conditionalFormatting sqref="W747">
    <cfRule type="expression" dxfId="1274" priority="2320">
      <formula>AND($R$747,$S$747)</formula>
    </cfRule>
  </conditionalFormatting>
  <conditionalFormatting sqref="W747">
    <cfRule type="expression" dxfId="1273" priority="2319">
      <formula>AND(IF($R$747,$W$747,TRUE),LEN(TRIM($W$747))&gt;0)</formula>
    </cfRule>
  </conditionalFormatting>
  <conditionalFormatting sqref="W747">
    <cfRule type="expression" dxfId="1272" priority="2318">
      <formula>OR($S$747 = FALSE, AND($P$747 = FALSE, ReportType &lt;&gt; "Final"), AND($Q$747 = FALSE, ReportType &lt;&gt; "Rough"))</formula>
    </cfRule>
  </conditionalFormatting>
  <conditionalFormatting sqref="W747">
    <cfRule type="expression" dxfId="1271" priority="2317">
      <formula>OR($T$747 = TRUE, AND($W$747 = TRUE, $S$747 = FALSE))</formula>
    </cfRule>
  </conditionalFormatting>
  <conditionalFormatting sqref="W749">
    <cfRule type="expression" dxfId="1270" priority="2316">
      <formula>AND($R$749,$S$749)</formula>
    </cfRule>
  </conditionalFormatting>
  <conditionalFormatting sqref="W749">
    <cfRule type="expression" dxfId="1269" priority="2315">
      <formula>AND(IF($R$749,$W$749,TRUE),LEN(TRIM($W$749))&gt;0)</formula>
    </cfRule>
  </conditionalFormatting>
  <conditionalFormatting sqref="W749">
    <cfRule type="expression" dxfId="1268" priority="2314">
      <formula>OR($S$749 = FALSE, AND($P$749 = FALSE, ReportType &lt;&gt; "Final"), AND($Q$749 = FALSE, ReportType &lt;&gt; "Rough"))</formula>
    </cfRule>
  </conditionalFormatting>
  <conditionalFormatting sqref="W749">
    <cfRule type="expression" dxfId="1267" priority="2313">
      <formula>OR($T$749 = TRUE, AND($W$749 = TRUE, $S$749 = FALSE))</formula>
    </cfRule>
  </conditionalFormatting>
  <conditionalFormatting sqref="M777">
    <cfRule type="expression" dxfId="1266" priority="2306">
      <formula>NOT(AE777)</formula>
    </cfRule>
  </conditionalFormatting>
  <conditionalFormatting sqref="M793">
    <cfRule type="expression" dxfId="1265" priority="2307">
      <formula>S776=1</formula>
    </cfRule>
  </conditionalFormatting>
  <conditionalFormatting sqref="X795:X797">
    <cfRule type="expression" dxfId="1264" priority="2293">
      <formula>W795</formula>
    </cfRule>
  </conditionalFormatting>
  <conditionalFormatting sqref="W909">
    <cfRule type="expression" dxfId="1263" priority="2260">
      <formula>AND(R909,S909)</formula>
    </cfRule>
  </conditionalFormatting>
  <conditionalFormatting sqref="W909">
    <cfRule type="expression" dxfId="1262" priority="2259">
      <formula>NOT(ISBLANK(W909))</formula>
    </cfRule>
  </conditionalFormatting>
  <conditionalFormatting sqref="W909">
    <cfRule type="expression" dxfId="1261" priority="2258">
      <formula>OR(S909 = FALSE, AND(P909 = FALSE, ReportType &lt;&gt; "Final"), AND(Q909 = FALSE, ReportType &lt;&gt; "Rough"))</formula>
    </cfRule>
  </conditionalFormatting>
  <conditionalFormatting sqref="W909">
    <cfRule type="expression" dxfId="1260" priority="2257">
      <formula>OR(T909 = TRUE, AND(W909 = TRUE, S909 = FALSE))</formula>
    </cfRule>
  </conditionalFormatting>
  <conditionalFormatting sqref="W941">
    <cfRule type="expression" dxfId="1259" priority="2212">
      <formula>AND(R941,S941)</formula>
    </cfRule>
  </conditionalFormatting>
  <conditionalFormatting sqref="W941">
    <cfRule type="expression" dxfId="1258" priority="2211">
      <formula>NOT(ISBLANK(W941))</formula>
    </cfRule>
  </conditionalFormatting>
  <conditionalFormatting sqref="W941">
    <cfRule type="expression" dxfId="1257" priority="2210">
      <formula>OR(S941 = FALSE, AND(P941 = FALSE, ReportType &lt;&gt; "Final"), AND(Q941 = FALSE, ReportType &lt;&gt; "Rough"))</formula>
    </cfRule>
  </conditionalFormatting>
  <conditionalFormatting sqref="W941">
    <cfRule type="expression" dxfId="1256" priority="2209">
      <formula>OR(T941 = TRUE, AND(W941 = TRUE, S941 = FALSE))</formula>
    </cfRule>
  </conditionalFormatting>
  <conditionalFormatting sqref="W947">
    <cfRule type="expression" dxfId="1255" priority="2208">
      <formula>AND(R947,S947)</formula>
    </cfRule>
  </conditionalFormatting>
  <conditionalFormatting sqref="W947">
    <cfRule type="expression" dxfId="1254" priority="2207">
      <formula>NOT(ISBLANK(W947))</formula>
    </cfRule>
  </conditionalFormatting>
  <conditionalFormatting sqref="W947">
    <cfRule type="expression" dxfId="1253" priority="2206">
      <formula>OR(S947 = FALSE, AND(P947 = FALSE, ReportType &lt;&gt; "Final"), AND(Q947 = FALSE, ReportType &lt;&gt; "Rough"))</formula>
    </cfRule>
  </conditionalFormatting>
  <conditionalFormatting sqref="W947">
    <cfRule type="expression" dxfId="1252" priority="2205">
      <formula>OR(T947 = TRUE, AND(W947 = TRUE, S947 = FALSE))</formula>
    </cfRule>
  </conditionalFormatting>
  <conditionalFormatting sqref="W1371">
    <cfRule type="expression" dxfId="1251" priority="2128">
      <formula>AND(R1371,S1371)</formula>
    </cfRule>
  </conditionalFormatting>
  <conditionalFormatting sqref="W1371">
    <cfRule type="expression" dxfId="1250" priority="2127">
      <formula>AND(S1371,LEN(TRIM(W1371))&gt;0)</formula>
    </cfRule>
  </conditionalFormatting>
  <conditionalFormatting sqref="W1371">
    <cfRule type="expression" dxfId="1249" priority="2126">
      <formula>OR(S1371 = FALSE, AND(P1371 = FALSE, ReportType &lt;&gt; "Final"), AND(Q1371 = FALSE, ReportType &lt;&gt; "Rough"))</formula>
    </cfRule>
  </conditionalFormatting>
  <conditionalFormatting sqref="W1371">
    <cfRule type="expression" dxfId="1248" priority="2125">
      <formula>OR(T1371 = TRUE, AND(W1371 &gt; 0, S1371 = FALSE))</formula>
    </cfRule>
  </conditionalFormatting>
  <conditionalFormatting sqref="W1217">
    <cfRule type="expression" dxfId="1247" priority="2104">
      <formula>AND(R1217,S1217)</formula>
    </cfRule>
  </conditionalFormatting>
  <conditionalFormatting sqref="W1217">
    <cfRule type="expression" dxfId="1246" priority="2103">
      <formula>AND(IF(S1217,W1217,TRUE),LEN(TRIM(W1217))&gt;0)</formula>
    </cfRule>
  </conditionalFormatting>
  <conditionalFormatting sqref="W1217">
    <cfRule type="expression" dxfId="1245" priority="2102">
      <formula>OR(S1217 = FALSE, AND(P1217 = FALSE, ReportType &lt;&gt; "Final"), AND(Q1217 = FALSE, ReportType &lt;&gt; "Rough"))</formula>
    </cfRule>
  </conditionalFormatting>
  <conditionalFormatting sqref="W1217">
    <cfRule type="expression" dxfId="1244" priority="2101">
      <formula>OR(T1217 = TRUE, AND(W1217 = TRUE, S1217 = FALSE))</formula>
    </cfRule>
  </conditionalFormatting>
  <conditionalFormatting sqref="X1288">
    <cfRule type="expression" dxfId="1243" priority="2052">
      <formula>W1288=TRUE</formula>
    </cfRule>
  </conditionalFormatting>
  <conditionalFormatting sqref="X1291">
    <cfRule type="expression" dxfId="1242" priority="2047">
      <formula>W1291=TRUE</formula>
    </cfRule>
  </conditionalFormatting>
  <conditionalFormatting sqref="W1253">
    <cfRule type="expression" dxfId="1241" priority="1954">
      <formula>AND(R1253,S1253)</formula>
    </cfRule>
  </conditionalFormatting>
  <conditionalFormatting sqref="W1253">
    <cfRule type="expression" dxfId="1240" priority="1953">
      <formula>AND(S1253,LEN(TRIM(W1253))&gt;0)</formula>
    </cfRule>
  </conditionalFormatting>
  <conditionalFormatting sqref="W1253">
    <cfRule type="expression" dxfId="1239" priority="1952">
      <formula>OR(S1253 = FALSE, AND(P1253 = FALSE, ReportType &lt;&gt; "Final"), AND(Q1253 = FALSE, ReportType &lt;&gt; "Rough"))</formula>
    </cfRule>
  </conditionalFormatting>
  <conditionalFormatting sqref="W1253">
    <cfRule type="expression" dxfId="1238" priority="1951">
      <formula>OR(T1253 = TRUE, AND(W1253 &gt; 0, S1253 = FALSE))</formula>
    </cfRule>
  </conditionalFormatting>
  <conditionalFormatting sqref="W1110">
    <cfRule type="expression" dxfId="1237" priority="1946">
      <formula>AND(R1110,S1110)</formula>
    </cfRule>
  </conditionalFormatting>
  <conditionalFormatting sqref="W1110">
    <cfRule type="expression" dxfId="1236" priority="1945">
      <formula>AND(R1110,LEN(TRIM(W1110))&gt;0)</formula>
    </cfRule>
  </conditionalFormatting>
  <conditionalFormatting sqref="W1110">
    <cfRule type="expression" dxfId="1235" priority="1944">
      <formula>OR(S1110 = FALSE, AND(P1110 = FALSE, ReportType &lt;&gt; "Final"), AND(Q1110 = FALSE, ReportType &lt;&gt; "Rough"))</formula>
    </cfRule>
  </conditionalFormatting>
  <conditionalFormatting sqref="W1110">
    <cfRule type="expression" dxfId="1234" priority="1943">
      <formula>OR(T1110 = TRUE, AND(W1110 &gt; 0, S1110 = FALSE))</formula>
    </cfRule>
  </conditionalFormatting>
  <conditionalFormatting sqref="W1089">
    <cfRule type="expression" dxfId="1233" priority="1926">
      <formula>AND(R1089,S1089)</formula>
    </cfRule>
  </conditionalFormatting>
  <conditionalFormatting sqref="W1089">
    <cfRule type="expression" dxfId="1232" priority="1925">
      <formula>AND(S1089,LEN(TRIM(W1089))&gt;0)</formula>
    </cfRule>
  </conditionalFormatting>
  <conditionalFormatting sqref="W1089">
    <cfRule type="expression" dxfId="1231" priority="1924">
      <formula>OR(S1089 = FALSE, AND(P1089 = FALSE, ReportType &lt;&gt; "Final"), AND(Q1089 = FALSE, ReportType &lt;&gt; "Rough"))</formula>
    </cfRule>
  </conditionalFormatting>
  <conditionalFormatting sqref="W1089">
    <cfRule type="expression" dxfId="1230" priority="1923">
      <formula>OR(T1089 = TRUE, AND(W1089 &gt; 0, S1089 = FALSE))</formula>
    </cfRule>
  </conditionalFormatting>
  <conditionalFormatting sqref="W835">
    <cfRule type="expression" dxfId="1229" priority="1898">
      <formula>AND(R835,S835)</formula>
    </cfRule>
  </conditionalFormatting>
  <conditionalFormatting sqref="W835">
    <cfRule type="expression" dxfId="1228" priority="1897">
      <formula>NOT(ISBLANK(W835))</formula>
    </cfRule>
  </conditionalFormatting>
  <conditionalFormatting sqref="W835">
    <cfRule type="expression" dxfId="1227" priority="1896">
      <formula>OR(S835 = FALSE, AND(P835 = FALSE, ReportType &lt;&gt; "Final"), AND(Q835 = FALSE, ReportType &lt;&gt; "Rough"))</formula>
    </cfRule>
  </conditionalFormatting>
  <conditionalFormatting sqref="W835">
    <cfRule type="expression" dxfId="1226" priority="1895">
      <formula>OR(T835 = TRUE, AND(W835 = TRUE, S835 = FALSE))</formula>
    </cfRule>
  </conditionalFormatting>
  <conditionalFormatting sqref="W1287">
    <cfRule type="expression" dxfId="1225" priority="1894">
      <formula>AND(R1287,S1287)</formula>
    </cfRule>
  </conditionalFormatting>
  <conditionalFormatting sqref="W1287">
    <cfRule type="expression" dxfId="1224" priority="1893">
      <formula>NOT(ISBLANK(W1287))</formula>
    </cfRule>
  </conditionalFormatting>
  <conditionalFormatting sqref="W1287">
    <cfRule type="expression" dxfId="1223" priority="1892">
      <formula>OR(S1287 = FALSE, AND(P1287 = FALSE, ReportType &lt;&gt; "Final"), AND(Q1287 = FALSE, ReportType &lt;&gt; "Rough"))</formula>
    </cfRule>
  </conditionalFormatting>
  <conditionalFormatting sqref="W1287">
    <cfRule type="expression" dxfId="1222" priority="1891">
      <formula>OR(T1287 = TRUE, AND(W1287 = TRUE, S1287 = FALSE))</formula>
    </cfRule>
  </conditionalFormatting>
  <conditionalFormatting sqref="W1007">
    <cfRule type="expression" dxfId="1221" priority="1861">
      <formula>AND(R1007,S1007)</formula>
    </cfRule>
  </conditionalFormatting>
  <conditionalFormatting sqref="W1007">
    <cfRule type="expression" dxfId="1220" priority="1860">
      <formula>NOT(ISBLANK(W1007))</formula>
    </cfRule>
  </conditionalFormatting>
  <conditionalFormatting sqref="W1007">
    <cfRule type="expression" dxfId="1219" priority="1859">
      <formula>OR(S1007 = FALSE, AND(P1007 = FALSE, ReportType &lt;&gt; "Final"), AND(Q1007 = FALSE, ReportType &lt;&gt; "Rough"))</formula>
    </cfRule>
  </conditionalFormatting>
  <conditionalFormatting sqref="W1007">
    <cfRule type="expression" dxfId="1218" priority="1858">
      <formula>OR(T1007 = TRUE, AND(W1007 = TRUE, S1007 = FALSE))</formula>
    </cfRule>
  </conditionalFormatting>
  <conditionalFormatting sqref="W1013">
    <cfRule type="expression" dxfId="1217" priority="1857">
      <formula>AND(R1013,S1013)</formula>
    </cfRule>
  </conditionalFormatting>
  <conditionalFormatting sqref="W1013">
    <cfRule type="expression" dxfId="1216" priority="1856">
      <formula>NOT(ISBLANK(W1013))</formula>
    </cfRule>
  </conditionalFormatting>
  <conditionalFormatting sqref="W1013">
    <cfRule type="expression" dxfId="1215" priority="1855">
      <formula>OR(S1013 = FALSE, AND(P1013 = FALSE, ReportType &lt;&gt; "Final"), AND(Q1013 = FALSE, ReportType &lt;&gt; "Rough"))</formula>
    </cfRule>
  </conditionalFormatting>
  <conditionalFormatting sqref="W1013">
    <cfRule type="expression" dxfId="1214" priority="1854">
      <formula>OR(T1013 = TRUE, AND(W1013 = TRUE, S1013 = FALSE))</formula>
    </cfRule>
  </conditionalFormatting>
  <conditionalFormatting sqref="W1016">
    <cfRule type="expression" dxfId="1213" priority="1853">
      <formula>AND(R1016,S1016)</formula>
    </cfRule>
  </conditionalFormatting>
  <conditionalFormatting sqref="W1016">
    <cfRule type="expression" dxfId="1212" priority="1852">
      <formula>NOT(ISBLANK(W1016))</formula>
    </cfRule>
  </conditionalFormatting>
  <conditionalFormatting sqref="W1016">
    <cfRule type="expression" dxfId="1211" priority="1851">
      <formula>OR(S1016 = FALSE, AND(P1016 = FALSE, ReportType &lt;&gt; "Final"), AND(Q1016 = FALSE, ReportType &lt;&gt; "Rough"))</formula>
    </cfRule>
  </conditionalFormatting>
  <conditionalFormatting sqref="W1016">
    <cfRule type="expression" dxfId="1210" priority="1850">
      <formula>OR(T1016 = TRUE, AND(W1016 = TRUE, S1016 = FALSE))</formula>
    </cfRule>
  </conditionalFormatting>
  <conditionalFormatting sqref="W1021">
    <cfRule type="expression" dxfId="1209" priority="1849">
      <formula>AND(R1021,S1021)</formula>
    </cfRule>
  </conditionalFormatting>
  <conditionalFormatting sqref="W1021">
    <cfRule type="expression" dxfId="1208" priority="1848">
      <formula>NOT(ISBLANK(W1021))</formula>
    </cfRule>
  </conditionalFormatting>
  <conditionalFormatting sqref="W1021">
    <cfRule type="expression" dxfId="1207" priority="1847">
      <formula>OR(S1021 = FALSE, AND(P1021 = FALSE, ReportType &lt;&gt; "Final"), AND(Q1021 = FALSE, ReportType &lt;&gt; "Rough"))</formula>
    </cfRule>
  </conditionalFormatting>
  <conditionalFormatting sqref="W1021">
    <cfRule type="expression" dxfId="1206" priority="1846">
      <formula>OR(T1021 = TRUE, AND(W1021 = TRUE, S1021 = FALSE))</formula>
    </cfRule>
  </conditionalFormatting>
  <conditionalFormatting sqref="W1027">
    <cfRule type="expression" dxfId="1205" priority="1845">
      <formula>AND(R1027,S1027)</formula>
    </cfRule>
  </conditionalFormatting>
  <conditionalFormatting sqref="W1027">
    <cfRule type="expression" dxfId="1204" priority="1844">
      <formula>NOT(ISBLANK(W1027))</formula>
    </cfRule>
  </conditionalFormatting>
  <conditionalFormatting sqref="W1027">
    <cfRule type="expression" dxfId="1203" priority="1843">
      <formula>OR(S1027 = FALSE, AND(P1027 = FALSE, ReportType &lt;&gt; "Final"), AND(Q1027 = FALSE, ReportType &lt;&gt; "Rough"))</formula>
    </cfRule>
  </conditionalFormatting>
  <conditionalFormatting sqref="W1027">
    <cfRule type="expression" dxfId="1202" priority="1842">
      <formula>OR(T1027 = TRUE, AND(W1027 = TRUE, S1027 = FALSE))</formula>
    </cfRule>
  </conditionalFormatting>
  <conditionalFormatting sqref="W1031">
    <cfRule type="expression" dxfId="1201" priority="1841">
      <formula>AND(R1031,S1031)</formula>
    </cfRule>
  </conditionalFormatting>
  <conditionalFormatting sqref="W1031">
    <cfRule type="expression" dxfId="1200" priority="1840">
      <formula>NOT(ISBLANK(W1031))</formula>
    </cfRule>
  </conditionalFormatting>
  <conditionalFormatting sqref="W1031">
    <cfRule type="expression" dxfId="1199" priority="1839">
      <formula>OR(S1031 = FALSE, AND(P1031 = FALSE, ReportType &lt;&gt; "Final"), AND(Q1031 = FALSE, ReportType &lt;&gt; "Rough"))</formula>
    </cfRule>
  </conditionalFormatting>
  <conditionalFormatting sqref="W1031">
    <cfRule type="expression" dxfId="1198" priority="1838">
      <formula>OR(T1031 = TRUE, AND(W1031 = TRUE, S1031 = FALSE))</formula>
    </cfRule>
  </conditionalFormatting>
  <conditionalFormatting sqref="W1036">
    <cfRule type="expression" dxfId="1197" priority="1837">
      <formula>AND(R1036,S1036)</formula>
    </cfRule>
  </conditionalFormatting>
  <conditionalFormatting sqref="W1036">
    <cfRule type="expression" dxfId="1196" priority="1836">
      <formula>NOT(ISBLANK(W1036))</formula>
    </cfRule>
  </conditionalFormatting>
  <conditionalFormatting sqref="W1036">
    <cfRule type="expression" dxfId="1195" priority="1835">
      <formula>OR(S1036 = FALSE, AND(P1036 = FALSE, ReportType &lt;&gt; "Final"), AND(Q1036 = FALSE, ReportType &lt;&gt; "Rough"))</formula>
    </cfRule>
  </conditionalFormatting>
  <conditionalFormatting sqref="W1036">
    <cfRule type="expression" dxfId="1194" priority="1834">
      <formula>OR(T1036 = TRUE, AND(W1036 = TRUE, S1036 = FALSE))</formula>
    </cfRule>
  </conditionalFormatting>
  <conditionalFormatting sqref="W1042">
    <cfRule type="expression" dxfId="1193" priority="1833">
      <formula>AND(R1042,S1042)</formula>
    </cfRule>
  </conditionalFormatting>
  <conditionalFormatting sqref="W1042">
    <cfRule type="expression" dxfId="1192" priority="1832">
      <formula>NOT(ISBLANK(W1042))</formula>
    </cfRule>
  </conditionalFormatting>
  <conditionalFormatting sqref="W1042">
    <cfRule type="expression" dxfId="1191" priority="1831">
      <formula>OR(S1042 = FALSE, AND(P1042 = FALSE, ReportType &lt;&gt; "Final"), AND(Q1042 = FALSE, ReportType &lt;&gt; "Rough"))</formula>
    </cfRule>
  </conditionalFormatting>
  <conditionalFormatting sqref="W1042">
    <cfRule type="expression" dxfId="1190" priority="1830">
      <formula>OR(T1042 = TRUE, AND(W1042 = TRUE, S1042 = FALSE))</formula>
    </cfRule>
  </conditionalFormatting>
  <conditionalFormatting sqref="W1048">
    <cfRule type="expression" dxfId="1189" priority="1821">
      <formula>AND(R1048,S1048)</formula>
    </cfRule>
  </conditionalFormatting>
  <conditionalFormatting sqref="W1048">
    <cfRule type="expression" dxfId="1188" priority="1820">
      <formula>NOT(ISBLANK(W1048))</formula>
    </cfRule>
  </conditionalFormatting>
  <conditionalFormatting sqref="W1048">
    <cfRule type="expression" dxfId="1187" priority="1819">
      <formula>OR(S1048 = FALSE, AND(P1048 = FALSE, ReportType &lt;&gt; "Final"), AND(Q1048 = FALSE, ReportType &lt;&gt; "Rough"))</formula>
    </cfRule>
  </conditionalFormatting>
  <conditionalFormatting sqref="W1048">
    <cfRule type="expression" dxfId="1186" priority="1818">
      <formula>OR(T1048 = TRUE, AND(W1048 = TRUE, S1048 = FALSE))</formula>
    </cfRule>
  </conditionalFormatting>
  <conditionalFormatting sqref="W1055">
    <cfRule type="expression" dxfId="1185" priority="1813">
      <formula>AND(R1055,S1055)</formula>
    </cfRule>
  </conditionalFormatting>
  <conditionalFormatting sqref="W1055">
    <cfRule type="expression" dxfId="1184" priority="1812">
      <formula>NOT(ISBLANK(W1055))</formula>
    </cfRule>
  </conditionalFormatting>
  <conditionalFormatting sqref="W1055">
    <cfRule type="expression" dxfId="1183" priority="1811">
      <formula>OR(S1055 = FALSE, AND(P1055 = FALSE, ReportType &lt;&gt; "Final"), AND(Q1055 = FALSE, ReportType &lt;&gt; "Rough"))</formula>
    </cfRule>
  </conditionalFormatting>
  <conditionalFormatting sqref="W1055">
    <cfRule type="expression" dxfId="1182" priority="1810">
      <formula>OR(T1055 = TRUE, AND(W1055 = TRUE, S1055 = FALSE))</formula>
    </cfRule>
  </conditionalFormatting>
  <conditionalFormatting sqref="X987:X992">
    <cfRule type="expression" dxfId="1181" priority="1809">
      <formula>W988=INDEX(INDIRECT(U988),1)</formula>
    </cfRule>
  </conditionalFormatting>
  <conditionalFormatting sqref="X993:X999">
    <cfRule type="expression" dxfId="1180" priority="1808">
      <formula>W994=INDEX(INDIRECT(U994),1)</formula>
    </cfRule>
  </conditionalFormatting>
  <conditionalFormatting sqref="W775">
    <cfRule type="expression" dxfId="1179" priority="1807">
      <formula>AND($R$775,$S$775)</formula>
    </cfRule>
  </conditionalFormatting>
  <conditionalFormatting sqref="W775">
    <cfRule type="expression" dxfId="1178" priority="1806">
      <formula>AND($W$775&lt;&gt;"Not Met",LEN(TRIM($W$775))&gt;0)</formula>
    </cfRule>
  </conditionalFormatting>
  <conditionalFormatting sqref="W775">
    <cfRule type="expression" dxfId="1177" priority="1805">
      <formula>OR($S$775 = FALSE, AND($P$775 = FALSE, ReportType &lt;&gt; "Final"), AND($Q$775 = FALSE, ReportType &lt;&gt; "Rough"))</formula>
    </cfRule>
  </conditionalFormatting>
  <conditionalFormatting sqref="W775">
    <cfRule type="expression" dxfId="1176" priority="1804">
      <formula>OR($T$775 = TRUE, AND(LEN(TRIM($W$775))&gt;0, $S$775 = FALSE))</formula>
    </cfRule>
  </conditionalFormatting>
  <conditionalFormatting sqref="W786">
    <cfRule type="expression" dxfId="1175" priority="1803">
      <formula>AND($R$786,$S$786)</formula>
    </cfRule>
  </conditionalFormatting>
  <conditionalFormatting sqref="W786">
    <cfRule type="expression" dxfId="1174" priority="1802">
      <formula>AND($W$786&lt;&gt;"Not Met",LEN(TRIM($W$786))&gt;0)</formula>
    </cfRule>
  </conditionalFormatting>
  <conditionalFormatting sqref="W786">
    <cfRule type="expression" dxfId="1173" priority="1801">
      <formula>OR($S$786 = FALSE, AND($P$786 = FALSE, ReportType &lt;&gt; "Final"), AND($Q$786 = FALSE, ReportType &lt;&gt; "Rough"))</formula>
    </cfRule>
  </conditionalFormatting>
  <conditionalFormatting sqref="W786">
    <cfRule type="expression" dxfId="1172" priority="1800">
      <formula>OR($T$786 = TRUE, AND(LEN(TRIM($W$786))&gt;0, $S$786 = FALSE))</formula>
    </cfRule>
  </conditionalFormatting>
  <conditionalFormatting sqref="W795">
    <cfRule type="expression" dxfId="1171" priority="1799">
      <formula>AND($R$795,$S$795)</formula>
    </cfRule>
  </conditionalFormatting>
  <conditionalFormatting sqref="W795">
    <cfRule type="expression" dxfId="1170" priority="1798">
      <formula>AND(IF($R$795,$W$795,TRUE),LEN(TRIM($W$795))&gt;0)</formula>
    </cfRule>
  </conditionalFormatting>
  <conditionalFormatting sqref="W795">
    <cfRule type="expression" dxfId="1169" priority="1797">
      <formula>OR($S$795 = FALSE, AND($P$795 = FALSE, ReportType &lt;&gt; "Final"), AND($Q$795 = FALSE, ReportType &lt;&gt; "Rough"))</formula>
    </cfRule>
  </conditionalFormatting>
  <conditionalFormatting sqref="W795">
    <cfRule type="expression" dxfId="1168" priority="1796">
      <formula>OR($T$795 = TRUE, AND($W$795 = TRUE, $S$795 = FALSE))</formula>
    </cfRule>
  </conditionalFormatting>
  <conditionalFormatting sqref="W800">
    <cfRule type="expression" dxfId="1167" priority="1795">
      <formula>AND($R$800,$S$800)</formula>
    </cfRule>
  </conditionalFormatting>
  <conditionalFormatting sqref="W800">
    <cfRule type="expression" dxfId="1166" priority="1794">
      <formula>AND(IF($R$800,$W$800,TRUE),LEN(TRIM($W$800))&gt;0)</formula>
    </cfRule>
  </conditionalFormatting>
  <conditionalFormatting sqref="W800">
    <cfRule type="expression" dxfId="1165" priority="1793">
      <formula>OR($S$800 = FALSE, AND($P$800 = FALSE, ReportType &lt;&gt; "Final"), AND($Q$800 = FALSE, ReportType &lt;&gt; "Rough"))</formula>
    </cfRule>
  </conditionalFormatting>
  <conditionalFormatting sqref="W800">
    <cfRule type="expression" dxfId="1164" priority="1792">
      <formula>OR($T$800 = TRUE, AND($W$800 = TRUE, $S$800 = FALSE))</formula>
    </cfRule>
  </conditionalFormatting>
  <conditionalFormatting sqref="W803">
    <cfRule type="expression" dxfId="1163" priority="1791">
      <formula>AND($R$803,$S$803)</formula>
    </cfRule>
  </conditionalFormatting>
  <conditionalFormatting sqref="W803">
    <cfRule type="expression" dxfId="1162" priority="1790">
      <formula>AND($W$803&lt;&gt;"Not Met",LEN(TRIM($W$803))&gt;0)</formula>
    </cfRule>
  </conditionalFormatting>
  <conditionalFormatting sqref="W803">
    <cfRule type="expression" dxfId="1161" priority="1789">
      <formula>OR($S$803 = FALSE, AND($P$803 = FALSE, ReportType &lt;&gt; "Final"), AND($Q$803 = FALSE, ReportType &lt;&gt; "Rough"))</formula>
    </cfRule>
  </conditionalFormatting>
  <conditionalFormatting sqref="W803">
    <cfRule type="expression" dxfId="1160" priority="1788">
      <formula>OR($T$803 = TRUE, AND(LEN(TRIM($W$803))&gt;0, $S$803 = FALSE))</formula>
    </cfRule>
  </conditionalFormatting>
  <conditionalFormatting sqref="W809">
    <cfRule type="expression" dxfId="1159" priority="1787">
      <formula>AND($R$809,$S$809)</formula>
    </cfRule>
  </conditionalFormatting>
  <conditionalFormatting sqref="W809">
    <cfRule type="expression" dxfId="1158" priority="1786">
      <formula>AND(IF($R$809,$W$809,TRUE),LEN(TRIM($W$809))&gt;0)</formula>
    </cfRule>
  </conditionalFormatting>
  <conditionalFormatting sqref="W809">
    <cfRule type="expression" dxfId="1157" priority="1785">
      <formula>OR($S$809 = FALSE, AND($P$809 = FALSE, ReportType &lt;&gt; "Final"), AND($Q$809 = FALSE, ReportType &lt;&gt; "Rough"))</formula>
    </cfRule>
  </conditionalFormatting>
  <conditionalFormatting sqref="W809">
    <cfRule type="expression" dxfId="1156" priority="1784">
      <formula>OR($T$809 = TRUE, AND($W$809 = TRUE, $S$809 = FALSE))</formula>
    </cfRule>
  </conditionalFormatting>
  <conditionalFormatting sqref="W812">
    <cfRule type="expression" dxfId="1155" priority="1783">
      <formula>AND($R$812,$S$812)</formula>
    </cfRule>
  </conditionalFormatting>
  <conditionalFormatting sqref="W812">
    <cfRule type="expression" dxfId="1154" priority="1782">
      <formula>AND(IF($R$812,$W$812,TRUE),LEN(TRIM($W$812))&gt;0)</formula>
    </cfRule>
  </conditionalFormatting>
  <conditionalFormatting sqref="W812">
    <cfRule type="expression" dxfId="1153" priority="1781">
      <formula>OR($S$812 = FALSE, AND($P$812 = FALSE, ReportType &lt;&gt; "Final"), AND($Q$812 = FALSE, ReportType &lt;&gt; "Rough"))</formula>
    </cfRule>
  </conditionalFormatting>
  <conditionalFormatting sqref="W812">
    <cfRule type="expression" dxfId="1152" priority="1780">
      <formula>OR($T$812 = TRUE, AND($W$812 = TRUE, $S$812 = FALSE))</formula>
    </cfRule>
  </conditionalFormatting>
  <conditionalFormatting sqref="W813">
    <cfRule type="expression" dxfId="1151" priority="1779">
      <formula>AND($R$813,$S$813)</formula>
    </cfRule>
  </conditionalFormatting>
  <conditionalFormatting sqref="W813">
    <cfRule type="expression" dxfId="1150" priority="1778">
      <formula>AND(IF($R$813,$W$813,TRUE),LEN(TRIM($W$813))&gt;0)</formula>
    </cfRule>
  </conditionalFormatting>
  <conditionalFormatting sqref="W813">
    <cfRule type="expression" dxfId="1149" priority="1777">
      <formula>OR($S$813 = FALSE, AND($P$813 = FALSE, ReportType &lt;&gt; "Final"), AND($Q$813 = FALSE, ReportType &lt;&gt; "Rough"))</formula>
    </cfRule>
  </conditionalFormatting>
  <conditionalFormatting sqref="W813">
    <cfRule type="expression" dxfId="1148" priority="1776">
      <formula>OR($T$813 = TRUE, AND($W$813 = TRUE, $S$813 = FALSE))</formula>
    </cfRule>
  </conditionalFormatting>
  <conditionalFormatting sqref="W817">
    <cfRule type="expression" dxfId="1147" priority="1775">
      <formula>AND($R$817,$S$817)</formula>
    </cfRule>
  </conditionalFormatting>
  <conditionalFormatting sqref="W817">
    <cfRule type="expression" dxfId="1146" priority="1774">
      <formula>AND(IF($R$817,$W$817,TRUE),LEN(TRIM($W$817))&gt;0)</formula>
    </cfRule>
  </conditionalFormatting>
  <conditionalFormatting sqref="W817">
    <cfRule type="expression" dxfId="1145" priority="1773">
      <formula>OR($S$817 = FALSE, AND($P$817 = FALSE, ReportType &lt;&gt; "Final"), AND($Q$817 = FALSE, ReportType &lt;&gt; "Rough"))</formula>
    </cfRule>
  </conditionalFormatting>
  <conditionalFormatting sqref="W817">
    <cfRule type="expression" dxfId="1144" priority="1772">
      <formula>OR($T$817 = TRUE, AND($W$817 = TRUE, $S$817 = FALSE))</formula>
    </cfRule>
  </conditionalFormatting>
  <conditionalFormatting sqref="W819">
    <cfRule type="expression" dxfId="1143" priority="1771">
      <formula>AND($R$819,$S$819)</formula>
    </cfRule>
  </conditionalFormatting>
  <conditionalFormatting sqref="W819">
    <cfRule type="expression" dxfId="1142" priority="1770">
      <formula>AND(IF($R$819,$W$819,TRUE),LEN(TRIM($W$819))&gt;0)</formula>
    </cfRule>
  </conditionalFormatting>
  <conditionalFormatting sqref="W819">
    <cfRule type="expression" dxfId="1141" priority="1769">
      <formula>OR($S$819 = FALSE, AND($P$819 = FALSE, ReportType &lt;&gt; "Final"), AND($Q$819 = FALSE, ReportType &lt;&gt; "Rough"))</formula>
    </cfRule>
  </conditionalFormatting>
  <conditionalFormatting sqref="W819">
    <cfRule type="expression" dxfId="1140" priority="1768">
      <formula>OR($T$819 = TRUE, AND($W$819 = TRUE, $S$819 = FALSE))</formula>
    </cfRule>
  </conditionalFormatting>
  <conditionalFormatting sqref="W851">
    <cfRule type="expression" dxfId="1139" priority="1767">
      <formula>AND($R$851,$S$851)</formula>
    </cfRule>
  </conditionalFormatting>
  <conditionalFormatting sqref="W851">
    <cfRule type="expression" dxfId="1138" priority="1766">
      <formula>AND(IF($R$851,$W$851,TRUE),LEN(TRIM($W$851))&gt;0)</formula>
    </cfRule>
  </conditionalFormatting>
  <conditionalFormatting sqref="W851">
    <cfRule type="expression" dxfId="1137" priority="1765">
      <formula>OR($S$851 = FALSE, AND($P$851 = FALSE, ReportType &lt;&gt; "Final"), AND($Q$851 = FALSE, ReportType &lt;&gt; "Rough"))</formula>
    </cfRule>
  </conditionalFormatting>
  <conditionalFormatting sqref="W851">
    <cfRule type="expression" dxfId="1136" priority="1764">
      <formula>OR($T$851 = TRUE, AND($W$851 = TRUE, $S$851 = FALSE))</formula>
    </cfRule>
  </conditionalFormatting>
  <conditionalFormatting sqref="W854">
    <cfRule type="expression" dxfId="1135" priority="1763">
      <formula>AND($R$854,$S$854)</formula>
    </cfRule>
  </conditionalFormatting>
  <conditionalFormatting sqref="W854">
    <cfRule type="expression" dxfId="1134" priority="1762">
      <formula>AND(IF($R$854,$W$854,TRUE),LEN(TRIM($W$854))&gt;0)</formula>
    </cfRule>
  </conditionalFormatting>
  <conditionalFormatting sqref="W854">
    <cfRule type="expression" dxfId="1133" priority="1761">
      <formula>OR($S$854 = FALSE, AND($P$854 = FALSE, ReportType &lt;&gt; "Final"), AND($Q$854 = FALSE, ReportType &lt;&gt; "Rough"))</formula>
    </cfRule>
  </conditionalFormatting>
  <conditionalFormatting sqref="W854">
    <cfRule type="expression" dxfId="1132" priority="1760">
      <formula>OR($T$854 = TRUE, AND($W$854 = TRUE, $S$854 = FALSE))</formula>
    </cfRule>
  </conditionalFormatting>
  <conditionalFormatting sqref="W881">
    <cfRule type="expression" dxfId="1131" priority="1759">
      <formula>AND($R$881,$S$881)</formula>
    </cfRule>
  </conditionalFormatting>
  <conditionalFormatting sqref="W881">
    <cfRule type="expression" dxfId="1130" priority="1758">
      <formula>AND(IF($R$881,$W$881,TRUE),LEN(TRIM($W$881))&gt;0)</formula>
    </cfRule>
  </conditionalFormatting>
  <conditionalFormatting sqref="W881">
    <cfRule type="expression" dxfId="1129" priority="1757">
      <formula>OR($S$881 = FALSE, AND($P$881 = FALSE, ReportType &lt;&gt; "Final"), AND($Q$881 = FALSE, ReportType &lt;&gt; "Rough"))</formula>
    </cfRule>
  </conditionalFormatting>
  <conditionalFormatting sqref="W881">
    <cfRule type="expression" dxfId="1128" priority="1756">
      <formula>OR($T$881 = TRUE, AND($W$881 = TRUE, $S$881 = FALSE))</formula>
    </cfRule>
  </conditionalFormatting>
  <conditionalFormatting sqref="W887">
    <cfRule type="expression" dxfId="1127" priority="1755">
      <formula>AND($R$887,$S$887)</formula>
    </cfRule>
  </conditionalFormatting>
  <conditionalFormatting sqref="W887">
    <cfRule type="expression" dxfId="1126" priority="1754">
      <formula>AND($W$887&lt;&gt;"Not Met",LEN(TRIM($W$887))&gt;0)</formula>
    </cfRule>
  </conditionalFormatting>
  <conditionalFormatting sqref="W887">
    <cfRule type="expression" dxfId="1125" priority="1753">
      <formula>OR($S$887 = FALSE, AND($P$887 = FALSE, ReportType &lt;&gt; "Final"), AND($Q$887 = FALSE, ReportType &lt;&gt; "Rough"))</formula>
    </cfRule>
  </conditionalFormatting>
  <conditionalFormatting sqref="W887">
    <cfRule type="expression" dxfId="1124" priority="1752">
      <formula>OR($T$887 = TRUE, AND(LEN(TRIM($W$887))&gt;0, $S$887 = FALSE))</formula>
    </cfRule>
  </conditionalFormatting>
  <conditionalFormatting sqref="W895">
    <cfRule type="expression" dxfId="1123" priority="1751">
      <formula>AND($R$895,$S$895)</formula>
    </cfRule>
  </conditionalFormatting>
  <conditionalFormatting sqref="W895">
    <cfRule type="expression" dxfId="1122" priority="1750">
      <formula>AND(IF($R$895,$W$895,TRUE),LEN(TRIM($W$895))&gt;0)</formula>
    </cfRule>
  </conditionalFormatting>
  <conditionalFormatting sqref="W895">
    <cfRule type="expression" dxfId="1121" priority="1749">
      <formula>OR($S$895 = FALSE, AND($P$895 = FALSE, ReportType &lt;&gt; "Final"), AND($Q$895 = FALSE, ReportType &lt;&gt; "Rough"))</formula>
    </cfRule>
  </conditionalFormatting>
  <conditionalFormatting sqref="W895">
    <cfRule type="expression" dxfId="1120" priority="1748">
      <formula>OR($T$895 = TRUE, AND($W$895 = TRUE, $S$895 = FALSE))</formula>
    </cfRule>
  </conditionalFormatting>
  <conditionalFormatting sqref="W897">
    <cfRule type="expression" dxfId="1119" priority="1747">
      <formula>AND($R$897,$S$897)</formula>
    </cfRule>
  </conditionalFormatting>
  <conditionalFormatting sqref="W897">
    <cfRule type="expression" dxfId="1118" priority="1746">
      <formula>AND(IF($R$897,$W$897,TRUE),LEN(TRIM($W$897))&gt;0)</formula>
    </cfRule>
  </conditionalFormatting>
  <conditionalFormatting sqref="W897">
    <cfRule type="expression" dxfId="1117" priority="1745">
      <formula>OR($S$897 = FALSE, AND($P$897 = FALSE, ReportType &lt;&gt; "Final"), AND($Q$897 = FALSE, ReportType &lt;&gt; "Rough"))</formula>
    </cfRule>
  </conditionalFormatting>
  <conditionalFormatting sqref="W897">
    <cfRule type="expression" dxfId="1116" priority="1744">
      <formula>OR($T$897 = TRUE, AND($W$897 = TRUE, $S$897 = FALSE))</formula>
    </cfRule>
  </conditionalFormatting>
  <conditionalFormatting sqref="W898">
    <cfRule type="expression" dxfId="1115" priority="1743">
      <formula>AND($R$898,$S$898)</formula>
    </cfRule>
  </conditionalFormatting>
  <conditionalFormatting sqref="W898">
    <cfRule type="expression" dxfId="1114" priority="1742">
      <formula>AND(IF($R$898,$W$898,TRUE),LEN(TRIM($W$898))&gt;0)</formula>
    </cfRule>
  </conditionalFormatting>
  <conditionalFormatting sqref="W898">
    <cfRule type="expression" dxfId="1113" priority="1741">
      <formula>OR($S$898 = FALSE, AND($P$898 = FALSE, ReportType &lt;&gt; "Final"), AND($Q$898 = FALSE, ReportType &lt;&gt; "Rough"))</formula>
    </cfRule>
  </conditionalFormatting>
  <conditionalFormatting sqref="W898">
    <cfRule type="expression" dxfId="1112" priority="1740">
      <formula>OR($T$898 = TRUE, AND($W$898 = TRUE, $S$898 = FALSE))</formula>
    </cfRule>
  </conditionalFormatting>
  <conditionalFormatting sqref="W903">
    <cfRule type="expression" dxfId="1111" priority="1739">
      <formula>AND($R$903,$S$903)</formula>
    </cfRule>
  </conditionalFormatting>
  <conditionalFormatting sqref="W903">
    <cfRule type="expression" dxfId="1110" priority="1738">
      <formula>AND(IF($R$903,$W$903,TRUE),LEN(TRIM($W$903))&gt;0)</formula>
    </cfRule>
  </conditionalFormatting>
  <conditionalFormatting sqref="W903">
    <cfRule type="expression" dxfId="1109" priority="1737">
      <formula>OR($S$903 = FALSE, AND($P$903 = FALSE, ReportType &lt;&gt; "Final"), AND($Q$903 = FALSE, ReportType &lt;&gt; "Rough"))</formula>
    </cfRule>
  </conditionalFormatting>
  <conditionalFormatting sqref="W903">
    <cfRule type="expression" dxfId="1108" priority="1736">
      <formula>OR($T$903 = TRUE, AND($W$903 = TRUE, $S$903 = FALSE))</formula>
    </cfRule>
  </conditionalFormatting>
  <conditionalFormatting sqref="W920">
    <cfRule type="expression" dxfId="1107" priority="1735">
      <formula>AND($R$920,$S$920)</formula>
    </cfRule>
  </conditionalFormatting>
  <conditionalFormatting sqref="W920">
    <cfRule type="expression" dxfId="1106" priority="1734">
      <formula>AND(IF($R$920,$W$920,TRUE),LEN(TRIM($W$920))&gt;0)</formula>
    </cfRule>
  </conditionalFormatting>
  <conditionalFormatting sqref="W920">
    <cfRule type="expression" dxfId="1105" priority="1733">
      <formula>OR($S$920 = FALSE, AND($P$920 = FALSE, ReportType &lt;&gt; "Final"), AND($Q$920 = FALSE, ReportType &lt;&gt; "Rough"))</formula>
    </cfRule>
  </conditionalFormatting>
  <conditionalFormatting sqref="W920">
    <cfRule type="expression" dxfId="1104" priority="1732">
      <formula>OR($T$920 = TRUE, AND($W$920 = TRUE, $S$920 = FALSE))</formula>
    </cfRule>
  </conditionalFormatting>
  <conditionalFormatting sqref="W933">
    <cfRule type="expression" dxfId="1103" priority="1731">
      <formula>AND($R$933,$S$933)</formula>
    </cfRule>
  </conditionalFormatting>
  <conditionalFormatting sqref="W933">
    <cfRule type="expression" dxfId="1102" priority="1730">
      <formula>AND(IF($R$933,$W$933,TRUE),LEN(TRIM($W$933))&gt;0)</formula>
    </cfRule>
  </conditionalFormatting>
  <conditionalFormatting sqref="W933">
    <cfRule type="expression" dxfId="1101" priority="1729">
      <formula>OR($S$933 = FALSE, AND($P$933 = FALSE, ReportType &lt;&gt; "Final"), AND($Q$933 = FALSE, ReportType &lt;&gt; "Rough"))</formula>
    </cfRule>
  </conditionalFormatting>
  <conditionalFormatting sqref="W933">
    <cfRule type="expression" dxfId="1100" priority="1728">
      <formula>OR($T$933 = TRUE, AND($W$933 = TRUE, $S$933 = FALSE))</formula>
    </cfRule>
  </conditionalFormatting>
  <conditionalFormatting sqref="W936">
    <cfRule type="expression" dxfId="1099" priority="1727">
      <formula>AND($R$936,$S$936)</formula>
    </cfRule>
  </conditionalFormatting>
  <conditionalFormatting sqref="W936">
    <cfRule type="expression" dxfId="1098" priority="1726">
      <formula>AND(IF($R$936,$W$936,TRUE),LEN(TRIM($W$936))&gt;0)</formula>
    </cfRule>
  </conditionalFormatting>
  <conditionalFormatting sqref="W936">
    <cfRule type="expression" dxfId="1097" priority="1725">
      <formula>OR($S$936 = FALSE, AND($P$936 = FALSE, ReportType &lt;&gt; "Final"), AND($Q$936 = FALSE, ReportType &lt;&gt; "Rough"))</formula>
    </cfRule>
  </conditionalFormatting>
  <conditionalFormatting sqref="W936">
    <cfRule type="expression" dxfId="1096" priority="1724">
      <formula>OR($T$936 = TRUE, AND($W$936 = TRUE, $S$936 = FALSE))</formula>
    </cfRule>
  </conditionalFormatting>
  <conditionalFormatting sqref="W939">
    <cfRule type="expression" dxfId="1095" priority="1723">
      <formula>AND($R$939,$S$939)</formula>
    </cfRule>
  </conditionalFormatting>
  <conditionalFormatting sqref="W939">
    <cfRule type="expression" dxfId="1094" priority="1722">
      <formula>AND(IF($R$939,$W$939,TRUE),LEN(TRIM($W$939))&gt;0)</formula>
    </cfRule>
  </conditionalFormatting>
  <conditionalFormatting sqref="W939">
    <cfRule type="expression" dxfId="1093" priority="1721">
      <formula>OR($S$939 = FALSE, AND($P$939 = FALSE, ReportType &lt;&gt; "Final"), AND($Q$939 = FALSE, ReportType &lt;&gt; "Rough"))</formula>
    </cfRule>
  </conditionalFormatting>
  <conditionalFormatting sqref="W939">
    <cfRule type="expression" dxfId="1092" priority="1720">
      <formula>OR($T$939 = TRUE, AND($W$939 = TRUE, $S$939 = FALSE))</formula>
    </cfRule>
  </conditionalFormatting>
  <conditionalFormatting sqref="W948">
    <cfRule type="expression" dxfId="1091" priority="1719">
      <formula>AND($R$948,$S$948)</formula>
    </cfRule>
  </conditionalFormatting>
  <conditionalFormatting sqref="W948">
    <cfRule type="expression" dxfId="1090" priority="1718">
      <formula>AND(IF($R$948,$W$948,TRUE),LEN(TRIM($W$948))&gt;0)</formula>
    </cfRule>
  </conditionalFormatting>
  <conditionalFormatting sqref="W948">
    <cfRule type="expression" dxfId="1089" priority="1717">
      <formula>OR($S$948 = FALSE, AND($P$948 = FALSE, ReportType &lt;&gt; "Final"), AND($Q$948 = FALSE, ReportType &lt;&gt; "Rough"))</formula>
    </cfRule>
  </conditionalFormatting>
  <conditionalFormatting sqref="W948">
    <cfRule type="expression" dxfId="1088" priority="1716">
      <formula>OR($T$948 = TRUE, AND($W$948 = TRUE, $S$948 = FALSE))</formula>
    </cfRule>
  </conditionalFormatting>
  <conditionalFormatting sqref="W955">
    <cfRule type="expression" dxfId="1087" priority="1715">
      <formula>AND($R$955,$S$955)</formula>
    </cfRule>
  </conditionalFormatting>
  <conditionalFormatting sqref="W955">
    <cfRule type="expression" dxfId="1086" priority="1714">
      <formula>AND(IF($R$955,$W$955,TRUE),LEN(TRIM($W$955))&gt;0)</formula>
    </cfRule>
  </conditionalFormatting>
  <conditionalFormatting sqref="W955">
    <cfRule type="expression" dxfId="1085" priority="1713">
      <formula>OR($S$955 = FALSE, AND($P$955 = FALSE, ReportType &lt;&gt; "Final"), AND($Q$955 = FALSE, ReportType &lt;&gt; "Rough"))</formula>
    </cfRule>
  </conditionalFormatting>
  <conditionalFormatting sqref="W955">
    <cfRule type="expression" dxfId="1084" priority="1712">
      <formula>OR($T$955 = TRUE, AND($W$955 = TRUE, $S$955 = FALSE))</formula>
    </cfRule>
  </conditionalFormatting>
  <conditionalFormatting sqref="W962">
    <cfRule type="expression" dxfId="1083" priority="1711">
      <formula>AND($R$962,$S$962)</formula>
    </cfRule>
  </conditionalFormatting>
  <conditionalFormatting sqref="W962">
    <cfRule type="expression" dxfId="1082" priority="1710">
      <formula>AND($W$962&lt;&gt;"Not Met",LEN(TRIM($W$962))&gt;0)</formula>
    </cfRule>
  </conditionalFormatting>
  <conditionalFormatting sqref="W962">
    <cfRule type="expression" dxfId="1081" priority="1709">
      <formula>OR($S$962 = FALSE, AND($P$962 = FALSE, ReportType &lt;&gt; "Final"), AND($Q$962 = FALSE, ReportType &lt;&gt; "Rough"))</formula>
    </cfRule>
  </conditionalFormatting>
  <conditionalFormatting sqref="W962">
    <cfRule type="expression" dxfId="1080" priority="1708">
      <formula>OR($T$962 = TRUE, AND(LEN(TRIM($W$962))&gt;0, $S$962 = FALSE))</formula>
    </cfRule>
  </conditionalFormatting>
  <conditionalFormatting sqref="W970">
    <cfRule type="expression" dxfId="1079" priority="1707">
      <formula>AND($R$970,$S$970)</formula>
    </cfRule>
  </conditionalFormatting>
  <conditionalFormatting sqref="W970">
    <cfRule type="expression" dxfId="1078" priority="1706">
      <formula>AND($W$970&lt;&gt;"Not Met",LEN(TRIM($W$970))&gt;0)</formula>
    </cfRule>
  </conditionalFormatting>
  <conditionalFormatting sqref="W970">
    <cfRule type="expression" dxfId="1077" priority="1705">
      <formula>OR($S$970 = FALSE, AND($P$970 = FALSE, ReportType &lt;&gt; "Final"), AND($Q$970 = FALSE, ReportType &lt;&gt; "Rough"))</formula>
    </cfRule>
  </conditionalFormatting>
  <conditionalFormatting sqref="W970">
    <cfRule type="expression" dxfId="1076" priority="1704">
      <formula>OR($T$970 = TRUE, AND(LEN(TRIM($W$970))&gt;0, $S$970 = FALSE))</formula>
    </cfRule>
  </conditionalFormatting>
  <conditionalFormatting sqref="W978">
    <cfRule type="expression" dxfId="1075" priority="1703">
      <formula>AND($R$978,$S$978)</formula>
    </cfRule>
  </conditionalFormatting>
  <conditionalFormatting sqref="W978">
    <cfRule type="expression" dxfId="1074" priority="1702">
      <formula>AND($W$978&lt;&gt;"Not Met",LEN(TRIM($W$978))&gt;0)</formula>
    </cfRule>
  </conditionalFormatting>
  <conditionalFormatting sqref="W978">
    <cfRule type="expression" dxfId="1073" priority="1701">
      <formula>OR($S$978 = FALSE, AND($P$978 = FALSE, ReportType &lt;&gt; "Final"), AND($Q$978 = FALSE, ReportType &lt;&gt; "Rough"))</formula>
    </cfRule>
  </conditionalFormatting>
  <conditionalFormatting sqref="W978">
    <cfRule type="expression" dxfId="1072" priority="1700">
      <formula>OR($T$978 = TRUE, AND(LEN(TRIM($W$978))&gt;0, $S$978 = FALSE))</formula>
    </cfRule>
  </conditionalFormatting>
  <conditionalFormatting sqref="W988">
    <cfRule type="expression" dxfId="1071" priority="1699">
      <formula>AND($R$988,$S$988)</formula>
    </cfRule>
  </conditionalFormatting>
  <conditionalFormatting sqref="W988">
    <cfRule type="expression" dxfId="1070" priority="1698">
      <formula>AND($W$988&lt;&gt;"Not Met",LEN(TRIM($W$988))&gt;0)</formula>
    </cfRule>
  </conditionalFormatting>
  <conditionalFormatting sqref="W988">
    <cfRule type="expression" dxfId="1069" priority="1697">
      <formula>OR($S$988 = FALSE, AND($P$988 = FALSE, ReportType &lt;&gt; "Final"), AND($Q$988 = FALSE, ReportType &lt;&gt; "Rough"))</formula>
    </cfRule>
  </conditionalFormatting>
  <conditionalFormatting sqref="W988">
    <cfRule type="expression" dxfId="1068" priority="1696">
      <formula>OR($T$988 = TRUE, AND(LEN(TRIM($W$988))&gt;0, $S$988 = FALSE))</formula>
    </cfRule>
  </conditionalFormatting>
  <conditionalFormatting sqref="W994">
    <cfRule type="expression" dxfId="1067" priority="1695">
      <formula>AND($R$994,$S$994)</formula>
    </cfRule>
  </conditionalFormatting>
  <conditionalFormatting sqref="W994">
    <cfRule type="expression" dxfId="1066" priority="1694">
      <formula>AND($W$994&lt;&gt;"Not Met",LEN(TRIM($W$994))&gt;0)</formula>
    </cfRule>
  </conditionalFormatting>
  <conditionalFormatting sqref="W994">
    <cfRule type="expression" dxfId="1065" priority="1693">
      <formula>OR($S$994 = FALSE, AND($P$994 = FALSE, ReportType &lt;&gt; "Final"), AND($Q$994 = FALSE, ReportType &lt;&gt; "Rough"))</formula>
    </cfRule>
  </conditionalFormatting>
  <conditionalFormatting sqref="W994">
    <cfRule type="expression" dxfId="1064" priority="1692">
      <formula>OR($T$994 = TRUE, AND(LEN(TRIM($W$994))&gt;0, $S$994 = FALSE))</formula>
    </cfRule>
  </conditionalFormatting>
  <conditionalFormatting sqref="W1000">
    <cfRule type="expression" dxfId="1063" priority="1691">
      <formula>AND($R$1000,$S$1000)</formula>
    </cfRule>
  </conditionalFormatting>
  <conditionalFormatting sqref="W1000">
    <cfRule type="expression" dxfId="1062" priority="1690">
      <formula>AND(IF($R$1000,$W$1000,TRUE),LEN(TRIM($W$1000))&gt;0)</formula>
    </cfRule>
  </conditionalFormatting>
  <conditionalFormatting sqref="W1000">
    <cfRule type="expression" dxfId="1061" priority="1689">
      <formula>OR($S$1000 = FALSE, AND($P$1000 = FALSE, ReportType &lt;&gt; "Final"), AND($Q$1000 = FALSE, ReportType &lt;&gt; "Rough"))</formula>
    </cfRule>
  </conditionalFormatting>
  <conditionalFormatting sqref="W1000">
    <cfRule type="expression" dxfId="1060" priority="1688">
      <formula>OR($T$1000 = TRUE, AND($W$1000 = TRUE, $S$1000 = FALSE))</formula>
    </cfRule>
  </conditionalFormatting>
  <conditionalFormatting sqref="W1040">
    <cfRule type="expression" dxfId="1059" priority="1687">
      <formula>AND($R$1040,$S$1040)</formula>
    </cfRule>
  </conditionalFormatting>
  <conditionalFormatting sqref="W1040">
    <cfRule type="expression" dxfId="1058" priority="1686">
      <formula>AND(IF($R$1040,$W$1040,TRUE),LEN(TRIM($W$1040))&gt;0)</formula>
    </cfRule>
  </conditionalFormatting>
  <conditionalFormatting sqref="W1040">
    <cfRule type="expression" dxfId="1057" priority="1685">
      <formula>OR($S$1040 = FALSE, AND($P$1040 = FALSE, ReportType &lt;&gt; "Final"), AND($Q$1040 = FALSE, ReportType &lt;&gt; "Rough"))</formula>
    </cfRule>
  </conditionalFormatting>
  <conditionalFormatting sqref="W1040">
    <cfRule type="expression" dxfId="1056" priority="1684">
      <formula>OR($T$1040 = TRUE, AND($W$1040 = TRUE, $S$1040 = FALSE))</formula>
    </cfRule>
  </conditionalFormatting>
  <conditionalFormatting sqref="W1043">
    <cfRule type="expression" dxfId="1055" priority="1683">
      <formula>AND($R$1043,$S$1043)</formula>
    </cfRule>
  </conditionalFormatting>
  <conditionalFormatting sqref="W1043">
    <cfRule type="expression" dxfId="1054" priority="1682">
      <formula>AND(IF($R$1043,$W$1043,TRUE),LEN(TRIM($W$1043))&gt;0)</formula>
    </cfRule>
  </conditionalFormatting>
  <conditionalFormatting sqref="W1043">
    <cfRule type="expression" dxfId="1053" priority="1681">
      <formula>OR($S$1043 = FALSE, AND($P$1043 = FALSE, ReportType &lt;&gt; "Final"), AND($Q$1043 = FALSE, ReportType &lt;&gt; "Rough"))</formula>
    </cfRule>
  </conditionalFormatting>
  <conditionalFormatting sqref="W1043">
    <cfRule type="expression" dxfId="1052" priority="1680">
      <formula>OR($T$1043 = TRUE, AND($W$1043 = TRUE, $S$1043 = FALSE))</formula>
    </cfRule>
  </conditionalFormatting>
  <conditionalFormatting sqref="W1053">
    <cfRule type="expression" dxfId="1051" priority="1679">
      <formula>AND($R$1053,$S$1053)</formula>
    </cfRule>
  </conditionalFormatting>
  <conditionalFormatting sqref="W1053">
    <cfRule type="expression" dxfId="1050" priority="1678">
      <formula>AND(IF($R$1053,$W$1053,TRUE),LEN(TRIM($W$1053))&gt;0)</formula>
    </cfRule>
  </conditionalFormatting>
  <conditionalFormatting sqref="W1053">
    <cfRule type="expression" dxfId="1049" priority="1677">
      <formula>OR($S$1053 = FALSE, AND($P$1053 = FALSE, ReportType &lt;&gt; "Final"), AND($Q$1053 = FALSE, ReportType &lt;&gt; "Rough"))</formula>
    </cfRule>
  </conditionalFormatting>
  <conditionalFormatting sqref="W1053">
    <cfRule type="expression" dxfId="1048" priority="1676">
      <formula>OR($T$1053 = TRUE, AND($W$1053 = TRUE, $S$1053 = FALSE))</formula>
    </cfRule>
  </conditionalFormatting>
  <conditionalFormatting sqref="W1060">
    <cfRule type="expression" dxfId="1047" priority="1675">
      <formula>AND($R$1060,$S$1060)</formula>
    </cfRule>
  </conditionalFormatting>
  <conditionalFormatting sqref="W1060">
    <cfRule type="expression" dxfId="1046" priority="1674">
      <formula>AND(IF($R$1060,$W$1060,TRUE),LEN(TRIM($W$1060))&gt;0)</formula>
    </cfRule>
  </conditionalFormatting>
  <conditionalFormatting sqref="W1060">
    <cfRule type="expression" dxfId="1045" priority="1673">
      <formula>OR($S$1060 = FALSE, AND($P$1060 = FALSE, ReportType &lt;&gt; "Final"), AND($Q$1060 = FALSE, ReportType &lt;&gt; "Rough"))</formula>
    </cfRule>
  </conditionalFormatting>
  <conditionalFormatting sqref="W1060">
    <cfRule type="expression" dxfId="1044" priority="1672">
      <formula>OR($T$1060 = TRUE, AND($W$1060 = TRUE, $S$1060 = FALSE))</formula>
    </cfRule>
  </conditionalFormatting>
  <conditionalFormatting sqref="W1066">
    <cfRule type="expression" dxfId="1043" priority="1671">
      <formula>AND($R$1066,$S$1066)</formula>
    </cfRule>
  </conditionalFormatting>
  <conditionalFormatting sqref="W1066">
    <cfRule type="expression" dxfId="1042" priority="1670">
      <formula>AND(IF($R$1066,$W$1066,TRUE),LEN(TRIM($W$1066))&gt;0)</formula>
    </cfRule>
  </conditionalFormatting>
  <conditionalFormatting sqref="W1066">
    <cfRule type="expression" dxfId="1041" priority="1669">
      <formula>OR($S$1066 = FALSE, AND($P$1066 = FALSE, ReportType &lt;&gt; "Final"), AND($Q$1066 = FALSE, ReportType &lt;&gt; "Rough"))</formula>
    </cfRule>
  </conditionalFormatting>
  <conditionalFormatting sqref="W1066">
    <cfRule type="expression" dxfId="1040" priority="1668">
      <formula>OR($T$1066 = TRUE, AND($W$1066 = TRUE, $S$1066 = FALSE))</formula>
    </cfRule>
  </conditionalFormatting>
  <conditionalFormatting sqref="W1068">
    <cfRule type="expression" dxfId="1039" priority="1667">
      <formula>AND($R$1068,$S$1068)</formula>
    </cfRule>
  </conditionalFormatting>
  <conditionalFormatting sqref="W1068">
    <cfRule type="expression" dxfId="1038" priority="1666">
      <formula>AND(IF($R$1068,$W$1068,TRUE),LEN(TRIM($W$1068))&gt;0)</formula>
    </cfRule>
  </conditionalFormatting>
  <conditionalFormatting sqref="W1068">
    <cfRule type="expression" dxfId="1037" priority="1665">
      <formula>OR($S$1068 = FALSE, AND($P$1068 = FALSE, ReportType &lt;&gt; "Final"), AND($Q$1068 = FALSE, ReportType &lt;&gt; "Rough"))</formula>
    </cfRule>
  </conditionalFormatting>
  <conditionalFormatting sqref="W1068">
    <cfRule type="expression" dxfId="1036" priority="1664">
      <formula>OR($T$1068 = TRUE, AND($W$1068 = TRUE, $S$1068 = FALSE))</formula>
    </cfRule>
  </conditionalFormatting>
  <conditionalFormatting sqref="W1071">
    <cfRule type="expression" dxfId="1035" priority="1663">
      <formula>AND($R$1071,$S$1071)</formula>
    </cfRule>
  </conditionalFormatting>
  <conditionalFormatting sqref="W1071">
    <cfRule type="expression" dxfId="1034" priority="1662">
      <formula>AND(IF($R$1071,$W$1071,TRUE),LEN(TRIM($W$1071))&gt;0)</formula>
    </cfRule>
  </conditionalFormatting>
  <conditionalFormatting sqref="W1071">
    <cfRule type="expression" dxfId="1033" priority="1661">
      <formula>OR($S$1071 = FALSE, AND($P$1071 = FALSE, ReportType &lt;&gt; "Final"), AND($Q$1071 = FALSE, ReportType &lt;&gt; "Rough"))</formula>
    </cfRule>
  </conditionalFormatting>
  <conditionalFormatting sqref="W1071">
    <cfRule type="expression" dxfId="1032" priority="1660">
      <formula>OR($T$1071 = TRUE, AND($W$1071 = TRUE, $S$1071 = FALSE))</formula>
    </cfRule>
  </conditionalFormatting>
  <conditionalFormatting sqref="W1072">
    <cfRule type="expression" dxfId="1031" priority="1659">
      <formula>AND($R$1072,$S$1072)</formula>
    </cfRule>
  </conditionalFormatting>
  <conditionalFormatting sqref="W1072">
    <cfRule type="expression" dxfId="1030" priority="1658">
      <formula>AND(IF($R$1072,$W$1072,TRUE),LEN(TRIM($W$1072))&gt;0)</formula>
    </cfRule>
  </conditionalFormatting>
  <conditionalFormatting sqref="W1072">
    <cfRule type="expression" dxfId="1029" priority="1657">
      <formula>OR($S$1072 = FALSE, AND($P$1072 = FALSE, ReportType &lt;&gt; "Final"), AND($Q$1072 = FALSE, ReportType &lt;&gt; "Rough"))</formula>
    </cfRule>
  </conditionalFormatting>
  <conditionalFormatting sqref="W1072">
    <cfRule type="expression" dxfId="1028" priority="1656">
      <formula>OR($T$1072 = TRUE, AND($W$1072 = TRUE, $S$1072 = FALSE))</formula>
    </cfRule>
  </conditionalFormatting>
  <conditionalFormatting sqref="W1074">
    <cfRule type="expression" dxfId="1027" priority="1655">
      <formula>AND($R$1074,$S$1074)</formula>
    </cfRule>
  </conditionalFormatting>
  <conditionalFormatting sqref="W1074">
    <cfRule type="expression" dxfId="1026" priority="1654">
      <formula>AND(IF($R$1074,$W$1074,TRUE),LEN(TRIM($W$1074))&gt;0)</formula>
    </cfRule>
  </conditionalFormatting>
  <conditionalFormatting sqref="W1074">
    <cfRule type="expression" dxfId="1025" priority="1653">
      <formula>OR($S$1074 = FALSE, AND($P$1074 = FALSE, ReportType &lt;&gt; "Final"), AND($Q$1074 = FALSE, ReportType &lt;&gt; "Rough"))</formula>
    </cfRule>
  </conditionalFormatting>
  <conditionalFormatting sqref="W1074">
    <cfRule type="expression" dxfId="1024" priority="1652">
      <formula>OR($T$1074 = TRUE, AND($W$1074 = TRUE, $S$1074 = FALSE))</formula>
    </cfRule>
  </conditionalFormatting>
  <conditionalFormatting sqref="W1076">
    <cfRule type="expression" dxfId="1023" priority="1651">
      <formula>AND($R$1076,$S$1076)</formula>
    </cfRule>
  </conditionalFormatting>
  <conditionalFormatting sqref="W1076">
    <cfRule type="expression" dxfId="1022" priority="1650">
      <formula>AND($W$1076&lt;&gt;"Not Met",LEN(TRIM($W$1076))&gt;0)</formula>
    </cfRule>
  </conditionalFormatting>
  <conditionalFormatting sqref="W1076">
    <cfRule type="expression" dxfId="1021" priority="1649">
      <formula>OR($S$1076 = FALSE, AND($P$1076 = FALSE, ReportType &lt;&gt; "Final"), AND($Q$1076 = FALSE, ReportType &lt;&gt; "Rough"))</formula>
    </cfRule>
  </conditionalFormatting>
  <conditionalFormatting sqref="W1076">
    <cfRule type="expression" dxfId="1020" priority="1648">
      <formula>OR($T$1076 = TRUE, AND(LEN(TRIM($W$1076))&gt;0, $S$1076 = FALSE))</formula>
    </cfRule>
  </conditionalFormatting>
  <conditionalFormatting sqref="W1087">
    <cfRule type="expression" dxfId="1019" priority="1647">
      <formula>AND($R$1087,$S$1087)</formula>
    </cfRule>
  </conditionalFormatting>
  <conditionalFormatting sqref="W1087">
    <cfRule type="expression" dxfId="1018" priority="1646">
      <formula>AND($W$1087&lt;&gt;"Not Met",LEN(TRIM($W$1087))&gt;0)</formula>
    </cfRule>
  </conditionalFormatting>
  <conditionalFormatting sqref="W1087">
    <cfRule type="expression" dxfId="1017" priority="1645">
      <formula>OR($S$1087 = FALSE, AND($P$1087 = FALSE, ReportType &lt;&gt; "Final"), AND($Q$1087 = FALSE, ReportType &lt;&gt; "Rough"))</formula>
    </cfRule>
  </conditionalFormatting>
  <conditionalFormatting sqref="W1087">
    <cfRule type="expression" dxfId="1016" priority="1644">
      <formula>OR($T$1087 = TRUE, AND(LEN(TRIM($W$1087))&gt;0, $S$1087 = FALSE))</formula>
    </cfRule>
  </conditionalFormatting>
  <conditionalFormatting sqref="W1104">
    <cfRule type="expression" dxfId="1015" priority="1643">
      <formula>AND($R$1104,$S$1104)</formula>
    </cfRule>
  </conditionalFormatting>
  <conditionalFormatting sqref="W1104">
    <cfRule type="expression" dxfId="1014" priority="1642">
      <formula>AND(IF($R$1104,$W$1104,TRUE),LEN(TRIM($W$1104))&gt;0)</formula>
    </cfRule>
  </conditionalFormatting>
  <conditionalFormatting sqref="W1104">
    <cfRule type="expression" dxfId="1013" priority="1641">
      <formula>OR($S$1104 = FALSE, AND($P$1104 = FALSE, ReportType &lt;&gt; "Final"), AND($Q$1104 = FALSE, ReportType &lt;&gt; "Rough"))</formula>
    </cfRule>
  </conditionalFormatting>
  <conditionalFormatting sqref="W1104">
    <cfRule type="expression" dxfId="1012" priority="1640">
      <formula>OR($T$1104 = TRUE, AND($W$1104 = TRUE, $S$1104 = FALSE))</formula>
    </cfRule>
  </conditionalFormatting>
  <conditionalFormatting sqref="W1106">
    <cfRule type="expression" dxfId="1011" priority="1639">
      <formula>AND($R$1106,$S$1106)</formula>
    </cfRule>
  </conditionalFormatting>
  <conditionalFormatting sqref="W1106">
    <cfRule type="expression" dxfId="1010" priority="1638">
      <formula>AND(IF($R$1106,$W$1106,TRUE),LEN(TRIM($W$1106))&gt;0)</formula>
    </cfRule>
  </conditionalFormatting>
  <conditionalFormatting sqref="W1106">
    <cfRule type="expression" dxfId="1009" priority="1637">
      <formula>OR($S$1106 = FALSE, AND($P$1106 = FALSE, ReportType &lt;&gt; "Final"), AND($Q$1106 = FALSE, ReportType &lt;&gt; "Rough"))</formula>
    </cfRule>
  </conditionalFormatting>
  <conditionalFormatting sqref="W1106">
    <cfRule type="expression" dxfId="1008" priority="1636">
      <formula>OR($T$1106 = TRUE, AND($W$1106 = TRUE, $S$1106 = FALSE))</formula>
    </cfRule>
  </conditionalFormatting>
  <conditionalFormatting sqref="W1108">
    <cfRule type="expression" dxfId="1007" priority="1635">
      <formula>AND($R$1108,$S$1108)</formula>
    </cfRule>
  </conditionalFormatting>
  <conditionalFormatting sqref="W1108">
    <cfRule type="expression" dxfId="1006" priority="1634">
      <formula>AND(IF($R$1108,$W$1108,TRUE),LEN(TRIM($W$1108))&gt;0)</formula>
    </cfRule>
  </conditionalFormatting>
  <conditionalFormatting sqref="W1108">
    <cfRule type="expression" dxfId="1005" priority="1633">
      <formula>OR($S$1108 = FALSE, AND($P$1108 = FALSE, ReportType &lt;&gt; "Final"), AND($Q$1108 = FALSE, ReportType &lt;&gt; "Rough"))</formula>
    </cfRule>
  </conditionalFormatting>
  <conditionalFormatting sqref="W1108">
    <cfRule type="expression" dxfId="1004" priority="1632">
      <formula>OR($T$1108 = TRUE, AND($W$1108 = TRUE, $S$1108 = FALSE))</formula>
    </cfRule>
  </conditionalFormatting>
  <conditionalFormatting sqref="W1120">
    <cfRule type="expression" dxfId="1003" priority="1631">
      <formula>AND($R$1120,$S$1120)</formula>
    </cfRule>
  </conditionalFormatting>
  <conditionalFormatting sqref="W1120">
    <cfRule type="expression" dxfId="1002" priority="1630">
      <formula>AND(IF($R$1120,$W$1120,TRUE),LEN(TRIM($W$1120))&gt;0)</formula>
    </cfRule>
  </conditionalFormatting>
  <conditionalFormatting sqref="W1120">
    <cfRule type="expression" dxfId="1001" priority="1629">
      <formula>OR($S$1120 = FALSE, AND($P$1120 = FALSE, ReportType &lt;&gt; "Final"), AND($Q$1120 = FALSE, ReportType &lt;&gt; "Rough"))</formula>
    </cfRule>
  </conditionalFormatting>
  <conditionalFormatting sqref="W1120">
    <cfRule type="expression" dxfId="1000" priority="1628">
      <formula>OR($T$1120 = TRUE, AND($W$1120 = TRUE, $S$1120 = FALSE))</formula>
    </cfRule>
  </conditionalFormatting>
  <conditionalFormatting sqref="W1122">
    <cfRule type="expression" dxfId="999" priority="1627">
      <formula>AND($R$1122,$S$1122)</formula>
    </cfRule>
  </conditionalFormatting>
  <conditionalFormatting sqref="W1122">
    <cfRule type="expression" dxfId="998" priority="1626">
      <formula>AND(IF($R$1122,$W$1122,TRUE),LEN(TRIM($W$1122))&gt;0)</formula>
    </cfRule>
  </conditionalFormatting>
  <conditionalFormatting sqref="W1122">
    <cfRule type="expression" dxfId="997" priority="1625">
      <formula>OR($S$1122 = FALSE, AND($P$1122 = FALSE, ReportType &lt;&gt; "Final"), AND($Q$1122 = FALSE, ReportType &lt;&gt; "Rough"))</formula>
    </cfRule>
  </conditionalFormatting>
  <conditionalFormatting sqref="W1122">
    <cfRule type="expression" dxfId="996" priority="1624">
      <formula>OR($T$1122 = TRUE, AND($W$1122 = TRUE, $S$1122 = FALSE))</formula>
    </cfRule>
  </conditionalFormatting>
  <conditionalFormatting sqref="W1124">
    <cfRule type="expression" dxfId="995" priority="1623">
      <formula>AND($R$1124,$S$1124)</formula>
    </cfRule>
  </conditionalFormatting>
  <conditionalFormatting sqref="W1124">
    <cfRule type="expression" dxfId="994" priority="1622">
      <formula>AND(IF($R$1124,$W$1124,TRUE),LEN(TRIM($W$1124))&gt;0)</formula>
    </cfRule>
  </conditionalFormatting>
  <conditionalFormatting sqref="W1124">
    <cfRule type="expression" dxfId="993" priority="1621">
      <formula>OR($S$1124 = FALSE, AND($P$1124 = FALSE, ReportType &lt;&gt; "Final"), AND($Q$1124 = FALSE, ReportType &lt;&gt; "Rough"))</formula>
    </cfRule>
  </conditionalFormatting>
  <conditionalFormatting sqref="W1124">
    <cfRule type="expression" dxfId="992" priority="1620">
      <formula>OR($T$1124 = TRUE, AND($W$1124 = TRUE, $S$1124 = FALSE))</formula>
    </cfRule>
  </conditionalFormatting>
  <conditionalFormatting sqref="W1127">
    <cfRule type="expression" dxfId="991" priority="1619">
      <formula>AND($R$1127,$S$1127)</formula>
    </cfRule>
  </conditionalFormatting>
  <conditionalFormatting sqref="W1127">
    <cfRule type="expression" dxfId="990" priority="1618">
      <formula>AND(IF($R$1127,$W$1127,TRUE),LEN(TRIM($W$1127))&gt;0)</formula>
    </cfRule>
  </conditionalFormatting>
  <conditionalFormatting sqref="W1127">
    <cfRule type="expression" dxfId="989" priority="1617">
      <formula>OR($S$1127 = FALSE, AND($P$1127 = FALSE, ReportType &lt;&gt; "Final"), AND($Q$1127 = FALSE, ReportType &lt;&gt; "Rough"))</formula>
    </cfRule>
  </conditionalFormatting>
  <conditionalFormatting sqref="W1127">
    <cfRule type="expression" dxfId="988" priority="1616">
      <formula>OR($T$1127 = TRUE, AND($W$1127 = TRUE, $S$1127 = FALSE))</formula>
    </cfRule>
  </conditionalFormatting>
  <conditionalFormatting sqref="W1128">
    <cfRule type="expression" dxfId="987" priority="1615">
      <formula>AND($R$1128,$S$1128)</formula>
    </cfRule>
  </conditionalFormatting>
  <conditionalFormatting sqref="W1128">
    <cfRule type="expression" dxfId="986" priority="1614">
      <formula>AND(IF($R$1128,$W$1128,TRUE),LEN(TRIM($W$1128))&gt;0)</formula>
    </cfRule>
  </conditionalFormatting>
  <conditionalFormatting sqref="W1128">
    <cfRule type="expression" dxfId="985" priority="1613">
      <formula>OR($S$1128 = FALSE, AND($P$1128 = FALSE, ReportType &lt;&gt; "Final"), AND($Q$1128 = FALSE, ReportType &lt;&gt; "Rough"))</formula>
    </cfRule>
  </conditionalFormatting>
  <conditionalFormatting sqref="W1128">
    <cfRule type="expression" dxfId="984" priority="1612">
      <formula>OR($T$1128 = TRUE, AND($W$1128 = TRUE, $S$1128 = FALSE))</formula>
    </cfRule>
  </conditionalFormatting>
  <conditionalFormatting sqref="W1129">
    <cfRule type="expression" dxfId="983" priority="1611">
      <formula>AND($R$1129,$S$1129)</formula>
    </cfRule>
  </conditionalFormatting>
  <conditionalFormatting sqref="W1129">
    <cfRule type="expression" dxfId="982" priority="1610">
      <formula>AND(IF($R$1129,$W$1129,TRUE),LEN(TRIM($W$1129))&gt;0)</formula>
    </cfRule>
  </conditionalFormatting>
  <conditionalFormatting sqref="W1129">
    <cfRule type="expression" dxfId="981" priority="1609">
      <formula>OR($S$1129 = FALSE, AND($P$1129 = FALSE, ReportType &lt;&gt; "Final"), AND($Q$1129 = FALSE, ReportType &lt;&gt; "Rough"))</formula>
    </cfRule>
  </conditionalFormatting>
  <conditionalFormatting sqref="W1129">
    <cfRule type="expression" dxfId="980" priority="1608">
      <formula>OR($T$1129 = TRUE, AND($W$1129 = TRUE, $S$1129 = FALSE))</formula>
    </cfRule>
  </conditionalFormatting>
  <conditionalFormatting sqref="W1132">
    <cfRule type="expression" dxfId="979" priority="1607">
      <formula>AND($R$1132,$S$1132)</formula>
    </cfRule>
  </conditionalFormatting>
  <conditionalFormatting sqref="W1132">
    <cfRule type="expression" dxfId="978" priority="1606">
      <formula>AND(IF($R$1132,$W$1132,TRUE),LEN(TRIM($W$1132))&gt;0)</formula>
    </cfRule>
  </conditionalFormatting>
  <conditionalFormatting sqref="W1132">
    <cfRule type="expression" dxfId="977" priority="1605">
      <formula>OR($S$1132 = FALSE, AND($P$1132 = FALSE, ReportType &lt;&gt; "Final"), AND($Q$1132 = FALSE, ReportType &lt;&gt; "Rough"))</formula>
    </cfRule>
  </conditionalFormatting>
  <conditionalFormatting sqref="W1132">
    <cfRule type="expression" dxfId="976" priority="1604">
      <formula>OR($T$1132 = TRUE, AND($W$1132 = TRUE, $S$1132 = FALSE))</formula>
    </cfRule>
  </conditionalFormatting>
  <conditionalFormatting sqref="W1160">
    <cfRule type="expression" dxfId="975" priority="1603">
      <formula>AND($R$1160,$S$1160)</formula>
    </cfRule>
  </conditionalFormatting>
  <conditionalFormatting sqref="W1160">
    <cfRule type="expression" dxfId="974" priority="1602">
      <formula>AND(IF($R$1160,$W$1160,TRUE),LEN(TRIM($W$1160))&gt;0)</formula>
    </cfRule>
  </conditionalFormatting>
  <conditionalFormatting sqref="W1160">
    <cfRule type="expression" dxfId="973" priority="1601">
      <formula>OR($S$1160 = FALSE, AND($P$1160 = FALSE, ReportType &lt;&gt; "Final"), AND($Q$1160 = FALSE, ReportType &lt;&gt; "Rough"))</formula>
    </cfRule>
  </conditionalFormatting>
  <conditionalFormatting sqref="W1160">
    <cfRule type="expression" dxfId="972" priority="1600">
      <formula>OR($T$1160 = TRUE, AND($W$1160 = TRUE, $S$1160 = FALSE))</formula>
    </cfRule>
  </conditionalFormatting>
  <conditionalFormatting sqref="W1168">
    <cfRule type="expression" dxfId="971" priority="1599">
      <formula>AND($R$1168,$S$1168)</formula>
    </cfRule>
  </conditionalFormatting>
  <conditionalFormatting sqref="W1168">
    <cfRule type="expression" dxfId="970" priority="1598">
      <formula>AND(IF($R$1168,$W$1168,TRUE),LEN(TRIM($W$1168))&gt;0)</formula>
    </cfRule>
  </conditionalFormatting>
  <conditionalFormatting sqref="W1168">
    <cfRule type="expression" dxfId="969" priority="1597">
      <formula>OR($S$1168 = FALSE, AND($P$1168 = FALSE, ReportType &lt;&gt; "Final"), AND($Q$1168 = FALSE, ReportType &lt;&gt; "Rough"))</formula>
    </cfRule>
  </conditionalFormatting>
  <conditionalFormatting sqref="W1168">
    <cfRule type="expression" dxfId="968" priority="1596">
      <formula>OR($T$1168 = TRUE, AND($W$1168 = TRUE, $S$1168 = FALSE))</formula>
    </cfRule>
  </conditionalFormatting>
  <conditionalFormatting sqref="W1170">
    <cfRule type="expression" dxfId="967" priority="1595">
      <formula>AND($R$1170,$S$1170)</formula>
    </cfRule>
  </conditionalFormatting>
  <conditionalFormatting sqref="W1170">
    <cfRule type="expression" dxfId="966" priority="1594">
      <formula>AND(IF($R$1170,$W$1170,TRUE),LEN(TRIM($W$1170))&gt;0)</formula>
    </cfRule>
  </conditionalFormatting>
  <conditionalFormatting sqref="W1170">
    <cfRule type="expression" dxfId="965" priority="1593">
      <formula>OR($S$1170 = FALSE, AND($P$1170 = FALSE, ReportType &lt;&gt; "Final"), AND($Q$1170 = FALSE, ReportType &lt;&gt; "Rough"))</formula>
    </cfRule>
  </conditionalFormatting>
  <conditionalFormatting sqref="W1170">
    <cfRule type="expression" dxfId="964" priority="1592">
      <formula>OR($T$1170 = TRUE, AND($W$1170 = TRUE, $S$1170 = FALSE))</formula>
    </cfRule>
  </conditionalFormatting>
  <conditionalFormatting sqref="W1171">
    <cfRule type="expression" dxfId="963" priority="1591">
      <formula>AND($R$1171,$S$1171)</formula>
    </cfRule>
  </conditionalFormatting>
  <conditionalFormatting sqref="W1171">
    <cfRule type="expression" dxfId="962" priority="1590">
      <formula>AND(IF($R$1171,$W$1171,TRUE),LEN(TRIM($W$1171))&gt;0)</formula>
    </cfRule>
  </conditionalFormatting>
  <conditionalFormatting sqref="W1171">
    <cfRule type="expression" dxfId="961" priority="1589">
      <formula>OR($S$1171 = FALSE, AND($P$1171 = FALSE, ReportType &lt;&gt; "Final"), AND($Q$1171 = FALSE, ReportType &lt;&gt; "Rough"))</formula>
    </cfRule>
  </conditionalFormatting>
  <conditionalFormatting sqref="W1171">
    <cfRule type="expression" dxfId="960" priority="1588">
      <formula>OR($T$1171 = TRUE, AND($W$1171 = TRUE, $S$1171 = FALSE))</formula>
    </cfRule>
  </conditionalFormatting>
  <conditionalFormatting sqref="W1172">
    <cfRule type="expression" dxfId="959" priority="1587">
      <formula>AND($R$1172,$S$1172)</formula>
    </cfRule>
  </conditionalFormatting>
  <conditionalFormatting sqref="W1172">
    <cfRule type="expression" dxfId="958" priority="1586">
      <formula>AND(IF($R$1172,$W$1172,TRUE),LEN(TRIM($W$1172))&gt;0)</formula>
    </cfRule>
  </conditionalFormatting>
  <conditionalFormatting sqref="W1172">
    <cfRule type="expression" dxfId="957" priority="1585">
      <formula>OR($S$1172 = FALSE, AND($P$1172 = FALSE, ReportType &lt;&gt; "Final"), AND($Q$1172 = FALSE, ReportType &lt;&gt; "Rough"))</formula>
    </cfRule>
  </conditionalFormatting>
  <conditionalFormatting sqref="W1172">
    <cfRule type="expression" dxfId="956" priority="1584">
      <formula>OR($T$1172 = TRUE, AND($W$1172 = TRUE, $S$1172 = FALSE))</formula>
    </cfRule>
  </conditionalFormatting>
  <conditionalFormatting sqref="W1174">
    <cfRule type="expression" dxfId="955" priority="1583">
      <formula>AND($R$1174,$S$1174)</formula>
    </cfRule>
  </conditionalFormatting>
  <conditionalFormatting sqref="W1174">
    <cfRule type="expression" dxfId="954" priority="1582">
      <formula>AND(IF($R$1174,$W$1174,TRUE),LEN(TRIM($W$1174))&gt;0)</formula>
    </cfRule>
  </conditionalFormatting>
  <conditionalFormatting sqref="W1174">
    <cfRule type="expression" dxfId="953" priority="1581">
      <formula>OR($S$1174 = FALSE, AND($P$1174 = FALSE, ReportType &lt;&gt; "Final"), AND($Q$1174 = FALSE, ReportType &lt;&gt; "Rough"))</formula>
    </cfRule>
  </conditionalFormatting>
  <conditionalFormatting sqref="W1174">
    <cfRule type="expression" dxfId="952" priority="1580">
      <formula>OR($T$1174 = TRUE, AND($W$1174 = TRUE, $S$1174 = FALSE))</formula>
    </cfRule>
  </conditionalFormatting>
  <conditionalFormatting sqref="W1177">
    <cfRule type="expression" dxfId="951" priority="1579">
      <formula>AND($R$1177,$S$1177)</formula>
    </cfRule>
  </conditionalFormatting>
  <conditionalFormatting sqref="W1177">
    <cfRule type="expression" dxfId="950" priority="1578">
      <formula>AND(IF($R$1177,$W$1177,TRUE),LEN(TRIM($W$1177))&gt;0)</formula>
    </cfRule>
  </conditionalFormatting>
  <conditionalFormatting sqref="W1177">
    <cfRule type="expression" dxfId="949" priority="1577">
      <formula>OR($S$1177 = FALSE, AND($P$1177 = FALSE, ReportType &lt;&gt; "Final"), AND($Q$1177 = FALSE, ReportType &lt;&gt; "Rough"))</formula>
    </cfRule>
  </conditionalFormatting>
  <conditionalFormatting sqref="W1177">
    <cfRule type="expression" dxfId="948" priority="1576">
      <formula>OR($T$1177 = TRUE, AND($W$1177 = TRUE, $S$1177 = FALSE))</formula>
    </cfRule>
  </conditionalFormatting>
  <conditionalFormatting sqref="W1178">
    <cfRule type="expression" dxfId="947" priority="1575">
      <formula>AND($R$1178,$S$1178)</formula>
    </cfRule>
  </conditionalFormatting>
  <conditionalFormatting sqref="W1178">
    <cfRule type="expression" dxfId="946" priority="1574">
      <formula>AND(IF($R$1178,$W$1178,TRUE),LEN(TRIM($W$1178))&gt;0)</formula>
    </cfRule>
  </conditionalFormatting>
  <conditionalFormatting sqref="W1178">
    <cfRule type="expression" dxfId="945" priority="1573">
      <formula>OR($S$1178 = FALSE, AND($P$1178 = FALSE, ReportType &lt;&gt; "Final"), AND($Q$1178 = FALSE, ReportType &lt;&gt; "Rough"))</formula>
    </cfRule>
  </conditionalFormatting>
  <conditionalFormatting sqref="W1178">
    <cfRule type="expression" dxfId="944" priority="1572">
      <formula>OR($T$1178 = TRUE, AND($W$1178 = TRUE, $S$1178 = FALSE))</formula>
    </cfRule>
  </conditionalFormatting>
  <conditionalFormatting sqref="W1183">
    <cfRule type="expression" dxfId="943" priority="1571">
      <formula>AND($R$1183,$S$1183)</formula>
    </cfRule>
  </conditionalFormatting>
  <conditionalFormatting sqref="W1183">
    <cfRule type="expression" dxfId="942" priority="1570">
      <formula>AND(IF($R$1183,$W$1183,TRUE),LEN(TRIM($W$1183))&gt;0)</formula>
    </cfRule>
  </conditionalFormatting>
  <conditionalFormatting sqref="W1183">
    <cfRule type="expression" dxfId="941" priority="1569">
      <formula>OR($S$1183 = FALSE, AND($P$1183 = FALSE, ReportType &lt;&gt; "Final"), AND($Q$1183 = FALSE, ReportType &lt;&gt; "Rough"))</formula>
    </cfRule>
  </conditionalFormatting>
  <conditionalFormatting sqref="W1183">
    <cfRule type="expression" dxfId="940" priority="1568">
      <formula>OR($T$1183 = TRUE, AND($W$1183 = TRUE, $S$1183 = FALSE))</formula>
    </cfRule>
  </conditionalFormatting>
  <conditionalFormatting sqref="W1185">
    <cfRule type="expression" dxfId="939" priority="1567">
      <formula>AND($R$1185,$S$1185)</formula>
    </cfRule>
  </conditionalFormatting>
  <conditionalFormatting sqref="W1185">
    <cfRule type="expression" dxfId="938" priority="1566">
      <formula>AND(IF($R$1185,$W$1185,TRUE),LEN(TRIM($W$1185))&gt;0)</formula>
    </cfRule>
  </conditionalFormatting>
  <conditionalFormatting sqref="W1185">
    <cfRule type="expression" dxfId="937" priority="1565">
      <formula>OR($S$1185 = FALSE, AND($P$1185 = FALSE, ReportType &lt;&gt; "Final"), AND($Q$1185 = FALSE, ReportType &lt;&gt; "Rough"))</formula>
    </cfRule>
  </conditionalFormatting>
  <conditionalFormatting sqref="W1185">
    <cfRule type="expression" dxfId="936" priority="1564">
      <formula>OR($T$1185 = TRUE, AND($W$1185 = TRUE, $S$1185 = FALSE))</formula>
    </cfRule>
  </conditionalFormatting>
  <conditionalFormatting sqref="W1187">
    <cfRule type="expression" dxfId="935" priority="1563">
      <formula>AND($R$1187,$S$1187)</formula>
    </cfRule>
  </conditionalFormatting>
  <conditionalFormatting sqref="W1187">
    <cfRule type="expression" dxfId="934" priority="1562">
      <formula>AND(IF($R$1187,$W$1187,TRUE),LEN(TRIM($W$1187))&gt;0)</formula>
    </cfRule>
  </conditionalFormatting>
  <conditionalFormatting sqref="W1187">
    <cfRule type="expression" dxfId="933" priority="1561">
      <formula>OR($S$1187 = FALSE, AND($P$1187 = FALSE, ReportType &lt;&gt; "Final"), AND($Q$1187 = FALSE, ReportType &lt;&gt; "Rough"))</formula>
    </cfRule>
  </conditionalFormatting>
  <conditionalFormatting sqref="W1187">
    <cfRule type="expression" dxfId="932" priority="1560">
      <formula>OR($T$1187 = TRUE, AND($W$1187 = TRUE, $S$1187 = FALSE))</formula>
    </cfRule>
  </conditionalFormatting>
  <conditionalFormatting sqref="W1189">
    <cfRule type="expression" dxfId="931" priority="1559">
      <formula>AND($R$1189,$S$1189)</formula>
    </cfRule>
  </conditionalFormatting>
  <conditionalFormatting sqref="W1189">
    <cfRule type="expression" dxfId="930" priority="1558">
      <formula>AND(IF($R$1189,$W$1189,TRUE),LEN(TRIM($W$1189))&gt;0)</formula>
    </cfRule>
  </conditionalFormatting>
  <conditionalFormatting sqref="W1189">
    <cfRule type="expression" dxfId="929" priority="1557">
      <formula>OR($S$1189 = FALSE, AND($P$1189 = FALSE, ReportType &lt;&gt; "Final"), AND($Q$1189 = FALSE, ReportType &lt;&gt; "Rough"))</formula>
    </cfRule>
  </conditionalFormatting>
  <conditionalFormatting sqref="W1189">
    <cfRule type="expression" dxfId="928" priority="1556">
      <formula>OR($T$1189 = TRUE, AND($W$1189 = TRUE, $S$1189 = FALSE))</formula>
    </cfRule>
  </conditionalFormatting>
  <conditionalFormatting sqref="W1226">
    <cfRule type="expression" dxfId="927" priority="1555">
      <formula>AND($R$1226,$S$1226)</formula>
    </cfRule>
  </conditionalFormatting>
  <conditionalFormatting sqref="W1226">
    <cfRule type="expression" dxfId="926" priority="1554">
      <formula>AND($W$1226&lt;&gt;"Not Met",LEN(TRIM($W$1226))&gt;0)</formula>
    </cfRule>
  </conditionalFormatting>
  <conditionalFormatting sqref="W1226">
    <cfRule type="expression" dxfId="925" priority="1553">
      <formula>OR($S$1226 = FALSE, AND($P$1226 = FALSE, ReportType &lt;&gt; "Final"), AND($Q$1226 = FALSE, ReportType &lt;&gt; "Rough"))</formula>
    </cfRule>
  </conditionalFormatting>
  <conditionalFormatting sqref="W1226">
    <cfRule type="expression" dxfId="924" priority="1552">
      <formula>OR($T$1226 = TRUE, AND(LEN(TRIM($W$1226))&gt;0, $S$1226 = FALSE))</formula>
    </cfRule>
  </conditionalFormatting>
  <conditionalFormatting sqref="W1233">
    <cfRule type="expression" dxfId="923" priority="1551">
      <formula>AND($R$1233,$S$1233)</formula>
    </cfRule>
  </conditionalFormatting>
  <conditionalFormatting sqref="W1233">
    <cfRule type="expression" dxfId="922" priority="1550">
      <formula>AND($W$1233&lt;&gt;"Not Met",LEN(TRIM($W$1233))&gt;0)</formula>
    </cfRule>
  </conditionalFormatting>
  <conditionalFormatting sqref="W1233">
    <cfRule type="expression" dxfId="921" priority="1549">
      <formula>OR($S$1233 = FALSE, AND($P$1233 = FALSE, ReportType &lt;&gt; "Final"), AND($Q$1233 = FALSE, ReportType &lt;&gt; "Rough"))</formula>
    </cfRule>
  </conditionalFormatting>
  <conditionalFormatting sqref="W1233">
    <cfRule type="expression" dxfId="920" priority="1548">
      <formula>OR($T$1233 = TRUE, AND(LEN(TRIM($W$1233))&gt;0, $S$1233 = FALSE))</formula>
    </cfRule>
  </conditionalFormatting>
  <conditionalFormatting sqref="W1237">
    <cfRule type="expression" dxfId="919" priority="1547">
      <formula>AND($R$1237,$S$1237)</formula>
    </cfRule>
  </conditionalFormatting>
  <conditionalFormatting sqref="W1237">
    <cfRule type="expression" dxfId="918" priority="1546">
      <formula>AND($W$1237&lt;&gt;"Not Met",LEN(TRIM($W$1237))&gt;0)</formula>
    </cfRule>
  </conditionalFormatting>
  <conditionalFormatting sqref="W1237">
    <cfRule type="expression" dxfId="917" priority="1545">
      <formula>OR($S$1237 = FALSE, AND($P$1237 = FALSE, ReportType &lt;&gt; "Final"), AND($Q$1237 = FALSE, ReportType &lt;&gt; "Rough"))</formula>
    </cfRule>
  </conditionalFormatting>
  <conditionalFormatting sqref="W1237">
    <cfRule type="expression" dxfId="916" priority="1544">
      <formula>OR($T$1237 = TRUE, AND(LEN(TRIM($W$1237))&gt;0, $S$1237 = FALSE))</formula>
    </cfRule>
  </conditionalFormatting>
  <conditionalFormatting sqref="W1230">
    <cfRule type="expression" dxfId="915" priority="1539">
      <formula>AND($R$1230,$S$1230)</formula>
    </cfRule>
  </conditionalFormatting>
  <conditionalFormatting sqref="W1230">
    <cfRule type="expression" dxfId="914" priority="1538">
      <formula>AND(IF($R$1230,$W$1230,TRUE),LEN(TRIM($W$1230))&gt;0)</formula>
    </cfRule>
  </conditionalFormatting>
  <conditionalFormatting sqref="W1230">
    <cfRule type="expression" dxfId="913" priority="1537">
      <formula>OR($S$1230 = FALSE, AND($P$1230 = FALSE, ReportType &lt;&gt; "Final"), AND($Q$1230 = FALSE, ReportType &lt;&gt; "Rough"))</formula>
    </cfRule>
  </conditionalFormatting>
  <conditionalFormatting sqref="W1230">
    <cfRule type="expression" dxfId="912" priority="1536">
      <formula>OR($T$1230 = TRUE, AND($W$1230 = TRUE, $S$1230 = FALSE))</formula>
    </cfRule>
  </conditionalFormatting>
  <conditionalFormatting sqref="W1242">
    <cfRule type="expression" dxfId="911" priority="1535">
      <formula>AND($R$1242,$S$1242)</formula>
    </cfRule>
  </conditionalFormatting>
  <conditionalFormatting sqref="W1242">
    <cfRule type="expression" dxfId="910" priority="1534">
      <formula>AND($W$1242&lt;&gt;"Not Met",LEN(TRIM($W$1242))&gt;0)</formula>
    </cfRule>
  </conditionalFormatting>
  <conditionalFormatting sqref="W1242">
    <cfRule type="expression" dxfId="909" priority="1533">
      <formula>OR($S$1242 = FALSE, AND($P$1242 = FALSE, ReportType &lt;&gt; "Final"), AND($Q$1242 = FALSE, ReportType &lt;&gt; "Rough"))</formula>
    </cfRule>
  </conditionalFormatting>
  <conditionalFormatting sqref="W1242">
    <cfRule type="expression" dxfId="908" priority="1532">
      <formula>OR($T$1242 = TRUE, AND(LEN(TRIM($W$1242))&gt;0, $S$1242 = FALSE))</formula>
    </cfRule>
  </conditionalFormatting>
  <conditionalFormatting sqref="W1247">
    <cfRule type="expression" dxfId="907" priority="1531">
      <formula>AND($R$1247,$S$1247)</formula>
    </cfRule>
  </conditionalFormatting>
  <conditionalFormatting sqref="W1247">
    <cfRule type="expression" dxfId="906" priority="1530">
      <formula>AND(IF($R$1247,$W$1247,TRUE),LEN(TRIM($W$1247))&gt;0)</formula>
    </cfRule>
  </conditionalFormatting>
  <conditionalFormatting sqref="W1247">
    <cfRule type="expression" dxfId="905" priority="1529">
      <formula>OR($S$1247 = FALSE, AND($P$1247 = FALSE, ReportType &lt;&gt; "Final"), AND($Q$1247 = FALSE, ReportType &lt;&gt; "Rough"))</formula>
    </cfRule>
  </conditionalFormatting>
  <conditionalFormatting sqref="W1247">
    <cfRule type="expression" dxfId="904" priority="1528">
      <formula>OR($T$1247 = TRUE, AND($W$1247 = TRUE, $S$1247 = FALSE))</formula>
    </cfRule>
  </conditionalFormatting>
  <conditionalFormatting sqref="W1250">
    <cfRule type="expression" dxfId="903" priority="1527">
      <formula>AND($R$1250,$S$1250)</formula>
    </cfRule>
  </conditionalFormatting>
  <conditionalFormatting sqref="W1250">
    <cfRule type="expression" dxfId="902" priority="1526">
      <formula>AND(IF($R$1250,$W$1250,TRUE),LEN(TRIM($W$1250))&gt;0)</formula>
    </cfRule>
  </conditionalFormatting>
  <conditionalFormatting sqref="W1250">
    <cfRule type="expression" dxfId="901" priority="1525">
      <formula>OR($S$1250 = FALSE, AND($P$1250 = FALSE, ReportType &lt;&gt; "Final"), AND($Q$1250 = FALSE, ReportType &lt;&gt; "Rough"))</formula>
    </cfRule>
  </conditionalFormatting>
  <conditionalFormatting sqref="W1250">
    <cfRule type="expression" dxfId="900" priority="1524">
      <formula>OR($T$1250 = TRUE, AND($W$1250 = TRUE, $S$1250 = FALSE))</formula>
    </cfRule>
  </conditionalFormatting>
  <conditionalFormatting sqref="W1255">
    <cfRule type="expression" dxfId="899" priority="1523">
      <formula>AND($R$1255,$S$1255)</formula>
    </cfRule>
  </conditionalFormatting>
  <conditionalFormatting sqref="W1255">
    <cfRule type="expression" dxfId="898" priority="1522">
      <formula>AND(IF($R$1255,$W$1255,TRUE),LEN(TRIM($W$1255))&gt;0)</formula>
    </cfRule>
  </conditionalFormatting>
  <conditionalFormatting sqref="W1255">
    <cfRule type="expression" dxfId="897" priority="1521">
      <formula>OR($S$1255 = FALSE, AND($P$1255 = FALSE, ReportType &lt;&gt; "Final"), AND($Q$1255 = FALSE, ReportType &lt;&gt; "Rough"))</formula>
    </cfRule>
  </conditionalFormatting>
  <conditionalFormatting sqref="W1255">
    <cfRule type="expression" dxfId="896" priority="1520">
      <formula>OR($T$1255 = TRUE, AND($W$1255 = TRUE, $S$1255 = FALSE))</formula>
    </cfRule>
  </conditionalFormatting>
  <conditionalFormatting sqref="W1256">
    <cfRule type="expression" dxfId="895" priority="1519">
      <formula>AND($R$1256,$S$1256)</formula>
    </cfRule>
  </conditionalFormatting>
  <conditionalFormatting sqref="W1256">
    <cfRule type="expression" dxfId="894" priority="1518">
      <formula>AND(IF($R$1256,$W$1256,TRUE),LEN(TRIM($W$1256))&gt;0)</formula>
    </cfRule>
  </conditionalFormatting>
  <conditionalFormatting sqref="W1256">
    <cfRule type="expression" dxfId="893" priority="1517">
      <formula>OR($S$1256 = FALSE, AND($P$1256 = FALSE, ReportType &lt;&gt; "Final"), AND($Q$1256 = FALSE, ReportType &lt;&gt; "Rough"))</formula>
    </cfRule>
  </conditionalFormatting>
  <conditionalFormatting sqref="W1256">
    <cfRule type="expression" dxfId="892" priority="1516">
      <formula>OR($T$1256 = TRUE, AND($W$1256 = TRUE, $S$1256 = FALSE))</formula>
    </cfRule>
  </conditionalFormatting>
  <conditionalFormatting sqref="W1260">
    <cfRule type="expression" dxfId="891" priority="1515">
      <formula>AND($R$1260,$S$1260)</formula>
    </cfRule>
  </conditionalFormatting>
  <conditionalFormatting sqref="W1260">
    <cfRule type="expression" dxfId="890" priority="1514">
      <formula>AND(IF($R$1260,$W$1260,TRUE),LEN(TRIM($W$1260))&gt;0)</formula>
    </cfRule>
  </conditionalFormatting>
  <conditionalFormatting sqref="W1260">
    <cfRule type="expression" dxfId="889" priority="1513">
      <formula>OR($S$1260 = FALSE, AND($P$1260 = FALSE, ReportType &lt;&gt; "Final"), AND($Q$1260 = FALSE, ReportType &lt;&gt; "Rough"))</formula>
    </cfRule>
  </conditionalFormatting>
  <conditionalFormatting sqref="W1260">
    <cfRule type="expression" dxfId="888" priority="1512">
      <formula>OR($T$1260 = TRUE, AND($W$1260 = TRUE, $S$1260 = FALSE))</formula>
    </cfRule>
  </conditionalFormatting>
  <conditionalFormatting sqref="W1265">
    <cfRule type="expression" dxfId="887" priority="1511">
      <formula>AND($R$1265,$S$1265)</formula>
    </cfRule>
  </conditionalFormatting>
  <conditionalFormatting sqref="W1265">
    <cfRule type="expression" dxfId="886" priority="1510">
      <formula>AND(IF($R$1265,$W$1265,TRUE),LEN(TRIM($W$1265))&gt;0)</formula>
    </cfRule>
  </conditionalFormatting>
  <conditionalFormatting sqref="W1265">
    <cfRule type="expression" dxfId="885" priority="1509">
      <formula>OR($S$1265 = FALSE, AND($P$1265 = FALSE, ReportType &lt;&gt; "Final"), AND($Q$1265 = FALSE, ReportType &lt;&gt; "Rough"))</formula>
    </cfRule>
  </conditionalFormatting>
  <conditionalFormatting sqref="W1265">
    <cfRule type="expression" dxfId="884" priority="1508">
      <formula>OR($T$1265 = TRUE, AND($W$1265 = TRUE, $S$1265 = FALSE))</formula>
    </cfRule>
  </conditionalFormatting>
  <conditionalFormatting sqref="W1288">
    <cfRule type="expression" dxfId="883" priority="1507">
      <formula>AND($R$1288,$S$1288)</formula>
    </cfRule>
  </conditionalFormatting>
  <conditionalFormatting sqref="W1288">
    <cfRule type="expression" dxfId="882" priority="1506">
      <formula>AND(IF($R$1288,$W$1288,TRUE),LEN(TRIM($W$1288))&gt;0)</formula>
    </cfRule>
  </conditionalFormatting>
  <conditionalFormatting sqref="W1288">
    <cfRule type="expression" dxfId="881" priority="1505">
      <formula>OR($S$1288 = FALSE, AND($P$1288 = FALSE, ReportType &lt;&gt; "Final"), AND($Q$1288 = FALSE, ReportType &lt;&gt; "Rough"))</formula>
    </cfRule>
  </conditionalFormatting>
  <conditionalFormatting sqref="W1288">
    <cfRule type="expression" dxfId="880" priority="1504">
      <formula>OR($T$1288 = TRUE, AND($W$1288 = TRUE, $S$1288 = FALSE))</formula>
    </cfRule>
  </conditionalFormatting>
  <conditionalFormatting sqref="W1291">
    <cfRule type="expression" dxfId="879" priority="1503">
      <formula>AND($R$1291,$S$1291)</formula>
    </cfRule>
  </conditionalFormatting>
  <conditionalFormatting sqref="W1291">
    <cfRule type="expression" dxfId="878" priority="1502">
      <formula>AND(IF($R$1291,$W$1291,TRUE),LEN(TRIM($W$1291))&gt;0)</formula>
    </cfRule>
  </conditionalFormatting>
  <conditionalFormatting sqref="W1291">
    <cfRule type="expression" dxfId="877" priority="1501">
      <formula>OR($S$1291 = FALSE, AND($P$1291 = FALSE, ReportType &lt;&gt; "Final"), AND($Q$1291 = FALSE, ReportType &lt;&gt; "Rough"))</formula>
    </cfRule>
  </conditionalFormatting>
  <conditionalFormatting sqref="W1291">
    <cfRule type="expression" dxfId="876" priority="1500">
      <formula>OR($T$1291 = TRUE, AND($W$1291 = TRUE, $S$1291 = FALSE))</formula>
    </cfRule>
  </conditionalFormatting>
  <conditionalFormatting sqref="W1299">
    <cfRule type="expression" dxfId="875" priority="1499">
      <formula>AND($R$1299,$S$1299)</formula>
    </cfRule>
  </conditionalFormatting>
  <conditionalFormatting sqref="W1299">
    <cfRule type="expression" dxfId="874" priority="1498">
      <formula>AND($W$1299&lt;&gt;"Not Met",LEN(TRIM($W$1299))&gt;0)</formula>
    </cfRule>
  </conditionalFormatting>
  <conditionalFormatting sqref="W1299">
    <cfRule type="expression" dxfId="873" priority="1497">
      <formula>OR($S$1299 = FALSE, AND($P$1299 = FALSE, ReportType &lt;&gt; "Final"), AND($Q$1299 = FALSE, ReportType &lt;&gt; "Rough"))</formula>
    </cfRule>
  </conditionalFormatting>
  <conditionalFormatting sqref="W1299">
    <cfRule type="expression" dxfId="872" priority="1496">
      <formula>OR($T$1299 = TRUE, AND(LEN(TRIM($W$1299))&gt;0, $S$1299 = FALSE))</formula>
    </cfRule>
  </conditionalFormatting>
  <conditionalFormatting sqref="W1305">
    <cfRule type="expression" dxfId="871" priority="1495">
      <formula>AND($R$1305,$S$1305)</formula>
    </cfRule>
  </conditionalFormatting>
  <conditionalFormatting sqref="W1305">
    <cfRule type="expression" dxfId="870" priority="1494">
      <formula>AND(IF($R$1305,$W$1305,TRUE),LEN(TRIM($W$1305))&gt;0)</formula>
    </cfRule>
  </conditionalFormatting>
  <conditionalFormatting sqref="W1305">
    <cfRule type="expression" dxfId="869" priority="1493">
      <formula>OR($S$1305 = FALSE, AND($P$1305 = FALSE, ReportType &lt;&gt; "Final"), AND($Q$1305 = FALSE, ReportType &lt;&gt; "Rough"))</formula>
    </cfRule>
  </conditionalFormatting>
  <conditionalFormatting sqref="W1305">
    <cfRule type="expression" dxfId="868" priority="1492">
      <formula>OR($T$1305 = TRUE, AND($W$1305 = TRUE, $S$1305 = FALSE))</formula>
    </cfRule>
  </conditionalFormatting>
  <conditionalFormatting sqref="W1317">
    <cfRule type="expression" dxfId="867" priority="1491">
      <formula>AND($R$1317,$S$1317)</formula>
    </cfRule>
  </conditionalFormatting>
  <conditionalFormatting sqref="W1317">
    <cfRule type="expression" dxfId="866" priority="1490">
      <formula>AND(IF($R$1317,$W$1317,TRUE),LEN(TRIM($W$1317))&gt;0)</formula>
    </cfRule>
  </conditionalFormatting>
  <conditionalFormatting sqref="W1317">
    <cfRule type="expression" dxfId="865" priority="1489">
      <formula>OR($S$1317 = FALSE, AND($P$1317 = FALSE, ReportType &lt;&gt; "Final"), AND($Q$1317 = FALSE, ReportType &lt;&gt; "Rough"))</formula>
    </cfRule>
  </conditionalFormatting>
  <conditionalFormatting sqref="W1317">
    <cfRule type="expression" dxfId="864" priority="1488">
      <formula>OR($T$1317 = TRUE, AND($W$1317 = TRUE, $S$1317 = FALSE))</formula>
    </cfRule>
  </conditionalFormatting>
  <conditionalFormatting sqref="W1319">
    <cfRule type="expression" dxfId="863" priority="1487">
      <formula>AND($R$1319,$S$1319)</formula>
    </cfRule>
  </conditionalFormatting>
  <conditionalFormatting sqref="W1319">
    <cfRule type="expression" dxfId="862" priority="1486">
      <formula>AND(IF($R$1319,$W$1319,TRUE),LEN(TRIM($W$1319))&gt;0)</formula>
    </cfRule>
  </conditionalFormatting>
  <conditionalFormatting sqref="W1319">
    <cfRule type="expression" dxfId="861" priority="1485">
      <formula>OR($S$1319 = FALSE, AND($P$1319 = FALSE, ReportType &lt;&gt; "Final"), AND($Q$1319 = FALSE, ReportType &lt;&gt; "Rough"))</formula>
    </cfRule>
  </conditionalFormatting>
  <conditionalFormatting sqref="W1319">
    <cfRule type="expression" dxfId="860" priority="1484">
      <formula>OR($T$1319 = TRUE, AND($W$1319 = TRUE, $S$1319 = FALSE))</formula>
    </cfRule>
  </conditionalFormatting>
  <conditionalFormatting sqref="W1321">
    <cfRule type="expression" dxfId="859" priority="1483">
      <formula>AND($R$1321,$S$1321)</formula>
    </cfRule>
  </conditionalFormatting>
  <conditionalFormatting sqref="W1321">
    <cfRule type="expression" dxfId="858" priority="1482">
      <formula>AND(IF($R$1321,$W$1321,TRUE),LEN(TRIM($W$1321))&gt;0)</formula>
    </cfRule>
  </conditionalFormatting>
  <conditionalFormatting sqref="W1321">
    <cfRule type="expression" dxfId="857" priority="1481">
      <formula>OR($S$1321 = FALSE, AND($P$1321 = FALSE, ReportType &lt;&gt; "Final"), AND($Q$1321 = FALSE, ReportType &lt;&gt; "Rough"))</formula>
    </cfRule>
  </conditionalFormatting>
  <conditionalFormatting sqref="W1321">
    <cfRule type="expression" dxfId="856" priority="1480">
      <formula>OR($T$1321 = TRUE, AND($W$1321 = TRUE, $S$1321 = FALSE))</formula>
    </cfRule>
  </conditionalFormatting>
  <conditionalFormatting sqref="W1328">
    <cfRule type="expression" dxfId="855" priority="1479">
      <formula>AND($R$1328,$S$1328)</formula>
    </cfRule>
  </conditionalFormatting>
  <conditionalFormatting sqref="W1328">
    <cfRule type="expression" dxfId="854" priority="1478">
      <formula>AND(IF($R$1328,$W$1328,TRUE),LEN(TRIM($W$1328))&gt;0)</formula>
    </cfRule>
  </conditionalFormatting>
  <conditionalFormatting sqref="W1328">
    <cfRule type="expression" dxfId="853" priority="1477">
      <formula>OR($S$1328 = FALSE, AND($P$1328 = FALSE, ReportType &lt;&gt; "Final"), AND($Q$1328 = FALSE, ReportType &lt;&gt; "Rough"))</formula>
    </cfRule>
  </conditionalFormatting>
  <conditionalFormatting sqref="W1328">
    <cfRule type="expression" dxfId="852" priority="1476">
      <formula>OR($T$1328 = TRUE, AND($W$1328 = TRUE, $S$1328 = FALSE))</formula>
    </cfRule>
  </conditionalFormatting>
  <conditionalFormatting sqref="W1329">
    <cfRule type="expression" dxfId="851" priority="1475">
      <formula>AND($R$1329,$S$1329)</formula>
    </cfRule>
  </conditionalFormatting>
  <conditionalFormatting sqref="W1329">
    <cfRule type="expression" dxfId="850" priority="1474">
      <formula>AND(IF($R$1329,$W$1329,TRUE),LEN(TRIM($W$1329))&gt;0)</formula>
    </cfRule>
  </conditionalFormatting>
  <conditionalFormatting sqref="W1329">
    <cfRule type="expression" dxfId="849" priority="1473">
      <formula>OR($S$1329 = FALSE, AND($P$1329 = FALSE, ReportType &lt;&gt; "Final"), AND($Q$1329 = FALSE, ReportType &lt;&gt; "Rough"))</formula>
    </cfRule>
  </conditionalFormatting>
  <conditionalFormatting sqref="W1329">
    <cfRule type="expression" dxfId="848" priority="1472">
      <formula>OR($T$1329 = TRUE, AND($W$1329 = TRUE, $S$1329 = FALSE))</formula>
    </cfRule>
  </conditionalFormatting>
  <conditionalFormatting sqref="W1330">
    <cfRule type="expression" dxfId="847" priority="1471">
      <formula>AND($R$1330,$S$1330)</formula>
    </cfRule>
  </conditionalFormatting>
  <conditionalFormatting sqref="W1330">
    <cfRule type="expression" dxfId="846" priority="1470">
      <formula>AND(IF($R$1330,$W$1330,TRUE),LEN(TRIM($W$1330))&gt;0)</formula>
    </cfRule>
  </conditionalFormatting>
  <conditionalFormatting sqref="W1330">
    <cfRule type="expression" dxfId="845" priority="1469">
      <formula>OR($S$1330 = FALSE, AND($P$1330 = FALSE, ReportType &lt;&gt; "Final"), AND($Q$1330 = FALSE, ReportType &lt;&gt; "Rough"))</formula>
    </cfRule>
  </conditionalFormatting>
  <conditionalFormatting sqref="W1330">
    <cfRule type="expression" dxfId="844" priority="1468">
      <formula>OR($T$1330 = TRUE, AND($W$1330 = TRUE, $S$1330 = FALSE))</formula>
    </cfRule>
  </conditionalFormatting>
  <conditionalFormatting sqref="W1331">
    <cfRule type="expression" dxfId="843" priority="1467">
      <formula>AND($R$1331,$S$1331)</formula>
    </cfRule>
  </conditionalFormatting>
  <conditionalFormatting sqref="W1331">
    <cfRule type="expression" dxfId="842" priority="1466">
      <formula>AND(IF($R$1331,$W$1331,TRUE),LEN(TRIM($W$1331))&gt;0)</formula>
    </cfRule>
  </conditionalFormatting>
  <conditionalFormatting sqref="W1331">
    <cfRule type="expression" dxfId="841" priority="1465">
      <formula>OR($S$1331 = FALSE, AND($P$1331 = FALSE, ReportType &lt;&gt; "Final"), AND($Q$1331 = FALSE, ReportType &lt;&gt; "Rough"))</formula>
    </cfRule>
  </conditionalFormatting>
  <conditionalFormatting sqref="W1331">
    <cfRule type="expression" dxfId="840" priority="1464">
      <formula>OR($T$1331 = TRUE, AND($W$1331 = TRUE, $S$1331 = FALSE))</formula>
    </cfRule>
  </conditionalFormatting>
  <conditionalFormatting sqref="W1333">
    <cfRule type="expression" dxfId="839" priority="1463">
      <formula>AND($R$1333,$S$1333)</formula>
    </cfRule>
  </conditionalFormatting>
  <conditionalFormatting sqref="W1333">
    <cfRule type="expression" dxfId="838" priority="1462">
      <formula>AND(IF($R$1333,$W$1333,TRUE),LEN(TRIM($W$1333))&gt;0)</formula>
    </cfRule>
  </conditionalFormatting>
  <conditionalFormatting sqref="W1333">
    <cfRule type="expression" dxfId="837" priority="1461">
      <formula>OR($S$1333 = FALSE, AND($P$1333 = FALSE, ReportType &lt;&gt; "Final"), AND($Q$1333 = FALSE, ReportType &lt;&gt; "Rough"))</formula>
    </cfRule>
  </conditionalFormatting>
  <conditionalFormatting sqref="W1333">
    <cfRule type="expression" dxfId="836" priority="1460">
      <formula>OR($T$1333 = TRUE, AND($W$1333 = TRUE, $S$1333 = FALSE))</formula>
    </cfRule>
  </conditionalFormatting>
  <conditionalFormatting sqref="W1336">
    <cfRule type="expression" dxfId="835" priority="1459">
      <formula>AND($R$1336,$S$1336)</formula>
    </cfRule>
  </conditionalFormatting>
  <conditionalFormatting sqref="W1336">
    <cfRule type="expression" dxfId="834" priority="1458">
      <formula>AND(IF($R$1336,$W$1336,TRUE),LEN(TRIM($W$1336))&gt;0)</formula>
    </cfRule>
  </conditionalFormatting>
  <conditionalFormatting sqref="W1336">
    <cfRule type="expression" dxfId="833" priority="1457">
      <formula>OR($S$1336 = FALSE, AND($P$1336 = FALSE, ReportType &lt;&gt; "Final"), AND($Q$1336 = FALSE, ReportType &lt;&gt; "Rough"))</formula>
    </cfRule>
  </conditionalFormatting>
  <conditionalFormatting sqref="W1336">
    <cfRule type="expression" dxfId="832" priority="1456">
      <formula>OR($T$1336 = TRUE, AND($W$1336 = TRUE, $S$1336 = FALSE))</formula>
    </cfRule>
  </conditionalFormatting>
  <conditionalFormatting sqref="W1339">
    <cfRule type="expression" dxfId="831" priority="1455">
      <formula>AND($R$1339,$S$1339)</formula>
    </cfRule>
  </conditionalFormatting>
  <conditionalFormatting sqref="W1339">
    <cfRule type="expression" dxfId="830" priority="1454">
      <formula>AND($W$1339&lt;&gt;"Not Met",LEN(TRIM($W$1339))&gt;0)</formula>
    </cfRule>
  </conditionalFormatting>
  <conditionalFormatting sqref="W1339">
    <cfRule type="expression" dxfId="829" priority="1453">
      <formula>OR($S$1339 = FALSE, AND($P$1339 = FALSE, ReportType &lt;&gt; "Final"), AND($Q$1339 = FALSE, ReportType &lt;&gt; "Rough"))</formula>
    </cfRule>
  </conditionalFormatting>
  <conditionalFormatting sqref="W1339">
    <cfRule type="expression" dxfId="828" priority="1452">
      <formula>OR($T$1339 = TRUE, AND(LEN(TRIM($W$1339))&gt;0, $S$1339 = FALSE))</formula>
    </cfRule>
  </conditionalFormatting>
  <conditionalFormatting sqref="W1354">
    <cfRule type="expression" dxfId="827" priority="1451">
      <formula>AND($R$1354,$S$1354)</formula>
    </cfRule>
  </conditionalFormatting>
  <conditionalFormatting sqref="W1354">
    <cfRule type="expression" dxfId="826" priority="1450">
      <formula>AND(IF($R$1354,$W$1354,TRUE),LEN(TRIM($W$1354))&gt;0)</formula>
    </cfRule>
  </conditionalFormatting>
  <conditionalFormatting sqref="W1354">
    <cfRule type="expression" dxfId="825" priority="1449">
      <formula>OR($S$1354 = FALSE, AND($P$1354 = FALSE, ReportType &lt;&gt; "Final"), AND($Q$1354 = FALSE, ReportType &lt;&gt; "Rough"))</formula>
    </cfRule>
  </conditionalFormatting>
  <conditionalFormatting sqref="W1354">
    <cfRule type="expression" dxfId="824" priority="1448">
      <formula>OR($T$1354 = TRUE, AND($W$1354 = TRUE, $S$1354 = FALSE))</formula>
    </cfRule>
  </conditionalFormatting>
  <conditionalFormatting sqref="W1355">
    <cfRule type="expression" dxfId="823" priority="1447">
      <formula>AND($R$1355,$S$1355)</formula>
    </cfRule>
  </conditionalFormatting>
  <conditionalFormatting sqref="W1355">
    <cfRule type="expression" dxfId="822" priority="1446">
      <formula>AND(IF($R$1355,$W$1355,TRUE),LEN(TRIM($W$1355))&gt;0)</formula>
    </cfRule>
  </conditionalFormatting>
  <conditionalFormatting sqref="W1355">
    <cfRule type="expression" dxfId="821" priority="1445">
      <formula>OR($S$1355 = FALSE, AND($P$1355 = FALSE, ReportType &lt;&gt; "Final"), AND($Q$1355 = FALSE, ReportType &lt;&gt; "Rough"))</formula>
    </cfRule>
  </conditionalFormatting>
  <conditionalFormatting sqref="W1355">
    <cfRule type="expression" dxfId="820" priority="1444">
      <formula>OR($T$1355 = TRUE, AND($W$1355 = TRUE, $S$1355 = FALSE))</formula>
    </cfRule>
  </conditionalFormatting>
  <conditionalFormatting sqref="W1356">
    <cfRule type="expression" dxfId="819" priority="1443">
      <formula>AND($R$1356,$S$1356)</formula>
    </cfRule>
  </conditionalFormatting>
  <conditionalFormatting sqref="W1356">
    <cfRule type="expression" dxfId="818" priority="1442">
      <formula>AND(IF($R$1356,$W$1356,TRUE),LEN(TRIM($W$1356))&gt;0)</formula>
    </cfRule>
  </conditionalFormatting>
  <conditionalFormatting sqref="W1356">
    <cfRule type="expression" dxfId="817" priority="1441">
      <formula>OR($S$1356 = FALSE, AND($P$1356 = FALSE, ReportType &lt;&gt; "Final"), AND($Q$1356 = FALSE, ReportType &lt;&gt; "Rough"))</formula>
    </cfRule>
  </conditionalFormatting>
  <conditionalFormatting sqref="W1356">
    <cfRule type="expression" dxfId="816" priority="1440">
      <formula>OR($T$1356 = TRUE, AND($W$1356 = TRUE, $S$1356 = FALSE))</formula>
    </cfRule>
  </conditionalFormatting>
  <conditionalFormatting sqref="W1357">
    <cfRule type="expression" dxfId="815" priority="1439">
      <formula>AND($R$1357,$S$1357)</formula>
    </cfRule>
  </conditionalFormatting>
  <conditionalFormatting sqref="W1357">
    <cfRule type="expression" dxfId="814" priority="1438">
      <formula>AND(IF($R$1357,$W$1357,TRUE),LEN(TRIM($W$1357))&gt;0)</formula>
    </cfRule>
  </conditionalFormatting>
  <conditionalFormatting sqref="W1357">
    <cfRule type="expression" dxfId="813" priority="1437">
      <formula>OR($S$1357 = FALSE, AND($P$1357 = FALSE, ReportType &lt;&gt; "Final"), AND($Q$1357 = FALSE, ReportType &lt;&gt; "Rough"))</formula>
    </cfRule>
  </conditionalFormatting>
  <conditionalFormatting sqref="W1357">
    <cfRule type="expression" dxfId="812" priority="1436">
      <formula>OR($T$1357 = TRUE, AND($W$1357 = TRUE, $S$1357 = FALSE))</formula>
    </cfRule>
  </conditionalFormatting>
  <conditionalFormatting sqref="W1358">
    <cfRule type="expression" dxfId="811" priority="1435">
      <formula>AND($R$1358,$S$1358)</formula>
    </cfRule>
  </conditionalFormatting>
  <conditionalFormatting sqref="W1358">
    <cfRule type="expression" dxfId="810" priority="1434">
      <formula>AND(IF($R$1358,$W$1358,TRUE),LEN(TRIM($W$1358))&gt;0)</formula>
    </cfRule>
  </conditionalFormatting>
  <conditionalFormatting sqref="W1358">
    <cfRule type="expression" dxfId="809" priority="1433">
      <formula>OR($S$1358 = FALSE, AND($P$1358 = FALSE, ReportType &lt;&gt; "Final"), AND($Q$1358 = FALSE, ReportType &lt;&gt; "Rough"))</formula>
    </cfRule>
  </conditionalFormatting>
  <conditionalFormatting sqref="W1358">
    <cfRule type="expression" dxfId="808" priority="1432">
      <formula>OR($T$1358 = TRUE, AND($W$1358 = TRUE, $S$1358 = FALSE))</formula>
    </cfRule>
  </conditionalFormatting>
  <conditionalFormatting sqref="W1359">
    <cfRule type="expression" dxfId="807" priority="1431">
      <formula>AND($R$1359,$S$1359)</formula>
    </cfRule>
  </conditionalFormatting>
  <conditionalFormatting sqref="W1359">
    <cfRule type="expression" dxfId="806" priority="1430">
      <formula>AND(IF($R$1359,$W$1359,TRUE),LEN(TRIM($W$1359))&gt;0)</formula>
    </cfRule>
  </conditionalFormatting>
  <conditionalFormatting sqref="W1359">
    <cfRule type="expression" dxfId="805" priority="1429">
      <formula>OR($S$1359 = FALSE, AND($P$1359 = FALSE, ReportType &lt;&gt; "Final"), AND($Q$1359 = FALSE, ReportType &lt;&gt; "Rough"))</formula>
    </cfRule>
  </conditionalFormatting>
  <conditionalFormatting sqref="W1359">
    <cfRule type="expression" dxfId="804" priority="1428">
      <formula>OR($T$1359 = TRUE, AND($W$1359 = TRUE, $S$1359 = FALSE))</formula>
    </cfRule>
  </conditionalFormatting>
  <conditionalFormatting sqref="W1360">
    <cfRule type="expression" dxfId="803" priority="1427">
      <formula>AND($R$1360,$S$1360)</formula>
    </cfRule>
  </conditionalFormatting>
  <conditionalFormatting sqref="W1360">
    <cfRule type="expression" dxfId="802" priority="1426">
      <formula>AND(IF($R$1360,$W$1360,TRUE),LEN(TRIM($W$1360))&gt;0)</formula>
    </cfRule>
  </conditionalFormatting>
  <conditionalFormatting sqref="W1360">
    <cfRule type="expression" dxfId="801" priority="1425">
      <formula>OR($S$1360 = FALSE, AND($P$1360 = FALSE, ReportType &lt;&gt; "Final"), AND($Q$1360 = FALSE, ReportType &lt;&gt; "Rough"))</formula>
    </cfRule>
  </conditionalFormatting>
  <conditionalFormatting sqref="W1360">
    <cfRule type="expression" dxfId="800" priority="1424">
      <formula>OR($T$1360 = TRUE, AND($W$1360 = TRUE, $S$1360 = FALSE))</formula>
    </cfRule>
  </conditionalFormatting>
  <conditionalFormatting sqref="W1361">
    <cfRule type="expression" dxfId="799" priority="1423">
      <formula>AND($R$1361,$S$1361)</formula>
    </cfRule>
  </conditionalFormatting>
  <conditionalFormatting sqref="W1361">
    <cfRule type="expression" dxfId="798" priority="1422">
      <formula>AND(IF($R$1361,$W$1361,TRUE),LEN(TRIM($W$1361))&gt;0)</formula>
    </cfRule>
  </conditionalFormatting>
  <conditionalFormatting sqref="W1361">
    <cfRule type="expression" dxfId="797" priority="1421">
      <formula>OR($S$1361 = FALSE, AND($P$1361 = FALSE, ReportType &lt;&gt; "Final"), AND($Q$1361 = FALSE, ReportType &lt;&gt; "Rough"))</formula>
    </cfRule>
  </conditionalFormatting>
  <conditionalFormatting sqref="W1361">
    <cfRule type="expression" dxfId="796" priority="1420">
      <formula>OR($T$1361 = TRUE, AND($W$1361 = TRUE, $S$1361 = FALSE))</formula>
    </cfRule>
  </conditionalFormatting>
  <conditionalFormatting sqref="W1364">
    <cfRule type="expression" dxfId="795" priority="1419">
      <formula>AND($R$1364,$S$1364)</formula>
    </cfRule>
  </conditionalFormatting>
  <conditionalFormatting sqref="W1364">
    <cfRule type="expression" dxfId="794" priority="1418">
      <formula>AND(IF($R$1364,$W$1364,TRUE),LEN(TRIM($W$1364))&gt;0)</formula>
    </cfRule>
  </conditionalFormatting>
  <conditionalFormatting sqref="W1364">
    <cfRule type="expression" dxfId="793" priority="1417">
      <formula>OR($S$1364 = FALSE, AND($P$1364 = FALSE, ReportType &lt;&gt; "Final"), AND($Q$1364 = FALSE, ReportType &lt;&gt; "Rough"))</formula>
    </cfRule>
  </conditionalFormatting>
  <conditionalFormatting sqref="W1364">
    <cfRule type="expression" dxfId="792" priority="1416">
      <formula>OR($T$1364 = TRUE, AND($W$1364 = TRUE, $S$1364 = FALSE))</formula>
    </cfRule>
  </conditionalFormatting>
  <conditionalFormatting sqref="W1366">
    <cfRule type="expression" dxfId="791" priority="1415">
      <formula>AND($R$1366,$S$1366)</formula>
    </cfRule>
  </conditionalFormatting>
  <conditionalFormatting sqref="W1366">
    <cfRule type="expression" dxfId="790" priority="1414">
      <formula>AND(IF($R$1366,$W$1366,TRUE),LEN(TRIM($W$1366))&gt;0)</formula>
    </cfRule>
  </conditionalFormatting>
  <conditionalFormatting sqref="W1366">
    <cfRule type="expression" dxfId="789" priority="1413">
      <formula>OR($S$1366 = FALSE, AND($P$1366 = FALSE, ReportType &lt;&gt; "Final"), AND($Q$1366 = FALSE, ReportType &lt;&gt; "Rough"))</formula>
    </cfRule>
  </conditionalFormatting>
  <conditionalFormatting sqref="W1366">
    <cfRule type="expression" dxfId="788" priority="1412">
      <formula>OR($T$1366 = TRUE, AND($W$1366 = TRUE, $S$1366 = FALSE))</formula>
    </cfRule>
  </conditionalFormatting>
  <conditionalFormatting sqref="W1368">
    <cfRule type="expression" dxfId="787" priority="1411">
      <formula>AND($R$1368,$S$1368)</formula>
    </cfRule>
  </conditionalFormatting>
  <conditionalFormatting sqref="W1368">
    <cfRule type="expression" dxfId="786" priority="1410">
      <formula>AND(IF($R$1368,$W$1368,TRUE),LEN(TRIM($W$1368))&gt;0)</formula>
    </cfRule>
  </conditionalFormatting>
  <conditionalFormatting sqref="W1368">
    <cfRule type="expression" dxfId="785" priority="1409">
      <formula>OR($S$1368 = FALSE, AND($P$1368 = FALSE, ReportType &lt;&gt; "Final"), AND($Q$1368 = FALSE, ReportType &lt;&gt; "Rough"))</formula>
    </cfRule>
  </conditionalFormatting>
  <conditionalFormatting sqref="W1368">
    <cfRule type="expression" dxfId="784" priority="1408">
      <formula>OR($T$1368 = TRUE, AND($W$1368 = TRUE, $S$1368 = FALSE))</formula>
    </cfRule>
  </conditionalFormatting>
  <conditionalFormatting sqref="W1379">
    <cfRule type="expression" dxfId="783" priority="1407">
      <formula>AND($R$1379,$S$1379)</formula>
    </cfRule>
  </conditionalFormatting>
  <conditionalFormatting sqref="W1379">
    <cfRule type="expression" dxfId="782" priority="1406">
      <formula>AND(IF($R$1379,$W$1379,TRUE),LEN(TRIM($W$1379))&gt;0)</formula>
    </cfRule>
  </conditionalFormatting>
  <conditionalFormatting sqref="W1379">
    <cfRule type="expression" dxfId="781" priority="1405">
      <formula>OR($S$1379 = FALSE, AND($P$1379 = FALSE, ReportType &lt;&gt; "Final"), AND($Q$1379 = FALSE, ReportType &lt;&gt; "Rough"))</formula>
    </cfRule>
  </conditionalFormatting>
  <conditionalFormatting sqref="W1379">
    <cfRule type="expression" dxfId="780" priority="1404">
      <formula>OR($T$1379 = TRUE, AND($W$1379 = TRUE, $S$1379 = FALSE))</formula>
    </cfRule>
  </conditionalFormatting>
  <conditionalFormatting sqref="W1383">
    <cfRule type="expression" dxfId="779" priority="1403">
      <formula>AND($R$1383,$S$1383)</formula>
    </cfRule>
  </conditionalFormatting>
  <conditionalFormatting sqref="W1383">
    <cfRule type="expression" dxfId="778" priority="1402">
      <formula>AND(IF($R$1383,$W$1383,TRUE),LEN(TRIM($W$1383))&gt;0)</formula>
    </cfRule>
  </conditionalFormatting>
  <conditionalFormatting sqref="W1383">
    <cfRule type="expression" dxfId="777" priority="1401">
      <formula>OR($S$1383 = FALSE, AND($P$1383 = FALSE, ReportType &lt;&gt; "Final"), AND($Q$1383 = FALSE, ReportType &lt;&gt; "Rough"))</formula>
    </cfRule>
  </conditionalFormatting>
  <conditionalFormatting sqref="W1383">
    <cfRule type="expression" dxfId="776" priority="1400">
      <formula>OR($T$1383 = TRUE, AND($W$1383 = TRUE, $S$1383 = FALSE))</formula>
    </cfRule>
  </conditionalFormatting>
  <conditionalFormatting sqref="W1384">
    <cfRule type="expression" dxfId="775" priority="1399">
      <formula>AND($R$1384,$S$1384)</formula>
    </cfRule>
  </conditionalFormatting>
  <conditionalFormatting sqref="W1384">
    <cfRule type="expression" dxfId="774" priority="1398">
      <formula>AND(IF($R$1384,$W$1384,TRUE),LEN(TRIM($W$1384))&gt;0)</formula>
    </cfRule>
  </conditionalFormatting>
  <conditionalFormatting sqref="W1384">
    <cfRule type="expression" dxfId="773" priority="1397">
      <formula>OR($S$1384 = FALSE, AND($P$1384 = FALSE, ReportType &lt;&gt; "Final"), AND($Q$1384 = FALSE, ReportType &lt;&gt; "Rough"))</formula>
    </cfRule>
  </conditionalFormatting>
  <conditionalFormatting sqref="W1384">
    <cfRule type="expression" dxfId="772" priority="1396">
      <formula>OR($T$1384 = TRUE, AND($W$1384 = TRUE, $S$1384 = FALSE))</formula>
    </cfRule>
  </conditionalFormatting>
  <conditionalFormatting sqref="W1387">
    <cfRule type="expression" dxfId="771" priority="1395">
      <formula>AND($R$1387,$S$1387)</formula>
    </cfRule>
  </conditionalFormatting>
  <conditionalFormatting sqref="W1387">
    <cfRule type="expression" dxfId="770" priority="1394">
      <formula>AND(IF($R$1387,$W$1387,TRUE),LEN(TRIM($W$1387))&gt;0)</formula>
    </cfRule>
  </conditionalFormatting>
  <conditionalFormatting sqref="W1387">
    <cfRule type="expression" dxfId="769" priority="1393">
      <formula>OR($S$1387 = FALSE, AND($P$1387 = FALSE, ReportType &lt;&gt; "Final"), AND($Q$1387 = FALSE, ReportType &lt;&gt; "Rough"))</formula>
    </cfRule>
  </conditionalFormatting>
  <conditionalFormatting sqref="W1387">
    <cfRule type="expression" dxfId="768" priority="1392">
      <formula>OR($T$1387 = TRUE, AND($W$1387 = TRUE, $S$1387 = FALSE))</formula>
    </cfRule>
  </conditionalFormatting>
  <conditionalFormatting sqref="W1390">
    <cfRule type="expression" dxfId="767" priority="1391">
      <formula>AND($R$1390,$S$1390)</formula>
    </cfRule>
  </conditionalFormatting>
  <conditionalFormatting sqref="W1390">
    <cfRule type="expression" dxfId="766" priority="1390">
      <formula>AND(IF($R$1390,$W$1390,TRUE),LEN(TRIM($W$1390))&gt;0)</formula>
    </cfRule>
  </conditionalFormatting>
  <conditionalFormatting sqref="W1390">
    <cfRule type="expression" dxfId="765" priority="1389">
      <formula>OR($S$1390 = FALSE, AND($P$1390 = FALSE, ReportType &lt;&gt; "Final"), AND($Q$1390 = FALSE, ReportType &lt;&gt; "Rough"))</formula>
    </cfRule>
  </conditionalFormatting>
  <conditionalFormatting sqref="W1390">
    <cfRule type="expression" dxfId="764" priority="1388">
      <formula>OR($T$1390 = TRUE, AND($W$1390 = TRUE, $S$1390 = FALSE))</formula>
    </cfRule>
  </conditionalFormatting>
  <conditionalFormatting sqref="M1469:M1470">
    <cfRule type="expression" dxfId="763" priority="1335">
      <formula>NOT(O1477&gt;0)</formula>
    </cfRule>
  </conditionalFormatting>
  <conditionalFormatting sqref="W1541">
    <cfRule type="expression" dxfId="762" priority="1250">
      <formula>AND(R1541,S1541)</formula>
    </cfRule>
  </conditionalFormatting>
  <conditionalFormatting sqref="W1541">
    <cfRule type="expression" dxfId="761" priority="1249">
      <formula>AND(R1541,LEN(TRIM(W1541))&gt;0)</formula>
    </cfRule>
  </conditionalFormatting>
  <conditionalFormatting sqref="W1541">
    <cfRule type="expression" dxfId="760" priority="1248">
      <formula>OR(S1541 = FALSE, AND(P1541 = FALSE, ReportType &lt;&gt; "Final"), AND(Q1541 = FALSE, ReportType &lt;&gt; "Rough"))</formula>
    </cfRule>
  </conditionalFormatting>
  <conditionalFormatting sqref="W1541">
    <cfRule type="expression" dxfId="759" priority="1247">
      <formula>OR(T1541 = TRUE, AND(W1541 &gt; 0, S1541 = FALSE))</formula>
    </cfRule>
  </conditionalFormatting>
  <conditionalFormatting sqref="W1398">
    <cfRule type="expression" dxfId="758" priority="1242">
      <formula>AND($R$1398,$S$1398)</formula>
    </cfRule>
  </conditionalFormatting>
  <conditionalFormatting sqref="W1398">
    <cfRule type="expression" dxfId="757" priority="1241">
      <formula>AND($W$1398&lt;&gt;"Not Met",LEN(TRIM($W$1398))&gt;0)</formula>
    </cfRule>
  </conditionalFormatting>
  <conditionalFormatting sqref="W1398">
    <cfRule type="expression" dxfId="756" priority="1240">
      <formula>OR($S$1398 = FALSE, AND($P$1398 = FALSE, ReportType &lt;&gt; "Final"), AND($Q$1398 = FALSE, ReportType &lt;&gt; "Rough"))</formula>
    </cfRule>
  </conditionalFormatting>
  <conditionalFormatting sqref="W1398">
    <cfRule type="expression" dxfId="755" priority="1239">
      <formula>OR($T$1398 = TRUE, AND(LEN(TRIM($W$1398))&gt;0, $S$1398 = FALSE))</formula>
    </cfRule>
  </conditionalFormatting>
  <conditionalFormatting sqref="W1427">
    <cfRule type="expression" dxfId="754" priority="1238">
      <formula>AND($R$1427,$S$1427)</formula>
    </cfRule>
  </conditionalFormatting>
  <conditionalFormatting sqref="W1427">
    <cfRule type="expression" dxfId="753" priority="1237">
      <formula>AND(IF($R$1427,$W$1427,TRUE),LEN(TRIM($W$1427))&gt;0)</formula>
    </cfRule>
  </conditionalFormatting>
  <conditionalFormatting sqref="W1427">
    <cfRule type="expression" dxfId="752" priority="1236">
      <formula>OR($S$1427 = FALSE, AND($P$1427 = FALSE, ReportType &lt;&gt; "Final"), AND($Q$1427 = FALSE, ReportType &lt;&gt; "Rough"))</formula>
    </cfRule>
  </conditionalFormatting>
  <conditionalFormatting sqref="W1427">
    <cfRule type="expression" dxfId="751" priority="1235">
      <formula>OR($T$1427 = TRUE, AND($W$1427 = TRUE, $S$1427 = FALSE))</formula>
    </cfRule>
  </conditionalFormatting>
  <conditionalFormatting sqref="W1432">
    <cfRule type="expression" dxfId="750" priority="1234">
      <formula>AND($R$1432,$S$1432)</formula>
    </cfRule>
  </conditionalFormatting>
  <conditionalFormatting sqref="W1432">
    <cfRule type="expression" dxfId="749" priority="1233">
      <formula>AND(IF($R$1432,$W$1432,TRUE),LEN(TRIM($W$1432))&gt;0)</formula>
    </cfRule>
  </conditionalFormatting>
  <conditionalFormatting sqref="W1432">
    <cfRule type="expression" dxfId="748" priority="1232">
      <formula>OR($S$1432 = FALSE, AND($P$1432 = FALSE, ReportType &lt;&gt; "Final"), AND($Q$1432 = FALSE, ReportType &lt;&gt; "Rough"))</formula>
    </cfRule>
  </conditionalFormatting>
  <conditionalFormatting sqref="W1432">
    <cfRule type="expression" dxfId="747" priority="1231">
      <formula>OR($T$1432 = TRUE, AND($W$1432 = TRUE, $S$1432 = FALSE))</formula>
    </cfRule>
  </conditionalFormatting>
  <conditionalFormatting sqref="W1433">
    <cfRule type="expression" dxfId="746" priority="1230">
      <formula>AND($R$1433,$S$1433)</formula>
    </cfRule>
  </conditionalFormatting>
  <conditionalFormatting sqref="W1433">
    <cfRule type="expression" dxfId="745" priority="1229">
      <formula>AND($W$1433&lt;&gt;"Not Met",LEN(TRIM($W$1433))&gt;0)</formula>
    </cfRule>
  </conditionalFormatting>
  <conditionalFormatting sqref="W1433">
    <cfRule type="expression" dxfId="744" priority="1228">
      <formula>OR($S$1433 = FALSE, AND($P$1433 = FALSE, ReportType &lt;&gt; "Final"), AND($Q$1433 = FALSE, ReportType &lt;&gt; "Rough"))</formula>
    </cfRule>
  </conditionalFormatting>
  <conditionalFormatting sqref="W1433">
    <cfRule type="expression" dxfId="743" priority="1227">
      <formula>OR($T$1433 = TRUE, AND(LEN(TRIM($W$1433))&gt;0, $S$1433 = FALSE))</formula>
    </cfRule>
  </conditionalFormatting>
  <conditionalFormatting sqref="W1440">
    <cfRule type="expression" dxfId="742" priority="1226">
      <formula>AND($R$1440,$S$1440)</formula>
    </cfRule>
  </conditionalFormatting>
  <conditionalFormatting sqref="W1440">
    <cfRule type="expression" dxfId="741" priority="1225">
      <formula>AND($W$1440&lt;&gt;"Not Met",LEN(TRIM($W$1440))&gt;0)</formula>
    </cfRule>
  </conditionalFormatting>
  <conditionalFormatting sqref="W1440">
    <cfRule type="expression" dxfId="740" priority="1224">
      <formula>OR($S$1440 = FALSE, AND($P$1440 = FALSE, ReportType &lt;&gt; "Final"), AND($Q$1440 = FALSE, ReportType &lt;&gt; "Rough"))</formula>
    </cfRule>
  </conditionalFormatting>
  <conditionalFormatting sqref="W1440">
    <cfRule type="expression" dxfId="739" priority="1223">
      <formula>OR($T$1440 = TRUE, AND(LEN(TRIM($W$1440))&gt;0, $S$1440 = FALSE))</formula>
    </cfRule>
  </conditionalFormatting>
  <conditionalFormatting sqref="W1449">
    <cfRule type="expression" dxfId="738" priority="1222">
      <formula>AND($R$1449,$S$1449)</formula>
    </cfRule>
  </conditionalFormatting>
  <conditionalFormatting sqref="W1449">
    <cfRule type="expression" dxfId="737" priority="1221">
      <formula>AND($W$1449&lt;&gt;"Not Met",LEN(TRIM($W$1449))&gt;0)</formula>
    </cfRule>
  </conditionalFormatting>
  <conditionalFormatting sqref="W1449">
    <cfRule type="expression" dxfId="736" priority="1220">
      <formula>OR($S$1449 = FALSE, AND($P$1449 = FALSE, ReportType &lt;&gt; "Final"), AND($Q$1449 = FALSE, ReportType &lt;&gt; "Rough"))</formula>
    </cfRule>
  </conditionalFormatting>
  <conditionalFormatting sqref="W1449">
    <cfRule type="expression" dxfId="735" priority="1219">
      <formula>OR($T$1449 = TRUE, AND(LEN(TRIM($W$1449))&gt;0, $S$1449 = FALSE))</formula>
    </cfRule>
  </conditionalFormatting>
  <conditionalFormatting sqref="W1454">
    <cfRule type="expression" dxfId="734" priority="1218">
      <formula>AND($R$1454,$S$1454)</formula>
    </cfRule>
  </conditionalFormatting>
  <conditionalFormatting sqref="W1454">
    <cfRule type="expression" dxfId="733" priority="1217">
      <formula>AND($W$1454&lt;&gt;"Not Met",LEN(TRIM($W$1454))&gt;0)</formula>
    </cfRule>
  </conditionalFormatting>
  <conditionalFormatting sqref="W1454">
    <cfRule type="expression" dxfId="732" priority="1216">
      <formula>OR($S$1454 = FALSE, AND($P$1454 = FALSE, ReportType &lt;&gt; "Final"), AND($Q$1454 = FALSE, ReportType &lt;&gt; "Rough"))</formula>
    </cfRule>
  </conditionalFormatting>
  <conditionalFormatting sqref="W1454">
    <cfRule type="expression" dxfId="731" priority="1215">
      <formula>OR($T$1454 = TRUE, AND(LEN(TRIM($W$1454))&gt;0, $S$1454 = FALSE))</formula>
    </cfRule>
  </conditionalFormatting>
  <conditionalFormatting sqref="W1459">
    <cfRule type="expression" dxfId="730" priority="1214">
      <formula>AND($R$1459,$S$1459)</formula>
    </cfRule>
  </conditionalFormatting>
  <conditionalFormatting sqref="W1459">
    <cfRule type="expression" dxfId="729" priority="1213">
      <formula>AND($W$1459&lt;&gt;"Not Met",LEN(TRIM($W$1459))&gt;0)</formula>
    </cfRule>
  </conditionalFormatting>
  <conditionalFormatting sqref="W1459">
    <cfRule type="expression" dxfId="728" priority="1212">
      <formula>OR($S$1459 = FALSE, AND($P$1459 = FALSE, ReportType &lt;&gt; "Final"), AND($Q$1459 = FALSE, ReportType &lt;&gt; "Rough"))</formula>
    </cfRule>
  </conditionalFormatting>
  <conditionalFormatting sqref="W1459">
    <cfRule type="expression" dxfId="727" priority="1211">
      <formula>OR($T$1459 = TRUE, AND(LEN(TRIM($W$1459))&gt;0, $S$1459 = FALSE))</formula>
    </cfRule>
  </conditionalFormatting>
  <conditionalFormatting sqref="W1464">
    <cfRule type="expression" dxfId="726" priority="1210">
      <formula>AND($R$1464,$S$1464)</formula>
    </cfRule>
  </conditionalFormatting>
  <conditionalFormatting sqref="W1464">
    <cfRule type="expression" dxfId="725" priority="1209">
      <formula>AND($W$1464&lt;&gt;"Not Met",LEN(TRIM($W$1464))&gt;0)</formula>
    </cfRule>
  </conditionalFormatting>
  <conditionalFormatting sqref="W1464">
    <cfRule type="expression" dxfId="724" priority="1208">
      <formula>OR($S$1464 = FALSE, AND($P$1464 = FALSE, ReportType &lt;&gt; "Final"), AND($Q$1464 = FALSE, ReportType &lt;&gt; "Rough"))</formula>
    </cfRule>
  </conditionalFormatting>
  <conditionalFormatting sqref="W1464">
    <cfRule type="expression" dxfId="723" priority="1207">
      <formula>OR($T$1464 = TRUE, AND(LEN(TRIM($W$1464))&gt;0, $S$1464 = FALSE))</formula>
    </cfRule>
  </conditionalFormatting>
  <conditionalFormatting sqref="W1463">
    <cfRule type="expression" dxfId="722" priority="1206">
      <formula>AND($R$1463,$S$1463)</formula>
    </cfRule>
  </conditionalFormatting>
  <conditionalFormatting sqref="W1463">
    <cfRule type="expression" dxfId="721" priority="1205">
      <formula>AND(IF($R$1463,$W$1463,TRUE),LEN(TRIM($W$1463))&gt;0)</formula>
    </cfRule>
  </conditionalFormatting>
  <conditionalFormatting sqref="W1463">
    <cfRule type="expression" dxfId="720" priority="1204">
      <formula>OR($S$1463 = FALSE, AND($P$1463 = FALSE, ReportType &lt;&gt; "Final"), AND($Q$1463 = FALSE, ReportType &lt;&gt; "Rough"))</formula>
    </cfRule>
  </conditionalFormatting>
  <conditionalFormatting sqref="W1463">
    <cfRule type="expression" dxfId="719" priority="1203">
      <formula>OR($T$1463 = TRUE, AND($W$1463 = TRUE, $S$1463 = FALSE))</formula>
    </cfRule>
  </conditionalFormatting>
  <conditionalFormatting sqref="W1471">
    <cfRule type="expression" dxfId="718" priority="1202">
      <formula>AND($R$1471,$S$1471)</formula>
    </cfRule>
  </conditionalFormatting>
  <conditionalFormatting sqref="W1471">
    <cfRule type="expression" dxfId="717" priority="1201">
      <formula>AND($W$1471&lt;&gt;"Not Met",LEN(TRIM($W$1471))&gt;0)</formula>
    </cfRule>
  </conditionalFormatting>
  <conditionalFormatting sqref="W1471">
    <cfRule type="expression" dxfId="716" priority="1200">
      <formula>OR($S$1471 = FALSE, AND($P$1471 = FALSE, ReportType &lt;&gt; "Final"), AND($Q$1471 = FALSE, ReportType &lt;&gt; "Rough"))</formula>
    </cfRule>
  </conditionalFormatting>
  <conditionalFormatting sqref="W1471">
    <cfRule type="expression" dxfId="715" priority="1199">
      <formula>OR($T$1471 = TRUE, AND(LEN(TRIM($W$1471))&gt;0, $S$1471 = FALSE))</formula>
    </cfRule>
  </conditionalFormatting>
  <conditionalFormatting sqref="W1477">
    <cfRule type="expression" dxfId="714" priority="1198">
      <formula>AND($R$1477,$S$1477)</formula>
    </cfRule>
  </conditionalFormatting>
  <conditionalFormatting sqref="W1477">
    <cfRule type="expression" dxfId="713" priority="1197">
      <formula>AND(IF($R$1477,$W$1477,TRUE),LEN(TRIM($W$1477))&gt;0)</formula>
    </cfRule>
  </conditionalFormatting>
  <conditionalFormatting sqref="W1477">
    <cfRule type="expression" dxfId="712" priority="1196">
      <formula>OR($S$1477 = FALSE, AND($P$1477 = FALSE, ReportType &lt;&gt; "Final"), AND($Q$1477 = FALSE, ReportType &lt;&gt; "Rough"))</formula>
    </cfRule>
  </conditionalFormatting>
  <conditionalFormatting sqref="W1477">
    <cfRule type="expression" dxfId="711" priority="1195">
      <formula>OR($T$1477 = TRUE, AND($W$1477 = TRUE, $S$1477 = FALSE))</formula>
    </cfRule>
  </conditionalFormatting>
  <conditionalFormatting sqref="W1480">
    <cfRule type="expression" dxfId="710" priority="1194">
      <formula>AND($R$1480,$S$1480)</formula>
    </cfRule>
  </conditionalFormatting>
  <conditionalFormatting sqref="W1480">
    <cfRule type="expression" dxfId="709" priority="1193">
      <formula>AND($W$1480&lt;&gt;"Not Met",LEN(TRIM($W$1480))&gt;0)</formula>
    </cfRule>
  </conditionalFormatting>
  <conditionalFormatting sqref="W1480">
    <cfRule type="expression" dxfId="708" priority="1192">
      <formula>OR($S$1480 = FALSE, AND($P$1480 = FALSE, ReportType &lt;&gt; "Final"), AND($Q$1480 = FALSE, ReportType &lt;&gt; "Rough"))</formula>
    </cfRule>
  </conditionalFormatting>
  <conditionalFormatting sqref="W1480">
    <cfRule type="expression" dxfId="707" priority="1191">
      <formula>OR($T$1480 = TRUE, AND(LEN(TRIM($W$1480))&gt;0, $S$1480 = FALSE))</formula>
    </cfRule>
  </conditionalFormatting>
  <conditionalFormatting sqref="W1484">
    <cfRule type="expression" dxfId="706" priority="1190">
      <formula>AND($R$1484,$S$1484)</formula>
    </cfRule>
  </conditionalFormatting>
  <conditionalFormatting sqref="W1484">
    <cfRule type="expression" dxfId="705" priority="1189">
      <formula>AND(IF($R$1484,$W$1484,TRUE),LEN(TRIM($W$1484))&gt;0)</formula>
    </cfRule>
  </conditionalFormatting>
  <conditionalFormatting sqref="W1484">
    <cfRule type="expression" dxfId="704" priority="1188">
      <formula>OR($S$1484 = FALSE, AND($P$1484 = FALSE, ReportType &lt;&gt; "Final"), AND($Q$1484 = FALSE, ReportType &lt;&gt; "Rough"))</formula>
    </cfRule>
  </conditionalFormatting>
  <conditionalFormatting sqref="W1484">
    <cfRule type="expression" dxfId="703" priority="1187">
      <formula>OR($T$1484 = TRUE, AND($W$1484 = TRUE, $S$1484 = FALSE))</formula>
    </cfRule>
  </conditionalFormatting>
  <conditionalFormatting sqref="W1486">
    <cfRule type="expression" dxfId="702" priority="1186">
      <formula>AND($R$1486,$S$1486)</formula>
    </cfRule>
  </conditionalFormatting>
  <conditionalFormatting sqref="W1486">
    <cfRule type="expression" dxfId="701" priority="1185">
      <formula>AND(IF($R$1486,$W$1486,TRUE),LEN(TRIM($W$1486))&gt;0)</formula>
    </cfRule>
  </conditionalFormatting>
  <conditionalFormatting sqref="W1486">
    <cfRule type="expression" dxfId="700" priority="1184">
      <formula>OR($S$1486 = FALSE, AND($P$1486 = FALSE, ReportType &lt;&gt; "Final"), AND($Q$1486 = FALSE, ReportType &lt;&gt; "Rough"))</formula>
    </cfRule>
  </conditionalFormatting>
  <conditionalFormatting sqref="W1486">
    <cfRule type="expression" dxfId="699" priority="1183">
      <formula>OR($T$1486 = TRUE, AND($W$1486 = TRUE, $S$1486 = FALSE))</formula>
    </cfRule>
  </conditionalFormatting>
  <conditionalFormatting sqref="W1488">
    <cfRule type="expression" dxfId="698" priority="1182">
      <formula>AND($R$1488,$S$1488)</formula>
    </cfRule>
  </conditionalFormatting>
  <conditionalFormatting sqref="W1488">
    <cfRule type="expression" dxfId="697" priority="1181">
      <formula>AND(IF($R$1488,$W$1488,TRUE),LEN(TRIM($W$1488))&gt;0)</formula>
    </cfRule>
  </conditionalFormatting>
  <conditionalFormatting sqref="W1488">
    <cfRule type="expression" dxfId="696" priority="1180">
      <formula>OR($S$1488 = FALSE, AND($P$1488 = FALSE, ReportType &lt;&gt; "Final"), AND($Q$1488 = FALSE, ReportType &lt;&gt; "Rough"))</formula>
    </cfRule>
  </conditionalFormatting>
  <conditionalFormatting sqref="W1488">
    <cfRule type="expression" dxfId="695" priority="1179">
      <formula>OR($T$1488 = TRUE, AND($W$1488 = TRUE, $S$1488 = FALSE))</formula>
    </cfRule>
  </conditionalFormatting>
  <conditionalFormatting sqref="W1492">
    <cfRule type="expression" dxfId="694" priority="1178">
      <formula>AND($R$1492,$S$1492)</formula>
    </cfRule>
  </conditionalFormatting>
  <conditionalFormatting sqref="W1492">
    <cfRule type="expression" dxfId="693" priority="1177">
      <formula>AND(IF($R$1492,$W$1492,TRUE),LEN(TRIM($W$1492))&gt;0)</formula>
    </cfRule>
  </conditionalFormatting>
  <conditionalFormatting sqref="W1492">
    <cfRule type="expression" dxfId="692" priority="1176">
      <formula>OR($S$1492 = FALSE, AND($P$1492 = FALSE, ReportType &lt;&gt; "Final"), AND($Q$1492 = FALSE, ReportType &lt;&gt; "Rough"))</formula>
    </cfRule>
  </conditionalFormatting>
  <conditionalFormatting sqref="W1492">
    <cfRule type="expression" dxfId="691" priority="1175">
      <formula>OR($T$1492 = TRUE, AND($W$1492 = TRUE, $S$1492 = FALSE))</formula>
    </cfRule>
  </conditionalFormatting>
  <conditionalFormatting sqref="W1493">
    <cfRule type="expression" dxfId="690" priority="1174">
      <formula>AND($R$1493,$S$1493)</formula>
    </cfRule>
  </conditionalFormatting>
  <conditionalFormatting sqref="W1493">
    <cfRule type="expression" dxfId="689" priority="1173">
      <formula>AND(IF($R$1493,$W$1493,TRUE),LEN(TRIM($W$1493))&gt;0)</formula>
    </cfRule>
  </conditionalFormatting>
  <conditionalFormatting sqref="W1493">
    <cfRule type="expression" dxfId="688" priority="1172">
      <formula>OR($S$1493 = FALSE, AND($P$1493 = FALSE, ReportType &lt;&gt; "Final"), AND($Q$1493 = FALSE, ReportType &lt;&gt; "Rough"))</formula>
    </cfRule>
  </conditionalFormatting>
  <conditionalFormatting sqref="W1493">
    <cfRule type="expression" dxfId="687" priority="1171">
      <formula>OR($T$1493 = TRUE, AND($W$1493 = TRUE, $S$1493 = FALSE))</formula>
    </cfRule>
  </conditionalFormatting>
  <conditionalFormatting sqref="W1494">
    <cfRule type="expression" dxfId="686" priority="1170">
      <formula>AND($R$1494,$S$1494)</formula>
    </cfRule>
  </conditionalFormatting>
  <conditionalFormatting sqref="W1494">
    <cfRule type="expression" dxfId="685" priority="1169">
      <formula>AND(IF($R$1494,$W$1494,TRUE),LEN(TRIM($W$1494))&gt;0)</formula>
    </cfRule>
  </conditionalFormatting>
  <conditionalFormatting sqref="W1494">
    <cfRule type="expression" dxfId="684" priority="1168">
      <formula>OR($S$1494 = FALSE, AND($P$1494 = FALSE, ReportType &lt;&gt; "Final"), AND($Q$1494 = FALSE, ReportType &lt;&gt; "Rough"))</formula>
    </cfRule>
  </conditionalFormatting>
  <conditionalFormatting sqref="W1494">
    <cfRule type="expression" dxfId="683" priority="1167">
      <formula>OR($T$1494 = TRUE, AND($W$1494 = TRUE, $S$1494 = FALSE))</formula>
    </cfRule>
  </conditionalFormatting>
  <conditionalFormatting sqref="W1502">
    <cfRule type="expression" dxfId="682" priority="1162">
      <formula>AND($R$1502,$S$1502)</formula>
    </cfRule>
  </conditionalFormatting>
  <conditionalFormatting sqref="W1502">
    <cfRule type="expression" dxfId="681" priority="1161">
      <formula>AND(IF($R$1502,$W$1502,TRUE),LEN(TRIM($W$1502))&gt;0)</formula>
    </cfRule>
  </conditionalFormatting>
  <conditionalFormatting sqref="W1502">
    <cfRule type="expression" dxfId="680" priority="1160">
      <formula>OR($S$1502 = FALSE, AND($P$1502 = FALSE, ReportType &lt;&gt; "Final"), AND($Q$1502 = FALSE, ReportType &lt;&gt; "Rough"))</formula>
    </cfRule>
  </conditionalFormatting>
  <conditionalFormatting sqref="W1502">
    <cfRule type="expression" dxfId="679" priority="1159">
      <formula>OR($T$1502 = TRUE, AND($W$1502 = TRUE, $S$1502 = FALSE))</formula>
    </cfRule>
  </conditionalFormatting>
  <conditionalFormatting sqref="W1504">
    <cfRule type="expression" dxfId="678" priority="1158">
      <formula>AND($R$1504,$S$1504)</formula>
    </cfRule>
  </conditionalFormatting>
  <conditionalFormatting sqref="W1504">
    <cfRule type="expression" dxfId="677" priority="1157">
      <formula>AND(IF($R$1504,$W$1504,TRUE),LEN(TRIM($W$1504))&gt;0)</formula>
    </cfRule>
  </conditionalFormatting>
  <conditionalFormatting sqref="W1504">
    <cfRule type="expression" dxfId="676" priority="1156">
      <formula>OR($S$1504 = FALSE, AND($P$1504 = FALSE, ReportType &lt;&gt; "Final"), AND($Q$1504 = FALSE, ReportType &lt;&gt; "Rough"))</formula>
    </cfRule>
  </conditionalFormatting>
  <conditionalFormatting sqref="W1504">
    <cfRule type="expression" dxfId="675" priority="1155">
      <formula>OR($T$1504 = TRUE, AND($W$1504 = TRUE, $S$1504 = FALSE))</formula>
    </cfRule>
  </conditionalFormatting>
  <conditionalFormatting sqref="W1505">
    <cfRule type="expression" dxfId="674" priority="1154">
      <formula>AND($R$1505,$S$1505)</formula>
    </cfRule>
  </conditionalFormatting>
  <conditionalFormatting sqref="W1505">
    <cfRule type="expression" dxfId="673" priority="1153">
      <formula>AND(IF($R$1505,$W$1505,TRUE),LEN(TRIM($W$1505))&gt;0)</formula>
    </cfRule>
  </conditionalFormatting>
  <conditionalFormatting sqref="W1505">
    <cfRule type="expression" dxfId="672" priority="1152">
      <formula>OR($S$1505 = FALSE, AND($P$1505 = FALSE, ReportType &lt;&gt; "Final"), AND($Q$1505 = FALSE, ReportType &lt;&gt; "Rough"))</formula>
    </cfRule>
  </conditionalFormatting>
  <conditionalFormatting sqref="W1505">
    <cfRule type="expression" dxfId="671" priority="1151">
      <formula>OR($T$1505 = TRUE, AND($W$1505 = TRUE, $S$1505 = FALSE))</formula>
    </cfRule>
  </conditionalFormatting>
  <conditionalFormatting sqref="W1509">
    <cfRule type="expression" dxfId="670" priority="1150">
      <formula>AND($R$1509,$S$1509)</formula>
    </cfRule>
  </conditionalFormatting>
  <conditionalFormatting sqref="W1509">
    <cfRule type="expression" dxfId="669" priority="1149">
      <formula>AND(IF($R$1509,$W$1509,TRUE),LEN(TRIM($W$1509))&gt;0)</formula>
    </cfRule>
  </conditionalFormatting>
  <conditionalFormatting sqref="W1509">
    <cfRule type="expression" dxfId="668" priority="1148">
      <formula>OR($S$1509 = FALSE, AND($P$1509 = FALSE, ReportType &lt;&gt; "Final"), AND($Q$1509 = FALSE, ReportType &lt;&gt; "Rough"))</formula>
    </cfRule>
  </conditionalFormatting>
  <conditionalFormatting sqref="W1509">
    <cfRule type="expression" dxfId="667" priority="1147">
      <formula>OR($T$1509 = TRUE, AND($W$1509 = TRUE, $S$1509 = FALSE))</formula>
    </cfRule>
  </conditionalFormatting>
  <conditionalFormatting sqref="W1513">
    <cfRule type="expression" dxfId="666" priority="1146">
      <formula>AND($R$1513,$S$1513)</formula>
    </cfRule>
  </conditionalFormatting>
  <conditionalFormatting sqref="W1513">
    <cfRule type="expression" dxfId="665" priority="1145">
      <formula>AND($W$1513&lt;&gt;"Not Met",LEN(TRIM($W$1513))&gt;0)</formula>
    </cfRule>
  </conditionalFormatting>
  <conditionalFormatting sqref="W1513">
    <cfRule type="expression" dxfId="664" priority="1144">
      <formula>OR($S$1513 = FALSE, AND($P$1513 = FALSE, ReportType &lt;&gt; "Final"), AND($Q$1513 = FALSE, ReportType &lt;&gt; "Rough"))</formula>
    </cfRule>
  </conditionalFormatting>
  <conditionalFormatting sqref="W1513">
    <cfRule type="expression" dxfId="663" priority="1143">
      <formula>OR($T$1513 = TRUE, AND(LEN(TRIM($W$1513))&gt;0, $S$1513 = FALSE))</formula>
    </cfRule>
  </conditionalFormatting>
  <conditionalFormatting sqref="W1527">
    <cfRule type="expression" dxfId="662" priority="1142">
      <formula>AND($R$1527,$S$1527)</formula>
    </cfRule>
  </conditionalFormatting>
  <conditionalFormatting sqref="W1527">
    <cfRule type="expression" dxfId="661" priority="1141">
      <formula>AND($W$1527&lt;&gt;"Not Met",LEN(TRIM($W$1527))&gt;0)</formula>
    </cfRule>
  </conditionalFormatting>
  <conditionalFormatting sqref="W1527">
    <cfRule type="expression" dxfId="660" priority="1140">
      <formula>OR($S$1527 = FALSE, AND($P$1527 = FALSE, ReportType &lt;&gt; "Final"), AND($Q$1527 = FALSE, ReportType &lt;&gt; "Rough"))</formula>
    </cfRule>
  </conditionalFormatting>
  <conditionalFormatting sqref="W1527">
    <cfRule type="expression" dxfId="659" priority="1139">
      <formula>OR($T$1527 = TRUE, AND(LEN(TRIM($W$1527))&gt;0, $S$1527 = FALSE))</formula>
    </cfRule>
  </conditionalFormatting>
  <conditionalFormatting sqref="W1529">
    <cfRule type="expression" dxfId="658" priority="1138">
      <formula>AND($R$1529,$S$1529)</formula>
    </cfRule>
  </conditionalFormatting>
  <conditionalFormatting sqref="W1529">
    <cfRule type="expression" dxfId="657" priority="1137">
      <formula>AND(IF($R$1529,$W$1529,TRUE),LEN(TRIM($W$1529))&gt;0)</formula>
    </cfRule>
  </conditionalFormatting>
  <conditionalFormatting sqref="W1529">
    <cfRule type="expression" dxfId="656" priority="1136">
      <formula>OR($S$1529 = FALSE, AND($P$1529 = FALSE, ReportType &lt;&gt; "Final"), AND($Q$1529 = FALSE, ReportType &lt;&gt; "Rough"))</formula>
    </cfRule>
  </conditionalFormatting>
  <conditionalFormatting sqref="W1529">
    <cfRule type="expression" dxfId="655" priority="1135">
      <formula>OR($T$1529 = TRUE, AND($W$1529 = TRUE, $S$1529 = FALSE))</formula>
    </cfRule>
  </conditionalFormatting>
  <conditionalFormatting sqref="W1530">
    <cfRule type="expression" dxfId="654" priority="1134">
      <formula>AND($R$1530,$S$1530)</formula>
    </cfRule>
  </conditionalFormatting>
  <conditionalFormatting sqref="W1530">
    <cfRule type="expression" dxfId="653" priority="1133">
      <formula>AND(IF($R$1530,$W$1530,TRUE),LEN(TRIM($W$1530))&gt;0)</formula>
    </cfRule>
  </conditionalFormatting>
  <conditionalFormatting sqref="W1530">
    <cfRule type="expression" dxfId="652" priority="1132">
      <formula>OR($S$1530 = FALSE, AND($P$1530 = FALSE, ReportType &lt;&gt; "Final"), AND($Q$1530 = FALSE, ReportType &lt;&gt; "Rough"))</formula>
    </cfRule>
  </conditionalFormatting>
  <conditionalFormatting sqref="W1530">
    <cfRule type="expression" dxfId="651" priority="1131">
      <formula>OR($T$1530 = TRUE, AND($W$1530 = TRUE, $S$1530 = FALSE))</formula>
    </cfRule>
  </conditionalFormatting>
  <conditionalFormatting sqref="W1537">
    <cfRule type="expression" dxfId="650" priority="1130">
      <formula>AND($R$1537,$S$1537)</formula>
    </cfRule>
  </conditionalFormatting>
  <conditionalFormatting sqref="W1537">
    <cfRule type="expression" dxfId="649" priority="1129">
      <formula>AND($W$1537&lt;&gt;"Not Met",LEN(TRIM($W$1537))&gt;0)</formula>
    </cfRule>
  </conditionalFormatting>
  <conditionalFormatting sqref="W1537">
    <cfRule type="expression" dxfId="648" priority="1128">
      <formula>OR($S$1537 = FALSE, AND($P$1537 = FALSE, ReportType &lt;&gt; "Final"), AND($Q$1537 = FALSE, ReportType &lt;&gt; "Rough"))</formula>
    </cfRule>
  </conditionalFormatting>
  <conditionalFormatting sqref="W1537">
    <cfRule type="expression" dxfId="647" priority="1127">
      <formula>OR($T$1537 = TRUE, AND(LEN(TRIM($W$1537))&gt;0, $S$1537 = FALSE))</formula>
    </cfRule>
  </conditionalFormatting>
  <conditionalFormatting sqref="W1539">
    <cfRule type="expression" dxfId="646" priority="1126">
      <formula>AND($R$1539,$S$1539)</formula>
    </cfRule>
  </conditionalFormatting>
  <conditionalFormatting sqref="W1539">
    <cfRule type="expression" dxfId="645" priority="1125">
      <formula>AND(IF($R$1539,$W$1539,TRUE),LEN(TRIM($W$1539))&gt;0)</formula>
    </cfRule>
  </conditionalFormatting>
  <conditionalFormatting sqref="W1539">
    <cfRule type="expression" dxfId="644" priority="1124">
      <formula>OR($S$1539 = FALSE, AND($P$1539 = FALSE, ReportType &lt;&gt; "Final"), AND($Q$1539 = FALSE, ReportType &lt;&gt; "Rough"))</formula>
    </cfRule>
  </conditionalFormatting>
  <conditionalFormatting sqref="W1539">
    <cfRule type="expression" dxfId="643" priority="1123">
      <formula>OR($T$1539 = TRUE, AND($W$1539 = TRUE, $S$1539 = FALSE))</formula>
    </cfRule>
  </conditionalFormatting>
  <conditionalFormatting sqref="W1546">
    <cfRule type="expression" dxfId="642" priority="1122">
      <formula>AND($R$1546,$S$1546)</formula>
    </cfRule>
  </conditionalFormatting>
  <conditionalFormatting sqref="W1546">
    <cfRule type="expression" dxfId="641" priority="1121">
      <formula>AND(IF($R$1546,$W$1546,TRUE),LEN(TRIM($W$1546))&gt;0)</formula>
    </cfRule>
  </conditionalFormatting>
  <conditionalFormatting sqref="W1546">
    <cfRule type="expression" dxfId="640" priority="1120">
      <formula>OR($S$1546 = FALSE, AND($P$1546 = FALSE, ReportType &lt;&gt; "Final"), AND($Q$1546 = FALSE, ReportType &lt;&gt; "Rough"))</formula>
    </cfRule>
  </conditionalFormatting>
  <conditionalFormatting sqref="W1546">
    <cfRule type="expression" dxfId="639" priority="1119">
      <formula>OR($T$1546 = TRUE, AND($W$1546 = TRUE, $S$1546 = FALSE))</formula>
    </cfRule>
  </conditionalFormatting>
  <conditionalFormatting sqref="W1547">
    <cfRule type="expression" dxfId="638" priority="1118">
      <formula>AND($R$1547,$S$1547)</formula>
    </cfRule>
  </conditionalFormatting>
  <conditionalFormatting sqref="W1547">
    <cfRule type="expression" dxfId="637" priority="1117">
      <formula>AND(IF($R$1547,$W$1547,TRUE),LEN(TRIM($W$1547))&gt;0)</formula>
    </cfRule>
  </conditionalFormatting>
  <conditionalFormatting sqref="W1547">
    <cfRule type="expression" dxfId="636" priority="1116">
      <formula>OR($S$1547 = FALSE, AND($P$1547 = FALSE, ReportType &lt;&gt; "Final"), AND($Q$1547 = FALSE, ReportType &lt;&gt; "Rough"))</formula>
    </cfRule>
  </conditionalFormatting>
  <conditionalFormatting sqref="W1547">
    <cfRule type="expression" dxfId="635" priority="1115">
      <formula>OR($T$1547 = TRUE, AND($W$1547 = TRUE, $S$1547 = FALSE))</formula>
    </cfRule>
  </conditionalFormatting>
  <conditionalFormatting sqref="W1548">
    <cfRule type="expression" dxfId="634" priority="1114">
      <formula>AND($R$1548,$S$1548)</formula>
    </cfRule>
  </conditionalFormatting>
  <conditionalFormatting sqref="W1548">
    <cfRule type="expression" dxfId="633" priority="1113">
      <formula>AND(IF($R$1548,$W$1548,TRUE),LEN(TRIM($W$1548))&gt;0)</formula>
    </cfRule>
  </conditionalFormatting>
  <conditionalFormatting sqref="W1548">
    <cfRule type="expression" dxfId="632" priority="1112">
      <formula>OR($S$1548 = FALSE, AND($P$1548 = FALSE, ReportType &lt;&gt; "Final"), AND($Q$1548 = FALSE, ReportType &lt;&gt; "Rough"))</formula>
    </cfRule>
  </conditionalFormatting>
  <conditionalFormatting sqref="W1548">
    <cfRule type="expression" dxfId="631" priority="1111">
      <formula>OR($T$1548 = TRUE, AND($W$1548 = TRUE, $S$1548 = FALSE))</formula>
    </cfRule>
  </conditionalFormatting>
  <conditionalFormatting sqref="W1551">
    <cfRule type="expression" dxfId="630" priority="1110">
      <formula>AND($R$1551,$S$1551)</formula>
    </cfRule>
  </conditionalFormatting>
  <conditionalFormatting sqref="W1551">
    <cfRule type="expression" dxfId="629" priority="1109">
      <formula>AND(IF($R$1551,$W$1551,TRUE),LEN(TRIM($W$1551))&gt;0)</formula>
    </cfRule>
  </conditionalFormatting>
  <conditionalFormatting sqref="W1551">
    <cfRule type="expression" dxfId="628" priority="1108">
      <formula>OR($S$1551 = FALSE, AND($P$1551 = FALSE, ReportType &lt;&gt; "Final"), AND($Q$1551 = FALSE, ReportType &lt;&gt; "Rough"))</formula>
    </cfRule>
  </conditionalFormatting>
  <conditionalFormatting sqref="W1551">
    <cfRule type="expression" dxfId="627" priority="1107">
      <formula>OR($T$1551 = TRUE, AND($W$1551 = TRUE, $S$1551 = FALSE))</formula>
    </cfRule>
  </conditionalFormatting>
  <conditionalFormatting sqref="W1553">
    <cfRule type="expression" dxfId="626" priority="1106">
      <formula>AND($R$1553,$S$1553)</formula>
    </cfRule>
  </conditionalFormatting>
  <conditionalFormatting sqref="W1553">
    <cfRule type="expression" dxfId="625" priority="1105">
      <formula>AND(IF($R$1553,$W$1553,TRUE),LEN(TRIM($W$1553))&gt;0)</formula>
    </cfRule>
  </conditionalFormatting>
  <conditionalFormatting sqref="W1553">
    <cfRule type="expression" dxfId="624" priority="1104">
      <formula>OR($S$1553 = FALSE, AND($P$1553 = FALSE, ReportType &lt;&gt; "Final"), AND($Q$1553 = FALSE, ReportType &lt;&gt; "Rough"))</formula>
    </cfRule>
  </conditionalFormatting>
  <conditionalFormatting sqref="W1553">
    <cfRule type="expression" dxfId="623" priority="1103">
      <formula>OR($T$1553 = TRUE, AND($W$1553 = TRUE, $S$1553 = FALSE))</formula>
    </cfRule>
  </conditionalFormatting>
  <conditionalFormatting sqref="W1736">
    <cfRule type="expression" dxfId="622" priority="836">
      <formula>AND(R1736,S1736)</formula>
    </cfRule>
  </conditionalFormatting>
  <conditionalFormatting sqref="W1736">
    <cfRule type="expression" dxfId="621" priority="835">
      <formula>AND(IF(R1736,W1736,TRUE),LEN(TRIM(W1736))&gt;0)</formula>
    </cfRule>
  </conditionalFormatting>
  <conditionalFormatting sqref="W1736">
    <cfRule type="expression" dxfId="620" priority="834">
      <formula>OR(S1736 = FALSE, AND(P1736 = FALSE, ReportType &lt;&gt; "Final"), AND(Q1736 = FALSE, ReportType &lt;&gt; "Rough"))</formula>
    </cfRule>
  </conditionalFormatting>
  <conditionalFormatting sqref="W1736">
    <cfRule type="expression" dxfId="619" priority="833">
      <formula>OR(T1736 = TRUE, AND(W1736 = TRUE, S1736 = FALSE))</formula>
    </cfRule>
  </conditionalFormatting>
  <conditionalFormatting sqref="W1738">
    <cfRule type="expression" dxfId="618" priority="832">
      <formula>AND(R1738,S1738)</formula>
    </cfRule>
  </conditionalFormatting>
  <conditionalFormatting sqref="W1738">
    <cfRule type="expression" dxfId="617" priority="831">
      <formula>AND(IF(R1738,W1738,TRUE),LEN(TRIM(W1738))&gt;0)</formula>
    </cfRule>
  </conditionalFormatting>
  <conditionalFormatting sqref="W1738">
    <cfRule type="expression" dxfId="616" priority="830">
      <formula>OR(S1738 = FALSE, AND(P1738 = FALSE, ReportType &lt;&gt; "Final"), AND(Q1738 = FALSE, ReportType &lt;&gt; "Rough"))</formula>
    </cfRule>
  </conditionalFormatting>
  <conditionalFormatting sqref="W1738">
    <cfRule type="expression" dxfId="615" priority="829">
      <formula>OR(T1738 = TRUE, AND(W1738 = TRUE, S1738 = FALSE))</formula>
    </cfRule>
  </conditionalFormatting>
  <conditionalFormatting sqref="W1745">
    <cfRule type="expression" dxfId="614" priority="828">
      <formula>AND(R1745,S1745)</formula>
    </cfRule>
  </conditionalFormatting>
  <conditionalFormatting sqref="W1745">
    <cfRule type="expression" dxfId="613" priority="827">
      <formula>AND(IF(R1745,W1745,TRUE),LEN(TRIM(W1745))&gt;0)</formula>
    </cfRule>
  </conditionalFormatting>
  <conditionalFormatting sqref="W1745">
    <cfRule type="expression" dxfId="612" priority="826">
      <formula>OR(S1745 = FALSE, AND(P1745 = FALSE, ReportType &lt;&gt; "Final"), AND(Q1745 = FALSE, ReportType &lt;&gt; "Rough"))</formula>
    </cfRule>
  </conditionalFormatting>
  <conditionalFormatting sqref="W1745">
    <cfRule type="expression" dxfId="611" priority="825">
      <formula>OR(T1745 = TRUE, AND(W1745 = TRUE, S1745 = FALSE))</formula>
    </cfRule>
  </conditionalFormatting>
  <conditionalFormatting sqref="W1747">
    <cfRule type="expression" dxfId="610" priority="824">
      <formula>AND(R1747,S1747)</formula>
    </cfRule>
  </conditionalFormatting>
  <conditionalFormatting sqref="W1747">
    <cfRule type="expression" dxfId="609" priority="823">
      <formula>AND(IF(R1747,W1747,TRUE),LEN(TRIM(W1747))&gt;0)</formula>
    </cfRule>
  </conditionalFormatting>
  <conditionalFormatting sqref="W1747">
    <cfRule type="expression" dxfId="608" priority="822">
      <formula>OR(S1747 = FALSE, AND(P1747 = FALSE, ReportType &lt;&gt; "Final"), AND(Q1747 = FALSE, ReportType &lt;&gt; "Rough"))</formula>
    </cfRule>
  </conditionalFormatting>
  <conditionalFormatting sqref="W1747">
    <cfRule type="expression" dxfId="607" priority="821">
      <formula>OR(T1747 = TRUE, AND(W1747 = TRUE, S1747 = FALSE))</formula>
    </cfRule>
  </conditionalFormatting>
  <conditionalFormatting sqref="X1618:X1622">
    <cfRule type="expression" dxfId="606" priority="820">
      <formula>W1618="N/A"</formula>
    </cfRule>
  </conditionalFormatting>
  <conditionalFormatting sqref="W1559">
    <cfRule type="expression" dxfId="605" priority="815">
      <formula>AND($R$1559,$S$1559)</formula>
    </cfRule>
  </conditionalFormatting>
  <conditionalFormatting sqref="W1559">
    <cfRule type="expression" dxfId="604" priority="814">
      <formula>AND(IF($R$1559,$W$1559,TRUE),LEN(TRIM($W$1559))&gt;0)</formula>
    </cfRule>
  </conditionalFormatting>
  <conditionalFormatting sqref="W1559">
    <cfRule type="expression" dxfId="603" priority="813">
      <formula>OR($S$1559 = FALSE, AND($P$1559 = FALSE, ReportType &lt;&gt; "Final"), AND($Q$1559 = FALSE, ReportType &lt;&gt; "Rough"))</formula>
    </cfRule>
  </conditionalFormatting>
  <conditionalFormatting sqref="W1559">
    <cfRule type="expression" dxfId="602" priority="812">
      <formula>OR($T$1559 = TRUE, AND($W$1559 = TRUE, $S$1559 = FALSE))</formula>
    </cfRule>
  </conditionalFormatting>
  <conditionalFormatting sqref="W1565">
    <cfRule type="expression" dxfId="601" priority="811">
      <formula>AND($R$1565,$S$1565)</formula>
    </cfRule>
  </conditionalFormatting>
  <conditionalFormatting sqref="W1565">
    <cfRule type="expression" dxfId="600" priority="810">
      <formula>AND(IF($R$1565,$W$1565,TRUE),LEN(TRIM($W$1565))&gt;0)</formula>
    </cfRule>
  </conditionalFormatting>
  <conditionalFormatting sqref="W1565">
    <cfRule type="expression" dxfId="599" priority="809">
      <formula>OR($S$1565 = FALSE, AND($P$1565 = FALSE, ReportType &lt;&gt; "Final"), AND($Q$1565 = FALSE, ReportType &lt;&gt; "Rough"))</formula>
    </cfRule>
  </conditionalFormatting>
  <conditionalFormatting sqref="W1565">
    <cfRule type="expression" dxfId="598" priority="808">
      <formula>OR($T$1565 = TRUE, AND($W$1565 = TRUE, $S$1565 = FALSE))</formula>
    </cfRule>
  </conditionalFormatting>
  <conditionalFormatting sqref="W1570">
    <cfRule type="expression" dxfId="597" priority="807">
      <formula>AND($R$1570,$S$1570)</formula>
    </cfRule>
  </conditionalFormatting>
  <conditionalFormatting sqref="W1570">
    <cfRule type="expression" dxfId="596" priority="806">
      <formula>AND($W$1570&lt;&gt;"Not Met",LEN(TRIM($W$1570))&gt;0)</formula>
    </cfRule>
  </conditionalFormatting>
  <conditionalFormatting sqref="W1570">
    <cfRule type="expression" dxfId="595" priority="805">
      <formula>OR($S$1570 = FALSE, AND($P$1570 = FALSE, ReportType &lt;&gt; "Final"), AND($Q$1570 = FALSE, ReportType &lt;&gt; "Rough"))</formula>
    </cfRule>
  </conditionalFormatting>
  <conditionalFormatting sqref="W1570">
    <cfRule type="expression" dxfId="594" priority="804">
      <formula>OR($T$1570 = TRUE, AND(LEN(TRIM($W$1570))&gt;0, $S$1570 = FALSE))</formula>
    </cfRule>
  </conditionalFormatting>
  <conditionalFormatting sqref="W1573">
    <cfRule type="expression" dxfId="593" priority="803">
      <formula>AND($R$1573,$S$1573)</formula>
    </cfRule>
  </conditionalFormatting>
  <conditionalFormatting sqref="W1573">
    <cfRule type="expression" dxfId="592" priority="802">
      <formula>AND($W$1573&lt;&gt;"Not Met",LEN(TRIM($W$1573))&gt;0)</formula>
    </cfRule>
  </conditionalFormatting>
  <conditionalFormatting sqref="W1573">
    <cfRule type="expression" dxfId="591" priority="801">
      <formula>OR($S$1573 = FALSE, AND($P$1573 = FALSE, ReportType &lt;&gt; "Final"), AND($Q$1573 = FALSE, ReportType &lt;&gt; "Rough"))</formula>
    </cfRule>
  </conditionalFormatting>
  <conditionalFormatting sqref="W1573">
    <cfRule type="expression" dxfId="590" priority="800">
      <formula>OR($T$1573 = TRUE, AND(LEN(TRIM($W$1573))&gt;0, $S$1573 = FALSE))</formula>
    </cfRule>
  </conditionalFormatting>
  <conditionalFormatting sqref="W1576">
    <cfRule type="expression" dxfId="589" priority="799">
      <formula>AND($R$1576,$S$1576)</formula>
    </cfRule>
  </conditionalFormatting>
  <conditionalFormatting sqref="W1576">
    <cfRule type="expression" dxfId="588" priority="798">
      <formula>AND($W$1576&lt;&gt;"Not Met",LEN(TRIM($W$1576))&gt;0)</formula>
    </cfRule>
  </conditionalFormatting>
  <conditionalFormatting sqref="W1576">
    <cfRule type="expression" dxfId="587" priority="797">
      <formula>OR($S$1576 = FALSE, AND($P$1576 = FALSE, ReportType &lt;&gt; "Final"), AND($Q$1576 = FALSE, ReportType &lt;&gt; "Rough"))</formula>
    </cfRule>
  </conditionalFormatting>
  <conditionalFormatting sqref="W1576">
    <cfRule type="expression" dxfId="586" priority="796">
      <formula>OR($T$1576 = TRUE, AND(LEN(TRIM($W$1576))&gt;0, $S$1576 = FALSE))</formula>
    </cfRule>
  </conditionalFormatting>
  <conditionalFormatting sqref="W1580">
    <cfRule type="expression" dxfId="585" priority="795">
      <formula>AND($R$1580,$S$1580)</formula>
    </cfRule>
  </conditionalFormatting>
  <conditionalFormatting sqref="W1580">
    <cfRule type="expression" dxfId="584" priority="794">
      <formula>AND(IF($R$1580,$W$1580,TRUE),LEN(TRIM($W$1580))&gt;0)</formula>
    </cfRule>
  </conditionalFormatting>
  <conditionalFormatting sqref="W1580">
    <cfRule type="expression" dxfId="583" priority="793">
      <formula>OR($S$1580 = FALSE, AND($P$1580 = FALSE, ReportType &lt;&gt; "Final"), AND($Q$1580 = FALSE, ReportType &lt;&gt; "Rough"))</formula>
    </cfRule>
  </conditionalFormatting>
  <conditionalFormatting sqref="W1580">
    <cfRule type="expression" dxfId="582" priority="792">
      <formula>OR($T$1580 = TRUE, AND($W$1580 = TRUE, $S$1580 = FALSE))</formula>
    </cfRule>
  </conditionalFormatting>
  <conditionalFormatting sqref="W1583">
    <cfRule type="expression" dxfId="581" priority="791">
      <formula>AND($R$1583,$S$1583)</formula>
    </cfRule>
  </conditionalFormatting>
  <conditionalFormatting sqref="W1583">
    <cfRule type="expression" dxfId="580" priority="790">
      <formula>AND($W$1583&lt;&gt;"Not Met",LEN(TRIM($W$1583))&gt;0)</formula>
    </cfRule>
  </conditionalFormatting>
  <conditionalFormatting sqref="W1583">
    <cfRule type="expression" dxfId="579" priority="789">
      <formula>OR($S$1583 = FALSE, AND($P$1583 = FALSE, ReportType &lt;&gt; "Final"), AND($Q$1583 = FALSE, ReportType &lt;&gt; "Rough"))</formula>
    </cfRule>
  </conditionalFormatting>
  <conditionalFormatting sqref="W1583">
    <cfRule type="expression" dxfId="578" priority="788">
      <formula>OR($T$1583 = TRUE, AND(LEN(TRIM($W$1583))&gt;0, $S$1583 = FALSE))</formula>
    </cfRule>
  </conditionalFormatting>
  <conditionalFormatting sqref="W1589">
    <cfRule type="expression" dxfId="577" priority="787">
      <formula>AND($R$1589,$S$1589)</formula>
    </cfRule>
  </conditionalFormatting>
  <conditionalFormatting sqref="W1589">
    <cfRule type="expression" dxfId="576" priority="786">
      <formula>AND($W$1589&lt;&gt;"Not Met",LEN(TRIM($W$1589))&gt;0)</formula>
    </cfRule>
  </conditionalFormatting>
  <conditionalFormatting sqref="W1589">
    <cfRule type="expression" dxfId="575" priority="785">
      <formula>OR($S$1589 = FALSE, AND($P$1589 = FALSE, ReportType &lt;&gt; "Final"), AND($Q$1589 = FALSE, ReportType &lt;&gt; "Rough"))</formula>
    </cfRule>
  </conditionalFormatting>
  <conditionalFormatting sqref="W1589">
    <cfRule type="expression" dxfId="574" priority="784">
      <formula>OR($T$1589 = TRUE, AND(LEN(TRIM($W$1589))&gt;0, $S$1589 = FALSE,W1589&lt;&gt;"N/A"))</formula>
    </cfRule>
  </conditionalFormatting>
  <conditionalFormatting sqref="W1592">
    <cfRule type="expression" dxfId="573" priority="783">
      <formula>AND($R$1592,$S$1592)</formula>
    </cfRule>
  </conditionalFormatting>
  <conditionalFormatting sqref="W1592">
    <cfRule type="expression" dxfId="572" priority="782">
      <formula>AND($W$1592&lt;&gt;"Not Met",LEN(TRIM($W$1592))&gt;0)</formula>
    </cfRule>
  </conditionalFormatting>
  <conditionalFormatting sqref="W1592">
    <cfRule type="expression" dxfId="571" priority="781">
      <formula>OR($S$1592 = FALSE, AND($P$1592 = FALSE, ReportType &lt;&gt; "Final"), AND($Q$1592 = FALSE, ReportType &lt;&gt; "Rough"))</formula>
    </cfRule>
  </conditionalFormatting>
  <conditionalFormatting sqref="W1592">
    <cfRule type="expression" dxfId="570" priority="780">
      <formula>OR($T$1592 = TRUE, AND(LEN(TRIM($W$1592))&gt;0, $S$1592 = FALSE,W1592&lt;&gt;"N/A"))</formula>
    </cfRule>
  </conditionalFormatting>
  <conditionalFormatting sqref="W1594">
    <cfRule type="expression" dxfId="569" priority="779">
      <formula>AND($R$1594,$S$1594)</formula>
    </cfRule>
  </conditionalFormatting>
  <conditionalFormatting sqref="W1594">
    <cfRule type="expression" dxfId="568" priority="778">
      <formula>AND($W$1594&lt;&gt;"Not Met",LEN(TRIM($W$1594))&gt;0)</formula>
    </cfRule>
  </conditionalFormatting>
  <conditionalFormatting sqref="W1594">
    <cfRule type="expression" dxfId="567" priority="777">
      <formula>OR($S$1594 = FALSE, AND($P$1594 = FALSE, ReportType &lt;&gt; "Final"), AND($Q$1594 = FALSE, ReportType &lt;&gt; "Rough"))</formula>
    </cfRule>
  </conditionalFormatting>
  <conditionalFormatting sqref="W1594">
    <cfRule type="expression" dxfId="566" priority="776">
      <formula>OR($T$1594 = TRUE, AND(LEN(TRIM($W$1594))&gt;0, $S$1594 = FALSE,W1594&lt;&gt;"N/A"))</formula>
    </cfRule>
  </conditionalFormatting>
  <conditionalFormatting sqref="W1597">
    <cfRule type="expression" dxfId="565" priority="775">
      <formula>AND($R$1597,$S$1597)</formula>
    </cfRule>
  </conditionalFormatting>
  <conditionalFormatting sqref="W1597">
    <cfRule type="expression" dxfId="564" priority="774">
      <formula>AND($W$1597&lt;&gt;"Not Met",LEN(TRIM($W$1597))&gt;0)</formula>
    </cfRule>
  </conditionalFormatting>
  <conditionalFormatting sqref="W1597">
    <cfRule type="expression" dxfId="563" priority="773">
      <formula>OR($S$1597 = FALSE, AND($P$1597 = FALSE, ReportType &lt;&gt; "Final"), AND($Q$1597 = FALSE, ReportType &lt;&gt; "Rough"))</formula>
    </cfRule>
  </conditionalFormatting>
  <conditionalFormatting sqref="W1597">
    <cfRule type="expression" dxfId="562" priority="772">
      <formula>OR($T$1597 = TRUE, AND(LEN(TRIM($W$1597))&gt;0, $S$1597 = FALSE,W1597&lt;&gt;"N/A"))</formula>
    </cfRule>
  </conditionalFormatting>
  <conditionalFormatting sqref="W1599">
    <cfRule type="expression" dxfId="561" priority="771">
      <formula>AND($R$1599,$S$1599)</formula>
    </cfRule>
  </conditionalFormatting>
  <conditionalFormatting sqref="W1599">
    <cfRule type="expression" dxfId="560" priority="770">
      <formula>AND($W$1599&lt;&gt;"Not Met",LEN(TRIM($W$1599))&gt;0)</formula>
    </cfRule>
  </conditionalFormatting>
  <conditionalFormatting sqref="W1599">
    <cfRule type="expression" dxfId="559" priority="769">
      <formula>OR($S$1599 = FALSE, AND($P$1599 = FALSE, ReportType &lt;&gt; "Final"), AND($Q$1599 = FALSE, ReportType &lt;&gt; "Rough"))</formula>
    </cfRule>
  </conditionalFormatting>
  <conditionalFormatting sqref="W1599">
    <cfRule type="expression" dxfId="558" priority="768">
      <formula>OR($T$1599 = TRUE, AND(LEN(TRIM($W$1599))&gt;0, $S$1599 = FALSE,W1599&lt;&gt;"N/A"))</formula>
    </cfRule>
  </conditionalFormatting>
  <conditionalFormatting sqref="W1608">
    <cfRule type="expression" dxfId="557" priority="767">
      <formula>AND($R$1608,$S$1608)</formula>
    </cfRule>
  </conditionalFormatting>
  <conditionalFormatting sqref="W1608">
    <cfRule type="expression" dxfId="556" priority="766">
      <formula>AND(IF($R$1608,$W$1608,TRUE),LEN(TRIM($W$1608))&gt;0)</formula>
    </cfRule>
  </conditionalFormatting>
  <conditionalFormatting sqref="W1608">
    <cfRule type="expression" dxfId="555" priority="765">
      <formula>OR($S$1608 = FALSE, AND($P$1608 = FALSE, ReportType &lt;&gt; "Final"), AND($Q$1608 = FALSE, ReportType &lt;&gt; "Rough"))</formula>
    </cfRule>
  </conditionalFormatting>
  <conditionalFormatting sqref="W1608">
    <cfRule type="expression" dxfId="554" priority="764">
      <formula>OR($T$1608 = TRUE, AND($W$1608 = TRUE, $S$1608 = FALSE))</formula>
    </cfRule>
  </conditionalFormatting>
  <conditionalFormatting sqref="W1614">
    <cfRule type="expression" dxfId="553" priority="763">
      <formula>AND($R$1614,$S$1614)</formula>
    </cfRule>
  </conditionalFormatting>
  <conditionalFormatting sqref="W1614">
    <cfRule type="expression" dxfId="552" priority="762">
      <formula>AND(IF($R$1614,$W$1614,TRUE),LEN(TRIM($W$1614))&gt;0)</formula>
    </cfRule>
  </conditionalFormatting>
  <conditionalFormatting sqref="W1614">
    <cfRule type="expression" dxfId="551" priority="761">
      <formula>OR($S$1614 = FALSE, AND($P$1614 = FALSE, ReportType &lt;&gt; "Final"), AND($Q$1614 = FALSE, ReportType &lt;&gt; "Rough"))</formula>
    </cfRule>
  </conditionalFormatting>
  <conditionalFormatting sqref="W1614">
    <cfRule type="expression" dxfId="550" priority="760">
      <formula>OR($T$1614 = TRUE, AND($W$1614 = TRUE, $S$1614 = FALSE))</formula>
    </cfRule>
  </conditionalFormatting>
  <conditionalFormatting sqref="W1618">
    <cfRule type="expression" dxfId="549" priority="759">
      <formula>AND($R$1618,$S$1618)</formula>
    </cfRule>
  </conditionalFormatting>
  <conditionalFormatting sqref="W1618">
    <cfRule type="expression" dxfId="548" priority="758">
      <formula>AND($W$1618&lt;&gt;"Not Met",LEN(TRIM($W$1618))&gt;0)</formula>
    </cfRule>
  </conditionalFormatting>
  <conditionalFormatting sqref="W1618">
    <cfRule type="expression" dxfId="547" priority="757">
      <formula>OR($S$1618 = FALSE, AND($P$1618 = FALSE, ReportType &lt;&gt; "Final"), AND($Q$1618 = FALSE, ReportType &lt;&gt; "Rough"))</formula>
    </cfRule>
  </conditionalFormatting>
  <conditionalFormatting sqref="W1618">
    <cfRule type="expression" dxfId="546" priority="756">
      <formula>OR($T$1618 = TRUE, AND(LEN(TRIM($W$1618))&gt;0, $S$1618 = FALSE))</formula>
    </cfRule>
  </conditionalFormatting>
  <conditionalFormatting sqref="W1623">
    <cfRule type="expression" dxfId="545" priority="755">
      <formula>AND($R$1623,$S$1623)</formula>
    </cfRule>
  </conditionalFormatting>
  <conditionalFormatting sqref="W1623">
    <cfRule type="expression" dxfId="544" priority="754">
      <formula>AND($W$1623&lt;&gt;"Not Met",LEN(TRIM($W$1623))&gt;0)</formula>
    </cfRule>
  </conditionalFormatting>
  <conditionalFormatting sqref="W1623">
    <cfRule type="expression" dxfId="543" priority="753">
      <formula>OR($S$1623 = FALSE, AND($P$1623 = FALSE, ReportType &lt;&gt; "Final"), AND($Q$1623 = FALSE, ReportType &lt;&gt; "Rough"))</formula>
    </cfRule>
  </conditionalFormatting>
  <conditionalFormatting sqref="W1623">
    <cfRule type="expression" dxfId="542" priority="752">
      <formula>OR($T$1623 = TRUE, AND(LEN(TRIM($W$1623))&gt;0, $S$1623 = FALSE))</formula>
    </cfRule>
  </conditionalFormatting>
  <conditionalFormatting sqref="W1624">
    <cfRule type="expression" dxfId="541" priority="751">
      <formula>AND($R$1624,$S$1624)</formula>
    </cfRule>
  </conditionalFormatting>
  <conditionalFormatting sqref="W1624">
    <cfRule type="expression" dxfId="540" priority="750">
      <formula>AND($W$1624&lt;&gt;"Not Met",LEN(TRIM($W$1624))&gt;0)</formula>
    </cfRule>
  </conditionalFormatting>
  <conditionalFormatting sqref="W1624">
    <cfRule type="expression" dxfId="539" priority="749">
      <formula>OR($S$1624 = FALSE, AND($P$1624 = FALSE, ReportType &lt;&gt; "Final"), AND($Q$1624 = FALSE, ReportType &lt;&gt; "Rough"))</formula>
    </cfRule>
  </conditionalFormatting>
  <conditionalFormatting sqref="W1624">
    <cfRule type="expression" dxfId="538" priority="748">
      <formula>OR($T$1624 = TRUE, AND(LEN(TRIM($W$1624))&gt;0, $S$1624 = FALSE))</formula>
    </cfRule>
  </conditionalFormatting>
  <conditionalFormatting sqref="W1625">
    <cfRule type="expression" dxfId="537" priority="747">
      <formula>AND($R$1625,$S$1625)</formula>
    </cfRule>
  </conditionalFormatting>
  <conditionalFormatting sqref="W1625">
    <cfRule type="expression" dxfId="536" priority="746">
      <formula>AND($W$1625&lt;&gt;"Not Met",LEN(TRIM($W$1625))&gt;0)</formula>
    </cfRule>
  </conditionalFormatting>
  <conditionalFormatting sqref="W1625">
    <cfRule type="expression" dxfId="535" priority="745">
      <formula>OR($S$1625 = FALSE, AND($P$1625 = FALSE, ReportType &lt;&gt; "Final"), AND($Q$1625 = FALSE, ReportType &lt;&gt; "Rough"))</formula>
    </cfRule>
  </conditionalFormatting>
  <conditionalFormatting sqref="W1625">
    <cfRule type="expression" dxfId="534" priority="744">
      <formula>OR($T$1625 = TRUE, AND(LEN(TRIM($W$1625))&gt;0, $S$1625 = FALSE))</formula>
    </cfRule>
  </conditionalFormatting>
  <conditionalFormatting sqref="W1626">
    <cfRule type="expression" dxfId="533" priority="743">
      <formula>AND($R$1626,$S$1626)</formula>
    </cfRule>
  </conditionalFormatting>
  <conditionalFormatting sqref="W1626">
    <cfRule type="expression" dxfId="532" priority="742">
      <formula>AND($W$1626&lt;&gt;"Not Met",LEN(TRIM($W$1626))&gt;0)</formula>
    </cfRule>
  </conditionalFormatting>
  <conditionalFormatting sqref="W1626">
    <cfRule type="expression" dxfId="531" priority="741">
      <formula>OR($S$1626 = FALSE, AND($P$1626 = FALSE, ReportType &lt;&gt; "Final"), AND($Q$1626 = FALSE, ReportType &lt;&gt; "Rough"))</formula>
    </cfRule>
  </conditionalFormatting>
  <conditionalFormatting sqref="W1626">
    <cfRule type="expression" dxfId="530" priority="740">
      <formula>OR($T$1626 = TRUE, AND(LEN(TRIM($W$1626))&gt;0, $S$1626 = FALSE))</formula>
    </cfRule>
  </conditionalFormatting>
  <conditionalFormatting sqref="W1637">
    <cfRule type="expression" dxfId="529" priority="739">
      <formula>AND($R$1637,$S$1637)</formula>
    </cfRule>
  </conditionalFormatting>
  <conditionalFormatting sqref="W1637">
    <cfRule type="expression" dxfId="528" priority="738">
      <formula>AND(IF($R$1637,$W$1637,TRUE),LEN(TRIM($W$1637))&gt;0)</formula>
    </cfRule>
  </conditionalFormatting>
  <conditionalFormatting sqref="W1637">
    <cfRule type="expression" dxfId="527" priority="737">
      <formula>OR($S$1637 = FALSE, AND($P$1637 = FALSE, ReportType &lt;&gt; "Final"), AND($Q$1637 = FALSE, ReportType &lt;&gt; "Rough"))</formula>
    </cfRule>
  </conditionalFormatting>
  <conditionalFormatting sqref="W1637">
    <cfRule type="expression" dxfId="526" priority="736">
      <formula>OR($T$1637 = TRUE, AND($W$1637 = TRUE, $S$1637 = FALSE))</formula>
    </cfRule>
  </conditionalFormatting>
  <conditionalFormatting sqref="W1639">
    <cfRule type="expression" dxfId="525" priority="735">
      <formula>AND($R$1639,$S$1639)</formula>
    </cfRule>
  </conditionalFormatting>
  <conditionalFormatting sqref="W1639">
    <cfRule type="expression" dxfId="524" priority="734">
      <formula>AND(IF($R$1639,$W$1639,TRUE),LEN(TRIM($W$1639))&gt;0)</formula>
    </cfRule>
  </conditionalFormatting>
  <conditionalFormatting sqref="W1639">
    <cfRule type="expression" dxfId="523" priority="733">
      <formula>OR($S$1639 = FALSE, AND($P$1639 = FALSE, ReportType &lt;&gt; "Final"), AND($Q$1639 = FALSE, ReportType &lt;&gt; "Rough"))</formula>
    </cfRule>
  </conditionalFormatting>
  <conditionalFormatting sqref="W1639">
    <cfRule type="expression" dxfId="522" priority="732">
      <formula>OR($T$1639 = TRUE, AND($W$1639 = TRUE, $S$1639 = FALSE))</formula>
    </cfRule>
  </conditionalFormatting>
  <conditionalFormatting sqref="W1642">
    <cfRule type="expression" dxfId="521" priority="731">
      <formula>AND($R$1642,$S$1642)</formula>
    </cfRule>
  </conditionalFormatting>
  <conditionalFormatting sqref="W1642">
    <cfRule type="expression" dxfId="520" priority="730">
      <formula>AND(IF($R$1642,$W$1642,TRUE),LEN(TRIM($W$1642))&gt;0)</formula>
    </cfRule>
  </conditionalFormatting>
  <conditionalFormatting sqref="W1642">
    <cfRule type="expression" dxfId="519" priority="729">
      <formula>OR($S$1642 = FALSE, AND($P$1642 = FALSE, ReportType &lt;&gt; "Final"), AND($Q$1642 = FALSE, ReportType &lt;&gt; "Rough"))</formula>
    </cfRule>
  </conditionalFormatting>
  <conditionalFormatting sqref="W1642">
    <cfRule type="expression" dxfId="518" priority="728">
      <formula>OR($T$1642 = TRUE, AND($W$1642 = TRUE, $S$1642 = FALSE))</formula>
    </cfRule>
  </conditionalFormatting>
  <conditionalFormatting sqref="W1665">
    <cfRule type="expression" dxfId="517" priority="727">
      <formula>AND($R$1665,$S$1665)</formula>
    </cfRule>
  </conditionalFormatting>
  <conditionalFormatting sqref="W1665">
    <cfRule type="expression" dxfId="516" priority="726">
      <formula>AND(IF($R$1665,$W$1665,TRUE),LEN(TRIM($W$1665))&gt;0)</formula>
    </cfRule>
  </conditionalFormatting>
  <conditionalFormatting sqref="W1665">
    <cfRule type="expression" dxfId="515" priority="725">
      <formula>OR($S$1665 = FALSE, AND($P$1665 = FALSE, ReportType &lt;&gt; "Final"), AND($Q$1665 = FALSE, ReportType &lt;&gt; "Rough"))</formula>
    </cfRule>
  </conditionalFormatting>
  <conditionalFormatting sqref="W1665">
    <cfRule type="expression" dxfId="514" priority="724">
      <formula>OR($T$1665 = TRUE, AND($W$1665 = TRUE, $S$1665 = FALSE))</formula>
    </cfRule>
  </conditionalFormatting>
  <conditionalFormatting sqref="W1676">
    <cfRule type="expression" dxfId="513" priority="723">
      <formula>AND($R$1676,$S$1676)</formula>
    </cfRule>
  </conditionalFormatting>
  <conditionalFormatting sqref="W1676">
    <cfRule type="expression" dxfId="512" priority="722">
      <formula>AND(IF($R$1676,$W$1676,TRUE),LEN(TRIM($W$1676))&gt;0)</formula>
    </cfRule>
  </conditionalFormatting>
  <conditionalFormatting sqref="W1676">
    <cfRule type="expression" dxfId="511" priority="721">
      <formula>OR($S$1676 = FALSE, AND($P$1676 = FALSE, ReportType &lt;&gt; "Final"), AND($Q$1676 = FALSE, ReportType &lt;&gt; "Rough"))</formula>
    </cfRule>
  </conditionalFormatting>
  <conditionalFormatting sqref="W1676">
    <cfRule type="expression" dxfId="510" priority="720">
      <formula>OR($T$1676 = TRUE, AND($W$1676 = TRUE, $S$1676 = FALSE))</formula>
    </cfRule>
  </conditionalFormatting>
  <conditionalFormatting sqref="W1678">
    <cfRule type="expression" dxfId="509" priority="719">
      <formula>AND($R$1678,$S$1678)</formula>
    </cfRule>
  </conditionalFormatting>
  <conditionalFormatting sqref="W1678">
    <cfRule type="expression" dxfId="508" priority="718">
      <formula>AND(IF($R$1678,$W$1678,TRUE),LEN(TRIM($W$1678))&gt;0)</formula>
    </cfRule>
  </conditionalFormatting>
  <conditionalFormatting sqref="W1678">
    <cfRule type="expression" dxfId="507" priority="717">
      <formula>OR($S$1678 = FALSE, AND($P$1678 = FALSE, ReportType &lt;&gt; "Final"), AND($Q$1678 = FALSE, ReportType &lt;&gt; "Rough"))</formula>
    </cfRule>
  </conditionalFormatting>
  <conditionalFormatting sqref="W1678">
    <cfRule type="expression" dxfId="506" priority="716">
      <formula>OR($T$1678 = TRUE, AND($W$1678 = TRUE, $S$1678 = FALSE))</formula>
    </cfRule>
  </conditionalFormatting>
  <conditionalFormatting sqref="W1679">
    <cfRule type="expression" dxfId="505" priority="715">
      <formula>AND($R$1679,$S$1679)</formula>
    </cfRule>
  </conditionalFormatting>
  <conditionalFormatting sqref="W1679">
    <cfRule type="expression" dxfId="504" priority="714">
      <formula>AND(IF($R$1679,$W$1679,TRUE),LEN(TRIM($W$1679))&gt;0)</formula>
    </cfRule>
  </conditionalFormatting>
  <conditionalFormatting sqref="W1679">
    <cfRule type="expression" dxfId="503" priority="713">
      <formula>OR($S$1679 = FALSE, AND($P$1679 = FALSE, ReportType &lt;&gt; "Final"), AND($Q$1679 = FALSE, ReportType &lt;&gt; "Rough"))</formula>
    </cfRule>
  </conditionalFormatting>
  <conditionalFormatting sqref="W1679">
    <cfRule type="expression" dxfId="502" priority="712">
      <formula>OR($T$1679 = TRUE, AND($W$1679 = TRUE, $S$1679 = FALSE))</formula>
    </cfRule>
  </conditionalFormatting>
  <conditionalFormatting sqref="W1681">
    <cfRule type="expression" dxfId="501" priority="711">
      <formula>AND($R$1681,$S$1681)</formula>
    </cfRule>
  </conditionalFormatting>
  <conditionalFormatting sqref="W1681">
    <cfRule type="expression" dxfId="500" priority="710">
      <formula>AND(IF($R$1681,$W$1681,TRUE),LEN(TRIM($W$1681))&gt;0)</formula>
    </cfRule>
  </conditionalFormatting>
  <conditionalFormatting sqref="W1681">
    <cfRule type="expression" dxfId="499" priority="709">
      <formula>OR($S$1681 = FALSE, AND($P$1681 = FALSE, ReportType &lt;&gt; "Final"), AND($Q$1681 = FALSE, ReportType &lt;&gt; "Rough"))</formula>
    </cfRule>
  </conditionalFormatting>
  <conditionalFormatting sqref="W1681">
    <cfRule type="expression" dxfId="498" priority="708">
      <formula>OR($T$1681 = TRUE, AND($W$1681 = TRUE, $S$1681 = FALSE))</formula>
    </cfRule>
  </conditionalFormatting>
  <conditionalFormatting sqref="W1686">
    <cfRule type="expression" dxfId="497" priority="707">
      <formula>AND($R$1686,$S$1686)</formula>
    </cfRule>
  </conditionalFormatting>
  <conditionalFormatting sqref="W1686">
    <cfRule type="expression" dxfId="496" priority="706">
      <formula>AND(IF($R$1686,$W$1686,TRUE),LEN(TRIM($W$1686))&gt;0)</formula>
    </cfRule>
  </conditionalFormatting>
  <conditionalFormatting sqref="W1686">
    <cfRule type="expression" dxfId="495" priority="705">
      <formula>OR($S$1686 = FALSE, AND($P$1686 = FALSE, ReportType &lt;&gt; "Final"), AND($Q$1686 = FALSE, ReportType &lt;&gt; "Rough"))</formula>
    </cfRule>
  </conditionalFormatting>
  <conditionalFormatting sqref="W1686">
    <cfRule type="expression" dxfId="494" priority="704">
      <formula>OR($T$1686 = TRUE, AND($W$1686 = TRUE, $S$1686 = FALSE))</formula>
    </cfRule>
  </conditionalFormatting>
  <conditionalFormatting sqref="W1695">
    <cfRule type="expression" dxfId="493" priority="703">
      <formula>AND($R$1695,$S$1695)</formula>
    </cfRule>
  </conditionalFormatting>
  <conditionalFormatting sqref="W1695">
    <cfRule type="expression" dxfId="492" priority="702">
      <formula>AND(IF($R$1695,$W$1695,TRUE),LEN(TRIM($W$1695))&gt;0)</formula>
    </cfRule>
  </conditionalFormatting>
  <conditionalFormatting sqref="W1695">
    <cfRule type="expression" dxfId="491" priority="701">
      <formula>OR($S$1695 = FALSE, AND($P$1695 = FALSE, ReportType &lt;&gt; "Final"), AND($Q$1695 = FALSE, ReportType &lt;&gt; "Rough"))</formula>
    </cfRule>
  </conditionalFormatting>
  <conditionalFormatting sqref="W1695">
    <cfRule type="expression" dxfId="490" priority="700">
      <formula>OR($T$1695 = TRUE, AND($W$1695 = TRUE, $S$1695 = FALSE))</formula>
    </cfRule>
  </conditionalFormatting>
  <conditionalFormatting sqref="W1700">
    <cfRule type="expression" dxfId="489" priority="699">
      <formula>AND($R$1700,$S$1700)</formula>
    </cfRule>
  </conditionalFormatting>
  <conditionalFormatting sqref="W1700">
    <cfRule type="expression" dxfId="488" priority="698">
      <formula>AND(IF($R$1700,$W$1700,TRUE),LEN(TRIM($W$1700))&gt;0)</formula>
    </cfRule>
  </conditionalFormatting>
  <conditionalFormatting sqref="W1700">
    <cfRule type="expression" dxfId="487" priority="697">
      <formula>OR($S$1700 = FALSE, AND($P$1700 = FALSE, ReportType &lt;&gt; "Final"), AND($Q$1700 = FALSE, ReportType &lt;&gt; "Rough"))</formula>
    </cfRule>
  </conditionalFormatting>
  <conditionalFormatting sqref="W1700">
    <cfRule type="expression" dxfId="486" priority="696">
      <formula>OR($T$1700 = TRUE, AND($W$1700 = TRUE, $S$1700 = FALSE))</formula>
    </cfRule>
  </conditionalFormatting>
  <conditionalFormatting sqref="W1701">
    <cfRule type="expression" dxfId="485" priority="695">
      <formula>AND($R$1701,$S$1701)</formula>
    </cfRule>
  </conditionalFormatting>
  <conditionalFormatting sqref="W1701">
    <cfRule type="expression" dxfId="484" priority="694">
      <formula>AND(IF($R$1701,$W$1701,TRUE),LEN(TRIM($W$1701))&gt;0)</formula>
    </cfRule>
  </conditionalFormatting>
  <conditionalFormatting sqref="W1701">
    <cfRule type="expression" dxfId="483" priority="693">
      <formula>OR($S$1701 = FALSE, AND($P$1701 = FALSE, ReportType &lt;&gt; "Final"), AND($Q$1701 = FALSE, ReportType &lt;&gt; "Rough"))</formula>
    </cfRule>
  </conditionalFormatting>
  <conditionalFormatting sqref="W1701">
    <cfRule type="expression" dxfId="482" priority="692">
      <formula>OR($T$1701 = TRUE, AND($W$1701 = TRUE, $S$1701 = FALSE))</formula>
    </cfRule>
  </conditionalFormatting>
  <conditionalFormatting sqref="W1705">
    <cfRule type="expression" dxfId="481" priority="691">
      <formula>AND($R$1705,$S$1705)</formula>
    </cfRule>
  </conditionalFormatting>
  <conditionalFormatting sqref="W1705">
    <cfRule type="expression" dxfId="480" priority="690">
      <formula>AND(IF($R$1705,$W$1705,TRUE),LEN(TRIM($W$1705))&gt;0)</formula>
    </cfRule>
  </conditionalFormatting>
  <conditionalFormatting sqref="W1705">
    <cfRule type="expression" dxfId="479" priority="689">
      <formula>OR($S$1705 = FALSE, AND($P$1705 = FALSE, ReportType &lt;&gt; "Final"), AND($Q$1705 = FALSE, ReportType &lt;&gt; "Rough"))</formula>
    </cfRule>
  </conditionalFormatting>
  <conditionalFormatting sqref="W1705">
    <cfRule type="expression" dxfId="478" priority="688">
      <formula>OR($T$1705 = TRUE, AND($W$1705 = TRUE, $S$1705 = FALSE))</formula>
    </cfRule>
  </conditionalFormatting>
  <conditionalFormatting sqref="W1710">
    <cfRule type="expression" dxfId="477" priority="687">
      <formula>AND($R$1710,$S$1710)</formula>
    </cfRule>
  </conditionalFormatting>
  <conditionalFormatting sqref="W1710">
    <cfRule type="expression" dxfId="476" priority="686">
      <formula>AND($W$1710&lt;&gt;"Not Met",LEN(TRIM($W$1710))&gt;0)</formula>
    </cfRule>
  </conditionalFormatting>
  <conditionalFormatting sqref="W1710">
    <cfRule type="expression" dxfId="475" priority="685">
      <formula>OR($S$1710 = FALSE, AND($P$1710 = FALSE, ReportType &lt;&gt; "Final"), AND($Q$1710 = FALSE, ReportType &lt;&gt; "Rough"))</formula>
    </cfRule>
  </conditionalFormatting>
  <conditionalFormatting sqref="W1710">
    <cfRule type="expression" dxfId="474" priority="684">
      <formula>OR($T$1710 = TRUE, AND(LEN(TRIM($W$1710))&gt;0, $S$1710 = FALSE))</formula>
    </cfRule>
  </conditionalFormatting>
  <conditionalFormatting sqref="W1714">
    <cfRule type="expression" dxfId="473" priority="683">
      <formula>AND($R$1714,$S$1714)</formula>
    </cfRule>
  </conditionalFormatting>
  <conditionalFormatting sqref="W1714">
    <cfRule type="expression" dxfId="472" priority="682">
      <formula>AND(IF($R$1714,$W$1714,TRUE),LEN(TRIM($W$1714))&gt;0)</formula>
    </cfRule>
  </conditionalFormatting>
  <conditionalFormatting sqref="W1714">
    <cfRule type="expression" dxfId="471" priority="681">
      <formula>OR($S$1714 = FALSE, AND($P$1714 = FALSE, ReportType &lt;&gt; "Final"), AND($Q$1714 = FALSE, ReportType &lt;&gt; "Rough"))</formula>
    </cfRule>
  </conditionalFormatting>
  <conditionalFormatting sqref="W1714">
    <cfRule type="expression" dxfId="470" priority="680">
      <formula>OR($T$1714 = TRUE, AND($W$1714 = TRUE, $S$1714 = FALSE))</formula>
    </cfRule>
  </conditionalFormatting>
  <conditionalFormatting sqref="W1715">
    <cfRule type="expression" dxfId="469" priority="679">
      <formula>AND($R$1715,$S$1715)</formula>
    </cfRule>
  </conditionalFormatting>
  <conditionalFormatting sqref="W1715">
    <cfRule type="expression" dxfId="468" priority="678">
      <formula>AND(IF($R$1715,$W$1715,TRUE),LEN(TRIM($W$1715))&gt;0)</formula>
    </cfRule>
  </conditionalFormatting>
  <conditionalFormatting sqref="W1715">
    <cfRule type="expression" dxfId="467" priority="677">
      <formula>OR($S$1715 = FALSE, AND($P$1715 = FALSE, ReportType &lt;&gt; "Final"), AND($Q$1715 = FALSE, ReportType &lt;&gt; "Rough"))</formula>
    </cfRule>
  </conditionalFormatting>
  <conditionalFormatting sqref="W1715">
    <cfRule type="expression" dxfId="466" priority="676">
      <formula>OR($T$1715 = TRUE, AND($W$1715 = TRUE, $S$1715 = FALSE))</formula>
    </cfRule>
  </conditionalFormatting>
  <conditionalFormatting sqref="W1718">
    <cfRule type="expression" dxfId="465" priority="675">
      <formula>AND($R$1718,$S$1718)</formula>
    </cfRule>
  </conditionalFormatting>
  <conditionalFormatting sqref="W1718">
    <cfRule type="expression" dxfId="464" priority="674">
      <formula>AND(IF($R$1718,$W$1718,TRUE),LEN(TRIM($W$1718))&gt;0)</formula>
    </cfRule>
  </conditionalFormatting>
  <conditionalFormatting sqref="W1718">
    <cfRule type="expression" dxfId="463" priority="673">
      <formula>OR($S$1718 = FALSE, AND($P$1718 = FALSE, ReportType &lt;&gt; "Final"), AND($Q$1718 = FALSE, ReportType &lt;&gt; "Rough"))</formula>
    </cfRule>
  </conditionalFormatting>
  <conditionalFormatting sqref="W1718">
    <cfRule type="expression" dxfId="462" priority="672">
      <formula>OR($T$1718 = TRUE, AND($W$1718 = TRUE, $S$1718 = FALSE))</formula>
    </cfRule>
  </conditionalFormatting>
  <conditionalFormatting sqref="W1720">
    <cfRule type="expression" dxfId="461" priority="671">
      <formula>AND($R$1720,$S$1720)</formula>
    </cfRule>
  </conditionalFormatting>
  <conditionalFormatting sqref="W1720">
    <cfRule type="expression" dxfId="460" priority="670">
      <formula>AND(IF($R$1720,$W$1720,TRUE),LEN(TRIM($W$1720))&gt;0)</formula>
    </cfRule>
  </conditionalFormatting>
  <conditionalFormatting sqref="W1720">
    <cfRule type="expression" dxfId="459" priority="669">
      <formula>OR($S$1720 = FALSE, AND($P$1720 = FALSE, ReportType &lt;&gt; "Final"), AND($Q$1720 = FALSE, ReportType &lt;&gt; "Rough"))</formula>
    </cfRule>
  </conditionalFormatting>
  <conditionalFormatting sqref="W1720">
    <cfRule type="expression" dxfId="458" priority="668">
      <formula>OR($T$1720 = TRUE, AND($W$1720 = TRUE, $S$1720 = FALSE))</formula>
    </cfRule>
  </conditionalFormatting>
  <conditionalFormatting sqref="W1726">
    <cfRule type="expression" dxfId="457" priority="667">
      <formula>AND($R$1726,$S$1726)</formula>
    </cfRule>
  </conditionalFormatting>
  <conditionalFormatting sqref="W1726">
    <cfRule type="expression" dxfId="456" priority="666">
      <formula>AND(IF($R$1726,$W$1726,TRUE),LEN(TRIM($W$1726))&gt;0)</formula>
    </cfRule>
  </conditionalFormatting>
  <conditionalFormatting sqref="W1726">
    <cfRule type="expression" dxfId="455" priority="665">
      <formula>OR($S$1726 = FALSE, AND($P$1726 = FALSE, ReportType &lt;&gt; "Final"), AND($Q$1726 = FALSE, ReportType &lt;&gt; "Rough"))</formula>
    </cfRule>
  </conditionalFormatting>
  <conditionalFormatting sqref="W1726">
    <cfRule type="expression" dxfId="454" priority="664">
      <formula>OR($T$1726 = TRUE, AND($W$1726 = TRUE, $S$1726 = FALSE))</formula>
    </cfRule>
  </conditionalFormatting>
  <conditionalFormatting sqref="W1728">
    <cfRule type="expression" dxfId="453" priority="663">
      <formula>AND($R$1728,$S$1728)</formula>
    </cfRule>
  </conditionalFormatting>
  <conditionalFormatting sqref="W1728">
    <cfRule type="expression" dxfId="452" priority="662">
      <formula>AND(IF($R$1728,$W$1728,TRUE),LEN(TRIM($W$1728))&gt;0)</formula>
    </cfRule>
  </conditionalFormatting>
  <conditionalFormatting sqref="W1728">
    <cfRule type="expression" dxfId="451" priority="661">
      <formula>OR($S$1728 = FALSE, AND($P$1728 = FALSE, ReportType &lt;&gt; "Final"), AND($Q$1728 = FALSE, ReportType &lt;&gt; "Rough"))</formula>
    </cfRule>
  </conditionalFormatting>
  <conditionalFormatting sqref="W1728">
    <cfRule type="expression" dxfId="450" priority="660">
      <formula>OR($T$1728 = TRUE, AND($W$1728 = TRUE, $S$1728 = FALSE))</formula>
    </cfRule>
  </conditionalFormatting>
  <conditionalFormatting sqref="W1730">
    <cfRule type="expression" dxfId="449" priority="659">
      <formula>AND($R$1730,$S$1730)</formula>
    </cfRule>
  </conditionalFormatting>
  <conditionalFormatting sqref="W1730">
    <cfRule type="expression" dxfId="448" priority="658">
      <formula>AND($W$1730&lt;&gt;"Not Met",LEN(TRIM($W$1730))&gt;0)</formula>
    </cfRule>
  </conditionalFormatting>
  <conditionalFormatting sqref="W1730">
    <cfRule type="expression" dxfId="447" priority="657">
      <formula>OR($S$1730 = FALSE, AND($P$1730 = FALSE, ReportType &lt;&gt; "Final"), AND($Q$1730 = FALSE, ReportType &lt;&gt; "Rough"))</formula>
    </cfRule>
  </conditionalFormatting>
  <conditionalFormatting sqref="W1730">
    <cfRule type="expression" dxfId="446" priority="656">
      <formula>OR($T$1730 = TRUE, AND(LEN(TRIM($W$1730))&gt;0, $S$1730 = FALSE))</formula>
    </cfRule>
  </conditionalFormatting>
  <conditionalFormatting sqref="W1732">
    <cfRule type="expression" dxfId="445" priority="655">
      <formula>AND($R$1732,$S$1732)</formula>
    </cfRule>
  </conditionalFormatting>
  <conditionalFormatting sqref="W1732">
    <cfRule type="expression" dxfId="444" priority="654">
      <formula>AND(IF($R$1732,$W$1732,TRUE),LEN(TRIM($W$1732))&gt;0)</formula>
    </cfRule>
  </conditionalFormatting>
  <conditionalFormatting sqref="W1732">
    <cfRule type="expression" dxfId="443" priority="653">
      <formula>OR($S$1732 = FALSE, AND($P$1732 = FALSE, ReportType &lt;&gt; "Final"), AND($Q$1732 = FALSE, ReportType &lt;&gt; "Rough"))</formula>
    </cfRule>
  </conditionalFormatting>
  <conditionalFormatting sqref="W1732">
    <cfRule type="expression" dxfId="442" priority="652">
      <formula>OR($T$1732 = TRUE, AND($W$1732 = TRUE, $S$1732 = FALSE))</formula>
    </cfRule>
  </conditionalFormatting>
  <conditionalFormatting sqref="W1739">
    <cfRule type="expression" dxfId="441" priority="651">
      <formula>AND($R$1739,$S$1739)</formula>
    </cfRule>
  </conditionalFormatting>
  <conditionalFormatting sqref="W1739">
    <cfRule type="expression" dxfId="440" priority="650">
      <formula>AND(IF($R$1739,$W$1739,TRUE),LEN(TRIM($W$1739))&gt;0)</formula>
    </cfRule>
  </conditionalFormatting>
  <conditionalFormatting sqref="W1739">
    <cfRule type="expression" dxfId="439" priority="649">
      <formula>OR($S$1739 = FALSE, AND($P$1739 = FALSE, ReportType &lt;&gt; "Final"), AND($Q$1739 = FALSE, ReportType &lt;&gt; "Rough"))</formula>
    </cfRule>
  </conditionalFormatting>
  <conditionalFormatting sqref="W1739">
    <cfRule type="expression" dxfId="438" priority="648">
      <formula>OR($T$1739 = TRUE, AND($W$1739 = TRUE, $S$1739 = FALSE))</formula>
    </cfRule>
  </conditionalFormatting>
  <conditionalFormatting sqref="W1750">
    <cfRule type="expression" dxfId="437" priority="647">
      <formula>AND($R$1750,$S$1750)</formula>
    </cfRule>
  </conditionalFormatting>
  <conditionalFormatting sqref="W1750">
    <cfRule type="expression" dxfId="436" priority="646">
      <formula>AND(IF($R$1750,$W$1750,TRUE),LEN(TRIM($W$1750))&gt;0)</formula>
    </cfRule>
  </conditionalFormatting>
  <conditionalFormatting sqref="W1750">
    <cfRule type="expression" dxfId="435" priority="645">
      <formula>OR($S$1750 = FALSE, AND($P$1750 = FALSE, ReportType &lt;&gt; "Final"), AND($Q$1750 = FALSE, ReportType &lt;&gt; "Rough"))</formula>
    </cfRule>
  </conditionalFormatting>
  <conditionalFormatting sqref="W1750">
    <cfRule type="expression" dxfId="434" priority="644">
      <formula>OR($T$1750 = TRUE, AND($W$1750 = TRUE, $S$1750 = FALSE))</formula>
    </cfRule>
  </conditionalFormatting>
  <conditionalFormatting sqref="W1752">
    <cfRule type="expression" dxfId="433" priority="643">
      <formula>AND($R$1752,$S$1752)</formula>
    </cfRule>
  </conditionalFormatting>
  <conditionalFormatting sqref="W1752">
    <cfRule type="expression" dxfId="432" priority="642">
      <formula>AND(IF($R$1752,$W$1752,TRUE),LEN(TRIM($W$1752))&gt;0)</formula>
    </cfRule>
  </conditionalFormatting>
  <conditionalFormatting sqref="W1752">
    <cfRule type="expression" dxfId="431" priority="641">
      <formula>OR($S$1752 = FALSE, AND($P$1752 = FALSE, ReportType &lt;&gt; "Final"), AND($Q$1752 = FALSE, ReportType &lt;&gt; "Rough"))</formula>
    </cfRule>
  </conditionalFormatting>
  <conditionalFormatting sqref="W1752">
    <cfRule type="expression" dxfId="430" priority="640">
      <formula>OR($T$1752 = TRUE, AND($W$1752 = TRUE, $S$1752 = FALSE))</formula>
    </cfRule>
  </conditionalFormatting>
  <conditionalFormatting sqref="W1754">
    <cfRule type="expression" dxfId="429" priority="639">
      <formula>AND($R$1754,$S$1754)</formula>
    </cfRule>
  </conditionalFormatting>
  <conditionalFormatting sqref="W1754">
    <cfRule type="expression" dxfId="428" priority="638">
      <formula>AND(IF($R$1754,$W$1754,TRUE),LEN(TRIM($W$1754))&gt;0)</formula>
    </cfRule>
  </conditionalFormatting>
  <conditionalFormatting sqref="W1754">
    <cfRule type="expression" dxfId="427" priority="637">
      <formula>OR($S$1754 = FALSE, AND($P$1754 = FALSE, ReportType &lt;&gt; "Final"), AND($Q$1754 = FALSE, ReportType &lt;&gt; "Rough"))</formula>
    </cfRule>
  </conditionalFormatting>
  <conditionalFormatting sqref="W1754">
    <cfRule type="expression" dxfId="426" priority="636">
      <formula>OR($T$1754 = TRUE, AND($W$1754 = TRUE, $S$1754 = FALSE))</formula>
    </cfRule>
  </conditionalFormatting>
  <conditionalFormatting sqref="W1758">
    <cfRule type="expression" dxfId="425" priority="635">
      <formula>AND($R$1758,$S$1758)</formula>
    </cfRule>
  </conditionalFormatting>
  <conditionalFormatting sqref="W1758">
    <cfRule type="expression" dxfId="424" priority="634">
      <formula>AND($W$1758&lt;&gt;"Not Met",LEN(TRIM($W$1758))&gt;0)</formula>
    </cfRule>
  </conditionalFormatting>
  <conditionalFormatting sqref="W1758">
    <cfRule type="expression" dxfId="423" priority="633">
      <formula>OR($S$1758 = FALSE, AND($P$1758 = FALSE, ReportType &lt;&gt; "Final"), AND($Q$1758 = FALSE, ReportType &lt;&gt; "Rough"))</formula>
    </cfRule>
  </conditionalFormatting>
  <conditionalFormatting sqref="W1758">
    <cfRule type="expression" dxfId="422" priority="632">
      <formula>OR($T$1758 = TRUE, AND(LEN(TRIM($W$1758))&gt;0, $S$1758 = FALSE))</formula>
    </cfRule>
  </conditionalFormatting>
  <conditionalFormatting sqref="W1767">
    <cfRule type="expression" dxfId="421" priority="631">
      <formula>AND($R$1767,$S$1767)</formula>
    </cfRule>
  </conditionalFormatting>
  <conditionalFormatting sqref="W1767">
    <cfRule type="expression" dxfId="420" priority="630">
      <formula>AND(IF($R$1767,$W$1767,TRUE),LEN(TRIM($W$1767))&gt;0)</formula>
    </cfRule>
  </conditionalFormatting>
  <conditionalFormatting sqref="W1767">
    <cfRule type="expression" dxfId="419" priority="629">
      <formula>OR($S$1767 = FALSE, AND($P$1767 = FALSE, ReportType &lt;&gt; "Final"), AND($Q$1767 = FALSE, ReportType &lt;&gt; "Rough"))</formula>
    </cfRule>
  </conditionalFormatting>
  <conditionalFormatting sqref="W1767">
    <cfRule type="expression" dxfId="418" priority="628">
      <formula>OR($T$1767 = TRUE, AND($W$1767 = TRUE, $S$1767 = FALSE))</formula>
    </cfRule>
  </conditionalFormatting>
  <conditionalFormatting sqref="W1769">
    <cfRule type="expression" dxfId="417" priority="627">
      <formula>AND($R$1769,$S$1769)</formula>
    </cfRule>
  </conditionalFormatting>
  <conditionalFormatting sqref="W1769">
    <cfRule type="expression" dxfId="416" priority="626">
      <formula>AND(IF($R$1769,$W$1769,TRUE),LEN(TRIM($W$1769))&gt;0)</formula>
    </cfRule>
  </conditionalFormatting>
  <conditionalFormatting sqref="W1769">
    <cfRule type="expression" dxfId="415" priority="625">
      <formula>OR($S$1769 = FALSE, AND($P$1769 = FALSE, ReportType &lt;&gt; "Final"), AND($Q$1769 = FALSE, ReportType &lt;&gt; "Rough"))</formula>
    </cfRule>
  </conditionalFormatting>
  <conditionalFormatting sqref="W1769">
    <cfRule type="expression" dxfId="414" priority="624">
      <formula>OR($T$1769 = TRUE, AND($W$1769 = TRUE, $S$1769 = FALSE))</formula>
    </cfRule>
  </conditionalFormatting>
  <conditionalFormatting sqref="W1772">
    <cfRule type="expression" dxfId="413" priority="623">
      <formula>AND($R$1772,$S$1772)</formula>
    </cfRule>
  </conditionalFormatting>
  <conditionalFormatting sqref="W1772">
    <cfRule type="expression" dxfId="412" priority="622">
      <formula>AND(IF($R$1772,$W$1772,TRUE),LEN(TRIM($W$1772))&gt;0)</formula>
    </cfRule>
  </conditionalFormatting>
  <conditionalFormatting sqref="W1772">
    <cfRule type="expression" dxfId="411" priority="621">
      <formula>OR($S$1772 = FALSE, AND($P$1772 = FALSE, ReportType &lt;&gt; "Final"), AND($Q$1772 = FALSE, ReportType &lt;&gt; "Rough"))</formula>
    </cfRule>
  </conditionalFormatting>
  <conditionalFormatting sqref="W1772">
    <cfRule type="expression" dxfId="410" priority="620">
      <formula>OR($T$1772 = TRUE, AND($W$1772 = TRUE, $S$1772 = FALSE))</formula>
    </cfRule>
  </conditionalFormatting>
  <conditionalFormatting sqref="W1777">
    <cfRule type="expression" dxfId="409" priority="619">
      <formula>AND($R$1777,$S$1777)</formula>
    </cfRule>
  </conditionalFormatting>
  <conditionalFormatting sqref="W1777">
    <cfRule type="expression" dxfId="408" priority="618">
      <formula>AND($W$1777&lt;&gt;"Not Met",LEN(TRIM($W$1777))&gt;0)</formula>
    </cfRule>
  </conditionalFormatting>
  <conditionalFormatting sqref="W1777">
    <cfRule type="expression" dxfId="407" priority="617">
      <formula>OR($S$1777 = FALSE, AND($P$1777 = FALSE, ReportType &lt;&gt; "Final"), AND($Q$1777 = FALSE, ReportType &lt;&gt; "Rough"))</formula>
    </cfRule>
  </conditionalFormatting>
  <conditionalFormatting sqref="W1777">
    <cfRule type="expression" dxfId="406" priority="616">
      <formula>OR($T$1777 = TRUE, AND(LEN(TRIM($W$1777))&gt;0, $S$1777 = FALSE))</formula>
    </cfRule>
  </conditionalFormatting>
  <conditionalFormatting sqref="W1781">
    <cfRule type="expression" dxfId="405" priority="615">
      <formula>AND($R$1781,$S$1781)</formula>
    </cfRule>
  </conditionalFormatting>
  <conditionalFormatting sqref="W1781">
    <cfRule type="expression" dxfId="404" priority="614">
      <formula>AND(IF($R$1781,$W$1781,TRUE),LEN(TRIM($W$1781))&gt;0)</formula>
    </cfRule>
  </conditionalFormatting>
  <conditionalFormatting sqref="W1781">
    <cfRule type="expression" dxfId="403" priority="613">
      <formula>OR($S$1781 = FALSE, AND($P$1781 = FALSE, ReportType &lt;&gt; "Final"), AND($Q$1781 = FALSE, ReportType &lt;&gt; "Rough"))</formula>
    </cfRule>
  </conditionalFormatting>
  <conditionalFormatting sqref="W1781">
    <cfRule type="expression" dxfId="402" priority="612">
      <formula>OR($T$1781 = TRUE, AND($W$1781 = TRUE, $S$1781 = FALSE))</formula>
    </cfRule>
  </conditionalFormatting>
  <conditionalFormatting sqref="W1784">
    <cfRule type="expression" dxfId="401" priority="611">
      <formula>AND($R$1784,$S$1784)</formula>
    </cfRule>
  </conditionalFormatting>
  <conditionalFormatting sqref="W1784">
    <cfRule type="expression" dxfId="400" priority="610">
      <formula>AND(IF($R$1784,$W$1784,TRUE),LEN(TRIM($W$1784))&gt;0)</formula>
    </cfRule>
  </conditionalFormatting>
  <conditionalFormatting sqref="W1784">
    <cfRule type="expression" dxfId="399" priority="609">
      <formula>OR($S$1784 = FALSE, AND($P$1784 = FALSE, ReportType &lt;&gt; "Final"), AND($Q$1784 = FALSE, ReportType &lt;&gt; "Rough"))</formula>
    </cfRule>
  </conditionalFormatting>
  <conditionalFormatting sqref="W1784">
    <cfRule type="expression" dxfId="398" priority="608">
      <formula>OR($T$1784 = TRUE, AND($W$1784 = TRUE, $S$1784 = FALSE))</formula>
    </cfRule>
  </conditionalFormatting>
  <conditionalFormatting sqref="W1786">
    <cfRule type="expression" dxfId="397" priority="607">
      <formula>AND($R$1786,$S$1786)</formula>
    </cfRule>
  </conditionalFormatting>
  <conditionalFormatting sqref="W1786">
    <cfRule type="expression" dxfId="396" priority="606">
      <formula>AND(IF($R$1786,$W$1786,TRUE),LEN(TRIM($W$1786))&gt;0)</formula>
    </cfRule>
  </conditionalFormatting>
  <conditionalFormatting sqref="W1786">
    <cfRule type="expression" dxfId="395" priority="605">
      <formula>OR($S$1786 = FALSE, AND($P$1786 = FALSE, ReportType &lt;&gt; "Final"), AND($Q$1786 = FALSE, ReportType &lt;&gt; "Rough"))</formula>
    </cfRule>
  </conditionalFormatting>
  <conditionalFormatting sqref="W1786">
    <cfRule type="expression" dxfId="394" priority="604">
      <formula>OR($T$1786 = TRUE, AND($W$1786 = TRUE, $S$1786 = FALSE))</formula>
    </cfRule>
  </conditionalFormatting>
  <conditionalFormatting sqref="W1789">
    <cfRule type="expression" dxfId="393" priority="603">
      <formula>AND($R$1789,$S$1789)</formula>
    </cfRule>
  </conditionalFormatting>
  <conditionalFormatting sqref="W1789">
    <cfRule type="expression" dxfId="392" priority="602">
      <formula>AND(IF($R$1789,$W$1789,TRUE),LEN(TRIM($W$1789))&gt;0)</formula>
    </cfRule>
  </conditionalFormatting>
  <conditionalFormatting sqref="W1789">
    <cfRule type="expression" dxfId="391" priority="601">
      <formula>OR($S$1789 = FALSE, AND($P$1789 = FALSE, ReportType &lt;&gt; "Final"), AND($Q$1789 = FALSE, ReportType &lt;&gt; "Rough"))</formula>
    </cfRule>
  </conditionalFormatting>
  <conditionalFormatting sqref="W1789">
    <cfRule type="expression" dxfId="390" priority="600">
      <formula>OR($T$1789 = TRUE, AND($W$1789 = TRUE, $S$1789 = FALSE))</formula>
    </cfRule>
  </conditionalFormatting>
  <conditionalFormatting sqref="W1791">
    <cfRule type="expression" dxfId="389" priority="599">
      <formula>AND($R$1791,$S$1791)</formula>
    </cfRule>
  </conditionalFormatting>
  <conditionalFormatting sqref="W1791">
    <cfRule type="expression" dxfId="388" priority="598">
      <formula>AND(IF($R$1791,$W$1791,TRUE),LEN(TRIM($W$1791))&gt;0)</formula>
    </cfRule>
  </conditionalFormatting>
  <conditionalFormatting sqref="W1791">
    <cfRule type="expression" dxfId="387" priority="597">
      <formula>OR($S$1791 = FALSE, AND($P$1791 = FALSE, ReportType &lt;&gt; "Final"), AND($Q$1791 = FALSE, ReportType &lt;&gt; "Rough"))</formula>
    </cfRule>
  </conditionalFormatting>
  <conditionalFormatting sqref="W1791">
    <cfRule type="expression" dxfId="386" priority="596">
      <formula>OR($T$1791 = TRUE, AND($W$1791 = TRUE, $S$1791 = FALSE))</formula>
    </cfRule>
  </conditionalFormatting>
  <conditionalFormatting sqref="W1795">
    <cfRule type="expression" dxfId="385" priority="595">
      <formula>AND($R$1795,$S$1795)</formula>
    </cfRule>
  </conditionalFormatting>
  <conditionalFormatting sqref="W1795">
    <cfRule type="expression" dxfId="384" priority="594">
      <formula>AND($W$1795&lt;&gt;"Not Met",LEN(TRIM($W$1795))&gt;0)</formula>
    </cfRule>
  </conditionalFormatting>
  <conditionalFormatting sqref="W1795">
    <cfRule type="expression" dxfId="383" priority="593">
      <formula>OR($S$1795 = FALSE, AND($P$1795 = FALSE, ReportType &lt;&gt; "Final"), AND($Q$1795 = FALSE, ReportType &lt;&gt; "Rough"))</formula>
    </cfRule>
  </conditionalFormatting>
  <conditionalFormatting sqref="W1795">
    <cfRule type="expression" dxfId="382" priority="592">
      <formula>OR($T$1795 = TRUE, AND(LEN(TRIM($W$1795))&gt;0, $S$1795 = FALSE))</formula>
    </cfRule>
  </conditionalFormatting>
  <conditionalFormatting sqref="W1799">
    <cfRule type="expression" dxfId="381" priority="591">
      <formula>AND($R$1799,$S$1799)</formula>
    </cfRule>
  </conditionalFormatting>
  <conditionalFormatting sqref="W1799">
    <cfRule type="expression" dxfId="380" priority="590">
      <formula>AND($W$1799&lt;&gt;"Not Met",LEN(TRIM($W$1799))&gt;0)</formula>
    </cfRule>
  </conditionalFormatting>
  <conditionalFormatting sqref="W1799">
    <cfRule type="expression" dxfId="379" priority="589">
      <formula>OR($S$1799 = FALSE, AND($P$1799 = FALSE, ReportType &lt;&gt; "Final"), AND($Q$1799 = FALSE, ReportType &lt;&gt; "Rough"))</formula>
    </cfRule>
  </conditionalFormatting>
  <conditionalFormatting sqref="W1799">
    <cfRule type="expression" dxfId="378" priority="588">
      <formula>OR($T$1799 = TRUE, AND(LEN(TRIM($W$1799))&gt;0, $S$1799 = FALSE))</formula>
    </cfRule>
  </conditionalFormatting>
  <conditionalFormatting sqref="W1805">
    <cfRule type="expression" dxfId="377" priority="587">
      <formula>AND($R$1805,$S$1805)</formula>
    </cfRule>
  </conditionalFormatting>
  <conditionalFormatting sqref="W1805">
    <cfRule type="expression" dxfId="376" priority="586">
      <formula>AND(IF($R$1805,$W$1805,TRUE),LEN(TRIM($W$1805))&gt;0)</formula>
    </cfRule>
  </conditionalFormatting>
  <conditionalFormatting sqref="W1805">
    <cfRule type="expression" dxfId="375" priority="585">
      <formula>OR($S$1805 = FALSE, AND($P$1805 = FALSE, ReportType &lt;&gt; "Final"), AND($Q$1805 = FALSE, ReportType &lt;&gt; "Rough"))</formula>
    </cfRule>
  </conditionalFormatting>
  <conditionalFormatting sqref="W1805">
    <cfRule type="expression" dxfId="374" priority="584">
      <formula>OR($T$1805 = TRUE, AND($W$1805 = TRUE, $S$1805 = FALSE))</formula>
    </cfRule>
  </conditionalFormatting>
  <conditionalFormatting sqref="W1806">
    <cfRule type="expression" dxfId="373" priority="583">
      <formula>AND($R$1806,$S$1806)</formula>
    </cfRule>
  </conditionalFormatting>
  <conditionalFormatting sqref="W1806">
    <cfRule type="expression" dxfId="372" priority="582">
      <formula>AND(IF($R$1806,$W$1806,TRUE),LEN(TRIM($W$1806))&gt;0)</formula>
    </cfRule>
  </conditionalFormatting>
  <conditionalFormatting sqref="W1806">
    <cfRule type="expression" dxfId="371" priority="581">
      <formula>OR($S$1806 = FALSE, AND($P$1806 = FALSE, ReportType &lt;&gt; "Final"), AND($Q$1806 = FALSE, ReportType &lt;&gt; "Rough"))</formula>
    </cfRule>
  </conditionalFormatting>
  <conditionalFormatting sqref="W1806">
    <cfRule type="expression" dxfId="370" priority="580">
      <formula>OR($T$1806 = TRUE, AND($W$1806 = TRUE, $S$1806 = FALSE))</formula>
    </cfRule>
  </conditionalFormatting>
  <conditionalFormatting sqref="W1811">
    <cfRule type="expression" dxfId="369" priority="579">
      <formula>AND($R$1811,$S$1811)</formula>
    </cfRule>
  </conditionalFormatting>
  <conditionalFormatting sqref="W1811">
    <cfRule type="expression" dxfId="368" priority="578">
      <formula>AND(IF($R$1811,$W$1811,TRUE),LEN(TRIM($W$1811))&gt;0)</formula>
    </cfRule>
  </conditionalFormatting>
  <conditionalFormatting sqref="W1811">
    <cfRule type="expression" dxfId="367" priority="577">
      <formula>OR($S$1811 = FALSE, AND($P$1811 = FALSE, ReportType &lt;&gt; "Final"), AND($Q$1811 = FALSE, ReportType &lt;&gt; "Rough"))</formula>
    </cfRule>
  </conditionalFormatting>
  <conditionalFormatting sqref="W1811">
    <cfRule type="expression" dxfId="366" priority="576">
      <formula>OR($T$1811 = TRUE, AND($W$1811 = TRUE, $S$1811 = FALSE))</formula>
    </cfRule>
  </conditionalFormatting>
  <conditionalFormatting sqref="W1816">
    <cfRule type="expression" dxfId="365" priority="575">
      <formula>AND($R$1816,$S$1816)</formula>
    </cfRule>
  </conditionalFormatting>
  <conditionalFormatting sqref="W1816">
    <cfRule type="expression" dxfId="364" priority="574">
      <formula>AND(IF($R$1816,$W$1816,TRUE),LEN(TRIM($W$1816))&gt;0)</formula>
    </cfRule>
  </conditionalFormatting>
  <conditionalFormatting sqref="W1816">
    <cfRule type="expression" dxfId="363" priority="573">
      <formula>OR($S$1816 = FALSE, AND($P$1816 = FALSE, ReportType &lt;&gt; "Final"), AND($Q$1816 = FALSE, ReportType &lt;&gt; "Rough"))</formula>
    </cfRule>
  </conditionalFormatting>
  <conditionalFormatting sqref="W1816">
    <cfRule type="expression" dxfId="362" priority="572">
      <formula>OR($T$1816 = TRUE, AND($W$1816 = TRUE, $S$1816 = FALSE))</formula>
    </cfRule>
  </conditionalFormatting>
  <conditionalFormatting sqref="W1820">
    <cfRule type="expression" dxfId="361" priority="571">
      <formula>AND($R$1820,$S$1820)</formula>
    </cfRule>
  </conditionalFormatting>
  <conditionalFormatting sqref="W1820">
    <cfRule type="expression" dxfId="360" priority="570">
      <formula>AND(IF($R$1820,$W$1820,TRUE),LEN(TRIM($W$1820))&gt;0)</formula>
    </cfRule>
  </conditionalFormatting>
  <conditionalFormatting sqref="W1820">
    <cfRule type="expression" dxfId="359" priority="569">
      <formula>OR($S$1820 = FALSE, AND($P$1820 = FALSE, ReportType &lt;&gt; "Final"), AND($Q$1820 = FALSE, ReportType &lt;&gt; "Rough"))</formula>
    </cfRule>
  </conditionalFormatting>
  <conditionalFormatting sqref="W1820">
    <cfRule type="expression" dxfId="358" priority="568">
      <formula>OR($T$1820 = TRUE, AND($W$1820 = TRUE, $S$1820 = FALSE))</formula>
    </cfRule>
  </conditionalFormatting>
  <conditionalFormatting sqref="W1825">
    <cfRule type="expression" dxfId="357" priority="567">
      <formula>AND($R$1825,$S$1825)</formula>
    </cfRule>
  </conditionalFormatting>
  <conditionalFormatting sqref="W1825">
    <cfRule type="expression" dxfId="356" priority="566">
      <formula>AND(IF($R$1825,$W$1825,TRUE),LEN(TRIM($W$1825))&gt;0)</formula>
    </cfRule>
  </conditionalFormatting>
  <conditionalFormatting sqref="W1825">
    <cfRule type="expression" dxfId="355" priority="565">
      <formula>OR($S$1825 = FALSE, AND($P$1825 = FALSE, ReportType &lt;&gt; "Final"), AND($Q$1825 = FALSE, ReportType &lt;&gt; "Rough"))</formula>
    </cfRule>
  </conditionalFormatting>
  <conditionalFormatting sqref="W1825">
    <cfRule type="expression" dxfId="354" priority="564">
      <formula>OR($T$1825 = TRUE, AND($W$1825 = TRUE, $S$1825 = FALSE))</formula>
    </cfRule>
  </conditionalFormatting>
  <conditionalFormatting sqref="O1941:O1944">
    <cfRule type="cellIs" dxfId="353" priority="563" operator="greaterThan">
      <formula>0</formula>
    </cfRule>
  </conditionalFormatting>
  <conditionalFormatting sqref="O1914:O1917">
    <cfRule type="cellIs" dxfId="352" priority="562" operator="greaterThan">
      <formula>0</formula>
    </cfRule>
  </conditionalFormatting>
  <conditionalFormatting sqref="O1896:O1898">
    <cfRule type="cellIs" dxfId="351" priority="561" operator="greaterThan">
      <formula>0</formula>
    </cfRule>
  </conditionalFormatting>
  <conditionalFormatting sqref="W1833">
    <cfRule type="expression" dxfId="350" priority="320">
      <formula>AND($R$1833,$S$1833)</formula>
    </cfRule>
  </conditionalFormatting>
  <conditionalFormatting sqref="W1833">
    <cfRule type="expression" dxfId="349" priority="319">
      <formula>AND(IF($R$1833,$W$1833,TRUE),LEN(TRIM($W$1833))&gt;0)</formula>
    </cfRule>
  </conditionalFormatting>
  <conditionalFormatting sqref="W1833">
    <cfRule type="expression" dxfId="348" priority="318">
      <formula>OR($S$1833 = FALSE, AND($P$1833 = FALSE, ReportType &lt;&gt; "Final"), AND($Q$1833 = FALSE, ReportType &lt;&gt; "Rough"))</formula>
    </cfRule>
  </conditionalFormatting>
  <conditionalFormatting sqref="W1833">
    <cfRule type="expression" dxfId="347" priority="317">
      <formula>OR($T$1833 = TRUE, AND($W$1833 = TRUE, $S$1833 = FALSE))</formula>
    </cfRule>
  </conditionalFormatting>
  <conditionalFormatting sqref="W1834">
    <cfRule type="expression" dxfId="346" priority="316">
      <formula>AND($R$1834,$S$1834)</formula>
    </cfRule>
  </conditionalFormatting>
  <conditionalFormatting sqref="W1834">
    <cfRule type="expression" dxfId="345" priority="315">
      <formula>AND(IF($R$1834,$W$1834,TRUE),LEN(TRIM($W$1834))&gt;0)</formula>
    </cfRule>
  </conditionalFormatting>
  <conditionalFormatting sqref="W1834">
    <cfRule type="expression" dxfId="344" priority="314">
      <formula>OR($S$1834 = FALSE, AND($P$1834 = FALSE, ReportType &lt;&gt; "Final"), AND($Q$1834 = FALSE, ReportType &lt;&gt; "Rough"))</formula>
    </cfRule>
  </conditionalFormatting>
  <conditionalFormatting sqref="W1834">
    <cfRule type="expression" dxfId="343" priority="313">
      <formula>OR($T$1834 = TRUE, AND($W$1834 = TRUE, $S$1834 = FALSE))</formula>
    </cfRule>
  </conditionalFormatting>
  <conditionalFormatting sqref="W1835">
    <cfRule type="expression" dxfId="342" priority="312">
      <formula>AND($R$1835,$S$1835)</formula>
    </cfRule>
  </conditionalFormatting>
  <conditionalFormatting sqref="W1835">
    <cfRule type="expression" dxfId="341" priority="311">
      <formula>AND(IF($R$1835,$W$1835,TRUE),LEN(TRIM($W$1835))&gt;0)</formula>
    </cfRule>
  </conditionalFormatting>
  <conditionalFormatting sqref="W1835">
    <cfRule type="expression" dxfId="340" priority="310">
      <formula>OR($S$1835 = FALSE, AND($P$1835 = FALSE, ReportType &lt;&gt; "Final"), AND($Q$1835 = FALSE, ReportType &lt;&gt; "Rough"))</formula>
    </cfRule>
  </conditionalFormatting>
  <conditionalFormatting sqref="W1835">
    <cfRule type="expression" dxfId="339" priority="309">
      <formula>OR($T$1835 = TRUE, AND($W$1835 = TRUE, $S$1835 = FALSE))</formula>
    </cfRule>
  </conditionalFormatting>
  <conditionalFormatting sqref="W1839">
    <cfRule type="expression" dxfId="338" priority="308">
      <formula>AND($R$1839,$S$1839)</formula>
    </cfRule>
  </conditionalFormatting>
  <conditionalFormatting sqref="W1839">
    <cfRule type="expression" dxfId="337" priority="307">
      <formula>AND(IF($R$1839,$W$1839,TRUE),LEN(TRIM($W$1839))&gt;0)</formula>
    </cfRule>
  </conditionalFormatting>
  <conditionalFormatting sqref="W1839">
    <cfRule type="expression" dxfId="336" priority="306">
      <formula>OR($S$1839 = FALSE, AND($P$1839 = FALSE, ReportType &lt;&gt; "Final"), AND($Q$1839 = FALSE, ReportType &lt;&gt; "Rough"))</formula>
    </cfRule>
  </conditionalFormatting>
  <conditionalFormatting sqref="W1839">
    <cfRule type="expression" dxfId="335" priority="305">
      <formula>OR($T$1839 = TRUE, AND($W$1839 = TRUE, $S$1839 = FALSE))</formula>
    </cfRule>
  </conditionalFormatting>
  <conditionalFormatting sqref="W1840">
    <cfRule type="expression" dxfId="334" priority="304">
      <formula>AND($R$1840,$S$1840)</formula>
    </cfRule>
  </conditionalFormatting>
  <conditionalFormatting sqref="W1840">
    <cfRule type="expression" dxfId="333" priority="303">
      <formula>AND(IF($R$1840,$W$1840,TRUE),LEN(TRIM($W$1840))&gt;0)</formula>
    </cfRule>
  </conditionalFormatting>
  <conditionalFormatting sqref="W1840">
    <cfRule type="expression" dxfId="332" priority="302">
      <formula>OR($S$1840 = FALSE, AND($P$1840 = FALSE, ReportType &lt;&gt; "Final"), AND($Q$1840 = FALSE, ReportType &lt;&gt; "Rough"))</formula>
    </cfRule>
  </conditionalFormatting>
  <conditionalFormatting sqref="W1840">
    <cfRule type="expression" dxfId="331" priority="301">
      <formula>OR($T$1840 = TRUE, AND($W$1840 = TRUE, $S$1840 = FALSE))</formula>
    </cfRule>
  </conditionalFormatting>
  <conditionalFormatting sqref="W1841">
    <cfRule type="expression" dxfId="330" priority="300">
      <formula>AND($R$1841,$S$1841)</formula>
    </cfRule>
  </conditionalFormatting>
  <conditionalFormatting sqref="W1841">
    <cfRule type="expression" dxfId="329" priority="299">
      <formula>AND(IF($R$1841,$W$1841,TRUE),LEN(TRIM($W$1841))&gt;0)</formula>
    </cfRule>
  </conditionalFormatting>
  <conditionalFormatting sqref="W1841">
    <cfRule type="expression" dxfId="328" priority="298">
      <formula>OR($S$1841 = FALSE, AND($P$1841 = FALSE, ReportType &lt;&gt; "Final"), AND($Q$1841 = FALSE, ReportType &lt;&gt; "Rough"))</formula>
    </cfRule>
  </conditionalFormatting>
  <conditionalFormatting sqref="W1841">
    <cfRule type="expression" dxfId="327" priority="297">
      <formula>OR($T$1841 = TRUE, AND($W$1841 = TRUE, $S$1841 = FALSE))</formula>
    </cfRule>
  </conditionalFormatting>
  <conditionalFormatting sqref="W1843">
    <cfRule type="expression" dxfId="326" priority="296">
      <formula>AND($R$1843,$S$1843)</formula>
    </cfRule>
  </conditionalFormatting>
  <conditionalFormatting sqref="W1843">
    <cfRule type="expression" dxfId="325" priority="295">
      <formula>AND(IF($R$1843,$W$1843,TRUE),LEN(TRIM($W$1843))&gt;0)</formula>
    </cfRule>
  </conditionalFormatting>
  <conditionalFormatting sqref="W1843">
    <cfRule type="expression" dxfId="324" priority="294">
      <formula>OR($S$1843 = FALSE, AND($P$1843 = FALSE, ReportType &lt;&gt; "Final"), AND($Q$1843 = FALSE, ReportType &lt;&gt; "Rough"))</formula>
    </cfRule>
  </conditionalFormatting>
  <conditionalFormatting sqref="W1843">
    <cfRule type="expression" dxfId="323" priority="293">
      <formula>OR($T$1843 = TRUE, AND($W$1843 = TRUE, $S$1843 = FALSE))</formula>
    </cfRule>
  </conditionalFormatting>
  <conditionalFormatting sqref="W1845">
    <cfRule type="expression" dxfId="322" priority="292">
      <formula>AND($R$1845,$S$1845)</formula>
    </cfRule>
  </conditionalFormatting>
  <conditionalFormatting sqref="W1845">
    <cfRule type="expression" dxfId="321" priority="291">
      <formula>AND(IF($R$1845,$W$1845,TRUE),LEN(TRIM($W$1845))&gt;0)</formula>
    </cfRule>
  </conditionalFormatting>
  <conditionalFormatting sqref="W1845">
    <cfRule type="expression" dxfId="320" priority="290">
      <formula>OR($S$1845 = FALSE, AND($P$1845 = FALSE, ReportType &lt;&gt; "Final"), AND($Q$1845 = FALSE, ReportType &lt;&gt; "Rough"))</formula>
    </cfRule>
  </conditionalFormatting>
  <conditionalFormatting sqref="W1845">
    <cfRule type="expression" dxfId="319" priority="289">
      <formula>OR($T$1845 = TRUE, AND($W$1845 = TRUE, $S$1845 = FALSE))</formula>
    </cfRule>
  </conditionalFormatting>
  <conditionalFormatting sqref="W1846">
    <cfRule type="expression" dxfId="318" priority="288">
      <formula>AND($R$1846,$S$1846)</formula>
    </cfRule>
  </conditionalFormatting>
  <conditionalFormatting sqref="W1846">
    <cfRule type="expression" dxfId="317" priority="287">
      <formula>AND(IF($R$1846,$W$1846,TRUE),LEN(TRIM($W$1846))&gt;0)</formula>
    </cfRule>
  </conditionalFormatting>
  <conditionalFormatting sqref="W1846">
    <cfRule type="expression" dxfId="316" priority="286">
      <formula>OR($S$1846 = FALSE, AND($P$1846 = FALSE, ReportType &lt;&gt; "Final"), AND($Q$1846 = FALSE, ReportType &lt;&gt; "Rough"))</formula>
    </cfRule>
  </conditionalFormatting>
  <conditionalFormatting sqref="W1846">
    <cfRule type="expression" dxfId="315" priority="285">
      <formula>OR($T$1846 = TRUE, AND($W$1846 = TRUE, $S$1846 = FALSE))</formula>
    </cfRule>
  </conditionalFormatting>
  <conditionalFormatting sqref="W1848">
    <cfRule type="expression" dxfId="314" priority="284">
      <formula>AND($R$1848,$S$1848)</formula>
    </cfRule>
  </conditionalFormatting>
  <conditionalFormatting sqref="W1848">
    <cfRule type="expression" dxfId="313" priority="283">
      <formula>AND(IF($R$1848,$W$1848,TRUE),LEN(TRIM($W$1848))&gt;0)</formula>
    </cfRule>
  </conditionalFormatting>
  <conditionalFormatting sqref="W1848">
    <cfRule type="expression" dxfId="312" priority="282">
      <formula>OR($S$1848 = FALSE, AND($P$1848 = FALSE, ReportType &lt;&gt; "Final"), AND($Q$1848 = FALSE, ReportType &lt;&gt; "Rough"))</formula>
    </cfRule>
  </conditionalFormatting>
  <conditionalFormatting sqref="W1848">
    <cfRule type="expression" dxfId="311" priority="281">
      <formula>OR($T$1848 = TRUE, AND($W$1848 = TRUE, $S$1848 = FALSE))</formula>
    </cfRule>
  </conditionalFormatting>
  <conditionalFormatting sqref="W1849">
    <cfRule type="expression" dxfId="310" priority="280">
      <formula>AND($R$1849,$S$1849)</formula>
    </cfRule>
  </conditionalFormatting>
  <conditionalFormatting sqref="W1849">
    <cfRule type="expression" dxfId="309" priority="279">
      <formula>AND(IF($R$1849,$W$1849,TRUE),LEN(TRIM($W$1849))&gt;0)</formula>
    </cfRule>
  </conditionalFormatting>
  <conditionalFormatting sqref="W1849">
    <cfRule type="expression" dxfId="308" priority="278">
      <formula>OR($S$1849 = FALSE, AND($P$1849 = FALSE, ReportType &lt;&gt; "Final"), AND($Q$1849 = FALSE, ReportType &lt;&gt; "Rough"))</formula>
    </cfRule>
  </conditionalFormatting>
  <conditionalFormatting sqref="W1849">
    <cfRule type="expression" dxfId="307" priority="277">
      <formula>OR($T$1849 = TRUE, AND($W$1849 = TRUE, $S$1849 = FALSE))</formula>
    </cfRule>
  </conditionalFormatting>
  <conditionalFormatting sqref="W1850">
    <cfRule type="expression" dxfId="306" priority="276">
      <formula>AND($R$1850,$S$1850)</formula>
    </cfRule>
  </conditionalFormatting>
  <conditionalFormatting sqref="W1850">
    <cfRule type="expression" dxfId="305" priority="275">
      <formula>AND(IF($R$1850,$W$1850,TRUE),LEN(TRIM($W$1850))&gt;0)</formula>
    </cfRule>
  </conditionalFormatting>
  <conditionalFormatting sqref="W1850">
    <cfRule type="expression" dxfId="304" priority="274">
      <formula>OR($S$1850 = FALSE, AND($P$1850 = FALSE, ReportType &lt;&gt; "Final"), AND($Q$1850 = FALSE, ReportType &lt;&gt; "Rough"))</formula>
    </cfRule>
  </conditionalFormatting>
  <conditionalFormatting sqref="W1850">
    <cfRule type="expression" dxfId="303" priority="273">
      <formula>OR($T$1850 = TRUE, AND($W$1850 = TRUE, $S$1850 = FALSE))</formula>
    </cfRule>
  </conditionalFormatting>
  <conditionalFormatting sqref="W1856">
    <cfRule type="expression" dxfId="302" priority="272">
      <formula>AND($R$1856,$S$1856)</formula>
    </cfRule>
  </conditionalFormatting>
  <conditionalFormatting sqref="W1856">
    <cfRule type="expression" dxfId="301" priority="271">
      <formula>AND(IF($R$1856,$W$1856,TRUE),LEN(TRIM($W$1856))&gt;0)</formula>
    </cfRule>
  </conditionalFormatting>
  <conditionalFormatting sqref="W1856">
    <cfRule type="expression" dxfId="300" priority="270">
      <formula>OR($S$1856 = FALSE, AND($P$1856 = FALSE, ReportType &lt;&gt; "Final"), AND($Q$1856 = FALSE, ReportType &lt;&gt; "Rough"))</formula>
    </cfRule>
  </conditionalFormatting>
  <conditionalFormatting sqref="W1856">
    <cfRule type="expression" dxfId="299" priority="269">
      <formula>OR($T$1856 = TRUE, AND($W$1856 = TRUE, $S$1856 = FALSE))</formula>
    </cfRule>
  </conditionalFormatting>
  <conditionalFormatting sqref="W1860">
    <cfRule type="expression" dxfId="298" priority="268">
      <formula>AND($R$1860,$S$1860)</formula>
    </cfRule>
  </conditionalFormatting>
  <conditionalFormatting sqref="W1860">
    <cfRule type="expression" dxfId="297" priority="267">
      <formula>AND(IF($R$1860,$W$1860,TRUE),LEN(TRIM($W$1860))&gt;0)</formula>
    </cfRule>
  </conditionalFormatting>
  <conditionalFormatting sqref="W1860">
    <cfRule type="expression" dxfId="296" priority="266">
      <formula>OR($S$1860 = FALSE, AND($P$1860 = FALSE, ReportType &lt;&gt; "Final"), AND($Q$1860 = FALSE, ReportType &lt;&gt; "Rough"))</formula>
    </cfRule>
  </conditionalFormatting>
  <conditionalFormatting sqref="W1860">
    <cfRule type="expression" dxfId="295" priority="265">
      <formula>OR($T$1860 = TRUE, AND($W$1860 = TRUE, $S$1860 = FALSE))</formula>
    </cfRule>
  </conditionalFormatting>
  <conditionalFormatting sqref="W1862">
    <cfRule type="expression" dxfId="294" priority="264">
      <formula>AND($R$1862,$S$1862)</formula>
    </cfRule>
  </conditionalFormatting>
  <conditionalFormatting sqref="W1862">
    <cfRule type="expression" dxfId="293" priority="263">
      <formula>AND(IF($R$1862,$W$1862,TRUE),LEN(TRIM($W$1862))&gt;0)</formula>
    </cfRule>
  </conditionalFormatting>
  <conditionalFormatting sqref="W1862">
    <cfRule type="expression" dxfId="292" priority="262">
      <formula>OR($S$1862 = FALSE, AND($P$1862 = FALSE, ReportType &lt;&gt; "Final"), AND($Q$1862 = FALSE, ReportType &lt;&gt; "Rough"))</formula>
    </cfRule>
  </conditionalFormatting>
  <conditionalFormatting sqref="W1862">
    <cfRule type="expression" dxfId="291" priority="261">
      <formula>OR($T$1862 = TRUE, AND($W$1862 = TRUE, $S$1862 = FALSE))</formula>
    </cfRule>
  </conditionalFormatting>
  <conditionalFormatting sqref="W1864">
    <cfRule type="expression" dxfId="290" priority="260">
      <formula>AND($R$1864,$S$1864)</formula>
    </cfRule>
  </conditionalFormatting>
  <conditionalFormatting sqref="W1864">
    <cfRule type="expression" dxfId="289" priority="259">
      <formula>AND(IF($R$1864,$W$1864,TRUE),LEN(TRIM($W$1864))&gt;0)</formula>
    </cfRule>
  </conditionalFormatting>
  <conditionalFormatting sqref="W1864">
    <cfRule type="expression" dxfId="288" priority="258">
      <formula>OR($S$1864 = FALSE, AND($P$1864 = FALSE, ReportType &lt;&gt; "Final"), AND($Q$1864 = FALSE, ReportType &lt;&gt; "Rough"))</formula>
    </cfRule>
  </conditionalFormatting>
  <conditionalFormatting sqref="W1864">
    <cfRule type="expression" dxfId="287" priority="257">
      <formula>OR($T$1864 = TRUE, AND($W$1864 = TRUE, $S$1864 = FALSE))</formula>
    </cfRule>
  </conditionalFormatting>
  <conditionalFormatting sqref="W1865">
    <cfRule type="expression" dxfId="286" priority="256">
      <formula>AND($R$1865,$S$1865)</formula>
    </cfRule>
  </conditionalFormatting>
  <conditionalFormatting sqref="W1865">
    <cfRule type="expression" dxfId="285" priority="255">
      <formula>AND(IF($R$1865,$W$1865,TRUE),LEN(TRIM($W$1865))&gt;0)</formula>
    </cfRule>
  </conditionalFormatting>
  <conditionalFormatting sqref="W1865">
    <cfRule type="expression" dxfId="284" priority="254">
      <formula>OR($S$1865 = FALSE, AND($P$1865 = FALSE, ReportType &lt;&gt; "Final"), AND($Q$1865 = FALSE, ReportType &lt;&gt; "Rough"))</formula>
    </cfRule>
  </conditionalFormatting>
  <conditionalFormatting sqref="W1865">
    <cfRule type="expression" dxfId="283" priority="253">
      <formula>OR($T$1865 = TRUE, AND($W$1865 = TRUE, $S$1865 = FALSE))</formula>
    </cfRule>
  </conditionalFormatting>
  <conditionalFormatting sqref="W1867">
    <cfRule type="expression" dxfId="282" priority="252">
      <formula>AND($R$1867,$S$1867)</formula>
    </cfRule>
  </conditionalFormatting>
  <conditionalFormatting sqref="W1867">
    <cfRule type="expression" dxfId="281" priority="251">
      <formula>AND(IF($R$1867,$W$1867,TRUE),LEN(TRIM($W$1867))&gt;0)</formula>
    </cfRule>
  </conditionalFormatting>
  <conditionalFormatting sqref="W1867">
    <cfRule type="expression" dxfId="280" priority="250">
      <formula>OR($S$1867 = FALSE, AND($P$1867 = FALSE, ReportType &lt;&gt; "Final"), AND($Q$1867 = FALSE, ReportType &lt;&gt; "Rough"))</formula>
    </cfRule>
  </conditionalFormatting>
  <conditionalFormatting sqref="W1867">
    <cfRule type="expression" dxfId="279" priority="249">
      <formula>OR($T$1867 = TRUE, AND($W$1867 = TRUE, $S$1867 = FALSE))</formula>
    </cfRule>
  </conditionalFormatting>
  <conditionalFormatting sqref="W1869">
    <cfRule type="expression" dxfId="278" priority="248">
      <formula>AND($R$1869,$S$1869)</formula>
    </cfRule>
  </conditionalFormatting>
  <conditionalFormatting sqref="W1869">
    <cfRule type="expression" dxfId="277" priority="247">
      <formula>AND(IF($R$1869,$W$1869,TRUE),LEN(TRIM($W$1869))&gt;0)</formula>
    </cfRule>
  </conditionalFormatting>
  <conditionalFormatting sqref="W1869">
    <cfRule type="expression" dxfId="276" priority="246">
      <formula>OR($S$1869 = FALSE, AND($P$1869 = FALSE, ReportType &lt;&gt; "Final"), AND($Q$1869 = FALSE, ReportType &lt;&gt; "Rough"))</formula>
    </cfRule>
  </conditionalFormatting>
  <conditionalFormatting sqref="W1869">
    <cfRule type="expression" dxfId="275" priority="245">
      <formula>OR($T$1869 = TRUE, AND($W$1869 = TRUE, $S$1869 = FALSE))</formula>
    </cfRule>
  </conditionalFormatting>
  <conditionalFormatting sqref="W1870">
    <cfRule type="expression" dxfId="274" priority="244">
      <formula>AND($R$1870,$S$1870)</formula>
    </cfRule>
  </conditionalFormatting>
  <conditionalFormatting sqref="W1870">
    <cfRule type="expression" dxfId="273" priority="243">
      <formula>AND(IF($R$1870,$W$1870,TRUE),LEN(TRIM($W$1870))&gt;0)</formula>
    </cfRule>
  </conditionalFormatting>
  <conditionalFormatting sqref="W1870">
    <cfRule type="expression" dxfId="272" priority="242">
      <formula>OR($S$1870 = FALSE, AND($P$1870 = FALSE, ReportType &lt;&gt; "Final"), AND($Q$1870 = FALSE, ReportType &lt;&gt; "Rough"))</formula>
    </cfRule>
  </conditionalFormatting>
  <conditionalFormatting sqref="W1870">
    <cfRule type="expression" dxfId="271" priority="241">
      <formula>OR($T$1870 = TRUE, AND($W$1870 = TRUE, $S$1870 = FALSE))</formula>
    </cfRule>
  </conditionalFormatting>
  <conditionalFormatting sqref="W1872">
    <cfRule type="expression" dxfId="270" priority="240">
      <formula>AND($R$1872,$S$1872)</formula>
    </cfRule>
  </conditionalFormatting>
  <conditionalFormatting sqref="W1872">
    <cfRule type="expression" dxfId="269" priority="239">
      <formula>AND(IF($R$1872,$W$1872,TRUE),LEN(TRIM($W$1872))&gt;0)</formula>
    </cfRule>
  </conditionalFormatting>
  <conditionalFormatting sqref="W1872">
    <cfRule type="expression" dxfId="268" priority="238">
      <formula>OR($S$1872 = FALSE, AND($P$1872 = FALSE, ReportType &lt;&gt; "Final"), AND($Q$1872 = FALSE, ReportType &lt;&gt; "Rough"))</formula>
    </cfRule>
  </conditionalFormatting>
  <conditionalFormatting sqref="W1872">
    <cfRule type="expression" dxfId="267" priority="237">
      <formula>OR($T$1872 = TRUE, AND($W$1872 = TRUE, $S$1872 = FALSE))</formula>
    </cfRule>
  </conditionalFormatting>
  <conditionalFormatting sqref="W1874">
    <cfRule type="expression" dxfId="266" priority="236">
      <formula>AND($R$1874,$S$1874)</formula>
    </cfRule>
  </conditionalFormatting>
  <conditionalFormatting sqref="W1874">
    <cfRule type="expression" dxfId="265" priority="235">
      <formula>AND(IF($R$1874,$W$1874,TRUE),LEN(TRIM($W$1874))&gt;0)</formula>
    </cfRule>
  </conditionalFormatting>
  <conditionalFormatting sqref="W1874">
    <cfRule type="expression" dxfId="264" priority="234">
      <formula>OR($S$1874 = FALSE, AND($P$1874 = FALSE, ReportType &lt;&gt; "Final"), AND($Q$1874 = FALSE, ReportType &lt;&gt; "Rough"))</formula>
    </cfRule>
  </conditionalFormatting>
  <conditionalFormatting sqref="W1874">
    <cfRule type="expression" dxfId="263" priority="233">
      <formula>OR($T$1874 = TRUE, AND($W$1874 = TRUE, $S$1874 = FALSE))</formula>
    </cfRule>
  </conditionalFormatting>
  <conditionalFormatting sqref="W1876">
    <cfRule type="expression" dxfId="262" priority="232">
      <formula>AND($R$1876,$S$1876)</formula>
    </cfRule>
  </conditionalFormatting>
  <conditionalFormatting sqref="W1876">
    <cfRule type="expression" dxfId="261" priority="231">
      <formula>AND(IF($R$1876,$W$1876,TRUE),LEN(TRIM($W$1876))&gt;0)</formula>
    </cfRule>
  </conditionalFormatting>
  <conditionalFormatting sqref="W1876">
    <cfRule type="expression" dxfId="260" priority="230">
      <formula>OR($S$1876 = FALSE, AND($P$1876 = FALSE, ReportType &lt;&gt; "Final"), AND($Q$1876 = FALSE, ReportType &lt;&gt; "Rough"))</formula>
    </cfRule>
  </conditionalFormatting>
  <conditionalFormatting sqref="W1876">
    <cfRule type="expression" dxfId="259" priority="229">
      <formula>OR($T$1876 = TRUE, AND($W$1876 = TRUE, $S$1876 = FALSE))</formula>
    </cfRule>
  </conditionalFormatting>
  <conditionalFormatting sqref="W1877">
    <cfRule type="expression" dxfId="258" priority="228">
      <formula>AND($R$1877,$S$1877)</formula>
    </cfRule>
  </conditionalFormatting>
  <conditionalFormatting sqref="W1877">
    <cfRule type="expression" dxfId="257" priority="227">
      <formula>AND(IF($R$1877,$W$1877,TRUE),LEN(TRIM($W$1877))&gt;0)</formula>
    </cfRule>
  </conditionalFormatting>
  <conditionalFormatting sqref="W1877">
    <cfRule type="expression" dxfId="256" priority="226">
      <formula>OR($S$1877 = FALSE, AND($P$1877 = FALSE, ReportType &lt;&gt; "Final"), AND($Q$1877 = FALSE, ReportType &lt;&gt; "Rough"))</formula>
    </cfRule>
  </conditionalFormatting>
  <conditionalFormatting sqref="W1877">
    <cfRule type="expression" dxfId="255" priority="225">
      <formula>OR($T$1877 = TRUE, AND($W$1877 = TRUE, $S$1877 = FALSE))</formula>
    </cfRule>
  </conditionalFormatting>
  <conditionalFormatting sqref="W1878">
    <cfRule type="expression" dxfId="254" priority="224">
      <formula>AND($R$1878,$S$1878)</formula>
    </cfRule>
  </conditionalFormatting>
  <conditionalFormatting sqref="W1878">
    <cfRule type="expression" dxfId="253" priority="223">
      <formula>AND(IF($R$1878,$W$1878,TRUE),LEN(TRIM($W$1878))&gt;0)</formula>
    </cfRule>
  </conditionalFormatting>
  <conditionalFormatting sqref="W1878">
    <cfRule type="expression" dxfId="252" priority="222">
      <formula>OR($S$1878 = FALSE, AND($P$1878 = FALSE, ReportType &lt;&gt; "Final"), AND($Q$1878 = FALSE, ReportType &lt;&gt; "Rough"))</formula>
    </cfRule>
  </conditionalFormatting>
  <conditionalFormatting sqref="W1878">
    <cfRule type="expression" dxfId="251" priority="221">
      <formula>OR($T$1878 = TRUE, AND($W$1878 = TRUE, $S$1878 = FALSE))</formula>
    </cfRule>
  </conditionalFormatting>
  <conditionalFormatting sqref="W1899">
    <cfRule type="expression" dxfId="250" priority="220">
      <formula>AND($R$1899,$S$1899)</formula>
    </cfRule>
  </conditionalFormatting>
  <conditionalFormatting sqref="W1899">
    <cfRule type="expression" dxfId="249" priority="219">
      <formula>AND(IF($R$1899,$W$1899,TRUE),LEN(TRIM($W$1899))&gt;0)</formula>
    </cfRule>
  </conditionalFormatting>
  <conditionalFormatting sqref="W1899">
    <cfRule type="expression" dxfId="248" priority="218">
      <formula>OR($S$1899 = FALSE, AND($P$1899 = FALSE, ReportType &lt;&gt; "Final"), AND($Q$1899 = FALSE, ReportType &lt;&gt; "Rough"))</formula>
    </cfRule>
  </conditionalFormatting>
  <conditionalFormatting sqref="W1899">
    <cfRule type="expression" dxfId="247" priority="217">
      <formula>OR($T$1899 = TRUE, AND($W$1899 = TRUE, $S$1899 = FALSE))</formula>
    </cfRule>
  </conditionalFormatting>
  <conditionalFormatting sqref="W1902">
    <cfRule type="expression" dxfId="246" priority="216">
      <formula>AND($R$1902,$S$1902)</formula>
    </cfRule>
  </conditionalFormatting>
  <conditionalFormatting sqref="W1902">
    <cfRule type="expression" dxfId="245" priority="215">
      <formula>AND(IF($R$1902,$W$1902,TRUE),LEN(TRIM($W$1902))&gt;0)</formula>
    </cfRule>
  </conditionalFormatting>
  <conditionalFormatting sqref="W1902">
    <cfRule type="expression" dxfId="244" priority="214">
      <formula>OR($S$1902 = FALSE, AND($P$1902 = FALSE, ReportType &lt;&gt; "Final"), AND($Q$1902 = FALSE, ReportType &lt;&gt; "Rough"))</formula>
    </cfRule>
  </conditionalFormatting>
  <conditionalFormatting sqref="W1902">
    <cfRule type="expression" dxfId="243" priority="213">
      <formula>OR($T$1902 = TRUE, AND($W$1902 = TRUE, $S$1902 = FALSE))</formula>
    </cfRule>
  </conditionalFormatting>
  <conditionalFormatting sqref="W1905">
    <cfRule type="expression" dxfId="242" priority="212">
      <formula>AND($R$1905,$S$1905)</formula>
    </cfRule>
  </conditionalFormatting>
  <conditionalFormatting sqref="W1905">
    <cfRule type="expression" dxfId="241" priority="211">
      <formula>AND(IF($R$1905,$W$1905,TRUE),LEN(TRIM($W$1905))&gt;0)</formula>
    </cfRule>
  </conditionalFormatting>
  <conditionalFormatting sqref="W1905">
    <cfRule type="expression" dxfId="240" priority="210">
      <formula>OR($S$1905 = FALSE, AND($P$1905 = FALSE, ReportType &lt;&gt; "Final"), AND($Q$1905 = FALSE, ReportType &lt;&gt; "Rough"))</formula>
    </cfRule>
  </conditionalFormatting>
  <conditionalFormatting sqref="W1905">
    <cfRule type="expression" dxfId="239" priority="209">
      <formula>OR($T$1905 = TRUE, AND($W$1905 = TRUE, $S$1905 = FALSE))</formula>
    </cfRule>
  </conditionalFormatting>
  <conditionalFormatting sqref="W1907">
    <cfRule type="expression" dxfId="238" priority="208">
      <formula>AND($R$1907,$S$1907)</formula>
    </cfRule>
  </conditionalFormatting>
  <conditionalFormatting sqref="W1907">
    <cfRule type="expression" dxfId="237" priority="207">
      <formula>AND(IF($R$1907,$W$1907,TRUE),LEN(TRIM($W$1907))&gt;0)</formula>
    </cfRule>
  </conditionalFormatting>
  <conditionalFormatting sqref="W1907">
    <cfRule type="expression" dxfId="236" priority="206">
      <formula>OR($S$1907 = FALSE, AND($P$1907 = FALSE, ReportType &lt;&gt; "Final"), AND($Q$1907 = FALSE, ReportType &lt;&gt; "Rough"))</formula>
    </cfRule>
  </conditionalFormatting>
  <conditionalFormatting sqref="W1907">
    <cfRule type="expression" dxfId="235" priority="205">
      <formula>OR($T$1907 = TRUE, AND($W$1907 = TRUE, $S$1907 = FALSE))</formula>
    </cfRule>
  </conditionalFormatting>
  <conditionalFormatting sqref="W1908">
    <cfRule type="expression" dxfId="234" priority="204">
      <formula>AND($R$1908,$S$1908)</formula>
    </cfRule>
  </conditionalFormatting>
  <conditionalFormatting sqref="W1908">
    <cfRule type="expression" dxfId="233" priority="203">
      <formula>AND(IF($R$1908,$W$1908,TRUE),LEN(TRIM($W$1908))&gt;0)</formula>
    </cfRule>
  </conditionalFormatting>
  <conditionalFormatting sqref="W1908">
    <cfRule type="expression" dxfId="232" priority="202">
      <formula>OR($S$1908 = FALSE, AND($P$1908 = FALSE, ReportType &lt;&gt; "Final"), AND($Q$1908 = FALSE, ReportType &lt;&gt; "Rough"))</formula>
    </cfRule>
  </conditionalFormatting>
  <conditionalFormatting sqref="W1908">
    <cfRule type="expression" dxfId="231" priority="201">
      <formula>OR($T$1908 = TRUE, AND($W$1908 = TRUE, $S$1908 = FALSE))</formula>
    </cfRule>
  </conditionalFormatting>
  <conditionalFormatting sqref="W1910">
    <cfRule type="expression" dxfId="230" priority="200">
      <formula>AND($R$1910,$S$1910)</formula>
    </cfRule>
  </conditionalFormatting>
  <conditionalFormatting sqref="W1910">
    <cfRule type="expression" dxfId="229" priority="199">
      <formula>AND(IF($R$1910,$W$1910,TRUE),LEN(TRIM($W$1910))&gt;0)</formula>
    </cfRule>
  </conditionalFormatting>
  <conditionalFormatting sqref="W1910">
    <cfRule type="expression" dxfId="228" priority="198">
      <formula>OR($S$1910 = FALSE, AND($P$1910 = FALSE, ReportType &lt;&gt; "Final"), AND($Q$1910 = FALSE, ReportType &lt;&gt; "Rough"))</formula>
    </cfRule>
  </conditionalFormatting>
  <conditionalFormatting sqref="W1910">
    <cfRule type="expression" dxfId="227" priority="197">
      <formula>OR($T$1910 = TRUE, AND($W$1910 = TRUE, $S$1910 = FALSE))</formula>
    </cfRule>
  </conditionalFormatting>
  <conditionalFormatting sqref="W1911">
    <cfRule type="expression" dxfId="226" priority="196">
      <formula>AND($R$1911,$S$1911)</formula>
    </cfRule>
  </conditionalFormatting>
  <conditionalFormatting sqref="W1911">
    <cfRule type="expression" dxfId="225" priority="195">
      <formula>AND(IF($R$1911,$W$1911,TRUE),LEN(TRIM($W$1911))&gt;0)</formula>
    </cfRule>
  </conditionalFormatting>
  <conditionalFormatting sqref="W1911">
    <cfRule type="expression" dxfId="224" priority="194">
      <formula>OR($S$1911 = FALSE, AND($P$1911 = FALSE, ReportType &lt;&gt; "Final"), AND($Q$1911 = FALSE, ReportType &lt;&gt; "Rough"))</formula>
    </cfRule>
  </conditionalFormatting>
  <conditionalFormatting sqref="W1911">
    <cfRule type="expression" dxfId="223" priority="193">
      <formula>OR($T$1911 = TRUE, AND($W$1911 = TRUE, $S$1911 = FALSE))</formula>
    </cfRule>
  </conditionalFormatting>
  <conditionalFormatting sqref="W1912">
    <cfRule type="expression" dxfId="222" priority="192">
      <formula>AND($R$1912,$S$1912)</formula>
    </cfRule>
  </conditionalFormatting>
  <conditionalFormatting sqref="W1912">
    <cfRule type="expression" dxfId="221" priority="191">
      <formula>AND(IF($R$1912,$W$1912,TRUE),LEN(TRIM($W$1912))&gt;0)</formula>
    </cfRule>
  </conditionalFormatting>
  <conditionalFormatting sqref="W1912">
    <cfRule type="expression" dxfId="220" priority="190">
      <formula>OR($S$1912 = FALSE, AND($P$1912 = FALSE, ReportType &lt;&gt; "Final"), AND($Q$1912 = FALSE, ReportType &lt;&gt; "Rough"))</formula>
    </cfRule>
  </conditionalFormatting>
  <conditionalFormatting sqref="W1912">
    <cfRule type="expression" dxfId="219" priority="189">
      <formula>OR($T$1912 = TRUE, AND($W$1912 = TRUE, $S$1912 = FALSE))</formula>
    </cfRule>
  </conditionalFormatting>
  <conditionalFormatting sqref="W1918">
    <cfRule type="expression" dxfId="218" priority="188">
      <formula>AND($R$1918,$S$1918)</formula>
    </cfRule>
  </conditionalFormatting>
  <conditionalFormatting sqref="W1918">
    <cfRule type="expression" dxfId="217" priority="187">
      <formula>AND(IF($R$1918,$W$1918,TRUE),LEN(TRIM($W$1918))&gt;0)</formula>
    </cfRule>
  </conditionalFormatting>
  <conditionalFormatting sqref="W1918">
    <cfRule type="expression" dxfId="216" priority="186">
      <formula>OR($S$1918 = FALSE, AND($P$1918 = FALSE, ReportType &lt;&gt; "Final"), AND($Q$1918 = FALSE, ReportType &lt;&gt; "Rough"))</formula>
    </cfRule>
  </conditionalFormatting>
  <conditionalFormatting sqref="W1918">
    <cfRule type="expression" dxfId="215" priority="185">
      <formula>OR($T$1918 = TRUE, AND($W$1918 = TRUE, $S$1918 = FALSE))</formula>
    </cfRule>
  </conditionalFormatting>
  <conditionalFormatting sqref="W1920">
    <cfRule type="expression" dxfId="214" priority="184">
      <formula>AND($R$1920,$S$1920)</formula>
    </cfRule>
  </conditionalFormatting>
  <conditionalFormatting sqref="W1920">
    <cfRule type="expression" dxfId="213" priority="183">
      <formula>AND(IF($R$1920,$W$1920,TRUE),LEN(TRIM($W$1920))&gt;0)</formula>
    </cfRule>
  </conditionalFormatting>
  <conditionalFormatting sqref="W1920">
    <cfRule type="expression" dxfId="212" priority="182">
      <formula>OR($S$1920 = FALSE, AND($P$1920 = FALSE, ReportType &lt;&gt; "Final"), AND($Q$1920 = FALSE, ReportType &lt;&gt; "Rough"))</formula>
    </cfRule>
  </conditionalFormatting>
  <conditionalFormatting sqref="W1920">
    <cfRule type="expression" dxfId="211" priority="181">
      <formula>OR($T$1920 = TRUE, AND($W$1920 = TRUE, $S$1920 = FALSE))</formula>
    </cfRule>
  </conditionalFormatting>
  <conditionalFormatting sqref="W1923">
    <cfRule type="expression" dxfId="210" priority="180">
      <formula>AND($R$1923,$S$1923)</formula>
    </cfRule>
  </conditionalFormatting>
  <conditionalFormatting sqref="W1923">
    <cfRule type="expression" dxfId="209" priority="179">
      <formula>AND(IF($R$1923,$W$1923,TRUE),LEN(TRIM($W$1923))&gt;0)</formula>
    </cfRule>
  </conditionalFormatting>
  <conditionalFormatting sqref="W1923">
    <cfRule type="expression" dxfId="208" priority="178">
      <formula>OR($S$1923 = FALSE, AND($P$1923 = FALSE, ReportType &lt;&gt; "Final"), AND($Q$1923 = FALSE, ReportType &lt;&gt; "Rough"))</formula>
    </cfRule>
  </conditionalFormatting>
  <conditionalFormatting sqref="W1923">
    <cfRule type="expression" dxfId="207" priority="177">
      <formula>OR($T$1923 = TRUE, AND($W$1923 = TRUE, $S$1923 = FALSE))</formula>
    </cfRule>
  </conditionalFormatting>
  <conditionalFormatting sqref="W1925">
    <cfRule type="expression" dxfId="206" priority="176">
      <formula>AND($R$1925,$S$1925)</formula>
    </cfRule>
  </conditionalFormatting>
  <conditionalFormatting sqref="W1925">
    <cfRule type="expression" dxfId="205" priority="175">
      <formula>AND(IF($R$1925,$W$1925,TRUE),LEN(TRIM($W$1925))&gt;0)</formula>
    </cfRule>
  </conditionalFormatting>
  <conditionalFormatting sqref="W1925">
    <cfRule type="expression" dxfId="204" priority="174">
      <formula>OR($S$1925 = FALSE, AND($P$1925 = FALSE, ReportType &lt;&gt; "Final"), AND($Q$1925 = FALSE, ReportType &lt;&gt; "Rough"))</formula>
    </cfRule>
  </conditionalFormatting>
  <conditionalFormatting sqref="W1925">
    <cfRule type="expression" dxfId="203" priority="173">
      <formula>OR($T$1925 = TRUE, AND($W$1925 = TRUE, $S$1925 = FALSE))</formula>
    </cfRule>
  </conditionalFormatting>
  <conditionalFormatting sqref="W1928">
    <cfRule type="expression" dxfId="202" priority="172">
      <formula>AND($R$1928,$S$1928)</formula>
    </cfRule>
  </conditionalFormatting>
  <conditionalFormatting sqref="W1928">
    <cfRule type="expression" dxfId="201" priority="171">
      <formula>AND(IF($R$1928,$W$1928,TRUE),LEN(TRIM($W$1928))&gt;0)</formula>
    </cfRule>
  </conditionalFormatting>
  <conditionalFormatting sqref="W1928">
    <cfRule type="expression" dxfId="200" priority="170">
      <formula>OR($S$1928 = FALSE, AND($P$1928 = FALSE, ReportType &lt;&gt; "Final"), AND($Q$1928 = FALSE, ReportType &lt;&gt; "Rough"))</formula>
    </cfRule>
  </conditionalFormatting>
  <conditionalFormatting sqref="W1928">
    <cfRule type="expression" dxfId="199" priority="169">
      <formula>OR($T$1928 = TRUE, AND($W$1928 = TRUE, $S$1928 = FALSE))</formula>
    </cfRule>
  </conditionalFormatting>
  <conditionalFormatting sqref="W1930">
    <cfRule type="expression" dxfId="198" priority="168">
      <formula>AND($R$1930,$S$1930)</formula>
    </cfRule>
  </conditionalFormatting>
  <conditionalFormatting sqref="W1930">
    <cfRule type="expression" dxfId="197" priority="167">
      <formula>AND(IF($R$1930,$W$1930,TRUE),LEN(TRIM($W$1930))&gt;0)</formula>
    </cfRule>
  </conditionalFormatting>
  <conditionalFormatting sqref="W1930">
    <cfRule type="expression" dxfId="196" priority="166">
      <formula>OR($S$1930 = FALSE, AND($P$1930 = FALSE, ReportType &lt;&gt; "Final"), AND($Q$1930 = FALSE, ReportType &lt;&gt; "Rough"))</formula>
    </cfRule>
  </conditionalFormatting>
  <conditionalFormatting sqref="W1930">
    <cfRule type="expression" dxfId="195" priority="165">
      <formula>OR($T$1930 = TRUE, AND($W$1930 = TRUE, $S$1930 = FALSE))</formula>
    </cfRule>
  </conditionalFormatting>
  <conditionalFormatting sqref="W1931">
    <cfRule type="expression" dxfId="194" priority="164">
      <formula>AND($R$1931,$S$1931)</formula>
    </cfRule>
  </conditionalFormatting>
  <conditionalFormatting sqref="W1931">
    <cfRule type="expression" dxfId="193" priority="163">
      <formula>AND(IF($R$1931,$W$1931,TRUE),LEN(TRIM($W$1931))&gt;0)</formula>
    </cfRule>
  </conditionalFormatting>
  <conditionalFormatting sqref="W1931">
    <cfRule type="expression" dxfId="192" priority="162">
      <formula>OR($S$1931 = FALSE, AND($P$1931 = FALSE, ReportType &lt;&gt; "Final"), AND($Q$1931 = FALSE, ReportType &lt;&gt; "Rough"))</formula>
    </cfRule>
  </conditionalFormatting>
  <conditionalFormatting sqref="W1931">
    <cfRule type="expression" dxfId="191" priority="161">
      <formula>OR($T$1931 = TRUE, AND($W$1931 = TRUE, $S$1931 = FALSE))</formula>
    </cfRule>
  </conditionalFormatting>
  <conditionalFormatting sqref="W1933">
    <cfRule type="expression" dxfId="190" priority="160">
      <formula>AND($R$1933,$S$1933)</formula>
    </cfRule>
  </conditionalFormatting>
  <conditionalFormatting sqref="W1933">
    <cfRule type="expression" dxfId="189" priority="159">
      <formula>AND(IF($R$1933,$W$1933,TRUE),LEN(TRIM($W$1933))&gt;0)</formula>
    </cfRule>
  </conditionalFormatting>
  <conditionalFormatting sqref="W1933">
    <cfRule type="expression" dxfId="188" priority="158">
      <formula>OR($S$1933 = FALSE, AND($P$1933 = FALSE, ReportType &lt;&gt; "Final"), AND($Q$1933 = FALSE, ReportType &lt;&gt; "Rough"))</formula>
    </cfRule>
  </conditionalFormatting>
  <conditionalFormatting sqref="W1933">
    <cfRule type="expression" dxfId="187" priority="157">
      <formula>OR($T$1933 = TRUE, AND($W$1933 = TRUE, $S$1933 = FALSE))</formula>
    </cfRule>
  </conditionalFormatting>
  <conditionalFormatting sqref="W1935">
    <cfRule type="expression" dxfId="186" priority="156">
      <formula>AND($R$1935,$S$1935)</formula>
    </cfRule>
  </conditionalFormatting>
  <conditionalFormatting sqref="W1935">
    <cfRule type="expression" dxfId="185" priority="155">
      <formula>AND(IF($R$1935,$W$1935,TRUE),LEN(TRIM($W$1935))&gt;0)</formula>
    </cfRule>
  </conditionalFormatting>
  <conditionalFormatting sqref="W1935">
    <cfRule type="expression" dxfId="184" priority="154">
      <formula>OR($S$1935 = FALSE, AND($P$1935 = FALSE, ReportType &lt;&gt; "Final"), AND($Q$1935 = FALSE, ReportType &lt;&gt; "Rough"))</formula>
    </cfRule>
  </conditionalFormatting>
  <conditionalFormatting sqref="W1935">
    <cfRule type="expression" dxfId="183" priority="153">
      <formula>OR($T$1935 = TRUE, AND($W$1935 = TRUE, $S$1935 = FALSE))</formula>
    </cfRule>
  </conditionalFormatting>
  <conditionalFormatting sqref="W1936">
    <cfRule type="expression" dxfId="182" priority="152">
      <formula>AND($R$1936,$S$1936)</formula>
    </cfRule>
  </conditionalFormatting>
  <conditionalFormatting sqref="W1936">
    <cfRule type="expression" dxfId="181" priority="151">
      <formula>AND(IF($R$1936,$W$1936,TRUE),LEN(TRIM($W$1936))&gt;0)</formula>
    </cfRule>
  </conditionalFormatting>
  <conditionalFormatting sqref="W1936">
    <cfRule type="expression" dxfId="180" priority="150">
      <formula>OR($S$1936 = FALSE, AND($P$1936 = FALSE, ReportType &lt;&gt; "Final"), AND($Q$1936 = FALSE, ReportType &lt;&gt; "Rough"))</formula>
    </cfRule>
  </conditionalFormatting>
  <conditionalFormatting sqref="W1936">
    <cfRule type="expression" dxfId="179" priority="149">
      <formula>OR($T$1936 = TRUE, AND($W$1936 = TRUE, $S$1936 = FALSE))</formula>
    </cfRule>
  </conditionalFormatting>
  <conditionalFormatting sqref="W1939">
    <cfRule type="expression" dxfId="178" priority="148">
      <formula>AND($R$1939,$S$1939)</formula>
    </cfRule>
  </conditionalFormatting>
  <conditionalFormatting sqref="W1939">
    <cfRule type="expression" dxfId="177" priority="147">
      <formula>AND(IF($R$1939,$W$1939,TRUE),LEN(TRIM($W$1939))&gt;0)</formula>
    </cfRule>
  </conditionalFormatting>
  <conditionalFormatting sqref="W1939">
    <cfRule type="expression" dxfId="176" priority="146">
      <formula>OR($S$1939 = FALSE, AND($P$1939 = FALSE, ReportType &lt;&gt; "Final"), AND($Q$1939 = FALSE, ReportType &lt;&gt; "Rough"))</formula>
    </cfRule>
  </conditionalFormatting>
  <conditionalFormatting sqref="W1939">
    <cfRule type="expression" dxfId="175" priority="145">
      <formula>OR($T$1939 = TRUE, AND($W$1939 = TRUE, $S$1939 = FALSE))</formula>
    </cfRule>
  </conditionalFormatting>
  <conditionalFormatting sqref="W1945">
    <cfRule type="expression" dxfId="174" priority="144">
      <formula>AND($R$1945,$S$1945)</formula>
    </cfRule>
  </conditionalFormatting>
  <conditionalFormatting sqref="W1945">
    <cfRule type="expression" dxfId="173" priority="143">
      <formula>AND(IF($R$1945,$W$1945,TRUE),LEN(TRIM($W$1945))&gt;0)</formula>
    </cfRule>
  </conditionalFormatting>
  <conditionalFormatting sqref="W1945">
    <cfRule type="expression" dxfId="172" priority="142">
      <formula>OR($S$1945 = FALSE, AND($P$1945 = FALSE, ReportType &lt;&gt; "Final"), AND($Q$1945 = FALSE, ReportType &lt;&gt; "Rough"))</formula>
    </cfRule>
  </conditionalFormatting>
  <conditionalFormatting sqref="W1945">
    <cfRule type="expression" dxfId="171" priority="141">
      <formula>OR($T$1945 = TRUE, AND($W$1945 = TRUE, $S$1945 = FALSE))</formula>
    </cfRule>
  </conditionalFormatting>
  <conditionalFormatting sqref="W1947">
    <cfRule type="expression" dxfId="170" priority="140">
      <formula>AND($R$1947,$S$1947)</formula>
    </cfRule>
  </conditionalFormatting>
  <conditionalFormatting sqref="W1947">
    <cfRule type="expression" dxfId="169" priority="139">
      <formula>AND(IF($R$1947,$W$1947,TRUE),LEN(TRIM($W$1947))&gt;0)</formula>
    </cfRule>
  </conditionalFormatting>
  <conditionalFormatting sqref="W1947">
    <cfRule type="expression" dxfId="168" priority="138">
      <formula>OR($S$1947 = FALSE, AND($P$1947 = FALSE, ReportType &lt;&gt; "Final"), AND($Q$1947 = FALSE, ReportType &lt;&gt; "Rough"))</formula>
    </cfRule>
  </conditionalFormatting>
  <conditionalFormatting sqref="W1947">
    <cfRule type="expression" dxfId="167" priority="137">
      <formula>OR($T$1947 = TRUE, AND($W$1947 = TRUE, $S$1947 = FALSE))</formula>
    </cfRule>
  </conditionalFormatting>
  <conditionalFormatting sqref="W1951">
    <cfRule type="expression" dxfId="166" priority="136">
      <formula>AND($R$1951,$S$1951)</formula>
    </cfRule>
  </conditionalFormatting>
  <conditionalFormatting sqref="W1951">
    <cfRule type="expression" dxfId="165" priority="135">
      <formula>AND(IF($R$1951,$W$1951,TRUE),LEN(TRIM($W$1951))&gt;0)</formula>
    </cfRule>
  </conditionalFormatting>
  <conditionalFormatting sqref="W1951">
    <cfRule type="expression" dxfId="164" priority="134">
      <formula>OR($S$1951 = FALSE, AND($P$1951 = FALSE, ReportType &lt;&gt; "Final"), AND($Q$1951 = FALSE, ReportType &lt;&gt; "Rough"))</formula>
    </cfRule>
  </conditionalFormatting>
  <conditionalFormatting sqref="W1951">
    <cfRule type="expression" dxfId="163" priority="133">
      <formula>OR($T$1951 = TRUE, AND($W$1951 = TRUE, $S$1951 = FALSE))</formula>
    </cfRule>
  </conditionalFormatting>
  <conditionalFormatting sqref="W1958">
    <cfRule type="expression" dxfId="162" priority="132">
      <formula>AND($R$1958,$S$1958)</formula>
    </cfRule>
  </conditionalFormatting>
  <conditionalFormatting sqref="W1958">
    <cfRule type="expression" dxfId="161" priority="131">
      <formula>AND(IF($R$1958,$W$1958,TRUE),LEN(TRIM($W$1958))&gt;0)</formula>
    </cfRule>
  </conditionalFormatting>
  <conditionalFormatting sqref="W1958">
    <cfRule type="expression" dxfId="160" priority="130">
      <formula>OR($S$1958 = FALSE, AND($P$1958 = FALSE, ReportType &lt;&gt; "Final"), AND($Q$1958 = FALSE, ReportType &lt;&gt; "Rough"))</formula>
    </cfRule>
  </conditionalFormatting>
  <conditionalFormatting sqref="W1958">
    <cfRule type="expression" dxfId="159" priority="129">
      <formula>OR($T$1958 = TRUE, AND($W$1958 = TRUE, $S$1958 = FALSE))</formula>
    </cfRule>
  </conditionalFormatting>
  <conditionalFormatting sqref="W1960">
    <cfRule type="expression" dxfId="158" priority="128">
      <formula>AND($R$1960,$S$1960)</formula>
    </cfRule>
  </conditionalFormatting>
  <conditionalFormatting sqref="W1960">
    <cfRule type="expression" dxfId="157" priority="127">
      <formula>AND(IF($R$1960,$W$1960,TRUE),LEN(TRIM($W$1960))&gt;0)</formula>
    </cfRule>
  </conditionalFormatting>
  <conditionalFormatting sqref="W1960">
    <cfRule type="expression" dxfId="156" priority="126">
      <formula>OR($S$1960 = FALSE, AND($P$1960 = FALSE, ReportType &lt;&gt; "Final"), AND($Q$1960 = FALSE, ReportType &lt;&gt; "Rough"))</formula>
    </cfRule>
  </conditionalFormatting>
  <conditionalFormatting sqref="W1960">
    <cfRule type="expression" dxfId="155" priority="125">
      <formula>OR($T$1960 = TRUE, AND($W$1960 = TRUE, $S$1960 = FALSE))</formula>
    </cfRule>
  </conditionalFormatting>
  <conditionalFormatting sqref="W1961">
    <cfRule type="expression" dxfId="154" priority="124">
      <formula>AND($R$1961,$S$1961)</formula>
    </cfRule>
  </conditionalFormatting>
  <conditionalFormatting sqref="W1961">
    <cfRule type="expression" dxfId="153" priority="123">
      <formula>AND(IF($R$1961,$W$1961,TRUE),LEN(TRIM($W$1961))&gt;0)</formula>
    </cfRule>
  </conditionalFormatting>
  <conditionalFormatting sqref="W1961">
    <cfRule type="expression" dxfId="152" priority="122">
      <formula>OR($S$1961 = FALSE, AND($P$1961 = FALSE, ReportType &lt;&gt; "Final"), AND($Q$1961 = FALSE, ReportType &lt;&gt; "Rough"))</formula>
    </cfRule>
  </conditionalFormatting>
  <conditionalFormatting sqref="W1961">
    <cfRule type="expression" dxfId="151" priority="121">
      <formula>OR($T$1961 = TRUE, AND($W$1961 = TRUE, $S$1961 = FALSE))</formula>
    </cfRule>
  </conditionalFormatting>
  <conditionalFormatting sqref="W1963">
    <cfRule type="expression" dxfId="150" priority="120">
      <formula>AND($R$1963,$S$1963)</formula>
    </cfRule>
  </conditionalFormatting>
  <conditionalFormatting sqref="W1963">
    <cfRule type="expression" dxfId="149" priority="119">
      <formula>AND(IF($R$1963,$W$1963,TRUE),LEN(TRIM($W$1963))&gt;0)</formula>
    </cfRule>
  </conditionalFormatting>
  <conditionalFormatting sqref="W1963">
    <cfRule type="expression" dxfId="148" priority="118">
      <formula>OR($S$1963 = FALSE, AND($P$1963 = FALSE, ReportType &lt;&gt; "Final"), AND($Q$1963 = FALSE, ReportType &lt;&gt; "Rough"))</formula>
    </cfRule>
  </conditionalFormatting>
  <conditionalFormatting sqref="W1963">
    <cfRule type="expression" dxfId="147" priority="117">
      <formula>OR($T$1963 = TRUE, AND($W$1963 = TRUE, $S$1963 = FALSE))</formula>
    </cfRule>
  </conditionalFormatting>
  <conditionalFormatting sqref="W1964">
    <cfRule type="expression" dxfId="146" priority="116">
      <formula>AND($R$1964,$S$1964)</formula>
    </cfRule>
  </conditionalFormatting>
  <conditionalFormatting sqref="W1964">
    <cfRule type="expression" dxfId="145" priority="115">
      <formula>AND(IF($R$1964,$W$1964,TRUE),LEN(TRIM($W$1964))&gt;0)</formula>
    </cfRule>
  </conditionalFormatting>
  <conditionalFormatting sqref="W1964">
    <cfRule type="expression" dxfId="144" priority="114">
      <formula>OR($S$1964 = FALSE, AND($P$1964 = FALSE, ReportType &lt;&gt; "Final"), AND($Q$1964 = FALSE, ReportType &lt;&gt; "Rough"))</formula>
    </cfRule>
  </conditionalFormatting>
  <conditionalFormatting sqref="W1964">
    <cfRule type="expression" dxfId="143" priority="113">
      <formula>OR($T$1964 = TRUE, AND($W$1964 = TRUE, $S$1964 = FALSE))</formula>
    </cfRule>
  </conditionalFormatting>
  <conditionalFormatting sqref="W1965">
    <cfRule type="expression" dxfId="142" priority="112">
      <formula>AND($R$1965,$S$1965)</formula>
    </cfRule>
  </conditionalFormatting>
  <conditionalFormatting sqref="W1965">
    <cfRule type="expression" dxfId="141" priority="111">
      <formula>AND(IF($R$1965,$W$1965,TRUE),LEN(TRIM($W$1965))&gt;0)</formula>
    </cfRule>
  </conditionalFormatting>
  <conditionalFormatting sqref="W1965">
    <cfRule type="expression" dxfId="140" priority="110">
      <formula>OR($S$1965 = FALSE, AND($P$1965 = FALSE, ReportType &lt;&gt; "Final"), AND($Q$1965 = FALSE, ReportType &lt;&gt; "Rough"))</formula>
    </cfRule>
  </conditionalFormatting>
  <conditionalFormatting sqref="W1965">
    <cfRule type="expression" dxfId="139" priority="109">
      <formula>OR($T$1965 = TRUE, AND($W$1965 = TRUE, $S$1965 = FALSE))</formula>
    </cfRule>
  </conditionalFormatting>
  <conditionalFormatting sqref="W1966">
    <cfRule type="expression" dxfId="138" priority="108">
      <formula>AND($R$1966,$S$1966)</formula>
    </cfRule>
  </conditionalFormatting>
  <conditionalFormatting sqref="W1966">
    <cfRule type="expression" dxfId="137" priority="107">
      <formula>AND(IF($R$1966,$W$1966,TRUE),LEN(TRIM($W$1966))&gt;0)</formula>
    </cfRule>
  </conditionalFormatting>
  <conditionalFormatting sqref="W1966">
    <cfRule type="expression" dxfId="136" priority="106">
      <formula>OR($S$1966 = FALSE, AND($P$1966 = FALSE, ReportType &lt;&gt; "Final"), AND($Q$1966 = FALSE, ReportType &lt;&gt; "Rough"))</formula>
    </cfRule>
  </conditionalFormatting>
  <conditionalFormatting sqref="W1966">
    <cfRule type="expression" dxfId="135" priority="105">
      <formula>OR($T$1966 = TRUE, AND($W$1966 = TRUE, $S$1966 = FALSE))</formula>
    </cfRule>
  </conditionalFormatting>
  <conditionalFormatting sqref="W1967">
    <cfRule type="expression" dxfId="134" priority="104">
      <formula>AND($R$1967,$S$1967)</formula>
    </cfRule>
  </conditionalFormatting>
  <conditionalFormatting sqref="W1967">
    <cfRule type="expression" dxfId="133" priority="103">
      <formula>AND(IF($R$1967,$W$1967,TRUE),LEN(TRIM($W$1967))&gt;0)</formula>
    </cfRule>
  </conditionalFormatting>
  <conditionalFormatting sqref="W1967">
    <cfRule type="expression" dxfId="132" priority="102">
      <formula>OR($S$1967 = FALSE, AND($P$1967 = FALSE, ReportType &lt;&gt; "Final"), AND($Q$1967 = FALSE, ReportType &lt;&gt; "Rough"))</formula>
    </cfRule>
  </conditionalFormatting>
  <conditionalFormatting sqref="W1967">
    <cfRule type="expression" dxfId="131" priority="101">
      <formula>OR($T$1967 = TRUE, AND($W$1967 = TRUE, $S$1967 = FALSE))</formula>
    </cfRule>
  </conditionalFormatting>
  <conditionalFormatting sqref="W1984">
    <cfRule type="expression" dxfId="130" priority="100">
      <formula>AND($R$1984,$S$1984)</formula>
    </cfRule>
  </conditionalFormatting>
  <conditionalFormatting sqref="W1984">
    <cfRule type="expression" dxfId="129" priority="99">
      <formula>AND(IF($R$1984,$W$1984,TRUE),LEN(TRIM($W$1984))&gt;0)</formula>
    </cfRule>
  </conditionalFormatting>
  <conditionalFormatting sqref="W1984">
    <cfRule type="expression" dxfId="128" priority="98">
      <formula>OR($S$1984 = FALSE, AND($P$1984 = FALSE, ReportType &lt;&gt; "Final"), AND($Q$1984 = FALSE, ReportType &lt;&gt; "Rough"))</formula>
    </cfRule>
  </conditionalFormatting>
  <conditionalFormatting sqref="W1984">
    <cfRule type="expression" dxfId="127" priority="97">
      <formula>OR($T$1984 = TRUE, AND($W$1984 = TRUE, $S$1984 = FALSE))</formula>
    </cfRule>
  </conditionalFormatting>
  <conditionalFormatting sqref="W1986">
    <cfRule type="expression" dxfId="126" priority="96">
      <formula>AND($R$1986,$S$1986)</formula>
    </cfRule>
  </conditionalFormatting>
  <conditionalFormatting sqref="W1986">
    <cfRule type="expression" dxfId="125" priority="95">
      <formula>AND(IF($R$1986,$W$1986,TRUE),LEN(TRIM($W$1986))&gt;0)</formula>
    </cfRule>
  </conditionalFormatting>
  <conditionalFormatting sqref="W1986">
    <cfRule type="expression" dxfId="124" priority="94">
      <formula>OR($S$1986 = FALSE, AND($P$1986 = FALSE, ReportType &lt;&gt; "Final"), AND($Q$1986 = FALSE, ReportType &lt;&gt; "Rough"))</formula>
    </cfRule>
  </conditionalFormatting>
  <conditionalFormatting sqref="W1986">
    <cfRule type="expression" dxfId="123" priority="93">
      <formula>OR($T$1986 = TRUE, AND($W$1986 = TRUE, $S$1986 = FALSE))</formula>
    </cfRule>
  </conditionalFormatting>
  <conditionalFormatting sqref="W1989">
    <cfRule type="expression" dxfId="122" priority="92">
      <formula>AND($R$1989,$S$1989)</formula>
    </cfRule>
  </conditionalFormatting>
  <conditionalFormatting sqref="W1989">
    <cfRule type="expression" dxfId="121" priority="91">
      <formula>AND(IF($R$1989,$W$1989,TRUE),LEN(TRIM($W$1989))&gt;0)</formula>
    </cfRule>
  </conditionalFormatting>
  <conditionalFormatting sqref="W1989">
    <cfRule type="expression" dxfId="120" priority="90">
      <formula>OR($S$1989 = FALSE, AND($P$1989 = FALSE, ReportType &lt;&gt; "Final"), AND($Q$1989 = FALSE, ReportType &lt;&gt; "Rough"))</formula>
    </cfRule>
  </conditionalFormatting>
  <conditionalFormatting sqref="W1989">
    <cfRule type="expression" dxfId="119" priority="89">
      <formula>OR($T$1989 = TRUE, AND($W$1989 = TRUE, $S$1989 = FALSE))</formula>
    </cfRule>
  </conditionalFormatting>
  <conditionalFormatting sqref="W2002">
    <cfRule type="expression" dxfId="118" priority="88">
      <formula>AND($R$2002,$S$2002)</formula>
    </cfRule>
  </conditionalFormatting>
  <conditionalFormatting sqref="W2002">
    <cfRule type="expression" dxfId="117" priority="87">
      <formula>AND(IF($R$2002,$W$2002,TRUE),LEN(TRIM($W$2002))&gt;0)</formula>
    </cfRule>
  </conditionalFormatting>
  <conditionalFormatting sqref="W2002">
    <cfRule type="expression" dxfId="116" priority="86">
      <formula>OR($S$2002 = FALSE, AND($P$2002 = FALSE, ReportType &lt;&gt; "Final"), AND($Q$2002 = FALSE, ReportType &lt;&gt; "Rough"))</formula>
    </cfRule>
  </conditionalFormatting>
  <conditionalFormatting sqref="W2002">
    <cfRule type="expression" dxfId="115" priority="85">
      <formula>OR($T$2002 = TRUE, AND($W$2002 = TRUE, $S$2002 = FALSE))</formula>
    </cfRule>
  </conditionalFormatting>
  <conditionalFormatting sqref="W2004">
    <cfRule type="expression" dxfId="114" priority="84">
      <formula>AND($R$2004,$S$2004)</formula>
    </cfRule>
  </conditionalFormatting>
  <conditionalFormatting sqref="W2004">
    <cfRule type="expression" dxfId="113" priority="83">
      <formula>AND(IF($R$2004,$W$2004,TRUE),LEN(TRIM($W$2004))&gt;0)</formula>
    </cfRule>
  </conditionalFormatting>
  <conditionalFormatting sqref="W2004">
    <cfRule type="expression" dxfId="112" priority="82">
      <formula>OR($S$2004 = FALSE, AND($P$2004 = FALSE, ReportType &lt;&gt; "Final"), AND($Q$2004 = FALSE, ReportType &lt;&gt; "Rough"))</formula>
    </cfRule>
  </conditionalFormatting>
  <conditionalFormatting sqref="W2004">
    <cfRule type="expression" dxfId="111" priority="81">
      <formula>OR($T$2004 = TRUE, AND($W$2004 = TRUE, $S$2004 = FALSE))</formula>
    </cfRule>
  </conditionalFormatting>
  <conditionalFormatting sqref="W1651">
    <cfRule type="expression" dxfId="110" priority="80">
      <formula>AND(R1651,S1651)</formula>
    </cfRule>
  </conditionalFormatting>
  <conditionalFormatting sqref="W1651">
    <cfRule type="expression" dxfId="109" priority="79">
      <formula>NOT(ISBLANK(W1651))</formula>
    </cfRule>
  </conditionalFormatting>
  <conditionalFormatting sqref="W1651">
    <cfRule type="expression" dxfId="108" priority="78">
      <formula>OR(S1651 = FALSE, AND(P1651 = FALSE, ReportType &lt;&gt; "Final"), AND(Q1651 = FALSE, ReportType &lt;&gt; "Rough"))</formula>
    </cfRule>
  </conditionalFormatting>
  <conditionalFormatting sqref="W1651">
    <cfRule type="expression" dxfId="107" priority="77">
      <formula>OR(T1651 = TRUE, AND(W1651 = TRUE, S1651 = FALSE))</formula>
    </cfRule>
  </conditionalFormatting>
  <conditionalFormatting sqref="W1661">
    <cfRule type="expression" dxfId="106" priority="76">
      <formula>AND(R1661,S1661)</formula>
    </cfRule>
  </conditionalFormatting>
  <conditionalFormatting sqref="W1661">
    <cfRule type="expression" dxfId="105" priority="75">
      <formula>NOT(ISBLANK(W1661))</formula>
    </cfRule>
  </conditionalFormatting>
  <conditionalFormatting sqref="W1661">
    <cfRule type="expression" dxfId="104" priority="74">
      <formula>OR(S1661 = FALSE, AND(P1661 = FALSE, ReportType &lt;&gt; "Final"), AND(Q1661 = FALSE, ReportType &lt;&gt; "Rough"))</formula>
    </cfRule>
  </conditionalFormatting>
  <conditionalFormatting sqref="W1661">
    <cfRule type="expression" dxfId="103" priority="73">
      <formula>OR(T1661 = TRUE, AND(W1661 = TRUE, S1661 = FALSE))</formula>
    </cfRule>
  </conditionalFormatting>
  <conditionalFormatting sqref="W1662">
    <cfRule type="expression" dxfId="102" priority="72">
      <formula>AND(R1662,S1662)</formula>
    </cfRule>
  </conditionalFormatting>
  <conditionalFormatting sqref="W1662">
    <cfRule type="expression" dxfId="101" priority="71">
      <formula>NOT(ISBLANK(W1662))</formula>
    </cfRule>
  </conditionalFormatting>
  <conditionalFormatting sqref="W1662">
    <cfRule type="expression" dxfId="100" priority="70">
      <formula>OR(S1662 = FALSE, AND(P1662 = FALSE, ReportType &lt;&gt; "Final"), AND(Q1662 = FALSE, ReportType &lt;&gt; "Rough"))</formula>
    </cfRule>
  </conditionalFormatting>
  <conditionalFormatting sqref="W1662">
    <cfRule type="expression" dxfId="99" priority="69">
      <formula>OR(T1662 = TRUE, AND(W1662 = TRUE, S1662 = FALSE))</formula>
    </cfRule>
  </conditionalFormatting>
  <conditionalFormatting sqref="W1604">
    <cfRule type="expression" dxfId="98" priority="64">
      <formula>AND($R$1604,$S$1604)</formula>
    </cfRule>
  </conditionalFormatting>
  <conditionalFormatting sqref="W1604">
    <cfRule type="expression" dxfId="97" priority="63">
      <formula>AND($W$1604&lt;&gt;"Not Met",LEN(TRIM($W$1604))&gt;0)</formula>
    </cfRule>
  </conditionalFormatting>
  <conditionalFormatting sqref="W1604">
    <cfRule type="expression" dxfId="96" priority="62">
      <formula>OR($S$1604 = FALSE, AND($P$1604 = FALSE, ReportType &lt;&gt; "Final"), AND($Q$1604 = FALSE, ReportType &lt;&gt; "Rough"))</formula>
    </cfRule>
  </conditionalFormatting>
  <conditionalFormatting sqref="W1604">
    <cfRule type="expression" dxfId="95" priority="61">
      <formula>OR($T$1604 = TRUE, AND($W$1604="Met", $S$1604 = FALSE))</formula>
    </cfRule>
  </conditionalFormatting>
  <conditionalFormatting sqref="W1606">
    <cfRule type="expression" dxfId="94" priority="60">
      <formula>AND($R$1606,$S$1606)</formula>
    </cfRule>
  </conditionalFormatting>
  <conditionalFormatting sqref="W1606">
    <cfRule type="expression" dxfId="93" priority="59">
      <formula>AND($W$1606&lt;&gt;"Not Met",LEN(TRIM($W$1606))&gt;0)</formula>
    </cfRule>
  </conditionalFormatting>
  <conditionalFormatting sqref="W1606">
    <cfRule type="expression" dxfId="92" priority="58">
      <formula>OR($S$1606 = FALSE, AND($P$1606 = FALSE, ReportType &lt;&gt; "Final"), AND($Q$1606 = FALSE, ReportType &lt;&gt; "Rough"))</formula>
    </cfRule>
  </conditionalFormatting>
  <conditionalFormatting sqref="W1606">
    <cfRule type="expression" dxfId="91" priority="57">
      <formula>OR($T$1606 = TRUE, AND($W$1606="Met", $S$1606 = FALSE))</formula>
    </cfRule>
  </conditionalFormatting>
  <conditionalFormatting sqref="X1">
    <cfRule type="expression" dxfId="90" priority="4752">
      <formula>verStartError</formula>
    </cfRule>
  </conditionalFormatting>
  <conditionalFormatting sqref="W1601">
    <cfRule type="expression" dxfId="89" priority="56">
      <formula>AND($R$1601,$S$1601)</formula>
    </cfRule>
  </conditionalFormatting>
  <conditionalFormatting sqref="W1601">
    <cfRule type="expression" dxfId="88" priority="55">
      <formula>AND(IF($R$1601,$W$1601,TRUE),LEN(TRIM($W$1601))&gt;0)</formula>
    </cfRule>
  </conditionalFormatting>
  <conditionalFormatting sqref="W1601">
    <cfRule type="expression" dxfId="87" priority="54">
      <formula>OR($S$1601 = FALSE, AND($P$1601 = FALSE, ReportType &lt;&gt; "Final"), AND($Q$1601 = FALSE, ReportType &lt;&gt; "Rough"))</formula>
    </cfRule>
  </conditionalFormatting>
  <conditionalFormatting sqref="W1601">
    <cfRule type="expression" dxfId="86" priority="53">
      <formula>OR($T$1601 = TRUE, AND($W$1601 = TRUE, $S$1601 = FALSE))</formula>
    </cfRule>
  </conditionalFormatting>
  <conditionalFormatting sqref="W1496">
    <cfRule type="expression" dxfId="85" priority="52">
      <formula>AND($R$1496,$S$1496)</formula>
    </cfRule>
  </conditionalFormatting>
  <conditionalFormatting sqref="W1496">
    <cfRule type="expression" dxfId="84" priority="51">
      <formula>AND($W$1496&lt;&gt;"Not Met",LEN(TRIM($W$1496))&gt;0)</formula>
    </cfRule>
  </conditionalFormatting>
  <conditionalFormatting sqref="W1496">
    <cfRule type="expression" dxfId="83" priority="50">
      <formula>OR($S$1496 = FALSE, AND($P$1496 = FALSE, ReportType &lt;&gt; "Final"), AND($Q$1496 = FALSE, ReportType &lt;&gt; "Rough"))</formula>
    </cfRule>
  </conditionalFormatting>
  <conditionalFormatting sqref="W1496">
    <cfRule type="expression" dxfId="82" priority="49">
      <formula>OR($T$1496 = TRUE, AND(LEN(TRIM($W$1496))&gt;0, $S$1496 = FALSE))</formula>
    </cfRule>
  </conditionalFormatting>
  <conditionalFormatting sqref="W838">
    <cfRule type="expression" dxfId="81" priority="47">
      <formula>AND(R838,S838)</formula>
    </cfRule>
  </conditionalFormatting>
  <conditionalFormatting sqref="W838">
    <cfRule type="expression" dxfId="80" priority="46">
      <formula>NOT(ISBLANK(W838))</formula>
    </cfRule>
  </conditionalFormatting>
  <conditionalFormatting sqref="W838">
    <cfRule type="expression" dxfId="79" priority="45">
      <formula>S838 = FALSE</formula>
    </cfRule>
  </conditionalFormatting>
  <conditionalFormatting sqref="W838">
    <cfRule type="expression" dxfId="78" priority="44">
      <formula>OR(T838 = TRUE, AND(W838 = TRUE, S838 = FALSE))</formula>
    </cfRule>
  </conditionalFormatting>
  <conditionalFormatting sqref="W1307">
    <cfRule type="expression" dxfId="77" priority="43">
      <formula>AND($R$1307,$S$1307)</formula>
    </cfRule>
  </conditionalFormatting>
  <conditionalFormatting sqref="W1307">
    <cfRule type="expression" dxfId="76" priority="42">
      <formula>AND(IF($R$1307,$W$1307,TRUE),LEN(TRIM($W$1307))&gt;0)</formula>
    </cfRule>
  </conditionalFormatting>
  <conditionalFormatting sqref="W1307">
    <cfRule type="expression" dxfId="75" priority="41">
      <formula>OR($S$1307 = FALSE, AND($P$1307 = FALSE, ReportType &lt;&gt; "Final"), AND($Q$1307 = FALSE, ReportType &lt;&gt; "Rough"))</formula>
    </cfRule>
  </conditionalFormatting>
  <conditionalFormatting sqref="W1307">
    <cfRule type="expression" dxfId="74" priority="40">
      <formula>OR($T$1307 = TRUE, AND($W$1307 = TRUE, $S$1307 = FALSE))</formula>
    </cfRule>
  </conditionalFormatting>
  <conditionalFormatting sqref="Z13:Z2005">
    <cfRule type="notContainsBlanks" dxfId="73" priority="39">
      <formula>LEN(TRIM(Z13))&gt;0</formula>
    </cfRule>
  </conditionalFormatting>
  <conditionalFormatting sqref="Z13:Z17">
    <cfRule type="expression" dxfId="72" priority="7829">
      <formula>AA15=$AA$7</formula>
    </cfRule>
  </conditionalFormatting>
  <conditionalFormatting sqref="Z24:Z25 Z192:Z196 Z222 Z245 Z248 Z267 Z309 Z415 Z465 Z474 Z476:Z477 Z488 Z492 Z497 Z499 Z728 Z1601 Z1614">
    <cfRule type="expression" dxfId="71" priority="7830">
      <formula>AA24=$AA$7</formula>
    </cfRule>
  </conditionalFormatting>
  <conditionalFormatting sqref="Z66:Z78">
    <cfRule type="expression" dxfId="70" priority="7831">
      <formula>$AA$66=$AA$7</formula>
    </cfRule>
  </conditionalFormatting>
  <conditionalFormatting sqref="Z113:Z117">
    <cfRule type="expression" dxfId="69" priority="7832">
      <formula>$AA$113=$AA$7</formula>
    </cfRule>
  </conditionalFormatting>
  <conditionalFormatting sqref="Z128:Z129">
    <cfRule type="expression" dxfId="68" priority="7833">
      <formula>$AA$128=$AA$7</formula>
    </cfRule>
  </conditionalFormatting>
  <conditionalFormatting sqref="Z134:Z138">
    <cfRule type="expression" dxfId="67" priority="7834">
      <formula>$AA$134=$AA$7</formula>
    </cfRule>
    <cfRule type="expression" dxfId="66" priority="7835">
      <formula>$AA$134=$AA$7</formula>
    </cfRule>
  </conditionalFormatting>
  <conditionalFormatting sqref="Z139">
    <cfRule type="expression" dxfId="65" priority="7836">
      <formula>$AA$139=$AA$7</formula>
    </cfRule>
  </conditionalFormatting>
  <conditionalFormatting sqref="Z140:Z144">
    <cfRule type="expression" dxfId="64" priority="7837">
      <formula>$AA$140=$AA$7</formula>
    </cfRule>
  </conditionalFormatting>
  <conditionalFormatting sqref="Z235:Z244">
    <cfRule type="expression" dxfId="63" priority="7856">
      <formula>OR($AA$237=$AA$7,$AA$240=$AA$7)</formula>
    </cfRule>
  </conditionalFormatting>
  <conditionalFormatting sqref="Z314:Z331">
    <cfRule type="expression" dxfId="62" priority="7857">
      <formula>OR($AA$318=$AA$7,$AA$319=$AA$7,$AA$325=$AA$7)</formula>
    </cfRule>
  </conditionalFormatting>
  <conditionalFormatting sqref="Z451:Z462">
    <cfRule type="expression" dxfId="61" priority="5">
      <formula>$AA$450=$AA$7</formula>
    </cfRule>
  </conditionalFormatting>
  <conditionalFormatting sqref="Z1589 Z1592 Z1594 Z1597 Z1599">
    <cfRule type="expression" dxfId="60" priority="4">
      <formula>$AA$1587=$AA$7</formula>
    </cfRule>
  </conditionalFormatting>
  <conditionalFormatting sqref="Z1604 Z1606 Z1608">
    <cfRule type="expression" dxfId="59" priority="3">
      <formula>$AA$1603=$AA$7</formula>
    </cfRule>
  </conditionalFormatting>
  <conditionalFormatting sqref="BJ13:BJ2005">
    <cfRule type="expression" dxfId="58" priority="2">
      <formula>OR(AND(ReportType="Rough",P13=TRUE,R13=TRUE,W13=FALSE),AND(ReportType="Final",Q13=TRUE,R13=TRUE,W13=FALSE))</formula>
    </cfRule>
  </conditionalFormatting>
  <conditionalFormatting sqref="W934:W935">
    <cfRule type="expression" dxfId="57" priority="1">
      <formula>$T$934 = TRUE</formula>
    </cfRule>
  </conditionalFormatting>
  <dataValidations count="125">
    <dataValidation type="list" allowBlank="1" showInputMessage="1" showErrorMessage="1" sqref="L5" xr:uid="{00000000-0002-0000-0F00-000000000000}">
      <formula1>"Rough, Final"</formula1>
    </dataValidation>
    <dataValidation type="decimal" allowBlank="1" showDropDown="1" showInputMessage="1" showErrorMessage="1" error="Enter Percentage" prompt="Enter Percentage" sqref="W67" xr:uid="{00000000-0002-0000-0F00-000001000000}">
      <formula1>0</formula1>
      <formula2>1</formula2>
    </dataValidation>
    <dataValidation type="whole" allowBlank="1" showDropDown="1" showInputMessage="1" showErrorMessage="1" error="Enter a whole number" prompt="Enter number of products" sqref="W767 W757" xr:uid="{00000000-0002-0000-0F00-000002000000}">
      <formula1>0</formula1>
      <formula2>20</formula2>
    </dataValidation>
    <dataValidation type="decimal" allowBlank="1" showDropDown="1" showInputMessage="1" showErrorMessage="1" error="Enter a percentage" prompt="Enter a percentage" sqref="W509 W521 W523 W525 W527 W909 W941 W1217 W1651 W1661:W1662" xr:uid="{00000000-0002-0000-0F00-000003000000}">
      <formula1>0</formula1>
      <formula2>1</formula2>
    </dataValidation>
    <dataValidation type="whole" allowBlank="1" showDropDown="1" showInputMessage="1" showErrorMessage="1" error="Enter a number" prompt="Enter number of square feet" sqref="W503" xr:uid="{00000000-0002-0000-0F00-000004000000}">
      <formula1>0</formula1>
      <formula2>10000</formula2>
    </dataValidation>
    <dataValidation type="list" allowBlank="1" showInputMessage="1" showErrorMessage="1" error="Please use the dropdown." sqref="W38" xr:uid="{00000000-0002-0000-0F00-000005000000}">
      <formula1>INDIRECT($U$38)</formula1>
    </dataValidation>
    <dataValidation type="list" allowBlank="1" showInputMessage="1" showErrorMessage="1" error="Please use the dropdown." sqref="W71" xr:uid="{00000000-0002-0000-0F00-000006000000}">
      <formula1>INDIRECT($U$71)</formula1>
    </dataValidation>
    <dataValidation type="list" allowBlank="1" showInputMessage="1" showErrorMessage="1" error="Please use the dropdown." sqref="W106" xr:uid="{00000000-0002-0000-0F00-000007000000}">
      <formula1>INDIRECT($U$106)</formula1>
    </dataValidation>
    <dataValidation type="list" allowBlank="1" showInputMessage="1" showErrorMessage="1" error="Please use the dropdown." sqref="W113" xr:uid="{00000000-0002-0000-0F00-000008000000}">
      <formula1>INDIRECT($U$113)</formula1>
    </dataValidation>
    <dataValidation type="list" allowBlank="1" showInputMessage="1" showErrorMessage="1" error="Please use the dropdown." sqref="W120" xr:uid="{00000000-0002-0000-0F00-000009000000}">
      <formula1>INDIRECT($U$120)</formula1>
    </dataValidation>
    <dataValidation type="list" allowBlank="1" showInputMessage="1" showErrorMessage="1" error="Please use the dropdown." sqref="W122" xr:uid="{00000000-0002-0000-0F00-00000A000000}">
      <formula1>INDIRECT($U$122)</formula1>
    </dataValidation>
    <dataValidation type="list" allowBlank="1" showInputMessage="1" showErrorMessage="1" error="Please use the dropdown." sqref="W134" xr:uid="{00000000-0002-0000-0F00-00000B000000}">
      <formula1>INDIRECT($U$134)</formula1>
    </dataValidation>
    <dataValidation type="list" allowBlank="1" showInputMessage="1" showErrorMessage="1" error="Please use the dropdown." sqref="W170" xr:uid="{00000000-0002-0000-0F00-00000C000000}">
      <formula1>INDIRECT($U$170)</formula1>
    </dataValidation>
    <dataValidation type="list" allowBlank="1" showInputMessage="1" showErrorMessage="1" error="Please use the dropdown." sqref="W225" xr:uid="{00000000-0002-0000-0F00-00000D000000}">
      <formula1>INDIRECT($U$225)</formula1>
    </dataValidation>
    <dataValidation type="list" allowBlank="1" showInputMessage="1" showErrorMessage="1" error="Please use the dropdown." sqref="W229" xr:uid="{00000000-0002-0000-0F00-00000E000000}">
      <formula1>INDIRECT($U$229)</formula1>
    </dataValidation>
    <dataValidation type="list" allowBlank="1" showInputMessage="1" showErrorMessage="1" error="Please use the dropdown." sqref="W248" xr:uid="{00000000-0002-0000-0F00-00000F000000}">
      <formula1>INDIRECT($U$248)</formula1>
    </dataValidation>
    <dataValidation type="list" allowBlank="1" showInputMessage="1" showErrorMessage="1" error="Please use the dropdown." sqref="W310" xr:uid="{00000000-0002-0000-0F00-000010000000}">
      <formula1>INDIRECT($U$310)</formula1>
    </dataValidation>
    <dataValidation type="list" allowBlank="1" showInputMessage="1" showErrorMessage="1" error="Please use the dropdown." sqref="W317" xr:uid="{00000000-0002-0000-0F00-000011000000}">
      <formula1>INDIRECT($U$317)</formula1>
    </dataValidation>
    <dataValidation type="list" allowBlank="1" showInputMessage="1" showErrorMessage="1" error="Please use the dropdown." sqref="W318" xr:uid="{00000000-0002-0000-0F00-000012000000}">
      <formula1>INDIRECT($U$318)</formula1>
    </dataValidation>
    <dataValidation type="list" allowBlank="1" showInputMessage="1" showErrorMessage="1" error="Please use the dropdown." sqref="W319" xr:uid="{00000000-0002-0000-0F00-000013000000}">
      <formula1>INDIRECT($U$319)</formula1>
    </dataValidation>
    <dataValidation type="list" allowBlank="1" showInputMessage="1" showErrorMessage="1" error="Please use the dropdown." sqref="W323" xr:uid="{00000000-0002-0000-0F00-000014000000}">
      <formula1>INDIRECT($U$323)</formula1>
    </dataValidation>
    <dataValidation type="list" allowBlank="1" showInputMessage="1" showErrorMessage="1" error="Please use the dropdown." sqref="W325" xr:uid="{00000000-0002-0000-0F00-000015000000}">
      <formula1>INDIRECT($U$325)</formula1>
    </dataValidation>
    <dataValidation type="list" allowBlank="1" showInputMessage="1" showErrorMessage="1" error="Please use the dropdown." sqref="W380" xr:uid="{00000000-0002-0000-0F00-000016000000}">
      <formula1>INDIRECT($U$380)</formula1>
    </dataValidation>
    <dataValidation type="list" allowBlank="1" showInputMessage="1" showErrorMessage="1" error="Please use the dropdown." sqref="W441" xr:uid="{00000000-0002-0000-0F00-000017000000}">
      <formula1>INDIRECT($U$441)</formula1>
    </dataValidation>
    <dataValidation type="list" allowBlank="1" showInputMessage="1" showErrorMessage="1" error="Please use the dropdown." sqref="W451" xr:uid="{00000000-0002-0000-0F00-000018000000}">
      <formula1>INDIRECT($U$451)</formula1>
    </dataValidation>
    <dataValidation type="list" allowBlank="1" showInputMessage="1" showErrorMessage="1" error="Please use the dropdown." sqref="W573" xr:uid="{00000000-0002-0000-0F00-000019000000}">
      <formula1>INDIRECT($U$573)</formula1>
    </dataValidation>
    <dataValidation type="list" allowBlank="1" showInputMessage="1" showErrorMessage="1" error="Please use the dropdown." sqref="W574" xr:uid="{00000000-0002-0000-0F00-00001A000000}">
      <formula1>INDIRECT($U$574)</formula1>
    </dataValidation>
    <dataValidation type="list" allowBlank="1" showInputMessage="1" showErrorMessage="1" error="Please use the dropdown." sqref="W575" xr:uid="{00000000-0002-0000-0F00-00001B000000}">
      <formula1>INDIRECT($U$575)</formula1>
    </dataValidation>
    <dataValidation type="list" allowBlank="1" showInputMessage="1" showErrorMessage="1" error="Please use the dropdown." sqref="W576" xr:uid="{00000000-0002-0000-0F00-00001C000000}">
      <formula1>INDIRECT($U$576)</formula1>
    </dataValidation>
    <dataValidation type="list" allowBlank="1" showInputMessage="1" showErrorMessage="1" error="Please use the dropdown." sqref="W577" xr:uid="{00000000-0002-0000-0F00-00001D000000}">
      <formula1>INDIRECT($U$577)</formula1>
    </dataValidation>
    <dataValidation type="list" allowBlank="1" showInputMessage="1" showErrorMessage="1" error="Please use the dropdown." sqref="W578" xr:uid="{00000000-0002-0000-0F00-00001E000000}">
      <formula1>INDIRECT($U$578)</formula1>
    </dataValidation>
    <dataValidation type="list" allowBlank="1" showInputMessage="1" showErrorMessage="1" error="Please use the dropdown." sqref="W579" xr:uid="{00000000-0002-0000-0F00-00001F000000}">
      <formula1>INDIRECT($U$579)</formula1>
    </dataValidation>
    <dataValidation type="list" allowBlank="1" showInputMessage="1" showErrorMessage="1" error="Please use the dropdown." sqref="W580" xr:uid="{00000000-0002-0000-0F00-000020000000}">
      <formula1>INDIRECT($U$580)</formula1>
    </dataValidation>
    <dataValidation type="list" allowBlank="1" showInputMessage="1" showErrorMessage="1" error="Please use the dropdown." sqref="W600" xr:uid="{00000000-0002-0000-0F00-000021000000}">
      <formula1>INDIRECT($U$600)</formula1>
    </dataValidation>
    <dataValidation type="list" allowBlank="1" showInputMessage="1" showErrorMessage="1" error="Please use the dropdown." sqref="W601" xr:uid="{00000000-0002-0000-0F00-000022000000}">
      <formula1>INDIRECT($U$601)</formula1>
    </dataValidation>
    <dataValidation type="list" allowBlank="1" showInputMessage="1" showErrorMessage="1" error="Please use the dropdown." sqref="W603" xr:uid="{00000000-0002-0000-0F00-000023000000}">
      <formula1>INDIRECT($U$603)</formula1>
    </dataValidation>
    <dataValidation type="list" allowBlank="1" showInputMessage="1" showErrorMessage="1" error="Please use the dropdown." sqref="W604" xr:uid="{00000000-0002-0000-0F00-000024000000}">
      <formula1>INDIRECT($U$604)</formula1>
    </dataValidation>
    <dataValidation type="list" allowBlank="1" showInputMessage="1" showErrorMessage="1" error="Please use the dropdown." sqref="W606" xr:uid="{00000000-0002-0000-0F00-000025000000}">
      <formula1>INDIRECT($U$606)</formula1>
    </dataValidation>
    <dataValidation type="list" allowBlank="1" showInputMessage="1" showErrorMessage="1" error="Please use the dropdown." sqref="W621" xr:uid="{00000000-0002-0000-0F00-000026000000}">
      <formula1>INDIRECT($U$621)</formula1>
    </dataValidation>
    <dataValidation type="list" allowBlank="1" showInputMessage="1" showErrorMessage="1" error="Please use the dropdown." sqref="W631" xr:uid="{00000000-0002-0000-0F00-000027000000}">
      <formula1>INDIRECT($U$631)</formula1>
    </dataValidation>
    <dataValidation type="list" allowBlank="1" showInputMessage="1" showErrorMessage="1" error="Please use the dropdown." sqref="W634" xr:uid="{00000000-0002-0000-0F00-000028000000}">
      <formula1>INDIRECT($U$634)</formula1>
    </dataValidation>
    <dataValidation type="list" allowBlank="1" showInputMessage="1" showErrorMessage="1" error="Please use the dropdown." sqref="W670" xr:uid="{00000000-0002-0000-0F00-000029000000}">
      <formula1>INDIRECT($U$670)</formula1>
    </dataValidation>
    <dataValidation type="list" allowBlank="1" showInputMessage="1" showErrorMessage="1" error="Please use the dropdown." sqref="W677" xr:uid="{00000000-0002-0000-0F00-00002A000000}">
      <formula1>INDIRECT($U$677)</formula1>
    </dataValidation>
    <dataValidation type="list" allowBlank="1" showInputMessage="1" showErrorMessage="1" error="Please use the dropdown." sqref="W683" xr:uid="{00000000-0002-0000-0F00-00002B000000}">
      <formula1>INDIRECT($U$683)</formula1>
    </dataValidation>
    <dataValidation type="list" allowBlank="1" showInputMessage="1" showErrorMessage="1" error="Please use the dropdown." sqref="W689" xr:uid="{00000000-0002-0000-0F00-00002C000000}">
      <formula1>INDIRECT($U$689)</formula1>
    </dataValidation>
    <dataValidation type="list" allowBlank="1" showInputMessage="1" showErrorMessage="1" error="Please use the dropdown." sqref="W695" xr:uid="{00000000-0002-0000-0F00-00002D000000}">
      <formula1>INDIRECT($U$695)</formula1>
    </dataValidation>
    <dataValidation type="list" allowBlank="1" showInputMessage="1" showErrorMessage="1" error="Please use the dropdown." sqref="W701" xr:uid="{00000000-0002-0000-0F00-00002E000000}">
      <formula1>INDIRECT($U$701)</formula1>
    </dataValidation>
    <dataValidation type="list" allowBlank="1" showInputMessage="1" showErrorMessage="1" error="Please use the dropdown." sqref="W707" xr:uid="{00000000-0002-0000-0F00-00002F000000}">
      <formula1>INDIRECT($U$707)</formula1>
    </dataValidation>
    <dataValidation type="list" allowBlank="1" showInputMessage="1" showErrorMessage="1" error="Please use the dropdown." sqref="W371" xr:uid="{00000000-0002-0000-0F00-000030000000}">
      <formula1>INDIRECT($U$371)</formula1>
    </dataValidation>
    <dataValidation type="list" allowBlank="1" showInputMessage="1" showErrorMessage="1" error="Please use the dropdown." sqref="W377" xr:uid="{00000000-0002-0000-0F00-000031000000}">
      <formula1>INDIRECT($U$377)</formula1>
    </dataValidation>
    <dataValidation type="list" allowBlank="1" showInputMessage="1" showErrorMessage="1" error="Please use the dropdown." sqref="W404" xr:uid="{00000000-0002-0000-0F00-000032000000}">
      <formula1>INDIRECT($U$404)</formula1>
    </dataValidation>
    <dataValidation type="list" allowBlank="1" showInputMessage="1" showErrorMessage="1" error="Please use the dropdown." sqref="W415" xr:uid="{00000000-0002-0000-0F00-000033000000}">
      <formula1>INDIRECT($U$415)</formula1>
    </dataValidation>
    <dataValidation type="list" allowBlank="1" showInputMessage="1" showErrorMessage="1" error="Please use the dropdown." sqref="W463" xr:uid="{00000000-0002-0000-0F00-000034000000}">
      <formula1>INDIRECT($U$463)</formula1>
    </dataValidation>
    <dataValidation type="list" allowBlank="1" showInputMessage="1" showErrorMessage="1" error="Please use the dropdown." sqref="W468" xr:uid="{00000000-0002-0000-0F00-000035000000}">
      <formula1>INDIRECT($U$468)</formula1>
    </dataValidation>
    <dataValidation type="list" allowBlank="1" showInputMessage="1" showErrorMessage="1" error="Please use the dropdown." sqref="W474" xr:uid="{00000000-0002-0000-0F00-000036000000}">
      <formula1>INDIRECT($U$474)</formula1>
    </dataValidation>
    <dataValidation type="list" allowBlank="1" showDropDown="1" showInputMessage="1" showErrorMessage="1" error="Use Checkbox" prompt="Use Checkbox" sqref="W749 W747 W741:W743 W739 W737 W733 W728 W718:W724 W662 W655 W646 W617:W618 W615 W560:W568 W547 W545 W532 W516 W499 W497 W492 W488 W484:W485 W482 W476:W477 W465 W449 W447 W436:W437 W433 W423 W411 W409 W407 W402 W397 W393 W389 W383 W381 W375 W369 W363 W361 W358:W359 W354 W351 W340 W332 W304:W308 W293:W298 W289 W286 W283 W257 W254:W255 W244:W245 W240 W237 W224 W222 W215 W208:W213 W206 W203 W199 W197 W194:W195 W192 W187 W184:W185 W177 W167 W165 W162 W158:W160 W154 W152 W150 W147 W145 W139:W140 W132 W130 W128 W102 W99 W89:W91 W86:W87 W82 W78 W76 W68:W69 W64 W60:W62 W58 W55:W56 W44 W35 W26 W24 W22 W20 W14:W17 W795 W2004 W2002 W1989 W1986 W1984 W1963:W1967 W1960:W1961 W1958 W1951 W1947 W1945 W1939 W1935:W1936 W1933 W1930:W1931 W1928 W1925 W1923 W1920 W1918 W1910:W1912 W1907:W1908 W1905 W1902 W1899 W1876:W1878 W1874 W1872 W1869:W1870 W1867 W1864:W1865 W1862 W1860 W1856 W1601 W1843 W1839:W1841 W1833:W1835 W1825 W1820 W1816 W1811 W1805:W1806 W1791 W1789 W1786 W1784 W1781 W1772 W1769 W1767 W1754 W1752 W1750 W1739 W1732 W1728 W1726 W1720 W1718 W1714:W1715 W1705 W1700:W1701 W1695 W1686 W1681 W1678:W1679 W1676 W1665 W1642 W1639 W1637 W1614 W1608 W1580 W1565 W1559 W1553 W1551 W1546:W1548 W1539 W1529:W1530 W1509 W1504:W1505 W1502 W1848:W1850 W1492:W1494 W1488 W1486 W1484 W1477 W1463 W1432 W1427 W1390 W1387 W1383:W1384 W1379 W1368 W1366 W1364 W1354:W1361 W1336 W1333 W1328:W1331 W1321 W1319 W1317 W1305 W1291 W1288 W1265 W1260 W1255:W1256 W1250 W1247 W1230 W1189 W1187 W1185 W1183 W1177:W1178 W1174 W1170:W1172 W1168 W1160 W1132 W1127:W1129 W1124 W1122 W1120 W1108 W1106 W1104 W1074 W1071:W1072 W1068 W1066 W1060 W1053 W1043 W1040 W1000 W955 W948 W939 W936 W933 W920 W903 W897:W898 W895 W881 W854 W851 W819 W817 W812:W813 W809 W800 W1845:W1846 W1307" xr:uid="{00000000-0002-0000-0F00-000037000000}">
      <formula1>TorF</formula1>
    </dataValidation>
    <dataValidation type="whole" allowBlank="1" showDropDown="1" showInputMessage="1" showErrorMessage="1" prompt="Enter number of fans" sqref="W1055" xr:uid="{00000000-0002-0000-0F00-000038000000}">
      <formula1>0</formula1>
      <formula2>100</formula2>
    </dataValidation>
    <dataValidation type="decimal" allowBlank="1" showDropDown="1" showInputMessage="1" showErrorMessage="1" prompt="Enter the EER" sqref="W1048" xr:uid="{00000000-0002-0000-0F00-000039000000}">
      <formula1>0</formula1>
      <formula2>100</formula2>
    </dataValidation>
    <dataValidation type="decimal" allowBlank="1" showDropDown="1" showInputMessage="1" showErrorMessage="1" prompt="Enter the SEER" sqref="W1036" xr:uid="{00000000-0002-0000-0F00-00003A000000}">
      <formula1>0</formula1>
      <formula2>100</formula2>
    </dataValidation>
    <dataValidation type="decimal" allowBlank="1" showDropDown="1" showInputMessage="1" showErrorMessage="1" prompt="Enter the COP" sqref="W1031 W1042" xr:uid="{00000000-0002-0000-0F00-00003B000000}">
      <formula1>0</formula1>
      <formula2>100</formula2>
    </dataValidation>
    <dataValidation type="decimal" allowBlank="1" showDropDown="1" showInputMessage="1" showErrorMessage="1" prompt="Enter the HSPF" sqref="W1027" xr:uid="{00000000-0002-0000-0F00-00003C000000}">
      <formula1>0</formula1>
      <formula2>100</formula2>
    </dataValidation>
    <dataValidation type="decimal" allowBlank="1" showDropDown="1" showInputMessage="1" showErrorMessage="1" prompt="Enter the AFUE" sqref="W1007 W1013 W1016 W1021" xr:uid="{00000000-0002-0000-0F00-00003D000000}">
      <formula1>0</formula1>
      <formula2>1</formula2>
    </dataValidation>
    <dataValidation type="decimal" allowBlank="1" showDropDown="1" showInputMessage="1" showErrorMessage="1" prompt="Enter the ACH50" sqref="W835 W1287" xr:uid="{00000000-0002-0000-0F00-00003E000000}">
      <formula1>0</formula1>
      <formula2>50</formula2>
    </dataValidation>
    <dataValidation type="decimal" allowBlank="1" showDropDown="1" showInputMessage="1" showErrorMessage="1" error="Enter a number" prompt="Enter Energy Factor or Thermal Efficiency" sqref="W1089" xr:uid="{00000000-0002-0000-0F00-00003F000000}">
      <formula1>0</formula1>
      <formula2>3</formula2>
    </dataValidation>
    <dataValidation type="decimal" allowBlank="1" showDropDown="1" showInputMessage="1" showErrorMessage="1" error="Enter a number" prompt="Enter SEF" sqref="W1110" xr:uid="{00000000-0002-0000-0F00-000040000000}">
      <formula1>0</formula1>
      <formula2>5</formula2>
    </dataValidation>
    <dataValidation type="whole" allowBlank="1" showDropDown="1" showInputMessage="1" showErrorMessage="1" error="Enter a whole number" prompt="Enter number of recessed luminaires penetrating the thermal envelope" sqref="W1253" xr:uid="{00000000-0002-0000-0F00-000041000000}">
      <formula1>0</formula1>
      <formula2>100</formula2>
    </dataValidation>
    <dataValidation type="whole" allowBlank="1" showDropDown="1" showInputMessage="1" showErrorMessage="1" error="Enter a whole number" prompt="Enter number of kW" sqref="W1371" xr:uid="{00000000-0002-0000-0F00-000042000000}">
      <formula1>0</formula1>
      <formula2>10000000000</formula2>
    </dataValidation>
    <dataValidation type="decimal" allowBlank="1" showDropDown="1" showInputMessage="1" showErrorMessage="1" error="Enter a nuber of inches" prompt="Enter a number of inches" sqref="W947" xr:uid="{00000000-0002-0000-0F00-000043000000}">
      <formula1>0</formula1>
      <formula2>36</formula2>
    </dataValidation>
    <dataValidation type="list" allowBlank="1" showInputMessage="1" showErrorMessage="1" error="Please use the dropdown." sqref="W775" xr:uid="{00000000-0002-0000-0F00-000044000000}">
      <formula1>INDIRECT($U$775)</formula1>
    </dataValidation>
    <dataValidation type="list" allowBlank="1" showInputMessage="1" showErrorMessage="1" error="Please use the dropdown." sqref="W786" xr:uid="{00000000-0002-0000-0F00-000045000000}">
      <formula1>INDIRECT($U$786)</formula1>
    </dataValidation>
    <dataValidation type="list" allowBlank="1" showInputMessage="1" showErrorMessage="1" error="Please use the dropdown." sqref="W803" xr:uid="{00000000-0002-0000-0F00-000046000000}">
      <formula1>INDIRECT($U$803)</formula1>
    </dataValidation>
    <dataValidation type="list" allowBlank="1" showInputMessage="1" showErrorMessage="1" error="Please use the dropdown." sqref="W887" xr:uid="{00000000-0002-0000-0F00-000047000000}">
      <formula1>INDIRECT($U$887)</formula1>
    </dataValidation>
    <dataValidation type="list" allowBlank="1" showInputMessage="1" showErrorMessage="1" error="Please use the dropdown." sqref="W962" xr:uid="{00000000-0002-0000-0F00-000048000000}">
      <formula1>INDIRECT($U$962)</formula1>
    </dataValidation>
    <dataValidation type="list" allowBlank="1" showInputMessage="1" showErrorMessage="1" error="Please use the dropdown." sqref="W970" xr:uid="{00000000-0002-0000-0F00-000049000000}">
      <formula1>INDIRECT($U$970)</formula1>
    </dataValidation>
    <dataValidation type="list" allowBlank="1" showInputMessage="1" showErrorMessage="1" error="Please use the dropdown." sqref="W978" xr:uid="{00000000-0002-0000-0F00-00004A000000}">
      <formula1>INDIRECT($U$978)</formula1>
    </dataValidation>
    <dataValidation type="list" allowBlank="1" showInputMessage="1" showErrorMessage="1" error="Please use the dropdown." sqref="W988" xr:uid="{00000000-0002-0000-0F00-00004B000000}">
      <formula1>INDIRECT($U$988)</formula1>
    </dataValidation>
    <dataValidation type="list" allowBlank="1" showInputMessage="1" showErrorMessage="1" error="Please use the dropdown." sqref="W994" xr:uid="{00000000-0002-0000-0F00-00004C000000}">
      <formula1>INDIRECT($U$994)</formula1>
    </dataValidation>
    <dataValidation type="list" allowBlank="1" showInputMessage="1" showErrorMessage="1" error="Please use the dropdown." sqref="W1076" xr:uid="{00000000-0002-0000-0F00-00004D000000}">
      <formula1>INDIRECT($U$1076)</formula1>
    </dataValidation>
    <dataValidation type="list" allowBlank="1" showInputMessage="1" showErrorMessage="1" error="Please use the dropdown." sqref="W1087" xr:uid="{00000000-0002-0000-0F00-00004E000000}">
      <formula1>INDIRECT($U$1087)</formula1>
    </dataValidation>
    <dataValidation type="list" allowBlank="1" showInputMessage="1" showErrorMessage="1" error="Please use the dropdown." sqref="W1226" xr:uid="{00000000-0002-0000-0F00-00004F000000}">
      <formula1>INDIRECT($U$1226)</formula1>
    </dataValidation>
    <dataValidation type="list" allowBlank="1" showInputMessage="1" showErrorMessage="1" error="Please use the dropdown." sqref="W1233" xr:uid="{00000000-0002-0000-0F00-000050000000}">
      <formula1>INDIRECT($U$1233)</formula1>
    </dataValidation>
    <dataValidation type="list" allowBlank="1" showInputMessage="1" showErrorMessage="1" error="Please use the dropdown." sqref="W1237" xr:uid="{00000000-0002-0000-0F00-000051000000}">
      <formula1>INDIRECT($U$1237)</formula1>
    </dataValidation>
    <dataValidation type="list" allowBlank="1" showInputMessage="1" showErrorMessage="1" error="Please use the dropdown." sqref="W1242" xr:uid="{00000000-0002-0000-0F00-000052000000}">
      <formula1>INDIRECT($U$1242)</formula1>
    </dataValidation>
    <dataValidation type="list" allowBlank="1" showInputMessage="1" showErrorMessage="1" error="Please use the dropdown." sqref="W1299" xr:uid="{00000000-0002-0000-0F00-000053000000}">
      <formula1>INDIRECT($U$1299)</formula1>
    </dataValidation>
    <dataValidation type="list" allowBlank="1" showInputMessage="1" showErrorMessage="1" error="Please use the dropdown." sqref="W1339" xr:uid="{00000000-0002-0000-0F00-000054000000}">
      <formula1>INDIRECT($U$1339)</formula1>
    </dataValidation>
    <dataValidation type="whole" allowBlank="1" showDropDown="1" showInputMessage="1" showErrorMessage="1" error="Enter a whole number" prompt="Enter number of systems" sqref="W1541" xr:uid="{00000000-0002-0000-0F00-000055000000}">
      <formula1>0</formula1>
      <formula2>5</formula2>
    </dataValidation>
    <dataValidation type="list" allowBlank="1" showInputMessage="1" showErrorMessage="1" error="Please use the dropdown." sqref="W1398" xr:uid="{00000000-0002-0000-0F00-000056000000}">
      <formula1>INDIRECT($U$1398)</formula1>
    </dataValidation>
    <dataValidation type="list" allowBlank="1" showInputMessage="1" showErrorMessage="1" error="Please use the dropdown." sqref="W1433" xr:uid="{00000000-0002-0000-0F00-000057000000}">
      <formula1>INDIRECT($U$1433)</formula1>
    </dataValidation>
    <dataValidation type="list" allowBlank="1" showInputMessage="1" showErrorMessage="1" error="Please use the dropdown." sqref="W1440" xr:uid="{00000000-0002-0000-0F00-000058000000}">
      <formula1>INDIRECT($U$1440)</formula1>
    </dataValidation>
    <dataValidation type="list" allowBlank="1" showInputMessage="1" showErrorMessage="1" error="Please use the dropdown." sqref="W1449" xr:uid="{00000000-0002-0000-0F00-000059000000}">
      <formula1>INDIRECT($U$1449)</formula1>
    </dataValidation>
    <dataValidation type="list" allowBlank="1" showInputMessage="1" showErrorMessage="1" error="Please use the dropdown." sqref="W1454" xr:uid="{00000000-0002-0000-0F00-00005A000000}">
      <formula1>INDIRECT($U$1454)</formula1>
    </dataValidation>
    <dataValidation type="list" allowBlank="1" showInputMessage="1" showErrorMessage="1" error="Please use the dropdown." sqref="W1459" xr:uid="{00000000-0002-0000-0F00-00005B000000}">
      <formula1>INDIRECT($U$1459)</formula1>
    </dataValidation>
    <dataValidation type="list" allowBlank="1" showInputMessage="1" showErrorMessage="1" error="Please use the dropdown." sqref="W1464" xr:uid="{00000000-0002-0000-0F00-00005C000000}">
      <formula1>INDIRECT($U$1464)</formula1>
    </dataValidation>
    <dataValidation type="list" allowBlank="1" showInputMessage="1" showErrorMessage="1" error="Please use the dropdown." sqref="W1471" xr:uid="{00000000-0002-0000-0F00-00005D000000}">
      <formula1>INDIRECT($U$1471)</formula1>
    </dataValidation>
    <dataValidation type="list" allowBlank="1" showInputMessage="1" showErrorMessage="1" error="Please use the dropdown." sqref="W1480" xr:uid="{00000000-0002-0000-0F00-00005E000000}">
      <formula1>INDIRECT($U$1480)</formula1>
    </dataValidation>
    <dataValidation type="list" allowBlank="1" showInputMessage="1" showErrorMessage="1" error="Please use the dropdown." sqref="W1513" xr:uid="{00000000-0002-0000-0F00-00005F000000}">
      <formula1>INDIRECT($U$1513)</formula1>
    </dataValidation>
    <dataValidation type="list" allowBlank="1" showInputMessage="1" showErrorMessage="1" error="Please use the dropdown." sqref="W1527" xr:uid="{00000000-0002-0000-0F00-000060000000}">
      <formula1>INDIRECT($U$1527)</formula1>
    </dataValidation>
    <dataValidation type="list" allowBlank="1" showInputMessage="1" showErrorMessage="1" error="Please use the dropdown." sqref="W1537" xr:uid="{00000000-0002-0000-0F00-000061000000}">
      <formula1>INDIRECT($U$1537)</formula1>
    </dataValidation>
    <dataValidation type="whole" allowBlank="1" showDropDown="1" showInputMessage="1" showErrorMessage="1" error="Enter a whole number" prompt="Enter number of humidistats" sqref="W1738" xr:uid="{00000000-0002-0000-0F00-000062000000}">
      <formula1>0</formula1>
      <formula2>10</formula2>
    </dataValidation>
    <dataValidation type="whole" allowBlank="1" showDropDown="1" showInputMessage="1" showErrorMessage="1" error="Enter a whole number" prompt="Enter number of timers" sqref="W1736" xr:uid="{00000000-0002-0000-0F00-000063000000}">
      <formula1>0</formula1>
      <formula2>10</formula2>
    </dataValidation>
    <dataValidation type="list" allowBlank="1" showInputMessage="1" showErrorMessage="1" error="Please use the dropdown." sqref="W1570" xr:uid="{00000000-0002-0000-0F00-000064000000}">
      <formula1>INDIRECT($U$1570)</formula1>
    </dataValidation>
    <dataValidation type="list" allowBlank="1" showInputMessage="1" showErrorMessage="1" error="Please use the dropdown." sqref="W1573" xr:uid="{00000000-0002-0000-0F00-000065000000}">
      <formula1>INDIRECT($U$1573)</formula1>
    </dataValidation>
    <dataValidation type="list" allowBlank="1" showInputMessage="1" showErrorMessage="1" error="Please use the dropdown." sqref="W1576" xr:uid="{00000000-0002-0000-0F00-000066000000}">
      <formula1>INDIRECT($U$1576)</formula1>
    </dataValidation>
    <dataValidation type="list" allowBlank="1" showInputMessage="1" showErrorMessage="1" error="Please use the dropdown." sqref="W1583" xr:uid="{00000000-0002-0000-0F00-000067000000}">
      <formula1>INDIRECT($U$1583)</formula1>
    </dataValidation>
    <dataValidation type="list" allowBlank="1" showInputMessage="1" showErrorMessage="1" error="Please use the dropdown." sqref="W1589" xr:uid="{00000000-0002-0000-0F00-000068000000}">
      <formula1>INDIRECT($U$1589)</formula1>
    </dataValidation>
    <dataValidation type="list" allowBlank="1" showInputMessage="1" showErrorMessage="1" error="Please use the dropdown." sqref="W1592" xr:uid="{00000000-0002-0000-0F00-000069000000}">
      <formula1>INDIRECT($U$1592)</formula1>
    </dataValidation>
    <dataValidation type="list" allowBlank="1" showInputMessage="1" showErrorMessage="1" error="Please use the dropdown." sqref="W1594" xr:uid="{00000000-0002-0000-0F00-00006A000000}">
      <formula1>INDIRECT($U$1594)</formula1>
    </dataValidation>
    <dataValidation type="list" allowBlank="1" showInputMessage="1" showErrorMessage="1" error="Please use the dropdown." sqref="W1597" xr:uid="{00000000-0002-0000-0F00-00006B000000}">
      <formula1>INDIRECT($U$1597)</formula1>
    </dataValidation>
    <dataValidation type="list" allowBlank="1" showInputMessage="1" showErrorMessage="1" error="Please use the dropdown." sqref="W1599" xr:uid="{00000000-0002-0000-0F00-00006C000000}">
      <formula1>INDIRECT($U$1599)</formula1>
    </dataValidation>
    <dataValidation type="list" allowBlank="1" showInputMessage="1" showErrorMessage="1" error="Please use the dropdown." sqref="W1618" xr:uid="{00000000-0002-0000-0F00-00006D000000}">
      <formula1>INDIRECT($U$1618)</formula1>
    </dataValidation>
    <dataValidation type="list" allowBlank="1" showInputMessage="1" showErrorMessage="1" error="Please use the dropdown." sqref="W1623" xr:uid="{00000000-0002-0000-0F00-00006E000000}">
      <formula1>INDIRECT($U$1623)</formula1>
    </dataValidation>
    <dataValidation type="list" allowBlank="1" showInputMessage="1" showErrorMessage="1" error="Please use the dropdown." sqref="W1624" xr:uid="{00000000-0002-0000-0F00-00006F000000}">
      <formula1>INDIRECT($U$1624)</formula1>
    </dataValidation>
    <dataValidation type="list" allowBlank="1" showInputMessage="1" showErrorMessage="1" error="Please use the dropdown." sqref="W1625" xr:uid="{00000000-0002-0000-0F00-000070000000}">
      <formula1>INDIRECT($U$1625)</formula1>
    </dataValidation>
    <dataValidation type="list" allowBlank="1" showInputMessage="1" showErrorMessage="1" error="Please use the dropdown." sqref="W1626" xr:uid="{00000000-0002-0000-0F00-000071000000}">
      <formula1>INDIRECT($U$1626)</formula1>
    </dataValidation>
    <dataValidation type="list" allowBlank="1" showInputMessage="1" showErrorMessage="1" error="Please use the dropdown." sqref="W1710" xr:uid="{00000000-0002-0000-0F00-000072000000}">
      <formula1>INDIRECT($U$1710)</formula1>
    </dataValidation>
    <dataValidation type="list" allowBlank="1" showInputMessage="1" showErrorMessage="1" error="Please use the dropdown." sqref="W1730" xr:uid="{00000000-0002-0000-0F00-000073000000}">
      <formula1>INDIRECT($U$1730)</formula1>
    </dataValidation>
    <dataValidation type="list" allowBlank="1" showInputMessage="1" showErrorMessage="1" error="Please use the dropdown." sqref="W1758" xr:uid="{00000000-0002-0000-0F00-000074000000}">
      <formula1>INDIRECT($U$1758)</formula1>
    </dataValidation>
    <dataValidation type="list" allowBlank="1" showInputMessage="1" showErrorMessage="1" error="Please use the dropdown." sqref="W1777" xr:uid="{00000000-0002-0000-0F00-000075000000}">
      <formula1>INDIRECT($U$1777)</formula1>
    </dataValidation>
    <dataValidation type="list" allowBlank="1" showInputMessage="1" showErrorMessage="1" error="Please use the dropdown." sqref="W1795" xr:uid="{00000000-0002-0000-0F00-000076000000}">
      <formula1>INDIRECT($U$1795)</formula1>
    </dataValidation>
    <dataValidation type="list" allowBlank="1" showInputMessage="1" showErrorMessage="1" error="Please use the dropdown." sqref="W1799" xr:uid="{00000000-0002-0000-0F00-000077000000}">
      <formula1>INDIRECT($U$1799)</formula1>
    </dataValidation>
    <dataValidation type="list" allowBlank="1" showInputMessage="1" showErrorMessage="1" error="Please use the dropdown." sqref="W1604" xr:uid="{00000000-0002-0000-0F00-000078000000}">
      <formula1>INDIRECT($U$1604)</formula1>
    </dataValidation>
    <dataValidation type="list" allowBlank="1" showInputMessage="1" showErrorMessage="1" error="Please use the dropdown." sqref="W1606" xr:uid="{00000000-0002-0000-0F00-000079000000}">
      <formula1>INDIRECT($U$1606)</formula1>
    </dataValidation>
    <dataValidation type="whole" allowBlank="1" showDropDown="1" showInputMessage="1" showErrorMessage="1" error="Enter a whole number" prompt="Enter number of fans" sqref="W1745 W1747" xr:uid="{00000000-0002-0000-0F00-00007A000000}">
      <formula1>0</formula1>
      <formula2>10</formula2>
    </dataValidation>
    <dataValidation type="list" allowBlank="1" showInputMessage="1" showErrorMessage="1" error="Please use the dropdown." sqref="W1496" xr:uid="{00000000-0002-0000-0F00-00007B000000}">
      <formula1>INDIRECT($U$1496)</formula1>
    </dataValidation>
    <dataValidation type="decimal" allowBlank="1" showDropDown="1" showInputMessage="1" showErrorMessage="1" prompt="Enter the ELR50" sqref="W838" xr:uid="{00000000-0002-0000-0F00-00007C000000}">
      <formula1>0</formula1>
      <formula2>1</formula2>
    </dataValidation>
  </dataValidations>
  <hyperlinks>
    <hyperlink ref="L388" location="'Figure 6(3)'!A1" display="See Figure 6(3)" xr:uid="{00000000-0004-0000-0F00-000000000000}"/>
    <hyperlink ref="L380" location="'Figure 6(3)'!A1" display="See Figure 6(3)" xr:uid="{00000000-0004-0000-0F00-000001000000}"/>
    <hyperlink ref="L467" location="'Table 602.1.12'!A1" display="See Table 602.1.12" xr:uid="{00000000-0004-0000-0F00-000002000000}"/>
    <hyperlink ref="L523" location="'Table 604.1'!A1" display="See Table 604.1" xr:uid="{00000000-0004-0000-0F00-000003000000}"/>
    <hyperlink ref="M668:M681" location="'Table 610.1.2.1'!A1" display="per Table 610.1.2.1           10 Max" xr:uid="{00000000-0004-0000-0F00-000004000000}"/>
    <hyperlink ref="M682:M705" location="'Table 610.1.2.2'!A1" display="'Table 610.1.2.2'!A1" xr:uid="{00000000-0004-0000-0F00-000005000000}"/>
    <hyperlink ref="L853" location="'Table 701.4.3.2(2)'!A1" display="See Table 701.4.3.2(2)" xr:uid="{00000000-0004-0000-0F00-000006000000}"/>
    <hyperlink ref="L945" location="'Table 703.2.1(a)'!A1" display="See Table 703.2.1(a)" xr:uid="{00000000-0004-0000-0F00-000007000000}"/>
    <hyperlink ref="M939:M944" location="'Table 703.2.1(b)'!A1" display="Per Table 703.2.1(b)" xr:uid="{00000000-0004-0000-0F00-000008000000}"/>
    <hyperlink ref="L1152" location="'Table 703.7.1(7)'!A1" display="See Table 703.7.1(7)" xr:uid="{00000000-0004-0000-0F00-000009000000}"/>
    <hyperlink ref="M946:M947" location="'Table 703.2.2'!A1" display="Per Table 703.2.2" xr:uid="{00000000-0004-0000-0F00-00000A000000}"/>
    <hyperlink ref="M951:M953" location="'Table 703.2.4'!A1" display="Per Table 703.2.4" xr:uid="{00000000-0004-0000-0F00-00000B000000}"/>
    <hyperlink ref="L961" location="'Table 703.2.5.1'!A1" display="See Table 703.2.5.1" xr:uid="{00000000-0004-0000-0F00-00000C000000}"/>
    <hyperlink ref="M970:M974" location="'Tables 703.2.5.2(a), (b) &amp; (c)'!A1" display="'Tables 703.2.5.2(a), (b) &amp; (c)'!A1" xr:uid="{00000000-0004-0000-0F00-00000D000000}"/>
    <hyperlink ref="L1409" location="'Table 801.1(1)'!A1" display="See Table 801.1(1)" xr:uid="{00000000-0004-0000-0F00-00000E000000}"/>
    <hyperlink ref="L1410" location="'Table 801.1(2)'!A1" display="See Table 801.1(2)" xr:uid="{00000000-0004-0000-0F00-00000F000000}"/>
    <hyperlink ref="L1680" location="'Table 901.9.1'!A1" display="See Table 901.9.1" xr:uid="{00000000-0004-0000-0F00-000010000000}"/>
    <hyperlink ref="L1685" location="'Table 901.9.2'!A1" display="See Table 901.9.2" xr:uid="{00000000-0004-0000-0F00-000011000000}"/>
    <hyperlink ref="L1704" location="'Table 901.10(3)'!A1" display="See Table 901.10(3)" xr:uid="{00000000-0004-0000-0F00-000012000000}"/>
  </hyperlinks>
  <pageMargins left="0.7" right="0.7" top="0.75" bottom="0.75" header="0.3" footer="0.3"/>
  <pageSetup scale="64" fitToHeight="0" orientation="portrait" r:id="rId1"/>
  <rowBreaks count="38" manualBreakCount="38">
    <brk id="65" min="8" max="22" man="1"/>
    <brk id="117" min="8" max="22" man="1"/>
    <brk id="173" max="16383" man="1"/>
    <brk id="215" max="16383" man="1"/>
    <brk id="262" max="16383" man="1"/>
    <brk id="308" max="16383" man="1"/>
    <brk id="345" max="16383" man="1"/>
    <brk id="414" max="16383" man="1"/>
    <brk id="477" max="16383" man="1"/>
    <brk id="499" max="16383" man="1"/>
    <brk id="569" max="16383" man="1"/>
    <brk id="636" max="16383" man="1"/>
    <brk id="705" max="16383" man="1"/>
    <brk id="771" max="16383" man="1"/>
    <brk id="814" max="16383" man="1"/>
    <brk id="880" max="16383" man="1"/>
    <brk id="898" max="16383" man="1"/>
    <brk id="917" max="16383" man="1"/>
    <brk id="985" max="16383" man="1"/>
    <brk id="1052" max="16383" man="1"/>
    <brk id="1116" max="16383" man="1"/>
    <brk id="1159" max="16383" man="1"/>
    <brk id="1211" max="16383" man="1"/>
    <brk id="1220" max="16383" man="1"/>
    <brk id="1272" max="16383" man="1"/>
    <brk id="1324" max="16383" man="1"/>
    <brk id="1394" max="16383" man="1"/>
    <brk id="1466" max="16383" man="1"/>
    <brk id="1531" max="16383" man="1"/>
    <brk id="1555" max="16383" man="1"/>
    <brk id="1614" max="16383" man="1"/>
    <brk id="1670" max="16383" man="1"/>
    <brk id="1721" max="16383" man="1"/>
    <brk id="1792" max="16383" man="1"/>
    <brk id="1826" max="16383" man="1"/>
    <brk id="1888" max="16383" man="1"/>
    <brk id="1940" max="16383" man="1"/>
    <brk id="19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5560" r:id="rId4" name="Check Box 200">
              <controlPr locked="0" defaultSize="0" autoFill="0" autoLine="0" autoPict="0">
                <anchor moveWithCells="1" sizeWithCells="1">
                  <from>
                    <xdr:col>22</xdr:col>
                    <xdr:colOff>0</xdr:colOff>
                    <xdr:row>13</xdr:row>
                    <xdr:rowOff>0</xdr:rowOff>
                  </from>
                  <to>
                    <xdr:col>22</xdr:col>
                    <xdr:colOff>182880</xdr:colOff>
                    <xdr:row>13</xdr:row>
                    <xdr:rowOff>182880</xdr:rowOff>
                  </to>
                </anchor>
              </controlPr>
            </control>
          </mc:Choice>
        </mc:AlternateContent>
        <mc:AlternateContent xmlns:mc="http://schemas.openxmlformats.org/markup-compatibility/2006">
          <mc:Choice Requires="x14">
            <control shapeId="15561" r:id="rId5" name="Check Box 201">
              <controlPr locked="0" defaultSize="0" autoFill="0" autoLine="0" autoPict="0">
                <anchor moveWithCells="1" sizeWithCells="1">
                  <from>
                    <xdr:col>22</xdr:col>
                    <xdr:colOff>0</xdr:colOff>
                    <xdr:row>14</xdr:row>
                    <xdr:rowOff>0</xdr:rowOff>
                  </from>
                  <to>
                    <xdr:col>22</xdr:col>
                    <xdr:colOff>182880</xdr:colOff>
                    <xdr:row>14</xdr:row>
                    <xdr:rowOff>182880</xdr:rowOff>
                  </to>
                </anchor>
              </controlPr>
            </control>
          </mc:Choice>
        </mc:AlternateContent>
        <mc:AlternateContent xmlns:mc="http://schemas.openxmlformats.org/markup-compatibility/2006">
          <mc:Choice Requires="x14">
            <control shapeId="15562" r:id="rId6" name="Check Box 202">
              <controlPr locked="0" defaultSize="0" autoFill="0" autoLine="0" autoPict="0">
                <anchor moveWithCells="1" sizeWithCells="1">
                  <from>
                    <xdr:col>22</xdr:col>
                    <xdr:colOff>0</xdr:colOff>
                    <xdr:row>15</xdr:row>
                    <xdr:rowOff>0</xdr:rowOff>
                  </from>
                  <to>
                    <xdr:col>22</xdr:col>
                    <xdr:colOff>182880</xdr:colOff>
                    <xdr:row>15</xdr:row>
                    <xdr:rowOff>182880</xdr:rowOff>
                  </to>
                </anchor>
              </controlPr>
            </control>
          </mc:Choice>
        </mc:AlternateContent>
        <mc:AlternateContent xmlns:mc="http://schemas.openxmlformats.org/markup-compatibility/2006">
          <mc:Choice Requires="x14">
            <control shapeId="15563" r:id="rId7" name="Check Box 203">
              <controlPr locked="0" defaultSize="0" autoFill="0" autoLine="0" autoPict="0">
                <anchor moveWithCells="1" sizeWithCells="1">
                  <from>
                    <xdr:col>22</xdr:col>
                    <xdr:colOff>0</xdr:colOff>
                    <xdr:row>16</xdr:row>
                    <xdr:rowOff>0</xdr:rowOff>
                  </from>
                  <to>
                    <xdr:col>22</xdr:col>
                    <xdr:colOff>182880</xdr:colOff>
                    <xdr:row>16</xdr:row>
                    <xdr:rowOff>182880</xdr:rowOff>
                  </to>
                </anchor>
              </controlPr>
            </control>
          </mc:Choice>
        </mc:AlternateContent>
        <mc:AlternateContent xmlns:mc="http://schemas.openxmlformats.org/markup-compatibility/2006">
          <mc:Choice Requires="x14">
            <control shapeId="15564" r:id="rId8" name="Check Box 204">
              <controlPr locked="0" defaultSize="0" autoFill="0" autoLine="0" autoPict="0">
                <anchor moveWithCells="1" sizeWithCells="1">
                  <from>
                    <xdr:col>22</xdr:col>
                    <xdr:colOff>0</xdr:colOff>
                    <xdr:row>19</xdr:row>
                    <xdr:rowOff>0</xdr:rowOff>
                  </from>
                  <to>
                    <xdr:col>22</xdr:col>
                    <xdr:colOff>182880</xdr:colOff>
                    <xdr:row>19</xdr:row>
                    <xdr:rowOff>182880</xdr:rowOff>
                  </to>
                </anchor>
              </controlPr>
            </control>
          </mc:Choice>
        </mc:AlternateContent>
        <mc:AlternateContent xmlns:mc="http://schemas.openxmlformats.org/markup-compatibility/2006">
          <mc:Choice Requires="x14">
            <control shapeId="15565" r:id="rId9" name="Check Box 205">
              <controlPr locked="0" defaultSize="0" autoFill="0" autoLine="0" autoPict="0">
                <anchor moveWithCells="1" sizeWithCells="1">
                  <from>
                    <xdr:col>22</xdr:col>
                    <xdr:colOff>0</xdr:colOff>
                    <xdr:row>21</xdr:row>
                    <xdr:rowOff>0</xdr:rowOff>
                  </from>
                  <to>
                    <xdr:col>22</xdr:col>
                    <xdr:colOff>182880</xdr:colOff>
                    <xdr:row>21</xdr:row>
                    <xdr:rowOff>182880</xdr:rowOff>
                  </to>
                </anchor>
              </controlPr>
            </control>
          </mc:Choice>
        </mc:AlternateContent>
        <mc:AlternateContent xmlns:mc="http://schemas.openxmlformats.org/markup-compatibility/2006">
          <mc:Choice Requires="x14">
            <control shapeId="15566" r:id="rId10" name="Check Box 206">
              <controlPr locked="0" defaultSize="0" autoFill="0" autoLine="0" autoPict="0">
                <anchor moveWithCells="1" sizeWithCells="1">
                  <from>
                    <xdr:col>22</xdr:col>
                    <xdr:colOff>0</xdr:colOff>
                    <xdr:row>23</xdr:row>
                    <xdr:rowOff>0</xdr:rowOff>
                  </from>
                  <to>
                    <xdr:col>22</xdr:col>
                    <xdr:colOff>182880</xdr:colOff>
                    <xdr:row>23</xdr:row>
                    <xdr:rowOff>182880</xdr:rowOff>
                  </to>
                </anchor>
              </controlPr>
            </control>
          </mc:Choice>
        </mc:AlternateContent>
        <mc:AlternateContent xmlns:mc="http://schemas.openxmlformats.org/markup-compatibility/2006">
          <mc:Choice Requires="x14">
            <control shapeId="15567" r:id="rId11" name="Check Box 207">
              <controlPr locked="0" defaultSize="0" autoFill="0" autoLine="0" autoPict="0">
                <anchor moveWithCells="1" sizeWithCells="1">
                  <from>
                    <xdr:col>22</xdr:col>
                    <xdr:colOff>0</xdr:colOff>
                    <xdr:row>25</xdr:row>
                    <xdr:rowOff>0</xdr:rowOff>
                  </from>
                  <to>
                    <xdr:col>22</xdr:col>
                    <xdr:colOff>182880</xdr:colOff>
                    <xdr:row>25</xdr:row>
                    <xdr:rowOff>182880</xdr:rowOff>
                  </to>
                </anchor>
              </controlPr>
            </control>
          </mc:Choice>
        </mc:AlternateContent>
        <mc:AlternateContent xmlns:mc="http://schemas.openxmlformats.org/markup-compatibility/2006">
          <mc:Choice Requires="x14">
            <control shapeId="15568" r:id="rId12" name="Check Box 208">
              <controlPr locked="0" defaultSize="0" autoFill="0" autoLine="0" autoPict="0">
                <anchor moveWithCells="1" sizeWithCells="1">
                  <from>
                    <xdr:col>22</xdr:col>
                    <xdr:colOff>0</xdr:colOff>
                    <xdr:row>34</xdr:row>
                    <xdr:rowOff>0</xdr:rowOff>
                  </from>
                  <to>
                    <xdr:col>22</xdr:col>
                    <xdr:colOff>182880</xdr:colOff>
                    <xdr:row>34</xdr:row>
                    <xdr:rowOff>182880</xdr:rowOff>
                  </to>
                </anchor>
              </controlPr>
            </control>
          </mc:Choice>
        </mc:AlternateContent>
        <mc:AlternateContent xmlns:mc="http://schemas.openxmlformats.org/markup-compatibility/2006">
          <mc:Choice Requires="x14">
            <control shapeId="15569" r:id="rId13" name="Check Box 209">
              <controlPr locked="0" defaultSize="0" autoFill="0" autoLine="0" autoPict="0">
                <anchor moveWithCells="1" sizeWithCells="1">
                  <from>
                    <xdr:col>22</xdr:col>
                    <xdr:colOff>0</xdr:colOff>
                    <xdr:row>43</xdr:row>
                    <xdr:rowOff>0</xdr:rowOff>
                  </from>
                  <to>
                    <xdr:col>22</xdr:col>
                    <xdr:colOff>182880</xdr:colOff>
                    <xdr:row>43</xdr:row>
                    <xdr:rowOff>182880</xdr:rowOff>
                  </to>
                </anchor>
              </controlPr>
            </control>
          </mc:Choice>
        </mc:AlternateContent>
        <mc:AlternateContent xmlns:mc="http://schemas.openxmlformats.org/markup-compatibility/2006">
          <mc:Choice Requires="x14">
            <control shapeId="15570" r:id="rId14" name="Check Box 210">
              <controlPr locked="0" defaultSize="0" autoFill="0" autoLine="0" autoPict="0">
                <anchor moveWithCells="1" sizeWithCells="1">
                  <from>
                    <xdr:col>22</xdr:col>
                    <xdr:colOff>0</xdr:colOff>
                    <xdr:row>54</xdr:row>
                    <xdr:rowOff>0</xdr:rowOff>
                  </from>
                  <to>
                    <xdr:col>22</xdr:col>
                    <xdr:colOff>182880</xdr:colOff>
                    <xdr:row>54</xdr:row>
                    <xdr:rowOff>182880</xdr:rowOff>
                  </to>
                </anchor>
              </controlPr>
            </control>
          </mc:Choice>
        </mc:AlternateContent>
        <mc:AlternateContent xmlns:mc="http://schemas.openxmlformats.org/markup-compatibility/2006">
          <mc:Choice Requires="x14">
            <control shapeId="15571" r:id="rId15" name="Check Box 211">
              <controlPr locked="0" defaultSize="0" autoFill="0" autoLine="0" autoPict="0">
                <anchor moveWithCells="1" sizeWithCells="1">
                  <from>
                    <xdr:col>22</xdr:col>
                    <xdr:colOff>0</xdr:colOff>
                    <xdr:row>55</xdr:row>
                    <xdr:rowOff>0</xdr:rowOff>
                  </from>
                  <to>
                    <xdr:col>22</xdr:col>
                    <xdr:colOff>182880</xdr:colOff>
                    <xdr:row>55</xdr:row>
                    <xdr:rowOff>182880</xdr:rowOff>
                  </to>
                </anchor>
              </controlPr>
            </control>
          </mc:Choice>
        </mc:AlternateContent>
        <mc:AlternateContent xmlns:mc="http://schemas.openxmlformats.org/markup-compatibility/2006">
          <mc:Choice Requires="x14">
            <control shapeId="15572" r:id="rId16" name="Check Box 212">
              <controlPr locked="0" defaultSize="0" autoFill="0" autoLine="0" autoPict="0">
                <anchor moveWithCells="1" sizeWithCells="1">
                  <from>
                    <xdr:col>22</xdr:col>
                    <xdr:colOff>0</xdr:colOff>
                    <xdr:row>57</xdr:row>
                    <xdr:rowOff>0</xdr:rowOff>
                  </from>
                  <to>
                    <xdr:col>22</xdr:col>
                    <xdr:colOff>182880</xdr:colOff>
                    <xdr:row>57</xdr:row>
                    <xdr:rowOff>182880</xdr:rowOff>
                  </to>
                </anchor>
              </controlPr>
            </control>
          </mc:Choice>
        </mc:AlternateContent>
        <mc:AlternateContent xmlns:mc="http://schemas.openxmlformats.org/markup-compatibility/2006">
          <mc:Choice Requires="x14">
            <control shapeId="15573" r:id="rId17" name="Check Box 213">
              <controlPr locked="0" defaultSize="0" autoFill="0" autoLine="0" autoPict="0">
                <anchor moveWithCells="1" sizeWithCells="1">
                  <from>
                    <xdr:col>22</xdr:col>
                    <xdr:colOff>0</xdr:colOff>
                    <xdr:row>59</xdr:row>
                    <xdr:rowOff>0</xdr:rowOff>
                  </from>
                  <to>
                    <xdr:col>22</xdr:col>
                    <xdr:colOff>182880</xdr:colOff>
                    <xdr:row>59</xdr:row>
                    <xdr:rowOff>182880</xdr:rowOff>
                  </to>
                </anchor>
              </controlPr>
            </control>
          </mc:Choice>
        </mc:AlternateContent>
        <mc:AlternateContent xmlns:mc="http://schemas.openxmlformats.org/markup-compatibility/2006">
          <mc:Choice Requires="x14">
            <control shapeId="15574" r:id="rId18" name="Check Box 214">
              <controlPr locked="0" defaultSize="0" autoFill="0" autoLine="0" autoPict="0">
                <anchor moveWithCells="1" sizeWithCells="1">
                  <from>
                    <xdr:col>22</xdr:col>
                    <xdr:colOff>0</xdr:colOff>
                    <xdr:row>60</xdr:row>
                    <xdr:rowOff>0</xdr:rowOff>
                  </from>
                  <to>
                    <xdr:col>22</xdr:col>
                    <xdr:colOff>182880</xdr:colOff>
                    <xdr:row>60</xdr:row>
                    <xdr:rowOff>182880</xdr:rowOff>
                  </to>
                </anchor>
              </controlPr>
            </control>
          </mc:Choice>
        </mc:AlternateContent>
        <mc:AlternateContent xmlns:mc="http://schemas.openxmlformats.org/markup-compatibility/2006">
          <mc:Choice Requires="x14">
            <control shapeId="15575" r:id="rId19" name="Check Box 215">
              <controlPr locked="0" defaultSize="0" autoFill="0" autoLine="0" autoPict="0">
                <anchor moveWithCells="1" sizeWithCells="1">
                  <from>
                    <xdr:col>22</xdr:col>
                    <xdr:colOff>0</xdr:colOff>
                    <xdr:row>61</xdr:row>
                    <xdr:rowOff>0</xdr:rowOff>
                  </from>
                  <to>
                    <xdr:col>22</xdr:col>
                    <xdr:colOff>182880</xdr:colOff>
                    <xdr:row>61</xdr:row>
                    <xdr:rowOff>182880</xdr:rowOff>
                  </to>
                </anchor>
              </controlPr>
            </control>
          </mc:Choice>
        </mc:AlternateContent>
        <mc:AlternateContent xmlns:mc="http://schemas.openxmlformats.org/markup-compatibility/2006">
          <mc:Choice Requires="x14">
            <control shapeId="15576" r:id="rId20" name="Check Box 216">
              <controlPr locked="0" defaultSize="0" autoFill="0" autoLine="0" autoPict="0">
                <anchor moveWithCells="1" sizeWithCells="1">
                  <from>
                    <xdr:col>22</xdr:col>
                    <xdr:colOff>0</xdr:colOff>
                    <xdr:row>63</xdr:row>
                    <xdr:rowOff>0</xdr:rowOff>
                  </from>
                  <to>
                    <xdr:col>22</xdr:col>
                    <xdr:colOff>182880</xdr:colOff>
                    <xdr:row>63</xdr:row>
                    <xdr:rowOff>182880</xdr:rowOff>
                  </to>
                </anchor>
              </controlPr>
            </control>
          </mc:Choice>
        </mc:AlternateContent>
        <mc:AlternateContent xmlns:mc="http://schemas.openxmlformats.org/markup-compatibility/2006">
          <mc:Choice Requires="x14">
            <control shapeId="15577" r:id="rId21" name="Check Box 217">
              <controlPr locked="0" defaultSize="0" autoFill="0" autoLine="0" autoPict="0">
                <anchor moveWithCells="1" sizeWithCells="1">
                  <from>
                    <xdr:col>22</xdr:col>
                    <xdr:colOff>0</xdr:colOff>
                    <xdr:row>67</xdr:row>
                    <xdr:rowOff>0</xdr:rowOff>
                  </from>
                  <to>
                    <xdr:col>22</xdr:col>
                    <xdr:colOff>182880</xdr:colOff>
                    <xdr:row>67</xdr:row>
                    <xdr:rowOff>182880</xdr:rowOff>
                  </to>
                </anchor>
              </controlPr>
            </control>
          </mc:Choice>
        </mc:AlternateContent>
        <mc:AlternateContent xmlns:mc="http://schemas.openxmlformats.org/markup-compatibility/2006">
          <mc:Choice Requires="x14">
            <control shapeId="15578" r:id="rId22" name="Check Box 218">
              <controlPr locked="0" defaultSize="0" autoFill="0" autoLine="0" autoPict="0">
                <anchor moveWithCells="1" sizeWithCells="1">
                  <from>
                    <xdr:col>22</xdr:col>
                    <xdr:colOff>0</xdr:colOff>
                    <xdr:row>68</xdr:row>
                    <xdr:rowOff>0</xdr:rowOff>
                  </from>
                  <to>
                    <xdr:col>22</xdr:col>
                    <xdr:colOff>182880</xdr:colOff>
                    <xdr:row>68</xdr:row>
                    <xdr:rowOff>182880</xdr:rowOff>
                  </to>
                </anchor>
              </controlPr>
            </control>
          </mc:Choice>
        </mc:AlternateContent>
        <mc:AlternateContent xmlns:mc="http://schemas.openxmlformats.org/markup-compatibility/2006">
          <mc:Choice Requires="x14">
            <control shapeId="15579" r:id="rId23" name="Check Box 219">
              <controlPr locked="0" defaultSize="0" autoFill="0" autoLine="0" autoPict="0">
                <anchor moveWithCells="1" sizeWithCells="1">
                  <from>
                    <xdr:col>22</xdr:col>
                    <xdr:colOff>0</xdr:colOff>
                    <xdr:row>75</xdr:row>
                    <xdr:rowOff>0</xdr:rowOff>
                  </from>
                  <to>
                    <xdr:col>22</xdr:col>
                    <xdr:colOff>182880</xdr:colOff>
                    <xdr:row>75</xdr:row>
                    <xdr:rowOff>182880</xdr:rowOff>
                  </to>
                </anchor>
              </controlPr>
            </control>
          </mc:Choice>
        </mc:AlternateContent>
        <mc:AlternateContent xmlns:mc="http://schemas.openxmlformats.org/markup-compatibility/2006">
          <mc:Choice Requires="x14">
            <control shapeId="15580" r:id="rId24" name="Check Box 220">
              <controlPr locked="0" defaultSize="0" autoFill="0" autoLine="0" autoPict="0">
                <anchor moveWithCells="1" sizeWithCells="1">
                  <from>
                    <xdr:col>22</xdr:col>
                    <xdr:colOff>0</xdr:colOff>
                    <xdr:row>77</xdr:row>
                    <xdr:rowOff>0</xdr:rowOff>
                  </from>
                  <to>
                    <xdr:col>22</xdr:col>
                    <xdr:colOff>182880</xdr:colOff>
                    <xdr:row>77</xdr:row>
                    <xdr:rowOff>182880</xdr:rowOff>
                  </to>
                </anchor>
              </controlPr>
            </control>
          </mc:Choice>
        </mc:AlternateContent>
        <mc:AlternateContent xmlns:mc="http://schemas.openxmlformats.org/markup-compatibility/2006">
          <mc:Choice Requires="x14">
            <control shapeId="15581" r:id="rId25" name="Check Box 221">
              <controlPr locked="0" defaultSize="0" autoFill="0" autoLine="0" autoPict="0">
                <anchor moveWithCells="1" sizeWithCells="1">
                  <from>
                    <xdr:col>22</xdr:col>
                    <xdr:colOff>0</xdr:colOff>
                    <xdr:row>81</xdr:row>
                    <xdr:rowOff>0</xdr:rowOff>
                  </from>
                  <to>
                    <xdr:col>22</xdr:col>
                    <xdr:colOff>182880</xdr:colOff>
                    <xdr:row>81</xdr:row>
                    <xdr:rowOff>182880</xdr:rowOff>
                  </to>
                </anchor>
              </controlPr>
            </control>
          </mc:Choice>
        </mc:AlternateContent>
        <mc:AlternateContent xmlns:mc="http://schemas.openxmlformats.org/markup-compatibility/2006">
          <mc:Choice Requires="x14">
            <control shapeId="15582" r:id="rId26" name="Check Box 222">
              <controlPr locked="0" defaultSize="0" autoFill="0" autoLine="0" autoPict="0">
                <anchor moveWithCells="1" sizeWithCells="1">
                  <from>
                    <xdr:col>22</xdr:col>
                    <xdr:colOff>0</xdr:colOff>
                    <xdr:row>85</xdr:row>
                    <xdr:rowOff>0</xdr:rowOff>
                  </from>
                  <to>
                    <xdr:col>22</xdr:col>
                    <xdr:colOff>182880</xdr:colOff>
                    <xdr:row>85</xdr:row>
                    <xdr:rowOff>182880</xdr:rowOff>
                  </to>
                </anchor>
              </controlPr>
            </control>
          </mc:Choice>
        </mc:AlternateContent>
        <mc:AlternateContent xmlns:mc="http://schemas.openxmlformats.org/markup-compatibility/2006">
          <mc:Choice Requires="x14">
            <control shapeId="15583" r:id="rId27" name="Check Box 223">
              <controlPr locked="0" defaultSize="0" autoFill="0" autoLine="0" autoPict="0">
                <anchor moveWithCells="1" sizeWithCells="1">
                  <from>
                    <xdr:col>22</xdr:col>
                    <xdr:colOff>0</xdr:colOff>
                    <xdr:row>86</xdr:row>
                    <xdr:rowOff>0</xdr:rowOff>
                  </from>
                  <to>
                    <xdr:col>22</xdr:col>
                    <xdr:colOff>182880</xdr:colOff>
                    <xdr:row>86</xdr:row>
                    <xdr:rowOff>182880</xdr:rowOff>
                  </to>
                </anchor>
              </controlPr>
            </control>
          </mc:Choice>
        </mc:AlternateContent>
        <mc:AlternateContent xmlns:mc="http://schemas.openxmlformats.org/markup-compatibility/2006">
          <mc:Choice Requires="x14">
            <control shapeId="15584" r:id="rId28" name="Check Box 224">
              <controlPr locked="0" defaultSize="0" autoFill="0" autoLine="0" autoPict="0">
                <anchor moveWithCells="1" sizeWithCells="1">
                  <from>
                    <xdr:col>22</xdr:col>
                    <xdr:colOff>0</xdr:colOff>
                    <xdr:row>88</xdr:row>
                    <xdr:rowOff>0</xdr:rowOff>
                  </from>
                  <to>
                    <xdr:col>22</xdr:col>
                    <xdr:colOff>182880</xdr:colOff>
                    <xdr:row>88</xdr:row>
                    <xdr:rowOff>182880</xdr:rowOff>
                  </to>
                </anchor>
              </controlPr>
            </control>
          </mc:Choice>
        </mc:AlternateContent>
        <mc:AlternateContent xmlns:mc="http://schemas.openxmlformats.org/markup-compatibility/2006">
          <mc:Choice Requires="x14">
            <control shapeId="15585" r:id="rId29" name="Check Box 225">
              <controlPr locked="0" defaultSize="0" autoFill="0" autoLine="0" autoPict="0">
                <anchor moveWithCells="1" sizeWithCells="1">
                  <from>
                    <xdr:col>22</xdr:col>
                    <xdr:colOff>0</xdr:colOff>
                    <xdr:row>89</xdr:row>
                    <xdr:rowOff>0</xdr:rowOff>
                  </from>
                  <to>
                    <xdr:col>22</xdr:col>
                    <xdr:colOff>182880</xdr:colOff>
                    <xdr:row>89</xdr:row>
                    <xdr:rowOff>182880</xdr:rowOff>
                  </to>
                </anchor>
              </controlPr>
            </control>
          </mc:Choice>
        </mc:AlternateContent>
        <mc:AlternateContent xmlns:mc="http://schemas.openxmlformats.org/markup-compatibility/2006">
          <mc:Choice Requires="x14">
            <control shapeId="15586" r:id="rId30" name="Check Box 226">
              <controlPr locked="0" defaultSize="0" autoFill="0" autoLine="0" autoPict="0">
                <anchor moveWithCells="1" sizeWithCells="1">
                  <from>
                    <xdr:col>22</xdr:col>
                    <xdr:colOff>0</xdr:colOff>
                    <xdr:row>90</xdr:row>
                    <xdr:rowOff>0</xdr:rowOff>
                  </from>
                  <to>
                    <xdr:col>22</xdr:col>
                    <xdr:colOff>182880</xdr:colOff>
                    <xdr:row>90</xdr:row>
                    <xdr:rowOff>182880</xdr:rowOff>
                  </to>
                </anchor>
              </controlPr>
            </control>
          </mc:Choice>
        </mc:AlternateContent>
        <mc:AlternateContent xmlns:mc="http://schemas.openxmlformats.org/markup-compatibility/2006">
          <mc:Choice Requires="x14">
            <control shapeId="15587" r:id="rId31" name="Check Box 227">
              <controlPr locked="0" defaultSize="0" autoFill="0" autoLine="0" autoPict="0">
                <anchor moveWithCells="1" sizeWithCells="1">
                  <from>
                    <xdr:col>22</xdr:col>
                    <xdr:colOff>0</xdr:colOff>
                    <xdr:row>98</xdr:row>
                    <xdr:rowOff>0</xdr:rowOff>
                  </from>
                  <to>
                    <xdr:col>22</xdr:col>
                    <xdr:colOff>182880</xdr:colOff>
                    <xdr:row>98</xdr:row>
                    <xdr:rowOff>182880</xdr:rowOff>
                  </to>
                </anchor>
              </controlPr>
            </control>
          </mc:Choice>
        </mc:AlternateContent>
        <mc:AlternateContent xmlns:mc="http://schemas.openxmlformats.org/markup-compatibility/2006">
          <mc:Choice Requires="x14">
            <control shapeId="15588" r:id="rId32" name="Check Box 228">
              <controlPr locked="0" defaultSize="0" autoFill="0" autoLine="0" autoPict="0">
                <anchor moveWithCells="1" sizeWithCells="1">
                  <from>
                    <xdr:col>22</xdr:col>
                    <xdr:colOff>0</xdr:colOff>
                    <xdr:row>101</xdr:row>
                    <xdr:rowOff>0</xdr:rowOff>
                  </from>
                  <to>
                    <xdr:col>22</xdr:col>
                    <xdr:colOff>182880</xdr:colOff>
                    <xdr:row>101</xdr:row>
                    <xdr:rowOff>182880</xdr:rowOff>
                  </to>
                </anchor>
              </controlPr>
            </control>
          </mc:Choice>
        </mc:AlternateContent>
        <mc:AlternateContent xmlns:mc="http://schemas.openxmlformats.org/markup-compatibility/2006">
          <mc:Choice Requires="x14">
            <control shapeId="15589" r:id="rId33" name="Check Box 229">
              <controlPr locked="0" defaultSize="0" autoFill="0" autoLine="0" autoPict="0">
                <anchor moveWithCells="1" sizeWithCells="1">
                  <from>
                    <xdr:col>22</xdr:col>
                    <xdr:colOff>0</xdr:colOff>
                    <xdr:row>127</xdr:row>
                    <xdr:rowOff>0</xdr:rowOff>
                  </from>
                  <to>
                    <xdr:col>22</xdr:col>
                    <xdr:colOff>182880</xdr:colOff>
                    <xdr:row>127</xdr:row>
                    <xdr:rowOff>182880</xdr:rowOff>
                  </to>
                </anchor>
              </controlPr>
            </control>
          </mc:Choice>
        </mc:AlternateContent>
        <mc:AlternateContent xmlns:mc="http://schemas.openxmlformats.org/markup-compatibility/2006">
          <mc:Choice Requires="x14">
            <control shapeId="15590" r:id="rId34" name="Check Box 230">
              <controlPr locked="0" defaultSize="0" autoFill="0" autoLine="0" autoPict="0">
                <anchor moveWithCells="1" sizeWithCells="1">
                  <from>
                    <xdr:col>22</xdr:col>
                    <xdr:colOff>0</xdr:colOff>
                    <xdr:row>129</xdr:row>
                    <xdr:rowOff>0</xdr:rowOff>
                  </from>
                  <to>
                    <xdr:col>22</xdr:col>
                    <xdr:colOff>182880</xdr:colOff>
                    <xdr:row>129</xdr:row>
                    <xdr:rowOff>182880</xdr:rowOff>
                  </to>
                </anchor>
              </controlPr>
            </control>
          </mc:Choice>
        </mc:AlternateContent>
        <mc:AlternateContent xmlns:mc="http://schemas.openxmlformats.org/markup-compatibility/2006">
          <mc:Choice Requires="x14">
            <control shapeId="15591" r:id="rId35" name="Check Box 231">
              <controlPr locked="0" defaultSize="0" autoFill="0" autoLine="0" autoPict="0">
                <anchor moveWithCells="1" sizeWithCells="1">
                  <from>
                    <xdr:col>22</xdr:col>
                    <xdr:colOff>0</xdr:colOff>
                    <xdr:row>131</xdr:row>
                    <xdr:rowOff>0</xdr:rowOff>
                  </from>
                  <to>
                    <xdr:col>22</xdr:col>
                    <xdr:colOff>182880</xdr:colOff>
                    <xdr:row>131</xdr:row>
                    <xdr:rowOff>182880</xdr:rowOff>
                  </to>
                </anchor>
              </controlPr>
            </control>
          </mc:Choice>
        </mc:AlternateContent>
        <mc:AlternateContent xmlns:mc="http://schemas.openxmlformats.org/markup-compatibility/2006">
          <mc:Choice Requires="x14">
            <control shapeId="15592" r:id="rId36" name="Check Box 232">
              <controlPr locked="0" defaultSize="0" autoFill="0" autoLine="0" autoPict="0">
                <anchor moveWithCells="1" sizeWithCells="1">
                  <from>
                    <xdr:col>22</xdr:col>
                    <xdr:colOff>0</xdr:colOff>
                    <xdr:row>138</xdr:row>
                    <xdr:rowOff>0</xdr:rowOff>
                  </from>
                  <to>
                    <xdr:col>22</xdr:col>
                    <xdr:colOff>182880</xdr:colOff>
                    <xdr:row>138</xdr:row>
                    <xdr:rowOff>182880</xdr:rowOff>
                  </to>
                </anchor>
              </controlPr>
            </control>
          </mc:Choice>
        </mc:AlternateContent>
        <mc:AlternateContent xmlns:mc="http://schemas.openxmlformats.org/markup-compatibility/2006">
          <mc:Choice Requires="x14">
            <control shapeId="15593" r:id="rId37" name="Check Box 233">
              <controlPr locked="0" defaultSize="0" autoFill="0" autoLine="0" autoPict="0">
                <anchor moveWithCells="1" sizeWithCells="1">
                  <from>
                    <xdr:col>22</xdr:col>
                    <xdr:colOff>0</xdr:colOff>
                    <xdr:row>139</xdr:row>
                    <xdr:rowOff>0</xdr:rowOff>
                  </from>
                  <to>
                    <xdr:col>22</xdr:col>
                    <xdr:colOff>182880</xdr:colOff>
                    <xdr:row>139</xdr:row>
                    <xdr:rowOff>182880</xdr:rowOff>
                  </to>
                </anchor>
              </controlPr>
            </control>
          </mc:Choice>
        </mc:AlternateContent>
        <mc:AlternateContent xmlns:mc="http://schemas.openxmlformats.org/markup-compatibility/2006">
          <mc:Choice Requires="x14">
            <control shapeId="15594" r:id="rId38" name="Check Box 234">
              <controlPr locked="0" defaultSize="0" autoFill="0" autoLine="0" autoPict="0">
                <anchor moveWithCells="1" sizeWithCells="1">
                  <from>
                    <xdr:col>22</xdr:col>
                    <xdr:colOff>0</xdr:colOff>
                    <xdr:row>144</xdr:row>
                    <xdr:rowOff>0</xdr:rowOff>
                  </from>
                  <to>
                    <xdr:col>22</xdr:col>
                    <xdr:colOff>182880</xdr:colOff>
                    <xdr:row>144</xdr:row>
                    <xdr:rowOff>182880</xdr:rowOff>
                  </to>
                </anchor>
              </controlPr>
            </control>
          </mc:Choice>
        </mc:AlternateContent>
        <mc:AlternateContent xmlns:mc="http://schemas.openxmlformats.org/markup-compatibility/2006">
          <mc:Choice Requires="x14">
            <control shapeId="15595" r:id="rId39" name="Check Box 235">
              <controlPr locked="0" defaultSize="0" autoFill="0" autoLine="0" autoPict="0">
                <anchor moveWithCells="1" sizeWithCells="1">
                  <from>
                    <xdr:col>22</xdr:col>
                    <xdr:colOff>0</xdr:colOff>
                    <xdr:row>146</xdr:row>
                    <xdr:rowOff>0</xdr:rowOff>
                  </from>
                  <to>
                    <xdr:col>22</xdr:col>
                    <xdr:colOff>182880</xdr:colOff>
                    <xdr:row>146</xdr:row>
                    <xdr:rowOff>182880</xdr:rowOff>
                  </to>
                </anchor>
              </controlPr>
            </control>
          </mc:Choice>
        </mc:AlternateContent>
        <mc:AlternateContent xmlns:mc="http://schemas.openxmlformats.org/markup-compatibility/2006">
          <mc:Choice Requires="x14">
            <control shapeId="15596" r:id="rId40" name="Check Box 236">
              <controlPr locked="0" defaultSize="0" autoFill="0" autoLine="0" autoPict="0">
                <anchor moveWithCells="1" sizeWithCells="1">
                  <from>
                    <xdr:col>22</xdr:col>
                    <xdr:colOff>0</xdr:colOff>
                    <xdr:row>149</xdr:row>
                    <xdr:rowOff>0</xdr:rowOff>
                  </from>
                  <to>
                    <xdr:col>22</xdr:col>
                    <xdr:colOff>182880</xdr:colOff>
                    <xdr:row>149</xdr:row>
                    <xdr:rowOff>182880</xdr:rowOff>
                  </to>
                </anchor>
              </controlPr>
            </control>
          </mc:Choice>
        </mc:AlternateContent>
        <mc:AlternateContent xmlns:mc="http://schemas.openxmlformats.org/markup-compatibility/2006">
          <mc:Choice Requires="x14">
            <control shapeId="15597" r:id="rId41" name="Check Box 237">
              <controlPr locked="0" defaultSize="0" autoFill="0" autoLine="0" autoPict="0">
                <anchor moveWithCells="1" sizeWithCells="1">
                  <from>
                    <xdr:col>22</xdr:col>
                    <xdr:colOff>0</xdr:colOff>
                    <xdr:row>151</xdr:row>
                    <xdr:rowOff>0</xdr:rowOff>
                  </from>
                  <to>
                    <xdr:col>22</xdr:col>
                    <xdr:colOff>182880</xdr:colOff>
                    <xdr:row>151</xdr:row>
                    <xdr:rowOff>182880</xdr:rowOff>
                  </to>
                </anchor>
              </controlPr>
            </control>
          </mc:Choice>
        </mc:AlternateContent>
        <mc:AlternateContent xmlns:mc="http://schemas.openxmlformats.org/markup-compatibility/2006">
          <mc:Choice Requires="x14">
            <control shapeId="15598" r:id="rId42" name="Check Box 238">
              <controlPr locked="0" defaultSize="0" autoFill="0" autoLine="0" autoPict="0">
                <anchor moveWithCells="1" sizeWithCells="1">
                  <from>
                    <xdr:col>22</xdr:col>
                    <xdr:colOff>0</xdr:colOff>
                    <xdr:row>153</xdr:row>
                    <xdr:rowOff>0</xdr:rowOff>
                  </from>
                  <to>
                    <xdr:col>22</xdr:col>
                    <xdr:colOff>182880</xdr:colOff>
                    <xdr:row>153</xdr:row>
                    <xdr:rowOff>182880</xdr:rowOff>
                  </to>
                </anchor>
              </controlPr>
            </control>
          </mc:Choice>
        </mc:AlternateContent>
        <mc:AlternateContent xmlns:mc="http://schemas.openxmlformats.org/markup-compatibility/2006">
          <mc:Choice Requires="x14">
            <control shapeId="15599" r:id="rId43" name="Check Box 239">
              <controlPr locked="0" defaultSize="0" autoFill="0" autoLine="0" autoPict="0">
                <anchor moveWithCells="1" sizeWithCells="1">
                  <from>
                    <xdr:col>22</xdr:col>
                    <xdr:colOff>0</xdr:colOff>
                    <xdr:row>157</xdr:row>
                    <xdr:rowOff>0</xdr:rowOff>
                  </from>
                  <to>
                    <xdr:col>22</xdr:col>
                    <xdr:colOff>182880</xdr:colOff>
                    <xdr:row>157</xdr:row>
                    <xdr:rowOff>182880</xdr:rowOff>
                  </to>
                </anchor>
              </controlPr>
            </control>
          </mc:Choice>
        </mc:AlternateContent>
        <mc:AlternateContent xmlns:mc="http://schemas.openxmlformats.org/markup-compatibility/2006">
          <mc:Choice Requires="x14">
            <control shapeId="15600" r:id="rId44" name="Check Box 240">
              <controlPr locked="0" defaultSize="0" autoFill="0" autoLine="0" autoPict="0">
                <anchor moveWithCells="1" sizeWithCells="1">
                  <from>
                    <xdr:col>22</xdr:col>
                    <xdr:colOff>0</xdr:colOff>
                    <xdr:row>158</xdr:row>
                    <xdr:rowOff>0</xdr:rowOff>
                  </from>
                  <to>
                    <xdr:col>22</xdr:col>
                    <xdr:colOff>182880</xdr:colOff>
                    <xdr:row>158</xdr:row>
                    <xdr:rowOff>182880</xdr:rowOff>
                  </to>
                </anchor>
              </controlPr>
            </control>
          </mc:Choice>
        </mc:AlternateContent>
        <mc:AlternateContent xmlns:mc="http://schemas.openxmlformats.org/markup-compatibility/2006">
          <mc:Choice Requires="x14">
            <control shapeId="15601" r:id="rId45" name="Check Box 241">
              <controlPr locked="0" defaultSize="0" autoFill="0" autoLine="0" autoPict="0">
                <anchor moveWithCells="1" sizeWithCells="1">
                  <from>
                    <xdr:col>22</xdr:col>
                    <xdr:colOff>0</xdr:colOff>
                    <xdr:row>159</xdr:row>
                    <xdr:rowOff>0</xdr:rowOff>
                  </from>
                  <to>
                    <xdr:col>22</xdr:col>
                    <xdr:colOff>182880</xdr:colOff>
                    <xdr:row>159</xdr:row>
                    <xdr:rowOff>182880</xdr:rowOff>
                  </to>
                </anchor>
              </controlPr>
            </control>
          </mc:Choice>
        </mc:AlternateContent>
        <mc:AlternateContent xmlns:mc="http://schemas.openxmlformats.org/markup-compatibility/2006">
          <mc:Choice Requires="x14">
            <control shapeId="15602" r:id="rId46" name="Check Box 242">
              <controlPr locked="0" defaultSize="0" autoFill="0" autoLine="0" autoPict="0">
                <anchor moveWithCells="1" sizeWithCells="1">
                  <from>
                    <xdr:col>22</xdr:col>
                    <xdr:colOff>0</xdr:colOff>
                    <xdr:row>161</xdr:row>
                    <xdr:rowOff>0</xdr:rowOff>
                  </from>
                  <to>
                    <xdr:col>22</xdr:col>
                    <xdr:colOff>182880</xdr:colOff>
                    <xdr:row>161</xdr:row>
                    <xdr:rowOff>182880</xdr:rowOff>
                  </to>
                </anchor>
              </controlPr>
            </control>
          </mc:Choice>
        </mc:AlternateContent>
        <mc:AlternateContent xmlns:mc="http://schemas.openxmlformats.org/markup-compatibility/2006">
          <mc:Choice Requires="x14">
            <control shapeId="15603" r:id="rId47" name="Check Box 243">
              <controlPr locked="0" defaultSize="0" autoFill="0" autoLine="0" autoPict="0">
                <anchor moveWithCells="1" sizeWithCells="1">
                  <from>
                    <xdr:col>22</xdr:col>
                    <xdr:colOff>0</xdr:colOff>
                    <xdr:row>164</xdr:row>
                    <xdr:rowOff>0</xdr:rowOff>
                  </from>
                  <to>
                    <xdr:col>22</xdr:col>
                    <xdr:colOff>182880</xdr:colOff>
                    <xdr:row>164</xdr:row>
                    <xdr:rowOff>182880</xdr:rowOff>
                  </to>
                </anchor>
              </controlPr>
            </control>
          </mc:Choice>
        </mc:AlternateContent>
        <mc:AlternateContent xmlns:mc="http://schemas.openxmlformats.org/markup-compatibility/2006">
          <mc:Choice Requires="x14">
            <control shapeId="15604" r:id="rId48" name="Check Box 244">
              <controlPr locked="0" defaultSize="0" autoFill="0" autoLine="0" autoPict="0">
                <anchor moveWithCells="1" sizeWithCells="1">
                  <from>
                    <xdr:col>22</xdr:col>
                    <xdr:colOff>0</xdr:colOff>
                    <xdr:row>166</xdr:row>
                    <xdr:rowOff>0</xdr:rowOff>
                  </from>
                  <to>
                    <xdr:col>22</xdr:col>
                    <xdr:colOff>182880</xdr:colOff>
                    <xdr:row>166</xdr:row>
                    <xdr:rowOff>182880</xdr:rowOff>
                  </to>
                </anchor>
              </controlPr>
            </control>
          </mc:Choice>
        </mc:AlternateContent>
        <mc:AlternateContent xmlns:mc="http://schemas.openxmlformats.org/markup-compatibility/2006">
          <mc:Choice Requires="x14">
            <control shapeId="15605" r:id="rId49" name="Check Box 245">
              <controlPr locked="0" defaultSize="0" autoFill="0" autoLine="0" autoPict="0">
                <anchor moveWithCells="1" sizeWithCells="1">
                  <from>
                    <xdr:col>22</xdr:col>
                    <xdr:colOff>0</xdr:colOff>
                    <xdr:row>176</xdr:row>
                    <xdr:rowOff>0</xdr:rowOff>
                  </from>
                  <to>
                    <xdr:col>22</xdr:col>
                    <xdr:colOff>182880</xdr:colOff>
                    <xdr:row>176</xdr:row>
                    <xdr:rowOff>182880</xdr:rowOff>
                  </to>
                </anchor>
              </controlPr>
            </control>
          </mc:Choice>
        </mc:AlternateContent>
        <mc:AlternateContent xmlns:mc="http://schemas.openxmlformats.org/markup-compatibility/2006">
          <mc:Choice Requires="x14">
            <control shapeId="15606" r:id="rId50" name="Check Box 246">
              <controlPr locked="0" defaultSize="0" autoFill="0" autoLine="0" autoPict="0">
                <anchor moveWithCells="1" sizeWithCells="1">
                  <from>
                    <xdr:col>22</xdr:col>
                    <xdr:colOff>0</xdr:colOff>
                    <xdr:row>183</xdr:row>
                    <xdr:rowOff>0</xdr:rowOff>
                  </from>
                  <to>
                    <xdr:col>22</xdr:col>
                    <xdr:colOff>182880</xdr:colOff>
                    <xdr:row>183</xdr:row>
                    <xdr:rowOff>182880</xdr:rowOff>
                  </to>
                </anchor>
              </controlPr>
            </control>
          </mc:Choice>
        </mc:AlternateContent>
        <mc:AlternateContent xmlns:mc="http://schemas.openxmlformats.org/markup-compatibility/2006">
          <mc:Choice Requires="x14">
            <control shapeId="15607" r:id="rId51" name="Check Box 247">
              <controlPr locked="0" defaultSize="0" autoFill="0" autoLine="0" autoPict="0">
                <anchor moveWithCells="1" sizeWithCells="1">
                  <from>
                    <xdr:col>22</xdr:col>
                    <xdr:colOff>0</xdr:colOff>
                    <xdr:row>184</xdr:row>
                    <xdr:rowOff>0</xdr:rowOff>
                  </from>
                  <to>
                    <xdr:col>22</xdr:col>
                    <xdr:colOff>182880</xdr:colOff>
                    <xdr:row>184</xdr:row>
                    <xdr:rowOff>182880</xdr:rowOff>
                  </to>
                </anchor>
              </controlPr>
            </control>
          </mc:Choice>
        </mc:AlternateContent>
        <mc:AlternateContent xmlns:mc="http://schemas.openxmlformats.org/markup-compatibility/2006">
          <mc:Choice Requires="x14">
            <control shapeId="15608" r:id="rId52" name="Check Box 248">
              <controlPr locked="0" defaultSize="0" autoFill="0" autoLine="0" autoPict="0">
                <anchor moveWithCells="1" sizeWithCells="1">
                  <from>
                    <xdr:col>22</xdr:col>
                    <xdr:colOff>0</xdr:colOff>
                    <xdr:row>186</xdr:row>
                    <xdr:rowOff>0</xdr:rowOff>
                  </from>
                  <to>
                    <xdr:col>22</xdr:col>
                    <xdr:colOff>182880</xdr:colOff>
                    <xdr:row>186</xdr:row>
                    <xdr:rowOff>182880</xdr:rowOff>
                  </to>
                </anchor>
              </controlPr>
            </control>
          </mc:Choice>
        </mc:AlternateContent>
        <mc:AlternateContent xmlns:mc="http://schemas.openxmlformats.org/markup-compatibility/2006">
          <mc:Choice Requires="x14">
            <control shapeId="15609" r:id="rId53" name="Check Box 249">
              <controlPr locked="0" defaultSize="0" autoFill="0" autoLine="0" autoPict="0">
                <anchor moveWithCells="1" sizeWithCells="1">
                  <from>
                    <xdr:col>22</xdr:col>
                    <xdr:colOff>0</xdr:colOff>
                    <xdr:row>191</xdr:row>
                    <xdr:rowOff>0</xdr:rowOff>
                  </from>
                  <to>
                    <xdr:col>22</xdr:col>
                    <xdr:colOff>182880</xdr:colOff>
                    <xdr:row>191</xdr:row>
                    <xdr:rowOff>182880</xdr:rowOff>
                  </to>
                </anchor>
              </controlPr>
            </control>
          </mc:Choice>
        </mc:AlternateContent>
        <mc:AlternateContent xmlns:mc="http://schemas.openxmlformats.org/markup-compatibility/2006">
          <mc:Choice Requires="x14">
            <control shapeId="15610" r:id="rId54" name="Check Box 250">
              <controlPr locked="0" defaultSize="0" autoFill="0" autoLine="0" autoPict="0">
                <anchor moveWithCells="1" sizeWithCells="1">
                  <from>
                    <xdr:col>22</xdr:col>
                    <xdr:colOff>0</xdr:colOff>
                    <xdr:row>193</xdr:row>
                    <xdr:rowOff>0</xdr:rowOff>
                  </from>
                  <to>
                    <xdr:col>22</xdr:col>
                    <xdr:colOff>182880</xdr:colOff>
                    <xdr:row>193</xdr:row>
                    <xdr:rowOff>182880</xdr:rowOff>
                  </to>
                </anchor>
              </controlPr>
            </control>
          </mc:Choice>
        </mc:AlternateContent>
        <mc:AlternateContent xmlns:mc="http://schemas.openxmlformats.org/markup-compatibility/2006">
          <mc:Choice Requires="x14">
            <control shapeId="15611" r:id="rId55" name="Check Box 251">
              <controlPr locked="0" defaultSize="0" autoFill="0" autoLine="0" autoPict="0">
                <anchor moveWithCells="1" sizeWithCells="1">
                  <from>
                    <xdr:col>22</xdr:col>
                    <xdr:colOff>0</xdr:colOff>
                    <xdr:row>194</xdr:row>
                    <xdr:rowOff>0</xdr:rowOff>
                  </from>
                  <to>
                    <xdr:col>22</xdr:col>
                    <xdr:colOff>182880</xdr:colOff>
                    <xdr:row>194</xdr:row>
                    <xdr:rowOff>182880</xdr:rowOff>
                  </to>
                </anchor>
              </controlPr>
            </control>
          </mc:Choice>
        </mc:AlternateContent>
        <mc:AlternateContent xmlns:mc="http://schemas.openxmlformats.org/markup-compatibility/2006">
          <mc:Choice Requires="x14">
            <control shapeId="15612" r:id="rId56" name="Check Box 252">
              <controlPr locked="0" defaultSize="0" autoFill="0" autoLine="0" autoPict="0">
                <anchor moveWithCells="1" sizeWithCells="1">
                  <from>
                    <xdr:col>22</xdr:col>
                    <xdr:colOff>0</xdr:colOff>
                    <xdr:row>196</xdr:row>
                    <xdr:rowOff>0</xdr:rowOff>
                  </from>
                  <to>
                    <xdr:col>22</xdr:col>
                    <xdr:colOff>182880</xdr:colOff>
                    <xdr:row>196</xdr:row>
                    <xdr:rowOff>182880</xdr:rowOff>
                  </to>
                </anchor>
              </controlPr>
            </control>
          </mc:Choice>
        </mc:AlternateContent>
        <mc:AlternateContent xmlns:mc="http://schemas.openxmlformats.org/markup-compatibility/2006">
          <mc:Choice Requires="x14">
            <control shapeId="15613" r:id="rId57" name="Check Box 253">
              <controlPr locked="0" defaultSize="0" autoFill="0" autoLine="0" autoPict="0">
                <anchor moveWithCells="1" sizeWithCells="1">
                  <from>
                    <xdr:col>22</xdr:col>
                    <xdr:colOff>0</xdr:colOff>
                    <xdr:row>198</xdr:row>
                    <xdr:rowOff>0</xdr:rowOff>
                  </from>
                  <to>
                    <xdr:col>22</xdr:col>
                    <xdr:colOff>182880</xdr:colOff>
                    <xdr:row>198</xdr:row>
                    <xdr:rowOff>182880</xdr:rowOff>
                  </to>
                </anchor>
              </controlPr>
            </control>
          </mc:Choice>
        </mc:AlternateContent>
        <mc:AlternateContent xmlns:mc="http://schemas.openxmlformats.org/markup-compatibility/2006">
          <mc:Choice Requires="x14">
            <control shapeId="15614" r:id="rId58" name="Check Box 254">
              <controlPr locked="0" defaultSize="0" autoFill="0" autoLine="0" autoPict="0">
                <anchor moveWithCells="1" sizeWithCells="1">
                  <from>
                    <xdr:col>22</xdr:col>
                    <xdr:colOff>0</xdr:colOff>
                    <xdr:row>202</xdr:row>
                    <xdr:rowOff>0</xdr:rowOff>
                  </from>
                  <to>
                    <xdr:col>22</xdr:col>
                    <xdr:colOff>182880</xdr:colOff>
                    <xdr:row>202</xdr:row>
                    <xdr:rowOff>182880</xdr:rowOff>
                  </to>
                </anchor>
              </controlPr>
            </control>
          </mc:Choice>
        </mc:AlternateContent>
        <mc:AlternateContent xmlns:mc="http://schemas.openxmlformats.org/markup-compatibility/2006">
          <mc:Choice Requires="x14">
            <control shapeId="15615" r:id="rId59" name="Check Box 255">
              <controlPr locked="0" defaultSize="0" autoFill="0" autoLine="0" autoPict="0">
                <anchor moveWithCells="1" sizeWithCells="1">
                  <from>
                    <xdr:col>22</xdr:col>
                    <xdr:colOff>0</xdr:colOff>
                    <xdr:row>205</xdr:row>
                    <xdr:rowOff>0</xdr:rowOff>
                  </from>
                  <to>
                    <xdr:col>22</xdr:col>
                    <xdr:colOff>182880</xdr:colOff>
                    <xdr:row>205</xdr:row>
                    <xdr:rowOff>182880</xdr:rowOff>
                  </to>
                </anchor>
              </controlPr>
            </control>
          </mc:Choice>
        </mc:AlternateContent>
        <mc:AlternateContent xmlns:mc="http://schemas.openxmlformats.org/markup-compatibility/2006">
          <mc:Choice Requires="x14">
            <control shapeId="15616" r:id="rId60" name="Check Box 256">
              <controlPr locked="0" defaultSize="0" autoFill="0" autoLine="0" autoPict="0">
                <anchor moveWithCells="1" sizeWithCells="1">
                  <from>
                    <xdr:col>22</xdr:col>
                    <xdr:colOff>0</xdr:colOff>
                    <xdr:row>207</xdr:row>
                    <xdr:rowOff>0</xdr:rowOff>
                  </from>
                  <to>
                    <xdr:col>22</xdr:col>
                    <xdr:colOff>182880</xdr:colOff>
                    <xdr:row>207</xdr:row>
                    <xdr:rowOff>182880</xdr:rowOff>
                  </to>
                </anchor>
              </controlPr>
            </control>
          </mc:Choice>
        </mc:AlternateContent>
        <mc:AlternateContent xmlns:mc="http://schemas.openxmlformats.org/markup-compatibility/2006">
          <mc:Choice Requires="x14">
            <control shapeId="15617" r:id="rId61" name="Check Box 257">
              <controlPr locked="0" defaultSize="0" autoFill="0" autoLine="0" autoPict="0">
                <anchor moveWithCells="1" sizeWithCells="1">
                  <from>
                    <xdr:col>22</xdr:col>
                    <xdr:colOff>0</xdr:colOff>
                    <xdr:row>208</xdr:row>
                    <xdr:rowOff>0</xdr:rowOff>
                  </from>
                  <to>
                    <xdr:col>22</xdr:col>
                    <xdr:colOff>182880</xdr:colOff>
                    <xdr:row>208</xdr:row>
                    <xdr:rowOff>182880</xdr:rowOff>
                  </to>
                </anchor>
              </controlPr>
            </control>
          </mc:Choice>
        </mc:AlternateContent>
        <mc:AlternateContent xmlns:mc="http://schemas.openxmlformats.org/markup-compatibility/2006">
          <mc:Choice Requires="x14">
            <control shapeId="15618" r:id="rId62" name="Check Box 258">
              <controlPr locked="0" defaultSize="0" autoFill="0" autoLine="0" autoPict="0">
                <anchor moveWithCells="1" sizeWithCells="1">
                  <from>
                    <xdr:col>22</xdr:col>
                    <xdr:colOff>0</xdr:colOff>
                    <xdr:row>209</xdr:row>
                    <xdr:rowOff>0</xdr:rowOff>
                  </from>
                  <to>
                    <xdr:col>22</xdr:col>
                    <xdr:colOff>182880</xdr:colOff>
                    <xdr:row>209</xdr:row>
                    <xdr:rowOff>182880</xdr:rowOff>
                  </to>
                </anchor>
              </controlPr>
            </control>
          </mc:Choice>
        </mc:AlternateContent>
        <mc:AlternateContent xmlns:mc="http://schemas.openxmlformats.org/markup-compatibility/2006">
          <mc:Choice Requires="x14">
            <control shapeId="15619" r:id="rId63" name="Check Box 259">
              <controlPr locked="0" defaultSize="0" autoFill="0" autoLine="0" autoPict="0">
                <anchor moveWithCells="1" sizeWithCells="1">
                  <from>
                    <xdr:col>22</xdr:col>
                    <xdr:colOff>0</xdr:colOff>
                    <xdr:row>210</xdr:row>
                    <xdr:rowOff>0</xdr:rowOff>
                  </from>
                  <to>
                    <xdr:col>22</xdr:col>
                    <xdr:colOff>182880</xdr:colOff>
                    <xdr:row>210</xdr:row>
                    <xdr:rowOff>182880</xdr:rowOff>
                  </to>
                </anchor>
              </controlPr>
            </control>
          </mc:Choice>
        </mc:AlternateContent>
        <mc:AlternateContent xmlns:mc="http://schemas.openxmlformats.org/markup-compatibility/2006">
          <mc:Choice Requires="x14">
            <control shapeId="15620" r:id="rId64" name="Check Box 260">
              <controlPr locked="0" defaultSize="0" autoFill="0" autoLine="0" autoPict="0">
                <anchor moveWithCells="1" sizeWithCells="1">
                  <from>
                    <xdr:col>22</xdr:col>
                    <xdr:colOff>0</xdr:colOff>
                    <xdr:row>211</xdr:row>
                    <xdr:rowOff>0</xdr:rowOff>
                  </from>
                  <to>
                    <xdr:col>22</xdr:col>
                    <xdr:colOff>182880</xdr:colOff>
                    <xdr:row>211</xdr:row>
                    <xdr:rowOff>182880</xdr:rowOff>
                  </to>
                </anchor>
              </controlPr>
            </control>
          </mc:Choice>
        </mc:AlternateContent>
        <mc:AlternateContent xmlns:mc="http://schemas.openxmlformats.org/markup-compatibility/2006">
          <mc:Choice Requires="x14">
            <control shapeId="15621" r:id="rId65" name="Check Box 261">
              <controlPr locked="0" defaultSize="0" autoFill="0" autoLine="0" autoPict="0">
                <anchor moveWithCells="1" sizeWithCells="1">
                  <from>
                    <xdr:col>22</xdr:col>
                    <xdr:colOff>0</xdr:colOff>
                    <xdr:row>212</xdr:row>
                    <xdr:rowOff>0</xdr:rowOff>
                  </from>
                  <to>
                    <xdr:col>22</xdr:col>
                    <xdr:colOff>182880</xdr:colOff>
                    <xdr:row>212</xdr:row>
                    <xdr:rowOff>182880</xdr:rowOff>
                  </to>
                </anchor>
              </controlPr>
            </control>
          </mc:Choice>
        </mc:AlternateContent>
        <mc:AlternateContent xmlns:mc="http://schemas.openxmlformats.org/markup-compatibility/2006">
          <mc:Choice Requires="x14">
            <control shapeId="15622" r:id="rId66" name="Check Box 262">
              <controlPr locked="0" defaultSize="0" autoFill="0" autoLine="0" autoPict="0">
                <anchor moveWithCells="1" sizeWithCells="1">
                  <from>
                    <xdr:col>22</xdr:col>
                    <xdr:colOff>0</xdr:colOff>
                    <xdr:row>214</xdr:row>
                    <xdr:rowOff>0</xdr:rowOff>
                  </from>
                  <to>
                    <xdr:col>22</xdr:col>
                    <xdr:colOff>182880</xdr:colOff>
                    <xdr:row>214</xdr:row>
                    <xdr:rowOff>182880</xdr:rowOff>
                  </to>
                </anchor>
              </controlPr>
            </control>
          </mc:Choice>
        </mc:AlternateContent>
        <mc:AlternateContent xmlns:mc="http://schemas.openxmlformats.org/markup-compatibility/2006">
          <mc:Choice Requires="x14">
            <control shapeId="15623" r:id="rId67" name="Check Box 263">
              <controlPr locked="0" defaultSize="0" autoFill="0" autoLine="0" autoPict="0">
                <anchor moveWithCells="1" sizeWithCells="1">
                  <from>
                    <xdr:col>22</xdr:col>
                    <xdr:colOff>0</xdr:colOff>
                    <xdr:row>221</xdr:row>
                    <xdr:rowOff>0</xdr:rowOff>
                  </from>
                  <to>
                    <xdr:col>22</xdr:col>
                    <xdr:colOff>182880</xdr:colOff>
                    <xdr:row>221</xdr:row>
                    <xdr:rowOff>182880</xdr:rowOff>
                  </to>
                </anchor>
              </controlPr>
            </control>
          </mc:Choice>
        </mc:AlternateContent>
        <mc:AlternateContent xmlns:mc="http://schemas.openxmlformats.org/markup-compatibility/2006">
          <mc:Choice Requires="x14">
            <control shapeId="15624" r:id="rId68" name="Check Box 264">
              <controlPr locked="0" defaultSize="0" autoFill="0" autoLine="0" autoPict="0">
                <anchor moveWithCells="1" sizeWithCells="1">
                  <from>
                    <xdr:col>22</xdr:col>
                    <xdr:colOff>0</xdr:colOff>
                    <xdr:row>223</xdr:row>
                    <xdr:rowOff>0</xdr:rowOff>
                  </from>
                  <to>
                    <xdr:col>22</xdr:col>
                    <xdr:colOff>182880</xdr:colOff>
                    <xdr:row>223</xdr:row>
                    <xdr:rowOff>182880</xdr:rowOff>
                  </to>
                </anchor>
              </controlPr>
            </control>
          </mc:Choice>
        </mc:AlternateContent>
        <mc:AlternateContent xmlns:mc="http://schemas.openxmlformats.org/markup-compatibility/2006">
          <mc:Choice Requires="x14">
            <control shapeId="15625" r:id="rId69" name="Check Box 265">
              <controlPr locked="0" defaultSize="0" autoFill="0" autoLine="0" autoPict="0">
                <anchor moveWithCells="1" sizeWithCells="1">
                  <from>
                    <xdr:col>22</xdr:col>
                    <xdr:colOff>0</xdr:colOff>
                    <xdr:row>236</xdr:row>
                    <xdr:rowOff>0</xdr:rowOff>
                  </from>
                  <to>
                    <xdr:col>22</xdr:col>
                    <xdr:colOff>182880</xdr:colOff>
                    <xdr:row>236</xdr:row>
                    <xdr:rowOff>182880</xdr:rowOff>
                  </to>
                </anchor>
              </controlPr>
            </control>
          </mc:Choice>
        </mc:AlternateContent>
        <mc:AlternateContent xmlns:mc="http://schemas.openxmlformats.org/markup-compatibility/2006">
          <mc:Choice Requires="x14">
            <control shapeId="15626" r:id="rId70" name="Check Box 266">
              <controlPr locked="0" defaultSize="0" autoFill="0" autoLine="0" autoPict="0">
                <anchor moveWithCells="1" sizeWithCells="1">
                  <from>
                    <xdr:col>22</xdr:col>
                    <xdr:colOff>0</xdr:colOff>
                    <xdr:row>239</xdr:row>
                    <xdr:rowOff>0</xdr:rowOff>
                  </from>
                  <to>
                    <xdr:col>22</xdr:col>
                    <xdr:colOff>182880</xdr:colOff>
                    <xdr:row>239</xdr:row>
                    <xdr:rowOff>182880</xdr:rowOff>
                  </to>
                </anchor>
              </controlPr>
            </control>
          </mc:Choice>
        </mc:AlternateContent>
        <mc:AlternateContent xmlns:mc="http://schemas.openxmlformats.org/markup-compatibility/2006">
          <mc:Choice Requires="x14">
            <control shapeId="15627" r:id="rId71" name="Check Box 267">
              <controlPr locked="0" defaultSize="0" autoFill="0" autoLine="0" autoPict="0">
                <anchor moveWithCells="1" sizeWithCells="1">
                  <from>
                    <xdr:col>22</xdr:col>
                    <xdr:colOff>0</xdr:colOff>
                    <xdr:row>243</xdr:row>
                    <xdr:rowOff>0</xdr:rowOff>
                  </from>
                  <to>
                    <xdr:col>22</xdr:col>
                    <xdr:colOff>182880</xdr:colOff>
                    <xdr:row>243</xdr:row>
                    <xdr:rowOff>182880</xdr:rowOff>
                  </to>
                </anchor>
              </controlPr>
            </control>
          </mc:Choice>
        </mc:AlternateContent>
        <mc:AlternateContent xmlns:mc="http://schemas.openxmlformats.org/markup-compatibility/2006">
          <mc:Choice Requires="x14">
            <control shapeId="15628" r:id="rId72" name="Check Box 268">
              <controlPr locked="0" defaultSize="0" autoFill="0" autoLine="0" autoPict="0">
                <anchor moveWithCells="1" sizeWithCells="1">
                  <from>
                    <xdr:col>22</xdr:col>
                    <xdr:colOff>0</xdr:colOff>
                    <xdr:row>244</xdr:row>
                    <xdr:rowOff>0</xdr:rowOff>
                  </from>
                  <to>
                    <xdr:col>22</xdr:col>
                    <xdr:colOff>182880</xdr:colOff>
                    <xdr:row>244</xdr:row>
                    <xdr:rowOff>182880</xdr:rowOff>
                  </to>
                </anchor>
              </controlPr>
            </control>
          </mc:Choice>
        </mc:AlternateContent>
        <mc:AlternateContent xmlns:mc="http://schemas.openxmlformats.org/markup-compatibility/2006">
          <mc:Choice Requires="x14">
            <control shapeId="15629" r:id="rId73" name="Check Box 269">
              <controlPr locked="0" defaultSize="0" autoFill="0" autoLine="0" autoPict="0">
                <anchor moveWithCells="1" sizeWithCells="1">
                  <from>
                    <xdr:col>22</xdr:col>
                    <xdr:colOff>0</xdr:colOff>
                    <xdr:row>253</xdr:row>
                    <xdr:rowOff>0</xdr:rowOff>
                  </from>
                  <to>
                    <xdr:col>22</xdr:col>
                    <xdr:colOff>182880</xdr:colOff>
                    <xdr:row>253</xdr:row>
                    <xdr:rowOff>182880</xdr:rowOff>
                  </to>
                </anchor>
              </controlPr>
            </control>
          </mc:Choice>
        </mc:AlternateContent>
        <mc:AlternateContent xmlns:mc="http://schemas.openxmlformats.org/markup-compatibility/2006">
          <mc:Choice Requires="x14">
            <control shapeId="15630" r:id="rId74" name="Check Box 270">
              <controlPr locked="0" defaultSize="0" autoFill="0" autoLine="0" autoPict="0">
                <anchor moveWithCells="1" sizeWithCells="1">
                  <from>
                    <xdr:col>22</xdr:col>
                    <xdr:colOff>0</xdr:colOff>
                    <xdr:row>254</xdr:row>
                    <xdr:rowOff>0</xdr:rowOff>
                  </from>
                  <to>
                    <xdr:col>22</xdr:col>
                    <xdr:colOff>182880</xdr:colOff>
                    <xdr:row>254</xdr:row>
                    <xdr:rowOff>182880</xdr:rowOff>
                  </to>
                </anchor>
              </controlPr>
            </control>
          </mc:Choice>
        </mc:AlternateContent>
        <mc:AlternateContent xmlns:mc="http://schemas.openxmlformats.org/markup-compatibility/2006">
          <mc:Choice Requires="x14">
            <control shapeId="15631" r:id="rId75" name="Check Box 271">
              <controlPr locked="0" defaultSize="0" autoFill="0" autoLine="0" autoPict="0">
                <anchor moveWithCells="1" sizeWithCells="1">
                  <from>
                    <xdr:col>22</xdr:col>
                    <xdr:colOff>0</xdr:colOff>
                    <xdr:row>256</xdr:row>
                    <xdr:rowOff>0</xdr:rowOff>
                  </from>
                  <to>
                    <xdr:col>22</xdr:col>
                    <xdr:colOff>182880</xdr:colOff>
                    <xdr:row>256</xdr:row>
                    <xdr:rowOff>182880</xdr:rowOff>
                  </to>
                </anchor>
              </controlPr>
            </control>
          </mc:Choice>
        </mc:AlternateContent>
        <mc:AlternateContent xmlns:mc="http://schemas.openxmlformats.org/markup-compatibility/2006">
          <mc:Choice Requires="x14">
            <control shapeId="15632" r:id="rId76" name="Check Box 272">
              <controlPr locked="0" defaultSize="0" autoFill="0" autoLine="0" autoPict="0">
                <anchor moveWithCells="1" sizeWithCells="1">
                  <from>
                    <xdr:col>22</xdr:col>
                    <xdr:colOff>0</xdr:colOff>
                    <xdr:row>282</xdr:row>
                    <xdr:rowOff>0</xdr:rowOff>
                  </from>
                  <to>
                    <xdr:col>22</xdr:col>
                    <xdr:colOff>182880</xdr:colOff>
                    <xdr:row>282</xdr:row>
                    <xdr:rowOff>182880</xdr:rowOff>
                  </to>
                </anchor>
              </controlPr>
            </control>
          </mc:Choice>
        </mc:AlternateContent>
        <mc:AlternateContent xmlns:mc="http://schemas.openxmlformats.org/markup-compatibility/2006">
          <mc:Choice Requires="x14">
            <control shapeId="15633" r:id="rId77" name="Check Box 273">
              <controlPr locked="0" defaultSize="0" autoFill="0" autoLine="0" autoPict="0">
                <anchor moveWithCells="1" sizeWithCells="1">
                  <from>
                    <xdr:col>22</xdr:col>
                    <xdr:colOff>0</xdr:colOff>
                    <xdr:row>285</xdr:row>
                    <xdr:rowOff>0</xdr:rowOff>
                  </from>
                  <to>
                    <xdr:col>22</xdr:col>
                    <xdr:colOff>182880</xdr:colOff>
                    <xdr:row>285</xdr:row>
                    <xdr:rowOff>182880</xdr:rowOff>
                  </to>
                </anchor>
              </controlPr>
            </control>
          </mc:Choice>
        </mc:AlternateContent>
        <mc:AlternateContent xmlns:mc="http://schemas.openxmlformats.org/markup-compatibility/2006">
          <mc:Choice Requires="x14">
            <control shapeId="15634" r:id="rId78" name="Check Box 274">
              <controlPr locked="0" defaultSize="0" autoFill="0" autoLine="0" autoPict="0">
                <anchor moveWithCells="1" sizeWithCells="1">
                  <from>
                    <xdr:col>22</xdr:col>
                    <xdr:colOff>0</xdr:colOff>
                    <xdr:row>288</xdr:row>
                    <xdr:rowOff>0</xdr:rowOff>
                  </from>
                  <to>
                    <xdr:col>22</xdr:col>
                    <xdr:colOff>182880</xdr:colOff>
                    <xdr:row>288</xdr:row>
                    <xdr:rowOff>182880</xdr:rowOff>
                  </to>
                </anchor>
              </controlPr>
            </control>
          </mc:Choice>
        </mc:AlternateContent>
        <mc:AlternateContent xmlns:mc="http://schemas.openxmlformats.org/markup-compatibility/2006">
          <mc:Choice Requires="x14">
            <control shapeId="15635" r:id="rId79" name="Check Box 275">
              <controlPr locked="0" defaultSize="0" autoFill="0" autoLine="0" autoPict="0">
                <anchor moveWithCells="1" sizeWithCells="1">
                  <from>
                    <xdr:col>22</xdr:col>
                    <xdr:colOff>0</xdr:colOff>
                    <xdr:row>292</xdr:row>
                    <xdr:rowOff>0</xdr:rowOff>
                  </from>
                  <to>
                    <xdr:col>22</xdr:col>
                    <xdr:colOff>182880</xdr:colOff>
                    <xdr:row>292</xdr:row>
                    <xdr:rowOff>182880</xdr:rowOff>
                  </to>
                </anchor>
              </controlPr>
            </control>
          </mc:Choice>
        </mc:AlternateContent>
        <mc:AlternateContent xmlns:mc="http://schemas.openxmlformats.org/markup-compatibility/2006">
          <mc:Choice Requires="x14">
            <control shapeId="15636" r:id="rId80" name="Check Box 276">
              <controlPr locked="0" defaultSize="0" autoFill="0" autoLine="0" autoPict="0">
                <anchor moveWithCells="1" sizeWithCells="1">
                  <from>
                    <xdr:col>22</xdr:col>
                    <xdr:colOff>0</xdr:colOff>
                    <xdr:row>293</xdr:row>
                    <xdr:rowOff>0</xdr:rowOff>
                  </from>
                  <to>
                    <xdr:col>22</xdr:col>
                    <xdr:colOff>182880</xdr:colOff>
                    <xdr:row>293</xdr:row>
                    <xdr:rowOff>182880</xdr:rowOff>
                  </to>
                </anchor>
              </controlPr>
            </control>
          </mc:Choice>
        </mc:AlternateContent>
        <mc:AlternateContent xmlns:mc="http://schemas.openxmlformats.org/markup-compatibility/2006">
          <mc:Choice Requires="x14">
            <control shapeId="15637" r:id="rId81" name="Check Box 277">
              <controlPr locked="0" defaultSize="0" autoFill="0" autoLine="0" autoPict="0">
                <anchor moveWithCells="1" sizeWithCells="1">
                  <from>
                    <xdr:col>22</xdr:col>
                    <xdr:colOff>0</xdr:colOff>
                    <xdr:row>294</xdr:row>
                    <xdr:rowOff>0</xdr:rowOff>
                  </from>
                  <to>
                    <xdr:col>22</xdr:col>
                    <xdr:colOff>182880</xdr:colOff>
                    <xdr:row>294</xdr:row>
                    <xdr:rowOff>182880</xdr:rowOff>
                  </to>
                </anchor>
              </controlPr>
            </control>
          </mc:Choice>
        </mc:AlternateContent>
        <mc:AlternateContent xmlns:mc="http://schemas.openxmlformats.org/markup-compatibility/2006">
          <mc:Choice Requires="x14">
            <control shapeId="15638" r:id="rId82" name="Check Box 278">
              <controlPr locked="0" defaultSize="0" autoFill="0" autoLine="0" autoPict="0">
                <anchor moveWithCells="1" sizeWithCells="1">
                  <from>
                    <xdr:col>22</xdr:col>
                    <xdr:colOff>0</xdr:colOff>
                    <xdr:row>295</xdr:row>
                    <xdr:rowOff>0</xdr:rowOff>
                  </from>
                  <to>
                    <xdr:col>22</xdr:col>
                    <xdr:colOff>182880</xdr:colOff>
                    <xdr:row>295</xdr:row>
                    <xdr:rowOff>182880</xdr:rowOff>
                  </to>
                </anchor>
              </controlPr>
            </control>
          </mc:Choice>
        </mc:AlternateContent>
        <mc:AlternateContent xmlns:mc="http://schemas.openxmlformats.org/markup-compatibility/2006">
          <mc:Choice Requires="x14">
            <control shapeId="15639" r:id="rId83" name="Check Box 279">
              <controlPr locked="0" defaultSize="0" autoFill="0" autoLine="0" autoPict="0">
                <anchor moveWithCells="1" sizeWithCells="1">
                  <from>
                    <xdr:col>22</xdr:col>
                    <xdr:colOff>0</xdr:colOff>
                    <xdr:row>296</xdr:row>
                    <xdr:rowOff>0</xdr:rowOff>
                  </from>
                  <to>
                    <xdr:col>22</xdr:col>
                    <xdr:colOff>182880</xdr:colOff>
                    <xdr:row>296</xdr:row>
                    <xdr:rowOff>182880</xdr:rowOff>
                  </to>
                </anchor>
              </controlPr>
            </control>
          </mc:Choice>
        </mc:AlternateContent>
        <mc:AlternateContent xmlns:mc="http://schemas.openxmlformats.org/markup-compatibility/2006">
          <mc:Choice Requires="x14">
            <control shapeId="15640" r:id="rId84" name="Check Box 280">
              <controlPr locked="0" defaultSize="0" autoFill="0" autoLine="0" autoPict="0">
                <anchor moveWithCells="1" sizeWithCells="1">
                  <from>
                    <xdr:col>22</xdr:col>
                    <xdr:colOff>0</xdr:colOff>
                    <xdr:row>297</xdr:row>
                    <xdr:rowOff>0</xdr:rowOff>
                  </from>
                  <to>
                    <xdr:col>22</xdr:col>
                    <xdr:colOff>182880</xdr:colOff>
                    <xdr:row>297</xdr:row>
                    <xdr:rowOff>182880</xdr:rowOff>
                  </to>
                </anchor>
              </controlPr>
            </control>
          </mc:Choice>
        </mc:AlternateContent>
        <mc:AlternateContent xmlns:mc="http://schemas.openxmlformats.org/markup-compatibility/2006">
          <mc:Choice Requires="x14">
            <control shapeId="15641" r:id="rId85" name="Check Box 281">
              <controlPr locked="0" defaultSize="0" autoFill="0" autoLine="0" autoPict="0">
                <anchor moveWithCells="1" sizeWithCells="1">
                  <from>
                    <xdr:col>22</xdr:col>
                    <xdr:colOff>0</xdr:colOff>
                    <xdr:row>303</xdr:row>
                    <xdr:rowOff>0</xdr:rowOff>
                  </from>
                  <to>
                    <xdr:col>22</xdr:col>
                    <xdr:colOff>182880</xdr:colOff>
                    <xdr:row>303</xdr:row>
                    <xdr:rowOff>182880</xdr:rowOff>
                  </to>
                </anchor>
              </controlPr>
            </control>
          </mc:Choice>
        </mc:AlternateContent>
        <mc:AlternateContent xmlns:mc="http://schemas.openxmlformats.org/markup-compatibility/2006">
          <mc:Choice Requires="x14">
            <control shapeId="15642" r:id="rId86" name="Check Box 282">
              <controlPr locked="0" defaultSize="0" autoFill="0" autoLine="0" autoPict="0">
                <anchor moveWithCells="1" sizeWithCells="1">
                  <from>
                    <xdr:col>22</xdr:col>
                    <xdr:colOff>0</xdr:colOff>
                    <xdr:row>304</xdr:row>
                    <xdr:rowOff>0</xdr:rowOff>
                  </from>
                  <to>
                    <xdr:col>22</xdr:col>
                    <xdr:colOff>182880</xdr:colOff>
                    <xdr:row>304</xdr:row>
                    <xdr:rowOff>182880</xdr:rowOff>
                  </to>
                </anchor>
              </controlPr>
            </control>
          </mc:Choice>
        </mc:AlternateContent>
        <mc:AlternateContent xmlns:mc="http://schemas.openxmlformats.org/markup-compatibility/2006">
          <mc:Choice Requires="x14">
            <control shapeId="15643" r:id="rId87" name="Check Box 283">
              <controlPr locked="0" defaultSize="0" autoFill="0" autoLine="0" autoPict="0">
                <anchor moveWithCells="1" sizeWithCells="1">
                  <from>
                    <xdr:col>22</xdr:col>
                    <xdr:colOff>0</xdr:colOff>
                    <xdr:row>305</xdr:row>
                    <xdr:rowOff>0</xdr:rowOff>
                  </from>
                  <to>
                    <xdr:col>22</xdr:col>
                    <xdr:colOff>182880</xdr:colOff>
                    <xdr:row>305</xdr:row>
                    <xdr:rowOff>182880</xdr:rowOff>
                  </to>
                </anchor>
              </controlPr>
            </control>
          </mc:Choice>
        </mc:AlternateContent>
        <mc:AlternateContent xmlns:mc="http://schemas.openxmlformats.org/markup-compatibility/2006">
          <mc:Choice Requires="x14">
            <control shapeId="15644" r:id="rId88" name="Check Box 284">
              <controlPr locked="0" defaultSize="0" autoFill="0" autoLine="0" autoPict="0">
                <anchor moveWithCells="1" sizeWithCells="1">
                  <from>
                    <xdr:col>22</xdr:col>
                    <xdr:colOff>0</xdr:colOff>
                    <xdr:row>306</xdr:row>
                    <xdr:rowOff>0</xdr:rowOff>
                  </from>
                  <to>
                    <xdr:col>22</xdr:col>
                    <xdr:colOff>182880</xdr:colOff>
                    <xdr:row>306</xdr:row>
                    <xdr:rowOff>182880</xdr:rowOff>
                  </to>
                </anchor>
              </controlPr>
            </control>
          </mc:Choice>
        </mc:AlternateContent>
        <mc:AlternateContent xmlns:mc="http://schemas.openxmlformats.org/markup-compatibility/2006">
          <mc:Choice Requires="x14">
            <control shapeId="15645" r:id="rId89" name="Check Box 285">
              <controlPr locked="0" defaultSize="0" autoFill="0" autoLine="0" autoPict="0">
                <anchor moveWithCells="1" sizeWithCells="1">
                  <from>
                    <xdr:col>22</xdr:col>
                    <xdr:colOff>0</xdr:colOff>
                    <xdr:row>307</xdr:row>
                    <xdr:rowOff>0</xdr:rowOff>
                  </from>
                  <to>
                    <xdr:col>22</xdr:col>
                    <xdr:colOff>182880</xdr:colOff>
                    <xdr:row>307</xdr:row>
                    <xdr:rowOff>182880</xdr:rowOff>
                  </to>
                </anchor>
              </controlPr>
            </control>
          </mc:Choice>
        </mc:AlternateContent>
        <mc:AlternateContent xmlns:mc="http://schemas.openxmlformats.org/markup-compatibility/2006">
          <mc:Choice Requires="x14">
            <control shapeId="15646" r:id="rId90" name="Check Box 286">
              <controlPr locked="0" defaultSize="0" autoFill="0" autoLine="0" autoPict="0">
                <anchor moveWithCells="1" sizeWithCells="1">
                  <from>
                    <xdr:col>22</xdr:col>
                    <xdr:colOff>0</xdr:colOff>
                    <xdr:row>331</xdr:row>
                    <xdr:rowOff>0</xdr:rowOff>
                  </from>
                  <to>
                    <xdr:col>22</xdr:col>
                    <xdr:colOff>182880</xdr:colOff>
                    <xdr:row>331</xdr:row>
                    <xdr:rowOff>182880</xdr:rowOff>
                  </to>
                </anchor>
              </controlPr>
            </control>
          </mc:Choice>
        </mc:AlternateContent>
        <mc:AlternateContent xmlns:mc="http://schemas.openxmlformats.org/markup-compatibility/2006">
          <mc:Choice Requires="x14">
            <control shapeId="15647" r:id="rId91" name="Check Box 287">
              <controlPr locked="0" defaultSize="0" autoFill="0" autoLine="0" autoPict="0">
                <anchor moveWithCells="1" sizeWithCells="1">
                  <from>
                    <xdr:col>22</xdr:col>
                    <xdr:colOff>0</xdr:colOff>
                    <xdr:row>339</xdr:row>
                    <xdr:rowOff>0</xdr:rowOff>
                  </from>
                  <to>
                    <xdr:col>22</xdr:col>
                    <xdr:colOff>182880</xdr:colOff>
                    <xdr:row>339</xdr:row>
                    <xdr:rowOff>182880</xdr:rowOff>
                  </to>
                </anchor>
              </controlPr>
            </control>
          </mc:Choice>
        </mc:AlternateContent>
        <mc:AlternateContent xmlns:mc="http://schemas.openxmlformats.org/markup-compatibility/2006">
          <mc:Choice Requires="x14">
            <control shapeId="15648" r:id="rId92" name="Check Box 288">
              <controlPr locked="0" defaultSize="0" autoFill="0" autoLine="0" autoPict="0">
                <anchor moveWithCells="1" sizeWithCells="1">
                  <from>
                    <xdr:col>22</xdr:col>
                    <xdr:colOff>0</xdr:colOff>
                    <xdr:row>350</xdr:row>
                    <xdr:rowOff>0</xdr:rowOff>
                  </from>
                  <to>
                    <xdr:col>22</xdr:col>
                    <xdr:colOff>182880</xdr:colOff>
                    <xdr:row>350</xdr:row>
                    <xdr:rowOff>182880</xdr:rowOff>
                  </to>
                </anchor>
              </controlPr>
            </control>
          </mc:Choice>
        </mc:AlternateContent>
        <mc:AlternateContent xmlns:mc="http://schemas.openxmlformats.org/markup-compatibility/2006">
          <mc:Choice Requires="x14">
            <control shapeId="15649" r:id="rId93" name="Check Box 289">
              <controlPr locked="0" defaultSize="0" autoFill="0" autoLine="0" autoPict="0">
                <anchor moveWithCells="1" sizeWithCells="1">
                  <from>
                    <xdr:col>22</xdr:col>
                    <xdr:colOff>0</xdr:colOff>
                    <xdr:row>353</xdr:row>
                    <xdr:rowOff>0</xdr:rowOff>
                  </from>
                  <to>
                    <xdr:col>22</xdr:col>
                    <xdr:colOff>182880</xdr:colOff>
                    <xdr:row>353</xdr:row>
                    <xdr:rowOff>182880</xdr:rowOff>
                  </to>
                </anchor>
              </controlPr>
            </control>
          </mc:Choice>
        </mc:AlternateContent>
        <mc:AlternateContent xmlns:mc="http://schemas.openxmlformats.org/markup-compatibility/2006">
          <mc:Choice Requires="x14">
            <control shapeId="15650" r:id="rId94" name="Check Box 290">
              <controlPr locked="0" defaultSize="0" autoFill="0" autoLine="0" autoPict="0">
                <anchor moveWithCells="1" sizeWithCells="1">
                  <from>
                    <xdr:col>22</xdr:col>
                    <xdr:colOff>0</xdr:colOff>
                    <xdr:row>357</xdr:row>
                    <xdr:rowOff>0</xdr:rowOff>
                  </from>
                  <to>
                    <xdr:col>22</xdr:col>
                    <xdr:colOff>182880</xdr:colOff>
                    <xdr:row>357</xdr:row>
                    <xdr:rowOff>182880</xdr:rowOff>
                  </to>
                </anchor>
              </controlPr>
            </control>
          </mc:Choice>
        </mc:AlternateContent>
        <mc:AlternateContent xmlns:mc="http://schemas.openxmlformats.org/markup-compatibility/2006">
          <mc:Choice Requires="x14">
            <control shapeId="15651" r:id="rId95" name="Check Box 291">
              <controlPr locked="0" defaultSize="0" autoFill="0" autoLine="0" autoPict="0">
                <anchor moveWithCells="1" sizeWithCells="1">
                  <from>
                    <xdr:col>22</xdr:col>
                    <xdr:colOff>0</xdr:colOff>
                    <xdr:row>358</xdr:row>
                    <xdr:rowOff>0</xdr:rowOff>
                  </from>
                  <to>
                    <xdr:col>22</xdr:col>
                    <xdr:colOff>182880</xdr:colOff>
                    <xdr:row>358</xdr:row>
                    <xdr:rowOff>182880</xdr:rowOff>
                  </to>
                </anchor>
              </controlPr>
            </control>
          </mc:Choice>
        </mc:AlternateContent>
        <mc:AlternateContent xmlns:mc="http://schemas.openxmlformats.org/markup-compatibility/2006">
          <mc:Choice Requires="x14">
            <control shapeId="15652" r:id="rId96" name="Check Box 292">
              <controlPr locked="0" defaultSize="0" autoFill="0" autoLine="0" autoPict="0">
                <anchor moveWithCells="1" sizeWithCells="1">
                  <from>
                    <xdr:col>22</xdr:col>
                    <xdr:colOff>0</xdr:colOff>
                    <xdr:row>360</xdr:row>
                    <xdr:rowOff>0</xdr:rowOff>
                  </from>
                  <to>
                    <xdr:col>22</xdr:col>
                    <xdr:colOff>182880</xdr:colOff>
                    <xdr:row>360</xdr:row>
                    <xdr:rowOff>182880</xdr:rowOff>
                  </to>
                </anchor>
              </controlPr>
            </control>
          </mc:Choice>
        </mc:AlternateContent>
        <mc:AlternateContent xmlns:mc="http://schemas.openxmlformats.org/markup-compatibility/2006">
          <mc:Choice Requires="x14">
            <control shapeId="15653" r:id="rId97" name="Check Box 293">
              <controlPr locked="0" defaultSize="0" autoFill="0" autoLine="0" autoPict="0">
                <anchor moveWithCells="1" sizeWithCells="1">
                  <from>
                    <xdr:col>22</xdr:col>
                    <xdr:colOff>0</xdr:colOff>
                    <xdr:row>362</xdr:row>
                    <xdr:rowOff>0</xdr:rowOff>
                  </from>
                  <to>
                    <xdr:col>22</xdr:col>
                    <xdr:colOff>182880</xdr:colOff>
                    <xdr:row>362</xdr:row>
                    <xdr:rowOff>182880</xdr:rowOff>
                  </to>
                </anchor>
              </controlPr>
            </control>
          </mc:Choice>
        </mc:AlternateContent>
        <mc:AlternateContent xmlns:mc="http://schemas.openxmlformats.org/markup-compatibility/2006">
          <mc:Choice Requires="x14">
            <control shapeId="15654" r:id="rId98" name="Check Box 294">
              <controlPr locked="0" defaultSize="0" autoFill="0" autoLine="0" autoPict="0">
                <anchor moveWithCells="1" sizeWithCells="1">
                  <from>
                    <xdr:col>22</xdr:col>
                    <xdr:colOff>0</xdr:colOff>
                    <xdr:row>368</xdr:row>
                    <xdr:rowOff>0</xdr:rowOff>
                  </from>
                  <to>
                    <xdr:col>22</xdr:col>
                    <xdr:colOff>182880</xdr:colOff>
                    <xdr:row>368</xdr:row>
                    <xdr:rowOff>182880</xdr:rowOff>
                  </to>
                </anchor>
              </controlPr>
            </control>
          </mc:Choice>
        </mc:AlternateContent>
        <mc:AlternateContent xmlns:mc="http://schemas.openxmlformats.org/markup-compatibility/2006">
          <mc:Choice Requires="x14">
            <control shapeId="15655" r:id="rId99" name="Check Box 295">
              <controlPr locked="0" defaultSize="0" autoFill="0" autoLine="0" autoPict="0">
                <anchor moveWithCells="1" sizeWithCells="1">
                  <from>
                    <xdr:col>22</xdr:col>
                    <xdr:colOff>0</xdr:colOff>
                    <xdr:row>374</xdr:row>
                    <xdr:rowOff>0</xdr:rowOff>
                  </from>
                  <to>
                    <xdr:col>22</xdr:col>
                    <xdr:colOff>182880</xdr:colOff>
                    <xdr:row>374</xdr:row>
                    <xdr:rowOff>182880</xdr:rowOff>
                  </to>
                </anchor>
              </controlPr>
            </control>
          </mc:Choice>
        </mc:AlternateContent>
        <mc:AlternateContent xmlns:mc="http://schemas.openxmlformats.org/markup-compatibility/2006">
          <mc:Choice Requires="x14">
            <control shapeId="15656" r:id="rId100" name="Check Box 296">
              <controlPr locked="0" defaultSize="0" autoFill="0" autoLine="0" autoPict="0">
                <anchor moveWithCells="1" sizeWithCells="1">
                  <from>
                    <xdr:col>22</xdr:col>
                    <xdr:colOff>0</xdr:colOff>
                    <xdr:row>380</xdr:row>
                    <xdr:rowOff>0</xdr:rowOff>
                  </from>
                  <to>
                    <xdr:col>22</xdr:col>
                    <xdr:colOff>182880</xdr:colOff>
                    <xdr:row>380</xdr:row>
                    <xdr:rowOff>182880</xdr:rowOff>
                  </to>
                </anchor>
              </controlPr>
            </control>
          </mc:Choice>
        </mc:AlternateContent>
        <mc:AlternateContent xmlns:mc="http://schemas.openxmlformats.org/markup-compatibility/2006">
          <mc:Choice Requires="x14">
            <control shapeId="15657" r:id="rId101" name="Check Box 297">
              <controlPr locked="0" defaultSize="0" autoFill="0" autoLine="0" autoPict="0">
                <anchor moveWithCells="1" sizeWithCells="1">
                  <from>
                    <xdr:col>22</xdr:col>
                    <xdr:colOff>0</xdr:colOff>
                    <xdr:row>382</xdr:row>
                    <xdr:rowOff>0</xdr:rowOff>
                  </from>
                  <to>
                    <xdr:col>22</xdr:col>
                    <xdr:colOff>182880</xdr:colOff>
                    <xdr:row>382</xdr:row>
                    <xdr:rowOff>182880</xdr:rowOff>
                  </to>
                </anchor>
              </controlPr>
            </control>
          </mc:Choice>
        </mc:AlternateContent>
        <mc:AlternateContent xmlns:mc="http://schemas.openxmlformats.org/markup-compatibility/2006">
          <mc:Choice Requires="x14">
            <control shapeId="15658" r:id="rId102" name="Check Box 298">
              <controlPr locked="0" defaultSize="0" autoFill="0" autoLine="0" autoPict="0">
                <anchor moveWithCells="1" sizeWithCells="1">
                  <from>
                    <xdr:col>22</xdr:col>
                    <xdr:colOff>0</xdr:colOff>
                    <xdr:row>388</xdr:row>
                    <xdr:rowOff>0</xdr:rowOff>
                  </from>
                  <to>
                    <xdr:col>22</xdr:col>
                    <xdr:colOff>182880</xdr:colOff>
                    <xdr:row>388</xdr:row>
                    <xdr:rowOff>182880</xdr:rowOff>
                  </to>
                </anchor>
              </controlPr>
            </control>
          </mc:Choice>
        </mc:AlternateContent>
        <mc:AlternateContent xmlns:mc="http://schemas.openxmlformats.org/markup-compatibility/2006">
          <mc:Choice Requires="x14">
            <control shapeId="15659" r:id="rId103" name="Check Box 299">
              <controlPr locked="0" defaultSize="0" autoFill="0" autoLine="0" autoPict="0">
                <anchor moveWithCells="1" sizeWithCells="1">
                  <from>
                    <xdr:col>22</xdr:col>
                    <xdr:colOff>0</xdr:colOff>
                    <xdr:row>392</xdr:row>
                    <xdr:rowOff>0</xdr:rowOff>
                  </from>
                  <to>
                    <xdr:col>22</xdr:col>
                    <xdr:colOff>182880</xdr:colOff>
                    <xdr:row>392</xdr:row>
                    <xdr:rowOff>182880</xdr:rowOff>
                  </to>
                </anchor>
              </controlPr>
            </control>
          </mc:Choice>
        </mc:AlternateContent>
        <mc:AlternateContent xmlns:mc="http://schemas.openxmlformats.org/markup-compatibility/2006">
          <mc:Choice Requires="x14">
            <control shapeId="15660" r:id="rId104" name="Check Box 300">
              <controlPr locked="0" defaultSize="0" autoFill="0" autoLine="0" autoPict="0">
                <anchor moveWithCells="1" sizeWithCells="1">
                  <from>
                    <xdr:col>22</xdr:col>
                    <xdr:colOff>0</xdr:colOff>
                    <xdr:row>396</xdr:row>
                    <xdr:rowOff>0</xdr:rowOff>
                  </from>
                  <to>
                    <xdr:col>22</xdr:col>
                    <xdr:colOff>182880</xdr:colOff>
                    <xdr:row>396</xdr:row>
                    <xdr:rowOff>182880</xdr:rowOff>
                  </to>
                </anchor>
              </controlPr>
            </control>
          </mc:Choice>
        </mc:AlternateContent>
        <mc:AlternateContent xmlns:mc="http://schemas.openxmlformats.org/markup-compatibility/2006">
          <mc:Choice Requires="x14">
            <control shapeId="15661" r:id="rId105" name="Check Box 301">
              <controlPr locked="0" defaultSize="0" autoFill="0" autoLine="0" autoPict="0">
                <anchor moveWithCells="1" sizeWithCells="1">
                  <from>
                    <xdr:col>22</xdr:col>
                    <xdr:colOff>0</xdr:colOff>
                    <xdr:row>401</xdr:row>
                    <xdr:rowOff>0</xdr:rowOff>
                  </from>
                  <to>
                    <xdr:col>22</xdr:col>
                    <xdr:colOff>182880</xdr:colOff>
                    <xdr:row>401</xdr:row>
                    <xdr:rowOff>182880</xdr:rowOff>
                  </to>
                </anchor>
              </controlPr>
            </control>
          </mc:Choice>
        </mc:AlternateContent>
        <mc:AlternateContent xmlns:mc="http://schemas.openxmlformats.org/markup-compatibility/2006">
          <mc:Choice Requires="x14">
            <control shapeId="15662" r:id="rId106" name="Check Box 302">
              <controlPr locked="0" defaultSize="0" autoFill="0" autoLine="0" autoPict="0">
                <anchor moveWithCells="1" sizeWithCells="1">
                  <from>
                    <xdr:col>22</xdr:col>
                    <xdr:colOff>0</xdr:colOff>
                    <xdr:row>406</xdr:row>
                    <xdr:rowOff>0</xdr:rowOff>
                  </from>
                  <to>
                    <xdr:col>22</xdr:col>
                    <xdr:colOff>182880</xdr:colOff>
                    <xdr:row>406</xdr:row>
                    <xdr:rowOff>182880</xdr:rowOff>
                  </to>
                </anchor>
              </controlPr>
            </control>
          </mc:Choice>
        </mc:AlternateContent>
        <mc:AlternateContent xmlns:mc="http://schemas.openxmlformats.org/markup-compatibility/2006">
          <mc:Choice Requires="x14">
            <control shapeId="15663" r:id="rId107" name="Check Box 303">
              <controlPr locked="0" defaultSize="0" autoFill="0" autoLine="0" autoPict="0">
                <anchor moveWithCells="1" sizeWithCells="1">
                  <from>
                    <xdr:col>22</xdr:col>
                    <xdr:colOff>0</xdr:colOff>
                    <xdr:row>408</xdr:row>
                    <xdr:rowOff>0</xdr:rowOff>
                  </from>
                  <to>
                    <xdr:col>22</xdr:col>
                    <xdr:colOff>182880</xdr:colOff>
                    <xdr:row>408</xdr:row>
                    <xdr:rowOff>182880</xdr:rowOff>
                  </to>
                </anchor>
              </controlPr>
            </control>
          </mc:Choice>
        </mc:AlternateContent>
        <mc:AlternateContent xmlns:mc="http://schemas.openxmlformats.org/markup-compatibility/2006">
          <mc:Choice Requires="x14">
            <control shapeId="15664" r:id="rId108" name="Check Box 304">
              <controlPr locked="0" defaultSize="0" autoFill="0" autoLine="0" autoPict="0">
                <anchor moveWithCells="1" sizeWithCells="1">
                  <from>
                    <xdr:col>22</xdr:col>
                    <xdr:colOff>0</xdr:colOff>
                    <xdr:row>410</xdr:row>
                    <xdr:rowOff>0</xdr:rowOff>
                  </from>
                  <to>
                    <xdr:col>22</xdr:col>
                    <xdr:colOff>182880</xdr:colOff>
                    <xdr:row>410</xdr:row>
                    <xdr:rowOff>182880</xdr:rowOff>
                  </to>
                </anchor>
              </controlPr>
            </control>
          </mc:Choice>
        </mc:AlternateContent>
        <mc:AlternateContent xmlns:mc="http://schemas.openxmlformats.org/markup-compatibility/2006">
          <mc:Choice Requires="x14">
            <control shapeId="15665" r:id="rId109" name="Check Box 305">
              <controlPr locked="0" defaultSize="0" autoFill="0" autoLine="0" autoPict="0">
                <anchor moveWithCells="1" sizeWithCells="1">
                  <from>
                    <xdr:col>22</xdr:col>
                    <xdr:colOff>0</xdr:colOff>
                    <xdr:row>422</xdr:row>
                    <xdr:rowOff>0</xdr:rowOff>
                  </from>
                  <to>
                    <xdr:col>22</xdr:col>
                    <xdr:colOff>182880</xdr:colOff>
                    <xdr:row>422</xdr:row>
                    <xdr:rowOff>182880</xdr:rowOff>
                  </to>
                </anchor>
              </controlPr>
            </control>
          </mc:Choice>
        </mc:AlternateContent>
        <mc:AlternateContent xmlns:mc="http://schemas.openxmlformats.org/markup-compatibility/2006">
          <mc:Choice Requires="x14">
            <control shapeId="15666" r:id="rId110" name="Check Box 306">
              <controlPr locked="0" defaultSize="0" autoFill="0" autoLine="0" autoPict="0">
                <anchor moveWithCells="1" sizeWithCells="1">
                  <from>
                    <xdr:col>22</xdr:col>
                    <xdr:colOff>0</xdr:colOff>
                    <xdr:row>432</xdr:row>
                    <xdr:rowOff>0</xdr:rowOff>
                  </from>
                  <to>
                    <xdr:col>22</xdr:col>
                    <xdr:colOff>182880</xdr:colOff>
                    <xdr:row>432</xdr:row>
                    <xdr:rowOff>182880</xdr:rowOff>
                  </to>
                </anchor>
              </controlPr>
            </control>
          </mc:Choice>
        </mc:AlternateContent>
        <mc:AlternateContent xmlns:mc="http://schemas.openxmlformats.org/markup-compatibility/2006">
          <mc:Choice Requires="x14">
            <control shapeId="15667" r:id="rId111" name="Check Box 307">
              <controlPr locked="0" defaultSize="0" autoFill="0" autoLine="0" autoPict="0">
                <anchor moveWithCells="1" sizeWithCells="1">
                  <from>
                    <xdr:col>22</xdr:col>
                    <xdr:colOff>0</xdr:colOff>
                    <xdr:row>435</xdr:row>
                    <xdr:rowOff>0</xdr:rowOff>
                  </from>
                  <to>
                    <xdr:col>22</xdr:col>
                    <xdr:colOff>182880</xdr:colOff>
                    <xdr:row>435</xdr:row>
                    <xdr:rowOff>182880</xdr:rowOff>
                  </to>
                </anchor>
              </controlPr>
            </control>
          </mc:Choice>
        </mc:AlternateContent>
        <mc:AlternateContent xmlns:mc="http://schemas.openxmlformats.org/markup-compatibility/2006">
          <mc:Choice Requires="x14">
            <control shapeId="15668" r:id="rId112" name="Check Box 308">
              <controlPr locked="0" defaultSize="0" autoFill="0" autoLine="0" autoPict="0">
                <anchor moveWithCells="1" sizeWithCells="1">
                  <from>
                    <xdr:col>22</xdr:col>
                    <xdr:colOff>0</xdr:colOff>
                    <xdr:row>436</xdr:row>
                    <xdr:rowOff>0</xdr:rowOff>
                  </from>
                  <to>
                    <xdr:col>22</xdr:col>
                    <xdr:colOff>182880</xdr:colOff>
                    <xdr:row>436</xdr:row>
                    <xdr:rowOff>182880</xdr:rowOff>
                  </to>
                </anchor>
              </controlPr>
            </control>
          </mc:Choice>
        </mc:AlternateContent>
        <mc:AlternateContent xmlns:mc="http://schemas.openxmlformats.org/markup-compatibility/2006">
          <mc:Choice Requires="x14">
            <control shapeId="15669" r:id="rId113" name="Check Box 309">
              <controlPr locked="0" defaultSize="0" autoFill="0" autoLine="0" autoPict="0">
                <anchor moveWithCells="1" sizeWithCells="1">
                  <from>
                    <xdr:col>22</xdr:col>
                    <xdr:colOff>0</xdr:colOff>
                    <xdr:row>446</xdr:row>
                    <xdr:rowOff>0</xdr:rowOff>
                  </from>
                  <to>
                    <xdr:col>22</xdr:col>
                    <xdr:colOff>182880</xdr:colOff>
                    <xdr:row>446</xdr:row>
                    <xdr:rowOff>182880</xdr:rowOff>
                  </to>
                </anchor>
              </controlPr>
            </control>
          </mc:Choice>
        </mc:AlternateContent>
        <mc:AlternateContent xmlns:mc="http://schemas.openxmlformats.org/markup-compatibility/2006">
          <mc:Choice Requires="x14">
            <control shapeId="15670" r:id="rId114" name="Check Box 310">
              <controlPr locked="0" defaultSize="0" autoFill="0" autoLine="0" autoPict="0">
                <anchor moveWithCells="1" sizeWithCells="1">
                  <from>
                    <xdr:col>22</xdr:col>
                    <xdr:colOff>0</xdr:colOff>
                    <xdr:row>448</xdr:row>
                    <xdr:rowOff>0</xdr:rowOff>
                  </from>
                  <to>
                    <xdr:col>22</xdr:col>
                    <xdr:colOff>182880</xdr:colOff>
                    <xdr:row>448</xdr:row>
                    <xdr:rowOff>182880</xdr:rowOff>
                  </to>
                </anchor>
              </controlPr>
            </control>
          </mc:Choice>
        </mc:AlternateContent>
        <mc:AlternateContent xmlns:mc="http://schemas.openxmlformats.org/markup-compatibility/2006">
          <mc:Choice Requires="x14">
            <control shapeId="15671" r:id="rId115" name="Check Box 311">
              <controlPr locked="0" defaultSize="0" autoFill="0" autoLine="0" autoPict="0">
                <anchor moveWithCells="1" sizeWithCells="1">
                  <from>
                    <xdr:col>22</xdr:col>
                    <xdr:colOff>0</xdr:colOff>
                    <xdr:row>464</xdr:row>
                    <xdr:rowOff>0</xdr:rowOff>
                  </from>
                  <to>
                    <xdr:col>22</xdr:col>
                    <xdr:colOff>182880</xdr:colOff>
                    <xdr:row>464</xdr:row>
                    <xdr:rowOff>182880</xdr:rowOff>
                  </to>
                </anchor>
              </controlPr>
            </control>
          </mc:Choice>
        </mc:AlternateContent>
        <mc:AlternateContent xmlns:mc="http://schemas.openxmlformats.org/markup-compatibility/2006">
          <mc:Choice Requires="x14">
            <control shapeId="15672" r:id="rId116" name="Check Box 312">
              <controlPr locked="0" defaultSize="0" autoFill="0" autoLine="0" autoPict="0">
                <anchor moveWithCells="1" sizeWithCells="1">
                  <from>
                    <xdr:col>22</xdr:col>
                    <xdr:colOff>0</xdr:colOff>
                    <xdr:row>475</xdr:row>
                    <xdr:rowOff>0</xdr:rowOff>
                  </from>
                  <to>
                    <xdr:col>22</xdr:col>
                    <xdr:colOff>182880</xdr:colOff>
                    <xdr:row>475</xdr:row>
                    <xdr:rowOff>182880</xdr:rowOff>
                  </to>
                </anchor>
              </controlPr>
            </control>
          </mc:Choice>
        </mc:AlternateContent>
        <mc:AlternateContent xmlns:mc="http://schemas.openxmlformats.org/markup-compatibility/2006">
          <mc:Choice Requires="x14">
            <control shapeId="15673" r:id="rId117" name="Check Box 313">
              <controlPr locked="0" defaultSize="0" autoFill="0" autoLine="0" autoPict="0">
                <anchor moveWithCells="1" sizeWithCells="1">
                  <from>
                    <xdr:col>22</xdr:col>
                    <xdr:colOff>0</xdr:colOff>
                    <xdr:row>476</xdr:row>
                    <xdr:rowOff>0</xdr:rowOff>
                  </from>
                  <to>
                    <xdr:col>22</xdr:col>
                    <xdr:colOff>182880</xdr:colOff>
                    <xdr:row>476</xdr:row>
                    <xdr:rowOff>182880</xdr:rowOff>
                  </to>
                </anchor>
              </controlPr>
            </control>
          </mc:Choice>
        </mc:AlternateContent>
        <mc:AlternateContent xmlns:mc="http://schemas.openxmlformats.org/markup-compatibility/2006">
          <mc:Choice Requires="x14">
            <control shapeId="15674" r:id="rId118" name="Check Box 314">
              <controlPr locked="0" defaultSize="0" autoFill="0" autoLine="0" autoPict="0">
                <anchor moveWithCells="1" sizeWithCells="1">
                  <from>
                    <xdr:col>22</xdr:col>
                    <xdr:colOff>0</xdr:colOff>
                    <xdr:row>481</xdr:row>
                    <xdr:rowOff>0</xdr:rowOff>
                  </from>
                  <to>
                    <xdr:col>22</xdr:col>
                    <xdr:colOff>182880</xdr:colOff>
                    <xdr:row>481</xdr:row>
                    <xdr:rowOff>182880</xdr:rowOff>
                  </to>
                </anchor>
              </controlPr>
            </control>
          </mc:Choice>
        </mc:AlternateContent>
        <mc:AlternateContent xmlns:mc="http://schemas.openxmlformats.org/markup-compatibility/2006">
          <mc:Choice Requires="x14">
            <control shapeId="15675" r:id="rId119" name="Check Box 315">
              <controlPr locked="0" defaultSize="0" autoFill="0" autoLine="0" autoPict="0">
                <anchor moveWithCells="1" sizeWithCells="1">
                  <from>
                    <xdr:col>22</xdr:col>
                    <xdr:colOff>0</xdr:colOff>
                    <xdr:row>483</xdr:row>
                    <xdr:rowOff>0</xdr:rowOff>
                  </from>
                  <to>
                    <xdr:col>22</xdr:col>
                    <xdr:colOff>182880</xdr:colOff>
                    <xdr:row>483</xdr:row>
                    <xdr:rowOff>182880</xdr:rowOff>
                  </to>
                </anchor>
              </controlPr>
            </control>
          </mc:Choice>
        </mc:AlternateContent>
        <mc:AlternateContent xmlns:mc="http://schemas.openxmlformats.org/markup-compatibility/2006">
          <mc:Choice Requires="x14">
            <control shapeId="15676" r:id="rId120" name="Check Box 316">
              <controlPr locked="0" defaultSize="0" autoFill="0" autoLine="0" autoPict="0">
                <anchor moveWithCells="1" sizeWithCells="1">
                  <from>
                    <xdr:col>22</xdr:col>
                    <xdr:colOff>0</xdr:colOff>
                    <xdr:row>484</xdr:row>
                    <xdr:rowOff>0</xdr:rowOff>
                  </from>
                  <to>
                    <xdr:col>22</xdr:col>
                    <xdr:colOff>182880</xdr:colOff>
                    <xdr:row>484</xdr:row>
                    <xdr:rowOff>182880</xdr:rowOff>
                  </to>
                </anchor>
              </controlPr>
            </control>
          </mc:Choice>
        </mc:AlternateContent>
        <mc:AlternateContent xmlns:mc="http://schemas.openxmlformats.org/markup-compatibility/2006">
          <mc:Choice Requires="x14">
            <control shapeId="15677" r:id="rId121" name="Check Box 317">
              <controlPr locked="0" defaultSize="0" autoFill="0" autoLine="0" autoPict="0">
                <anchor moveWithCells="1" sizeWithCells="1">
                  <from>
                    <xdr:col>22</xdr:col>
                    <xdr:colOff>0</xdr:colOff>
                    <xdr:row>487</xdr:row>
                    <xdr:rowOff>0</xdr:rowOff>
                  </from>
                  <to>
                    <xdr:col>22</xdr:col>
                    <xdr:colOff>182880</xdr:colOff>
                    <xdr:row>487</xdr:row>
                    <xdr:rowOff>182880</xdr:rowOff>
                  </to>
                </anchor>
              </controlPr>
            </control>
          </mc:Choice>
        </mc:AlternateContent>
        <mc:AlternateContent xmlns:mc="http://schemas.openxmlformats.org/markup-compatibility/2006">
          <mc:Choice Requires="x14">
            <control shapeId="15678" r:id="rId122" name="Check Box 318">
              <controlPr locked="0" defaultSize="0" autoFill="0" autoLine="0" autoPict="0">
                <anchor moveWithCells="1" sizeWithCells="1">
                  <from>
                    <xdr:col>22</xdr:col>
                    <xdr:colOff>0</xdr:colOff>
                    <xdr:row>491</xdr:row>
                    <xdr:rowOff>0</xdr:rowOff>
                  </from>
                  <to>
                    <xdr:col>22</xdr:col>
                    <xdr:colOff>182880</xdr:colOff>
                    <xdr:row>491</xdr:row>
                    <xdr:rowOff>182880</xdr:rowOff>
                  </to>
                </anchor>
              </controlPr>
            </control>
          </mc:Choice>
        </mc:AlternateContent>
        <mc:AlternateContent xmlns:mc="http://schemas.openxmlformats.org/markup-compatibility/2006">
          <mc:Choice Requires="x14">
            <control shapeId="15679" r:id="rId123" name="Check Box 319">
              <controlPr locked="0" defaultSize="0" autoFill="0" autoLine="0" autoPict="0">
                <anchor moveWithCells="1" sizeWithCells="1">
                  <from>
                    <xdr:col>22</xdr:col>
                    <xdr:colOff>0</xdr:colOff>
                    <xdr:row>496</xdr:row>
                    <xdr:rowOff>0</xdr:rowOff>
                  </from>
                  <to>
                    <xdr:col>22</xdr:col>
                    <xdr:colOff>182880</xdr:colOff>
                    <xdr:row>496</xdr:row>
                    <xdr:rowOff>182880</xdr:rowOff>
                  </to>
                </anchor>
              </controlPr>
            </control>
          </mc:Choice>
        </mc:AlternateContent>
        <mc:AlternateContent xmlns:mc="http://schemas.openxmlformats.org/markup-compatibility/2006">
          <mc:Choice Requires="x14">
            <control shapeId="15680" r:id="rId124" name="Check Box 320">
              <controlPr locked="0" defaultSize="0" autoFill="0" autoLine="0" autoPict="0">
                <anchor moveWithCells="1" sizeWithCells="1">
                  <from>
                    <xdr:col>22</xdr:col>
                    <xdr:colOff>0</xdr:colOff>
                    <xdr:row>498</xdr:row>
                    <xdr:rowOff>0</xdr:rowOff>
                  </from>
                  <to>
                    <xdr:col>22</xdr:col>
                    <xdr:colOff>182880</xdr:colOff>
                    <xdr:row>498</xdr:row>
                    <xdr:rowOff>182880</xdr:rowOff>
                  </to>
                </anchor>
              </controlPr>
            </control>
          </mc:Choice>
        </mc:AlternateContent>
        <mc:AlternateContent xmlns:mc="http://schemas.openxmlformats.org/markup-compatibility/2006">
          <mc:Choice Requires="x14">
            <control shapeId="15681" r:id="rId125" name="Check Box 321">
              <controlPr locked="0" defaultSize="0" autoFill="0" autoLine="0" autoPict="0">
                <anchor moveWithCells="1" sizeWithCells="1">
                  <from>
                    <xdr:col>22</xdr:col>
                    <xdr:colOff>0</xdr:colOff>
                    <xdr:row>515</xdr:row>
                    <xdr:rowOff>0</xdr:rowOff>
                  </from>
                  <to>
                    <xdr:col>22</xdr:col>
                    <xdr:colOff>182880</xdr:colOff>
                    <xdr:row>515</xdr:row>
                    <xdr:rowOff>182880</xdr:rowOff>
                  </to>
                </anchor>
              </controlPr>
            </control>
          </mc:Choice>
        </mc:AlternateContent>
        <mc:AlternateContent xmlns:mc="http://schemas.openxmlformats.org/markup-compatibility/2006">
          <mc:Choice Requires="x14">
            <control shapeId="15682" r:id="rId126" name="Check Box 322">
              <controlPr locked="0" defaultSize="0" autoFill="0" autoLine="0" autoPict="0">
                <anchor moveWithCells="1" sizeWithCells="1">
                  <from>
                    <xdr:col>22</xdr:col>
                    <xdr:colOff>0</xdr:colOff>
                    <xdr:row>531</xdr:row>
                    <xdr:rowOff>0</xdr:rowOff>
                  </from>
                  <to>
                    <xdr:col>22</xdr:col>
                    <xdr:colOff>182880</xdr:colOff>
                    <xdr:row>531</xdr:row>
                    <xdr:rowOff>182880</xdr:rowOff>
                  </to>
                </anchor>
              </controlPr>
            </control>
          </mc:Choice>
        </mc:AlternateContent>
        <mc:AlternateContent xmlns:mc="http://schemas.openxmlformats.org/markup-compatibility/2006">
          <mc:Choice Requires="x14">
            <control shapeId="15683" r:id="rId127" name="Check Box 323">
              <controlPr locked="0" defaultSize="0" autoFill="0" autoLine="0" autoPict="0">
                <anchor moveWithCells="1" sizeWithCells="1">
                  <from>
                    <xdr:col>22</xdr:col>
                    <xdr:colOff>0</xdr:colOff>
                    <xdr:row>544</xdr:row>
                    <xdr:rowOff>0</xdr:rowOff>
                  </from>
                  <to>
                    <xdr:col>22</xdr:col>
                    <xdr:colOff>182880</xdr:colOff>
                    <xdr:row>544</xdr:row>
                    <xdr:rowOff>182880</xdr:rowOff>
                  </to>
                </anchor>
              </controlPr>
            </control>
          </mc:Choice>
        </mc:AlternateContent>
        <mc:AlternateContent xmlns:mc="http://schemas.openxmlformats.org/markup-compatibility/2006">
          <mc:Choice Requires="x14">
            <control shapeId="15684" r:id="rId128" name="Check Box 324">
              <controlPr locked="0" defaultSize="0" autoFill="0" autoLine="0" autoPict="0">
                <anchor moveWithCells="1" sizeWithCells="1">
                  <from>
                    <xdr:col>22</xdr:col>
                    <xdr:colOff>0</xdr:colOff>
                    <xdr:row>546</xdr:row>
                    <xdr:rowOff>0</xdr:rowOff>
                  </from>
                  <to>
                    <xdr:col>22</xdr:col>
                    <xdr:colOff>182880</xdr:colOff>
                    <xdr:row>546</xdr:row>
                    <xdr:rowOff>182880</xdr:rowOff>
                  </to>
                </anchor>
              </controlPr>
            </control>
          </mc:Choice>
        </mc:AlternateContent>
        <mc:AlternateContent xmlns:mc="http://schemas.openxmlformats.org/markup-compatibility/2006">
          <mc:Choice Requires="x14">
            <control shapeId="15685" r:id="rId129" name="Check Box 325">
              <controlPr locked="0" defaultSize="0" autoFill="0" autoLine="0" autoPict="0">
                <anchor moveWithCells="1" sizeWithCells="1">
                  <from>
                    <xdr:col>22</xdr:col>
                    <xdr:colOff>0</xdr:colOff>
                    <xdr:row>559</xdr:row>
                    <xdr:rowOff>0</xdr:rowOff>
                  </from>
                  <to>
                    <xdr:col>22</xdr:col>
                    <xdr:colOff>182880</xdr:colOff>
                    <xdr:row>559</xdr:row>
                    <xdr:rowOff>182880</xdr:rowOff>
                  </to>
                </anchor>
              </controlPr>
            </control>
          </mc:Choice>
        </mc:AlternateContent>
        <mc:AlternateContent xmlns:mc="http://schemas.openxmlformats.org/markup-compatibility/2006">
          <mc:Choice Requires="x14">
            <control shapeId="15686" r:id="rId130" name="Check Box 326">
              <controlPr locked="0" defaultSize="0" autoFill="0" autoLine="0" autoPict="0">
                <anchor moveWithCells="1" sizeWithCells="1">
                  <from>
                    <xdr:col>22</xdr:col>
                    <xdr:colOff>0</xdr:colOff>
                    <xdr:row>560</xdr:row>
                    <xdr:rowOff>0</xdr:rowOff>
                  </from>
                  <to>
                    <xdr:col>22</xdr:col>
                    <xdr:colOff>182880</xdr:colOff>
                    <xdr:row>560</xdr:row>
                    <xdr:rowOff>182880</xdr:rowOff>
                  </to>
                </anchor>
              </controlPr>
            </control>
          </mc:Choice>
        </mc:AlternateContent>
        <mc:AlternateContent xmlns:mc="http://schemas.openxmlformats.org/markup-compatibility/2006">
          <mc:Choice Requires="x14">
            <control shapeId="15687" r:id="rId131" name="Check Box 327">
              <controlPr locked="0" defaultSize="0" autoFill="0" autoLine="0" autoPict="0">
                <anchor moveWithCells="1" sizeWithCells="1">
                  <from>
                    <xdr:col>22</xdr:col>
                    <xdr:colOff>0</xdr:colOff>
                    <xdr:row>561</xdr:row>
                    <xdr:rowOff>0</xdr:rowOff>
                  </from>
                  <to>
                    <xdr:col>22</xdr:col>
                    <xdr:colOff>182880</xdr:colOff>
                    <xdr:row>561</xdr:row>
                    <xdr:rowOff>182880</xdr:rowOff>
                  </to>
                </anchor>
              </controlPr>
            </control>
          </mc:Choice>
        </mc:AlternateContent>
        <mc:AlternateContent xmlns:mc="http://schemas.openxmlformats.org/markup-compatibility/2006">
          <mc:Choice Requires="x14">
            <control shapeId="15688" r:id="rId132" name="Check Box 328">
              <controlPr locked="0" defaultSize="0" autoFill="0" autoLine="0" autoPict="0">
                <anchor moveWithCells="1" sizeWithCells="1">
                  <from>
                    <xdr:col>22</xdr:col>
                    <xdr:colOff>0</xdr:colOff>
                    <xdr:row>562</xdr:row>
                    <xdr:rowOff>0</xdr:rowOff>
                  </from>
                  <to>
                    <xdr:col>22</xdr:col>
                    <xdr:colOff>182880</xdr:colOff>
                    <xdr:row>562</xdr:row>
                    <xdr:rowOff>182880</xdr:rowOff>
                  </to>
                </anchor>
              </controlPr>
            </control>
          </mc:Choice>
        </mc:AlternateContent>
        <mc:AlternateContent xmlns:mc="http://schemas.openxmlformats.org/markup-compatibility/2006">
          <mc:Choice Requires="x14">
            <control shapeId="15689" r:id="rId133" name="Check Box 329">
              <controlPr locked="0" defaultSize="0" autoFill="0" autoLine="0" autoPict="0">
                <anchor moveWithCells="1" sizeWithCells="1">
                  <from>
                    <xdr:col>22</xdr:col>
                    <xdr:colOff>0</xdr:colOff>
                    <xdr:row>563</xdr:row>
                    <xdr:rowOff>0</xdr:rowOff>
                  </from>
                  <to>
                    <xdr:col>22</xdr:col>
                    <xdr:colOff>182880</xdr:colOff>
                    <xdr:row>563</xdr:row>
                    <xdr:rowOff>182880</xdr:rowOff>
                  </to>
                </anchor>
              </controlPr>
            </control>
          </mc:Choice>
        </mc:AlternateContent>
        <mc:AlternateContent xmlns:mc="http://schemas.openxmlformats.org/markup-compatibility/2006">
          <mc:Choice Requires="x14">
            <control shapeId="15690" r:id="rId134" name="Check Box 330">
              <controlPr locked="0" defaultSize="0" autoFill="0" autoLine="0" autoPict="0">
                <anchor moveWithCells="1" sizeWithCells="1">
                  <from>
                    <xdr:col>22</xdr:col>
                    <xdr:colOff>0</xdr:colOff>
                    <xdr:row>564</xdr:row>
                    <xdr:rowOff>0</xdr:rowOff>
                  </from>
                  <to>
                    <xdr:col>22</xdr:col>
                    <xdr:colOff>182880</xdr:colOff>
                    <xdr:row>564</xdr:row>
                    <xdr:rowOff>182880</xdr:rowOff>
                  </to>
                </anchor>
              </controlPr>
            </control>
          </mc:Choice>
        </mc:AlternateContent>
        <mc:AlternateContent xmlns:mc="http://schemas.openxmlformats.org/markup-compatibility/2006">
          <mc:Choice Requires="x14">
            <control shapeId="15691" r:id="rId135" name="Check Box 331">
              <controlPr locked="0" defaultSize="0" autoFill="0" autoLine="0" autoPict="0">
                <anchor moveWithCells="1" sizeWithCells="1">
                  <from>
                    <xdr:col>22</xdr:col>
                    <xdr:colOff>0</xdr:colOff>
                    <xdr:row>565</xdr:row>
                    <xdr:rowOff>0</xdr:rowOff>
                  </from>
                  <to>
                    <xdr:col>22</xdr:col>
                    <xdr:colOff>182880</xdr:colOff>
                    <xdr:row>565</xdr:row>
                    <xdr:rowOff>182880</xdr:rowOff>
                  </to>
                </anchor>
              </controlPr>
            </control>
          </mc:Choice>
        </mc:AlternateContent>
        <mc:AlternateContent xmlns:mc="http://schemas.openxmlformats.org/markup-compatibility/2006">
          <mc:Choice Requires="x14">
            <control shapeId="15692" r:id="rId136" name="Check Box 332">
              <controlPr locked="0" defaultSize="0" autoFill="0" autoLine="0" autoPict="0">
                <anchor moveWithCells="1" sizeWithCells="1">
                  <from>
                    <xdr:col>22</xdr:col>
                    <xdr:colOff>0</xdr:colOff>
                    <xdr:row>566</xdr:row>
                    <xdr:rowOff>0</xdr:rowOff>
                  </from>
                  <to>
                    <xdr:col>22</xdr:col>
                    <xdr:colOff>182880</xdr:colOff>
                    <xdr:row>566</xdr:row>
                    <xdr:rowOff>182880</xdr:rowOff>
                  </to>
                </anchor>
              </controlPr>
            </control>
          </mc:Choice>
        </mc:AlternateContent>
        <mc:AlternateContent xmlns:mc="http://schemas.openxmlformats.org/markup-compatibility/2006">
          <mc:Choice Requires="x14">
            <control shapeId="15693" r:id="rId137" name="Check Box 333">
              <controlPr locked="0" defaultSize="0" autoFill="0" autoLine="0" autoPict="0">
                <anchor moveWithCells="1" sizeWithCells="1">
                  <from>
                    <xdr:col>22</xdr:col>
                    <xdr:colOff>0</xdr:colOff>
                    <xdr:row>567</xdr:row>
                    <xdr:rowOff>0</xdr:rowOff>
                  </from>
                  <to>
                    <xdr:col>22</xdr:col>
                    <xdr:colOff>182880</xdr:colOff>
                    <xdr:row>567</xdr:row>
                    <xdr:rowOff>182880</xdr:rowOff>
                  </to>
                </anchor>
              </controlPr>
            </control>
          </mc:Choice>
        </mc:AlternateContent>
        <mc:AlternateContent xmlns:mc="http://schemas.openxmlformats.org/markup-compatibility/2006">
          <mc:Choice Requires="x14">
            <control shapeId="15694" r:id="rId138" name="Check Box 334">
              <controlPr locked="0" defaultSize="0" autoFill="0" autoLine="0" autoPict="0">
                <anchor moveWithCells="1" sizeWithCells="1">
                  <from>
                    <xdr:col>22</xdr:col>
                    <xdr:colOff>0</xdr:colOff>
                    <xdr:row>614</xdr:row>
                    <xdr:rowOff>0</xdr:rowOff>
                  </from>
                  <to>
                    <xdr:col>22</xdr:col>
                    <xdr:colOff>182880</xdr:colOff>
                    <xdr:row>614</xdr:row>
                    <xdr:rowOff>182880</xdr:rowOff>
                  </to>
                </anchor>
              </controlPr>
            </control>
          </mc:Choice>
        </mc:AlternateContent>
        <mc:AlternateContent xmlns:mc="http://schemas.openxmlformats.org/markup-compatibility/2006">
          <mc:Choice Requires="x14">
            <control shapeId="15695" r:id="rId139" name="Check Box 335">
              <controlPr locked="0" defaultSize="0" autoFill="0" autoLine="0" autoPict="0">
                <anchor moveWithCells="1" sizeWithCells="1">
                  <from>
                    <xdr:col>22</xdr:col>
                    <xdr:colOff>0</xdr:colOff>
                    <xdr:row>616</xdr:row>
                    <xdr:rowOff>0</xdr:rowOff>
                  </from>
                  <to>
                    <xdr:col>22</xdr:col>
                    <xdr:colOff>182880</xdr:colOff>
                    <xdr:row>616</xdr:row>
                    <xdr:rowOff>182880</xdr:rowOff>
                  </to>
                </anchor>
              </controlPr>
            </control>
          </mc:Choice>
        </mc:AlternateContent>
        <mc:AlternateContent xmlns:mc="http://schemas.openxmlformats.org/markup-compatibility/2006">
          <mc:Choice Requires="x14">
            <control shapeId="15696" r:id="rId140" name="Check Box 336">
              <controlPr locked="0" defaultSize="0" autoFill="0" autoLine="0" autoPict="0">
                <anchor moveWithCells="1" sizeWithCells="1">
                  <from>
                    <xdr:col>22</xdr:col>
                    <xdr:colOff>0</xdr:colOff>
                    <xdr:row>617</xdr:row>
                    <xdr:rowOff>0</xdr:rowOff>
                  </from>
                  <to>
                    <xdr:col>22</xdr:col>
                    <xdr:colOff>182880</xdr:colOff>
                    <xdr:row>617</xdr:row>
                    <xdr:rowOff>182880</xdr:rowOff>
                  </to>
                </anchor>
              </controlPr>
            </control>
          </mc:Choice>
        </mc:AlternateContent>
        <mc:AlternateContent xmlns:mc="http://schemas.openxmlformats.org/markup-compatibility/2006">
          <mc:Choice Requires="x14">
            <control shapeId="15697" r:id="rId141" name="Check Box 337">
              <controlPr locked="0" defaultSize="0" autoFill="0" autoLine="0" autoPict="0">
                <anchor moveWithCells="1" sizeWithCells="1">
                  <from>
                    <xdr:col>22</xdr:col>
                    <xdr:colOff>0</xdr:colOff>
                    <xdr:row>645</xdr:row>
                    <xdr:rowOff>0</xdr:rowOff>
                  </from>
                  <to>
                    <xdr:col>22</xdr:col>
                    <xdr:colOff>182880</xdr:colOff>
                    <xdr:row>645</xdr:row>
                    <xdr:rowOff>182880</xdr:rowOff>
                  </to>
                </anchor>
              </controlPr>
            </control>
          </mc:Choice>
        </mc:AlternateContent>
        <mc:AlternateContent xmlns:mc="http://schemas.openxmlformats.org/markup-compatibility/2006">
          <mc:Choice Requires="x14">
            <control shapeId="15698" r:id="rId142" name="Check Box 338">
              <controlPr locked="0" defaultSize="0" autoFill="0" autoLine="0" autoPict="0">
                <anchor moveWithCells="1" sizeWithCells="1">
                  <from>
                    <xdr:col>22</xdr:col>
                    <xdr:colOff>0</xdr:colOff>
                    <xdr:row>654</xdr:row>
                    <xdr:rowOff>0</xdr:rowOff>
                  </from>
                  <to>
                    <xdr:col>22</xdr:col>
                    <xdr:colOff>182880</xdr:colOff>
                    <xdr:row>654</xdr:row>
                    <xdr:rowOff>182880</xdr:rowOff>
                  </to>
                </anchor>
              </controlPr>
            </control>
          </mc:Choice>
        </mc:AlternateContent>
        <mc:AlternateContent xmlns:mc="http://schemas.openxmlformats.org/markup-compatibility/2006">
          <mc:Choice Requires="x14">
            <control shapeId="15699" r:id="rId143" name="Check Box 339">
              <controlPr locked="0" defaultSize="0" autoFill="0" autoLine="0" autoPict="0">
                <anchor moveWithCells="1" sizeWithCells="1">
                  <from>
                    <xdr:col>22</xdr:col>
                    <xdr:colOff>0</xdr:colOff>
                    <xdr:row>661</xdr:row>
                    <xdr:rowOff>0</xdr:rowOff>
                  </from>
                  <to>
                    <xdr:col>22</xdr:col>
                    <xdr:colOff>182880</xdr:colOff>
                    <xdr:row>661</xdr:row>
                    <xdr:rowOff>182880</xdr:rowOff>
                  </to>
                </anchor>
              </controlPr>
            </control>
          </mc:Choice>
        </mc:AlternateContent>
        <mc:AlternateContent xmlns:mc="http://schemas.openxmlformats.org/markup-compatibility/2006">
          <mc:Choice Requires="x14">
            <control shapeId="15700" r:id="rId144" name="Check Box 340">
              <controlPr locked="0" defaultSize="0" autoFill="0" autoLine="0" autoPict="0">
                <anchor moveWithCells="1" sizeWithCells="1">
                  <from>
                    <xdr:col>22</xdr:col>
                    <xdr:colOff>0</xdr:colOff>
                    <xdr:row>717</xdr:row>
                    <xdr:rowOff>0</xdr:rowOff>
                  </from>
                  <to>
                    <xdr:col>22</xdr:col>
                    <xdr:colOff>182880</xdr:colOff>
                    <xdr:row>717</xdr:row>
                    <xdr:rowOff>182880</xdr:rowOff>
                  </to>
                </anchor>
              </controlPr>
            </control>
          </mc:Choice>
        </mc:AlternateContent>
        <mc:AlternateContent xmlns:mc="http://schemas.openxmlformats.org/markup-compatibility/2006">
          <mc:Choice Requires="x14">
            <control shapeId="15701" r:id="rId145" name="Check Box 341">
              <controlPr locked="0" defaultSize="0" autoFill="0" autoLine="0" autoPict="0">
                <anchor moveWithCells="1" sizeWithCells="1">
                  <from>
                    <xdr:col>22</xdr:col>
                    <xdr:colOff>0</xdr:colOff>
                    <xdr:row>718</xdr:row>
                    <xdr:rowOff>0</xdr:rowOff>
                  </from>
                  <to>
                    <xdr:col>22</xdr:col>
                    <xdr:colOff>182880</xdr:colOff>
                    <xdr:row>718</xdr:row>
                    <xdr:rowOff>182880</xdr:rowOff>
                  </to>
                </anchor>
              </controlPr>
            </control>
          </mc:Choice>
        </mc:AlternateContent>
        <mc:AlternateContent xmlns:mc="http://schemas.openxmlformats.org/markup-compatibility/2006">
          <mc:Choice Requires="x14">
            <control shapeId="15702" r:id="rId146" name="Check Box 342">
              <controlPr locked="0" defaultSize="0" autoFill="0" autoLine="0" autoPict="0">
                <anchor moveWithCells="1" sizeWithCells="1">
                  <from>
                    <xdr:col>22</xdr:col>
                    <xdr:colOff>0</xdr:colOff>
                    <xdr:row>720</xdr:row>
                    <xdr:rowOff>0</xdr:rowOff>
                  </from>
                  <to>
                    <xdr:col>22</xdr:col>
                    <xdr:colOff>182880</xdr:colOff>
                    <xdr:row>720</xdr:row>
                    <xdr:rowOff>182880</xdr:rowOff>
                  </to>
                </anchor>
              </controlPr>
            </control>
          </mc:Choice>
        </mc:AlternateContent>
        <mc:AlternateContent xmlns:mc="http://schemas.openxmlformats.org/markup-compatibility/2006">
          <mc:Choice Requires="x14">
            <control shapeId="15703" r:id="rId147" name="Check Box 343">
              <controlPr locked="0" defaultSize="0" autoFill="0" autoLine="0" autoPict="0">
                <anchor moveWithCells="1" sizeWithCells="1">
                  <from>
                    <xdr:col>22</xdr:col>
                    <xdr:colOff>0</xdr:colOff>
                    <xdr:row>719</xdr:row>
                    <xdr:rowOff>0</xdr:rowOff>
                  </from>
                  <to>
                    <xdr:col>22</xdr:col>
                    <xdr:colOff>182880</xdr:colOff>
                    <xdr:row>719</xdr:row>
                    <xdr:rowOff>182880</xdr:rowOff>
                  </to>
                </anchor>
              </controlPr>
            </control>
          </mc:Choice>
        </mc:AlternateContent>
        <mc:AlternateContent xmlns:mc="http://schemas.openxmlformats.org/markup-compatibility/2006">
          <mc:Choice Requires="x14">
            <control shapeId="15704" r:id="rId148" name="Check Box 344">
              <controlPr locked="0" defaultSize="0" autoFill="0" autoLine="0" autoPict="0">
                <anchor moveWithCells="1" sizeWithCells="1">
                  <from>
                    <xdr:col>22</xdr:col>
                    <xdr:colOff>0</xdr:colOff>
                    <xdr:row>721</xdr:row>
                    <xdr:rowOff>0</xdr:rowOff>
                  </from>
                  <to>
                    <xdr:col>22</xdr:col>
                    <xdr:colOff>182880</xdr:colOff>
                    <xdr:row>721</xdr:row>
                    <xdr:rowOff>182880</xdr:rowOff>
                  </to>
                </anchor>
              </controlPr>
            </control>
          </mc:Choice>
        </mc:AlternateContent>
        <mc:AlternateContent xmlns:mc="http://schemas.openxmlformats.org/markup-compatibility/2006">
          <mc:Choice Requires="x14">
            <control shapeId="15705" r:id="rId149" name="Check Box 345">
              <controlPr locked="0" defaultSize="0" autoFill="0" autoLine="0" autoPict="0">
                <anchor moveWithCells="1" sizeWithCells="1">
                  <from>
                    <xdr:col>22</xdr:col>
                    <xdr:colOff>0</xdr:colOff>
                    <xdr:row>722</xdr:row>
                    <xdr:rowOff>0</xdr:rowOff>
                  </from>
                  <to>
                    <xdr:col>22</xdr:col>
                    <xdr:colOff>182880</xdr:colOff>
                    <xdr:row>722</xdr:row>
                    <xdr:rowOff>182880</xdr:rowOff>
                  </to>
                </anchor>
              </controlPr>
            </control>
          </mc:Choice>
        </mc:AlternateContent>
        <mc:AlternateContent xmlns:mc="http://schemas.openxmlformats.org/markup-compatibility/2006">
          <mc:Choice Requires="x14">
            <control shapeId="15706" r:id="rId150" name="Check Box 346">
              <controlPr locked="0" defaultSize="0" autoFill="0" autoLine="0" autoPict="0">
                <anchor moveWithCells="1" sizeWithCells="1">
                  <from>
                    <xdr:col>22</xdr:col>
                    <xdr:colOff>0</xdr:colOff>
                    <xdr:row>723</xdr:row>
                    <xdr:rowOff>0</xdr:rowOff>
                  </from>
                  <to>
                    <xdr:col>22</xdr:col>
                    <xdr:colOff>182880</xdr:colOff>
                    <xdr:row>723</xdr:row>
                    <xdr:rowOff>182880</xdr:rowOff>
                  </to>
                </anchor>
              </controlPr>
            </control>
          </mc:Choice>
        </mc:AlternateContent>
        <mc:AlternateContent xmlns:mc="http://schemas.openxmlformats.org/markup-compatibility/2006">
          <mc:Choice Requires="x14">
            <control shapeId="15707" r:id="rId151" name="Check Box 347">
              <controlPr locked="0" defaultSize="0" autoFill="0" autoLine="0" autoPict="0">
                <anchor moveWithCells="1" sizeWithCells="1">
                  <from>
                    <xdr:col>22</xdr:col>
                    <xdr:colOff>0</xdr:colOff>
                    <xdr:row>727</xdr:row>
                    <xdr:rowOff>0</xdr:rowOff>
                  </from>
                  <to>
                    <xdr:col>22</xdr:col>
                    <xdr:colOff>182880</xdr:colOff>
                    <xdr:row>727</xdr:row>
                    <xdr:rowOff>182880</xdr:rowOff>
                  </to>
                </anchor>
              </controlPr>
            </control>
          </mc:Choice>
        </mc:AlternateContent>
        <mc:AlternateContent xmlns:mc="http://schemas.openxmlformats.org/markup-compatibility/2006">
          <mc:Choice Requires="x14">
            <control shapeId="15708" r:id="rId152" name="Check Box 348">
              <controlPr locked="0" defaultSize="0" autoFill="0" autoLine="0" autoPict="0">
                <anchor moveWithCells="1" sizeWithCells="1">
                  <from>
                    <xdr:col>22</xdr:col>
                    <xdr:colOff>0</xdr:colOff>
                    <xdr:row>732</xdr:row>
                    <xdr:rowOff>0</xdr:rowOff>
                  </from>
                  <to>
                    <xdr:col>22</xdr:col>
                    <xdr:colOff>182880</xdr:colOff>
                    <xdr:row>732</xdr:row>
                    <xdr:rowOff>182880</xdr:rowOff>
                  </to>
                </anchor>
              </controlPr>
            </control>
          </mc:Choice>
        </mc:AlternateContent>
        <mc:AlternateContent xmlns:mc="http://schemas.openxmlformats.org/markup-compatibility/2006">
          <mc:Choice Requires="x14">
            <control shapeId="15709" r:id="rId153" name="Check Box 349">
              <controlPr locked="0" defaultSize="0" autoFill="0" autoLine="0" autoPict="0">
                <anchor moveWithCells="1" sizeWithCells="1">
                  <from>
                    <xdr:col>22</xdr:col>
                    <xdr:colOff>0</xdr:colOff>
                    <xdr:row>736</xdr:row>
                    <xdr:rowOff>0</xdr:rowOff>
                  </from>
                  <to>
                    <xdr:col>22</xdr:col>
                    <xdr:colOff>182880</xdr:colOff>
                    <xdr:row>736</xdr:row>
                    <xdr:rowOff>182880</xdr:rowOff>
                  </to>
                </anchor>
              </controlPr>
            </control>
          </mc:Choice>
        </mc:AlternateContent>
        <mc:AlternateContent xmlns:mc="http://schemas.openxmlformats.org/markup-compatibility/2006">
          <mc:Choice Requires="x14">
            <control shapeId="15710" r:id="rId154" name="Check Box 350">
              <controlPr locked="0" defaultSize="0" autoFill="0" autoLine="0" autoPict="0">
                <anchor moveWithCells="1" sizeWithCells="1">
                  <from>
                    <xdr:col>22</xdr:col>
                    <xdr:colOff>0</xdr:colOff>
                    <xdr:row>738</xdr:row>
                    <xdr:rowOff>0</xdr:rowOff>
                  </from>
                  <to>
                    <xdr:col>22</xdr:col>
                    <xdr:colOff>182880</xdr:colOff>
                    <xdr:row>738</xdr:row>
                    <xdr:rowOff>182880</xdr:rowOff>
                  </to>
                </anchor>
              </controlPr>
            </control>
          </mc:Choice>
        </mc:AlternateContent>
        <mc:AlternateContent xmlns:mc="http://schemas.openxmlformats.org/markup-compatibility/2006">
          <mc:Choice Requires="x14">
            <control shapeId="15711" r:id="rId155" name="Check Box 351">
              <controlPr locked="0" defaultSize="0" autoFill="0" autoLine="0" autoPict="0">
                <anchor moveWithCells="1" sizeWithCells="1">
                  <from>
                    <xdr:col>22</xdr:col>
                    <xdr:colOff>0</xdr:colOff>
                    <xdr:row>740</xdr:row>
                    <xdr:rowOff>0</xdr:rowOff>
                  </from>
                  <to>
                    <xdr:col>22</xdr:col>
                    <xdr:colOff>182880</xdr:colOff>
                    <xdr:row>740</xdr:row>
                    <xdr:rowOff>182880</xdr:rowOff>
                  </to>
                </anchor>
              </controlPr>
            </control>
          </mc:Choice>
        </mc:AlternateContent>
        <mc:AlternateContent xmlns:mc="http://schemas.openxmlformats.org/markup-compatibility/2006">
          <mc:Choice Requires="x14">
            <control shapeId="15712" r:id="rId156" name="Check Box 352">
              <controlPr locked="0" defaultSize="0" autoFill="0" autoLine="0" autoPict="0">
                <anchor moveWithCells="1" sizeWithCells="1">
                  <from>
                    <xdr:col>22</xdr:col>
                    <xdr:colOff>0</xdr:colOff>
                    <xdr:row>741</xdr:row>
                    <xdr:rowOff>0</xdr:rowOff>
                  </from>
                  <to>
                    <xdr:col>22</xdr:col>
                    <xdr:colOff>182880</xdr:colOff>
                    <xdr:row>741</xdr:row>
                    <xdr:rowOff>182880</xdr:rowOff>
                  </to>
                </anchor>
              </controlPr>
            </control>
          </mc:Choice>
        </mc:AlternateContent>
        <mc:AlternateContent xmlns:mc="http://schemas.openxmlformats.org/markup-compatibility/2006">
          <mc:Choice Requires="x14">
            <control shapeId="15713" r:id="rId157" name="Check Box 353">
              <controlPr locked="0" defaultSize="0" autoFill="0" autoLine="0" autoPict="0">
                <anchor moveWithCells="1" sizeWithCells="1">
                  <from>
                    <xdr:col>22</xdr:col>
                    <xdr:colOff>0</xdr:colOff>
                    <xdr:row>742</xdr:row>
                    <xdr:rowOff>0</xdr:rowOff>
                  </from>
                  <to>
                    <xdr:col>22</xdr:col>
                    <xdr:colOff>182880</xdr:colOff>
                    <xdr:row>742</xdr:row>
                    <xdr:rowOff>182880</xdr:rowOff>
                  </to>
                </anchor>
              </controlPr>
            </control>
          </mc:Choice>
        </mc:AlternateContent>
        <mc:AlternateContent xmlns:mc="http://schemas.openxmlformats.org/markup-compatibility/2006">
          <mc:Choice Requires="x14">
            <control shapeId="15714" r:id="rId158" name="Check Box 354">
              <controlPr locked="0" defaultSize="0" autoFill="0" autoLine="0" autoPict="0">
                <anchor moveWithCells="1" sizeWithCells="1">
                  <from>
                    <xdr:col>22</xdr:col>
                    <xdr:colOff>0</xdr:colOff>
                    <xdr:row>746</xdr:row>
                    <xdr:rowOff>0</xdr:rowOff>
                  </from>
                  <to>
                    <xdr:col>22</xdr:col>
                    <xdr:colOff>182880</xdr:colOff>
                    <xdr:row>746</xdr:row>
                    <xdr:rowOff>182880</xdr:rowOff>
                  </to>
                </anchor>
              </controlPr>
            </control>
          </mc:Choice>
        </mc:AlternateContent>
        <mc:AlternateContent xmlns:mc="http://schemas.openxmlformats.org/markup-compatibility/2006">
          <mc:Choice Requires="x14">
            <control shapeId="15715" r:id="rId159" name="Check Box 355">
              <controlPr locked="0" defaultSize="0" autoFill="0" autoLine="0" autoPict="0">
                <anchor moveWithCells="1" sizeWithCells="1">
                  <from>
                    <xdr:col>22</xdr:col>
                    <xdr:colOff>0</xdr:colOff>
                    <xdr:row>748</xdr:row>
                    <xdr:rowOff>0</xdr:rowOff>
                  </from>
                  <to>
                    <xdr:col>22</xdr:col>
                    <xdr:colOff>182880</xdr:colOff>
                    <xdr:row>748</xdr:row>
                    <xdr:rowOff>182880</xdr:rowOff>
                  </to>
                </anchor>
              </controlPr>
            </control>
          </mc:Choice>
        </mc:AlternateContent>
        <mc:AlternateContent xmlns:mc="http://schemas.openxmlformats.org/markup-compatibility/2006">
          <mc:Choice Requires="x14">
            <control shapeId="15804" r:id="rId160" name="Check Box 444">
              <controlPr locked="0" defaultSize="0" autoFill="0" autoLine="0" autoPict="0">
                <anchor moveWithCells="1" sizeWithCells="1">
                  <from>
                    <xdr:col>22</xdr:col>
                    <xdr:colOff>0</xdr:colOff>
                    <xdr:row>794</xdr:row>
                    <xdr:rowOff>0</xdr:rowOff>
                  </from>
                  <to>
                    <xdr:col>22</xdr:col>
                    <xdr:colOff>182880</xdr:colOff>
                    <xdr:row>794</xdr:row>
                    <xdr:rowOff>182880</xdr:rowOff>
                  </to>
                </anchor>
              </controlPr>
            </control>
          </mc:Choice>
        </mc:AlternateContent>
        <mc:AlternateContent xmlns:mc="http://schemas.openxmlformats.org/markup-compatibility/2006">
          <mc:Choice Requires="x14">
            <control shapeId="15805" r:id="rId161" name="Check Box 445">
              <controlPr locked="0" defaultSize="0" autoFill="0" autoLine="0" autoPict="0">
                <anchor moveWithCells="1" sizeWithCells="1">
                  <from>
                    <xdr:col>22</xdr:col>
                    <xdr:colOff>0</xdr:colOff>
                    <xdr:row>799</xdr:row>
                    <xdr:rowOff>0</xdr:rowOff>
                  </from>
                  <to>
                    <xdr:col>22</xdr:col>
                    <xdr:colOff>182880</xdr:colOff>
                    <xdr:row>799</xdr:row>
                    <xdr:rowOff>182880</xdr:rowOff>
                  </to>
                </anchor>
              </controlPr>
            </control>
          </mc:Choice>
        </mc:AlternateContent>
        <mc:AlternateContent xmlns:mc="http://schemas.openxmlformats.org/markup-compatibility/2006">
          <mc:Choice Requires="x14">
            <control shapeId="15806" r:id="rId162" name="Check Box 446">
              <controlPr locked="0" defaultSize="0" autoFill="0" autoLine="0" autoPict="0">
                <anchor moveWithCells="1" sizeWithCells="1">
                  <from>
                    <xdr:col>22</xdr:col>
                    <xdr:colOff>0</xdr:colOff>
                    <xdr:row>808</xdr:row>
                    <xdr:rowOff>0</xdr:rowOff>
                  </from>
                  <to>
                    <xdr:col>22</xdr:col>
                    <xdr:colOff>182880</xdr:colOff>
                    <xdr:row>808</xdr:row>
                    <xdr:rowOff>182880</xdr:rowOff>
                  </to>
                </anchor>
              </controlPr>
            </control>
          </mc:Choice>
        </mc:AlternateContent>
        <mc:AlternateContent xmlns:mc="http://schemas.openxmlformats.org/markup-compatibility/2006">
          <mc:Choice Requires="x14">
            <control shapeId="15807" r:id="rId163" name="Check Box 447">
              <controlPr locked="0" defaultSize="0" autoFill="0" autoLine="0" autoPict="0">
                <anchor moveWithCells="1" sizeWithCells="1">
                  <from>
                    <xdr:col>22</xdr:col>
                    <xdr:colOff>0</xdr:colOff>
                    <xdr:row>811</xdr:row>
                    <xdr:rowOff>0</xdr:rowOff>
                  </from>
                  <to>
                    <xdr:col>22</xdr:col>
                    <xdr:colOff>182880</xdr:colOff>
                    <xdr:row>811</xdr:row>
                    <xdr:rowOff>182880</xdr:rowOff>
                  </to>
                </anchor>
              </controlPr>
            </control>
          </mc:Choice>
        </mc:AlternateContent>
        <mc:AlternateContent xmlns:mc="http://schemas.openxmlformats.org/markup-compatibility/2006">
          <mc:Choice Requires="x14">
            <control shapeId="15808" r:id="rId164" name="Check Box 448">
              <controlPr locked="0" defaultSize="0" autoFill="0" autoLine="0" autoPict="0">
                <anchor moveWithCells="1" sizeWithCells="1">
                  <from>
                    <xdr:col>22</xdr:col>
                    <xdr:colOff>0</xdr:colOff>
                    <xdr:row>812</xdr:row>
                    <xdr:rowOff>0</xdr:rowOff>
                  </from>
                  <to>
                    <xdr:col>22</xdr:col>
                    <xdr:colOff>182880</xdr:colOff>
                    <xdr:row>812</xdr:row>
                    <xdr:rowOff>182880</xdr:rowOff>
                  </to>
                </anchor>
              </controlPr>
            </control>
          </mc:Choice>
        </mc:AlternateContent>
        <mc:AlternateContent xmlns:mc="http://schemas.openxmlformats.org/markup-compatibility/2006">
          <mc:Choice Requires="x14">
            <control shapeId="15809" r:id="rId165" name="Check Box 449">
              <controlPr locked="0" defaultSize="0" autoFill="0" autoLine="0" autoPict="0">
                <anchor moveWithCells="1" sizeWithCells="1">
                  <from>
                    <xdr:col>22</xdr:col>
                    <xdr:colOff>0</xdr:colOff>
                    <xdr:row>816</xdr:row>
                    <xdr:rowOff>0</xdr:rowOff>
                  </from>
                  <to>
                    <xdr:col>22</xdr:col>
                    <xdr:colOff>182880</xdr:colOff>
                    <xdr:row>816</xdr:row>
                    <xdr:rowOff>182880</xdr:rowOff>
                  </to>
                </anchor>
              </controlPr>
            </control>
          </mc:Choice>
        </mc:AlternateContent>
        <mc:AlternateContent xmlns:mc="http://schemas.openxmlformats.org/markup-compatibility/2006">
          <mc:Choice Requires="x14">
            <control shapeId="15810" r:id="rId166" name="Check Box 450">
              <controlPr locked="0" defaultSize="0" autoFill="0" autoLine="0" autoPict="0">
                <anchor moveWithCells="1" sizeWithCells="1">
                  <from>
                    <xdr:col>22</xdr:col>
                    <xdr:colOff>0</xdr:colOff>
                    <xdr:row>818</xdr:row>
                    <xdr:rowOff>0</xdr:rowOff>
                  </from>
                  <to>
                    <xdr:col>22</xdr:col>
                    <xdr:colOff>182880</xdr:colOff>
                    <xdr:row>818</xdr:row>
                    <xdr:rowOff>182880</xdr:rowOff>
                  </to>
                </anchor>
              </controlPr>
            </control>
          </mc:Choice>
        </mc:AlternateContent>
        <mc:AlternateContent xmlns:mc="http://schemas.openxmlformats.org/markup-compatibility/2006">
          <mc:Choice Requires="x14">
            <control shapeId="15811" r:id="rId167" name="Check Box 451">
              <controlPr locked="0" defaultSize="0" autoFill="0" autoLine="0" autoPict="0">
                <anchor moveWithCells="1" sizeWithCells="1">
                  <from>
                    <xdr:col>22</xdr:col>
                    <xdr:colOff>0</xdr:colOff>
                    <xdr:row>850</xdr:row>
                    <xdr:rowOff>0</xdr:rowOff>
                  </from>
                  <to>
                    <xdr:col>22</xdr:col>
                    <xdr:colOff>182880</xdr:colOff>
                    <xdr:row>850</xdr:row>
                    <xdr:rowOff>182880</xdr:rowOff>
                  </to>
                </anchor>
              </controlPr>
            </control>
          </mc:Choice>
        </mc:AlternateContent>
        <mc:AlternateContent xmlns:mc="http://schemas.openxmlformats.org/markup-compatibility/2006">
          <mc:Choice Requires="x14">
            <control shapeId="15812" r:id="rId168" name="Check Box 452">
              <controlPr locked="0" defaultSize="0" autoFill="0" autoLine="0" autoPict="0">
                <anchor moveWithCells="1" sizeWithCells="1">
                  <from>
                    <xdr:col>22</xdr:col>
                    <xdr:colOff>0</xdr:colOff>
                    <xdr:row>853</xdr:row>
                    <xdr:rowOff>0</xdr:rowOff>
                  </from>
                  <to>
                    <xdr:col>22</xdr:col>
                    <xdr:colOff>182880</xdr:colOff>
                    <xdr:row>853</xdr:row>
                    <xdr:rowOff>182880</xdr:rowOff>
                  </to>
                </anchor>
              </controlPr>
            </control>
          </mc:Choice>
        </mc:AlternateContent>
        <mc:AlternateContent xmlns:mc="http://schemas.openxmlformats.org/markup-compatibility/2006">
          <mc:Choice Requires="x14">
            <control shapeId="15813" r:id="rId169" name="Check Box 453">
              <controlPr locked="0" defaultSize="0" autoFill="0" autoLine="0" autoPict="0">
                <anchor moveWithCells="1" sizeWithCells="1">
                  <from>
                    <xdr:col>22</xdr:col>
                    <xdr:colOff>0</xdr:colOff>
                    <xdr:row>880</xdr:row>
                    <xdr:rowOff>0</xdr:rowOff>
                  </from>
                  <to>
                    <xdr:col>22</xdr:col>
                    <xdr:colOff>182880</xdr:colOff>
                    <xdr:row>880</xdr:row>
                    <xdr:rowOff>182880</xdr:rowOff>
                  </to>
                </anchor>
              </controlPr>
            </control>
          </mc:Choice>
        </mc:AlternateContent>
        <mc:AlternateContent xmlns:mc="http://schemas.openxmlformats.org/markup-compatibility/2006">
          <mc:Choice Requires="x14">
            <control shapeId="15814" r:id="rId170" name="Check Box 454">
              <controlPr locked="0" defaultSize="0" autoFill="0" autoLine="0" autoPict="0">
                <anchor moveWithCells="1" sizeWithCells="1">
                  <from>
                    <xdr:col>22</xdr:col>
                    <xdr:colOff>0</xdr:colOff>
                    <xdr:row>894</xdr:row>
                    <xdr:rowOff>0</xdr:rowOff>
                  </from>
                  <to>
                    <xdr:col>22</xdr:col>
                    <xdr:colOff>182880</xdr:colOff>
                    <xdr:row>894</xdr:row>
                    <xdr:rowOff>182880</xdr:rowOff>
                  </to>
                </anchor>
              </controlPr>
            </control>
          </mc:Choice>
        </mc:AlternateContent>
        <mc:AlternateContent xmlns:mc="http://schemas.openxmlformats.org/markup-compatibility/2006">
          <mc:Choice Requires="x14">
            <control shapeId="15815" r:id="rId171" name="Check Box 455">
              <controlPr locked="0" defaultSize="0" autoFill="0" autoLine="0" autoPict="0">
                <anchor moveWithCells="1" sizeWithCells="1">
                  <from>
                    <xdr:col>22</xdr:col>
                    <xdr:colOff>0</xdr:colOff>
                    <xdr:row>896</xdr:row>
                    <xdr:rowOff>0</xdr:rowOff>
                  </from>
                  <to>
                    <xdr:col>22</xdr:col>
                    <xdr:colOff>182880</xdr:colOff>
                    <xdr:row>896</xdr:row>
                    <xdr:rowOff>182880</xdr:rowOff>
                  </to>
                </anchor>
              </controlPr>
            </control>
          </mc:Choice>
        </mc:AlternateContent>
        <mc:AlternateContent xmlns:mc="http://schemas.openxmlformats.org/markup-compatibility/2006">
          <mc:Choice Requires="x14">
            <control shapeId="15816" r:id="rId172" name="Check Box 456">
              <controlPr locked="0" defaultSize="0" autoFill="0" autoLine="0" autoPict="0">
                <anchor moveWithCells="1" sizeWithCells="1">
                  <from>
                    <xdr:col>22</xdr:col>
                    <xdr:colOff>0</xdr:colOff>
                    <xdr:row>897</xdr:row>
                    <xdr:rowOff>0</xdr:rowOff>
                  </from>
                  <to>
                    <xdr:col>22</xdr:col>
                    <xdr:colOff>182880</xdr:colOff>
                    <xdr:row>897</xdr:row>
                    <xdr:rowOff>182880</xdr:rowOff>
                  </to>
                </anchor>
              </controlPr>
            </control>
          </mc:Choice>
        </mc:AlternateContent>
        <mc:AlternateContent xmlns:mc="http://schemas.openxmlformats.org/markup-compatibility/2006">
          <mc:Choice Requires="x14">
            <control shapeId="15817" r:id="rId173" name="Check Box 457">
              <controlPr locked="0" defaultSize="0" autoFill="0" autoLine="0" autoPict="0">
                <anchor moveWithCells="1" sizeWithCells="1">
                  <from>
                    <xdr:col>22</xdr:col>
                    <xdr:colOff>0</xdr:colOff>
                    <xdr:row>902</xdr:row>
                    <xdr:rowOff>0</xdr:rowOff>
                  </from>
                  <to>
                    <xdr:col>22</xdr:col>
                    <xdr:colOff>182880</xdr:colOff>
                    <xdr:row>902</xdr:row>
                    <xdr:rowOff>182880</xdr:rowOff>
                  </to>
                </anchor>
              </controlPr>
            </control>
          </mc:Choice>
        </mc:AlternateContent>
        <mc:AlternateContent xmlns:mc="http://schemas.openxmlformats.org/markup-compatibility/2006">
          <mc:Choice Requires="x14">
            <control shapeId="15818" r:id="rId174" name="Check Box 458">
              <controlPr locked="0" defaultSize="0" autoFill="0" autoLine="0" autoPict="0">
                <anchor moveWithCells="1" sizeWithCells="1">
                  <from>
                    <xdr:col>22</xdr:col>
                    <xdr:colOff>0</xdr:colOff>
                    <xdr:row>919</xdr:row>
                    <xdr:rowOff>0</xdr:rowOff>
                  </from>
                  <to>
                    <xdr:col>22</xdr:col>
                    <xdr:colOff>182880</xdr:colOff>
                    <xdr:row>919</xdr:row>
                    <xdr:rowOff>182880</xdr:rowOff>
                  </to>
                </anchor>
              </controlPr>
            </control>
          </mc:Choice>
        </mc:AlternateContent>
        <mc:AlternateContent xmlns:mc="http://schemas.openxmlformats.org/markup-compatibility/2006">
          <mc:Choice Requires="x14">
            <control shapeId="15819" r:id="rId175" name="Check Box 459">
              <controlPr locked="0" defaultSize="0" autoFill="0" autoLine="0" autoPict="0">
                <anchor moveWithCells="1" sizeWithCells="1">
                  <from>
                    <xdr:col>22</xdr:col>
                    <xdr:colOff>0</xdr:colOff>
                    <xdr:row>932</xdr:row>
                    <xdr:rowOff>0</xdr:rowOff>
                  </from>
                  <to>
                    <xdr:col>22</xdr:col>
                    <xdr:colOff>182880</xdr:colOff>
                    <xdr:row>932</xdr:row>
                    <xdr:rowOff>182880</xdr:rowOff>
                  </to>
                </anchor>
              </controlPr>
            </control>
          </mc:Choice>
        </mc:AlternateContent>
        <mc:AlternateContent xmlns:mc="http://schemas.openxmlformats.org/markup-compatibility/2006">
          <mc:Choice Requires="x14">
            <control shapeId="15820" r:id="rId176" name="Check Box 460">
              <controlPr locked="0" defaultSize="0" autoFill="0" autoLine="0" autoPict="0">
                <anchor moveWithCells="1" sizeWithCells="1">
                  <from>
                    <xdr:col>22</xdr:col>
                    <xdr:colOff>0</xdr:colOff>
                    <xdr:row>935</xdr:row>
                    <xdr:rowOff>0</xdr:rowOff>
                  </from>
                  <to>
                    <xdr:col>22</xdr:col>
                    <xdr:colOff>182880</xdr:colOff>
                    <xdr:row>935</xdr:row>
                    <xdr:rowOff>182880</xdr:rowOff>
                  </to>
                </anchor>
              </controlPr>
            </control>
          </mc:Choice>
        </mc:AlternateContent>
        <mc:AlternateContent xmlns:mc="http://schemas.openxmlformats.org/markup-compatibility/2006">
          <mc:Choice Requires="x14">
            <control shapeId="15821" r:id="rId177" name="Check Box 461">
              <controlPr locked="0" defaultSize="0" autoFill="0" autoLine="0" autoPict="0">
                <anchor moveWithCells="1" sizeWithCells="1">
                  <from>
                    <xdr:col>22</xdr:col>
                    <xdr:colOff>0</xdr:colOff>
                    <xdr:row>938</xdr:row>
                    <xdr:rowOff>0</xdr:rowOff>
                  </from>
                  <to>
                    <xdr:col>22</xdr:col>
                    <xdr:colOff>182880</xdr:colOff>
                    <xdr:row>938</xdr:row>
                    <xdr:rowOff>182880</xdr:rowOff>
                  </to>
                </anchor>
              </controlPr>
            </control>
          </mc:Choice>
        </mc:AlternateContent>
        <mc:AlternateContent xmlns:mc="http://schemas.openxmlformats.org/markup-compatibility/2006">
          <mc:Choice Requires="x14">
            <control shapeId="15822" r:id="rId178" name="Check Box 462">
              <controlPr locked="0" defaultSize="0" autoFill="0" autoLine="0" autoPict="0">
                <anchor moveWithCells="1" sizeWithCells="1">
                  <from>
                    <xdr:col>22</xdr:col>
                    <xdr:colOff>0</xdr:colOff>
                    <xdr:row>947</xdr:row>
                    <xdr:rowOff>0</xdr:rowOff>
                  </from>
                  <to>
                    <xdr:col>22</xdr:col>
                    <xdr:colOff>182880</xdr:colOff>
                    <xdr:row>947</xdr:row>
                    <xdr:rowOff>182880</xdr:rowOff>
                  </to>
                </anchor>
              </controlPr>
            </control>
          </mc:Choice>
        </mc:AlternateContent>
        <mc:AlternateContent xmlns:mc="http://schemas.openxmlformats.org/markup-compatibility/2006">
          <mc:Choice Requires="x14">
            <control shapeId="15823" r:id="rId179" name="Check Box 463">
              <controlPr locked="0" defaultSize="0" autoFill="0" autoLine="0" autoPict="0">
                <anchor moveWithCells="1" sizeWithCells="1">
                  <from>
                    <xdr:col>22</xdr:col>
                    <xdr:colOff>0</xdr:colOff>
                    <xdr:row>954</xdr:row>
                    <xdr:rowOff>0</xdr:rowOff>
                  </from>
                  <to>
                    <xdr:col>22</xdr:col>
                    <xdr:colOff>182880</xdr:colOff>
                    <xdr:row>954</xdr:row>
                    <xdr:rowOff>182880</xdr:rowOff>
                  </to>
                </anchor>
              </controlPr>
            </control>
          </mc:Choice>
        </mc:AlternateContent>
        <mc:AlternateContent xmlns:mc="http://schemas.openxmlformats.org/markup-compatibility/2006">
          <mc:Choice Requires="x14">
            <control shapeId="15824" r:id="rId180" name="Check Box 464">
              <controlPr locked="0" defaultSize="0" autoFill="0" autoLine="0" autoPict="0">
                <anchor moveWithCells="1" sizeWithCells="1">
                  <from>
                    <xdr:col>22</xdr:col>
                    <xdr:colOff>0</xdr:colOff>
                    <xdr:row>999</xdr:row>
                    <xdr:rowOff>0</xdr:rowOff>
                  </from>
                  <to>
                    <xdr:col>22</xdr:col>
                    <xdr:colOff>182880</xdr:colOff>
                    <xdr:row>999</xdr:row>
                    <xdr:rowOff>182880</xdr:rowOff>
                  </to>
                </anchor>
              </controlPr>
            </control>
          </mc:Choice>
        </mc:AlternateContent>
        <mc:AlternateContent xmlns:mc="http://schemas.openxmlformats.org/markup-compatibility/2006">
          <mc:Choice Requires="x14">
            <control shapeId="15825" r:id="rId181" name="Check Box 465">
              <controlPr locked="0" defaultSize="0" autoFill="0" autoLine="0" autoPict="0">
                <anchor moveWithCells="1" sizeWithCells="1">
                  <from>
                    <xdr:col>22</xdr:col>
                    <xdr:colOff>0</xdr:colOff>
                    <xdr:row>1039</xdr:row>
                    <xdr:rowOff>0</xdr:rowOff>
                  </from>
                  <to>
                    <xdr:col>22</xdr:col>
                    <xdr:colOff>182880</xdr:colOff>
                    <xdr:row>1039</xdr:row>
                    <xdr:rowOff>182880</xdr:rowOff>
                  </to>
                </anchor>
              </controlPr>
            </control>
          </mc:Choice>
        </mc:AlternateContent>
        <mc:AlternateContent xmlns:mc="http://schemas.openxmlformats.org/markup-compatibility/2006">
          <mc:Choice Requires="x14">
            <control shapeId="15826" r:id="rId182" name="Check Box 466">
              <controlPr locked="0" defaultSize="0" autoFill="0" autoLine="0" autoPict="0">
                <anchor moveWithCells="1" sizeWithCells="1">
                  <from>
                    <xdr:col>22</xdr:col>
                    <xdr:colOff>0</xdr:colOff>
                    <xdr:row>1042</xdr:row>
                    <xdr:rowOff>0</xdr:rowOff>
                  </from>
                  <to>
                    <xdr:col>22</xdr:col>
                    <xdr:colOff>182880</xdr:colOff>
                    <xdr:row>1042</xdr:row>
                    <xdr:rowOff>182880</xdr:rowOff>
                  </to>
                </anchor>
              </controlPr>
            </control>
          </mc:Choice>
        </mc:AlternateContent>
        <mc:AlternateContent xmlns:mc="http://schemas.openxmlformats.org/markup-compatibility/2006">
          <mc:Choice Requires="x14">
            <control shapeId="15827" r:id="rId183" name="Check Box 467">
              <controlPr locked="0" defaultSize="0" autoFill="0" autoLine="0" autoPict="0">
                <anchor moveWithCells="1" sizeWithCells="1">
                  <from>
                    <xdr:col>22</xdr:col>
                    <xdr:colOff>0</xdr:colOff>
                    <xdr:row>1052</xdr:row>
                    <xdr:rowOff>0</xdr:rowOff>
                  </from>
                  <to>
                    <xdr:col>22</xdr:col>
                    <xdr:colOff>182880</xdr:colOff>
                    <xdr:row>1052</xdr:row>
                    <xdr:rowOff>182880</xdr:rowOff>
                  </to>
                </anchor>
              </controlPr>
            </control>
          </mc:Choice>
        </mc:AlternateContent>
        <mc:AlternateContent xmlns:mc="http://schemas.openxmlformats.org/markup-compatibility/2006">
          <mc:Choice Requires="x14">
            <control shapeId="15828" r:id="rId184" name="Check Box 468">
              <controlPr locked="0" defaultSize="0" autoFill="0" autoLine="0" autoPict="0">
                <anchor moveWithCells="1" sizeWithCells="1">
                  <from>
                    <xdr:col>22</xdr:col>
                    <xdr:colOff>0</xdr:colOff>
                    <xdr:row>1059</xdr:row>
                    <xdr:rowOff>0</xdr:rowOff>
                  </from>
                  <to>
                    <xdr:col>22</xdr:col>
                    <xdr:colOff>182880</xdr:colOff>
                    <xdr:row>1059</xdr:row>
                    <xdr:rowOff>182880</xdr:rowOff>
                  </to>
                </anchor>
              </controlPr>
            </control>
          </mc:Choice>
        </mc:AlternateContent>
        <mc:AlternateContent xmlns:mc="http://schemas.openxmlformats.org/markup-compatibility/2006">
          <mc:Choice Requires="x14">
            <control shapeId="15829" r:id="rId185" name="Check Box 469">
              <controlPr locked="0" defaultSize="0" autoFill="0" autoLine="0" autoPict="0">
                <anchor moveWithCells="1" sizeWithCells="1">
                  <from>
                    <xdr:col>22</xdr:col>
                    <xdr:colOff>0</xdr:colOff>
                    <xdr:row>1065</xdr:row>
                    <xdr:rowOff>0</xdr:rowOff>
                  </from>
                  <to>
                    <xdr:col>22</xdr:col>
                    <xdr:colOff>182880</xdr:colOff>
                    <xdr:row>1065</xdr:row>
                    <xdr:rowOff>182880</xdr:rowOff>
                  </to>
                </anchor>
              </controlPr>
            </control>
          </mc:Choice>
        </mc:AlternateContent>
        <mc:AlternateContent xmlns:mc="http://schemas.openxmlformats.org/markup-compatibility/2006">
          <mc:Choice Requires="x14">
            <control shapeId="15830" r:id="rId186" name="Check Box 470">
              <controlPr locked="0" defaultSize="0" autoFill="0" autoLine="0" autoPict="0">
                <anchor moveWithCells="1" sizeWithCells="1">
                  <from>
                    <xdr:col>22</xdr:col>
                    <xdr:colOff>0</xdr:colOff>
                    <xdr:row>1067</xdr:row>
                    <xdr:rowOff>0</xdr:rowOff>
                  </from>
                  <to>
                    <xdr:col>22</xdr:col>
                    <xdr:colOff>182880</xdr:colOff>
                    <xdr:row>1067</xdr:row>
                    <xdr:rowOff>182880</xdr:rowOff>
                  </to>
                </anchor>
              </controlPr>
            </control>
          </mc:Choice>
        </mc:AlternateContent>
        <mc:AlternateContent xmlns:mc="http://schemas.openxmlformats.org/markup-compatibility/2006">
          <mc:Choice Requires="x14">
            <control shapeId="15831" r:id="rId187" name="Check Box 471">
              <controlPr locked="0" defaultSize="0" autoFill="0" autoLine="0" autoPict="0">
                <anchor moveWithCells="1" sizeWithCells="1">
                  <from>
                    <xdr:col>22</xdr:col>
                    <xdr:colOff>0</xdr:colOff>
                    <xdr:row>1070</xdr:row>
                    <xdr:rowOff>0</xdr:rowOff>
                  </from>
                  <to>
                    <xdr:col>22</xdr:col>
                    <xdr:colOff>182880</xdr:colOff>
                    <xdr:row>1070</xdr:row>
                    <xdr:rowOff>182880</xdr:rowOff>
                  </to>
                </anchor>
              </controlPr>
            </control>
          </mc:Choice>
        </mc:AlternateContent>
        <mc:AlternateContent xmlns:mc="http://schemas.openxmlformats.org/markup-compatibility/2006">
          <mc:Choice Requires="x14">
            <control shapeId="15832" r:id="rId188" name="Check Box 472">
              <controlPr locked="0" defaultSize="0" autoFill="0" autoLine="0" autoPict="0">
                <anchor moveWithCells="1" sizeWithCells="1">
                  <from>
                    <xdr:col>22</xdr:col>
                    <xdr:colOff>0</xdr:colOff>
                    <xdr:row>1071</xdr:row>
                    <xdr:rowOff>0</xdr:rowOff>
                  </from>
                  <to>
                    <xdr:col>22</xdr:col>
                    <xdr:colOff>182880</xdr:colOff>
                    <xdr:row>1071</xdr:row>
                    <xdr:rowOff>182880</xdr:rowOff>
                  </to>
                </anchor>
              </controlPr>
            </control>
          </mc:Choice>
        </mc:AlternateContent>
        <mc:AlternateContent xmlns:mc="http://schemas.openxmlformats.org/markup-compatibility/2006">
          <mc:Choice Requires="x14">
            <control shapeId="15833" r:id="rId189" name="Check Box 473">
              <controlPr locked="0" defaultSize="0" autoFill="0" autoLine="0" autoPict="0">
                <anchor moveWithCells="1" sizeWithCells="1">
                  <from>
                    <xdr:col>22</xdr:col>
                    <xdr:colOff>0</xdr:colOff>
                    <xdr:row>1073</xdr:row>
                    <xdr:rowOff>0</xdr:rowOff>
                  </from>
                  <to>
                    <xdr:col>22</xdr:col>
                    <xdr:colOff>182880</xdr:colOff>
                    <xdr:row>1073</xdr:row>
                    <xdr:rowOff>182880</xdr:rowOff>
                  </to>
                </anchor>
              </controlPr>
            </control>
          </mc:Choice>
        </mc:AlternateContent>
        <mc:AlternateContent xmlns:mc="http://schemas.openxmlformats.org/markup-compatibility/2006">
          <mc:Choice Requires="x14">
            <control shapeId="15834" r:id="rId190" name="Check Box 474">
              <controlPr locked="0" defaultSize="0" autoFill="0" autoLine="0" autoPict="0">
                <anchor moveWithCells="1" sizeWithCells="1">
                  <from>
                    <xdr:col>22</xdr:col>
                    <xdr:colOff>0</xdr:colOff>
                    <xdr:row>1103</xdr:row>
                    <xdr:rowOff>0</xdr:rowOff>
                  </from>
                  <to>
                    <xdr:col>22</xdr:col>
                    <xdr:colOff>182880</xdr:colOff>
                    <xdr:row>1103</xdr:row>
                    <xdr:rowOff>182880</xdr:rowOff>
                  </to>
                </anchor>
              </controlPr>
            </control>
          </mc:Choice>
        </mc:AlternateContent>
        <mc:AlternateContent xmlns:mc="http://schemas.openxmlformats.org/markup-compatibility/2006">
          <mc:Choice Requires="x14">
            <control shapeId="15835" r:id="rId191" name="Check Box 475">
              <controlPr locked="0" defaultSize="0" autoFill="0" autoLine="0" autoPict="0">
                <anchor moveWithCells="1" sizeWithCells="1">
                  <from>
                    <xdr:col>22</xdr:col>
                    <xdr:colOff>0</xdr:colOff>
                    <xdr:row>1105</xdr:row>
                    <xdr:rowOff>0</xdr:rowOff>
                  </from>
                  <to>
                    <xdr:col>22</xdr:col>
                    <xdr:colOff>182880</xdr:colOff>
                    <xdr:row>1105</xdr:row>
                    <xdr:rowOff>182880</xdr:rowOff>
                  </to>
                </anchor>
              </controlPr>
            </control>
          </mc:Choice>
        </mc:AlternateContent>
        <mc:AlternateContent xmlns:mc="http://schemas.openxmlformats.org/markup-compatibility/2006">
          <mc:Choice Requires="x14">
            <control shapeId="15836" r:id="rId192" name="Check Box 476">
              <controlPr locked="0" defaultSize="0" autoFill="0" autoLine="0" autoPict="0">
                <anchor moveWithCells="1" sizeWithCells="1">
                  <from>
                    <xdr:col>22</xdr:col>
                    <xdr:colOff>0</xdr:colOff>
                    <xdr:row>1107</xdr:row>
                    <xdr:rowOff>0</xdr:rowOff>
                  </from>
                  <to>
                    <xdr:col>22</xdr:col>
                    <xdr:colOff>182880</xdr:colOff>
                    <xdr:row>1107</xdr:row>
                    <xdr:rowOff>182880</xdr:rowOff>
                  </to>
                </anchor>
              </controlPr>
            </control>
          </mc:Choice>
        </mc:AlternateContent>
        <mc:AlternateContent xmlns:mc="http://schemas.openxmlformats.org/markup-compatibility/2006">
          <mc:Choice Requires="x14">
            <control shapeId="15837" r:id="rId193" name="Check Box 477">
              <controlPr locked="0" defaultSize="0" autoFill="0" autoLine="0" autoPict="0">
                <anchor moveWithCells="1" sizeWithCells="1">
                  <from>
                    <xdr:col>22</xdr:col>
                    <xdr:colOff>0</xdr:colOff>
                    <xdr:row>1119</xdr:row>
                    <xdr:rowOff>0</xdr:rowOff>
                  </from>
                  <to>
                    <xdr:col>22</xdr:col>
                    <xdr:colOff>182880</xdr:colOff>
                    <xdr:row>1119</xdr:row>
                    <xdr:rowOff>182880</xdr:rowOff>
                  </to>
                </anchor>
              </controlPr>
            </control>
          </mc:Choice>
        </mc:AlternateContent>
        <mc:AlternateContent xmlns:mc="http://schemas.openxmlformats.org/markup-compatibility/2006">
          <mc:Choice Requires="x14">
            <control shapeId="15838" r:id="rId194" name="Check Box 478">
              <controlPr locked="0" defaultSize="0" autoFill="0" autoLine="0" autoPict="0">
                <anchor moveWithCells="1" sizeWithCells="1">
                  <from>
                    <xdr:col>22</xdr:col>
                    <xdr:colOff>0</xdr:colOff>
                    <xdr:row>1121</xdr:row>
                    <xdr:rowOff>0</xdr:rowOff>
                  </from>
                  <to>
                    <xdr:col>22</xdr:col>
                    <xdr:colOff>182880</xdr:colOff>
                    <xdr:row>1121</xdr:row>
                    <xdr:rowOff>182880</xdr:rowOff>
                  </to>
                </anchor>
              </controlPr>
            </control>
          </mc:Choice>
        </mc:AlternateContent>
        <mc:AlternateContent xmlns:mc="http://schemas.openxmlformats.org/markup-compatibility/2006">
          <mc:Choice Requires="x14">
            <control shapeId="15839" r:id="rId195" name="Check Box 479">
              <controlPr locked="0" defaultSize="0" autoFill="0" autoLine="0" autoPict="0">
                <anchor moveWithCells="1" sizeWithCells="1">
                  <from>
                    <xdr:col>22</xdr:col>
                    <xdr:colOff>0</xdr:colOff>
                    <xdr:row>1123</xdr:row>
                    <xdr:rowOff>0</xdr:rowOff>
                  </from>
                  <to>
                    <xdr:col>22</xdr:col>
                    <xdr:colOff>182880</xdr:colOff>
                    <xdr:row>1123</xdr:row>
                    <xdr:rowOff>182880</xdr:rowOff>
                  </to>
                </anchor>
              </controlPr>
            </control>
          </mc:Choice>
        </mc:AlternateContent>
        <mc:AlternateContent xmlns:mc="http://schemas.openxmlformats.org/markup-compatibility/2006">
          <mc:Choice Requires="x14">
            <control shapeId="15840" r:id="rId196" name="Check Box 480">
              <controlPr locked="0" defaultSize="0" autoFill="0" autoLine="0" autoPict="0">
                <anchor moveWithCells="1" sizeWithCells="1">
                  <from>
                    <xdr:col>22</xdr:col>
                    <xdr:colOff>0</xdr:colOff>
                    <xdr:row>1126</xdr:row>
                    <xdr:rowOff>0</xdr:rowOff>
                  </from>
                  <to>
                    <xdr:col>22</xdr:col>
                    <xdr:colOff>182880</xdr:colOff>
                    <xdr:row>1126</xdr:row>
                    <xdr:rowOff>182880</xdr:rowOff>
                  </to>
                </anchor>
              </controlPr>
            </control>
          </mc:Choice>
        </mc:AlternateContent>
        <mc:AlternateContent xmlns:mc="http://schemas.openxmlformats.org/markup-compatibility/2006">
          <mc:Choice Requires="x14">
            <control shapeId="15841" r:id="rId197" name="Check Box 481">
              <controlPr locked="0" defaultSize="0" autoFill="0" autoLine="0" autoPict="0">
                <anchor moveWithCells="1" sizeWithCells="1">
                  <from>
                    <xdr:col>22</xdr:col>
                    <xdr:colOff>0</xdr:colOff>
                    <xdr:row>1127</xdr:row>
                    <xdr:rowOff>0</xdr:rowOff>
                  </from>
                  <to>
                    <xdr:col>22</xdr:col>
                    <xdr:colOff>182880</xdr:colOff>
                    <xdr:row>1127</xdr:row>
                    <xdr:rowOff>182880</xdr:rowOff>
                  </to>
                </anchor>
              </controlPr>
            </control>
          </mc:Choice>
        </mc:AlternateContent>
        <mc:AlternateContent xmlns:mc="http://schemas.openxmlformats.org/markup-compatibility/2006">
          <mc:Choice Requires="x14">
            <control shapeId="15842" r:id="rId198" name="Check Box 482">
              <controlPr locked="0" defaultSize="0" autoFill="0" autoLine="0" autoPict="0">
                <anchor moveWithCells="1" sizeWithCells="1">
                  <from>
                    <xdr:col>22</xdr:col>
                    <xdr:colOff>0</xdr:colOff>
                    <xdr:row>1128</xdr:row>
                    <xdr:rowOff>0</xdr:rowOff>
                  </from>
                  <to>
                    <xdr:col>22</xdr:col>
                    <xdr:colOff>182880</xdr:colOff>
                    <xdr:row>1128</xdr:row>
                    <xdr:rowOff>182880</xdr:rowOff>
                  </to>
                </anchor>
              </controlPr>
            </control>
          </mc:Choice>
        </mc:AlternateContent>
        <mc:AlternateContent xmlns:mc="http://schemas.openxmlformats.org/markup-compatibility/2006">
          <mc:Choice Requires="x14">
            <control shapeId="15843" r:id="rId199" name="Check Box 483">
              <controlPr locked="0" defaultSize="0" autoFill="0" autoLine="0" autoPict="0">
                <anchor moveWithCells="1" sizeWithCells="1">
                  <from>
                    <xdr:col>22</xdr:col>
                    <xdr:colOff>0</xdr:colOff>
                    <xdr:row>1131</xdr:row>
                    <xdr:rowOff>0</xdr:rowOff>
                  </from>
                  <to>
                    <xdr:col>22</xdr:col>
                    <xdr:colOff>182880</xdr:colOff>
                    <xdr:row>1131</xdr:row>
                    <xdr:rowOff>182880</xdr:rowOff>
                  </to>
                </anchor>
              </controlPr>
            </control>
          </mc:Choice>
        </mc:AlternateContent>
        <mc:AlternateContent xmlns:mc="http://schemas.openxmlformats.org/markup-compatibility/2006">
          <mc:Choice Requires="x14">
            <control shapeId="15844" r:id="rId200" name="Check Box 484">
              <controlPr locked="0" defaultSize="0" autoFill="0" autoLine="0" autoPict="0">
                <anchor moveWithCells="1" sizeWithCells="1">
                  <from>
                    <xdr:col>22</xdr:col>
                    <xdr:colOff>0</xdr:colOff>
                    <xdr:row>1159</xdr:row>
                    <xdr:rowOff>0</xdr:rowOff>
                  </from>
                  <to>
                    <xdr:col>22</xdr:col>
                    <xdr:colOff>182880</xdr:colOff>
                    <xdr:row>1159</xdr:row>
                    <xdr:rowOff>182880</xdr:rowOff>
                  </to>
                </anchor>
              </controlPr>
            </control>
          </mc:Choice>
        </mc:AlternateContent>
        <mc:AlternateContent xmlns:mc="http://schemas.openxmlformats.org/markup-compatibility/2006">
          <mc:Choice Requires="x14">
            <control shapeId="15845" r:id="rId201" name="Check Box 485">
              <controlPr locked="0" defaultSize="0" autoFill="0" autoLine="0" autoPict="0">
                <anchor moveWithCells="1" sizeWithCells="1">
                  <from>
                    <xdr:col>22</xdr:col>
                    <xdr:colOff>0</xdr:colOff>
                    <xdr:row>1167</xdr:row>
                    <xdr:rowOff>0</xdr:rowOff>
                  </from>
                  <to>
                    <xdr:col>22</xdr:col>
                    <xdr:colOff>182880</xdr:colOff>
                    <xdr:row>1167</xdr:row>
                    <xdr:rowOff>182880</xdr:rowOff>
                  </to>
                </anchor>
              </controlPr>
            </control>
          </mc:Choice>
        </mc:AlternateContent>
        <mc:AlternateContent xmlns:mc="http://schemas.openxmlformats.org/markup-compatibility/2006">
          <mc:Choice Requires="x14">
            <control shapeId="15846" r:id="rId202" name="Check Box 486">
              <controlPr locked="0" defaultSize="0" autoFill="0" autoLine="0" autoPict="0">
                <anchor moveWithCells="1" sizeWithCells="1">
                  <from>
                    <xdr:col>22</xdr:col>
                    <xdr:colOff>0</xdr:colOff>
                    <xdr:row>1169</xdr:row>
                    <xdr:rowOff>0</xdr:rowOff>
                  </from>
                  <to>
                    <xdr:col>22</xdr:col>
                    <xdr:colOff>182880</xdr:colOff>
                    <xdr:row>1169</xdr:row>
                    <xdr:rowOff>182880</xdr:rowOff>
                  </to>
                </anchor>
              </controlPr>
            </control>
          </mc:Choice>
        </mc:AlternateContent>
        <mc:AlternateContent xmlns:mc="http://schemas.openxmlformats.org/markup-compatibility/2006">
          <mc:Choice Requires="x14">
            <control shapeId="15847" r:id="rId203" name="Check Box 487">
              <controlPr locked="0" defaultSize="0" autoFill="0" autoLine="0" autoPict="0">
                <anchor moveWithCells="1" sizeWithCells="1">
                  <from>
                    <xdr:col>22</xdr:col>
                    <xdr:colOff>0</xdr:colOff>
                    <xdr:row>1170</xdr:row>
                    <xdr:rowOff>0</xdr:rowOff>
                  </from>
                  <to>
                    <xdr:col>22</xdr:col>
                    <xdr:colOff>182880</xdr:colOff>
                    <xdr:row>1170</xdr:row>
                    <xdr:rowOff>182880</xdr:rowOff>
                  </to>
                </anchor>
              </controlPr>
            </control>
          </mc:Choice>
        </mc:AlternateContent>
        <mc:AlternateContent xmlns:mc="http://schemas.openxmlformats.org/markup-compatibility/2006">
          <mc:Choice Requires="x14">
            <control shapeId="15848" r:id="rId204" name="Check Box 488">
              <controlPr locked="0" defaultSize="0" autoFill="0" autoLine="0" autoPict="0">
                <anchor moveWithCells="1" sizeWithCells="1">
                  <from>
                    <xdr:col>22</xdr:col>
                    <xdr:colOff>0</xdr:colOff>
                    <xdr:row>1171</xdr:row>
                    <xdr:rowOff>0</xdr:rowOff>
                  </from>
                  <to>
                    <xdr:col>22</xdr:col>
                    <xdr:colOff>182880</xdr:colOff>
                    <xdr:row>1171</xdr:row>
                    <xdr:rowOff>182880</xdr:rowOff>
                  </to>
                </anchor>
              </controlPr>
            </control>
          </mc:Choice>
        </mc:AlternateContent>
        <mc:AlternateContent xmlns:mc="http://schemas.openxmlformats.org/markup-compatibility/2006">
          <mc:Choice Requires="x14">
            <control shapeId="15849" r:id="rId205" name="Check Box 489">
              <controlPr locked="0" defaultSize="0" autoFill="0" autoLine="0" autoPict="0">
                <anchor moveWithCells="1" sizeWithCells="1">
                  <from>
                    <xdr:col>22</xdr:col>
                    <xdr:colOff>0</xdr:colOff>
                    <xdr:row>1173</xdr:row>
                    <xdr:rowOff>0</xdr:rowOff>
                  </from>
                  <to>
                    <xdr:col>22</xdr:col>
                    <xdr:colOff>182880</xdr:colOff>
                    <xdr:row>1173</xdr:row>
                    <xdr:rowOff>182880</xdr:rowOff>
                  </to>
                </anchor>
              </controlPr>
            </control>
          </mc:Choice>
        </mc:AlternateContent>
        <mc:AlternateContent xmlns:mc="http://schemas.openxmlformats.org/markup-compatibility/2006">
          <mc:Choice Requires="x14">
            <control shapeId="15850" r:id="rId206" name="Check Box 490">
              <controlPr locked="0" defaultSize="0" autoFill="0" autoLine="0" autoPict="0">
                <anchor moveWithCells="1" sizeWithCells="1">
                  <from>
                    <xdr:col>22</xdr:col>
                    <xdr:colOff>0</xdr:colOff>
                    <xdr:row>1176</xdr:row>
                    <xdr:rowOff>0</xdr:rowOff>
                  </from>
                  <to>
                    <xdr:col>22</xdr:col>
                    <xdr:colOff>182880</xdr:colOff>
                    <xdr:row>1176</xdr:row>
                    <xdr:rowOff>182880</xdr:rowOff>
                  </to>
                </anchor>
              </controlPr>
            </control>
          </mc:Choice>
        </mc:AlternateContent>
        <mc:AlternateContent xmlns:mc="http://schemas.openxmlformats.org/markup-compatibility/2006">
          <mc:Choice Requires="x14">
            <control shapeId="15851" r:id="rId207" name="Check Box 491">
              <controlPr locked="0" defaultSize="0" autoFill="0" autoLine="0" autoPict="0">
                <anchor moveWithCells="1" sizeWithCells="1">
                  <from>
                    <xdr:col>22</xdr:col>
                    <xdr:colOff>0</xdr:colOff>
                    <xdr:row>1177</xdr:row>
                    <xdr:rowOff>0</xdr:rowOff>
                  </from>
                  <to>
                    <xdr:col>22</xdr:col>
                    <xdr:colOff>182880</xdr:colOff>
                    <xdr:row>1177</xdr:row>
                    <xdr:rowOff>182880</xdr:rowOff>
                  </to>
                </anchor>
              </controlPr>
            </control>
          </mc:Choice>
        </mc:AlternateContent>
        <mc:AlternateContent xmlns:mc="http://schemas.openxmlformats.org/markup-compatibility/2006">
          <mc:Choice Requires="x14">
            <control shapeId="15852" r:id="rId208" name="Check Box 492">
              <controlPr locked="0" defaultSize="0" autoFill="0" autoLine="0" autoPict="0">
                <anchor moveWithCells="1" sizeWithCells="1">
                  <from>
                    <xdr:col>22</xdr:col>
                    <xdr:colOff>0</xdr:colOff>
                    <xdr:row>1182</xdr:row>
                    <xdr:rowOff>0</xdr:rowOff>
                  </from>
                  <to>
                    <xdr:col>22</xdr:col>
                    <xdr:colOff>182880</xdr:colOff>
                    <xdr:row>1182</xdr:row>
                    <xdr:rowOff>182880</xdr:rowOff>
                  </to>
                </anchor>
              </controlPr>
            </control>
          </mc:Choice>
        </mc:AlternateContent>
        <mc:AlternateContent xmlns:mc="http://schemas.openxmlformats.org/markup-compatibility/2006">
          <mc:Choice Requires="x14">
            <control shapeId="15853" r:id="rId209" name="Check Box 493">
              <controlPr locked="0" defaultSize="0" autoFill="0" autoLine="0" autoPict="0">
                <anchor moveWithCells="1" sizeWithCells="1">
                  <from>
                    <xdr:col>22</xdr:col>
                    <xdr:colOff>0</xdr:colOff>
                    <xdr:row>1184</xdr:row>
                    <xdr:rowOff>0</xdr:rowOff>
                  </from>
                  <to>
                    <xdr:col>22</xdr:col>
                    <xdr:colOff>182880</xdr:colOff>
                    <xdr:row>1184</xdr:row>
                    <xdr:rowOff>182880</xdr:rowOff>
                  </to>
                </anchor>
              </controlPr>
            </control>
          </mc:Choice>
        </mc:AlternateContent>
        <mc:AlternateContent xmlns:mc="http://schemas.openxmlformats.org/markup-compatibility/2006">
          <mc:Choice Requires="x14">
            <control shapeId="15854" r:id="rId210" name="Check Box 494">
              <controlPr locked="0" defaultSize="0" autoFill="0" autoLine="0" autoPict="0">
                <anchor moveWithCells="1" sizeWithCells="1">
                  <from>
                    <xdr:col>22</xdr:col>
                    <xdr:colOff>0</xdr:colOff>
                    <xdr:row>1186</xdr:row>
                    <xdr:rowOff>0</xdr:rowOff>
                  </from>
                  <to>
                    <xdr:col>22</xdr:col>
                    <xdr:colOff>182880</xdr:colOff>
                    <xdr:row>1186</xdr:row>
                    <xdr:rowOff>182880</xdr:rowOff>
                  </to>
                </anchor>
              </controlPr>
            </control>
          </mc:Choice>
        </mc:AlternateContent>
        <mc:AlternateContent xmlns:mc="http://schemas.openxmlformats.org/markup-compatibility/2006">
          <mc:Choice Requires="x14">
            <control shapeId="15855" r:id="rId211" name="Check Box 495">
              <controlPr locked="0" defaultSize="0" autoFill="0" autoLine="0" autoPict="0">
                <anchor moveWithCells="1" sizeWithCells="1">
                  <from>
                    <xdr:col>22</xdr:col>
                    <xdr:colOff>0</xdr:colOff>
                    <xdr:row>1188</xdr:row>
                    <xdr:rowOff>0</xdr:rowOff>
                  </from>
                  <to>
                    <xdr:col>22</xdr:col>
                    <xdr:colOff>182880</xdr:colOff>
                    <xdr:row>1188</xdr:row>
                    <xdr:rowOff>182880</xdr:rowOff>
                  </to>
                </anchor>
              </controlPr>
            </control>
          </mc:Choice>
        </mc:AlternateContent>
        <mc:AlternateContent xmlns:mc="http://schemas.openxmlformats.org/markup-compatibility/2006">
          <mc:Choice Requires="x14">
            <control shapeId="15856" r:id="rId212" name="Check Box 496">
              <controlPr locked="0" defaultSize="0" autoFill="0" autoLine="0" autoPict="0">
                <anchor moveWithCells="1" sizeWithCells="1">
                  <from>
                    <xdr:col>22</xdr:col>
                    <xdr:colOff>0</xdr:colOff>
                    <xdr:row>1229</xdr:row>
                    <xdr:rowOff>0</xdr:rowOff>
                  </from>
                  <to>
                    <xdr:col>22</xdr:col>
                    <xdr:colOff>182880</xdr:colOff>
                    <xdr:row>1229</xdr:row>
                    <xdr:rowOff>182880</xdr:rowOff>
                  </to>
                </anchor>
              </controlPr>
            </control>
          </mc:Choice>
        </mc:AlternateContent>
        <mc:AlternateContent xmlns:mc="http://schemas.openxmlformats.org/markup-compatibility/2006">
          <mc:Choice Requires="x14">
            <control shapeId="15857" r:id="rId213" name="Check Box 497">
              <controlPr locked="0" defaultSize="0" autoFill="0" autoLine="0" autoPict="0">
                <anchor moveWithCells="1" sizeWithCells="1">
                  <from>
                    <xdr:col>22</xdr:col>
                    <xdr:colOff>0</xdr:colOff>
                    <xdr:row>1246</xdr:row>
                    <xdr:rowOff>0</xdr:rowOff>
                  </from>
                  <to>
                    <xdr:col>22</xdr:col>
                    <xdr:colOff>182880</xdr:colOff>
                    <xdr:row>1246</xdr:row>
                    <xdr:rowOff>182880</xdr:rowOff>
                  </to>
                </anchor>
              </controlPr>
            </control>
          </mc:Choice>
        </mc:AlternateContent>
        <mc:AlternateContent xmlns:mc="http://schemas.openxmlformats.org/markup-compatibility/2006">
          <mc:Choice Requires="x14">
            <control shapeId="15858" r:id="rId214" name="Check Box 498">
              <controlPr locked="0" defaultSize="0" autoFill="0" autoLine="0" autoPict="0">
                <anchor moveWithCells="1" sizeWithCells="1">
                  <from>
                    <xdr:col>22</xdr:col>
                    <xdr:colOff>0</xdr:colOff>
                    <xdr:row>1249</xdr:row>
                    <xdr:rowOff>0</xdr:rowOff>
                  </from>
                  <to>
                    <xdr:col>22</xdr:col>
                    <xdr:colOff>182880</xdr:colOff>
                    <xdr:row>1249</xdr:row>
                    <xdr:rowOff>182880</xdr:rowOff>
                  </to>
                </anchor>
              </controlPr>
            </control>
          </mc:Choice>
        </mc:AlternateContent>
        <mc:AlternateContent xmlns:mc="http://schemas.openxmlformats.org/markup-compatibility/2006">
          <mc:Choice Requires="x14">
            <control shapeId="15859" r:id="rId215" name="Check Box 499">
              <controlPr locked="0" defaultSize="0" autoFill="0" autoLine="0" autoPict="0">
                <anchor moveWithCells="1" sizeWithCells="1">
                  <from>
                    <xdr:col>22</xdr:col>
                    <xdr:colOff>0</xdr:colOff>
                    <xdr:row>1254</xdr:row>
                    <xdr:rowOff>0</xdr:rowOff>
                  </from>
                  <to>
                    <xdr:col>22</xdr:col>
                    <xdr:colOff>182880</xdr:colOff>
                    <xdr:row>1254</xdr:row>
                    <xdr:rowOff>182880</xdr:rowOff>
                  </to>
                </anchor>
              </controlPr>
            </control>
          </mc:Choice>
        </mc:AlternateContent>
        <mc:AlternateContent xmlns:mc="http://schemas.openxmlformats.org/markup-compatibility/2006">
          <mc:Choice Requires="x14">
            <control shapeId="15860" r:id="rId216" name="Check Box 500">
              <controlPr locked="0" defaultSize="0" autoFill="0" autoLine="0" autoPict="0">
                <anchor moveWithCells="1" sizeWithCells="1">
                  <from>
                    <xdr:col>22</xdr:col>
                    <xdr:colOff>0</xdr:colOff>
                    <xdr:row>1255</xdr:row>
                    <xdr:rowOff>0</xdr:rowOff>
                  </from>
                  <to>
                    <xdr:col>22</xdr:col>
                    <xdr:colOff>182880</xdr:colOff>
                    <xdr:row>1255</xdr:row>
                    <xdr:rowOff>182880</xdr:rowOff>
                  </to>
                </anchor>
              </controlPr>
            </control>
          </mc:Choice>
        </mc:AlternateContent>
        <mc:AlternateContent xmlns:mc="http://schemas.openxmlformats.org/markup-compatibility/2006">
          <mc:Choice Requires="x14">
            <control shapeId="15861" r:id="rId217" name="Check Box 501">
              <controlPr locked="0" defaultSize="0" autoFill="0" autoLine="0" autoPict="0">
                <anchor moveWithCells="1" sizeWithCells="1">
                  <from>
                    <xdr:col>22</xdr:col>
                    <xdr:colOff>0</xdr:colOff>
                    <xdr:row>1259</xdr:row>
                    <xdr:rowOff>0</xdr:rowOff>
                  </from>
                  <to>
                    <xdr:col>22</xdr:col>
                    <xdr:colOff>182880</xdr:colOff>
                    <xdr:row>1259</xdr:row>
                    <xdr:rowOff>182880</xdr:rowOff>
                  </to>
                </anchor>
              </controlPr>
            </control>
          </mc:Choice>
        </mc:AlternateContent>
        <mc:AlternateContent xmlns:mc="http://schemas.openxmlformats.org/markup-compatibility/2006">
          <mc:Choice Requires="x14">
            <control shapeId="15862" r:id="rId218" name="Check Box 502">
              <controlPr locked="0" defaultSize="0" autoFill="0" autoLine="0" autoPict="0">
                <anchor moveWithCells="1" sizeWithCells="1">
                  <from>
                    <xdr:col>22</xdr:col>
                    <xdr:colOff>0</xdr:colOff>
                    <xdr:row>1264</xdr:row>
                    <xdr:rowOff>0</xdr:rowOff>
                  </from>
                  <to>
                    <xdr:col>22</xdr:col>
                    <xdr:colOff>182880</xdr:colOff>
                    <xdr:row>1264</xdr:row>
                    <xdr:rowOff>182880</xdr:rowOff>
                  </to>
                </anchor>
              </controlPr>
            </control>
          </mc:Choice>
        </mc:AlternateContent>
        <mc:AlternateContent xmlns:mc="http://schemas.openxmlformats.org/markup-compatibility/2006">
          <mc:Choice Requires="x14">
            <control shapeId="15863" r:id="rId219" name="Check Box 503">
              <controlPr locked="0" defaultSize="0" autoFill="0" autoLine="0" autoPict="0">
                <anchor moveWithCells="1" sizeWithCells="1">
                  <from>
                    <xdr:col>22</xdr:col>
                    <xdr:colOff>0</xdr:colOff>
                    <xdr:row>1287</xdr:row>
                    <xdr:rowOff>0</xdr:rowOff>
                  </from>
                  <to>
                    <xdr:col>22</xdr:col>
                    <xdr:colOff>182880</xdr:colOff>
                    <xdr:row>1287</xdr:row>
                    <xdr:rowOff>182880</xdr:rowOff>
                  </to>
                </anchor>
              </controlPr>
            </control>
          </mc:Choice>
        </mc:AlternateContent>
        <mc:AlternateContent xmlns:mc="http://schemas.openxmlformats.org/markup-compatibility/2006">
          <mc:Choice Requires="x14">
            <control shapeId="15864" r:id="rId220" name="Check Box 504">
              <controlPr locked="0" defaultSize="0" autoFill="0" autoLine="0" autoPict="0">
                <anchor moveWithCells="1" sizeWithCells="1">
                  <from>
                    <xdr:col>22</xdr:col>
                    <xdr:colOff>0</xdr:colOff>
                    <xdr:row>1290</xdr:row>
                    <xdr:rowOff>0</xdr:rowOff>
                  </from>
                  <to>
                    <xdr:col>22</xdr:col>
                    <xdr:colOff>182880</xdr:colOff>
                    <xdr:row>1290</xdr:row>
                    <xdr:rowOff>182880</xdr:rowOff>
                  </to>
                </anchor>
              </controlPr>
            </control>
          </mc:Choice>
        </mc:AlternateContent>
        <mc:AlternateContent xmlns:mc="http://schemas.openxmlformats.org/markup-compatibility/2006">
          <mc:Choice Requires="x14">
            <control shapeId="15865" r:id="rId221" name="Check Box 505">
              <controlPr locked="0" defaultSize="0" autoFill="0" autoLine="0" autoPict="0">
                <anchor moveWithCells="1" sizeWithCells="1">
                  <from>
                    <xdr:col>22</xdr:col>
                    <xdr:colOff>0</xdr:colOff>
                    <xdr:row>1304</xdr:row>
                    <xdr:rowOff>0</xdr:rowOff>
                  </from>
                  <to>
                    <xdr:col>22</xdr:col>
                    <xdr:colOff>182880</xdr:colOff>
                    <xdr:row>1304</xdr:row>
                    <xdr:rowOff>182880</xdr:rowOff>
                  </to>
                </anchor>
              </controlPr>
            </control>
          </mc:Choice>
        </mc:AlternateContent>
        <mc:AlternateContent xmlns:mc="http://schemas.openxmlformats.org/markup-compatibility/2006">
          <mc:Choice Requires="x14">
            <control shapeId="15866" r:id="rId222" name="Check Box 506">
              <controlPr locked="0" defaultSize="0" autoFill="0" autoLine="0" autoPict="0">
                <anchor moveWithCells="1" sizeWithCells="1">
                  <from>
                    <xdr:col>22</xdr:col>
                    <xdr:colOff>0</xdr:colOff>
                    <xdr:row>1316</xdr:row>
                    <xdr:rowOff>0</xdr:rowOff>
                  </from>
                  <to>
                    <xdr:col>22</xdr:col>
                    <xdr:colOff>182880</xdr:colOff>
                    <xdr:row>1316</xdr:row>
                    <xdr:rowOff>182880</xdr:rowOff>
                  </to>
                </anchor>
              </controlPr>
            </control>
          </mc:Choice>
        </mc:AlternateContent>
        <mc:AlternateContent xmlns:mc="http://schemas.openxmlformats.org/markup-compatibility/2006">
          <mc:Choice Requires="x14">
            <control shapeId="15867" r:id="rId223" name="Check Box 507">
              <controlPr locked="0" defaultSize="0" autoFill="0" autoLine="0" autoPict="0">
                <anchor moveWithCells="1" sizeWithCells="1">
                  <from>
                    <xdr:col>22</xdr:col>
                    <xdr:colOff>0</xdr:colOff>
                    <xdr:row>1318</xdr:row>
                    <xdr:rowOff>0</xdr:rowOff>
                  </from>
                  <to>
                    <xdr:col>22</xdr:col>
                    <xdr:colOff>182880</xdr:colOff>
                    <xdr:row>1318</xdr:row>
                    <xdr:rowOff>182880</xdr:rowOff>
                  </to>
                </anchor>
              </controlPr>
            </control>
          </mc:Choice>
        </mc:AlternateContent>
        <mc:AlternateContent xmlns:mc="http://schemas.openxmlformats.org/markup-compatibility/2006">
          <mc:Choice Requires="x14">
            <control shapeId="15868" r:id="rId224" name="Check Box 508">
              <controlPr locked="0" defaultSize="0" autoFill="0" autoLine="0" autoPict="0">
                <anchor moveWithCells="1" sizeWithCells="1">
                  <from>
                    <xdr:col>22</xdr:col>
                    <xdr:colOff>0</xdr:colOff>
                    <xdr:row>1320</xdr:row>
                    <xdr:rowOff>0</xdr:rowOff>
                  </from>
                  <to>
                    <xdr:col>22</xdr:col>
                    <xdr:colOff>182880</xdr:colOff>
                    <xdr:row>1320</xdr:row>
                    <xdr:rowOff>182880</xdr:rowOff>
                  </to>
                </anchor>
              </controlPr>
            </control>
          </mc:Choice>
        </mc:AlternateContent>
        <mc:AlternateContent xmlns:mc="http://schemas.openxmlformats.org/markup-compatibility/2006">
          <mc:Choice Requires="x14">
            <control shapeId="15869" r:id="rId225" name="Check Box 509">
              <controlPr locked="0" defaultSize="0" autoFill="0" autoLine="0" autoPict="0">
                <anchor moveWithCells="1" sizeWithCells="1">
                  <from>
                    <xdr:col>22</xdr:col>
                    <xdr:colOff>0</xdr:colOff>
                    <xdr:row>1327</xdr:row>
                    <xdr:rowOff>0</xdr:rowOff>
                  </from>
                  <to>
                    <xdr:col>22</xdr:col>
                    <xdr:colOff>182880</xdr:colOff>
                    <xdr:row>1327</xdr:row>
                    <xdr:rowOff>182880</xdr:rowOff>
                  </to>
                </anchor>
              </controlPr>
            </control>
          </mc:Choice>
        </mc:AlternateContent>
        <mc:AlternateContent xmlns:mc="http://schemas.openxmlformats.org/markup-compatibility/2006">
          <mc:Choice Requires="x14">
            <control shapeId="15870" r:id="rId226" name="Check Box 510">
              <controlPr locked="0" defaultSize="0" autoFill="0" autoLine="0" autoPict="0">
                <anchor moveWithCells="1" sizeWithCells="1">
                  <from>
                    <xdr:col>22</xdr:col>
                    <xdr:colOff>0</xdr:colOff>
                    <xdr:row>1328</xdr:row>
                    <xdr:rowOff>0</xdr:rowOff>
                  </from>
                  <to>
                    <xdr:col>22</xdr:col>
                    <xdr:colOff>182880</xdr:colOff>
                    <xdr:row>1328</xdr:row>
                    <xdr:rowOff>182880</xdr:rowOff>
                  </to>
                </anchor>
              </controlPr>
            </control>
          </mc:Choice>
        </mc:AlternateContent>
        <mc:AlternateContent xmlns:mc="http://schemas.openxmlformats.org/markup-compatibility/2006">
          <mc:Choice Requires="x14">
            <control shapeId="15871" r:id="rId227" name="Check Box 511">
              <controlPr locked="0" defaultSize="0" autoFill="0" autoLine="0" autoPict="0">
                <anchor moveWithCells="1" sizeWithCells="1">
                  <from>
                    <xdr:col>22</xdr:col>
                    <xdr:colOff>0</xdr:colOff>
                    <xdr:row>1329</xdr:row>
                    <xdr:rowOff>0</xdr:rowOff>
                  </from>
                  <to>
                    <xdr:col>22</xdr:col>
                    <xdr:colOff>182880</xdr:colOff>
                    <xdr:row>1329</xdr:row>
                    <xdr:rowOff>182880</xdr:rowOff>
                  </to>
                </anchor>
              </controlPr>
            </control>
          </mc:Choice>
        </mc:AlternateContent>
        <mc:AlternateContent xmlns:mc="http://schemas.openxmlformats.org/markup-compatibility/2006">
          <mc:Choice Requires="x14">
            <control shapeId="15872" r:id="rId228" name="Check Box 512">
              <controlPr locked="0" defaultSize="0" autoFill="0" autoLine="0" autoPict="0">
                <anchor moveWithCells="1" sizeWithCells="1">
                  <from>
                    <xdr:col>22</xdr:col>
                    <xdr:colOff>0</xdr:colOff>
                    <xdr:row>1330</xdr:row>
                    <xdr:rowOff>0</xdr:rowOff>
                  </from>
                  <to>
                    <xdr:col>22</xdr:col>
                    <xdr:colOff>182880</xdr:colOff>
                    <xdr:row>1330</xdr:row>
                    <xdr:rowOff>182880</xdr:rowOff>
                  </to>
                </anchor>
              </controlPr>
            </control>
          </mc:Choice>
        </mc:AlternateContent>
        <mc:AlternateContent xmlns:mc="http://schemas.openxmlformats.org/markup-compatibility/2006">
          <mc:Choice Requires="x14">
            <control shapeId="15873" r:id="rId229" name="Check Box 513">
              <controlPr locked="0" defaultSize="0" autoFill="0" autoLine="0" autoPict="0">
                <anchor moveWithCells="1" sizeWithCells="1">
                  <from>
                    <xdr:col>22</xdr:col>
                    <xdr:colOff>0</xdr:colOff>
                    <xdr:row>1332</xdr:row>
                    <xdr:rowOff>0</xdr:rowOff>
                  </from>
                  <to>
                    <xdr:col>22</xdr:col>
                    <xdr:colOff>182880</xdr:colOff>
                    <xdr:row>1332</xdr:row>
                    <xdr:rowOff>182880</xdr:rowOff>
                  </to>
                </anchor>
              </controlPr>
            </control>
          </mc:Choice>
        </mc:AlternateContent>
        <mc:AlternateContent xmlns:mc="http://schemas.openxmlformats.org/markup-compatibility/2006">
          <mc:Choice Requires="x14">
            <control shapeId="15874" r:id="rId230" name="Check Box 514">
              <controlPr locked="0" defaultSize="0" autoFill="0" autoLine="0" autoPict="0">
                <anchor moveWithCells="1" sizeWithCells="1">
                  <from>
                    <xdr:col>22</xdr:col>
                    <xdr:colOff>0</xdr:colOff>
                    <xdr:row>1335</xdr:row>
                    <xdr:rowOff>0</xdr:rowOff>
                  </from>
                  <to>
                    <xdr:col>22</xdr:col>
                    <xdr:colOff>182880</xdr:colOff>
                    <xdr:row>1335</xdr:row>
                    <xdr:rowOff>182880</xdr:rowOff>
                  </to>
                </anchor>
              </controlPr>
            </control>
          </mc:Choice>
        </mc:AlternateContent>
        <mc:AlternateContent xmlns:mc="http://schemas.openxmlformats.org/markup-compatibility/2006">
          <mc:Choice Requires="x14">
            <control shapeId="15875" r:id="rId231" name="Check Box 515">
              <controlPr locked="0" defaultSize="0" autoFill="0" autoLine="0" autoPict="0">
                <anchor moveWithCells="1" sizeWithCells="1">
                  <from>
                    <xdr:col>22</xdr:col>
                    <xdr:colOff>0</xdr:colOff>
                    <xdr:row>1353</xdr:row>
                    <xdr:rowOff>0</xdr:rowOff>
                  </from>
                  <to>
                    <xdr:col>22</xdr:col>
                    <xdr:colOff>182880</xdr:colOff>
                    <xdr:row>1353</xdr:row>
                    <xdr:rowOff>182880</xdr:rowOff>
                  </to>
                </anchor>
              </controlPr>
            </control>
          </mc:Choice>
        </mc:AlternateContent>
        <mc:AlternateContent xmlns:mc="http://schemas.openxmlformats.org/markup-compatibility/2006">
          <mc:Choice Requires="x14">
            <control shapeId="15876" r:id="rId232" name="Check Box 516">
              <controlPr locked="0" defaultSize="0" autoFill="0" autoLine="0" autoPict="0">
                <anchor moveWithCells="1" sizeWithCells="1">
                  <from>
                    <xdr:col>22</xdr:col>
                    <xdr:colOff>0</xdr:colOff>
                    <xdr:row>1354</xdr:row>
                    <xdr:rowOff>0</xdr:rowOff>
                  </from>
                  <to>
                    <xdr:col>22</xdr:col>
                    <xdr:colOff>182880</xdr:colOff>
                    <xdr:row>1354</xdr:row>
                    <xdr:rowOff>182880</xdr:rowOff>
                  </to>
                </anchor>
              </controlPr>
            </control>
          </mc:Choice>
        </mc:AlternateContent>
        <mc:AlternateContent xmlns:mc="http://schemas.openxmlformats.org/markup-compatibility/2006">
          <mc:Choice Requires="x14">
            <control shapeId="15877" r:id="rId233" name="Check Box 517">
              <controlPr locked="0" defaultSize="0" autoFill="0" autoLine="0" autoPict="0">
                <anchor moveWithCells="1" sizeWithCells="1">
                  <from>
                    <xdr:col>22</xdr:col>
                    <xdr:colOff>0</xdr:colOff>
                    <xdr:row>1355</xdr:row>
                    <xdr:rowOff>0</xdr:rowOff>
                  </from>
                  <to>
                    <xdr:col>22</xdr:col>
                    <xdr:colOff>182880</xdr:colOff>
                    <xdr:row>1355</xdr:row>
                    <xdr:rowOff>182880</xdr:rowOff>
                  </to>
                </anchor>
              </controlPr>
            </control>
          </mc:Choice>
        </mc:AlternateContent>
        <mc:AlternateContent xmlns:mc="http://schemas.openxmlformats.org/markup-compatibility/2006">
          <mc:Choice Requires="x14">
            <control shapeId="15878" r:id="rId234" name="Check Box 518">
              <controlPr locked="0" defaultSize="0" autoFill="0" autoLine="0" autoPict="0">
                <anchor moveWithCells="1" sizeWithCells="1">
                  <from>
                    <xdr:col>22</xdr:col>
                    <xdr:colOff>0</xdr:colOff>
                    <xdr:row>1356</xdr:row>
                    <xdr:rowOff>0</xdr:rowOff>
                  </from>
                  <to>
                    <xdr:col>22</xdr:col>
                    <xdr:colOff>182880</xdr:colOff>
                    <xdr:row>1356</xdr:row>
                    <xdr:rowOff>182880</xdr:rowOff>
                  </to>
                </anchor>
              </controlPr>
            </control>
          </mc:Choice>
        </mc:AlternateContent>
        <mc:AlternateContent xmlns:mc="http://schemas.openxmlformats.org/markup-compatibility/2006">
          <mc:Choice Requires="x14">
            <control shapeId="15879" r:id="rId235" name="Check Box 519">
              <controlPr locked="0" defaultSize="0" autoFill="0" autoLine="0" autoPict="0">
                <anchor moveWithCells="1" sizeWithCells="1">
                  <from>
                    <xdr:col>22</xdr:col>
                    <xdr:colOff>0</xdr:colOff>
                    <xdr:row>1357</xdr:row>
                    <xdr:rowOff>0</xdr:rowOff>
                  </from>
                  <to>
                    <xdr:col>22</xdr:col>
                    <xdr:colOff>182880</xdr:colOff>
                    <xdr:row>1357</xdr:row>
                    <xdr:rowOff>182880</xdr:rowOff>
                  </to>
                </anchor>
              </controlPr>
            </control>
          </mc:Choice>
        </mc:AlternateContent>
        <mc:AlternateContent xmlns:mc="http://schemas.openxmlformats.org/markup-compatibility/2006">
          <mc:Choice Requires="x14">
            <control shapeId="15880" r:id="rId236" name="Check Box 520">
              <controlPr locked="0" defaultSize="0" autoFill="0" autoLine="0" autoPict="0">
                <anchor moveWithCells="1" sizeWithCells="1">
                  <from>
                    <xdr:col>22</xdr:col>
                    <xdr:colOff>0</xdr:colOff>
                    <xdr:row>1358</xdr:row>
                    <xdr:rowOff>0</xdr:rowOff>
                  </from>
                  <to>
                    <xdr:col>22</xdr:col>
                    <xdr:colOff>182880</xdr:colOff>
                    <xdr:row>1358</xdr:row>
                    <xdr:rowOff>182880</xdr:rowOff>
                  </to>
                </anchor>
              </controlPr>
            </control>
          </mc:Choice>
        </mc:AlternateContent>
        <mc:AlternateContent xmlns:mc="http://schemas.openxmlformats.org/markup-compatibility/2006">
          <mc:Choice Requires="x14">
            <control shapeId="15881" r:id="rId237" name="Check Box 521">
              <controlPr locked="0" defaultSize="0" autoFill="0" autoLine="0" autoPict="0">
                <anchor moveWithCells="1" sizeWithCells="1">
                  <from>
                    <xdr:col>22</xdr:col>
                    <xdr:colOff>0</xdr:colOff>
                    <xdr:row>1359</xdr:row>
                    <xdr:rowOff>0</xdr:rowOff>
                  </from>
                  <to>
                    <xdr:col>22</xdr:col>
                    <xdr:colOff>182880</xdr:colOff>
                    <xdr:row>1359</xdr:row>
                    <xdr:rowOff>182880</xdr:rowOff>
                  </to>
                </anchor>
              </controlPr>
            </control>
          </mc:Choice>
        </mc:AlternateContent>
        <mc:AlternateContent xmlns:mc="http://schemas.openxmlformats.org/markup-compatibility/2006">
          <mc:Choice Requires="x14">
            <control shapeId="15882" r:id="rId238" name="Check Box 522">
              <controlPr locked="0" defaultSize="0" autoFill="0" autoLine="0" autoPict="0">
                <anchor moveWithCells="1" sizeWithCells="1">
                  <from>
                    <xdr:col>22</xdr:col>
                    <xdr:colOff>0</xdr:colOff>
                    <xdr:row>1360</xdr:row>
                    <xdr:rowOff>0</xdr:rowOff>
                  </from>
                  <to>
                    <xdr:col>22</xdr:col>
                    <xdr:colOff>182880</xdr:colOff>
                    <xdr:row>1360</xdr:row>
                    <xdr:rowOff>182880</xdr:rowOff>
                  </to>
                </anchor>
              </controlPr>
            </control>
          </mc:Choice>
        </mc:AlternateContent>
        <mc:AlternateContent xmlns:mc="http://schemas.openxmlformats.org/markup-compatibility/2006">
          <mc:Choice Requires="x14">
            <control shapeId="15883" r:id="rId239" name="Check Box 523">
              <controlPr locked="0" defaultSize="0" autoFill="0" autoLine="0" autoPict="0">
                <anchor moveWithCells="1" sizeWithCells="1">
                  <from>
                    <xdr:col>22</xdr:col>
                    <xdr:colOff>0</xdr:colOff>
                    <xdr:row>1363</xdr:row>
                    <xdr:rowOff>0</xdr:rowOff>
                  </from>
                  <to>
                    <xdr:col>22</xdr:col>
                    <xdr:colOff>182880</xdr:colOff>
                    <xdr:row>1363</xdr:row>
                    <xdr:rowOff>182880</xdr:rowOff>
                  </to>
                </anchor>
              </controlPr>
            </control>
          </mc:Choice>
        </mc:AlternateContent>
        <mc:AlternateContent xmlns:mc="http://schemas.openxmlformats.org/markup-compatibility/2006">
          <mc:Choice Requires="x14">
            <control shapeId="15884" r:id="rId240" name="Check Box 524">
              <controlPr locked="0" defaultSize="0" autoFill="0" autoLine="0" autoPict="0">
                <anchor moveWithCells="1" sizeWithCells="1">
                  <from>
                    <xdr:col>22</xdr:col>
                    <xdr:colOff>0</xdr:colOff>
                    <xdr:row>1365</xdr:row>
                    <xdr:rowOff>0</xdr:rowOff>
                  </from>
                  <to>
                    <xdr:col>22</xdr:col>
                    <xdr:colOff>182880</xdr:colOff>
                    <xdr:row>1365</xdr:row>
                    <xdr:rowOff>182880</xdr:rowOff>
                  </to>
                </anchor>
              </controlPr>
            </control>
          </mc:Choice>
        </mc:AlternateContent>
        <mc:AlternateContent xmlns:mc="http://schemas.openxmlformats.org/markup-compatibility/2006">
          <mc:Choice Requires="x14">
            <control shapeId="15885" r:id="rId241" name="Check Box 525">
              <controlPr locked="0" defaultSize="0" autoFill="0" autoLine="0" autoPict="0">
                <anchor moveWithCells="1" sizeWithCells="1">
                  <from>
                    <xdr:col>22</xdr:col>
                    <xdr:colOff>0</xdr:colOff>
                    <xdr:row>1367</xdr:row>
                    <xdr:rowOff>0</xdr:rowOff>
                  </from>
                  <to>
                    <xdr:col>22</xdr:col>
                    <xdr:colOff>182880</xdr:colOff>
                    <xdr:row>1367</xdr:row>
                    <xdr:rowOff>182880</xdr:rowOff>
                  </to>
                </anchor>
              </controlPr>
            </control>
          </mc:Choice>
        </mc:AlternateContent>
        <mc:AlternateContent xmlns:mc="http://schemas.openxmlformats.org/markup-compatibility/2006">
          <mc:Choice Requires="x14">
            <control shapeId="15886" r:id="rId242" name="Check Box 526">
              <controlPr locked="0" defaultSize="0" autoFill="0" autoLine="0" autoPict="0">
                <anchor moveWithCells="1" sizeWithCells="1">
                  <from>
                    <xdr:col>22</xdr:col>
                    <xdr:colOff>0</xdr:colOff>
                    <xdr:row>1378</xdr:row>
                    <xdr:rowOff>0</xdr:rowOff>
                  </from>
                  <to>
                    <xdr:col>22</xdr:col>
                    <xdr:colOff>182880</xdr:colOff>
                    <xdr:row>1378</xdr:row>
                    <xdr:rowOff>182880</xdr:rowOff>
                  </to>
                </anchor>
              </controlPr>
            </control>
          </mc:Choice>
        </mc:AlternateContent>
        <mc:AlternateContent xmlns:mc="http://schemas.openxmlformats.org/markup-compatibility/2006">
          <mc:Choice Requires="x14">
            <control shapeId="15887" r:id="rId243" name="Check Box 527">
              <controlPr locked="0" defaultSize="0" autoFill="0" autoLine="0" autoPict="0">
                <anchor moveWithCells="1" sizeWithCells="1">
                  <from>
                    <xdr:col>22</xdr:col>
                    <xdr:colOff>0</xdr:colOff>
                    <xdr:row>1382</xdr:row>
                    <xdr:rowOff>0</xdr:rowOff>
                  </from>
                  <to>
                    <xdr:col>22</xdr:col>
                    <xdr:colOff>182880</xdr:colOff>
                    <xdr:row>1382</xdr:row>
                    <xdr:rowOff>182880</xdr:rowOff>
                  </to>
                </anchor>
              </controlPr>
            </control>
          </mc:Choice>
        </mc:AlternateContent>
        <mc:AlternateContent xmlns:mc="http://schemas.openxmlformats.org/markup-compatibility/2006">
          <mc:Choice Requires="x14">
            <control shapeId="15888" r:id="rId244" name="Check Box 528">
              <controlPr locked="0" defaultSize="0" autoFill="0" autoLine="0" autoPict="0">
                <anchor moveWithCells="1" sizeWithCells="1">
                  <from>
                    <xdr:col>22</xdr:col>
                    <xdr:colOff>0</xdr:colOff>
                    <xdr:row>1383</xdr:row>
                    <xdr:rowOff>0</xdr:rowOff>
                  </from>
                  <to>
                    <xdr:col>22</xdr:col>
                    <xdr:colOff>182880</xdr:colOff>
                    <xdr:row>1383</xdr:row>
                    <xdr:rowOff>182880</xdr:rowOff>
                  </to>
                </anchor>
              </controlPr>
            </control>
          </mc:Choice>
        </mc:AlternateContent>
        <mc:AlternateContent xmlns:mc="http://schemas.openxmlformats.org/markup-compatibility/2006">
          <mc:Choice Requires="x14">
            <control shapeId="15889" r:id="rId245" name="Check Box 529">
              <controlPr locked="0" defaultSize="0" autoFill="0" autoLine="0" autoPict="0">
                <anchor moveWithCells="1" sizeWithCells="1">
                  <from>
                    <xdr:col>22</xdr:col>
                    <xdr:colOff>0</xdr:colOff>
                    <xdr:row>1386</xdr:row>
                    <xdr:rowOff>0</xdr:rowOff>
                  </from>
                  <to>
                    <xdr:col>22</xdr:col>
                    <xdr:colOff>182880</xdr:colOff>
                    <xdr:row>1386</xdr:row>
                    <xdr:rowOff>182880</xdr:rowOff>
                  </to>
                </anchor>
              </controlPr>
            </control>
          </mc:Choice>
        </mc:AlternateContent>
        <mc:AlternateContent xmlns:mc="http://schemas.openxmlformats.org/markup-compatibility/2006">
          <mc:Choice Requires="x14">
            <control shapeId="15890" r:id="rId246" name="Check Box 530">
              <controlPr locked="0" defaultSize="0" autoFill="0" autoLine="0" autoPict="0">
                <anchor moveWithCells="1" sizeWithCells="1">
                  <from>
                    <xdr:col>22</xdr:col>
                    <xdr:colOff>0</xdr:colOff>
                    <xdr:row>1389</xdr:row>
                    <xdr:rowOff>0</xdr:rowOff>
                  </from>
                  <to>
                    <xdr:col>22</xdr:col>
                    <xdr:colOff>182880</xdr:colOff>
                    <xdr:row>1389</xdr:row>
                    <xdr:rowOff>182880</xdr:rowOff>
                  </to>
                </anchor>
              </controlPr>
            </control>
          </mc:Choice>
        </mc:AlternateContent>
        <mc:AlternateContent xmlns:mc="http://schemas.openxmlformats.org/markup-compatibility/2006">
          <mc:Choice Requires="x14">
            <control shapeId="15915" r:id="rId247" name="Check Box 555">
              <controlPr locked="0" defaultSize="0" autoFill="0" autoLine="0" autoPict="0">
                <anchor moveWithCells="1" sizeWithCells="1">
                  <from>
                    <xdr:col>22</xdr:col>
                    <xdr:colOff>0</xdr:colOff>
                    <xdr:row>1426</xdr:row>
                    <xdr:rowOff>0</xdr:rowOff>
                  </from>
                  <to>
                    <xdr:col>22</xdr:col>
                    <xdr:colOff>182880</xdr:colOff>
                    <xdr:row>1426</xdr:row>
                    <xdr:rowOff>182880</xdr:rowOff>
                  </to>
                </anchor>
              </controlPr>
            </control>
          </mc:Choice>
        </mc:AlternateContent>
        <mc:AlternateContent xmlns:mc="http://schemas.openxmlformats.org/markup-compatibility/2006">
          <mc:Choice Requires="x14">
            <control shapeId="15916" r:id="rId248" name="Check Box 556">
              <controlPr locked="0" defaultSize="0" autoFill="0" autoLine="0" autoPict="0">
                <anchor moveWithCells="1" sizeWithCells="1">
                  <from>
                    <xdr:col>22</xdr:col>
                    <xdr:colOff>0</xdr:colOff>
                    <xdr:row>1431</xdr:row>
                    <xdr:rowOff>0</xdr:rowOff>
                  </from>
                  <to>
                    <xdr:col>22</xdr:col>
                    <xdr:colOff>182880</xdr:colOff>
                    <xdr:row>1431</xdr:row>
                    <xdr:rowOff>182880</xdr:rowOff>
                  </to>
                </anchor>
              </controlPr>
            </control>
          </mc:Choice>
        </mc:AlternateContent>
        <mc:AlternateContent xmlns:mc="http://schemas.openxmlformats.org/markup-compatibility/2006">
          <mc:Choice Requires="x14">
            <control shapeId="15917" r:id="rId249" name="Check Box 557">
              <controlPr locked="0" defaultSize="0" autoFill="0" autoLine="0" autoPict="0">
                <anchor moveWithCells="1" sizeWithCells="1">
                  <from>
                    <xdr:col>22</xdr:col>
                    <xdr:colOff>0</xdr:colOff>
                    <xdr:row>1462</xdr:row>
                    <xdr:rowOff>0</xdr:rowOff>
                  </from>
                  <to>
                    <xdr:col>22</xdr:col>
                    <xdr:colOff>182880</xdr:colOff>
                    <xdr:row>1462</xdr:row>
                    <xdr:rowOff>182880</xdr:rowOff>
                  </to>
                </anchor>
              </controlPr>
            </control>
          </mc:Choice>
        </mc:AlternateContent>
        <mc:AlternateContent xmlns:mc="http://schemas.openxmlformats.org/markup-compatibility/2006">
          <mc:Choice Requires="x14">
            <control shapeId="15918" r:id="rId250" name="Check Box 558">
              <controlPr locked="0" defaultSize="0" autoFill="0" autoLine="0" autoPict="0">
                <anchor moveWithCells="1" sizeWithCells="1">
                  <from>
                    <xdr:col>22</xdr:col>
                    <xdr:colOff>0</xdr:colOff>
                    <xdr:row>1476</xdr:row>
                    <xdr:rowOff>0</xdr:rowOff>
                  </from>
                  <to>
                    <xdr:col>22</xdr:col>
                    <xdr:colOff>182880</xdr:colOff>
                    <xdr:row>1476</xdr:row>
                    <xdr:rowOff>182880</xdr:rowOff>
                  </to>
                </anchor>
              </controlPr>
            </control>
          </mc:Choice>
        </mc:AlternateContent>
        <mc:AlternateContent xmlns:mc="http://schemas.openxmlformats.org/markup-compatibility/2006">
          <mc:Choice Requires="x14">
            <control shapeId="15919" r:id="rId251" name="Check Box 559">
              <controlPr locked="0" defaultSize="0" autoFill="0" autoLine="0" autoPict="0">
                <anchor moveWithCells="1" sizeWithCells="1">
                  <from>
                    <xdr:col>22</xdr:col>
                    <xdr:colOff>0</xdr:colOff>
                    <xdr:row>1483</xdr:row>
                    <xdr:rowOff>0</xdr:rowOff>
                  </from>
                  <to>
                    <xdr:col>22</xdr:col>
                    <xdr:colOff>182880</xdr:colOff>
                    <xdr:row>1483</xdr:row>
                    <xdr:rowOff>182880</xdr:rowOff>
                  </to>
                </anchor>
              </controlPr>
            </control>
          </mc:Choice>
        </mc:AlternateContent>
        <mc:AlternateContent xmlns:mc="http://schemas.openxmlformats.org/markup-compatibility/2006">
          <mc:Choice Requires="x14">
            <control shapeId="15920" r:id="rId252" name="Check Box 560">
              <controlPr locked="0" defaultSize="0" autoFill="0" autoLine="0" autoPict="0">
                <anchor moveWithCells="1" sizeWithCells="1">
                  <from>
                    <xdr:col>22</xdr:col>
                    <xdr:colOff>0</xdr:colOff>
                    <xdr:row>1485</xdr:row>
                    <xdr:rowOff>0</xdr:rowOff>
                  </from>
                  <to>
                    <xdr:col>22</xdr:col>
                    <xdr:colOff>182880</xdr:colOff>
                    <xdr:row>1485</xdr:row>
                    <xdr:rowOff>182880</xdr:rowOff>
                  </to>
                </anchor>
              </controlPr>
            </control>
          </mc:Choice>
        </mc:AlternateContent>
        <mc:AlternateContent xmlns:mc="http://schemas.openxmlformats.org/markup-compatibility/2006">
          <mc:Choice Requires="x14">
            <control shapeId="15921" r:id="rId253" name="Check Box 561">
              <controlPr locked="0" defaultSize="0" autoFill="0" autoLine="0" autoPict="0">
                <anchor moveWithCells="1" sizeWithCells="1">
                  <from>
                    <xdr:col>22</xdr:col>
                    <xdr:colOff>0</xdr:colOff>
                    <xdr:row>1487</xdr:row>
                    <xdr:rowOff>0</xdr:rowOff>
                  </from>
                  <to>
                    <xdr:col>22</xdr:col>
                    <xdr:colOff>182880</xdr:colOff>
                    <xdr:row>1487</xdr:row>
                    <xdr:rowOff>182880</xdr:rowOff>
                  </to>
                </anchor>
              </controlPr>
            </control>
          </mc:Choice>
        </mc:AlternateContent>
        <mc:AlternateContent xmlns:mc="http://schemas.openxmlformats.org/markup-compatibility/2006">
          <mc:Choice Requires="x14">
            <control shapeId="15922" r:id="rId254" name="Check Box 562">
              <controlPr locked="0" defaultSize="0" autoFill="0" autoLine="0" autoPict="0">
                <anchor moveWithCells="1" sizeWithCells="1">
                  <from>
                    <xdr:col>22</xdr:col>
                    <xdr:colOff>0</xdr:colOff>
                    <xdr:row>1491</xdr:row>
                    <xdr:rowOff>0</xdr:rowOff>
                  </from>
                  <to>
                    <xdr:col>22</xdr:col>
                    <xdr:colOff>182880</xdr:colOff>
                    <xdr:row>1491</xdr:row>
                    <xdr:rowOff>182880</xdr:rowOff>
                  </to>
                </anchor>
              </controlPr>
            </control>
          </mc:Choice>
        </mc:AlternateContent>
        <mc:AlternateContent xmlns:mc="http://schemas.openxmlformats.org/markup-compatibility/2006">
          <mc:Choice Requires="x14">
            <control shapeId="15923" r:id="rId255" name="Check Box 563">
              <controlPr locked="0" defaultSize="0" autoFill="0" autoLine="0" autoPict="0">
                <anchor moveWithCells="1" sizeWithCells="1">
                  <from>
                    <xdr:col>22</xdr:col>
                    <xdr:colOff>0</xdr:colOff>
                    <xdr:row>1492</xdr:row>
                    <xdr:rowOff>0</xdr:rowOff>
                  </from>
                  <to>
                    <xdr:col>22</xdr:col>
                    <xdr:colOff>182880</xdr:colOff>
                    <xdr:row>1492</xdr:row>
                    <xdr:rowOff>182880</xdr:rowOff>
                  </to>
                </anchor>
              </controlPr>
            </control>
          </mc:Choice>
        </mc:AlternateContent>
        <mc:AlternateContent xmlns:mc="http://schemas.openxmlformats.org/markup-compatibility/2006">
          <mc:Choice Requires="x14">
            <control shapeId="15924" r:id="rId256" name="Check Box 564">
              <controlPr locked="0" defaultSize="0" autoFill="0" autoLine="0" autoPict="0">
                <anchor moveWithCells="1" sizeWithCells="1">
                  <from>
                    <xdr:col>22</xdr:col>
                    <xdr:colOff>0</xdr:colOff>
                    <xdr:row>1493</xdr:row>
                    <xdr:rowOff>0</xdr:rowOff>
                  </from>
                  <to>
                    <xdr:col>22</xdr:col>
                    <xdr:colOff>182880</xdr:colOff>
                    <xdr:row>1493</xdr:row>
                    <xdr:rowOff>182880</xdr:rowOff>
                  </to>
                </anchor>
              </controlPr>
            </control>
          </mc:Choice>
        </mc:AlternateContent>
        <mc:AlternateContent xmlns:mc="http://schemas.openxmlformats.org/markup-compatibility/2006">
          <mc:Choice Requires="x14">
            <control shapeId="15926" r:id="rId257" name="Check Box 566">
              <controlPr locked="0" defaultSize="0" autoFill="0" autoLine="0" autoPict="0">
                <anchor moveWithCells="1" sizeWithCells="1">
                  <from>
                    <xdr:col>22</xdr:col>
                    <xdr:colOff>0</xdr:colOff>
                    <xdr:row>1501</xdr:row>
                    <xdr:rowOff>0</xdr:rowOff>
                  </from>
                  <to>
                    <xdr:col>22</xdr:col>
                    <xdr:colOff>182880</xdr:colOff>
                    <xdr:row>1501</xdr:row>
                    <xdr:rowOff>182880</xdr:rowOff>
                  </to>
                </anchor>
              </controlPr>
            </control>
          </mc:Choice>
        </mc:AlternateContent>
        <mc:AlternateContent xmlns:mc="http://schemas.openxmlformats.org/markup-compatibility/2006">
          <mc:Choice Requires="x14">
            <control shapeId="15927" r:id="rId258" name="Check Box 567">
              <controlPr locked="0" defaultSize="0" autoFill="0" autoLine="0" autoPict="0">
                <anchor moveWithCells="1" sizeWithCells="1">
                  <from>
                    <xdr:col>22</xdr:col>
                    <xdr:colOff>0</xdr:colOff>
                    <xdr:row>1503</xdr:row>
                    <xdr:rowOff>0</xdr:rowOff>
                  </from>
                  <to>
                    <xdr:col>22</xdr:col>
                    <xdr:colOff>182880</xdr:colOff>
                    <xdr:row>1503</xdr:row>
                    <xdr:rowOff>182880</xdr:rowOff>
                  </to>
                </anchor>
              </controlPr>
            </control>
          </mc:Choice>
        </mc:AlternateContent>
        <mc:AlternateContent xmlns:mc="http://schemas.openxmlformats.org/markup-compatibility/2006">
          <mc:Choice Requires="x14">
            <control shapeId="15928" r:id="rId259" name="Check Box 568">
              <controlPr locked="0" defaultSize="0" autoFill="0" autoLine="0" autoPict="0">
                <anchor moveWithCells="1" sizeWithCells="1">
                  <from>
                    <xdr:col>22</xdr:col>
                    <xdr:colOff>0</xdr:colOff>
                    <xdr:row>1504</xdr:row>
                    <xdr:rowOff>0</xdr:rowOff>
                  </from>
                  <to>
                    <xdr:col>22</xdr:col>
                    <xdr:colOff>182880</xdr:colOff>
                    <xdr:row>1504</xdr:row>
                    <xdr:rowOff>182880</xdr:rowOff>
                  </to>
                </anchor>
              </controlPr>
            </control>
          </mc:Choice>
        </mc:AlternateContent>
        <mc:AlternateContent xmlns:mc="http://schemas.openxmlformats.org/markup-compatibility/2006">
          <mc:Choice Requires="x14">
            <control shapeId="15929" r:id="rId260" name="Check Box 569">
              <controlPr locked="0" defaultSize="0" autoFill="0" autoLine="0" autoPict="0">
                <anchor moveWithCells="1" sizeWithCells="1">
                  <from>
                    <xdr:col>22</xdr:col>
                    <xdr:colOff>0</xdr:colOff>
                    <xdr:row>1508</xdr:row>
                    <xdr:rowOff>0</xdr:rowOff>
                  </from>
                  <to>
                    <xdr:col>22</xdr:col>
                    <xdr:colOff>182880</xdr:colOff>
                    <xdr:row>1508</xdr:row>
                    <xdr:rowOff>182880</xdr:rowOff>
                  </to>
                </anchor>
              </controlPr>
            </control>
          </mc:Choice>
        </mc:AlternateContent>
        <mc:AlternateContent xmlns:mc="http://schemas.openxmlformats.org/markup-compatibility/2006">
          <mc:Choice Requires="x14">
            <control shapeId="15930" r:id="rId261" name="Check Box 570">
              <controlPr locked="0" defaultSize="0" autoFill="0" autoLine="0" autoPict="0">
                <anchor moveWithCells="1" sizeWithCells="1">
                  <from>
                    <xdr:col>22</xdr:col>
                    <xdr:colOff>0</xdr:colOff>
                    <xdr:row>1528</xdr:row>
                    <xdr:rowOff>0</xdr:rowOff>
                  </from>
                  <to>
                    <xdr:col>22</xdr:col>
                    <xdr:colOff>182880</xdr:colOff>
                    <xdr:row>1528</xdr:row>
                    <xdr:rowOff>182880</xdr:rowOff>
                  </to>
                </anchor>
              </controlPr>
            </control>
          </mc:Choice>
        </mc:AlternateContent>
        <mc:AlternateContent xmlns:mc="http://schemas.openxmlformats.org/markup-compatibility/2006">
          <mc:Choice Requires="x14">
            <control shapeId="15931" r:id="rId262" name="Check Box 571">
              <controlPr locked="0" defaultSize="0" autoFill="0" autoLine="0" autoPict="0">
                <anchor moveWithCells="1" sizeWithCells="1">
                  <from>
                    <xdr:col>22</xdr:col>
                    <xdr:colOff>0</xdr:colOff>
                    <xdr:row>1529</xdr:row>
                    <xdr:rowOff>0</xdr:rowOff>
                  </from>
                  <to>
                    <xdr:col>22</xdr:col>
                    <xdr:colOff>182880</xdr:colOff>
                    <xdr:row>1529</xdr:row>
                    <xdr:rowOff>182880</xdr:rowOff>
                  </to>
                </anchor>
              </controlPr>
            </control>
          </mc:Choice>
        </mc:AlternateContent>
        <mc:AlternateContent xmlns:mc="http://schemas.openxmlformats.org/markup-compatibility/2006">
          <mc:Choice Requires="x14">
            <control shapeId="15932" r:id="rId263" name="Check Box 572">
              <controlPr locked="0" defaultSize="0" autoFill="0" autoLine="0" autoPict="0">
                <anchor moveWithCells="1" sizeWithCells="1">
                  <from>
                    <xdr:col>22</xdr:col>
                    <xdr:colOff>0</xdr:colOff>
                    <xdr:row>1538</xdr:row>
                    <xdr:rowOff>0</xdr:rowOff>
                  </from>
                  <to>
                    <xdr:col>22</xdr:col>
                    <xdr:colOff>182880</xdr:colOff>
                    <xdr:row>1538</xdr:row>
                    <xdr:rowOff>182880</xdr:rowOff>
                  </to>
                </anchor>
              </controlPr>
            </control>
          </mc:Choice>
        </mc:AlternateContent>
        <mc:AlternateContent xmlns:mc="http://schemas.openxmlformats.org/markup-compatibility/2006">
          <mc:Choice Requires="x14">
            <control shapeId="15933" r:id="rId264" name="Check Box 573">
              <controlPr locked="0" defaultSize="0" autoFill="0" autoLine="0" autoPict="0">
                <anchor moveWithCells="1" sizeWithCells="1">
                  <from>
                    <xdr:col>22</xdr:col>
                    <xdr:colOff>0</xdr:colOff>
                    <xdr:row>1545</xdr:row>
                    <xdr:rowOff>0</xdr:rowOff>
                  </from>
                  <to>
                    <xdr:col>22</xdr:col>
                    <xdr:colOff>182880</xdr:colOff>
                    <xdr:row>1545</xdr:row>
                    <xdr:rowOff>182880</xdr:rowOff>
                  </to>
                </anchor>
              </controlPr>
            </control>
          </mc:Choice>
        </mc:AlternateContent>
        <mc:AlternateContent xmlns:mc="http://schemas.openxmlformats.org/markup-compatibility/2006">
          <mc:Choice Requires="x14">
            <control shapeId="15934" r:id="rId265" name="Check Box 574">
              <controlPr locked="0" defaultSize="0" autoFill="0" autoLine="0" autoPict="0">
                <anchor moveWithCells="1" sizeWithCells="1">
                  <from>
                    <xdr:col>22</xdr:col>
                    <xdr:colOff>0</xdr:colOff>
                    <xdr:row>1546</xdr:row>
                    <xdr:rowOff>0</xdr:rowOff>
                  </from>
                  <to>
                    <xdr:col>22</xdr:col>
                    <xdr:colOff>182880</xdr:colOff>
                    <xdr:row>1546</xdr:row>
                    <xdr:rowOff>182880</xdr:rowOff>
                  </to>
                </anchor>
              </controlPr>
            </control>
          </mc:Choice>
        </mc:AlternateContent>
        <mc:AlternateContent xmlns:mc="http://schemas.openxmlformats.org/markup-compatibility/2006">
          <mc:Choice Requires="x14">
            <control shapeId="15935" r:id="rId266" name="Check Box 575">
              <controlPr locked="0" defaultSize="0" autoFill="0" autoLine="0" autoPict="0">
                <anchor moveWithCells="1" sizeWithCells="1">
                  <from>
                    <xdr:col>22</xdr:col>
                    <xdr:colOff>0</xdr:colOff>
                    <xdr:row>1547</xdr:row>
                    <xdr:rowOff>0</xdr:rowOff>
                  </from>
                  <to>
                    <xdr:col>22</xdr:col>
                    <xdr:colOff>182880</xdr:colOff>
                    <xdr:row>1547</xdr:row>
                    <xdr:rowOff>182880</xdr:rowOff>
                  </to>
                </anchor>
              </controlPr>
            </control>
          </mc:Choice>
        </mc:AlternateContent>
        <mc:AlternateContent xmlns:mc="http://schemas.openxmlformats.org/markup-compatibility/2006">
          <mc:Choice Requires="x14">
            <control shapeId="15936" r:id="rId267" name="Check Box 576">
              <controlPr locked="0" defaultSize="0" autoFill="0" autoLine="0" autoPict="0">
                <anchor moveWithCells="1" sizeWithCells="1">
                  <from>
                    <xdr:col>22</xdr:col>
                    <xdr:colOff>0</xdr:colOff>
                    <xdr:row>1550</xdr:row>
                    <xdr:rowOff>0</xdr:rowOff>
                  </from>
                  <to>
                    <xdr:col>22</xdr:col>
                    <xdr:colOff>182880</xdr:colOff>
                    <xdr:row>1550</xdr:row>
                    <xdr:rowOff>182880</xdr:rowOff>
                  </to>
                </anchor>
              </controlPr>
            </control>
          </mc:Choice>
        </mc:AlternateContent>
        <mc:AlternateContent xmlns:mc="http://schemas.openxmlformats.org/markup-compatibility/2006">
          <mc:Choice Requires="x14">
            <control shapeId="15937" r:id="rId268" name="Check Box 577">
              <controlPr locked="0" defaultSize="0" autoFill="0" autoLine="0" autoPict="0">
                <anchor moveWithCells="1" sizeWithCells="1">
                  <from>
                    <xdr:col>22</xdr:col>
                    <xdr:colOff>0</xdr:colOff>
                    <xdr:row>1552</xdr:row>
                    <xdr:rowOff>0</xdr:rowOff>
                  </from>
                  <to>
                    <xdr:col>22</xdr:col>
                    <xdr:colOff>182880</xdr:colOff>
                    <xdr:row>1552</xdr:row>
                    <xdr:rowOff>182880</xdr:rowOff>
                  </to>
                </anchor>
              </controlPr>
            </control>
          </mc:Choice>
        </mc:AlternateContent>
        <mc:AlternateContent xmlns:mc="http://schemas.openxmlformats.org/markup-compatibility/2006">
          <mc:Choice Requires="x14">
            <control shapeId="15982" r:id="rId269" name="Check Box 622">
              <controlPr locked="0" defaultSize="0" autoFill="0" autoLine="0" autoPict="0">
                <anchor moveWithCells="1" sizeWithCells="1">
                  <from>
                    <xdr:col>22</xdr:col>
                    <xdr:colOff>0</xdr:colOff>
                    <xdr:row>1558</xdr:row>
                    <xdr:rowOff>0</xdr:rowOff>
                  </from>
                  <to>
                    <xdr:col>22</xdr:col>
                    <xdr:colOff>182880</xdr:colOff>
                    <xdr:row>1558</xdr:row>
                    <xdr:rowOff>182880</xdr:rowOff>
                  </to>
                </anchor>
              </controlPr>
            </control>
          </mc:Choice>
        </mc:AlternateContent>
        <mc:AlternateContent xmlns:mc="http://schemas.openxmlformats.org/markup-compatibility/2006">
          <mc:Choice Requires="x14">
            <control shapeId="15983" r:id="rId270" name="Check Box 623">
              <controlPr locked="0" defaultSize="0" autoFill="0" autoLine="0" autoPict="0">
                <anchor moveWithCells="1" sizeWithCells="1">
                  <from>
                    <xdr:col>22</xdr:col>
                    <xdr:colOff>0</xdr:colOff>
                    <xdr:row>1564</xdr:row>
                    <xdr:rowOff>0</xdr:rowOff>
                  </from>
                  <to>
                    <xdr:col>22</xdr:col>
                    <xdr:colOff>182880</xdr:colOff>
                    <xdr:row>1564</xdr:row>
                    <xdr:rowOff>182880</xdr:rowOff>
                  </to>
                </anchor>
              </controlPr>
            </control>
          </mc:Choice>
        </mc:AlternateContent>
        <mc:AlternateContent xmlns:mc="http://schemas.openxmlformats.org/markup-compatibility/2006">
          <mc:Choice Requires="x14">
            <control shapeId="15984" r:id="rId271" name="Check Box 624">
              <controlPr locked="0" defaultSize="0" autoFill="0" autoLine="0" autoPict="0">
                <anchor moveWithCells="1" sizeWithCells="1">
                  <from>
                    <xdr:col>22</xdr:col>
                    <xdr:colOff>0</xdr:colOff>
                    <xdr:row>1579</xdr:row>
                    <xdr:rowOff>0</xdr:rowOff>
                  </from>
                  <to>
                    <xdr:col>22</xdr:col>
                    <xdr:colOff>182880</xdr:colOff>
                    <xdr:row>1579</xdr:row>
                    <xdr:rowOff>182880</xdr:rowOff>
                  </to>
                </anchor>
              </controlPr>
            </control>
          </mc:Choice>
        </mc:AlternateContent>
        <mc:AlternateContent xmlns:mc="http://schemas.openxmlformats.org/markup-compatibility/2006">
          <mc:Choice Requires="x14">
            <control shapeId="15985" r:id="rId272" name="Check Box 625">
              <controlPr locked="0" defaultSize="0" autoFill="0" autoLine="0" autoPict="0">
                <anchor moveWithCells="1" sizeWithCells="1">
                  <from>
                    <xdr:col>22</xdr:col>
                    <xdr:colOff>0</xdr:colOff>
                    <xdr:row>1607</xdr:row>
                    <xdr:rowOff>0</xdr:rowOff>
                  </from>
                  <to>
                    <xdr:col>22</xdr:col>
                    <xdr:colOff>182880</xdr:colOff>
                    <xdr:row>1607</xdr:row>
                    <xdr:rowOff>182880</xdr:rowOff>
                  </to>
                </anchor>
              </controlPr>
            </control>
          </mc:Choice>
        </mc:AlternateContent>
        <mc:AlternateContent xmlns:mc="http://schemas.openxmlformats.org/markup-compatibility/2006">
          <mc:Choice Requires="x14">
            <control shapeId="15986" r:id="rId273" name="Check Box 626">
              <controlPr locked="0" defaultSize="0" autoFill="0" autoLine="0" autoPict="0">
                <anchor moveWithCells="1" sizeWithCells="1">
                  <from>
                    <xdr:col>22</xdr:col>
                    <xdr:colOff>0</xdr:colOff>
                    <xdr:row>1613</xdr:row>
                    <xdr:rowOff>0</xdr:rowOff>
                  </from>
                  <to>
                    <xdr:col>22</xdr:col>
                    <xdr:colOff>182880</xdr:colOff>
                    <xdr:row>1613</xdr:row>
                    <xdr:rowOff>182880</xdr:rowOff>
                  </to>
                </anchor>
              </controlPr>
            </control>
          </mc:Choice>
        </mc:AlternateContent>
        <mc:AlternateContent xmlns:mc="http://schemas.openxmlformats.org/markup-compatibility/2006">
          <mc:Choice Requires="x14">
            <control shapeId="15987" r:id="rId274" name="Check Box 627">
              <controlPr locked="0" defaultSize="0" autoFill="0" autoLine="0" autoPict="0">
                <anchor moveWithCells="1" sizeWithCells="1">
                  <from>
                    <xdr:col>22</xdr:col>
                    <xdr:colOff>0</xdr:colOff>
                    <xdr:row>1636</xdr:row>
                    <xdr:rowOff>0</xdr:rowOff>
                  </from>
                  <to>
                    <xdr:col>22</xdr:col>
                    <xdr:colOff>182880</xdr:colOff>
                    <xdr:row>1636</xdr:row>
                    <xdr:rowOff>182880</xdr:rowOff>
                  </to>
                </anchor>
              </controlPr>
            </control>
          </mc:Choice>
        </mc:AlternateContent>
        <mc:AlternateContent xmlns:mc="http://schemas.openxmlformats.org/markup-compatibility/2006">
          <mc:Choice Requires="x14">
            <control shapeId="15988" r:id="rId275" name="Check Box 628">
              <controlPr locked="0" defaultSize="0" autoFill="0" autoLine="0" autoPict="0">
                <anchor moveWithCells="1" sizeWithCells="1">
                  <from>
                    <xdr:col>22</xdr:col>
                    <xdr:colOff>0</xdr:colOff>
                    <xdr:row>1638</xdr:row>
                    <xdr:rowOff>0</xdr:rowOff>
                  </from>
                  <to>
                    <xdr:col>22</xdr:col>
                    <xdr:colOff>182880</xdr:colOff>
                    <xdr:row>1638</xdr:row>
                    <xdr:rowOff>182880</xdr:rowOff>
                  </to>
                </anchor>
              </controlPr>
            </control>
          </mc:Choice>
        </mc:AlternateContent>
        <mc:AlternateContent xmlns:mc="http://schemas.openxmlformats.org/markup-compatibility/2006">
          <mc:Choice Requires="x14">
            <control shapeId="15989" r:id="rId276" name="Check Box 629">
              <controlPr locked="0" defaultSize="0" autoFill="0" autoLine="0" autoPict="0">
                <anchor moveWithCells="1" sizeWithCells="1">
                  <from>
                    <xdr:col>22</xdr:col>
                    <xdr:colOff>0</xdr:colOff>
                    <xdr:row>1641</xdr:row>
                    <xdr:rowOff>0</xdr:rowOff>
                  </from>
                  <to>
                    <xdr:col>22</xdr:col>
                    <xdr:colOff>182880</xdr:colOff>
                    <xdr:row>1641</xdr:row>
                    <xdr:rowOff>182880</xdr:rowOff>
                  </to>
                </anchor>
              </controlPr>
            </control>
          </mc:Choice>
        </mc:AlternateContent>
        <mc:AlternateContent xmlns:mc="http://schemas.openxmlformats.org/markup-compatibility/2006">
          <mc:Choice Requires="x14">
            <control shapeId="15990" r:id="rId277" name="Check Box 630">
              <controlPr locked="0" defaultSize="0" autoFill="0" autoLine="0" autoPict="0">
                <anchor moveWithCells="1" sizeWithCells="1">
                  <from>
                    <xdr:col>22</xdr:col>
                    <xdr:colOff>0</xdr:colOff>
                    <xdr:row>1664</xdr:row>
                    <xdr:rowOff>0</xdr:rowOff>
                  </from>
                  <to>
                    <xdr:col>22</xdr:col>
                    <xdr:colOff>182880</xdr:colOff>
                    <xdr:row>1664</xdr:row>
                    <xdr:rowOff>182880</xdr:rowOff>
                  </to>
                </anchor>
              </controlPr>
            </control>
          </mc:Choice>
        </mc:AlternateContent>
        <mc:AlternateContent xmlns:mc="http://schemas.openxmlformats.org/markup-compatibility/2006">
          <mc:Choice Requires="x14">
            <control shapeId="15991" r:id="rId278" name="Check Box 631">
              <controlPr locked="0" defaultSize="0" autoFill="0" autoLine="0" autoPict="0">
                <anchor moveWithCells="1" sizeWithCells="1">
                  <from>
                    <xdr:col>22</xdr:col>
                    <xdr:colOff>0</xdr:colOff>
                    <xdr:row>1675</xdr:row>
                    <xdr:rowOff>0</xdr:rowOff>
                  </from>
                  <to>
                    <xdr:col>22</xdr:col>
                    <xdr:colOff>182880</xdr:colOff>
                    <xdr:row>1675</xdr:row>
                    <xdr:rowOff>182880</xdr:rowOff>
                  </to>
                </anchor>
              </controlPr>
            </control>
          </mc:Choice>
        </mc:AlternateContent>
        <mc:AlternateContent xmlns:mc="http://schemas.openxmlformats.org/markup-compatibility/2006">
          <mc:Choice Requires="x14">
            <control shapeId="15992" r:id="rId279" name="Check Box 632">
              <controlPr locked="0" defaultSize="0" autoFill="0" autoLine="0" autoPict="0">
                <anchor moveWithCells="1" sizeWithCells="1">
                  <from>
                    <xdr:col>22</xdr:col>
                    <xdr:colOff>0</xdr:colOff>
                    <xdr:row>1677</xdr:row>
                    <xdr:rowOff>0</xdr:rowOff>
                  </from>
                  <to>
                    <xdr:col>22</xdr:col>
                    <xdr:colOff>182880</xdr:colOff>
                    <xdr:row>1677</xdr:row>
                    <xdr:rowOff>182880</xdr:rowOff>
                  </to>
                </anchor>
              </controlPr>
            </control>
          </mc:Choice>
        </mc:AlternateContent>
        <mc:AlternateContent xmlns:mc="http://schemas.openxmlformats.org/markup-compatibility/2006">
          <mc:Choice Requires="x14">
            <control shapeId="15993" r:id="rId280" name="Check Box 633">
              <controlPr locked="0" defaultSize="0" autoFill="0" autoLine="0" autoPict="0">
                <anchor moveWithCells="1" sizeWithCells="1">
                  <from>
                    <xdr:col>22</xdr:col>
                    <xdr:colOff>0</xdr:colOff>
                    <xdr:row>1678</xdr:row>
                    <xdr:rowOff>0</xdr:rowOff>
                  </from>
                  <to>
                    <xdr:col>22</xdr:col>
                    <xdr:colOff>182880</xdr:colOff>
                    <xdr:row>1678</xdr:row>
                    <xdr:rowOff>182880</xdr:rowOff>
                  </to>
                </anchor>
              </controlPr>
            </control>
          </mc:Choice>
        </mc:AlternateContent>
        <mc:AlternateContent xmlns:mc="http://schemas.openxmlformats.org/markup-compatibility/2006">
          <mc:Choice Requires="x14">
            <control shapeId="15994" r:id="rId281" name="Check Box 634">
              <controlPr locked="0" defaultSize="0" autoFill="0" autoLine="0" autoPict="0">
                <anchor moveWithCells="1" sizeWithCells="1">
                  <from>
                    <xdr:col>22</xdr:col>
                    <xdr:colOff>0</xdr:colOff>
                    <xdr:row>1680</xdr:row>
                    <xdr:rowOff>0</xdr:rowOff>
                  </from>
                  <to>
                    <xdr:col>22</xdr:col>
                    <xdr:colOff>182880</xdr:colOff>
                    <xdr:row>1680</xdr:row>
                    <xdr:rowOff>182880</xdr:rowOff>
                  </to>
                </anchor>
              </controlPr>
            </control>
          </mc:Choice>
        </mc:AlternateContent>
        <mc:AlternateContent xmlns:mc="http://schemas.openxmlformats.org/markup-compatibility/2006">
          <mc:Choice Requires="x14">
            <control shapeId="15995" r:id="rId282" name="Check Box 635">
              <controlPr locked="0" defaultSize="0" autoFill="0" autoLine="0" autoPict="0">
                <anchor moveWithCells="1" sizeWithCells="1">
                  <from>
                    <xdr:col>22</xdr:col>
                    <xdr:colOff>0</xdr:colOff>
                    <xdr:row>1685</xdr:row>
                    <xdr:rowOff>0</xdr:rowOff>
                  </from>
                  <to>
                    <xdr:col>22</xdr:col>
                    <xdr:colOff>182880</xdr:colOff>
                    <xdr:row>1685</xdr:row>
                    <xdr:rowOff>182880</xdr:rowOff>
                  </to>
                </anchor>
              </controlPr>
            </control>
          </mc:Choice>
        </mc:AlternateContent>
        <mc:AlternateContent xmlns:mc="http://schemas.openxmlformats.org/markup-compatibility/2006">
          <mc:Choice Requires="x14">
            <control shapeId="15996" r:id="rId283" name="Check Box 636">
              <controlPr locked="0" defaultSize="0" autoFill="0" autoLine="0" autoPict="0">
                <anchor moveWithCells="1" sizeWithCells="1">
                  <from>
                    <xdr:col>22</xdr:col>
                    <xdr:colOff>0</xdr:colOff>
                    <xdr:row>1694</xdr:row>
                    <xdr:rowOff>0</xdr:rowOff>
                  </from>
                  <to>
                    <xdr:col>22</xdr:col>
                    <xdr:colOff>182880</xdr:colOff>
                    <xdr:row>1694</xdr:row>
                    <xdr:rowOff>182880</xdr:rowOff>
                  </to>
                </anchor>
              </controlPr>
            </control>
          </mc:Choice>
        </mc:AlternateContent>
        <mc:AlternateContent xmlns:mc="http://schemas.openxmlformats.org/markup-compatibility/2006">
          <mc:Choice Requires="x14">
            <control shapeId="15997" r:id="rId284" name="Check Box 637">
              <controlPr locked="0" defaultSize="0" autoFill="0" autoLine="0" autoPict="0">
                <anchor moveWithCells="1" sizeWithCells="1">
                  <from>
                    <xdr:col>22</xdr:col>
                    <xdr:colOff>0</xdr:colOff>
                    <xdr:row>1699</xdr:row>
                    <xdr:rowOff>0</xdr:rowOff>
                  </from>
                  <to>
                    <xdr:col>22</xdr:col>
                    <xdr:colOff>182880</xdr:colOff>
                    <xdr:row>1699</xdr:row>
                    <xdr:rowOff>182880</xdr:rowOff>
                  </to>
                </anchor>
              </controlPr>
            </control>
          </mc:Choice>
        </mc:AlternateContent>
        <mc:AlternateContent xmlns:mc="http://schemas.openxmlformats.org/markup-compatibility/2006">
          <mc:Choice Requires="x14">
            <control shapeId="15998" r:id="rId285" name="Check Box 638">
              <controlPr locked="0" defaultSize="0" autoFill="0" autoLine="0" autoPict="0">
                <anchor moveWithCells="1" sizeWithCells="1">
                  <from>
                    <xdr:col>22</xdr:col>
                    <xdr:colOff>0</xdr:colOff>
                    <xdr:row>1700</xdr:row>
                    <xdr:rowOff>0</xdr:rowOff>
                  </from>
                  <to>
                    <xdr:col>22</xdr:col>
                    <xdr:colOff>182880</xdr:colOff>
                    <xdr:row>1700</xdr:row>
                    <xdr:rowOff>182880</xdr:rowOff>
                  </to>
                </anchor>
              </controlPr>
            </control>
          </mc:Choice>
        </mc:AlternateContent>
        <mc:AlternateContent xmlns:mc="http://schemas.openxmlformats.org/markup-compatibility/2006">
          <mc:Choice Requires="x14">
            <control shapeId="15999" r:id="rId286" name="Check Box 639">
              <controlPr locked="0" defaultSize="0" autoFill="0" autoLine="0" autoPict="0">
                <anchor moveWithCells="1" sizeWithCells="1">
                  <from>
                    <xdr:col>22</xdr:col>
                    <xdr:colOff>0</xdr:colOff>
                    <xdr:row>1704</xdr:row>
                    <xdr:rowOff>0</xdr:rowOff>
                  </from>
                  <to>
                    <xdr:col>22</xdr:col>
                    <xdr:colOff>182880</xdr:colOff>
                    <xdr:row>1704</xdr:row>
                    <xdr:rowOff>182880</xdr:rowOff>
                  </to>
                </anchor>
              </controlPr>
            </control>
          </mc:Choice>
        </mc:AlternateContent>
        <mc:AlternateContent xmlns:mc="http://schemas.openxmlformats.org/markup-compatibility/2006">
          <mc:Choice Requires="x14">
            <control shapeId="16000" r:id="rId287" name="Check Box 640">
              <controlPr locked="0" defaultSize="0" autoFill="0" autoLine="0" autoPict="0">
                <anchor moveWithCells="1" sizeWithCells="1">
                  <from>
                    <xdr:col>22</xdr:col>
                    <xdr:colOff>0</xdr:colOff>
                    <xdr:row>1713</xdr:row>
                    <xdr:rowOff>0</xdr:rowOff>
                  </from>
                  <to>
                    <xdr:col>22</xdr:col>
                    <xdr:colOff>182880</xdr:colOff>
                    <xdr:row>1713</xdr:row>
                    <xdr:rowOff>182880</xdr:rowOff>
                  </to>
                </anchor>
              </controlPr>
            </control>
          </mc:Choice>
        </mc:AlternateContent>
        <mc:AlternateContent xmlns:mc="http://schemas.openxmlformats.org/markup-compatibility/2006">
          <mc:Choice Requires="x14">
            <control shapeId="16001" r:id="rId288" name="Check Box 641">
              <controlPr locked="0" defaultSize="0" autoFill="0" autoLine="0" autoPict="0">
                <anchor moveWithCells="1" sizeWithCells="1">
                  <from>
                    <xdr:col>22</xdr:col>
                    <xdr:colOff>0</xdr:colOff>
                    <xdr:row>1714</xdr:row>
                    <xdr:rowOff>0</xdr:rowOff>
                  </from>
                  <to>
                    <xdr:col>22</xdr:col>
                    <xdr:colOff>182880</xdr:colOff>
                    <xdr:row>1714</xdr:row>
                    <xdr:rowOff>182880</xdr:rowOff>
                  </to>
                </anchor>
              </controlPr>
            </control>
          </mc:Choice>
        </mc:AlternateContent>
        <mc:AlternateContent xmlns:mc="http://schemas.openxmlformats.org/markup-compatibility/2006">
          <mc:Choice Requires="x14">
            <control shapeId="16002" r:id="rId289" name="Check Box 642">
              <controlPr locked="0" defaultSize="0" autoFill="0" autoLine="0" autoPict="0">
                <anchor moveWithCells="1" sizeWithCells="1">
                  <from>
                    <xdr:col>22</xdr:col>
                    <xdr:colOff>0</xdr:colOff>
                    <xdr:row>1717</xdr:row>
                    <xdr:rowOff>0</xdr:rowOff>
                  </from>
                  <to>
                    <xdr:col>22</xdr:col>
                    <xdr:colOff>182880</xdr:colOff>
                    <xdr:row>1717</xdr:row>
                    <xdr:rowOff>182880</xdr:rowOff>
                  </to>
                </anchor>
              </controlPr>
            </control>
          </mc:Choice>
        </mc:AlternateContent>
        <mc:AlternateContent xmlns:mc="http://schemas.openxmlformats.org/markup-compatibility/2006">
          <mc:Choice Requires="x14">
            <control shapeId="16003" r:id="rId290" name="Check Box 643">
              <controlPr locked="0" defaultSize="0" autoFill="0" autoLine="0" autoPict="0">
                <anchor moveWithCells="1" sizeWithCells="1">
                  <from>
                    <xdr:col>22</xdr:col>
                    <xdr:colOff>0</xdr:colOff>
                    <xdr:row>1719</xdr:row>
                    <xdr:rowOff>0</xdr:rowOff>
                  </from>
                  <to>
                    <xdr:col>22</xdr:col>
                    <xdr:colOff>182880</xdr:colOff>
                    <xdr:row>1719</xdr:row>
                    <xdr:rowOff>182880</xdr:rowOff>
                  </to>
                </anchor>
              </controlPr>
            </control>
          </mc:Choice>
        </mc:AlternateContent>
        <mc:AlternateContent xmlns:mc="http://schemas.openxmlformats.org/markup-compatibility/2006">
          <mc:Choice Requires="x14">
            <control shapeId="16004" r:id="rId291" name="Check Box 644">
              <controlPr locked="0" defaultSize="0" autoFill="0" autoLine="0" autoPict="0">
                <anchor moveWithCells="1" sizeWithCells="1">
                  <from>
                    <xdr:col>22</xdr:col>
                    <xdr:colOff>0</xdr:colOff>
                    <xdr:row>1725</xdr:row>
                    <xdr:rowOff>0</xdr:rowOff>
                  </from>
                  <to>
                    <xdr:col>22</xdr:col>
                    <xdr:colOff>182880</xdr:colOff>
                    <xdr:row>1725</xdr:row>
                    <xdr:rowOff>182880</xdr:rowOff>
                  </to>
                </anchor>
              </controlPr>
            </control>
          </mc:Choice>
        </mc:AlternateContent>
        <mc:AlternateContent xmlns:mc="http://schemas.openxmlformats.org/markup-compatibility/2006">
          <mc:Choice Requires="x14">
            <control shapeId="16005" r:id="rId292" name="Check Box 645">
              <controlPr locked="0" defaultSize="0" autoFill="0" autoLine="0" autoPict="0">
                <anchor moveWithCells="1" sizeWithCells="1">
                  <from>
                    <xdr:col>22</xdr:col>
                    <xdr:colOff>0</xdr:colOff>
                    <xdr:row>1727</xdr:row>
                    <xdr:rowOff>0</xdr:rowOff>
                  </from>
                  <to>
                    <xdr:col>22</xdr:col>
                    <xdr:colOff>182880</xdr:colOff>
                    <xdr:row>1727</xdr:row>
                    <xdr:rowOff>182880</xdr:rowOff>
                  </to>
                </anchor>
              </controlPr>
            </control>
          </mc:Choice>
        </mc:AlternateContent>
        <mc:AlternateContent xmlns:mc="http://schemas.openxmlformats.org/markup-compatibility/2006">
          <mc:Choice Requires="x14">
            <control shapeId="16006" r:id="rId293" name="Check Box 646">
              <controlPr locked="0" defaultSize="0" autoFill="0" autoLine="0" autoPict="0">
                <anchor moveWithCells="1" sizeWithCells="1">
                  <from>
                    <xdr:col>22</xdr:col>
                    <xdr:colOff>0</xdr:colOff>
                    <xdr:row>1731</xdr:row>
                    <xdr:rowOff>0</xdr:rowOff>
                  </from>
                  <to>
                    <xdr:col>22</xdr:col>
                    <xdr:colOff>182880</xdr:colOff>
                    <xdr:row>1731</xdr:row>
                    <xdr:rowOff>182880</xdr:rowOff>
                  </to>
                </anchor>
              </controlPr>
            </control>
          </mc:Choice>
        </mc:AlternateContent>
        <mc:AlternateContent xmlns:mc="http://schemas.openxmlformats.org/markup-compatibility/2006">
          <mc:Choice Requires="x14">
            <control shapeId="16007" r:id="rId294" name="Check Box 647">
              <controlPr locked="0" defaultSize="0" autoFill="0" autoLine="0" autoPict="0">
                <anchor moveWithCells="1" sizeWithCells="1">
                  <from>
                    <xdr:col>22</xdr:col>
                    <xdr:colOff>0</xdr:colOff>
                    <xdr:row>1738</xdr:row>
                    <xdr:rowOff>0</xdr:rowOff>
                  </from>
                  <to>
                    <xdr:col>22</xdr:col>
                    <xdr:colOff>182880</xdr:colOff>
                    <xdr:row>1738</xdr:row>
                    <xdr:rowOff>182880</xdr:rowOff>
                  </to>
                </anchor>
              </controlPr>
            </control>
          </mc:Choice>
        </mc:AlternateContent>
        <mc:AlternateContent xmlns:mc="http://schemas.openxmlformats.org/markup-compatibility/2006">
          <mc:Choice Requires="x14">
            <control shapeId="16008" r:id="rId295" name="Check Box 648">
              <controlPr locked="0" defaultSize="0" autoFill="0" autoLine="0" autoPict="0">
                <anchor moveWithCells="1" sizeWithCells="1">
                  <from>
                    <xdr:col>22</xdr:col>
                    <xdr:colOff>0</xdr:colOff>
                    <xdr:row>1749</xdr:row>
                    <xdr:rowOff>0</xdr:rowOff>
                  </from>
                  <to>
                    <xdr:col>22</xdr:col>
                    <xdr:colOff>182880</xdr:colOff>
                    <xdr:row>1749</xdr:row>
                    <xdr:rowOff>182880</xdr:rowOff>
                  </to>
                </anchor>
              </controlPr>
            </control>
          </mc:Choice>
        </mc:AlternateContent>
        <mc:AlternateContent xmlns:mc="http://schemas.openxmlformats.org/markup-compatibility/2006">
          <mc:Choice Requires="x14">
            <control shapeId="16009" r:id="rId296" name="Check Box 649">
              <controlPr locked="0" defaultSize="0" autoFill="0" autoLine="0" autoPict="0">
                <anchor moveWithCells="1" sizeWithCells="1">
                  <from>
                    <xdr:col>22</xdr:col>
                    <xdr:colOff>0</xdr:colOff>
                    <xdr:row>1751</xdr:row>
                    <xdr:rowOff>0</xdr:rowOff>
                  </from>
                  <to>
                    <xdr:col>22</xdr:col>
                    <xdr:colOff>182880</xdr:colOff>
                    <xdr:row>1751</xdr:row>
                    <xdr:rowOff>182880</xdr:rowOff>
                  </to>
                </anchor>
              </controlPr>
            </control>
          </mc:Choice>
        </mc:AlternateContent>
        <mc:AlternateContent xmlns:mc="http://schemas.openxmlformats.org/markup-compatibility/2006">
          <mc:Choice Requires="x14">
            <control shapeId="16010" r:id="rId297" name="Check Box 650">
              <controlPr locked="0" defaultSize="0" autoFill="0" autoLine="0" autoPict="0">
                <anchor moveWithCells="1" sizeWithCells="1">
                  <from>
                    <xdr:col>22</xdr:col>
                    <xdr:colOff>0</xdr:colOff>
                    <xdr:row>1753</xdr:row>
                    <xdr:rowOff>0</xdr:rowOff>
                  </from>
                  <to>
                    <xdr:col>22</xdr:col>
                    <xdr:colOff>182880</xdr:colOff>
                    <xdr:row>1753</xdr:row>
                    <xdr:rowOff>182880</xdr:rowOff>
                  </to>
                </anchor>
              </controlPr>
            </control>
          </mc:Choice>
        </mc:AlternateContent>
        <mc:AlternateContent xmlns:mc="http://schemas.openxmlformats.org/markup-compatibility/2006">
          <mc:Choice Requires="x14">
            <control shapeId="16011" r:id="rId298" name="Check Box 651">
              <controlPr locked="0" defaultSize="0" autoFill="0" autoLine="0" autoPict="0">
                <anchor moveWithCells="1" sizeWithCells="1">
                  <from>
                    <xdr:col>22</xdr:col>
                    <xdr:colOff>0</xdr:colOff>
                    <xdr:row>1766</xdr:row>
                    <xdr:rowOff>0</xdr:rowOff>
                  </from>
                  <to>
                    <xdr:col>22</xdr:col>
                    <xdr:colOff>182880</xdr:colOff>
                    <xdr:row>1766</xdr:row>
                    <xdr:rowOff>182880</xdr:rowOff>
                  </to>
                </anchor>
              </controlPr>
            </control>
          </mc:Choice>
        </mc:AlternateContent>
        <mc:AlternateContent xmlns:mc="http://schemas.openxmlformats.org/markup-compatibility/2006">
          <mc:Choice Requires="x14">
            <control shapeId="16012" r:id="rId299" name="Check Box 652">
              <controlPr locked="0" defaultSize="0" autoFill="0" autoLine="0" autoPict="0">
                <anchor moveWithCells="1" sizeWithCells="1">
                  <from>
                    <xdr:col>22</xdr:col>
                    <xdr:colOff>0</xdr:colOff>
                    <xdr:row>1768</xdr:row>
                    <xdr:rowOff>0</xdr:rowOff>
                  </from>
                  <to>
                    <xdr:col>22</xdr:col>
                    <xdr:colOff>182880</xdr:colOff>
                    <xdr:row>1768</xdr:row>
                    <xdr:rowOff>182880</xdr:rowOff>
                  </to>
                </anchor>
              </controlPr>
            </control>
          </mc:Choice>
        </mc:AlternateContent>
        <mc:AlternateContent xmlns:mc="http://schemas.openxmlformats.org/markup-compatibility/2006">
          <mc:Choice Requires="x14">
            <control shapeId="16013" r:id="rId300" name="Check Box 653">
              <controlPr locked="0" defaultSize="0" autoFill="0" autoLine="0" autoPict="0">
                <anchor moveWithCells="1" sizeWithCells="1">
                  <from>
                    <xdr:col>22</xdr:col>
                    <xdr:colOff>0</xdr:colOff>
                    <xdr:row>1771</xdr:row>
                    <xdr:rowOff>0</xdr:rowOff>
                  </from>
                  <to>
                    <xdr:col>22</xdr:col>
                    <xdr:colOff>182880</xdr:colOff>
                    <xdr:row>1771</xdr:row>
                    <xdr:rowOff>182880</xdr:rowOff>
                  </to>
                </anchor>
              </controlPr>
            </control>
          </mc:Choice>
        </mc:AlternateContent>
        <mc:AlternateContent xmlns:mc="http://schemas.openxmlformats.org/markup-compatibility/2006">
          <mc:Choice Requires="x14">
            <control shapeId="16014" r:id="rId301" name="Check Box 654">
              <controlPr locked="0" defaultSize="0" autoFill="0" autoLine="0" autoPict="0">
                <anchor moveWithCells="1" sizeWithCells="1">
                  <from>
                    <xdr:col>22</xdr:col>
                    <xdr:colOff>0</xdr:colOff>
                    <xdr:row>1780</xdr:row>
                    <xdr:rowOff>0</xdr:rowOff>
                  </from>
                  <to>
                    <xdr:col>22</xdr:col>
                    <xdr:colOff>182880</xdr:colOff>
                    <xdr:row>1780</xdr:row>
                    <xdr:rowOff>182880</xdr:rowOff>
                  </to>
                </anchor>
              </controlPr>
            </control>
          </mc:Choice>
        </mc:AlternateContent>
        <mc:AlternateContent xmlns:mc="http://schemas.openxmlformats.org/markup-compatibility/2006">
          <mc:Choice Requires="x14">
            <control shapeId="16015" r:id="rId302" name="Check Box 655">
              <controlPr locked="0" defaultSize="0" autoFill="0" autoLine="0" autoPict="0">
                <anchor moveWithCells="1" sizeWithCells="1">
                  <from>
                    <xdr:col>22</xdr:col>
                    <xdr:colOff>0</xdr:colOff>
                    <xdr:row>1783</xdr:row>
                    <xdr:rowOff>0</xdr:rowOff>
                  </from>
                  <to>
                    <xdr:col>22</xdr:col>
                    <xdr:colOff>182880</xdr:colOff>
                    <xdr:row>1783</xdr:row>
                    <xdr:rowOff>182880</xdr:rowOff>
                  </to>
                </anchor>
              </controlPr>
            </control>
          </mc:Choice>
        </mc:AlternateContent>
        <mc:AlternateContent xmlns:mc="http://schemas.openxmlformats.org/markup-compatibility/2006">
          <mc:Choice Requires="x14">
            <control shapeId="16016" r:id="rId303" name="Check Box 656">
              <controlPr locked="0" defaultSize="0" autoFill="0" autoLine="0" autoPict="0">
                <anchor moveWithCells="1" sizeWithCells="1">
                  <from>
                    <xdr:col>22</xdr:col>
                    <xdr:colOff>0</xdr:colOff>
                    <xdr:row>1785</xdr:row>
                    <xdr:rowOff>0</xdr:rowOff>
                  </from>
                  <to>
                    <xdr:col>22</xdr:col>
                    <xdr:colOff>182880</xdr:colOff>
                    <xdr:row>1785</xdr:row>
                    <xdr:rowOff>182880</xdr:rowOff>
                  </to>
                </anchor>
              </controlPr>
            </control>
          </mc:Choice>
        </mc:AlternateContent>
        <mc:AlternateContent xmlns:mc="http://schemas.openxmlformats.org/markup-compatibility/2006">
          <mc:Choice Requires="x14">
            <control shapeId="16017" r:id="rId304" name="Check Box 657">
              <controlPr locked="0" defaultSize="0" autoFill="0" autoLine="0" autoPict="0">
                <anchor moveWithCells="1" sizeWithCells="1">
                  <from>
                    <xdr:col>22</xdr:col>
                    <xdr:colOff>0</xdr:colOff>
                    <xdr:row>1788</xdr:row>
                    <xdr:rowOff>0</xdr:rowOff>
                  </from>
                  <to>
                    <xdr:col>22</xdr:col>
                    <xdr:colOff>182880</xdr:colOff>
                    <xdr:row>1788</xdr:row>
                    <xdr:rowOff>182880</xdr:rowOff>
                  </to>
                </anchor>
              </controlPr>
            </control>
          </mc:Choice>
        </mc:AlternateContent>
        <mc:AlternateContent xmlns:mc="http://schemas.openxmlformats.org/markup-compatibility/2006">
          <mc:Choice Requires="x14">
            <control shapeId="16018" r:id="rId305" name="Check Box 658">
              <controlPr locked="0" defaultSize="0" autoFill="0" autoLine="0" autoPict="0">
                <anchor moveWithCells="1" sizeWithCells="1">
                  <from>
                    <xdr:col>22</xdr:col>
                    <xdr:colOff>0</xdr:colOff>
                    <xdr:row>1790</xdr:row>
                    <xdr:rowOff>0</xdr:rowOff>
                  </from>
                  <to>
                    <xdr:col>22</xdr:col>
                    <xdr:colOff>182880</xdr:colOff>
                    <xdr:row>1790</xdr:row>
                    <xdr:rowOff>182880</xdr:rowOff>
                  </to>
                </anchor>
              </controlPr>
            </control>
          </mc:Choice>
        </mc:AlternateContent>
        <mc:AlternateContent xmlns:mc="http://schemas.openxmlformats.org/markup-compatibility/2006">
          <mc:Choice Requires="x14">
            <control shapeId="16019" r:id="rId306" name="Check Box 659">
              <controlPr locked="0" defaultSize="0" autoFill="0" autoLine="0" autoPict="0">
                <anchor moveWithCells="1" sizeWithCells="1">
                  <from>
                    <xdr:col>22</xdr:col>
                    <xdr:colOff>0</xdr:colOff>
                    <xdr:row>1804</xdr:row>
                    <xdr:rowOff>0</xdr:rowOff>
                  </from>
                  <to>
                    <xdr:col>22</xdr:col>
                    <xdr:colOff>182880</xdr:colOff>
                    <xdr:row>1804</xdr:row>
                    <xdr:rowOff>182880</xdr:rowOff>
                  </to>
                </anchor>
              </controlPr>
            </control>
          </mc:Choice>
        </mc:AlternateContent>
        <mc:AlternateContent xmlns:mc="http://schemas.openxmlformats.org/markup-compatibility/2006">
          <mc:Choice Requires="x14">
            <control shapeId="16020" r:id="rId307" name="Check Box 660">
              <controlPr locked="0" defaultSize="0" autoFill="0" autoLine="0" autoPict="0">
                <anchor moveWithCells="1" sizeWithCells="1">
                  <from>
                    <xdr:col>22</xdr:col>
                    <xdr:colOff>0</xdr:colOff>
                    <xdr:row>1805</xdr:row>
                    <xdr:rowOff>0</xdr:rowOff>
                  </from>
                  <to>
                    <xdr:col>22</xdr:col>
                    <xdr:colOff>182880</xdr:colOff>
                    <xdr:row>1805</xdr:row>
                    <xdr:rowOff>182880</xdr:rowOff>
                  </to>
                </anchor>
              </controlPr>
            </control>
          </mc:Choice>
        </mc:AlternateContent>
        <mc:AlternateContent xmlns:mc="http://schemas.openxmlformats.org/markup-compatibility/2006">
          <mc:Choice Requires="x14">
            <control shapeId="16021" r:id="rId308" name="Check Box 661">
              <controlPr locked="0" defaultSize="0" autoFill="0" autoLine="0" autoPict="0">
                <anchor moveWithCells="1" sizeWithCells="1">
                  <from>
                    <xdr:col>22</xdr:col>
                    <xdr:colOff>0</xdr:colOff>
                    <xdr:row>1810</xdr:row>
                    <xdr:rowOff>0</xdr:rowOff>
                  </from>
                  <to>
                    <xdr:col>22</xdr:col>
                    <xdr:colOff>182880</xdr:colOff>
                    <xdr:row>1810</xdr:row>
                    <xdr:rowOff>182880</xdr:rowOff>
                  </to>
                </anchor>
              </controlPr>
            </control>
          </mc:Choice>
        </mc:AlternateContent>
        <mc:AlternateContent xmlns:mc="http://schemas.openxmlformats.org/markup-compatibility/2006">
          <mc:Choice Requires="x14">
            <control shapeId="16022" r:id="rId309" name="Check Box 662">
              <controlPr locked="0" defaultSize="0" autoFill="0" autoLine="0" autoPict="0">
                <anchor moveWithCells="1" sizeWithCells="1">
                  <from>
                    <xdr:col>22</xdr:col>
                    <xdr:colOff>0</xdr:colOff>
                    <xdr:row>1815</xdr:row>
                    <xdr:rowOff>0</xdr:rowOff>
                  </from>
                  <to>
                    <xdr:col>22</xdr:col>
                    <xdr:colOff>182880</xdr:colOff>
                    <xdr:row>1815</xdr:row>
                    <xdr:rowOff>182880</xdr:rowOff>
                  </to>
                </anchor>
              </controlPr>
            </control>
          </mc:Choice>
        </mc:AlternateContent>
        <mc:AlternateContent xmlns:mc="http://schemas.openxmlformats.org/markup-compatibility/2006">
          <mc:Choice Requires="x14">
            <control shapeId="16023" r:id="rId310" name="Check Box 663">
              <controlPr locked="0" defaultSize="0" autoFill="0" autoLine="0" autoPict="0">
                <anchor moveWithCells="1" sizeWithCells="1">
                  <from>
                    <xdr:col>22</xdr:col>
                    <xdr:colOff>0</xdr:colOff>
                    <xdr:row>1819</xdr:row>
                    <xdr:rowOff>0</xdr:rowOff>
                  </from>
                  <to>
                    <xdr:col>22</xdr:col>
                    <xdr:colOff>182880</xdr:colOff>
                    <xdr:row>1819</xdr:row>
                    <xdr:rowOff>182880</xdr:rowOff>
                  </to>
                </anchor>
              </controlPr>
            </control>
          </mc:Choice>
        </mc:AlternateContent>
        <mc:AlternateContent xmlns:mc="http://schemas.openxmlformats.org/markup-compatibility/2006">
          <mc:Choice Requires="x14">
            <control shapeId="16024" r:id="rId311" name="Check Box 664">
              <controlPr locked="0" defaultSize="0" autoFill="0" autoLine="0" autoPict="0">
                <anchor moveWithCells="1" sizeWithCells="1">
                  <from>
                    <xdr:col>22</xdr:col>
                    <xdr:colOff>0</xdr:colOff>
                    <xdr:row>1824</xdr:row>
                    <xdr:rowOff>0</xdr:rowOff>
                  </from>
                  <to>
                    <xdr:col>22</xdr:col>
                    <xdr:colOff>182880</xdr:colOff>
                    <xdr:row>1824</xdr:row>
                    <xdr:rowOff>182880</xdr:rowOff>
                  </to>
                </anchor>
              </controlPr>
            </control>
          </mc:Choice>
        </mc:AlternateContent>
        <mc:AlternateContent xmlns:mc="http://schemas.openxmlformats.org/markup-compatibility/2006">
          <mc:Choice Requires="x14">
            <control shapeId="16086" r:id="rId312" name="Check Box 726">
              <controlPr locked="0" defaultSize="0" autoFill="0" autoLine="0" autoPict="0">
                <anchor moveWithCells="1" sizeWithCells="1">
                  <from>
                    <xdr:col>22</xdr:col>
                    <xdr:colOff>0</xdr:colOff>
                    <xdr:row>1832</xdr:row>
                    <xdr:rowOff>0</xdr:rowOff>
                  </from>
                  <to>
                    <xdr:col>22</xdr:col>
                    <xdr:colOff>182880</xdr:colOff>
                    <xdr:row>1832</xdr:row>
                    <xdr:rowOff>182880</xdr:rowOff>
                  </to>
                </anchor>
              </controlPr>
            </control>
          </mc:Choice>
        </mc:AlternateContent>
        <mc:AlternateContent xmlns:mc="http://schemas.openxmlformats.org/markup-compatibility/2006">
          <mc:Choice Requires="x14">
            <control shapeId="16087" r:id="rId313" name="Check Box 727">
              <controlPr locked="0" defaultSize="0" autoFill="0" autoLine="0" autoPict="0">
                <anchor moveWithCells="1" sizeWithCells="1">
                  <from>
                    <xdr:col>22</xdr:col>
                    <xdr:colOff>0</xdr:colOff>
                    <xdr:row>1833</xdr:row>
                    <xdr:rowOff>0</xdr:rowOff>
                  </from>
                  <to>
                    <xdr:col>22</xdr:col>
                    <xdr:colOff>182880</xdr:colOff>
                    <xdr:row>1833</xdr:row>
                    <xdr:rowOff>182880</xdr:rowOff>
                  </to>
                </anchor>
              </controlPr>
            </control>
          </mc:Choice>
        </mc:AlternateContent>
        <mc:AlternateContent xmlns:mc="http://schemas.openxmlformats.org/markup-compatibility/2006">
          <mc:Choice Requires="x14">
            <control shapeId="16088" r:id="rId314" name="Check Box 728">
              <controlPr locked="0" defaultSize="0" autoFill="0" autoLine="0" autoPict="0">
                <anchor moveWithCells="1" sizeWithCells="1">
                  <from>
                    <xdr:col>22</xdr:col>
                    <xdr:colOff>0</xdr:colOff>
                    <xdr:row>1834</xdr:row>
                    <xdr:rowOff>0</xdr:rowOff>
                  </from>
                  <to>
                    <xdr:col>22</xdr:col>
                    <xdr:colOff>182880</xdr:colOff>
                    <xdr:row>1834</xdr:row>
                    <xdr:rowOff>182880</xdr:rowOff>
                  </to>
                </anchor>
              </controlPr>
            </control>
          </mc:Choice>
        </mc:AlternateContent>
        <mc:AlternateContent xmlns:mc="http://schemas.openxmlformats.org/markup-compatibility/2006">
          <mc:Choice Requires="x14">
            <control shapeId="16089" r:id="rId315" name="Check Box 729">
              <controlPr locked="0" defaultSize="0" autoFill="0" autoLine="0" autoPict="0">
                <anchor moveWithCells="1" sizeWithCells="1">
                  <from>
                    <xdr:col>22</xdr:col>
                    <xdr:colOff>0</xdr:colOff>
                    <xdr:row>1838</xdr:row>
                    <xdr:rowOff>0</xdr:rowOff>
                  </from>
                  <to>
                    <xdr:col>22</xdr:col>
                    <xdr:colOff>182880</xdr:colOff>
                    <xdr:row>1838</xdr:row>
                    <xdr:rowOff>182880</xdr:rowOff>
                  </to>
                </anchor>
              </controlPr>
            </control>
          </mc:Choice>
        </mc:AlternateContent>
        <mc:AlternateContent xmlns:mc="http://schemas.openxmlformats.org/markup-compatibility/2006">
          <mc:Choice Requires="x14">
            <control shapeId="16090" r:id="rId316" name="Check Box 730">
              <controlPr locked="0" defaultSize="0" autoFill="0" autoLine="0" autoPict="0">
                <anchor moveWithCells="1" sizeWithCells="1">
                  <from>
                    <xdr:col>22</xdr:col>
                    <xdr:colOff>0</xdr:colOff>
                    <xdr:row>1839</xdr:row>
                    <xdr:rowOff>0</xdr:rowOff>
                  </from>
                  <to>
                    <xdr:col>22</xdr:col>
                    <xdr:colOff>182880</xdr:colOff>
                    <xdr:row>1839</xdr:row>
                    <xdr:rowOff>182880</xdr:rowOff>
                  </to>
                </anchor>
              </controlPr>
            </control>
          </mc:Choice>
        </mc:AlternateContent>
        <mc:AlternateContent xmlns:mc="http://schemas.openxmlformats.org/markup-compatibility/2006">
          <mc:Choice Requires="x14">
            <control shapeId="16091" r:id="rId317" name="Check Box 731">
              <controlPr locked="0" defaultSize="0" autoFill="0" autoLine="0" autoPict="0">
                <anchor moveWithCells="1" sizeWithCells="1">
                  <from>
                    <xdr:col>22</xdr:col>
                    <xdr:colOff>0</xdr:colOff>
                    <xdr:row>1840</xdr:row>
                    <xdr:rowOff>0</xdr:rowOff>
                  </from>
                  <to>
                    <xdr:col>22</xdr:col>
                    <xdr:colOff>182880</xdr:colOff>
                    <xdr:row>1840</xdr:row>
                    <xdr:rowOff>182880</xdr:rowOff>
                  </to>
                </anchor>
              </controlPr>
            </control>
          </mc:Choice>
        </mc:AlternateContent>
        <mc:AlternateContent xmlns:mc="http://schemas.openxmlformats.org/markup-compatibility/2006">
          <mc:Choice Requires="x14">
            <control shapeId="16092" r:id="rId318" name="Check Box 732">
              <controlPr locked="0" defaultSize="0" autoFill="0" autoLine="0" autoPict="0">
                <anchor moveWithCells="1" sizeWithCells="1">
                  <from>
                    <xdr:col>22</xdr:col>
                    <xdr:colOff>0</xdr:colOff>
                    <xdr:row>1842</xdr:row>
                    <xdr:rowOff>0</xdr:rowOff>
                  </from>
                  <to>
                    <xdr:col>22</xdr:col>
                    <xdr:colOff>182880</xdr:colOff>
                    <xdr:row>1842</xdr:row>
                    <xdr:rowOff>182880</xdr:rowOff>
                  </to>
                </anchor>
              </controlPr>
            </control>
          </mc:Choice>
        </mc:AlternateContent>
        <mc:AlternateContent xmlns:mc="http://schemas.openxmlformats.org/markup-compatibility/2006">
          <mc:Choice Requires="x14">
            <control shapeId="16093" r:id="rId319" name="Check Box 733">
              <controlPr locked="0" defaultSize="0" autoFill="0" autoLine="0" autoPict="0">
                <anchor moveWithCells="1" sizeWithCells="1">
                  <from>
                    <xdr:col>22</xdr:col>
                    <xdr:colOff>0</xdr:colOff>
                    <xdr:row>1844</xdr:row>
                    <xdr:rowOff>0</xdr:rowOff>
                  </from>
                  <to>
                    <xdr:col>22</xdr:col>
                    <xdr:colOff>182880</xdr:colOff>
                    <xdr:row>1844</xdr:row>
                    <xdr:rowOff>182880</xdr:rowOff>
                  </to>
                </anchor>
              </controlPr>
            </control>
          </mc:Choice>
        </mc:AlternateContent>
        <mc:AlternateContent xmlns:mc="http://schemas.openxmlformats.org/markup-compatibility/2006">
          <mc:Choice Requires="x14">
            <control shapeId="16094" r:id="rId320" name="Check Box 734">
              <controlPr locked="0" defaultSize="0" autoFill="0" autoLine="0" autoPict="0">
                <anchor moveWithCells="1" sizeWithCells="1">
                  <from>
                    <xdr:col>22</xdr:col>
                    <xdr:colOff>0</xdr:colOff>
                    <xdr:row>1845</xdr:row>
                    <xdr:rowOff>0</xdr:rowOff>
                  </from>
                  <to>
                    <xdr:col>22</xdr:col>
                    <xdr:colOff>182880</xdr:colOff>
                    <xdr:row>1845</xdr:row>
                    <xdr:rowOff>182880</xdr:rowOff>
                  </to>
                </anchor>
              </controlPr>
            </control>
          </mc:Choice>
        </mc:AlternateContent>
        <mc:AlternateContent xmlns:mc="http://schemas.openxmlformats.org/markup-compatibility/2006">
          <mc:Choice Requires="x14">
            <control shapeId="16095" r:id="rId321" name="Check Box 735">
              <controlPr locked="0" defaultSize="0" autoFill="0" autoLine="0" autoPict="0">
                <anchor moveWithCells="1" sizeWithCells="1">
                  <from>
                    <xdr:col>22</xdr:col>
                    <xdr:colOff>0</xdr:colOff>
                    <xdr:row>1847</xdr:row>
                    <xdr:rowOff>0</xdr:rowOff>
                  </from>
                  <to>
                    <xdr:col>22</xdr:col>
                    <xdr:colOff>182880</xdr:colOff>
                    <xdr:row>1847</xdr:row>
                    <xdr:rowOff>182880</xdr:rowOff>
                  </to>
                </anchor>
              </controlPr>
            </control>
          </mc:Choice>
        </mc:AlternateContent>
        <mc:AlternateContent xmlns:mc="http://schemas.openxmlformats.org/markup-compatibility/2006">
          <mc:Choice Requires="x14">
            <control shapeId="16096" r:id="rId322" name="Check Box 736">
              <controlPr locked="0" defaultSize="0" autoFill="0" autoLine="0" autoPict="0">
                <anchor moveWithCells="1" sizeWithCells="1">
                  <from>
                    <xdr:col>22</xdr:col>
                    <xdr:colOff>0</xdr:colOff>
                    <xdr:row>1848</xdr:row>
                    <xdr:rowOff>0</xdr:rowOff>
                  </from>
                  <to>
                    <xdr:col>22</xdr:col>
                    <xdr:colOff>182880</xdr:colOff>
                    <xdr:row>1848</xdr:row>
                    <xdr:rowOff>182880</xdr:rowOff>
                  </to>
                </anchor>
              </controlPr>
            </control>
          </mc:Choice>
        </mc:AlternateContent>
        <mc:AlternateContent xmlns:mc="http://schemas.openxmlformats.org/markup-compatibility/2006">
          <mc:Choice Requires="x14">
            <control shapeId="16097" r:id="rId323" name="Check Box 737">
              <controlPr locked="0" defaultSize="0" autoFill="0" autoLine="0" autoPict="0">
                <anchor moveWithCells="1" sizeWithCells="1">
                  <from>
                    <xdr:col>22</xdr:col>
                    <xdr:colOff>0</xdr:colOff>
                    <xdr:row>1849</xdr:row>
                    <xdr:rowOff>0</xdr:rowOff>
                  </from>
                  <to>
                    <xdr:col>22</xdr:col>
                    <xdr:colOff>182880</xdr:colOff>
                    <xdr:row>1849</xdr:row>
                    <xdr:rowOff>182880</xdr:rowOff>
                  </to>
                </anchor>
              </controlPr>
            </control>
          </mc:Choice>
        </mc:AlternateContent>
        <mc:AlternateContent xmlns:mc="http://schemas.openxmlformats.org/markup-compatibility/2006">
          <mc:Choice Requires="x14">
            <control shapeId="16098" r:id="rId324" name="Check Box 738">
              <controlPr locked="0" defaultSize="0" autoFill="0" autoLine="0" autoPict="0">
                <anchor moveWithCells="1" sizeWithCells="1">
                  <from>
                    <xdr:col>22</xdr:col>
                    <xdr:colOff>0</xdr:colOff>
                    <xdr:row>1855</xdr:row>
                    <xdr:rowOff>0</xdr:rowOff>
                  </from>
                  <to>
                    <xdr:col>22</xdr:col>
                    <xdr:colOff>182880</xdr:colOff>
                    <xdr:row>1855</xdr:row>
                    <xdr:rowOff>182880</xdr:rowOff>
                  </to>
                </anchor>
              </controlPr>
            </control>
          </mc:Choice>
        </mc:AlternateContent>
        <mc:AlternateContent xmlns:mc="http://schemas.openxmlformats.org/markup-compatibility/2006">
          <mc:Choice Requires="x14">
            <control shapeId="16099" r:id="rId325" name="Check Box 739">
              <controlPr locked="0" defaultSize="0" autoFill="0" autoLine="0" autoPict="0">
                <anchor moveWithCells="1" sizeWithCells="1">
                  <from>
                    <xdr:col>22</xdr:col>
                    <xdr:colOff>0</xdr:colOff>
                    <xdr:row>1859</xdr:row>
                    <xdr:rowOff>0</xdr:rowOff>
                  </from>
                  <to>
                    <xdr:col>22</xdr:col>
                    <xdr:colOff>182880</xdr:colOff>
                    <xdr:row>1859</xdr:row>
                    <xdr:rowOff>182880</xdr:rowOff>
                  </to>
                </anchor>
              </controlPr>
            </control>
          </mc:Choice>
        </mc:AlternateContent>
        <mc:AlternateContent xmlns:mc="http://schemas.openxmlformats.org/markup-compatibility/2006">
          <mc:Choice Requires="x14">
            <control shapeId="16100" r:id="rId326" name="Check Box 740">
              <controlPr locked="0" defaultSize="0" autoFill="0" autoLine="0" autoPict="0">
                <anchor moveWithCells="1" sizeWithCells="1">
                  <from>
                    <xdr:col>22</xdr:col>
                    <xdr:colOff>0</xdr:colOff>
                    <xdr:row>1861</xdr:row>
                    <xdr:rowOff>0</xdr:rowOff>
                  </from>
                  <to>
                    <xdr:col>22</xdr:col>
                    <xdr:colOff>182880</xdr:colOff>
                    <xdr:row>1861</xdr:row>
                    <xdr:rowOff>182880</xdr:rowOff>
                  </to>
                </anchor>
              </controlPr>
            </control>
          </mc:Choice>
        </mc:AlternateContent>
        <mc:AlternateContent xmlns:mc="http://schemas.openxmlformats.org/markup-compatibility/2006">
          <mc:Choice Requires="x14">
            <control shapeId="16101" r:id="rId327" name="Check Box 741">
              <controlPr locked="0" defaultSize="0" autoFill="0" autoLine="0" autoPict="0">
                <anchor moveWithCells="1" sizeWithCells="1">
                  <from>
                    <xdr:col>22</xdr:col>
                    <xdr:colOff>0</xdr:colOff>
                    <xdr:row>1863</xdr:row>
                    <xdr:rowOff>0</xdr:rowOff>
                  </from>
                  <to>
                    <xdr:col>22</xdr:col>
                    <xdr:colOff>182880</xdr:colOff>
                    <xdr:row>1863</xdr:row>
                    <xdr:rowOff>182880</xdr:rowOff>
                  </to>
                </anchor>
              </controlPr>
            </control>
          </mc:Choice>
        </mc:AlternateContent>
        <mc:AlternateContent xmlns:mc="http://schemas.openxmlformats.org/markup-compatibility/2006">
          <mc:Choice Requires="x14">
            <control shapeId="16102" r:id="rId328" name="Check Box 742">
              <controlPr locked="0" defaultSize="0" autoFill="0" autoLine="0" autoPict="0">
                <anchor moveWithCells="1" sizeWithCells="1">
                  <from>
                    <xdr:col>22</xdr:col>
                    <xdr:colOff>0</xdr:colOff>
                    <xdr:row>1864</xdr:row>
                    <xdr:rowOff>0</xdr:rowOff>
                  </from>
                  <to>
                    <xdr:col>22</xdr:col>
                    <xdr:colOff>182880</xdr:colOff>
                    <xdr:row>1864</xdr:row>
                    <xdr:rowOff>182880</xdr:rowOff>
                  </to>
                </anchor>
              </controlPr>
            </control>
          </mc:Choice>
        </mc:AlternateContent>
        <mc:AlternateContent xmlns:mc="http://schemas.openxmlformats.org/markup-compatibility/2006">
          <mc:Choice Requires="x14">
            <control shapeId="16103" r:id="rId329" name="Check Box 743">
              <controlPr locked="0" defaultSize="0" autoFill="0" autoLine="0" autoPict="0">
                <anchor moveWithCells="1" sizeWithCells="1">
                  <from>
                    <xdr:col>22</xdr:col>
                    <xdr:colOff>0</xdr:colOff>
                    <xdr:row>1866</xdr:row>
                    <xdr:rowOff>0</xdr:rowOff>
                  </from>
                  <to>
                    <xdr:col>22</xdr:col>
                    <xdr:colOff>182880</xdr:colOff>
                    <xdr:row>1866</xdr:row>
                    <xdr:rowOff>182880</xdr:rowOff>
                  </to>
                </anchor>
              </controlPr>
            </control>
          </mc:Choice>
        </mc:AlternateContent>
        <mc:AlternateContent xmlns:mc="http://schemas.openxmlformats.org/markup-compatibility/2006">
          <mc:Choice Requires="x14">
            <control shapeId="16104" r:id="rId330" name="Check Box 744">
              <controlPr locked="0" defaultSize="0" autoFill="0" autoLine="0" autoPict="0">
                <anchor moveWithCells="1" sizeWithCells="1">
                  <from>
                    <xdr:col>22</xdr:col>
                    <xdr:colOff>0</xdr:colOff>
                    <xdr:row>1868</xdr:row>
                    <xdr:rowOff>0</xdr:rowOff>
                  </from>
                  <to>
                    <xdr:col>22</xdr:col>
                    <xdr:colOff>182880</xdr:colOff>
                    <xdr:row>1868</xdr:row>
                    <xdr:rowOff>182880</xdr:rowOff>
                  </to>
                </anchor>
              </controlPr>
            </control>
          </mc:Choice>
        </mc:AlternateContent>
        <mc:AlternateContent xmlns:mc="http://schemas.openxmlformats.org/markup-compatibility/2006">
          <mc:Choice Requires="x14">
            <control shapeId="16105" r:id="rId331" name="Check Box 745">
              <controlPr locked="0" defaultSize="0" autoFill="0" autoLine="0" autoPict="0">
                <anchor moveWithCells="1" sizeWithCells="1">
                  <from>
                    <xdr:col>22</xdr:col>
                    <xdr:colOff>0</xdr:colOff>
                    <xdr:row>1869</xdr:row>
                    <xdr:rowOff>0</xdr:rowOff>
                  </from>
                  <to>
                    <xdr:col>22</xdr:col>
                    <xdr:colOff>182880</xdr:colOff>
                    <xdr:row>1869</xdr:row>
                    <xdr:rowOff>182880</xdr:rowOff>
                  </to>
                </anchor>
              </controlPr>
            </control>
          </mc:Choice>
        </mc:AlternateContent>
        <mc:AlternateContent xmlns:mc="http://schemas.openxmlformats.org/markup-compatibility/2006">
          <mc:Choice Requires="x14">
            <control shapeId="16106" r:id="rId332" name="Check Box 746">
              <controlPr locked="0" defaultSize="0" autoFill="0" autoLine="0" autoPict="0">
                <anchor moveWithCells="1" sizeWithCells="1">
                  <from>
                    <xdr:col>22</xdr:col>
                    <xdr:colOff>0</xdr:colOff>
                    <xdr:row>1871</xdr:row>
                    <xdr:rowOff>0</xdr:rowOff>
                  </from>
                  <to>
                    <xdr:col>22</xdr:col>
                    <xdr:colOff>182880</xdr:colOff>
                    <xdr:row>1871</xdr:row>
                    <xdr:rowOff>182880</xdr:rowOff>
                  </to>
                </anchor>
              </controlPr>
            </control>
          </mc:Choice>
        </mc:AlternateContent>
        <mc:AlternateContent xmlns:mc="http://schemas.openxmlformats.org/markup-compatibility/2006">
          <mc:Choice Requires="x14">
            <control shapeId="16107" r:id="rId333" name="Check Box 747">
              <controlPr locked="0" defaultSize="0" autoFill="0" autoLine="0" autoPict="0">
                <anchor moveWithCells="1" sizeWithCells="1">
                  <from>
                    <xdr:col>22</xdr:col>
                    <xdr:colOff>0</xdr:colOff>
                    <xdr:row>1873</xdr:row>
                    <xdr:rowOff>0</xdr:rowOff>
                  </from>
                  <to>
                    <xdr:col>22</xdr:col>
                    <xdr:colOff>182880</xdr:colOff>
                    <xdr:row>1873</xdr:row>
                    <xdr:rowOff>182880</xdr:rowOff>
                  </to>
                </anchor>
              </controlPr>
            </control>
          </mc:Choice>
        </mc:AlternateContent>
        <mc:AlternateContent xmlns:mc="http://schemas.openxmlformats.org/markup-compatibility/2006">
          <mc:Choice Requires="x14">
            <control shapeId="16108" r:id="rId334" name="Check Box 748">
              <controlPr locked="0" defaultSize="0" autoFill="0" autoLine="0" autoPict="0">
                <anchor moveWithCells="1" sizeWithCells="1">
                  <from>
                    <xdr:col>22</xdr:col>
                    <xdr:colOff>0</xdr:colOff>
                    <xdr:row>1875</xdr:row>
                    <xdr:rowOff>0</xdr:rowOff>
                  </from>
                  <to>
                    <xdr:col>22</xdr:col>
                    <xdr:colOff>182880</xdr:colOff>
                    <xdr:row>1875</xdr:row>
                    <xdr:rowOff>182880</xdr:rowOff>
                  </to>
                </anchor>
              </controlPr>
            </control>
          </mc:Choice>
        </mc:AlternateContent>
        <mc:AlternateContent xmlns:mc="http://schemas.openxmlformats.org/markup-compatibility/2006">
          <mc:Choice Requires="x14">
            <control shapeId="16109" r:id="rId335" name="Check Box 749">
              <controlPr locked="0" defaultSize="0" autoFill="0" autoLine="0" autoPict="0">
                <anchor moveWithCells="1" sizeWithCells="1">
                  <from>
                    <xdr:col>22</xdr:col>
                    <xdr:colOff>0</xdr:colOff>
                    <xdr:row>1876</xdr:row>
                    <xdr:rowOff>0</xdr:rowOff>
                  </from>
                  <to>
                    <xdr:col>22</xdr:col>
                    <xdr:colOff>182880</xdr:colOff>
                    <xdr:row>1876</xdr:row>
                    <xdr:rowOff>182880</xdr:rowOff>
                  </to>
                </anchor>
              </controlPr>
            </control>
          </mc:Choice>
        </mc:AlternateContent>
        <mc:AlternateContent xmlns:mc="http://schemas.openxmlformats.org/markup-compatibility/2006">
          <mc:Choice Requires="x14">
            <control shapeId="16110" r:id="rId336" name="Check Box 750">
              <controlPr locked="0" defaultSize="0" autoFill="0" autoLine="0" autoPict="0">
                <anchor moveWithCells="1" sizeWithCells="1">
                  <from>
                    <xdr:col>22</xdr:col>
                    <xdr:colOff>0</xdr:colOff>
                    <xdr:row>1877</xdr:row>
                    <xdr:rowOff>0</xdr:rowOff>
                  </from>
                  <to>
                    <xdr:col>22</xdr:col>
                    <xdr:colOff>182880</xdr:colOff>
                    <xdr:row>1877</xdr:row>
                    <xdr:rowOff>182880</xdr:rowOff>
                  </to>
                </anchor>
              </controlPr>
            </control>
          </mc:Choice>
        </mc:AlternateContent>
        <mc:AlternateContent xmlns:mc="http://schemas.openxmlformats.org/markup-compatibility/2006">
          <mc:Choice Requires="x14">
            <control shapeId="16111" r:id="rId337" name="Check Box 751">
              <controlPr locked="0" defaultSize="0" autoFill="0" autoLine="0" autoPict="0">
                <anchor moveWithCells="1" sizeWithCells="1">
                  <from>
                    <xdr:col>22</xdr:col>
                    <xdr:colOff>0</xdr:colOff>
                    <xdr:row>1898</xdr:row>
                    <xdr:rowOff>0</xdr:rowOff>
                  </from>
                  <to>
                    <xdr:col>22</xdr:col>
                    <xdr:colOff>182880</xdr:colOff>
                    <xdr:row>1898</xdr:row>
                    <xdr:rowOff>182880</xdr:rowOff>
                  </to>
                </anchor>
              </controlPr>
            </control>
          </mc:Choice>
        </mc:AlternateContent>
        <mc:AlternateContent xmlns:mc="http://schemas.openxmlformats.org/markup-compatibility/2006">
          <mc:Choice Requires="x14">
            <control shapeId="16112" r:id="rId338" name="Check Box 752">
              <controlPr locked="0" defaultSize="0" autoFill="0" autoLine="0" autoPict="0">
                <anchor moveWithCells="1" sizeWithCells="1">
                  <from>
                    <xdr:col>22</xdr:col>
                    <xdr:colOff>0</xdr:colOff>
                    <xdr:row>1901</xdr:row>
                    <xdr:rowOff>0</xdr:rowOff>
                  </from>
                  <to>
                    <xdr:col>22</xdr:col>
                    <xdr:colOff>182880</xdr:colOff>
                    <xdr:row>1901</xdr:row>
                    <xdr:rowOff>182880</xdr:rowOff>
                  </to>
                </anchor>
              </controlPr>
            </control>
          </mc:Choice>
        </mc:AlternateContent>
        <mc:AlternateContent xmlns:mc="http://schemas.openxmlformats.org/markup-compatibility/2006">
          <mc:Choice Requires="x14">
            <control shapeId="16113" r:id="rId339" name="Check Box 753">
              <controlPr locked="0" defaultSize="0" autoFill="0" autoLine="0" autoPict="0">
                <anchor moveWithCells="1" sizeWithCells="1">
                  <from>
                    <xdr:col>22</xdr:col>
                    <xdr:colOff>0</xdr:colOff>
                    <xdr:row>1904</xdr:row>
                    <xdr:rowOff>0</xdr:rowOff>
                  </from>
                  <to>
                    <xdr:col>22</xdr:col>
                    <xdr:colOff>182880</xdr:colOff>
                    <xdr:row>1904</xdr:row>
                    <xdr:rowOff>182880</xdr:rowOff>
                  </to>
                </anchor>
              </controlPr>
            </control>
          </mc:Choice>
        </mc:AlternateContent>
        <mc:AlternateContent xmlns:mc="http://schemas.openxmlformats.org/markup-compatibility/2006">
          <mc:Choice Requires="x14">
            <control shapeId="16114" r:id="rId340" name="Check Box 754">
              <controlPr locked="0" defaultSize="0" autoFill="0" autoLine="0" autoPict="0">
                <anchor moveWithCells="1" sizeWithCells="1">
                  <from>
                    <xdr:col>22</xdr:col>
                    <xdr:colOff>0</xdr:colOff>
                    <xdr:row>1906</xdr:row>
                    <xdr:rowOff>0</xdr:rowOff>
                  </from>
                  <to>
                    <xdr:col>22</xdr:col>
                    <xdr:colOff>182880</xdr:colOff>
                    <xdr:row>1906</xdr:row>
                    <xdr:rowOff>182880</xdr:rowOff>
                  </to>
                </anchor>
              </controlPr>
            </control>
          </mc:Choice>
        </mc:AlternateContent>
        <mc:AlternateContent xmlns:mc="http://schemas.openxmlformats.org/markup-compatibility/2006">
          <mc:Choice Requires="x14">
            <control shapeId="16115" r:id="rId341" name="Check Box 755">
              <controlPr locked="0" defaultSize="0" autoFill="0" autoLine="0" autoPict="0">
                <anchor moveWithCells="1" sizeWithCells="1">
                  <from>
                    <xdr:col>22</xdr:col>
                    <xdr:colOff>0</xdr:colOff>
                    <xdr:row>1907</xdr:row>
                    <xdr:rowOff>0</xdr:rowOff>
                  </from>
                  <to>
                    <xdr:col>22</xdr:col>
                    <xdr:colOff>182880</xdr:colOff>
                    <xdr:row>1907</xdr:row>
                    <xdr:rowOff>182880</xdr:rowOff>
                  </to>
                </anchor>
              </controlPr>
            </control>
          </mc:Choice>
        </mc:AlternateContent>
        <mc:AlternateContent xmlns:mc="http://schemas.openxmlformats.org/markup-compatibility/2006">
          <mc:Choice Requires="x14">
            <control shapeId="16116" r:id="rId342" name="Check Box 756">
              <controlPr locked="0" defaultSize="0" autoFill="0" autoLine="0" autoPict="0">
                <anchor moveWithCells="1" sizeWithCells="1">
                  <from>
                    <xdr:col>22</xdr:col>
                    <xdr:colOff>0</xdr:colOff>
                    <xdr:row>1909</xdr:row>
                    <xdr:rowOff>0</xdr:rowOff>
                  </from>
                  <to>
                    <xdr:col>22</xdr:col>
                    <xdr:colOff>182880</xdr:colOff>
                    <xdr:row>1909</xdr:row>
                    <xdr:rowOff>182880</xdr:rowOff>
                  </to>
                </anchor>
              </controlPr>
            </control>
          </mc:Choice>
        </mc:AlternateContent>
        <mc:AlternateContent xmlns:mc="http://schemas.openxmlformats.org/markup-compatibility/2006">
          <mc:Choice Requires="x14">
            <control shapeId="16117" r:id="rId343" name="Check Box 757">
              <controlPr locked="0" defaultSize="0" autoFill="0" autoLine="0" autoPict="0">
                <anchor moveWithCells="1" sizeWithCells="1">
                  <from>
                    <xdr:col>22</xdr:col>
                    <xdr:colOff>0</xdr:colOff>
                    <xdr:row>1910</xdr:row>
                    <xdr:rowOff>0</xdr:rowOff>
                  </from>
                  <to>
                    <xdr:col>22</xdr:col>
                    <xdr:colOff>182880</xdr:colOff>
                    <xdr:row>1910</xdr:row>
                    <xdr:rowOff>182880</xdr:rowOff>
                  </to>
                </anchor>
              </controlPr>
            </control>
          </mc:Choice>
        </mc:AlternateContent>
        <mc:AlternateContent xmlns:mc="http://schemas.openxmlformats.org/markup-compatibility/2006">
          <mc:Choice Requires="x14">
            <control shapeId="16118" r:id="rId344" name="Check Box 758">
              <controlPr locked="0" defaultSize="0" autoFill="0" autoLine="0" autoPict="0">
                <anchor moveWithCells="1" sizeWithCells="1">
                  <from>
                    <xdr:col>22</xdr:col>
                    <xdr:colOff>0</xdr:colOff>
                    <xdr:row>1911</xdr:row>
                    <xdr:rowOff>0</xdr:rowOff>
                  </from>
                  <to>
                    <xdr:col>22</xdr:col>
                    <xdr:colOff>182880</xdr:colOff>
                    <xdr:row>1911</xdr:row>
                    <xdr:rowOff>182880</xdr:rowOff>
                  </to>
                </anchor>
              </controlPr>
            </control>
          </mc:Choice>
        </mc:AlternateContent>
        <mc:AlternateContent xmlns:mc="http://schemas.openxmlformats.org/markup-compatibility/2006">
          <mc:Choice Requires="x14">
            <control shapeId="16119" r:id="rId345" name="Check Box 759">
              <controlPr locked="0" defaultSize="0" autoFill="0" autoLine="0" autoPict="0">
                <anchor moveWithCells="1" sizeWithCells="1">
                  <from>
                    <xdr:col>22</xdr:col>
                    <xdr:colOff>0</xdr:colOff>
                    <xdr:row>1917</xdr:row>
                    <xdr:rowOff>0</xdr:rowOff>
                  </from>
                  <to>
                    <xdr:col>22</xdr:col>
                    <xdr:colOff>182880</xdr:colOff>
                    <xdr:row>1917</xdr:row>
                    <xdr:rowOff>182880</xdr:rowOff>
                  </to>
                </anchor>
              </controlPr>
            </control>
          </mc:Choice>
        </mc:AlternateContent>
        <mc:AlternateContent xmlns:mc="http://schemas.openxmlformats.org/markup-compatibility/2006">
          <mc:Choice Requires="x14">
            <control shapeId="16120" r:id="rId346" name="Check Box 760">
              <controlPr locked="0" defaultSize="0" autoFill="0" autoLine="0" autoPict="0">
                <anchor moveWithCells="1" sizeWithCells="1">
                  <from>
                    <xdr:col>22</xdr:col>
                    <xdr:colOff>0</xdr:colOff>
                    <xdr:row>1919</xdr:row>
                    <xdr:rowOff>0</xdr:rowOff>
                  </from>
                  <to>
                    <xdr:col>22</xdr:col>
                    <xdr:colOff>182880</xdr:colOff>
                    <xdr:row>1919</xdr:row>
                    <xdr:rowOff>182880</xdr:rowOff>
                  </to>
                </anchor>
              </controlPr>
            </control>
          </mc:Choice>
        </mc:AlternateContent>
        <mc:AlternateContent xmlns:mc="http://schemas.openxmlformats.org/markup-compatibility/2006">
          <mc:Choice Requires="x14">
            <control shapeId="16121" r:id="rId347" name="Check Box 761">
              <controlPr locked="0" defaultSize="0" autoFill="0" autoLine="0" autoPict="0">
                <anchor moveWithCells="1" sizeWithCells="1">
                  <from>
                    <xdr:col>22</xdr:col>
                    <xdr:colOff>0</xdr:colOff>
                    <xdr:row>1922</xdr:row>
                    <xdr:rowOff>0</xdr:rowOff>
                  </from>
                  <to>
                    <xdr:col>22</xdr:col>
                    <xdr:colOff>182880</xdr:colOff>
                    <xdr:row>1922</xdr:row>
                    <xdr:rowOff>182880</xdr:rowOff>
                  </to>
                </anchor>
              </controlPr>
            </control>
          </mc:Choice>
        </mc:AlternateContent>
        <mc:AlternateContent xmlns:mc="http://schemas.openxmlformats.org/markup-compatibility/2006">
          <mc:Choice Requires="x14">
            <control shapeId="16122" r:id="rId348" name="Check Box 762">
              <controlPr locked="0" defaultSize="0" autoFill="0" autoLine="0" autoPict="0">
                <anchor moveWithCells="1" sizeWithCells="1">
                  <from>
                    <xdr:col>22</xdr:col>
                    <xdr:colOff>0</xdr:colOff>
                    <xdr:row>1924</xdr:row>
                    <xdr:rowOff>0</xdr:rowOff>
                  </from>
                  <to>
                    <xdr:col>22</xdr:col>
                    <xdr:colOff>182880</xdr:colOff>
                    <xdr:row>1924</xdr:row>
                    <xdr:rowOff>182880</xdr:rowOff>
                  </to>
                </anchor>
              </controlPr>
            </control>
          </mc:Choice>
        </mc:AlternateContent>
        <mc:AlternateContent xmlns:mc="http://schemas.openxmlformats.org/markup-compatibility/2006">
          <mc:Choice Requires="x14">
            <control shapeId="16123" r:id="rId349" name="Check Box 763">
              <controlPr locked="0" defaultSize="0" autoFill="0" autoLine="0" autoPict="0">
                <anchor moveWithCells="1" sizeWithCells="1">
                  <from>
                    <xdr:col>22</xdr:col>
                    <xdr:colOff>0</xdr:colOff>
                    <xdr:row>1927</xdr:row>
                    <xdr:rowOff>0</xdr:rowOff>
                  </from>
                  <to>
                    <xdr:col>22</xdr:col>
                    <xdr:colOff>182880</xdr:colOff>
                    <xdr:row>1927</xdr:row>
                    <xdr:rowOff>182880</xdr:rowOff>
                  </to>
                </anchor>
              </controlPr>
            </control>
          </mc:Choice>
        </mc:AlternateContent>
        <mc:AlternateContent xmlns:mc="http://schemas.openxmlformats.org/markup-compatibility/2006">
          <mc:Choice Requires="x14">
            <control shapeId="16124" r:id="rId350" name="Check Box 764">
              <controlPr locked="0" defaultSize="0" autoFill="0" autoLine="0" autoPict="0">
                <anchor moveWithCells="1" sizeWithCells="1">
                  <from>
                    <xdr:col>22</xdr:col>
                    <xdr:colOff>0</xdr:colOff>
                    <xdr:row>1929</xdr:row>
                    <xdr:rowOff>0</xdr:rowOff>
                  </from>
                  <to>
                    <xdr:col>22</xdr:col>
                    <xdr:colOff>182880</xdr:colOff>
                    <xdr:row>1929</xdr:row>
                    <xdr:rowOff>182880</xdr:rowOff>
                  </to>
                </anchor>
              </controlPr>
            </control>
          </mc:Choice>
        </mc:AlternateContent>
        <mc:AlternateContent xmlns:mc="http://schemas.openxmlformats.org/markup-compatibility/2006">
          <mc:Choice Requires="x14">
            <control shapeId="16125" r:id="rId351" name="Check Box 765">
              <controlPr locked="0" defaultSize="0" autoFill="0" autoLine="0" autoPict="0">
                <anchor moveWithCells="1" sizeWithCells="1">
                  <from>
                    <xdr:col>22</xdr:col>
                    <xdr:colOff>0</xdr:colOff>
                    <xdr:row>1930</xdr:row>
                    <xdr:rowOff>0</xdr:rowOff>
                  </from>
                  <to>
                    <xdr:col>22</xdr:col>
                    <xdr:colOff>182880</xdr:colOff>
                    <xdr:row>1930</xdr:row>
                    <xdr:rowOff>182880</xdr:rowOff>
                  </to>
                </anchor>
              </controlPr>
            </control>
          </mc:Choice>
        </mc:AlternateContent>
        <mc:AlternateContent xmlns:mc="http://schemas.openxmlformats.org/markup-compatibility/2006">
          <mc:Choice Requires="x14">
            <control shapeId="16126" r:id="rId352" name="Check Box 766">
              <controlPr locked="0" defaultSize="0" autoFill="0" autoLine="0" autoPict="0">
                <anchor moveWithCells="1" sizeWithCells="1">
                  <from>
                    <xdr:col>22</xdr:col>
                    <xdr:colOff>0</xdr:colOff>
                    <xdr:row>1932</xdr:row>
                    <xdr:rowOff>0</xdr:rowOff>
                  </from>
                  <to>
                    <xdr:col>22</xdr:col>
                    <xdr:colOff>182880</xdr:colOff>
                    <xdr:row>1932</xdr:row>
                    <xdr:rowOff>182880</xdr:rowOff>
                  </to>
                </anchor>
              </controlPr>
            </control>
          </mc:Choice>
        </mc:AlternateContent>
        <mc:AlternateContent xmlns:mc="http://schemas.openxmlformats.org/markup-compatibility/2006">
          <mc:Choice Requires="x14">
            <control shapeId="16127" r:id="rId353" name="Check Box 767">
              <controlPr locked="0" defaultSize="0" autoFill="0" autoLine="0" autoPict="0">
                <anchor moveWithCells="1" sizeWithCells="1">
                  <from>
                    <xdr:col>22</xdr:col>
                    <xdr:colOff>0</xdr:colOff>
                    <xdr:row>1934</xdr:row>
                    <xdr:rowOff>0</xdr:rowOff>
                  </from>
                  <to>
                    <xdr:col>22</xdr:col>
                    <xdr:colOff>182880</xdr:colOff>
                    <xdr:row>1934</xdr:row>
                    <xdr:rowOff>182880</xdr:rowOff>
                  </to>
                </anchor>
              </controlPr>
            </control>
          </mc:Choice>
        </mc:AlternateContent>
        <mc:AlternateContent xmlns:mc="http://schemas.openxmlformats.org/markup-compatibility/2006">
          <mc:Choice Requires="x14">
            <control shapeId="16128" r:id="rId354" name="Check Box 768">
              <controlPr locked="0" defaultSize="0" autoFill="0" autoLine="0" autoPict="0">
                <anchor moveWithCells="1" sizeWithCells="1">
                  <from>
                    <xdr:col>22</xdr:col>
                    <xdr:colOff>0</xdr:colOff>
                    <xdr:row>1935</xdr:row>
                    <xdr:rowOff>0</xdr:rowOff>
                  </from>
                  <to>
                    <xdr:col>22</xdr:col>
                    <xdr:colOff>182880</xdr:colOff>
                    <xdr:row>1935</xdr:row>
                    <xdr:rowOff>182880</xdr:rowOff>
                  </to>
                </anchor>
              </controlPr>
            </control>
          </mc:Choice>
        </mc:AlternateContent>
        <mc:AlternateContent xmlns:mc="http://schemas.openxmlformats.org/markup-compatibility/2006">
          <mc:Choice Requires="x14">
            <control shapeId="16129" r:id="rId355" name="Check Box 769">
              <controlPr locked="0" defaultSize="0" autoFill="0" autoLine="0" autoPict="0">
                <anchor moveWithCells="1" sizeWithCells="1">
                  <from>
                    <xdr:col>22</xdr:col>
                    <xdr:colOff>0</xdr:colOff>
                    <xdr:row>1938</xdr:row>
                    <xdr:rowOff>0</xdr:rowOff>
                  </from>
                  <to>
                    <xdr:col>22</xdr:col>
                    <xdr:colOff>182880</xdr:colOff>
                    <xdr:row>1938</xdr:row>
                    <xdr:rowOff>182880</xdr:rowOff>
                  </to>
                </anchor>
              </controlPr>
            </control>
          </mc:Choice>
        </mc:AlternateContent>
        <mc:AlternateContent xmlns:mc="http://schemas.openxmlformats.org/markup-compatibility/2006">
          <mc:Choice Requires="x14">
            <control shapeId="16130" r:id="rId356" name="Check Box 770">
              <controlPr locked="0" defaultSize="0" autoFill="0" autoLine="0" autoPict="0">
                <anchor moveWithCells="1" sizeWithCells="1">
                  <from>
                    <xdr:col>22</xdr:col>
                    <xdr:colOff>0</xdr:colOff>
                    <xdr:row>1944</xdr:row>
                    <xdr:rowOff>0</xdr:rowOff>
                  </from>
                  <to>
                    <xdr:col>22</xdr:col>
                    <xdr:colOff>182880</xdr:colOff>
                    <xdr:row>1944</xdr:row>
                    <xdr:rowOff>182880</xdr:rowOff>
                  </to>
                </anchor>
              </controlPr>
            </control>
          </mc:Choice>
        </mc:AlternateContent>
        <mc:AlternateContent xmlns:mc="http://schemas.openxmlformats.org/markup-compatibility/2006">
          <mc:Choice Requires="x14">
            <control shapeId="16131" r:id="rId357" name="Check Box 771">
              <controlPr locked="0" defaultSize="0" autoFill="0" autoLine="0" autoPict="0">
                <anchor moveWithCells="1" sizeWithCells="1">
                  <from>
                    <xdr:col>22</xdr:col>
                    <xdr:colOff>0</xdr:colOff>
                    <xdr:row>1946</xdr:row>
                    <xdr:rowOff>0</xdr:rowOff>
                  </from>
                  <to>
                    <xdr:col>22</xdr:col>
                    <xdr:colOff>182880</xdr:colOff>
                    <xdr:row>1946</xdr:row>
                    <xdr:rowOff>182880</xdr:rowOff>
                  </to>
                </anchor>
              </controlPr>
            </control>
          </mc:Choice>
        </mc:AlternateContent>
        <mc:AlternateContent xmlns:mc="http://schemas.openxmlformats.org/markup-compatibility/2006">
          <mc:Choice Requires="x14">
            <control shapeId="16132" r:id="rId358" name="Check Box 772">
              <controlPr locked="0" defaultSize="0" autoFill="0" autoLine="0" autoPict="0">
                <anchor moveWithCells="1" sizeWithCells="1">
                  <from>
                    <xdr:col>22</xdr:col>
                    <xdr:colOff>0</xdr:colOff>
                    <xdr:row>1950</xdr:row>
                    <xdr:rowOff>0</xdr:rowOff>
                  </from>
                  <to>
                    <xdr:col>22</xdr:col>
                    <xdr:colOff>182880</xdr:colOff>
                    <xdr:row>1950</xdr:row>
                    <xdr:rowOff>182880</xdr:rowOff>
                  </to>
                </anchor>
              </controlPr>
            </control>
          </mc:Choice>
        </mc:AlternateContent>
        <mc:AlternateContent xmlns:mc="http://schemas.openxmlformats.org/markup-compatibility/2006">
          <mc:Choice Requires="x14">
            <control shapeId="16133" r:id="rId359" name="Check Box 773">
              <controlPr locked="0" defaultSize="0" autoFill="0" autoLine="0" autoPict="0">
                <anchor moveWithCells="1" sizeWithCells="1">
                  <from>
                    <xdr:col>22</xdr:col>
                    <xdr:colOff>0</xdr:colOff>
                    <xdr:row>1957</xdr:row>
                    <xdr:rowOff>0</xdr:rowOff>
                  </from>
                  <to>
                    <xdr:col>22</xdr:col>
                    <xdr:colOff>182880</xdr:colOff>
                    <xdr:row>1957</xdr:row>
                    <xdr:rowOff>182880</xdr:rowOff>
                  </to>
                </anchor>
              </controlPr>
            </control>
          </mc:Choice>
        </mc:AlternateContent>
        <mc:AlternateContent xmlns:mc="http://schemas.openxmlformats.org/markup-compatibility/2006">
          <mc:Choice Requires="x14">
            <control shapeId="16134" r:id="rId360" name="Check Box 774">
              <controlPr locked="0" defaultSize="0" autoFill="0" autoLine="0" autoPict="0">
                <anchor moveWithCells="1" sizeWithCells="1">
                  <from>
                    <xdr:col>22</xdr:col>
                    <xdr:colOff>0</xdr:colOff>
                    <xdr:row>1959</xdr:row>
                    <xdr:rowOff>0</xdr:rowOff>
                  </from>
                  <to>
                    <xdr:col>22</xdr:col>
                    <xdr:colOff>182880</xdr:colOff>
                    <xdr:row>1959</xdr:row>
                    <xdr:rowOff>182880</xdr:rowOff>
                  </to>
                </anchor>
              </controlPr>
            </control>
          </mc:Choice>
        </mc:AlternateContent>
        <mc:AlternateContent xmlns:mc="http://schemas.openxmlformats.org/markup-compatibility/2006">
          <mc:Choice Requires="x14">
            <control shapeId="16135" r:id="rId361" name="Check Box 775">
              <controlPr locked="0" defaultSize="0" autoFill="0" autoLine="0" autoPict="0">
                <anchor moveWithCells="1" sizeWithCells="1">
                  <from>
                    <xdr:col>22</xdr:col>
                    <xdr:colOff>0</xdr:colOff>
                    <xdr:row>1960</xdr:row>
                    <xdr:rowOff>0</xdr:rowOff>
                  </from>
                  <to>
                    <xdr:col>22</xdr:col>
                    <xdr:colOff>182880</xdr:colOff>
                    <xdr:row>1960</xdr:row>
                    <xdr:rowOff>182880</xdr:rowOff>
                  </to>
                </anchor>
              </controlPr>
            </control>
          </mc:Choice>
        </mc:AlternateContent>
        <mc:AlternateContent xmlns:mc="http://schemas.openxmlformats.org/markup-compatibility/2006">
          <mc:Choice Requires="x14">
            <control shapeId="16136" r:id="rId362" name="Check Box 776">
              <controlPr locked="0" defaultSize="0" autoFill="0" autoLine="0" autoPict="0">
                <anchor moveWithCells="1" sizeWithCells="1">
                  <from>
                    <xdr:col>22</xdr:col>
                    <xdr:colOff>0</xdr:colOff>
                    <xdr:row>1962</xdr:row>
                    <xdr:rowOff>0</xdr:rowOff>
                  </from>
                  <to>
                    <xdr:col>22</xdr:col>
                    <xdr:colOff>182880</xdr:colOff>
                    <xdr:row>1962</xdr:row>
                    <xdr:rowOff>182880</xdr:rowOff>
                  </to>
                </anchor>
              </controlPr>
            </control>
          </mc:Choice>
        </mc:AlternateContent>
        <mc:AlternateContent xmlns:mc="http://schemas.openxmlformats.org/markup-compatibility/2006">
          <mc:Choice Requires="x14">
            <control shapeId="16137" r:id="rId363" name="Check Box 777">
              <controlPr locked="0" defaultSize="0" autoFill="0" autoLine="0" autoPict="0">
                <anchor moveWithCells="1" sizeWithCells="1">
                  <from>
                    <xdr:col>22</xdr:col>
                    <xdr:colOff>0</xdr:colOff>
                    <xdr:row>1963</xdr:row>
                    <xdr:rowOff>0</xdr:rowOff>
                  </from>
                  <to>
                    <xdr:col>22</xdr:col>
                    <xdr:colOff>182880</xdr:colOff>
                    <xdr:row>1963</xdr:row>
                    <xdr:rowOff>182880</xdr:rowOff>
                  </to>
                </anchor>
              </controlPr>
            </control>
          </mc:Choice>
        </mc:AlternateContent>
        <mc:AlternateContent xmlns:mc="http://schemas.openxmlformats.org/markup-compatibility/2006">
          <mc:Choice Requires="x14">
            <control shapeId="16138" r:id="rId364" name="Check Box 778">
              <controlPr locked="0" defaultSize="0" autoFill="0" autoLine="0" autoPict="0">
                <anchor moveWithCells="1" sizeWithCells="1">
                  <from>
                    <xdr:col>22</xdr:col>
                    <xdr:colOff>0</xdr:colOff>
                    <xdr:row>1964</xdr:row>
                    <xdr:rowOff>0</xdr:rowOff>
                  </from>
                  <to>
                    <xdr:col>22</xdr:col>
                    <xdr:colOff>182880</xdr:colOff>
                    <xdr:row>1964</xdr:row>
                    <xdr:rowOff>182880</xdr:rowOff>
                  </to>
                </anchor>
              </controlPr>
            </control>
          </mc:Choice>
        </mc:AlternateContent>
        <mc:AlternateContent xmlns:mc="http://schemas.openxmlformats.org/markup-compatibility/2006">
          <mc:Choice Requires="x14">
            <control shapeId="16139" r:id="rId365" name="Check Box 779">
              <controlPr locked="0" defaultSize="0" autoFill="0" autoLine="0" autoPict="0">
                <anchor moveWithCells="1" sizeWithCells="1">
                  <from>
                    <xdr:col>22</xdr:col>
                    <xdr:colOff>0</xdr:colOff>
                    <xdr:row>1965</xdr:row>
                    <xdr:rowOff>0</xdr:rowOff>
                  </from>
                  <to>
                    <xdr:col>22</xdr:col>
                    <xdr:colOff>182880</xdr:colOff>
                    <xdr:row>1965</xdr:row>
                    <xdr:rowOff>182880</xdr:rowOff>
                  </to>
                </anchor>
              </controlPr>
            </control>
          </mc:Choice>
        </mc:AlternateContent>
        <mc:AlternateContent xmlns:mc="http://schemas.openxmlformats.org/markup-compatibility/2006">
          <mc:Choice Requires="x14">
            <control shapeId="16140" r:id="rId366" name="Check Box 780">
              <controlPr locked="0" defaultSize="0" autoFill="0" autoLine="0" autoPict="0">
                <anchor moveWithCells="1" sizeWithCells="1">
                  <from>
                    <xdr:col>22</xdr:col>
                    <xdr:colOff>0</xdr:colOff>
                    <xdr:row>1966</xdr:row>
                    <xdr:rowOff>0</xdr:rowOff>
                  </from>
                  <to>
                    <xdr:col>22</xdr:col>
                    <xdr:colOff>182880</xdr:colOff>
                    <xdr:row>1966</xdr:row>
                    <xdr:rowOff>182880</xdr:rowOff>
                  </to>
                </anchor>
              </controlPr>
            </control>
          </mc:Choice>
        </mc:AlternateContent>
        <mc:AlternateContent xmlns:mc="http://schemas.openxmlformats.org/markup-compatibility/2006">
          <mc:Choice Requires="x14">
            <control shapeId="16141" r:id="rId367" name="Check Box 781">
              <controlPr locked="0" defaultSize="0" autoFill="0" autoLine="0" autoPict="0">
                <anchor moveWithCells="1" sizeWithCells="1">
                  <from>
                    <xdr:col>22</xdr:col>
                    <xdr:colOff>0</xdr:colOff>
                    <xdr:row>1983</xdr:row>
                    <xdr:rowOff>0</xdr:rowOff>
                  </from>
                  <to>
                    <xdr:col>22</xdr:col>
                    <xdr:colOff>182880</xdr:colOff>
                    <xdr:row>1983</xdr:row>
                    <xdr:rowOff>182880</xdr:rowOff>
                  </to>
                </anchor>
              </controlPr>
            </control>
          </mc:Choice>
        </mc:AlternateContent>
        <mc:AlternateContent xmlns:mc="http://schemas.openxmlformats.org/markup-compatibility/2006">
          <mc:Choice Requires="x14">
            <control shapeId="16142" r:id="rId368" name="Check Box 782">
              <controlPr locked="0" defaultSize="0" autoFill="0" autoLine="0" autoPict="0">
                <anchor moveWithCells="1" sizeWithCells="1">
                  <from>
                    <xdr:col>22</xdr:col>
                    <xdr:colOff>0</xdr:colOff>
                    <xdr:row>1985</xdr:row>
                    <xdr:rowOff>0</xdr:rowOff>
                  </from>
                  <to>
                    <xdr:col>22</xdr:col>
                    <xdr:colOff>182880</xdr:colOff>
                    <xdr:row>1985</xdr:row>
                    <xdr:rowOff>182880</xdr:rowOff>
                  </to>
                </anchor>
              </controlPr>
            </control>
          </mc:Choice>
        </mc:AlternateContent>
        <mc:AlternateContent xmlns:mc="http://schemas.openxmlformats.org/markup-compatibility/2006">
          <mc:Choice Requires="x14">
            <control shapeId="16143" r:id="rId369" name="Check Box 783">
              <controlPr locked="0" defaultSize="0" autoFill="0" autoLine="0" autoPict="0">
                <anchor moveWithCells="1" sizeWithCells="1">
                  <from>
                    <xdr:col>22</xdr:col>
                    <xdr:colOff>0</xdr:colOff>
                    <xdr:row>1988</xdr:row>
                    <xdr:rowOff>0</xdr:rowOff>
                  </from>
                  <to>
                    <xdr:col>22</xdr:col>
                    <xdr:colOff>182880</xdr:colOff>
                    <xdr:row>1988</xdr:row>
                    <xdr:rowOff>182880</xdr:rowOff>
                  </to>
                </anchor>
              </controlPr>
            </control>
          </mc:Choice>
        </mc:AlternateContent>
        <mc:AlternateContent xmlns:mc="http://schemas.openxmlformats.org/markup-compatibility/2006">
          <mc:Choice Requires="x14">
            <control shapeId="16144" r:id="rId370" name="Check Box 784">
              <controlPr locked="0" defaultSize="0" autoFill="0" autoLine="0" autoPict="0">
                <anchor moveWithCells="1" sizeWithCells="1">
                  <from>
                    <xdr:col>22</xdr:col>
                    <xdr:colOff>0</xdr:colOff>
                    <xdr:row>2001</xdr:row>
                    <xdr:rowOff>0</xdr:rowOff>
                  </from>
                  <to>
                    <xdr:col>22</xdr:col>
                    <xdr:colOff>182880</xdr:colOff>
                    <xdr:row>2001</xdr:row>
                    <xdr:rowOff>182880</xdr:rowOff>
                  </to>
                </anchor>
              </controlPr>
            </control>
          </mc:Choice>
        </mc:AlternateContent>
        <mc:AlternateContent xmlns:mc="http://schemas.openxmlformats.org/markup-compatibility/2006">
          <mc:Choice Requires="x14">
            <control shapeId="16145" r:id="rId371" name="Check Box 785">
              <controlPr locked="0" defaultSize="0" autoFill="0" autoLine="0" autoPict="0">
                <anchor moveWithCells="1" sizeWithCells="1">
                  <from>
                    <xdr:col>22</xdr:col>
                    <xdr:colOff>0</xdr:colOff>
                    <xdr:row>2003</xdr:row>
                    <xdr:rowOff>0</xdr:rowOff>
                  </from>
                  <to>
                    <xdr:col>22</xdr:col>
                    <xdr:colOff>182880</xdr:colOff>
                    <xdr:row>2003</xdr:row>
                    <xdr:rowOff>182880</xdr:rowOff>
                  </to>
                </anchor>
              </controlPr>
            </control>
          </mc:Choice>
        </mc:AlternateContent>
        <mc:AlternateContent xmlns:mc="http://schemas.openxmlformats.org/markup-compatibility/2006">
          <mc:Choice Requires="x14">
            <control shapeId="16148" r:id="rId372" name="Check Box 788">
              <controlPr locked="0" defaultSize="0" autoFill="0" autoLine="0" autoPict="0">
                <anchor moveWithCells="1" sizeWithCells="1">
                  <from>
                    <xdr:col>22</xdr:col>
                    <xdr:colOff>0</xdr:colOff>
                    <xdr:row>1600</xdr:row>
                    <xdr:rowOff>0</xdr:rowOff>
                  </from>
                  <to>
                    <xdr:col>22</xdr:col>
                    <xdr:colOff>182880</xdr:colOff>
                    <xdr:row>1600</xdr:row>
                    <xdr:rowOff>182880</xdr:rowOff>
                  </to>
                </anchor>
              </controlPr>
            </control>
          </mc:Choice>
        </mc:AlternateContent>
        <mc:AlternateContent xmlns:mc="http://schemas.openxmlformats.org/markup-compatibility/2006">
          <mc:Choice Requires="x14">
            <control shapeId="16150" r:id="rId373" name="Check Box 790">
              <controlPr locked="0" defaultSize="0" autoFill="0" autoLine="0" autoPict="0">
                <anchor moveWithCells="1" sizeWithCells="1">
                  <from>
                    <xdr:col>22</xdr:col>
                    <xdr:colOff>0</xdr:colOff>
                    <xdr:row>1306</xdr:row>
                    <xdr:rowOff>0</xdr:rowOff>
                  </from>
                  <to>
                    <xdr:col>22</xdr:col>
                    <xdr:colOff>182880</xdr:colOff>
                    <xdr:row>1306</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312" id="{BB2F8BB8-2FEF-47B1-8DD9-E71EF9527CE9}">
            <xm:f>'Ch5'!W14=TRUE</xm:f>
            <x14:dxf>
              <fill>
                <patternFill>
                  <bgColor rgb="FF92D050"/>
                </patternFill>
              </fill>
            </x14:dxf>
          </x14:cfRule>
          <xm:sqref>L13:L17 L20:L29 L35 L44 L55:L65 L68:L70 L76:L78 L82 L86:L91 L99:L105 L128:L133 L139:L155 L158:L162 L165:L168 L177 L184:L188 L192:L206 L208:L213 L215 L222 L224 L237 L240 L244:L245 L254:L255 L257</xm:sqref>
        </x14:conditionalFormatting>
        <x14:conditionalFormatting xmlns:xm="http://schemas.microsoft.com/office/excel/2006/main">
          <x14:cfRule type="expression" priority="2311" id="{6EC2BB1B-771D-4C25-A41F-A1DCFAF4F4FC}">
            <xm:f>'Ch6'!W29=TRUE</xm:f>
            <x14:dxf>
              <fill>
                <patternFill>
                  <bgColor rgb="FF92D050"/>
                </patternFill>
              </fill>
            </x14:dxf>
          </x14:cfRule>
          <xm:sqref>L283:L289 L293:L300 L304:L308 L332 L340 L351:L355 L358:L359 L361 L363 L369 L375 L381:L385 L389:L399 L402 L407:L414 L423 L433:L440 L447:L449 L465 L476:L477 L482:L490 L492:L499 L516 L532 L545 L547 L560:L568 L615:L619 L646 L655 L662 L718:L725 L728:L750</xm:sqref>
        </x14:conditionalFormatting>
        <x14:conditionalFormatting xmlns:xm="http://schemas.microsoft.com/office/excel/2006/main">
          <x14:cfRule type="expression" priority="68" id="{93677D41-7F00-4C78-8834-BCF35814BA27}">
            <xm:f>OR('Ch7'!W32=TRUE,AND(NOT('Ch7'!W32=FALSE),LEN('Ch7'!W32)&gt;0))</xm:f>
            <x14:dxf>
              <fill>
                <patternFill>
                  <bgColor rgb="FF92D050"/>
                </patternFill>
              </fill>
            </x14:dxf>
          </x14:cfRule>
          <xm:sqref>L795 L800 L809 L812:L813 L851 L854 L881 L895:L898 L903 L920 L933 L936 L939 L948 L955 L1000 L1040 L1043 L1053 L1060 L1066 L1068 L1071:L1074 L1104 L1106 L1108 L1120:L1125 L1127:L1129 L1132 L1160 L1168:L1175 L1177:L1179 L1183:L1190 L1230 L1247 L1250 L1255:L1256 L1260 L1265 L1288 L1291 L1305 L1317:L1324 L1328:L1333 L1336 L1354:L1361 L1364:L1369 L1379 L1383:L1384 L1387:L1392</xm:sqref>
        </x14:conditionalFormatting>
        <x14:conditionalFormatting xmlns:xm="http://schemas.microsoft.com/office/excel/2006/main">
          <x14:cfRule type="expression" priority="67" id="{DB8F6CD5-D3B2-415E-90F5-11CFDD9E26A8}">
            <xm:f>'Ch8'!W41=TRUE</xm:f>
            <x14:dxf>
              <fill>
                <patternFill>
                  <bgColor rgb="FF92D050"/>
                </patternFill>
              </fill>
            </x14:dxf>
          </x14:cfRule>
          <xm:sqref>L1427 L1432 L1463 L1477 L1484 L1486 L1488 L1492:L1495 L1502:L1506 L1509 L1529:L1531 L1539 L1546:L1551 L1553</xm:sqref>
        </x14:conditionalFormatting>
        <x14:conditionalFormatting xmlns:xm="http://schemas.microsoft.com/office/excel/2006/main">
          <x14:cfRule type="expression" priority="66" id="{557CD0EB-83E3-480F-A4FC-A366FC522D01}">
            <xm:f>'Ch9'!W12=TRUE</xm:f>
            <x14:dxf>
              <fill>
                <patternFill>
                  <bgColor rgb="FF92D050"/>
                </patternFill>
              </fill>
            </x14:dxf>
          </x14:cfRule>
          <xm:sqref>L1559 L1565 L1580 L1601 L1608 L1614 L1637 L1639 L1665 L1676:L1679 L1681 L1686 L1695 L1700:L1701 L1705 L1714:L1715 L1718:L1721 L1726:L1729 L1732 L1739 L1750:L1756 L1767:L1774 L1781 L1784:L1792 L1805:L1807 L1811 L1816 L1820:L1826</xm:sqref>
        </x14:conditionalFormatting>
        <x14:conditionalFormatting xmlns:xm="http://schemas.microsoft.com/office/excel/2006/main">
          <x14:cfRule type="expression" priority="65" id="{439536BB-F1EC-48F6-A150-4394A0B41C59}">
            <xm:f>'Ch10'!W15=TRUE</xm:f>
            <x14:dxf>
              <fill>
                <patternFill>
                  <bgColor rgb="FF92D050"/>
                </patternFill>
              </fill>
            </x14:dxf>
          </x14:cfRule>
          <xm:sqref>L1856:L1877 L1899:L1913 L1918:L1940 L1945:L1951 L1958:L1966 L1984:L1991 L1833:L1851 L2002 L2004</xm:sqref>
        </x14:conditionalFormatting>
        <x14:conditionalFormatting xmlns:xm="http://schemas.microsoft.com/office/excel/2006/main">
          <x14:cfRule type="expression" priority="48" id="{9964C645-554E-4CBB-8F6C-1C1B51E706B0}">
            <xm:f>LEN('Ch6'!W63)&gt;0</xm:f>
            <x14:dxf>
              <fill>
                <patternFill>
                  <bgColor rgb="FF92D050"/>
                </patternFill>
              </fill>
            </x14:dxf>
          </x14:cfRule>
          <xm:sqref>L317:L319 L323 L325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7D000000}">
          <x14:formula1>
            <xm:f>Points!$C$14:$F$14</xm:f>
          </x14:formula1>
          <xm:sqref>L1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9" filterMode="1"/>
  <dimension ref="A1:J2007"/>
  <sheetViews>
    <sheetView showGridLines="0" zoomScaleNormal="100" workbookViewId="0">
      <pane ySplit="7" topLeftCell="A8" activePane="bottomLeft" state="frozen"/>
      <selection pane="bottomLeft" activeCell="A13" sqref="A13"/>
    </sheetView>
  </sheetViews>
  <sheetFormatPr defaultRowHeight="14.4" x14ac:dyDescent="0.3"/>
  <cols>
    <col min="1" max="1" width="10.44140625" customWidth="1"/>
    <col min="2" max="3" width="3.88671875" customWidth="1"/>
    <col min="4" max="4" width="71.6640625" customWidth="1"/>
    <col min="6" max="6" width="21.109375" style="1110" customWidth="1"/>
    <col min="7" max="7" width="9.109375" style="1110" hidden="1" customWidth="1"/>
    <col min="8" max="8" width="9.109375" hidden="1" customWidth="1"/>
    <col min="9" max="9" width="0" hidden="1" customWidth="1"/>
  </cols>
  <sheetData>
    <row r="1" spans="1:10" s="1110" customFormat="1" x14ac:dyDescent="0.3">
      <c r="D1" s="1594" t="s">
        <v>4757</v>
      </c>
    </row>
    <row r="2" spans="1:10" s="1110" customFormat="1" ht="15" customHeight="1" x14ac:dyDescent="0.3">
      <c r="D2" s="1595"/>
    </row>
    <row r="3" spans="1:10" s="1110" customFormat="1" ht="15" customHeight="1" x14ac:dyDescent="0.3">
      <c r="D3" s="1595"/>
    </row>
    <row r="4" spans="1:10" s="1110" customFormat="1" x14ac:dyDescent="0.3">
      <c r="D4" s="1596" t="s">
        <v>4756</v>
      </c>
    </row>
    <row r="5" spans="1:10" x14ac:dyDescent="0.3">
      <c r="D5" s="1596"/>
    </row>
    <row r="6" spans="1:10" ht="15" customHeight="1" x14ac:dyDescent="0.3">
      <c r="A6" s="1340" t="s">
        <v>261</v>
      </c>
      <c r="B6" s="1340"/>
      <c r="C6" s="1341"/>
      <c r="D6" s="1321" t="s">
        <v>330</v>
      </c>
      <c r="E6" s="1573" t="s">
        <v>340</v>
      </c>
      <c r="F6" s="1321" t="s">
        <v>265</v>
      </c>
    </row>
    <row r="7" spans="1:10" x14ac:dyDescent="0.3">
      <c r="A7" s="1340"/>
      <c r="B7" s="1340"/>
      <c r="C7" s="1341"/>
      <c r="D7" s="1322"/>
      <c r="E7" s="1573"/>
      <c r="F7" s="1322"/>
      <c r="G7" s="1110" t="s">
        <v>4725</v>
      </c>
    </row>
    <row r="8" spans="1:10" ht="18" hidden="1" x14ac:dyDescent="0.35">
      <c r="A8" s="22" t="s">
        <v>808</v>
      </c>
      <c r="B8" s="22"/>
      <c r="C8" s="22"/>
      <c r="D8" s="23"/>
      <c r="E8" s="24"/>
      <c r="F8" s="23"/>
      <c r="H8" t="s">
        <v>4728</v>
      </c>
    </row>
    <row r="9" spans="1:10" ht="15" hidden="1" customHeight="1" x14ac:dyDescent="0.3">
      <c r="A9" s="90" t="s">
        <v>267</v>
      </c>
      <c r="B9" s="90"/>
      <c r="C9" s="90"/>
      <c r="D9" s="1292" t="s">
        <v>268</v>
      </c>
      <c r="E9" s="1157"/>
      <c r="H9" t="s">
        <v>110</v>
      </c>
    </row>
    <row r="10" spans="1:10" hidden="1" x14ac:dyDescent="0.3">
      <c r="A10" s="90"/>
      <c r="B10" s="90"/>
      <c r="C10" s="90"/>
      <c r="D10" s="1292"/>
      <c r="E10" s="1157"/>
      <c r="H10" t="s">
        <v>4729</v>
      </c>
    </row>
    <row r="11" spans="1:10" hidden="1" x14ac:dyDescent="0.3">
      <c r="A11" s="90"/>
      <c r="B11" s="90"/>
      <c r="C11" s="90"/>
      <c r="D11" s="1292"/>
      <c r="E11" s="1157"/>
      <c r="F11"/>
      <c r="H11" t="s">
        <v>3244</v>
      </c>
    </row>
    <row r="12" spans="1:10" ht="18" hidden="1" x14ac:dyDescent="0.3">
      <c r="A12" s="91" t="s">
        <v>807</v>
      </c>
      <c r="B12" s="91"/>
      <c r="C12" s="91"/>
      <c r="D12" s="85"/>
      <c r="E12" s="71"/>
      <c r="F12"/>
    </row>
    <row r="13" spans="1:10" ht="15" customHeight="1" x14ac:dyDescent="0.3">
      <c r="A13" s="94" t="s">
        <v>269</v>
      </c>
      <c r="B13" s="94"/>
      <c r="C13" s="94"/>
      <c r="D13" s="1342" t="s">
        <v>270</v>
      </c>
      <c r="E13" s="1563">
        <f>'Verification Report'!O13</f>
        <v>0</v>
      </c>
      <c r="F13"/>
      <c r="G13" s="1110">
        <v>1</v>
      </c>
    </row>
    <row r="14" spans="1:10" x14ac:dyDescent="0.3">
      <c r="A14" s="94"/>
      <c r="B14" s="94"/>
      <c r="C14" s="94"/>
      <c r="D14" s="1342"/>
      <c r="E14" s="1563"/>
      <c r="F14"/>
      <c r="G14" s="1110">
        <v>1</v>
      </c>
    </row>
    <row r="15" spans="1:10" x14ac:dyDescent="0.3">
      <c r="A15" s="94"/>
      <c r="B15" s="192" t="s">
        <v>271</v>
      </c>
      <c r="C15" s="192"/>
      <c r="D15" s="193" t="s">
        <v>272</v>
      </c>
      <c r="E15" s="1162"/>
      <c r="F15" s="1176" t="str">
        <f>IF('Verification Report'!W15="","",'Verification Report'!W15)</f>
        <v/>
      </c>
      <c r="G15" s="1110">
        <v>1</v>
      </c>
      <c r="H15" s="1178"/>
      <c r="I15" s="1180" t="s">
        <v>4731</v>
      </c>
      <c r="J15" s="1180"/>
    </row>
    <row r="16" spans="1:10" ht="15" hidden="1" customHeight="1" x14ac:dyDescent="0.3">
      <c r="A16" s="94"/>
      <c r="B16" s="192" t="s">
        <v>273</v>
      </c>
      <c r="C16" s="192"/>
      <c r="D16" s="193" t="s">
        <v>274</v>
      </c>
      <c r="E16" s="1162"/>
      <c r="F16"/>
      <c r="I16" s="1180"/>
      <c r="J16" s="1180"/>
    </row>
    <row r="17" spans="1:10" ht="15.75" hidden="1" customHeight="1" thickBot="1" x14ac:dyDescent="0.35">
      <c r="A17" s="99"/>
      <c r="B17" s="99" t="s">
        <v>275</v>
      </c>
      <c r="C17" s="99"/>
      <c r="D17" s="100" t="s">
        <v>276</v>
      </c>
      <c r="E17" s="103"/>
      <c r="F17"/>
      <c r="I17" s="1180"/>
      <c r="J17" s="1180"/>
    </row>
    <row r="18" spans="1:10" ht="15.75" customHeight="1" x14ac:dyDescent="0.3">
      <c r="A18" s="90" t="s">
        <v>280</v>
      </c>
      <c r="B18" s="90"/>
      <c r="C18" s="90"/>
      <c r="D18" s="1292" t="s">
        <v>281</v>
      </c>
      <c r="E18" s="1578"/>
      <c r="F18"/>
      <c r="G18" s="1110">
        <v>1</v>
      </c>
      <c r="I18" s="1180"/>
      <c r="J18" s="1180"/>
    </row>
    <row r="19" spans="1:10" x14ac:dyDescent="0.3">
      <c r="A19" s="90"/>
      <c r="B19" s="90"/>
      <c r="C19" s="90"/>
      <c r="D19" s="1292"/>
      <c r="E19" s="1578"/>
      <c r="F19"/>
      <c r="G19" s="1110">
        <v>1</v>
      </c>
      <c r="I19" s="1180"/>
      <c r="J19" s="1180"/>
    </row>
    <row r="20" spans="1:10" ht="15" hidden="1" customHeight="1" x14ac:dyDescent="0.3">
      <c r="A20" s="90"/>
      <c r="B20" s="94" t="s">
        <v>271</v>
      </c>
      <c r="C20" s="94"/>
      <c r="D20" s="1293" t="s">
        <v>282</v>
      </c>
      <c r="E20" s="1563">
        <f>'Verification Report'!O20</f>
        <v>0</v>
      </c>
      <c r="F20"/>
      <c r="I20" s="1180"/>
      <c r="J20" s="1180"/>
    </row>
    <row r="21" spans="1:10" ht="15" hidden="1" customHeight="1" x14ac:dyDescent="0.3">
      <c r="A21" s="90"/>
      <c r="B21" s="192"/>
      <c r="C21" s="192"/>
      <c r="D21" s="1294"/>
      <c r="E21" s="1564"/>
      <c r="F21"/>
      <c r="I21" s="1180"/>
      <c r="J21" s="1180"/>
    </row>
    <row r="22" spans="1:10" ht="15" hidden="1" customHeight="1" x14ac:dyDescent="0.3">
      <c r="A22" s="90"/>
      <c r="B22" s="94" t="s">
        <v>273</v>
      </c>
      <c r="C22" s="94"/>
      <c r="D22" s="1305" t="s">
        <v>283</v>
      </c>
      <c r="E22" s="1563">
        <f>'Verification Report'!O22</f>
        <v>0</v>
      </c>
      <c r="F22"/>
      <c r="I22" s="1180"/>
      <c r="J22" s="1180"/>
    </row>
    <row r="23" spans="1:10" ht="15" hidden="1" customHeight="1" x14ac:dyDescent="0.3">
      <c r="A23" s="90"/>
      <c r="B23" s="192"/>
      <c r="C23" s="192"/>
      <c r="D23" s="1306"/>
      <c r="E23" s="1564"/>
      <c r="F23"/>
      <c r="I23" s="1180"/>
      <c r="J23" s="1180"/>
    </row>
    <row r="24" spans="1:10" ht="15" customHeight="1" x14ac:dyDescent="0.3">
      <c r="A24" s="90"/>
      <c r="B24" s="94" t="s">
        <v>275</v>
      </c>
      <c r="C24" s="94"/>
      <c r="D24" s="1293" t="s">
        <v>284</v>
      </c>
      <c r="E24" s="1563">
        <f>'Verification Report'!O24</f>
        <v>0</v>
      </c>
      <c r="F24"/>
      <c r="G24" s="1110">
        <v>1</v>
      </c>
      <c r="H24" s="1178"/>
      <c r="I24" s="1180" t="s">
        <v>4732</v>
      </c>
      <c r="J24" s="1180"/>
    </row>
    <row r="25" spans="1:10" ht="15" thickBot="1" x14ac:dyDescent="0.35">
      <c r="A25" s="90"/>
      <c r="B25" s="192"/>
      <c r="C25" s="192"/>
      <c r="D25" s="1294"/>
      <c r="E25" s="1564"/>
      <c r="F25" s="97"/>
      <c r="G25" s="1110">
        <v>1</v>
      </c>
      <c r="I25" s="1180"/>
      <c r="J25" s="1180"/>
    </row>
    <row r="26" spans="1:10" ht="15" hidden="1" customHeight="1" x14ac:dyDescent="0.3">
      <c r="A26" s="90"/>
      <c r="B26" s="94" t="s">
        <v>285</v>
      </c>
      <c r="C26" s="94"/>
      <c r="D26" s="1305" t="s">
        <v>286</v>
      </c>
      <c r="E26" s="1563">
        <f>'Verification Report'!O26</f>
        <v>0</v>
      </c>
      <c r="F26"/>
      <c r="I26" s="1180"/>
      <c r="J26" s="1180"/>
    </row>
    <row r="27" spans="1:10" ht="15.75" hidden="1" customHeight="1" x14ac:dyDescent="0.3">
      <c r="A27" s="90"/>
      <c r="B27" s="94"/>
      <c r="C27" s="94"/>
      <c r="D27" s="1305"/>
      <c r="E27" s="1563">
        <f>'Verification Report'!O27</f>
        <v>0</v>
      </c>
      <c r="F27"/>
      <c r="I27" s="1180"/>
      <c r="J27" s="1180"/>
    </row>
    <row r="28" spans="1:10" ht="15.75" hidden="1" customHeight="1" x14ac:dyDescent="0.3">
      <c r="A28" s="90"/>
      <c r="B28" s="94"/>
      <c r="C28" s="94"/>
      <c r="D28" s="1305"/>
      <c r="E28" s="1563">
        <f>'Verification Report'!O28</f>
        <v>0</v>
      </c>
      <c r="F28"/>
      <c r="I28" s="1180"/>
      <c r="J28" s="1180"/>
    </row>
    <row r="29" spans="1:10" ht="15.75" hidden="1" customHeight="1" x14ac:dyDescent="0.3">
      <c r="A29" s="90"/>
      <c r="B29" s="94"/>
      <c r="C29" s="94"/>
      <c r="D29" s="1305"/>
      <c r="E29" s="1563">
        <f>'Verification Report'!O29</f>
        <v>0</v>
      </c>
      <c r="F29"/>
      <c r="I29" s="1180"/>
      <c r="J29" s="1180"/>
    </row>
    <row r="30" spans="1:10" ht="15.75" hidden="1" customHeight="1" x14ac:dyDescent="0.3">
      <c r="A30" s="90"/>
      <c r="B30" s="94"/>
      <c r="C30" s="94"/>
      <c r="D30" s="98" t="s">
        <v>287</v>
      </c>
      <c r="E30" s="1563">
        <f>'Verification Report'!O30</f>
        <v>0</v>
      </c>
      <c r="F30"/>
      <c r="I30" s="1180"/>
      <c r="J30" s="1180"/>
    </row>
    <row r="31" spans="1:10" ht="15.75" hidden="1" customHeight="1" x14ac:dyDescent="0.3">
      <c r="A31" s="90"/>
      <c r="B31" s="94"/>
      <c r="C31" s="94"/>
      <c r="D31" s="98" t="s">
        <v>288</v>
      </c>
      <c r="E31" s="1563">
        <f>'Verification Report'!O31</f>
        <v>0</v>
      </c>
      <c r="F31"/>
      <c r="I31" s="1180"/>
      <c r="J31" s="1180"/>
    </row>
    <row r="32" spans="1:10" ht="15.75" hidden="1" customHeight="1" x14ac:dyDescent="0.3">
      <c r="A32" s="90"/>
      <c r="B32" s="94"/>
      <c r="C32" s="94"/>
      <c r="D32" s="98" t="s">
        <v>289</v>
      </c>
      <c r="E32" s="1563">
        <f>'Verification Report'!O32</f>
        <v>0</v>
      </c>
      <c r="F32"/>
      <c r="I32" s="1180"/>
      <c r="J32" s="1180"/>
    </row>
    <row r="33" spans="1:10" ht="15.75" hidden="1" customHeight="1" x14ac:dyDescent="0.3">
      <c r="A33" s="90"/>
      <c r="B33" s="94"/>
      <c r="C33" s="94"/>
      <c r="D33" s="98" t="s">
        <v>290</v>
      </c>
      <c r="E33" s="1563">
        <f>'Verification Report'!O33</f>
        <v>0</v>
      </c>
      <c r="F33"/>
      <c r="I33" s="1180"/>
      <c r="J33" s="1180"/>
    </row>
    <row r="34" spans="1:10" ht="15.75" hidden="1" customHeight="1" x14ac:dyDescent="0.3">
      <c r="A34" s="90"/>
      <c r="B34" s="192"/>
      <c r="C34" s="192"/>
      <c r="D34" s="1137" t="s">
        <v>304</v>
      </c>
      <c r="E34" s="1564">
        <f>'Verification Report'!O34</f>
        <v>0</v>
      </c>
      <c r="F34"/>
      <c r="I34" s="1180"/>
      <c r="J34" s="1180"/>
    </row>
    <row r="35" spans="1:10" ht="15" hidden="1" customHeight="1" x14ac:dyDescent="0.3">
      <c r="A35" s="90"/>
      <c r="B35" s="94" t="s">
        <v>291</v>
      </c>
      <c r="C35" s="94"/>
      <c r="D35" s="1305" t="s">
        <v>292</v>
      </c>
      <c r="E35" s="1563">
        <f>'Verification Report'!O35</f>
        <v>0</v>
      </c>
      <c r="F35"/>
      <c r="I35" s="1180"/>
      <c r="J35" s="1180"/>
    </row>
    <row r="36" spans="1:10" ht="15.75" hidden="1" customHeight="1" x14ac:dyDescent="0.3">
      <c r="A36" s="90"/>
      <c r="B36" s="94"/>
      <c r="C36" s="94"/>
      <c r="D36" s="1305"/>
      <c r="E36" s="1563">
        <f>'Verification Report'!O36</f>
        <v>0</v>
      </c>
      <c r="F36"/>
      <c r="I36" s="1180"/>
      <c r="J36" s="1180"/>
    </row>
    <row r="37" spans="1:10" ht="15.75" hidden="1" customHeight="1" x14ac:dyDescent="0.3">
      <c r="A37" s="90"/>
      <c r="B37" s="192"/>
      <c r="C37" s="192"/>
      <c r="D37" s="1306"/>
      <c r="E37" s="1564">
        <f>'Verification Report'!O37</f>
        <v>0</v>
      </c>
      <c r="F37"/>
      <c r="I37" s="1180"/>
      <c r="J37" s="1180"/>
    </row>
    <row r="38" spans="1:10" ht="15" hidden="1" customHeight="1" x14ac:dyDescent="0.3">
      <c r="A38" s="90"/>
      <c r="B38" s="90" t="s">
        <v>293</v>
      </c>
      <c r="C38" s="90"/>
      <c r="D38" s="1329" t="s">
        <v>294</v>
      </c>
      <c r="E38" s="1566">
        <f ca="1">'Verification Report'!O38</f>
        <v>0</v>
      </c>
      <c r="F38"/>
      <c r="I38" s="1180"/>
      <c r="J38" s="1180"/>
    </row>
    <row r="39" spans="1:10" ht="15.75" hidden="1" customHeight="1" x14ac:dyDescent="0.3">
      <c r="A39" s="90"/>
      <c r="B39" s="90"/>
      <c r="C39" s="90"/>
      <c r="D39" s="1329"/>
      <c r="E39" s="1566"/>
      <c r="F39"/>
      <c r="I39" s="1180"/>
      <c r="J39" s="1180"/>
    </row>
    <row r="40" spans="1:10" ht="15.75" hidden="1" customHeight="1" x14ac:dyDescent="0.3">
      <c r="A40" s="90"/>
      <c r="B40" s="90"/>
      <c r="C40" s="90" t="s">
        <v>121</v>
      </c>
      <c r="D40" s="86" t="s">
        <v>295</v>
      </c>
      <c r="E40" s="1157"/>
      <c r="F40"/>
      <c r="I40" s="1180"/>
      <c r="J40" s="1180"/>
    </row>
    <row r="41" spans="1:10" ht="15.75" hidden="1" customHeight="1" x14ac:dyDescent="0.3">
      <c r="A41" s="90"/>
      <c r="B41" s="90"/>
      <c r="C41" s="90" t="s">
        <v>122</v>
      </c>
      <c r="D41" s="86" t="s">
        <v>296</v>
      </c>
      <c r="E41" s="1157"/>
      <c r="F41"/>
      <c r="I41" s="1180"/>
      <c r="J41" s="1180"/>
    </row>
    <row r="42" spans="1:10" ht="15.75" hidden="1" customHeight="1" x14ac:dyDescent="0.3">
      <c r="A42" s="90"/>
      <c r="B42" s="90"/>
      <c r="C42" s="92" t="s">
        <v>123</v>
      </c>
      <c r="D42" s="86" t="s">
        <v>297</v>
      </c>
      <c r="E42" s="1157"/>
      <c r="F42"/>
      <c r="I42" s="1180"/>
      <c r="J42" s="1180"/>
    </row>
    <row r="43" spans="1:10" ht="18.600000000000001" hidden="1" thickBot="1" x14ac:dyDescent="0.35">
      <c r="A43" s="72" t="s">
        <v>389</v>
      </c>
      <c r="B43" s="72"/>
      <c r="C43" s="72"/>
      <c r="D43" s="72"/>
      <c r="E43" s="71"/>
      <c r="F43"/>
      <c r="I43" s="1180"/>
      <c r="J43" s="1180"/>
    </row>
    <row r="44" spans="1:10" ht="15" hidden="1" customHeight="1" x14ac:dyDescent="0.3">
      <c r="A44" s="152">
        <v>502.1</v>
      </c>
      <c r="B44" s="93"/>
      <c r="C44" s="93"/>
      <c r="D44" s="1292" t="s">
        <v>391</v>
      </c>
      <c r="E44" s="1463">
        <f>'Verification Report'!O44</f>
        <v>0</v>
      </c>
      <c r="F44"/>
      <c r="I44" s="1180"/>
      <c r="J44" s="1180"/>
    </row>
    <row r="45" spans="1:10" ht="15.75" hidden="1" customHeight="1" x14ac:dyDescent="0.3">
      <c r="A45" s="93"/>
      <c r="B45" s="93"/>
      <c r="C45" s="93"/>
      <c r="D45" s="1292"/>
      <c r="E45" s="1463"/>
      <c r="F45"/>
      <c r="I45" s="1180"/>
      <c r="J45" s="1180"/>
    </row>
    <row r="46" spans="1:10" ht="15.75" hidden="1" customHeight="1" x14ac:dyDescent="0.3">
      <c r="A46" s="93"/>
      <c r="B46" s="93"/>
      <c r="C46" s="93"/>
      <c r="D46" s="1292"/>
      <c r="E46" s="1463">
        <f>'Verification Report'!O46</f>
        <v>0</v>
      </c>
      <c r="F46"/>
      <c r="I46" s="1180"/>
      <c r="J46" s="1180"/>
    </row>
    <row r="47" spans="1:10" ht="15.75" hidden="1" customHeight="1" x14ac:dyDescent="0.3">
      <c r="A47" s="93"/>
      <c r="B47" s="93"/>
      <c r="C47" s="93"/>
      <c r="D47" s="1292"/>
      <c r="E47" s="1463"/>
      <c r="F47"/>
      <c r="I47" s="1180"/>
      <c r="J47" s="1180"/>
    </row>
    <row r="48" spans="1:10" ht="18.600000000000001" hidden="1" thickBot="1" x14ac:dyDescent="0.35">
      <c r="A48" s="72" t="s">
        <v>393</v>
      </c>
      <c r="B48" s="91"/>
      <c r="C48" s="91"/>
      <c r="D48" s="87"/>
      <c r="E48" s="71"/>
      <c r="F48"/>
      <c r="I48" s="1180"/>
      <c r="J48" s="1180"/>
    </row>
    <row r="49" spans="1:10" ht="15" hidden="1" customHeight="1" x14ac:dyDescent="0.3">
      <c r="A49" s="926" t="s">
        <v>394</v>
      </c>
      <c r="B49" s="107"/>
      <c r="C49" s="107"/>
      <c r="D49" s="1313" t="s">
        <v>395</v>
      </c>
      <c r="E49" s="1158"/>
      <c r="F49"/>
      <c r="I49" s="1180"/>
      <c r="J49" s="1180"/>
    </row>
    <row r="50" spans="1:10" ht="15.75" hidden="1" customHeight="1" x14ac:dyDescent="0.3">
      <c r="A50" s="107"/>
      <c r="B50" s="107"/>
      <c r="C50" s="107"/>
      <c r="D50" s="1313"/>
      <c r="E50" s="1158"/>
      <c r="F50"/>
      <c r="I50" s="1180"/>
      <c r="J50" s="1180"/>
    </row>
    <row r="51" spans="1:10" ht="15.75" hidden="1" customHeight="1" x14ac:dyDescent="0.3">
      <c r="A51" s="107"/>
      <c r="B51" s="107"/>
      <c r="C51" s="107"/>
      <c r="D51" s="1313"/>
      <c r="E51" s="1158"/>
      <c r="F51"/>
      <c r="I51" s="1180"/>
      <c r="J51" s="1180"/>
    </row>
    <row r="52" spans="1:10" ht="15.75" hidden="1" customHeight="1" x14ac:dyDescent="0.3">
      <c r="A52" s="107"/>
      <c r="B52" s="107"/>
      <c r="C52" s="107"/>
      <c r="D52" s="1313"/>
      <c r="E52" s="1158"/>
      <c r="F52"/>
      <c r="I52" s="1180"/>
      <c r="J52" s="1180"/>
    </row>
    <row r="53" spans="1:10" ht="15.75" hidden="1" customHeight="1" thickBot="1" x14ac:dyDescent="0.35">
      <c r="A53" s="108"/>
      <c r="B53" s="108"/>
      <c r="C53" s="108"/>
      <c r="D53" s="109" t="s">
        <v>396</v>
      </c>
      <c r="E53" s="1161"/>
      <c r="F53"/>
      <c r="I53" s="1180"/>
      <c r="J53" s="1180"/>
    </row>
    <row r="54" spans="1:10" ht="15.75" hidden="1" customHeight="1" thickTop="1" x14ac:dyDescent="0.3">
      <c r="A54" s="1547" t="s">
        <v>398</v>
      </c>
      <c r="B54" s="1547"/>
      <c r="C54" s="1547"/>
      <c r="D54" s="1547"/>
      <c r="E54" s="1160"/>
      <c r="F54"/>
      <c r="I54" s="1180"/>
      <c r="J54" s="1180"/>
    </row>
    <row r="55" spans="1:10" ht="15.75" hidden="1" customHeight="1" x14ac:dyDescent="0.3">
      <c r="A55" s="107"/>
      <c r="B55" s="192" t="s">
        <v>271</v>
      </c>
      <c r="C55" s="195"/>
      <c r="D55" s="193" t="s">
        <v>399</v>
      </c>
      <c r="E55" s="1159">
        <f>'Verification Report'!O55</f>
        <v>0</v>
      </c>
      <c r="F55"/>
      <c r="I55" s="1180"/>
      <c r="J55" s="1180"/>
    </row>
    <row r="56" spans="1:10" ht="15" hidden="1" customHeight="1" x14ac:dyDescent="0.3">
      <c r="A56" s="107"/>
      <c r="B56" s="94" t="s">
        <v>273</v>
      </c>
      <c r="C56" s="107"/>
      <c r="D56" s="1305" t="s">
        <v>400</v>
      </c>
      <c r="E56" s="1473">
        <f>'Verification Report'!O56</f>
        <v>0</v>
      </c>
      <c r="F56"/>
      <c r="I56" s="1180"/>
      <c r="J56" s="1180"/>
    </row>
    <row r="57" spans="1:10" ht="15.75" hidden="1" customHeight="1" x14ac:dyDescent="0.3">
      <c r="A57" s="107"/>
      <c r="B57" s="192"/>
      <c r="C57" s="195"/>
      <c r="D57" s="1306"/>
      <c r="E57" s="1491">
        <f>'Verification Report'!O57</f>
        <v>0</v>
      </c>
      <c r="F57"/>
      <c r="I57" s="1180"/>
      <c r="J57" s="1180"/>
    </row>
    <row r="58" spans="1:10" ht="15" hidden="1" customHeight="1" x14ac:dyDescent="0.3">
      <c r="A58" s="107"/>
      <c r="B58" s="94" t="s">
        <v>275</v>
      </c>
      <c r="C58" s="107"/>
      <c r="D58" s="1305" t="s">
        <v>401</v>
      </c>
      <c r="E58" s="1473">
        <f>'Verification Report'!O58</f>
        <v>0</v>
      </c>
      <c r="F58"/>
      <c r="I58" s="1180"/>
      <c r="J58" s="1180"/>
    </row>
    <row r="59" spans="1:10" ht="15.75" hidden="1" customHeight="1" x14ac:dyDescent="0.3">
      <c r="A59" s="107"/>
      <c r="B59" s="192"/>
      <c r="C59" s="195"/>
      <c r="D59" s="1306"/>
      <c r="E59" s="1491">
        <f>'Verification Report'!O59</f>
        <v>0</v>
      </c>
      <c r="F59"/>
      <c r="I59" s="1180"/>
      <c r="J59" s="1180"/>
    </row>
    <row r="60" spans="1:10" ht="15.75" hidden="1" customHeight="1" x14ac:dyDescent="0.3">
      <c r="A60" s="107"/>
      <c r="B60" s="192" t="s">
        <v>285</v>
      </c>
      <c r="C60" s="195"/>
      <c r="D60" s="193" t="s">
        <v>402</v>
      </c>
      <c r="E60" s="1159">
        <f>'Verification Report'!O60</f>
        <v>0</v>
      </c>
      <c r="F60"/>
      <c r="I60" s="1180"/>
      <c r="J60" s="1180"/>
    </row>
    <row r="61" spans="1:10" ht="15.75" hidden="1" customHeight="1" x14ac:dyDescent="0.3">
      <c r="A61" s="107"/>
      <c r="B61" s="192" t="s">
        <v>291</v>
      </c>
      <c r="C61" s="195"/>
      <c r="D61" s="193" t="s">
        <v>403</v>
      </c>
      <c r="E61" s="1159">
        <f>'Verification Report'!O61</f>
        <v>0</v>
      </c>
      <c r="F61"/>
      <c r="I61" s="1180"/>
      <c r="J61" s="1180"/>
    </row>
    <row r="62" spans="1:10" ht="15" hidden="1" customHeight="1" x14ac:dyDescent="0.3">
      <c r="A62" s="107"/>
      <c r="B62" s="94" t="s">
        <v>293</v>
      </c>
      <c r="C62" s="107"/>
      <c r="D62" s="1305" t="s">
        <v>404</v>
      </c>
      <c r="E62" s="1473">
        <f>'Verification Report'!O62</f>
        <v>0</v>
      </c>
      <c r="F62"/>
      <c r="I62" s="1180"/>
      <c r="J62" s="1180"/>
    </row>
    <row r="63" spans="1:10" ht="15.75" hidden="1" customHeight="1" x14ac:dyDescent="0.3">
      <c r="A63" s="107"/>
      <c r="B63" s="192"/>
      <c r="C63" s="195"/>
      <c r="D63" s="1306"/>
      <c r="E63" s="1491">
        <f>'Verification Report'!O63</f>
        <v>0</v>
      </c>
      <c r="F63"/>
      <c r="I63" s="1180"/>
      <c r="J63" s="1180"/>
    </row>
    <row r="64" spans="1:10" ht="15" hidden="1" customHeight="1" x14ac:dyDescent="0.3">
      <c r="A64" s="107"/>
      <c r="B64" s="94" t="s">
        <v>405</v>
      </c>
      <c r="C64" s="107"/>
      <c r="D64" s="1305" t="s">
        <v>406</v>
      </c>
      <c r="E64" s="1473">
        <f>'Verification Report'!O64</f>
        <v>0</v>
      </c>
      <c r="F64"/>
      <c r="I64" s="1180"/>
      <c r="J64" s="1180"/>
    </row>
    <row r="65" spans="1:10" ht="15.75" hidden="1" customHeight="1" thickBot="1" x14ac:dyDescent="0.35">
      <c r="A65" s="108"/>
      <c r="B65" s="108"/>
      <c r="C65" s="108"/>
      <c r="D65" s="1330"/>
      <c r="E65" s="1529">
        <f>'Verification Report'!O65</f>
        <v>0</v>
      </c>
      <c r="F65"/>
      <c r="I65" s="1180"/>
      <c r="J65" s="1180"/>
    </row>
    <row r="66" spans="1:10" ht="15" thickTop="1" x14ac:dyDescent="0.3">
      <c r="A66" s="111">
        <v>503.2</v>
      </c>
      <c r="B66" s="112"/>
      <c r="C66" s="112"/>
      <c r="D66" s="135" t="s">
        <v>408</v>
      </c>
      <c r="E66" s="1160"/>
      <c r="F66" s="97" t="s">
        <v>810</v>
      </c>
      <c r="G66" s="1110">
        <v>1</v>
      </c>
      <c r="H66" s="1178"/>
      <c r="I66" s="1180" t="s">
        <v>4733</v>
      </c>
      <c r="J66" s="1180"/>
    </row>
    <row r="67" spans="1:10" ht="15" thickBot="1" x14ac:dyDescent="0.35">
      <c r="A67" s="106"/>
      <c r="B67" s="107"/>
      <c r="C67" s="107"/>
      <c r="D67" s="1177" t="s">
        <v>3598</v>
      </c>
      <c r="E67" s="1158"/>
      <c r="F67" s="1181" t="str">
        <f>IF('Verification Report'!W67="","",'Verification Report'!W67)</f>
        <v/>
      </c>
      <c r="G67" s="1110">
        <v>1</v>
      </c>
      <c r="I67" s="1180"/>
      <c r="J67" s="1180"/>
    </row>
    <row r="68" spans="1:10" ht="15.75" hidden="1" customHeight="1" x14ac:dyDescent="0.3">
      <c r="A68" s="107"/>
      <c r="B68" s="192" t="s">
        <v>271</v>
      </c>
      <c r="C68" s="195"/>
      <c r="D68" s="193" t="s">
        <v>409</v>
      </c>
      <c r="E68" s="1159">
        <f>'Verification Report'!O68</f>
        <v>0</v>
      </c>
      <c r="F68"/>
      <c r="I68" s="1180"/>
      <c r="J68" s="1180"/>
    </row>
    <row r="69" spans="1:10" ht="15" hidden="1" customHeight="1" x14ac:dyDescent="0.3">
      <c r="A69" s="107"/>
      <c r="B69" s="94" t="s">
        <v>273</v>
      </c>
      <c r="C69" s="107"/>
      <c r="D69" s="1305" t="s">
        <v>410</v>
      </c>
      <c r="E69" s="1473">
        <f>'Verification Report'!O69</f>
        <v>0</v>
      </c>
      <c r="F69"/>
      <c r="I69" s="1180"/>
      <c r="J69" s="1180"/>
    </row>
    <row r="70" spans="1:10" ht="15.75" hidden="1" customHeight="1" x14ac:dyDescent="0.3">
      <c r="A70" s="107"/>
      <c r="B70" s="195"/>
      <c r="C70" s="195"/>
      <c r="D70" s="1306"/>
      <c r="E70" s="1491">
        <f>'Verification Report'!O70</f>
        <v>0</v>
      </c>
      <c r="F70"/>
      <c r="I70" s="1180"/>
      <c r="J70" s="1180"/>
    </row>
    <row r="71" spans="1:10" ht="15" hidden="1" customHeight="1" x14ac:dyDescent="0.3">
      <c r="A71" s="107"/>
      <c r="B71" s="94" t="s">
        <v>275</v>
      </c>
      <c r="C71" s="107"/>
      <c r="D71" s="1305" t="s">
        <v>411</v>
      </c>
      <c r="E71" s="1473">
        <f ca="1">'Verification Report'!O71</f>
        <v>0</v>
      </c>
      <c r="F71"/>
      <c r="I71" s="1180"/>
      <c r="J71" s="1180"/>
    </row>
    <row r="72" spans="1:10" ht="15.75" hidden="1" customHeight="1" x14ac:dyDescent="0.3">
      <c r="A72" s="107"/>
      <c r="B72" s="107"/>
      <c r="C72" s="107"/>
      <c r="D72" s="1305"/>
      <c r="E72" s="1473">
        <f>'Verification Report'!O72</f>
        <v>0</v>
      </c>
      <c r="F72"/>
      <c r="I72" s="1180"/>
      <c r="J72" s="1180"/>
    </row>
    <row r="73" spans="1:10" ht="15.75" hidden="1" customHeight="1" x14ac:dyDescent="0.3">
      <c r="A73" s="107"/>
      <c r="B73" s="107"/>
      <c r="C73" s="94" t="s">
        <v>121</v>
      </c>
      <c r="D73" s="98" t="s">
        <v>839</v>
      </c>
      <c r="E73" s="1158"/>
      <c r="F73"/>
      <c r="I73" s="1180"/>
      <c r="J73" s="1180"/>
    </row>
    <row r="74" spans="1:10" ht="15.75" hidden="1" customHeight="1" x14ac:dyDescent="0.3">
      <c r="A74" s="107"/>
      <c r="B74" s="107"/>
      <c r="C74" s="94" t="s">
        <v>122</v>
      </c>
      <c r="D74" s="98" t="s">
        <v>412</v>
      </c>
      <c r="E74" s="1158"/>
      <c r="F74"/>
      <c r="I74" s="1180"/>
      <c r="J74" s="1180"/>
    </row>
    <row r="75" spans="1:10" ht="15.75" hidden="1" customHeight="1" x14ac:dyDescent="0.3">
      <c r="A75" s="107"/>
      <c r="B75" s="195"/>
      <c r="C75" s="197" t="s">
        <v>123</v>
      </c>
      <c r="D75" s="193" t="s">
        <v>413</v>
      </c>
      <c r="E75" s="1159"/>
      <c r="F75"/>
      <c r="I75" s="1180"/>
      <c r="J75" s="1180"/>
    </row>
    <row r="76" spans="1:10" ht="15" hidden="1" customHeight="1" x14ac:dyDescent="0.3">
      <c r="A76" s="107"/>
      <c r="B76" s="94" t="s">
        <v>285</v>
      </c>
      <c r="C76" s="107"/>
      <c r="D76" s="1305" t="s">
        <v>414</v>
      </c>
      <c r="E76" s="1473">
        <f>'Verification Report'!O76</f>
        <v>0</v>
      </c>
      <c r="F76"/>
      <c r="I76" s="1180"/>
      <c r="J76" s="1180"/>
    </row>
    <row r="77" spans="1:10" ht="15.75" hidden="1" customHeight="1" x14ac:dyDescent="0.3">
      <c r="A77" s="107"/>
      <c r="B77" s="195"/>
      <c r="C77" s="195"/>
      <c r="D77" s="1306"/>
      <c r="E77" s="1491">
        <f>'Verification Report'!O77</f>
        <v>0</v>
      </c>
      <c r="F77"/>
      <c r="I77" s="1180"/>
      <c r="J77" s="1180"/>
    </row>
    <row r="78" spans="1:10" ht="15.75" hidden="1" customHeight="1" thickBot="1" x14ac:dyDescent="0.35">
      <c r="A78" s="108"/>
      <c r="B78" s="99" t="s">
        <v>291</v>
      </c>
      <c r="C78" s="108"/>
      <c r="D78" s="100" t="s">
        <v>415</v>
      </c>
      <c r="E78" s="1161">
        <f>'Verification Report'!O78</f>
        <v>0</v>
      </c>
      <c r="F78"/>
      <c r="I78" s="1180"/>
      <c r="J78" s="1180"/>
    </row>
    <row r="79" spans="1:10" ht="15.75" hidden="1" customHeight="1" thickTop="1" x14ac:dyDescent="0.3">
      <c r="A79" s="111">
        <v>503.3</v>
      </c>
      <c r="B79" s="112"/>
      <c r="C79" s="112"/>
      <c r="D79" s="1331" t="s">
        <v>417</v>
      </c>
      <c r="E79" s="1160"/>
      <c r="F79"/>
      <c r="I79" s="1180"/>
      <c r="J79" s="1180"/>
    </row>
    <row r="80" spans="1:10" ht="15.75" hidden="1" customHeight="1" x14ac:dyDescent="0.3">
      <c r="A80" s="107"/>
      <c r="B80" s="107"/>
      <c r="C80" s="107"/>
      <c r="D80" s="1313"/>
      <c r="E80" s="1158"/>
      <c r="F80"/>
      <c r="I80" s="1180"/>
      <c r="J80" s="1180"/>
    </row>
    <row r="81" spans="1:10" ht="15.75" hidden="1" customHeight="1" x14ac:dyDescent="0.3">
      <c r="A81" s="107"/>
      <c r="B81" s="107"/>
      <c r="C81" s="107"/>
      <c r="D81" s="1123" t="s">
        <v>840</v>
      </c>
      <c r="E81" s="1158"/>
      <c r="F81"/>
      <c r="I81" s="1180"/>
      <c r="J81" s="1180"/>
    </row>
    <row r="82" spans="1:10" ht="15" hidden="1" customHeight="1" x14ac:dyDescent="0.3">
      <c r="A82" s="107"/>
      <c r="B82" s="94" t="s">
        <v>271</v>
      </c>
      <c r="C82" s="107"/>
      <c r="D82" s="1305" t="s">
        <v>418</v>
      </c>
      <c r="E82" s="1473">
        <f>'Verification Report'!O82</f>
        <v>0</v>
      </c>
      <c r="F82"/>
      <c r="I82" s="1180"/>
      <c r="J82" s="1180"/>
    </row>
    <row r="83" spans="1:10" ht="15.75" hidden="1" customHeight="1" x14ac:dyDescent="0.3">
      <c r="A83" s="107"/>
      <c r="B83" s="192"/>
      <c r="C83" s="195"/>
      <c r="D83" s="1306"/>
      <c r="E83" s="1491">
        <f>'Verification Report'!O83</f>
        <v>0</v>
      </c>
      <c r="F83" s="97"/>
      <c r="I83" s="1180"/>
      <c r="J83" s="1180"/>
    </row>
    <row r="84" spans="1:10" ht="15" hidden="1" customHeight="1" x14ac:dyDescent="0.3">
      <c r="A84" s="107"/>
      <c r="B84" s="94" t="s">
        <v>273</v>
      </c>
      <c r="C84" s="107"/>
      <c r="D84" s="1305" t="s">
        <v>419</v>
      </c>
      <c r="E84" s="1472">
        <f>'Verification Report'!O84</f>
        <v>0</v>
      </c>
      <c r="F84"/>
      <c r="I84" s="1180"/>
      <c r="J84" s="1180"/>
    </row>
    <row r="85" spans="1:10" ht="15.75" hidden="1" customHeight="1" x14ac:dyDescent="0.3">
      <c r="A85" s="107"/>
      <c r="B85" s="107"/>
      <c r="C85" s="107"/>
      <c r="D85" s="1305"/>
      <c r="E85" s="1473">
        <f>'Verification Report'!O85</f>
        <v>0</v>
      </c>
      <c r="F85"/>
      <c r="I85" s="1180"/>
      <c r="J85" s="1180"/>
    </row>
    <row r="86" spans="1:10" ht="15.75" hidden="1" customHeight="1" x14ac:dyDescent="0.3">
      <c r="A86" s="107"/>
      <c r="B86" s="107"/>
      <c r="C86" s="94" t="s">
        <v>121</v>
      </c>
      <c r="D86" s="98" t="s">
        <v>420</v>
      </c>
      <c r="E86" s="1473">
        <f>'Verification Report'!O86</f>
        <v>0</v>
      </c>
      <c r="F86"/>
      <c r="I86" s="1180"/>
      <c r="J86" s="1180"/>
    </row>
    <row r="87" spans="1:10" ht="15" hidden="1" customHeight="1" x14ac:dyDescent="0.3">
      <c r="A87" s="107"/>
      <c r="B87" s="107"/>
      <c r="C87" s="94" t="s">
        <v>122</v>
      </c>
      <c r="D87" s="1305" t="s">
        <v>421</v>
      </c>
      <c r="E87" s="1473">
        <f>'Verification Report'!O87</f>
        <v>0</v>
      </c>
      <c r="F87"/>
      <c r="I87" s="1180"/>
      <c r="J87" s="1180"/>
    </row>
    <row r="88" spans="1:10" ht="15.75" hidden="1" customHeight="1" x14ac:dyDescent="0.3">
      <c r="A88" s="107"/>
      <c r="B88" s="107"/>
      <c r="C88" s="107"/>
      <c r="D88" s="1305"/>
      <c r="E88" s="1473">
        <f>'Verification Report'!O88</f>
        <v>0</v>
      </c>
      <c r="F88"/>
      <c r="I88" s="1180"/>
      <c r="J88" s="1180"/>
    </row>
    <row r="89" spans="1:10" ht="15.75" hidden="1" customHeight="1" x14ac:dyDescent="0.3">
      <c r="A89" s="107"/>
      <c r="B89" s="107"/>
      <c r="C89" s="115" t="s">
        <v>123</v>
      </c>
      <c r="D89" s="98" t="s">
        <v>422</v>
      </c>
      <c r="E89" s="1473">
        <f>'Verification Report'!O89</f>
        <v>0</v>
      </c>
      <c r="F89"/>
      <c r="I89" s="1180"/>
      <c r="J89" s="1180"/>
    </row>
    <row r="90" spans="1:10" ht="15.75" hidden="1" customHeight="1" x14ac:dyDescent="0.3">
      <c r="A90" s="107"/>
      <c r="B90" s="195"/>
      <c r="C90" s="197" t="s">
        <v>423</v>
      </c>
      <c r="D90" s="193" t="s">
        <v>424</v>
      </c>
      <c r="E90" s="1491">
        <f>'Verification Report'!O90</f>
        <v>0</v>
      </c>
      <c r="F90"/>
      <c r="I90" s="1180"/>
      <c r="J90" s="1180"/>
    </row>
    <row r="91" spans="1:10" ht="15.75" hidden="1" customHeight="1" thickBot="1" x14ac:dyDescent="0.35">
      <c r="A91" s="108"/>
      <c r="B91" s="99" t="s">
        <v>275</v>
      </c>
      <c r="C91" s="108"/>
      <c r="D91" s="100" t="s">
        <v>425</v>
      </c>
      <c r="E91" s="1161">
        <f>'Verification Report'!O91</f>
        <v>0</v>
      </c>
      <c r="F91"/>
      <c r="I91" s="1180"/>
      <c r="J91" s="1180"/>
    </row>
    <row r="92" spans="1:10" ht="15.75" customHeight="1" thickTop="1" x14ac:dyDescent="0.3">
      <c r="A92" s="152">
        <v>503.4</v>
      </c>
      <c r="B92" s="93"/>
      <c r="C92" s="93"/>
      <c r="D92" s="1331" t="s">
        <v>427</v>
      </c>
      <c r="E92" s="1157"/>
      <c r="F92"/>
      <c r="G92" s="97">
        <v>1</v>
      </c>
      <c r="I92" s="1180"/>
      <c r="J92" s="1180"/>
    </row>
    <row r="93" spans="1:10" x14ac:dyDescent="0.3">
      <c r="A93" s="93"/>
      <c r="B93" s="93"/>
      <c r="C93" s="93"/>
      <c r="D93" s="1292"/>
      <c r="E93" s="1157"/>
      <c r="F93"/>
      <c r="G93" s="1110">
        <v>1</v>
      </c>
      <c r="I93" s="1180"/>
      <c r="J93" s="1180"/>
    </row>
    <row r="94" spans="1:10" x14ac:dyDescent="0.3">
      <c r="A94" s="93"/>
      <c r="B94" s="93"/>
      <c r="C94" s="93"/>
      <c r="D94" s="1292"/>
      <c r="E94" s="1157"/>
      <c r="F94"/>
      <c r="G94" s="1110">
        <v>1</v>
      </c>
      <c r="I94" s="1180"/>
      <c r="J94" s="1180"/>
    </row>
    <row r="95" spans="1:10" x14ac:dyDescent="0.3">
      <c r="A95" s="93"/>
      <c r="B95" s="93"/>
      <c r="C95" s="93"/>
      <c r="D95" s="1292"/>
      <c r="E95" s="1157"/>
      <c r="G95" s="1110">
        <v>1</v>
      </c>
      <c r="I95" s="1180"/>
      <c r="J95" s="1180"/>
    </row>
    <row r="96" spans="1:10" ht="15" hidden="1" customHeight="1" x14ac:dyDescent="0.3">
      <c r="A96" s="93"/>
      <c r="B96" s="93"/>
      <c r="C96" s="93"/>
      <c r="D96" s="1328" t="s">
        <v>3167</v>
      </c>
      <c r="E96" s="1157"/>
      <c r="I96" s="1180"/>
      <c r="J96" s="1180"/>
    </row>
    <row r="97" spans="1:10" ht="15" hidden="1" customHeight="1" x14ac:dyDescent="0.3">
      <c r="A97" s="93"/>
      <c r="B97" s="93"/>
      <c r="C97" s="93"/>
      <c r="D97" s="1328"/>
      <c r="E97" s="1157"/>
      <c r="F97"/>
      <c r="I97" s="1180"/>
      <c r="J97" s="1180"/>
    </row>
    <row r="98" spans="1:10" ht="15" hidden="1" customHeight="1" x14ac:dyDescent="0.3">
      <c r="A98" s="93"/>
      <c r="B98" s="93"/>
      <c r="C98" s="93"/>
      <c r="D98" s="1328"/>
      <c r="E98" s="1157"/>
      <c r="F98"/>
      <c r="I98" s="1180"/>
      <c r="J98" s="1180"/>
    </row>
    <row r="99" spans="1:10" ht="15" hidden="1" customHeight="1" x14ac:dyDescent="0.3">
      <c r="A99" s="93"/>
      <c r="B99" s="94" t="s">
        <v>271</v>
      </c>
      <c r="C99" s="107"/>
      <c r="D99" s="1305" t="s">
        <v>428</v>
      </c>
      <c r="E99" s="1473">
        <f>'Verification Report'!O99</f>
        <v>0</v>
      </c>
      <c r="F99"/>
      <c r="I99" s="1180"/>
      <c r="J99" s="1180"/>
    </row>
    <row r="100" spans="1:10" ht="15" hidden="1" customHeight="1" x14ac:dyDescent="0.3">
      <c r="A100" s="93"/>
      <c r="B100" s="94"/>
      <c r="C100" s="107"/>
      <c r="D100" s="1305"/>
      <c r="E100" s="1473">
        <f>'Verification Report'!O100</f>
        <v>0</v>
      </c>
      <c r="F100"/>
      <c r="I100" s="1180"/>
      <c r="J100" s="1180"/>
    </row>
    <row r="101" spans="1:10" ht="15" hidden="1" customHeight="1" x14ac:dyDescent="0.3">
      <c r="A101" s="93"/>
      <c r="B101" s="195"/>
      <c r="C101" s="195"/>
      <c r="D101" s="1306"/>
      <c r="E101" s="1491">
        <f>'Verification Report'!O101</f>
        <v>0</v>
      </c>
      <c r="F101"/>
      <c r="I101" s="1180"/>
      <c r="J101" s="1180"/>
    </row>
    <row r="102" spans="1:10" ht="15" hidden="1" customHeight="1" x14ac:dyDescent="0.3">
      <c r="A102" s="93"/>
      <c r="B102" s="94" t="s">
        <v>273</v>
      </c>
      <c r="C102" s="107"/>
      <c r="D102" s="1305" t="s">
        <v>429</v>
      </c>
      <c r="E102" s="1473">
        <f>'Verification Report'!O102</f>
        <v>0</v>
      </c>
      <c r="F102"/>
      <c r="I102" s="1180"/>
      <c r="J102" s="1180"/>
    </row>
    <row r="103" spans="1:10" ht="15" hidden="1" customHeight="1" x14ac:dyDescent="0.3">
      <c r="A103" s="93"/>
      <c r="B103" s="107"/>
      <c r="C103" s="107"/>
      <c r="D103" s="1305"/>
      <c r="E103" s="1473">
        <f>'Verification Report'!O103</f>
        <v>0</v>
      </c>
      <c r="F103"/>
      <c r="I103" s="1180"/>
      <c r="J103" s="1180"/>
    </row>
    <row r="104" spans="1:10" ht="15" hidden="1" customHeight="1" x14ac:dyDescent="0.3">
      <c r="A104" s="93"/>
      <c r="B104" s="107"/>
      <c r="C104" s="107"/>
      <c r="D104" s="1305"/>
      <c r="E104" s="1473">
        <f>'Verification Report'!O104</f>
        <v>0</v>
      </c>
      <c r="F104"/>
      <c r="I104" s="1180"/>
      <c r="J104" s="1180"/>
    </row>
    <row r="105" spans="1:10" ht="15" hidden="1" customHeight="1" x14ac:dyDescent="0.3">
      <c r="A105" s="93"/>
      <c r="B105" s="195"/>
      <c r="C105" s="195"/>
      <c r="D105" s="1306"/>
      <c r="E105" s="1491">
        <f>'Verification Report'!O105</f>
        <v>0</v>
      </c>
      <c r="F105"/>
      <c r="I105" s="1180"/>
      <c r="J105" s="1180"/>
    </row>
    <row r="106" spans="1:10" ht="15" hidden="1" customHeight="1" x14ac:dyDescent="0.3">
      <c r="A106" s="93"/>
      <c r="B106" s="90" t="s">
        <v>275</v>
      </c>
      <c r="C106" s="93"/>
      <c r="D106" s="1329" t="s">
        <v>430</v>
      </c>
      <c r="E106" s="1463">
        <f ca="1">'Verification Report'!O106</f>
        <v>0</v>
      </c>
      <c r="F106"/>
      <c r="I106" s="1180"/>
      <c r="J106" s="1180"/>
    </row>
    <row r="107" spans="1:10" ht="15" hidden="1" customHeight="1" x14ac:dyDescent="0.3">
      <c r="A107" s="93"/>
      <c r="B107" s="93"/>
      <c r="C107" s="93"/>
      <c r="D107" s="1329"/>
      <c r="E107" s="1463">
        <f>'Verification Report'!O107</f>
        <v>0</v>
      </c>
      <c r="F107"/>
      <c r="I107" s="1180"/>
      <c r="J107" s="1180"/>
    </row>
    <row r="108" spans="1:10" ht="15" hidden="1" customHeight="1" x14ac:dyDescent="0.3">
      <c r="A108" s="93"/>
      <c r="B108" s="93"/>
      <c r="C108" s="93"/>
      <c r="D108" s="1329"/>
      <c r="E108" s="1463">
        <f>'Verification Report'!O108</f>
        <v>0</v>
      </c>
      <c r="F108"/>
      <c r="I108" s="1180"/>
      <c r="J108" s="1180"/>
    </row>
    <row r="109" spans="1:10" ht="15" hidden="1" customHeight="1" x14ac:dyDescent="0.3">
      <c r="A109" s="93"/>
      <c r="B109" s="93"/>
      <c r="C109" s="93"/>
      <c r="D109" s="1329"/>
      <c r="E109" s="1463">
        <f>'Verification Report'!O109</f>
        <v>0</v>
      </c>
      <c r="F109"/>
      <c r="I109" s="1180"/>
      <c r="J109" s="1180"/>
    </row>
    <row r="110" spans="1:10" ht="15" hidden="1" customHeight="1" x14ac:dyDescent="0.3">
      <c r="A110" s="93"/>
      <c r="B110" s="93"/>
      <c r="C110" s="90" t="s">
        <v>121</v>
      </c>
      <c r="D110" s="86" t="s">
        <v>431</v>
      </c>
      <c r="E110" s="1157"/>
      <c r="I110" s="1180"/>
      <c r="J110" s="1180"/>
    </row>
    <row r="111" spans="1:10" ht="15" hidden="1" customHeight="1" x14ac:dyDescent="0.3">
      <c r="A111" s="93"/>
      <c r="B111" s="93"/>
      <c r="C111" s="90" t="s">
        <v>122</v>
      </c>
      <c r="D111" s="86" t="s">
        <v>432</v>
      </c>
      <c r="E111" s="1157"/>
      <c r="I111" s="1180"/>
      <c r="J111" s="1180"/>
    </row>
    <row r="112" spans="1:10" ht="15" hidden="1" customHeight="1" x14ac:dyDescent="0.3">
      <c r="A112" s="93"/>
      <c r="B112" s="195"/>
      <c r="C112" s="197" t="s">
        <v>123</v>
      </c>
      <c r="D112" s="193" t="s">
        <v>433</v>
      </c>
      <c r="E112" s="1159"/>
      <c r="I112" s="1180"/>
      <c r="J112" s="1180"/>
    </row>
    <row r="113" spans="1:10" ht="15" customHeight="1" x14ac:dyDescent="0.3">
      <c r="A113" s="107"/>
      <c r="B113" s="94" t="s">
        <v>285</v>
      </c>
      <c r="C113" s="115"/>
      <c r="D113" s="1305" t="s">
        <v>434</v>
      </c>
      <c r="E113" s="1463">
        <f ca="1">'Verification Report'!O113</f>
        <v>0</v>
      </c>
      <c r="F113"/>
      <c r="G113" s="1110">
        <v>1</v>
      </c>
      <c r="H113" s="1178"/>
      <c r="I113" s="1180"/>
      <c r="J113" s="1180"/>
    </row>
    <row r="114" spans="1:10" x14ac:dyDescent="0.3">
      <c r="A114" s="107"/>
      <c r="B114" s="107"/>
      <c r="C114" s="107"/>
      <c r="D114" s="1305"/>
      <c r="E114" s="1463">
        <f>'Verification Report'!O114</f>
        <v>0</v>
      </c>
      <c r="F114" s="97"/>
      <c r="G114" s="1110">
        <v>1</v>
      </c>
      <c r="I114" s="1180"/>
      <c r="J114" s="1180"/>
    </row>
    <row r="115" spans="1:10" ht="15" hidden="1" customHeight="1" x14ac:dyDescent="0.3">
      <c r="A115" s="107"/>
      <c r="B115" s="107"/>
      <c r="C115" s="94" t="s">
        <v>121</v>
      </c>
      <c r="D115" s="98" t="s">
        <v>435</v>
      </c>
      <c r="E115" s="1157"/>
      <c r="F115" s="97"/>
      <c r="I115" s="1180"/>
      <c r="J115" s="1180"/>
    </row>
    <row r="116" spans="1:10" ht="15" hidden="1" customHeight="1" x14ac:dyDescent="0.3">
      <c r="A116" s="107"/>
      <c r="B116" s="107"/>
      <c r="C116" s="94" t="s">
        <v>122</v>
      </c>
      <c r="D116" s="98" t="s">
        <v>436</v>
      </c>
      <c r="E116" s="1157"/>
      <c r="F116"/>
      <c r="I116" s="1180"/>
      <c r="J116" s="1180"/>
    </row>
    <row r="117" spans="1:10" ht="15.75" hidden="1" customHeight="1" thickBot="1" x14ac:dyDescent="0.35">
      <c r="A117" s="108"/>
      <c r="B117" s="108"/>
      <c r="C117" s="116" t="s">
        <v>123</v>
      </c>
      <c r="D117" s="100" t="s">
        <v>437</v>
      </c>
      <c r="E117" s="1161"/>
      <c r="F117"/>
      <c r="I117" s="1180"/>
      <c r="J117" s="1180"/>
    </row>
    <row r="118" spans="1:10" ht="15.75" customHeight="1" x14ac:dyDescent="0.3">
      <c r="A118" s="152">
        <v>503.5</v>
      </c>
      <c r="B118" s="93"/>
      <c r="C118" s="93"/>
      <c r="D118" s="1292" t="s">
        <v>439</v>
      </c>
      <c r="E118" s="1110"/>
      <c r="F118"/>
      <c r="G118" s="1110">
        <v>1</v>
      </c>
      <c r="I118" s="1180"/>
      <c r="J118" s="1180"/>
    </row>
    <row r="119" spans="1:10" x14ac:dyDescent="0.3">
      <c r="A119" s="93"/>
      <c r="B119" s="93"/>
      <c r="C119" s="93"/>
      <c r="D119" s="1292"/>
      <c r="E119" s="1110"/>
      <c r="F119"/>
      <c r="G119" s="1110">
        <v>1</v>
      </c>
      <c r="I119" s="1180"/>
      <c r="J119" s="1180"/>
    </row>
    <row r="120" spans="1:10" ht="15" hidden="1" customHeight="1" x14ac:dyDescent="0.3">
      <c r="A120" s="93"/>
      <c r="B120" s="93"/>
      <c r="C120" s="93"/>
      <c r="D120" s="1328" t="s">
        <v>440</v>
      </c>
      <c r="E120" s="1110"/>
      <c r="F120"/>
      <c r="I120" s="1180"/>
      <c r="J120" s="1180"/>
    </row>
    <row r="121" spans="1:10" ht="15" hidden="1" customHeight="1" x14ac:dyDescent="0.3">
      <c r="A121" s="93"/>
      <c r="B121" s="93"/>
      <c r="C121" s="93"/>
      <c r="D121" s="1328"/>
      <c r="E121" s="1110"/>
      <c r="F121"/>
      <c r="I121" s="1180"/>
      <c r="J121" s="1180"/>
    </row>
    <row r="122" spans="1:10" ht="15" hidden="1" customHeight="1" x14ac:dyDescent="0.3">
      <c r="A122" s="93"/>
      <c r="B122" s="90" t="s">
        <v>271</v>
      </c>
      <c r="C122" s="93"/>
      <c r="D122" s="1329" t="s">
        <v>441</v>
      </c>
      <c r="E122" s="1463">
        <f ca="1">'Verification Report'!O122</f>
        <v>0</v>
      </c>
      <c r="F122"/>
      <c r="I122" s="1180"/>
      <c r="J122" s="1180"/>
    </row>
    <row r="123" spans="1:10" ht="15" hidden="1" customHeight="1" x14ac:dyDescent="0.3">
      <c r="A123" s="93"/>
      <c r="B123" s="90"/>
      <c r="C123" s="93"/>
      <c r="D123" s="1329"/>
      <c r="E123" s="1463">
        <f>'Verification Report'!O123</f>
        <v>0</v>
      </c>
      <c r="F123"/>
      <c r="I123" s="1180"/>
      <c r="J123" s="1180"/>
    </row>
    <row r="124" spans="1:10" ht="15" hidden="1" customHeight="1" x14ac:dyDescent="0.3">
      <c r="A124" s="93"/>
      <c r="B124" s="93"/>
      <c r="C124" s="90" t="s">
        <v>121</v>
      </c>
      <c r="D124" s="86" t="s">
        <v>442</v>
      </c>
      <c r="E124" s="1157"/>
      <c r="F124"/>
      <c r="I124" s="1180"/>
      <c r="J124" s="1180"/>
    </row>
    <row r="125" spans="1:10" ht="15" hidden="1" customHeight="1" x14ac:dyDescent="0.3">
      <c r="A125" s="93"/>
      <c r="B125" s="93"/>
      <c r="C125" s="90" t="s">
        <v>122</v>
      </c>
      <c r="D125" s="86" t="s">
        <v>443</v>
      </c>
      <c r="E125" s="1157"/>
      <c r="F125"/>
      <c r="I125" s="1180"/>
      <c r="J125" s="1180"/>
    </row>
    <row r="126" spans="1:10" ht="15" hidden="1" customHeight="1" x14ac:dyDescent="0.3">
      <c r="A126" s="93"/>
      <c r="B126" s="93"/>
      <c r="C126" s="92" t="s">
        <v>123</v>
      </c>
      <c r="D126" s="86" t="s">
        <v>444</v>
      </c>
      <c r="E126" s="1157"/>
      <c r="I126" s="1180"/>
      <c r="J126" s="1180"/>
    </row>
    <row r="127" spans="1:10" ht="15" hidden="1" customHeight="1" x14ac:dyDescent="0.3">
      <c r="A127" s="93"/>
      <c r="B127" s="195"/>
      <c r="C127" s="197" t="s">
        <v>423</v>
      </c>
      <c r="D127" s="193" t="s">
        <v>445</v>
      </c>
      <c r="E127" s="1159"/>
      <c r="I127" s="1180"/>
      <c r="J127" s="1180"/>
    </row>
    <row r="128" spans="1:10" ht="15" customHeight="1" x14ac:dyDescent="0.3">
      <c r="A128" s="93"/>
      <c r="B128" s="94" t="s">
        <v>273</v>
      </c>
      <c r="C128" s="107"/>
      <c r="D128" s="1305" t="s">
        <v>446</v>
      </c>
      <c r="E128" s="1473">
        <f ca="1">'Verification Report'!O128</f>
        <v>0</v>
      </c>
      <c r="F128"/>
      <c r="G128" s="1110">
        <v>1</v>
      </c>
      <c r="H128" s="1178"/>
      <c r="I128" s="1180" t="s">
        <v>4734</v>
      </c>
      <c r="J128" s="1180"/>
    </row>
    <row r="129" spans="1:10" x14ac:dyDescent="0.3">
      <c r="A129" s="93"/>
      <c r="B129" s="195"/>
      <c r="C129" s="195"/>
      <c r="D129" s="1306"/>
      <c r="E129" s="1491">
        <f>'Verification Report'!O129</f>
        <v>0</v>
      </c>
      <c r="F129"/>
      <c r="G129" s="1110">
        <v>1</v>
      </c>
      <c r="I129" s="1180"/>
      <c r="J129" s="1180"/>
    </row>
    <row r="130" spans="1:10" ht="15" hidden="1" customHeight="1" x14ac:dyDescent="0.3">
      <c r="A130" s="93"/>
      <c r="B130" s="94" t="s">
        <v>275</v>
      </c>
      <c r="C130" s="107"/>
      <c r="D130" s="1305" t="s">
        <v>447</v>
      </c>
      <c r="E130" s="1473">
        <f ca="1">'Verification Report'!O130</f>
        <v>0</v>
      </c>
      <c r="F130"/>
      <c r="I130" s="1180"/>
      <c r="J130" s="1180"/>
    </row>
    <row r="131" spans="1:10" ht="15" hidden="1" customHeight="1" x14ac:dyDescent="0.3">
      <c r="A131" s="93"/>
      <c r="B131" s="195"/>
      <c r="C131" s="195"/>
      <c r="D131" s="1306"/>
      <c r="E131" s="1491">
        <f>'Verification Report'!O131</f>
        <v>0</v>
      </c>
      <c r="F131"/>
      <c r="I131" s="1180"/>
      <c r="J131" s="1180"/>
    </row>
    <row r="132" spans="1:10" ht="15" hidden="1" customHeight="1" x14ac:dyDescent="0.3">
      <c r="A132" s="93"/>
      <c r="B132" s="94" t="s">
        <v>285</v>
      </c>
      <c r="C132" s="107"/>
      <c r="D132" s="1305" t="s">
        <v>448</v>
      </c>
      <c r="E132" s="1473">
        <f ca="1">'Verification Report'!O132</f>
        <v>0</v>
      </c>
      <c r="F132"/>
      <c r="I132" s="1180"/>
      <c r="J132" s="1180"/>
    </row>
    <row r="133" spans="1:10" ht="15" hidden="1" customHeight="1" x14ac:dyDescent="0.3">
      <c r="A133" s="93"/>
      <c r="B133" s="195"/>
      <c r="C133" s="195"/>
      <c r="D133" s="1306"/>
      <c r="E133" s="1491">
        <f>'Verification Report'!O133</f>
        <v>0</v>
      </c>
      <c r="F133"/>
      <c r="I133" s="1180"/>
      <c r="J133" s="1180"/>
    </row>
    <row r="134" spans="1:10" x14ac:dyDescent="0.3">
      <c r="A134" s="93"/>
      <c r="B134" s="90" t="s">
        <v>291</v>
      </c>
      <c r="C134" s="93"/>
      <c r="D134" s="86" t="s">
        <v>449</v>
      </c>
      <c r="E134" s="1157">
        <f ca="1">'Verification Report'!O134</f>
        <v>0</v>
      </c>
      <c r="F134"/>
      <c r="G134" s="1110">
        <v>1</v>
      </c>
      <c r="H134" s="1178"/>
      <c r="I134" s="1180"/>
      <c r="J134" s="1180"/>
    </row>
    <row r="135" spans="1:10" ht="15" hidden="1" customHeight="1" x14ac:dyDescent="0.3">
      <c r="A135" s="93"/>
      <c r="B135" s="93"/>
      <c r="C135" s="90" t="s">
        <v>121</v>
      </c>
      <c r="D135" s="86" t="s">
        <v>450</v>
      </c>
      <c r="E135" s="1157"/>
      <c r="I135" s="1180"/>
      <c r="J135" s="1180"/>
    </row>
    <row r="136" spans="1:10" ht="15" hidden="1" customHeight="1" x14ac:dyDescent="0.3">
      <c r="A136" s="93"/>
      <c r="B136" s="93"/>
      <c r="C136" s="90" t="s">
        <v>122</v>
      </c>
      <c r="D136" s="86" t="s">
        <v>451</v>
      </c>
      <c r="E136" s="1157"/>
      <c r="I136" s="1180"/>
      <c r="J136" s="1180"/>
    </row>
    <row r="137" spans="1:10" ht="15" hidden="1" customHeight="1" x14ac:dyDescent="0.3">
      <c r="A137" s="93"/>
      <c r="B137" s="93"/>
      <c r="C137" s="92" t="s">
        <v>123</v>
      </c>
      <c r="D137" s="86" t="s">
        <v>452</v>
      </c>
      <c r="E137" s="1157"/>
      <c r="I137" s="1180"/>
      <c r="J137" s="1180"/>
    </row>
    <row r="138" spans="1:10" ht="15" hidden="1" customHeight="1" x14ac:dyDescent="0.3">
      <c r="A138" s="93"/>
      <c r="B138" s="195"/>
      <c r="C138" s="197" t="s">
        <v>423</v>
      </c>
      <c r="D138" s="193" t="s">
        <v>453</v>
      </c>
      <c r="E138" s="1159"/>
      <c r="I138" s="1180"/>
      <c r="J138" s="1180"/>
    </row>
    <row r="139" spans="1:10" x14ac:dyDescent="0.3">
      <c r="A139" s="93"/>
      <c r="B139" s="192" t="s">
        <v>293</v>
      </c>
      <c r="C139" s="195"/>
      <c r="D139" s="193" t="s">
        <v>454</v>
      </c>
      <c r="E139" s="1159">
        <f ca="1">'Verification Report'!O139</f>
        <v>0</v>
      </c>
      <c r="F139"/>
      <c r="G139" s="1110">
        <v>1</v>
      </c>
      <c r="H139" s="1178"/>
      <c r="I139" s="1180" t="s">
        <v>4735</v>
      </c>
      <c r="J139" s="1180"/>
    </row>
    <row r="140" spans="1:10" ht="15" customHeight="1" x14ac:dyDescent="0.3">
      <c r="A140" s="93"/>
      <c r="B140" s="94" t="s">
        <v>405</v>
      </c>
      <c r="C140" s="107"/>
      <c r="D140" s="1305" t="s">
        <v>455</v>
      </c>
      <c r="E140" s="1473">
        <f ca="1">'Verification Report'!O140</f>
        <v>0</v>
      </c>
      <c r="F140"/>
      <c r="G140" s="1110">
        <v>1</v>
      </c>
      <c r="H140" s="1178"/>
      <c r="I140" s="1180" t="s">
        <v>4736</v>
      </c>
      <c r="J140" s="1180"/>
    </row>
    <row r="141" spans="1:10" x14ac:dyDescent="0.3">
      <c r="A141" s="93"/>
      <c r="B141" s="107"/>
      <c r="C141" s="107"/>
      <c r="D141" s="1305"/>
      <c r="E141" s="1473">
        <f>'Verification Report'!O141</f>
        <v>0</v>
      </c>
      <c r="F141"/>
      <c r="G141" s="1110">
        <v>1</v>
      </c>
      <c r="I141" s="1180"/>
      <c r="J141" s="1180"/>
    </row>
    <row r="142" spans="1:10" x14ac:dyDescent="0.3">
      <c r="A142" s="93"/>
      <c r="B142" s="107"/>
      <c r="C142" s="107"/>
      <c r="D142" s="1305"/>
      <c r="E142" s="1473">
        <f>'Verification Report'!O142</f>
        <v>0</v>
      </c>
      <c r="F142"/>
      <c r="G142" s="1110">
        <v>1</v>
      </c>
      <c r="I142" s="1180"/>
      <c r="J142" s="1180"/>
    </row>
    <row r="143" spans="1:10" x14ac:dyDescent="0.3">
      <c r="A143" s="93"/>
      <c r="B143" s="107"/>
      <c r="C143" s="107"/>
      <c r="D143" s="1305"/>
      <c r="E143" s="1473">
        <f>'Verification Report'!O143</f>
        <v>0</v>
      </c>
      <c r="F143"/>
      <c r="G143" s="1110">
        <v>1</v>
      </c>
      <c r="I143" s="1180"/>
      <c r="J143" s="1180"/>
    </row>
    <row r="144" spans="1:10" x14ac:dyDescent="0.3">
      <c r="A144" s="93"/>
      <c r="B144" s="195"/>
      <c r="C144" s="195"/>
      <c r="D144" s="1306"/>
      <c r="E144" s="1491">
        <f>'Verification Report'!O144</f>
        <v>0</v>
      </c>
      <c r="F144"/>
      <c r="G144" s="1110">
        <v>1</v>
      </c>
      <c r="I144" s="1180"/>
      <c r="J144" s="1180"/>
    </row>
    <row r="145" spans="1:10" ht="15" hidden="1" customHeight="1" x14ac:dyDescent="0.3">
      <c r="A145" s="93"/>
      <c r="B145" s="94" t="s">
        <v>456</v>
      </c>
      <c r="C145" s="107"/>
      <c r="D145" s="1305" t="s">
        <v>457</v>
      </c>
      <c r="E145" s="1473">
        <f ca="1">'Verification Report'!O145</f>
        <v>0</v>
      </c>
      <c r="F145"/>
      <c r="I145" s="1180"/>
      <c r="J145" s="1180"/>
    </row>
    <row r="146" spans="1:10" ht="15" hidden="1" customHeight="1" x14ac:dyDescent="0.3">
      <c r="A146" s="93"/>
      <c r="B146" s="195"/>
      <c r="C146" s="195"/>
      <c r="D146" s="1306"/>
      <c r="E146" s="1491">
        <f>'Verification Report'!O146</f>
        <v>0</v>
      </c>
      <c r="F146"/>
      <c r="I146" s="1180"/>
      <c r="J146" s="1180"/>
    </row>
    <row r="147" spans="1:10" ht="15" hidden="1" customHeight="1" x14ac:dyDescent="0.3">
      <c r="A147" s="93"/>
      <c r="B147" s="94" t="s">
        <v>458</v>
      </c>
      <c r="C147" s="107"/>
      <c r="D147" s="1305" t="s">
        <v>459</v>
      </c>
      <c r="E147" s="1472">
        <f>'Verification Report'!O147</f>
        <v>0</v>
      </c>
      <c r="F147"/>
      <c r="I147" s="1180"/>
      <c r="J147" s="1180"/>
    </row>
    <row r="148" spans="1:10" ht="15" hidden="1" customHeight="1" x14ac:dyDescent="0.3">
      <c r="A148" s="93"/>
      <c r="B148" s="107"/>
      <c r="C148" s="107"/>
      <c r="D148" s="1305"/>
      <c r="E148" s="1473">
        <f>'Verification Report'!O148</f>
        <v>0</v>
      </c>
      <c r="F148"/>
      <c r="I148" s="1180"/>
      <c r="J148" s="1180"/>
    </row>
    <row r="149" spans="1:10" ht="15" hidden="1" customHeight="1" x14ac:dyDescent="0.3">
      <c r="A149" s="93"/>
      <c r="B149" s="195"/>
      <c r="C149" s="195"/>
      <c r="D149" s="1306"/>
      <c r="E149" s="1491">
        <f>'Verification Report'!O149</f>
        <v>0</v>
      </c>
      <c r="F149"/>
      <c r="I149" s="1180"/>
      <c r="J149" s="1180"/>
    </row>
    <row r="150" spans="1:10" ht="15" hidden="1" customHeight="1" x14ac:dyDescent="0.3">
      <c r="A150" s="93"/>
      <c r="B150" s="94" t="s">
        <v>460</v>
      </c>
      <c r="C150" s="107"/>
      <c r="D150" s="1305" t="s">
        <v>461</v>
      </c>
      <c r="E150" s="1473">
        <f>'Verification Report'!O150</f>
        <v>0</v>
      </c>
      <c r="F150"/>
      <c r="I150" s="1180"/>
      <c r="J150" s="1180"/>
    </row>
    <row r="151" spans="1:10" ht="15" hidden="1" customHeight="1" x14ac:dyDescent="0.3">
      <c r="A151" s="93"/>
      <c r="B151" s="195"/>
      <c r="C151" s="195"/>
      <c r="D151" s="1306"/>
      <c r="E151" s="1491">
        <f>'Verification Report'!O151</f>
        <v>0</v>
      </c>
      <c r="F151"/>
      <c r="I151" s="1180"/>
      <c r="J151" s="1180"/>
    </row>
    <row r="152" spans="1:10" ht="15" hidden="1" customHeight="1" x14ac:dyDescent="0.3">
      <c r="A152" s="93"/>
      <c r="B152" s="94" t="s">
        <v>462</v>
      </c>
      <c r="C152" s="107"/>
      <c r="D152" s="1305" t="s">
        <v>463</v>
      </c>
      <c r="E152" s="1473">
        <f>'Verification Report'!O152</f>
        <v>0</v>
      </c>
      <c r="F152"/>
      <c r="I152" s="1180"/>
      <c r="J152" s="1180"/>
    </row>
    <row r="153" spans="1:10" ht="15" hidden="1" customHeight="1" x14ac:dyDescent="0.3">
      <c r="A153" s="93"/>
      <c r="B153" s="195"/>
      <c r="C153" s="195"/>
      <c r="D153" s="1306"/>
      <c r="E153" s="1491">
        <f>'Verification Report'!O153</f>
        <v>0</v>
      </c>
      <c r="F153"/>
      <c r="I153" s="1180"/>
      <c r="J153" s="1180"/>
    </row>
    <row r="154" spans="1:10" ht="15" hidden="1" customHeight="1" x14ac:dyDescent="0.3">
      <c r="A154" s="107"/>
      <c r="B154" s="94" t="s">
        <v>464</v>
      </c>
      <c r="C154" s="107"/>
      <c r="D154" s="1305" t="s">
        <v>465</v>
      </c>
      <c r="E154" s="1463">
        <f>'Verification Report'!O154</f>
        <v>0</v>
      </c>
      <c r="F154"/>
      <c r="I154" s="1180"/>
      <c r="J154" s="1180"/>
    </row>
    <row r="155" spans="1:10" ht="15.75" hidden="1" customHeight="1" thickBot="1" x14ac:dyDescent="0.35">
      <c r="A155" s="108"/>
      <c r="B155" s="108"/>
      <c r="C155" s="108"/>
      <c r="D155" s="1330"/>
      <c r="E155" s="1529">
        <f>'Verification Report'!O155</f>
        <v>0</v>
      </c>
      <c r="F155"/>
      <c r="I155" s="1180"/>
      <c r="J155" s="1180"/>
    </row>
    <row r="156" spans="1:10" ht="15.75" hidden="1" customHeight="1" thickTop="1" x14ac:dyDescent="0.3">
      <c r="A156" s="152">
        <v>503.6</v>
      </c>
      <c r="B156" s="93"/>
      <c r="C156" s="93"/>
      <c r="D156" s="1292" t="s">
        <v>467</v>
      </c>
      <c r="E156" s="1528">
        <f>'Verification Report'!O156</f>
        <v>0</v>
      </c>
      <c r="F156"/>
      <c r="I156" s="1180"/>
      <c r="J156" s="1180"/>
    </row>
    <row r="157" spans="1:10" ht="15" hidden="1" customHeight="1" x14ac:dyDescent="0.3">
      <c r="A157" s="93"/>
      <c r="B157" s="93"/>
      <c r="C157" s="93"/>
      <c r="D157" s="1292"/>
      <c r="E157" s="1463">
        <f>'Verification Report'!O157</f>
        <v>0</v>
      </c>
      <c r="F157"/>
      <c r="I157" s="1180"/>
      <c r="J157" s="1180"/>
    </row>
    <row r="158" spans="1:10" ht="15" hidden="1" customHeight="1" x14ac:dyDescent="0.3">
      <c r="A158" s="93"/>
      <c r="B158" s="192" t="s">
        <v>271</v>
      </c>
      <c r="C158" s="195"/>
      <c r="D158" s="193" t="s">
        <v>468</v>
      </c>
      <c r="E158" s="1159"/>
      <c r="F158"/>
      <c r="I158" s="1180"/>
      <c r="J158" s="1180"/>
    </row>
    <row r="159" spans="1:10" ht="15" hidden="1" customHeight="1" x14ac:dyDescent="0.3">
      <c r="A159" s="93"/>
      <c r="B159" s="192" t="s">
        <v>273</v>
      </c>
      <c r="C159" s="195"/>
      <c r="D159" s="193" t="s">
        <v>469</v>
      </c>
      <c r="E159" s="1159"/>
      <c r="F159"/>
      <c r="I159" s="1180"/>
      <c r="J159" s="1180"/>
    </row>
    <row r="160" spans="1:10" ht="15" hidden="1" customHeight="1" x14ac:dyDescent="0.3">
      <c r="A160" s="93"/>
      <c r="B160" s="94" t="s">
        <v>275</v>
      </c>
      <c r="C160" s="107"/>
      <c r="D160" s="1305" t="s">
        <v>470</v>
      </c>
      <c r="E160" s="1158"/>
      <c r="F160"/>
      <c r="I160" s="1180"/>
      <c r="J160" s="1180"/>
    </row>
    <row r="161" spans="1:10" ht="15" hidden="1" customHeight="1" x14ac:dyDescent="0.3">
      <c r="A161" s="93"/>
      <c r="B161" s="195"/>
      <c r="C161" s="195"/>
      <c r="D161" s="1306"/>
      <c r="E161" s="1159"/>
      <c r="F161"/>
      <c r="I161" s="1180"/>
      <c r="J161" s="1180"/>
    </row>
    <row r="162" spans="1:10" ht="15.75" hidden="1" customHeight="1" thickBot="1" x14ac:dyDescent="0.35">
      <c r="A162" s="108"/>
      <c r="B162" s="99" t="s">
        <v>285</v>
      </c>
      <c r="C162" s="108"/>
      <c r="D162" s="100" t="s">
        <v>471</v>
      </c>
      <c r="E162" s="1161"/>
      <c r="F162"/>
      <c r="I162" s="1180"/>
      <c r="J162" s="1180"/>
    </row>
    <row r="163" spans="1:10" ht="15.75" hidden="1" customHeight="1" thickTop="1" x14ac:dyDescent="0.3">
      <c r="A163" s="152">
        <v>503.7</v>
      </c>
      <c r="B163" s="93"/>
      <c r="C163" s="93"/>
      <c r="D163" s="1292" t="s">
        <v>473</v>
      </c>
      <c r="E163" s="1157"/>
      <c r="F163"/>
      <c r="I163" s="1180"/>
      <c r="J163" s="1180"/>
    </row>
    <row r="164" spans="1:10" ht="15" hidden="1" customHeight="1" x14ac:dyDescent="0.3">
      <c r="A164" s="93"/>
      <c r="B164" s="93"/>
      <c r="C164" s="93"/>
      <c r="D164" s="1292"/>
      <c r="E164" s="1157"/>
      <c r="F164"/>
      <c r="I164" s="1180"/>
      <c r="J164" s="1180"/>
    </row>
    <row r="165" spans="1:10" ht="15" hidden="1" customHeight="1" x14ac:dyDescent="0.3">
      <c r="A165" s="93"/>
      <c r="B165" s="94" t="s">
        <v>271</v>
      </c>
      <c r="C165" s="107"/>
      <c r="D165" s="1305" t="s">
        <v>474</v>
      </c>
      <c r="E165" s="1473">
        <f>'Verification Report'!O165</f>
        <v>0</v>
      </c>
      <c r="F165"/>
      <c r="I165" s="1180"/>
      <c r="J165" s="1180"/>
    </row>
    <row r="166" spans="1:10" ht="15" hidden="1" customHeight="1" x14ac:dyDescent="0.3">
      <c r="A166" s="93"/>
      <c r="B166" s="192"/>
      <c r="C166" s="195"/>
      <c r="D166" s="1306"/>
      <c r="E166" s="1491">
        <f>'Verification Report'!O166</f>
        <v>0</v>
      </c>
      <c r="F166"/>
      <c r="I166" s="1180"/>
      <c r="J166" s="1180"/>
    </row>
    <row r="167" spans="1:10" ht="15" hidden="1" customHeight="1" x14ac:dyDescent="0.3">
      <c r="A167" s="107"/>
      <c r="B167" s="94" t="s">
        <v>273</v>
      </c>
      <c r="C167" s="107"/>
      <c r="D167" s="1305" t="s">
        <v>475</v>
      </c>
      <c r="E167" s="1463">
        <f>'Verification Report'!O167</f>
        <v>0</v>
      </c>
      <c r="F167"/>
      <c r="I167" s="1180"/>
      <c r="J167" s="1180"/>
    </row>
    <row r="168" spans="1:10" ht="15.75" hidden="1" customHeight="1" thickBot="1" x14ac:dyDescent="0.35">
      <c r="A168" s="108"/>
      <c r="B168" s="108"/>
      <c r="C168" s="108"/>
      <c r="D168" s="1330"/>
      <c r="E168" s="1529">
        <f>'Verification Report'!O168</f>
        <v>0</v>
      </c>
      <c r="F168"/>
      <c r="I168" s="1180"/>
      <c r="J168" s="1180"/>
    </row>
    <row r="169" spans="1:10" ht="15.75" hidden="1" customHeight="1" thickTop="1" x14ac:dyDescent="0.3">
      <c r="A169" s="152">
        <v>503.8</v>
      </c>
      <c r="B169" s="93"/>
      <c r="C169" s="93"/>
      <c r="D169" s="1292" t="s">
        <v>477</v>
      </c>
      <c r="E169" s="1528">
        <f ca="1">'Verification Report'!O169</f>
        <v>0</v>
      </c>
      <c r="F169"/>
      <c r="I169" s="1180"/>
      <c r="J169" s="1180"/>
    </row>
    <row r="170" spans="1:10" ht="15" hidden="1" customHeight="1" x14ac:dyDescent="0.3">
      <c r="A170" s="93"/>
      <c r="B170" s="93"/>
      <c r="C170" s="93"/>
      <c r="D170" s="1292"/>
      <c r="E170" s="1473">
        <f>'Verification Report'!O170</f>
        <v>0</v>
      </c>
      <c r="F170"/>
      <c r="I170" s="1180"/>
      <c r="J170" s="1180"/>
    </row>
    <row r="171" spans="1:10" ht="15" hidden="1" customHeight="1" x14ac:dyDescent="0.3">
      <c r="A171" s="93"/>
      <c r="B171" s="93"/>
      <c r="C171" s="93"/>
      <c r="D171" s="1292"/>
      <c r="E171" s="1473">
        <f>'Verification Report'!O171</f>
        <v>0</v>
      </c>
      <c r="F171"/>
      <c r="I171" s="1180"/>
      <c r="J171" s="1180"/>
    </row>
    <row r="172" spans="1:10" ht="15" hidden="1" customHeight="1" x14ac:dyDescent="0.3">
      <c r="A172" s="93"/>
      <c r="B172" s="93"/>
      <c r="C172" s="93"/>
      <c r="D172" s="1329" t="s">
        <v>478</v>
      </c>
      <c r="E172" s="1157"/>
      <c r="F172"/>
      <c r="I172" s="1180"/>
      <c r="J172" s="1180"/>
    </row>
    <row r="173" spans="1:10" ht="15" hidden="1" customHeight="1" x14ac:dyDescent="0.3">
      <c r="A173" s="93"/>
      <c r="B173" s="93"/>
      <c r="C173" s="93"/>
      <c r="D173" s="1329"/>
      <c r="E173" s="1157"/>
      <c r="F173"/>
      <c r="I173" s="1180"/>
      <c r="J173" s="1180"/>
    </row>
    <row r="174" spans="1:10" ht="18" hidden="1" x14ac:dyDescent="0.3">
      <c r="A174" s="91" t="s">
        <v>480</v>
      </c>
      <c r="B174" s="91"/>
      <c r="C174" s="91"/>
      <c r="D174" s="87"/>
      <c r="E174" s="71"/>
      <c r="F174"/>
      <c r="I174" s="1180"/>
      <c r="J174" s="1180"/>
    </row>
    <row r="175" spans="1:10" ht="15" hidden="1" customHeight="1" x14ac:dyDescent="0.3">
      <c r="A175" s="94" t="s">
        <v>479</v>
      </c>
      <c r="B175" s="107"/>
      <c r="C175" s="107"/>
      <c r="D175" s="1313" t="s">
        <v>481</v>
      </c>
      <c r="E175" s="1158"/>
      <c r="F175"/>
      <c r="I175" s="1180"/>
      <c r="J175" s="1180"/>
    </row>
    <row r="176" spans="1:10" ht="15" hidden="1" thickBot="1" x14ac:dyDescent="0.35">
      <c r="A176" s="108"/>
      <c r="B176" s="108"/>
      <c r="C176" s="108"/>
      <c r="D176" s="1332"/>
      <c r="E176" s="1161"/>
      <c r="F176"/>
      <c r="I176" s="1180"/>
      <c r="J176" s="1180"/>
    </row>
    <row r="177" spans="1:10" ht="15.75" hidden="1" customHeight="1" thickTop="1" x14ac:dyDescent="0.3">
      <c r="A177" s="119" t="s">
        <v>482</v>
      </c>
      <c r="B177" s="112"/>
      <c r="C177" s="112"/>
      <c r="D177" s="1331" t="s">
        <v>483</v>
      </c>
      <c r="E177" s="1528">
        <f>'Verification Report'!O177</f>
        <v>0</v>
      </c>
      <c r="F177"/>
      <c r="I177" s="1180"/>
      <c r="J177" s="1180"/>
    </row>
    <row r="178" spans="1:10" ht="15" hidden="1" customHeight="1" x14ac:dyDescent="0.3">
      <c r="A178" s="107"/>
      <c r="B178" s="107"/>
      <c r="C178" s="107"/>
      <c r="D178" s="1313"/>
      <c r="E178" s="1473">
        <f>'Verification Report'!O178</f>
        <v>0</v>
      </c>
      <c r="F178"/>
      <c r="I178" s="1180"/>
      <c r="J178" s="1180"/>
    </row>
    <row r="179" spans="1:10" ht="15" hidden="1" customHeight="1" x14ac:dyDescent="0.3">
      <c r="A179" s="107"/>
      <c r="B179" s="107"/>
      <c r="C179" s="107"/>
      <c r="D179" s="1313"/>
      <c r="E179" s="1473">
        <f>'Verification Report'!O179</f>
        <v>0</v>
      </c>
      <c r="F179"/>
      <c r="I179" s="1180"/>
      <c r="J179" s="1180"/>
    </row>
    <row r="180" spans="1:10" ht="15" hidden="1" customHeight="1" x14ac:dyDescent="0.3">
      <c r="A180" s="107"/>
      <c r="B180" s="107"/>
      <c r="C180" s="107"/>
      <c r="D180" s="1313"/>
      <c r="E180" s="1473">
        <f>'Verification Report'!O180</f>
        <v>0</v>
      </c>
      <c r="F180"/>
      <c r="I180" s="1180"/>
      <c r="J180" s="1180"/>
    </row>
    <row r="181" spans="1:10" ht="15.75" hidden="1" customHeight="1" thickBot="1" x14ac:dyDescent="0.35">
      <c r="A181" s="108"/>
      <c r="B181" s="108"/>
      <c r="C181" s="108"/>
      <c r="D181" s="1141" t="s">
        <v>841</v>
      </c>
      <c r="E181" s="1529">
        <f>'Verification Report'!O181</f>
        <v>0</v>
      </c>
      <c r="F181"/>
      <c r="I181" s="1180"/>
      <c r="J181" s="1180"/>
    </row>
    <row r="182" spans="1:10" ht="15.75" hidden="1" customHeight="1" thickTop="1" x14ac:dyDescent="0.3">
      <c r="A182" s="90" t="s">
        <v>484</v>
      </c>
      <c r="B182" s="93"/>
      <c r="C182" s="93"/>
      <c r="D182" s="1292" t="s">
        <v>485</v>
      </c>
      <c r="E182" s="1157"/>
      <c r="F182"/>
      <c r="I182" s="1180"/>
      <c r="J182" s="1180"/>
    </row>
    <row r="183" spans="1:10" ht="15" hidden="1" customHeight="1" x14ac:dyDescent="0.3">
      <c r="A183" s="93"/>
      <c r="B183" s="93"/>
      <c r="C183" s="93"/>
      <c r="D183" s="1292"/>
      <c r="E183" s="1157"/>
      <c r="F183"/>
      <c r="I183" s="1180"/>
      <c r="J183" s="1180"/>
    </row>
    <row r="184" spans="1:10" ht="15" hidden="1" customHeight="1" x14ac:dyDescent="0.3">
      <c r="A184" s="93"/>
      <c r="B184" s="192" t="s">
        <v>271</v>
      </c>
      <c r="C184" s="195"/>
      <c r="D184" s="193" t="s">
        <v>486</v>
      </c>
      <c r="E184" s="1159">
        <f>'Verification Report'!O184</f>
        <v>0</v>
      </c>
      <c r="F184"/>
      <c r="I184" s="1180"/>
      <c r="J184" s="1180"/>
    </row>
    <row r="185" spans="1:10" ht="15" hidden="1" customHeight="1" x14ac:dyDescent="0.3">
      <c r="A185" s="93"/>
      <c r="B185" s="94" t="s">
        <v>273</v>
      </c>
      <c r="C185" s="107"/>
      <c r="D185" s="1305" t="s">
        <v>487</v>
      </c>
      <c r="E185" s="1473">
        <f>'Verification Report'!O185</f>
        <v>0</v>
      </c>
      <c r="F185"/>
      <c r="I185" s="1180"/>
      <c r="J185" s="1180"/>
    </row>
    <row r="186" spans="1:10" ht="15" hidden="1" customHeight="1" x14ac:dyDescent="0.3">
      <c r="A186" s="93"/>
      <c r="B186" s="192"/>
      <c r="C186" s="195"/>
      <c r="D186" s="1306"/>
      <c r="E186" s="1491">
        <f>'Verification Report'!O186</f>
        <v>0</v>
      </c>
      <c r="F186"/>
      <c r="I186" s="1180"/>
      <c r="J186" s="1180"/>
    </row>
    <row r="187" spans="1:10" ht="15" hidden="1" customHeight="1" x14ac:dyDescent="0.3">
      <c r="A187" s="107"/>
      <c r="B187" s="94" t="s">
        <v>275</v>
      </c>
      <c r="C187" s="107"/>
      <c r="D187" s="1305" t="s">
        <v>488</v>
      </c>
      <c r="E187" s="1463">
        <f>'Verification Report'!O187</f>
        <v>0</v>
      </c>
      <c r="F187"/>
      <c r="I187" s="1180"/>
      <c r="J187" s="1180"/>
    </row>
    <row r="188" spans="1:10" ht="15.75" hidden="1" customHeight="1" thickBot="1" x14ac:dyDescent="0.35">
      <c r="A188" s="108"/>
      <c r="B188" s="108"/>
      <c r="C188" s="108"/>
      <c r="D188" s="1330"/>
      <c r="E188" s="1529">
        <f>'Verification Report'!O188</f>
        <v>0</v>
      </c>
      <c r="F188"/>
      <c r="I188" s="1180"/>
      <c r="J188" s="1180"/>
    </row>
    <row r="189" spans="1:10" ht="15.75" customHeight="1" x14ac:dyDescent="0.3">
      <c r="A189" s="90" t="s">
        <v>489</v>
      </c>
      <c r="B189" s="93"/>
      <c r="C189" s="93"/>
      <c r="D189" s="1292" t="s">
        <v>490</v>
      </c>
      <c r="E189" s="1157"/>
      <c r="F189"/>
      <c r="G189" s="1110">
        <v>1</v>
      </c>
      <c r="I189" s="1180"/>
      <c r="J189" s="1180"/>
    </row>
    <row r="190" spans="1:10" x14ac:dyDescent="0.3">
      <c r="A190" s="93"/>
      <c r="B190" s="93"/>
      <c r="C190" s="93"/>
      <c r="D190" s="1292"/>
      <c r="E190" s="1157"/>
      <c r="F190"/>
      <c r="G190" s="1110">
        <v>1</v>
      </c>
      <c r="I190" s="1180"/>
      <c r="J190" s="1180"/>
    </row>
    <row r="191" spans="1:10" x14ac:dyDescent="0.3">
      <c r="A191" s="93"/>
      <c r="B191" s="93"/>
      <c r="C191" s="93"/>
      <c r="D191" s="1292"/>
      <c r="E191" s="1157"/>
      <c r="G191" s="1110">
        <v>1</v>
      </c>
      <c r="I191" s="1180"/>
      <c r="J191" s="1180"/>
    </row>
    <row r="192" spans="1:10" ht="15" customHeight="1" x14ac:dyDescent="0.3">
      <c r="A192" s="93"/>
      <c r="B192" s="94" t="s">
        <v>271</v>
      </c>
      <c r="C192" s="107"/>
      <c r="D192" s="1305" t="s">
        <v>491</v>
      </c>
      <c r="E192" s="1473">
        <f>'Verification Report'!O192</f>
        <v>0</v>
      </c>
      <c r="F192"/>
      <c r="G192" s="1110">
        <v>1</v>
      </c>
      <c r="H192" s="1178"/>
      <c r="I192" s="1180" t="s">
        <v>4737</v>
      </c>
      <c r="J192" s="1180"/>
    </row>
    <row r="193" spans="1:10" x14ac:dyDescent="0.3">
      <c r="A193" s="93"/>
      <c r="B193" s="192"/>
      <c r="C193" s="195"/>
      <c r="D193" s="1306"/>
      <c r="E193" s="1491">
        <f>'Verification Report'!O193</f>
        <v>0</v>
      </c>
      <c r="F193"/>
      <c r="G193" s="1110">
        <v>1</v>
      </c>
      <c r="I193" s="1180"/>
      <c r="J193" s="1180"/>
    </row>
    <row r="194" spans="1:10" x14ac:dyDescent="0.3">
      <c r="A194" s="93"/>
      <c r="B194" s="192" t="s">
        <v>273</v>
      </c>
      <c r="C194" s="195"/>
      <c r="D194" s="193" t="s">
        <v>492</v>
      </c>
      <c r="E194" s="1159">
        <f>'Verification Report'!O194</f>
        <v>0</v>
      </c>
      <c r="F194"/>
      <c r="G194" s="1110">
        <v>1</v>
      </c>
      <c r="H194" s="1178"/>
      <c r="I194" s="1180" t="s">
        <v>4738</v>
      </c>
      <c r="J194" s="1180"/>
    </row>
    <row r="195" spans="1:10" ht="15" customHeight="1" x14ac:dyDescent="0.3">
      <c r="A195" s="93"/>
      <c r="B195" s="94" t="s">
        <v>275</v>
      </c>
      <c r="C195" s="107"/>
      <c r="D195" s="1305" t="s">
        <v>493</v>
      </c>
      <c r="E195" s="1473">
        <f>'Verification Report'!O195</f>
        <v>0</v>
      </c>
      <c r="F195"/>
      <c r="G195" s="1110">
        <v>1</v>
      </c>
      <c r="H195" s="1178"/>
      <c r="I195" s="1180" t="s">
        <v>4739</v>
      </c>
      <c r="J195" s="1180"/>
    </row>
    <row r="196" spans="1:10" x14ac:dyDescent="0.3">
      <c r="A196" s="93"/>
      <c r="B196" s="195"/>
      <c r="C196" s="195"/>
      <c r="D196" s="1306"/>
      <c r="E196" s="1491">
        <f>'Verification Report'!O196</f>
        <v>0</v>
      </c>
      <c r="F196"/>
      <c r="G196" s="1110">
        <v>1</v>
      </c>
      <c r="I196" s="1180"/>
      <c r="J196" s="1180"/>
    </row>
    <row r="197" spans="1:10" ht="15" hidden="1" customHeight="1" x14ac:dyDescent="0.3">
      <c r="A197" s="93"/>
      <c r="B197" s="94" t="s">
        <v>285</v>
      </c>
      <c r="C197" s="107"/>
      <c r="D197" s="1305" t="s">
        <v>494</v>
      </c>
      <c r="E197" s="1473">
        <f>'Verification Report'!O197</f>
        <v>0</v>
      </c>
      <c r="F197"/>
      <c r="I197" s="1180"/>
      <c r="J197" s="1180"/>
    </row>
    <row r="198" spans="1:10" ht="15" hidden="1" customHeight="1" x14ac:dyDescent="0.3">
      <c r="A198" s="93"/>
      <c r="B198" s="195"/>
      <c r="C198" s="195"/>
      <c r="D198" s="1306"/>
      <c r="E198" s="1491">
        <f>'Verification Report'!O198</f>
        <v>0</v>
      </c>
      <c r="F198"/>
      <c r="I198" s="1180"/>
      <c r="J198" s="1180"/>
    </row>
    <row r="199" spans="1:10" ht="15" hidden="1" customHeight="1" x14ac:dyDescent="0.3">
      <c r="A199" s="93"/>
      <c r="B199" s="94" t="s">
        <v>291</v>
      </c>
      <c r="C199" s="107"/>
      <c r="D199" s="1305" t="s">
        <v>495</v>
      </c>
      <c r="E199" s="1473">
        <f>'Verification Report'!O199</f>
        <v>0</v>
      </c>
      <c r="F199"/>
      <c r="I199" s="1180"/>
      <c r="J199" s="1180"/>
    </row>
    <row r="200" spans="1:10" ht="15" hidden="1" customHeight="1" x14ac:dyDescent="0.3">
      <c r="A200" s="93"/>
      <c r="B200" s="107"/>
      <c r="C200" s="107"/>
      <c r="D200" s="1305"/>
      <c r="E200" s="1473">
        <f>'Verification Report'!O200</f>
        <v>0</v>
      </c>
      <c r="F200"/>
      <c r="I200" s="1180"/>
      <c r="J200" s="1180"/>
    </row>
    <row r="201" spans="1:10" ht="15" hidden="1" customHeight="1" x14ac:dyDescent="0.3">
      <c r="A201" s="93"/>
      <c r="B201" s="107"/>
      <c r="C201" s="107"/>
      <c r="D201" s="1305"/>
      <c r="E201" s="1473">
        <f>'Verification Report'!O201</f>
        <v>0</v>
      </c>
      <c r="F201"/>
      <c r="I201" s="1180"/>
      <c r="J201" s="1180"/>
    </row>
    <row r="202" spans="1:10" ht="15" hidden="1" customHeight="1" x14ac:dyDescent="0.3">
      <c r="A202" s="93"/>
      <c r="B202" s="195"/>
      <c r="C202" s="195"/>
      <c r="D202" s="1306"/>
      <c r="E202" s="1491">
        <f>'Verification Report'!O202</f>
        <v>0</v>
      </c>
      <c r="F202"/>
      <c r="I202" s="1180"/>
      <c r="J202" s="1180"/>
    </row>
    <row r="203" spans="1:10" ht="15" hidden="1" customHeight="1" x14ac:dyDescent="0.3">
      <c r="A203" s="93"/>
      <c r="B203" s="94" t="s">
        <v>293</v>
      </c>
      <c r="C203" s="107"/>
      <c r="D203" s="1305" t="s">
        <v>496</v>
      </c>
      <c r="E203" s="1473">
        <f>'Verification Report'!O203</f>
        <v>0</v>
      </c>
      <c r="F203"/>
      <c r="I203" s="1180"/>
      <c r="J203" s="1180"/>
    </row>
    <row r="204" spans="1:10" ht="15" hidden="1" customHeight="1" x14ac:dyDescent="0.3">
      <c r="A204" s="93"/>
      <c r="B204" s="107"/>
      <c r="C204" s="107"/>
      <c r="D204" s="1305"/>
      <c r="E204" s="1473">
        <f>'Verification Report'!O204</f>
        <v>0</v>
      </c>
      <c r="F204"/>
      <c r="I204" s="1180"/>
      <c r="J204" s="1180"/>
    </row>
    <row r="205" spans="1:10" ht="15" hidden="1" customHeight="1" x14ac:dyDescent="0.3">
      <c r="A205" s="93"/>
      <c r="B205" s="195"/>
      <c r="C205" s="195"/>
      <c r="D205" s="1306"/>
      <c r="E205" s="1491">
        <f>'Verification Report'!O205</f>
        <v>0</v>
      </c>
      <c r="F205"/>
      <c r="I205" s="1180"/>
      <c r="J205" s="1180"/>
    </row>
    <row r="206" spans="1:10" hidden="1" x14ac:dyDescent="0.3">
      <c r="A206" s="93"/>
      <c r="B206" s="192" t="s">
        <v>405</v>
      </c>
      <c r="C206" s="195"/>
      <c r="D206" s="193" t="s">
        <v>497</v>
      </c>
      <c r="E206" s="1159">
        <f>'Verification Report'!O206</f>
        <v>0</v>
      </c>
      <c r="F206"/>
      <c r="I206" s="1180"/>
      <c r="J206" s="1180"/>
    </row>
    <row r="207" spans="1:10" ht="15" hidden="1" customHeight="1" x14ac:dyDescent="0.3">
      <c r="A207" s="93"/>
      <c r="B207" s="94" t="s">
        <v>456</v>
      </c>
      <c r="C207" s="107"/>
      <c r="D207" s="1115" t="s">
        <v>3180</v>
      </c>
      <c r="E207" s="1473">
        <f>'Verification Report'!O207</f>
        <v>0</v>
      </c>
      <c r="F207"/>
      <c r="I207" s="1180"/>
      <c r="J207" s="1180"/>
    </row>
    <row r="208" spans="1:10" ht="15" hidden="1" customHeight="1" x14ac:dyDescent="0.3">
      <c r="A208" s="93"/>
      <c r="B208" s="107"/>
      <c r="C208" s="107"/>
      <c r="D208" s="1115" t="s">
        <v>3186</v>
      </c>
      <c r="E208" s="1473">
        <f>'Verification Report'!O208</f>
        <v>0</v>
      </c>
      <c r="F208"/>
      <c r="I208" s="1180"/>
      <c r="J208" s="1180"/>
    </row>
    <row r="209" spans="1:10" ht="15" hidden="1" customHeight="1" x14ac:dyDescent="0.3">
      <c r="A209" s="93"/>
      <c r="B209" s="107"/>
      <c r="C209" s="107"/>
      <c r="D209" s="1115" t="s">
        <v>3185</v>
      </c>
      <c r="E209" s="1473">
        <f>'Verification Report'!O209</f>
        <v>0</v>
      </c>
      <c r="F209"/>
      <c r="I209" s="1180"/>
      <c r="J209" s="1180"/>
    </row>
    <row r="210" spans="1:10" ht="15" hidden="1" customHeight="1" x14ac:dyDescent="0.3">
      <c r="A210" s="93"/>
      <c r="B210" s="107"/>
      <c r="C210" s="107"/>
      <c r="D210" s="1115" t="s">
        <v>3184</v>
      </c>
      <c r="E210" s="1473">
        <f>'Verification Report'!O210</f>
        <v>0</v>
      </c>
      <c r="F210"/>
      <c r="I210" s="1180"/>
      <c r="J210" s="1180"/>
    </row>
    <row r="211" spans="1:10" ht="15" hidden="1" customHeight="1" x14ac:dyDescent="0.3">
      <c r="A211" s="93"/>
      <c r="B211" s="107"/>
      <c r="C211" s="107"/>
      <c r="D211" s="1115" t="s">
        <v>3183</v>
      </c>
      <c r="E211" s="1473">
        <f>'Verification Report'!O211</f>
        <v>0</v>
      </c>
      <c r="F211"/>
      <c r="I211" s="1180"/>
      <c r="J211" s="1180"/>
    </row>
    <row r="212" spans="1:10" ht="15" hidden="1" customHeight="1" x14ac:dyDescent="0.3">
      <c r="A212" s="93"/>
      <c r="B212" s="107"/>
      <c r="C212" s="107"/>
      <c r="D212" s="1115" t="s">
        <v>3182</v>
      </c>
      <c r="E212" s="1473">
        <f>'Verification Report'!O212</f>
        <v>0</v>
      </c>
      <c r="F212"/>
      <c r="I212" s="1180"/>
      <c r="J212" s="1180"/>
    </row>
    <row r="213" spans="1:10" ht="15" hidden="1" customHeight="1" x14ac:dyDescent="0.3">
      <c r="A213" s="93"/>
      <c r="B213" s="107"/>
      <c r="C213" s="107"/>
      <c r="D213" s="1115" t="s">
        <v>3181</v>
      </c>
      <c r="E213" s="1473">
        <f>'Verification Report'!O213</f>
        <v>0</v>
      </c>
      <c r="F213"/>
      <c r="I213" s="1180"/>
      <c r="J213" s="1180"/>
    </row>
    <row r="214" spans="1:10" ht="15" hidden="1" customHeight="1" x14ac:dyDescent="0.3">
      <c r="A214" s="93"/>
      <c r="B214" s="195"/>
      <c r="C214" s="195"/>
      <c r="D214" s="1137" t="s">
        <v>3179</v>
      </c>
      <c r="E214" s="1491">
        <f>'Verification Report'!O214</f>
        <v>0</v>
      </c>
      <c r="F214"/>
      <c r="I214" s="1180"/>
      <c r="J214" s="1180"/>
    </row>
    <row r="215" spans="1:10" hidden="1" x14ac:dyDescent="0.3">
      <c r="A215" s="93"/>
      <c r="B215" s="90" t="s">
        <v>458</v>
      </c>
      <c r="C215" s="93"/>
      <c r="D215" s="86" t="s">
        <v>498</v>
      </c>
      <c r="E215" s="1157">
        <f>'Verification Report'!O215</f>
        <v>0</v>
      </c>
      <c r="F215"/>
      <c r="I215" s="1180"/>
      <c r="J215" s="1180"/>
    </row>
    <row r="216" spans="1:10" ht="18" hidden="1" x14ac:dyDescent="0.3">
      <c r="A216" s="72" t="s">
        <v>500</v>
      </c>
      <c r="B216" s="72"/>
      <c r="C216" s="72"/>
      <c r="D216" s="87"/>
      <c r="E216" s="71"/>
      <c r="F216"/>
      <c r="I216" s="1180"/>
      <c r="J216" s="1180"/>
    </row>
    <row r="217" spans="1:10" ht="15" hidden="1" customHeight="1" x14ac:dyDescent="0.3">
      <c r="A217" s="94" t="s">
        <v>4437</v>
      </c>
      <c r="B217" s="107"/>
      <c r="C217" s="107"/>
      <c r="D217" s="1313" t="s">
        <v>501</v>
      </c>
      <c r="E217" s="1158"/>
      <c r="F217"/>
      <c r="I217" s="1180"/>
      <c r="J217" s="1180"/>
    </row>
    <row r="218" spans="1:10" hidden="1" x14ac:dyDescent="0.3">
      <c r="A218" s="107"/>
      <c r="B218" s="107"/>
      <c r="C218" s="107"/>
      <c r="D218" s="1313"/>
      <c r="E218" s="1158"/>
      <c r="F218"/>
      <c r="I218" s="1180"/>
      <c r="J218" s="1180"/>
    </row>
    <row r="219" spans="1:10" ht="15" hidden="1" thickBot="1" x14ac:dyDescent="0.35">
      <c r="A219" s="108"/>
      <c r="B219" s="108"/>
      <c r="C219" s="108"/>
      <c r="D219" s="1332"/>
      <c r="E219" s="1161"/>
      <c r="F219"/>
      <c r="I219" s="1180"/>
      <c r="J219" s="1180"/>
    </row>
    <row r="220" spans="1:10" ht="15.75" customHeight="1" x14ac:dyDescent="0.3">
      <c r="A220" s="90" t="s">
        <v>502</v>
      </c>
      <c r="B220" s="93"/>
      <c r="C220" s="93"/>
      <c r="D220" s="1292" t="s">
        <v>503</v>
      </c>
      <c r="E220" s="1157"/>
      <c r="F220"/>
      <c r="G220" s="1110">
        <v>1</v>
      </c>
      <c r="I220" s="1180"/>
      <c r="J220" s="1180"/>
    </row>
    <row r="221" spans="1:10" x14ac:dyDescent="0.3">
      <c r="A221" s="93"/>
      <c r="B221" s="93"/>
      <c r="C221" s="93"/>
      <c r="D221" s="1292"/>
      <c r="E221" s="1157"/>
      <c r="F221"/>
      <c r="G221" s="1110">
        <v>1</v>
      </c>
      <c r="I221" s="1180"/>
      <c r="J221" s="1180"/>
    </row>
    <row r="222" spans="1:10" ht="15" customHeight="1" x14ac:dyDescent="0.3">
      <c r="A222" s="93"/>
      <c r="B222" s="94" t="s">
        <v>271</v>
      </c>
      <c r="C222" s="107"/>
      <c r="D222" s="1305" t="s">
        <v>504</v>
      </c>
      <c r="E222" s="1473">
        <f>'Verification Report'!O222</f>
        <v>0</v>
      </c>
      <c r="F222"/>
      <c r="G222" s="1110">
        <v>1</v>
      </c>
      <c r="H222" s="1178"/>
      <c r="I222" s="1180" t="s">
        <v>4740</v>
      </c>
      <c r="J222" s="1180"/>
    </row>
    <row r="223" spans="1:10" x14ac:dyDescent="0.3">
      <c r="A223" s="93"/>
      <c r="B223" s="192"/>
      <c r="C223" s="195"/>
      <c r="D223" s="1306"/>
      <c r="E223" s="1491">
        <f>'Verification Report'!O223</f>
        <v>0</v>
      </c>
      <c r="F223"/>
      <c r="G223" s="1110">
        <v>1</v>
      </c>
      <c r="I223" s="1180"/>
      <c r="J223" s="1180"/>
    </row>
    <row r="224" spans="1:10" hidden="1" x14ac:dyDescent="0.3">
      <c r="A224" s="93"/>
      <c r="B224" s="192" t="s">
        <v>273</v>
      </c>
      <c r="C224" s="195"/>
      <c r="D224" s="193" t="s">
        <v>505</v>
      </c>
      <c r="E224" s="1159">
        <f ca="1">'Verification Report'!O224</f>
        <v>0</v>
      </c>
      <c r="F224"/>
      <c r="I224" s="1180"/>
      <c r="J224" s="1180"/>
    </row>
    <row r="225" spans="1:10" ht="15" hidden="1" customHeight="1" x14ac:dyDescent="0.3">
      <c r="A225" s="93"/>
      <c r="B225" s="90" t="s">
        <v>275</v>
      </c>
      <c r="C225" s="93"/>
      <c r="D225" s="86" t="s">
        <v>506</v>
      </c>
      <c r="E225" s="1157">
        <f ca="1">'Verification Report'!O225</f>
        <v>0</v>
      </c>
      <c r="F225"/>
      <c r="I225" s="1180"/>
      <c r="J225" s="1180"/>
    </row>
    <row r="226" spans="1:10" ht="15" hidden="1" customHeight="1" x14ac:dyDescent="0.3">
      <c r="A226" s="89"/>
      <c r="B226" s="93"/>
      <c r="C226" s="90" t="s">
        <v>121</v>
      </c>
      <c r="D226" s="86" t="s">
        <v>507</v>
      </c>
      <c r="E226" s="1157"/>
      <c r="F226"/>
      <c r="I226" s="1180"/>
      <c r="J226" s="1180"/>
    </row>
    <row r="227" spans="1:10" ht="15" hidden="1" customHeight="1" x14ac:dyDescent="0.3">
      <c r="A227" s="89"/>
      <c r="B227" s="93"/>
      <c r="C227" s="90" t="s">
        <v>122</v>
      </c>
      <c r="D227" s="86" t="s">
        <v>508</v>
      </c>
      <c r="E227" s="1157"/>
      <c r="F227"/>
      <c r="I227" s="1180"/>
      <c r="J227" s="1180"/>
    </row>
    <row r="228" spans="1:10" ht="15" hidden="1" customHeight="1" x14ac:dyDescent="0.3">
      <c r="A228" s="89"/>
      <c r="B228" s="195"/>
      <c r="C228" s="197" t="s">
        <v>123</v>
      </c>
      <c r="D228" s="193" t="s">
        <v>413</v>
      </c>
      <c r="E228" s="1159"/>
      <c r="F228"/>
      <c r="I228" s="1180"/>
      <c r="J228" s="1180"/>
    </row>
    <row r="229" spans="1:10" ht="15" hidden="1" customHeight="1" x14ac:dyDescent="0.3">
      <c r="A229" s="93"/>
      <c r="B229" s="90" t="s">
        <v>285</v>
      </c>
      <c r="C229" s="93"/>
      <c r="D229" s="1329" t="s">
        <v>509</v>
      </c>
      <c r="E229" s="1463">
        <f ca="1">'Verification Report'!O229</f>
        <v>0</v>
      </c>
      <c r="F229"/>
      <c r="I229" s="1180"/>
      <c r="J229" s="1180"/>
    </row>
    <row r="230" spans="1:10" ht="15" hidden="1" customHeight="1" x14ac:dyDescent="0.3">
      <c r="A230" s="93"/>
      <c r="B230" s="93"/>
      <c r="C230" s="93"/>
      <c r="D230" s="1329"/>
      <c r="E230" s="1463">
        <f>'Verification Report'!O230</f>
        <v>0</v>
      </c>
      <c r="F230"/>
      <c r="I230" s="1180"/>
      <c r="J230" s="1180"/>
    </row>
    <row r="231" spans="1:10" ht="15" hidden="1" customHeight="1" x14ac:dyDescent="0.3">
      <c r="A231" s="89"/>
      <c r="B231" s="93"/>
      <c r="C231" s="90" t="s">
        <v>121</v>
      </c>
      <c r="D231" s="86" t="s">
        <v>510</v>
      </c>
      <c r="E231" s="1157"/>
      <c r="F231"/>
      <c r="I231" s="1180"/>
      <c r="J231" s="1180"/>
    </row>
    <row r="232" spans="1:10" ht="15" hidden="1" customHeight="1" x14ac:dyDescent="0.3">
      <c r="A232" s="89"/>
      <c r="B232" s="93"/>
      <c r="C232" s="90" t="s">
        <v>122</v>
      </c>
      <c r="D232" s="86" t="s">
        <v>412</v>
      </c>
      <c r="E232" s="1157"/>
      <c r="F232"/>
      <c r="I232" s="1180"/>
      <c r="J232" s="1180"/>
    </row>
    <row r="233" spans="1:10" ht="15.75" hidden="1" customHeight="1" thickBot="1" x14ac:dyDescent="0.35">
      <c r="A233" s="120"/>
      <c r="B233" s="108"/>
      <c r="C233" s="116" t="s">
        <v>123</v>
      </c>
      <c r="D233" s="100" t="s">
        <v>413</v>
      </c>
      <c r="E233" s="1161"/>
      <c r="F233"/>
      <c r="I233" s="1180"/>
      <c r="J233" s="1180"/>
    </row>
    <row r="234" spans="1:10" x14ac:dyDescent="0.3">
      <c r="A234" s="90" t="s">
        <v>512</v>
      </c>
      <c r="B234" s="93"/>
      <c r="C234" s="93"/>
      <c r="D234" s="88" t="s">
        <v>513</v>
      </c>
      <c r="E234" s="1157"/>
      <c r="F234"/>
      <c r="G234" s="1110">
        <v>1</v>
      </c>
      <c r="I234" s="1180"/>
      <c r="J234" s="1180"/>
    </row>
    <row r="235" spans="1:10" ht="15" customHeight="1" x14ac:dyDescent="0.3">
      <c r="A235" s="93"/>
      <c r="B235" s="90" t="s">
        <v>271</v>
      </c>
      <c r="C235" s="93"/>
      <c r="D235" s="1329" t="s">
        <v>514</v>
      </c>
      <c r="E235" s="1463">
        <f>'Verification Report'!O235</f>
        <v>0</v>
      </c>
      <c r="G235" s="1110">
        <v>1</v>
      </c>
      <c r="I235" s="1180"/>
      <c r="J235" s="1180"/>
    </row>
    <row r="236" spans="1:10" x14ac:dyDescent="0.3">
      <c r="A236" s="93"/>
      <c r="B236" s="93"/>
      <c r="C236" s="93"/>
      <c r="D236" s="1329"/>
      <c r="E236" s="1463">
        <f>'Verification Report'!O236</f>
        <v>0</v>
      </c>
      <c r="G236" s="1110">
        <v>1</v>
      </c>
      <c r="I236" s="1180"/>
      <c r="J236" s="1180"/>
    </row>
    <row r="237" spans="1:10" ht="15" customHeight="1" x14ac:dyDescent="0.3">
      <c r="A237" s="89"/>
      <c r="B237" s="93"/>
      <c r="C237" s="90" t="s">
        <v>121</v>
      </c>
      <c r="D237" s="1329" t="s">
        <v>515</v>
      </c>
      <c r="E237" s="1157"/>
      <c r="F237" s="1176" t="str">
        <f>IF('Verification Report'!W237="","",'Verification Report'!W237)</f>
        <v/>
      </c>
      <c r="G237" s="1110">
        <v>1</v>
      </c>
      <c r="H237" s="1178"/>
      <c r="I237" s="1180" t="s">
        <v>4741</v>
      </c>
      <c r="J237" s="1180"/>
    </row>
    <row r="238" spans="1:10" x14ac:dyDescent="0.3">
      <c r="A238" s="89"/>
      <c r="B238" s="93"/>
      <c r="C238" s="93"/>
      <c r="D238" s="1329"/>
      <c r="E238" s="1157"/>
      <c r="G238" s="1110">
        <v>1</v>
      </c>
      <c r="I238" s="1180"/>
      <c r="J238" s="1180"/>
    </row>
    <row r="239" spans="1:10" x14ac:dyDescent="0.3">
      <c r="A239" s="89"/>
      <c r="B239" s="93"/>
      <c r="C239" s="93"/>
      <c r="D239" s="1329"/>
      <c r="E239" s="1157"/>
      <c r="G239" s="1110">
        <v>1</v>
      </c>
      <c r="I239" s="1180"/>
      <c r="J239" s="1180"/>
    </row>
    <row r="240" spans="1:10" ht="15" customHeight="1" x14ac:dyDescent="0.3">
      <c r="A240" s="89"/>
      <c r="B240" s="93"/>
      <c r="C240" s="90" t="s">
        <v>122</v>
      </c>
      <c r="D240" s="1329" t="s">
        <v>516</v>
      </c>
      <c r="E240" s="1157"/>
      <c r="F240" s="1176" t="str">
        <f>IF('Verification Report'!W240="","",'Verification Report'!W240)</f>
        <v/>
      </c>
      <c r="G240" s="1110">
        <v>1</v>
      </c>
      <c r="H240" s="1178"/>
      <c r="I240" s="1180" t="s">
        <v>4742</v>
      </c>
      <c r="J240" s="1180"/>
    </row>
    <row r="241" spans="1:10" x14ac:dyDescent="0.3">
      <c r="A241" s="89"/>
      <c r="B241" s="93"/>
      <c r="C241" s="93"/>
      <c r="D241" s="1329"/>
      <c r="E241" s="1157"/>
      <c r="G241" s="1110">
        <v>1</v>
      </c>
      <c r="I241" s="1180"/>
      <c r="J241" s="1180"/>
    </row>
    <row r="242" spans="1:10" x14ac:dyDescent="0.3">
      <c r="A242" s="89"/>
      <c r="B242" s="93"/>
      <c r="C242" s="93"/>
      <c r="D242" s="1329"/>
      <c r="E242" s="1157"/>
      <c r="F242"/>
      <c r="G242" s="1110">
        <v>1</v>
      </c>
      <c r="I242" s="1180"/>
      <c r="J242" s="1180"/>
    </row>
    <row r="243" spans="1:10" x14ac:dyDescent="0.3">
      <c r="A243" s="89"/>
      <c r="B243" s="93"/>
      <c r="C243" s="93"/>
      <c r="D243" s="1329"/>
      <c r="E243" s="1157"/>
      <c r="F243"/>
      <c r="G243" s="1110">
        <v>1</v>
      </c>
      <c r="I243" s="1180"/>
      <c r="J243" s="1180"/>
    </row>
    <row r="244" spans="1:10" ht="15" hidden="1" customHeight="1" x14ac:dyDescent="0.3">
      <c r="A244" s="89"/>
      <c r="B244" s="195"/>
      <c r="C244" s="197" t="s">
        <v>123</v>
      </c>
      <c r="D244" s="193" t="s">
        <v>517</v>
      </c>
      <c r="E244" s="1159"/>
      <c r="F244"/>
      <c r="I244" s="1180"/>
      <c r="J244" s="1180"/>
    </row>
    <row r="245" spans="1:10" ht="15" customHeight="1" x14ac:dyDescent="0.3">
      <c r="A245" s="107"/>
      <c r="B245" s="94" t="s">
        <v>273</v>
      </c>
      <c r="C245" s="107"/>
      <c r="D245" s="1305" t="s">
        <v>518</v>
      </c>
      <c r="E245" s="1473">
        <f>'Verification Report'!O245</f>
        <v>0</v>
      </c>
      <c r="F245"/>
      <c r="G245" s="1110">
        <v>1</v>
      </c>
      <c r="H245" s="1178"/>
      <c r="I245" s="1180" t="s">
        <v>4743</v>
      </c>
      <c r="J245" s="1180"/>
    </row>
    <row r="246" spans="1:10" x14ac:dyDescent="0.3">
      <c r="A246" s="107"/>
      <c r="B246" s="107"/>
      <c r="C246" s="107"/>
      <c r="D246" s="1305"/>
      <c r="E246" s="1473">
        <f>'Verification Report'!O246</f>
        <v>0</v>
      </c>
      <c r="F246"/>
      <c r="G246" s="1110">
        <v>1</v>
      </c>
      <c r="I246" s="1180"/>
      <c r="J246" s="1180"/>
    </row>
    <row r="247" spans="1:10" ht="15" thickBot="1" x14ac:dyDescent="0.35">
      <c r="A247" s="108"/>
      <c r="B247" s="108"/>
      <c r="C247" s="108"/>
      <c r="D247" s="1330"/>
      <c r="E247" s="1529">
        <f>'Verification Report'!O247</f>
        <v>0</v>
      </c>
      <c r="F247"/>
      <c r="G247" s="1110">
        <v>1</v>
      </c>
      <c r="I247" s="1180"/>
      <c r="J247" s="1180"/>
    </row>
    <row r="248" spans="1:10" ht="15.6" thickTop="1" thickBot="1" x14ac:dyDescent="0.35">
      <c r="A248" s="90" t="s">
        <v>519</v>
      </c>
      <c r="B248" s="93"/>
      <c r="C248" s="93"/>
      <c r="D248" s="88" t="s">
        <v>520</v>
      </c>
      <c r="E248" s="1157">
        <f ca="1">'Verification Report'!O248</f>
        <v>0</v>
      </c>
      <c r="F248"/>
      <c r="G248" s="1110">
        <v>1</v>
      </c>
      <c r="H248" s="1178"/>
      <c r="I248" s="1180" t="s">
        <v>4744</v>
      </c>
      <c r="J248" s="1180"/>
    </row>
    <row r="249" spans="1:10" ht="15.75" hidden="1" customHeight="1" x14ac:dyDescent="0.3">
      <c r="A249" s="93"/>
      <c r="B249" s="192" t="s">
        <v>271</v>
      </c>
      <c r="C249" s="195"/>
      <c r="D249" s="193" t="s">
        <v>521</v>
      </c>
      <c r="E249" s="1157"/>
      <c r="F249"/>
      <c r="I249" s="1180"/>
      <c r="J249" s="1180"/>
    </row>
    <row r="250" spans="1:10" ht="15.75" hidden="1" customHeight="1" x14ac:dyDescent="0.3">
      <c r="A250" s="93"/>
      <c r="B250" s="192" t="s">
        <v>273</v>
      </c>
      <c r="C250" s="195"/>
      <c r="D250" s="193" t="s">
        <v>522</v>
      </c>
      <c r="E250" s="1157"/>
      <c r="F250"/>
      <c r="I250" s="1180"/>
      <c r="J250" s="1180"/>
    </row>
    <row r="251" spans="1:10" ht="15.75" hidden="1" customHeight="1" x14ac:dyDescent="0.3">
      <c r="A251" s="93"/>
      <c r="B251" s="192" t="s">
        <v>275</v>
      </c>
      <c r="C251" s="195"/>
      <c r="D251" s="193" t="s">
        <v>523</v>
      </c>
      <c r="E251" s="1157"/>
      <c r="F251"/>
      <c r="I251" s="1180"/>
      <c r="J251" s="1180"/>
    </row>
    <row r="252" spans="1:10" ht="15.75" hidden="1" customHeight="1" x14ac:dyDescent="0.3">
      <c r="A252" s="93"/>
      <c r="B252" s="192" t="s">
        <v>285</v>
      </c>
      <c r="C252" s="195"/>
      <c r="D252" s="193" t="s">
        <v>524</v>
      </c>
      <c r="E252" s="1157"/>
      <c r="F252"/>
      <c r="I252" s="1180"/>
      <c r="J252" s="1180"/>
    </row>
    <row r="253" spans="1:10" ht="15.75" hidden="1" customHeight="1" thickBot="1" x14ac:dyDescent="0.35">
      <c r="A253" s="108"/>
      <c r="B253" s="99" t="s">
        <v>291</v>
      </c>
      <c r="C253" s="108"/>
      <c r="D253" s="100" t="s">
        <v>525</v>
      </c>
      <c r="E253" s="1161"/>
      <c r="F253"/>
      <c r="I253" s="1180"/>
      <c r="J253" s="1180"/>
    </row>
    <row r="254" spans="1:10" ht="15.6" hidden="1" thickTop="1" thickBot="1" x14ac:dyDescent="0.35">
      <c r="A254" s="121" t="s">
        <v>526</v>
      </c>
      <c r="B254" s="122"/>
      <c r="C254" s="122"/>
      <c r="D254" s="123" t="s">
        <v>527</v>
      </c>
      <c r="E254" s="126">
        <f ca="1">'Verification Report'!O254</f>
        <v>0</v>
      </c>
      <c r="F254"/>
      <c r="I254" s="1180"/>
      <c r="J254" s="1180"/>
    </row>
    <row r="255" spans="1:10" ht="15.75" hidden="1" customHeight="1" thickTop="1" x14ac:dyDescent="0.3">
      <c r="A255" s="119" t="s">
        <v>528</v>
      </c>
      <c r="B255" s="112"/>
      <c r="C255" s="112"/>
      <c r="D255" s="1331" t="s">
        <v>529</v>
      </c>
      <c r="E255" s="1528">
        <f>'Verification Report'!O255</f>
        <v>0</v>
      </c>
      <c r="F255"/>
      <c r="I255" s="1180"/>
      <c r="J255" s="1180"/>
    </row>
    <row r="256" spans="1:10" ht="15.75" hidden="1" customHeight="1" thickBot="1" x14ac:dyDescent="0.35">
      <c r="A256" s="108"/>
      <c r="B256" s="108"/>
      <c r="C256" s="108"/>
      <c r="D256" s="1332"/>
      <c r="E256" s="1529">
        <f>'Verification Report'!O256</f>
        <v>0</v>
      </c>
      <c r="F256"/>
      <c r="I256" s="1180"/>
      <c r="J256" s="1180"/>
    </row>
    <row r="257" spans="1:10" ht="15.75" hidden="1" customHeight="1" thickTop="1" x14ac:dyDescent="0.3">
      <c r="A257" s="119" t="s">
        <v>530</v>
      </c>
      <c r="B257" s="112"/>
      <c r="C257" s="112"/>
      <c r="D257" s="1331" t="s">
        <v>531</v>
      </c>
      <c r="E257" s="1528">
        <f ca="1">'Verification Report'!O257</f>
        <v>0</v>
      </c>
      <c r="F257"/>
      <c r="I257" s="1180"/>
      <c r="J257" s="1180"/>
    </row>
    <row r="258" spans="1:10" ht="15.75" hidden="1" customHeight="1" x14ac:dyDescent="0.3">
      <c r="A258" s="107"/>
      <c r="B258" s="107"/>
      <c r="C258" s="107"/>
      <c r="D258" s="1313"/>
      <c r="E258" s="1473">
        <f>'Verification Report'!O258</f>
        <v>0</v>
      </c>
      <c r="F258"/>
      <c r="I258" s="1180"/>
      <c r="J258" s="1180"/>
    </row>
    <row r="259" spans="1:10" ht="15.75" hidden="1" customHeight="1" x14ac:dyDescent="0.3">
      <c r="A259" s="107"/>
      <c r="B259" s="107"/>
      <c r="C259" s="107"/>
      <c r="D259" s="1313"/>
      <c r="E259" s="1473">
        <f>'Verification Report'!O259</f>
        <v>0</v>
      </c>
      <c r="F259"/>
      <c r="I259" s="1180"/>
      <c r="J259" s="1180"/>
    </row>
    <row r="260" spans="1:10" ht="15.75" hidden="1" customHeight="1" x14ac:dyDescent="0.3">
      <c r="A260" s="107"/>
      <c r="B260" s="107"/>
      <c r="C260" s="107"/>
      <c r="D260" s="1313"/>
      <c r="E260" s="1473">
        <f>'Verification Report'!O260</f>
        <v>0</v>
      </c>
      <c r="F260" s="97"/>
      <c r="I260" s="1180"/>
      <c r="J260" s="1180"/>
    </row>
    <row r="261" spans="1:10" ht="15.75" hidden="1" customHeight="1" x14ac:dyDescent="0.3">
      <c r="A261" s="107"/>
      <c r="B261" s="107"/>
      <c r="C261" s="107"/>
      <c r="D261" s="1313"/>
      <c r="E261" s="1473">
        <f>'Verification Report'!O261</f>
        <v>0</v>
      </c>
      <c r="F261"/>
      <c r="I261" s="1180"/>
      <c r="J261" s="1180"/>
    </row>
    <row r="262" spans="1:10" ht="15.75" hidden="1" customHeight="1" thickBot="1" x14ac:dyDescent="0.35">
      <c r="A262" s="108"/>
      <c r="B262" s="108"/>
      <c r="C262" s="108"/>
      <c r="D262" s="1332"/>
      <c r="E262" s="1529">
        <f>'Verification Report'!O262</f>
        <v>0</v>
      </c>
      <c r="F262"/>
      <c r="I262" s="1180"/>
      <c r="J262" s="1180"/>
    </row>
    <row r="263" spans="1:10" ht="18.600000000000001" hidden="1" thickBot="1" x14ac:dyDescent="0.4">
      <c r="A263" s="22" t="s">
        <v>536</v>
      </c>
      <c r="B263" s="22"/>
      <c r="C263" s="22"/>
      <c r="D263" s="23"/>
      <c r="E263" s="24"/>
      <c r="F263"/>
      <c r="I263" s="1180"/>
      <c r="J263" s="1180"/>
    </row>
    <row r="264" spans="1:10" ht="15" hidden="1" customHeight="1" x14ac:dyDescent="0.3">
      <c r="A264" s="81" t="s">
        <v>537</v>
      </c>
      <c r="B264" s="27"/>
      <c r="C264" s="90"/>
      <c r="D264" s="1292" t="s">
        <v>538</v>
      </c>
      <c r="E264" s="1157"/>
      <c r="F264"/>
      <c r="I264" s="1180"/>
      <c r="J264" s="1180"/>
    </row>
    <row r="265" spans="1:10" ht="15" hidden="1" thickBot="1" x14ac:dyDescent="0.35">
      <c r="A265" s="66"/>
      <c r="B265" s="4"/>
      <c r="C265" s="86"/>
      <c r="D265" s="1292"/>
      <c r="E265" s="1157"/>
      <c r="F265"/>
      <c r="I265" s="1180"/>
      <c r="J265" s="1180"/>
    </row>
    <row r="266" spans="1:10" ht="15" hidden="1" thickBot="1" x14ac:dyDescent="0.35">
      <c r="A266" s="66"/>
      <c r="B266" s="4"/>
      <c r="C266" s="86"/>
      <c r="D266" s="1292"/>
      <c r="E266" s="1157"/>
      <c r="F266"/>
      <c r="I266" s="1180"/>
      <c r="J266" s="1180"/>
    </row>
    <row r="267" spans="1:10" ht="15.75" customHeight="1" thickTop="1" x14ac:dyDescent="0.3">
      <c r="A267" s="200">
        <v>601.1</v>
      </c>
      <c r="B267" s="201"/>
      <c r="C267" s="202"/>
      <c r="D267" s="1331" t="s">
        <v>539</v>
      </c>
      <c r="E267" s="1528">
        <f>'Verification Report'!O267</f>
        <v>0</v>
      </c>
      <c r="F267"/>
      <c r="G267" s="1110">
        <v>1</v>
      </c>
      <c r="H267" s="1178"/>
      <c r="I267" s="1180" t="s">
        <v>4744</v>
      </c>
      <c r="J267" s="1180"/>
    </row>
    <row r="268" spans="1:10" x14ac:dyDescent="0.3">
      <c r="A268" s="141"/>
      <c r="B268" s="140"/>
      <c r="C268" s="98"/>
      <c r="D268" s="1313"/>
      <c r="E268" s="1473">
        <f>'Verification Report'!O268</f>
        <v>0</v>
      </c>
      <c r="F268"/>
      <c r="G268" s="1110">
        <v>1</v>
      </c>
      <c r="I268" s="1180"/>
      <c r="J268" s="1180"/>
    </row>
    <row r="269" spans="1:10" x14ac:dyDescent="0.3">
      <c r="A269" s="141"/>
      <c r="B269" s="140"/>
      <c r="C269" s="98"/>
      <c r="D269" s="1313"/>
      <c r="E269" s="1473">
        <f>'Verification Report'!O269</f>
        <v>0</v>
      </c>
      <c r="F269"/>
      <c r="G269" s="1110">
        <v>1</v>
      </c>
      <c r="I269" s="1180"/>
      <c r="J269" s="1180"/>
    </row>
    <row r="270" spans="1:10" ht="15" thickBot="1" x14ac:dyDescent="0.35">
      <c r="A270" s="141"/>
      <c r="B270" s="140"/>
      <c r="C270" s="98"/>
      <c r="D270" s="1313"/>
      <c r="E270" s="1473">
        <f>'Verification Report'!O270</f>
        <v>0</v>
      </c>
      <c r="F270"/>
      <c r="G270" s="1110">
        <v>1</v>
      </c>
      <c r="I270" s="1180"/>
      <c r="J270" s="1180"/>
    </row>
    <row r="271" spans="1:10" ht="15.75" hidden="1" customHeight="1" x14ac:dyDescent="0.3">
      <c r="A271" s="141"/>
      <c r="B271" s="231" t="s">
        <v>271</v>
      </c>
      <c r="C271" s="193"/>
      <c r="D271" s="232" t="s">
        <v>540</v>
      </c>
      <c r="E271" s="1158"/>
      <c r="F271"/>
      <c r="I271" s="1180"/>
      <c r="J271" s="1180"/>
    </row>
    <row r="272" spans="1:10" ht="15.75" hidden="1" customHeight="1" x14ac:dyDescent="0.3">
      <c r="A272" s="141"/>
      <c r="B272" s="233" t="s">
        <v>273</v>
      </c>
      <c r="C272" s="234"/>
      <c r="D272" s="235" t="s">
        <v>541</v>
      </c>
      <c r="E272" s="1158"/>
      <c r="F272"/>
      <c r="I272" s="1180"/>
      <c r="J272" s="1180"/>
    </row>
    <row r="273" spans="1:10" ht="15.75" hidden="1" customHeight="1" x14ac:dyDescent="0.3">
      <c r="A273" s="141"/>
      <c r="B273" s="233" t="s">
        <v>275</v>
      </c>
      <c r="C273" s="234"/>
      <c r="D273" s="235" t="s">
        <v>542</v>
      </c>
      <c r="E273" s="1158"/>
      <c r="F273" s="97"/>
      <c r="I273" s="1180"/>
      <c r="J273" s="1180"/>
    </row>
    <row r="274" spans="1:10" ht="15.75" hidden="1" customHeight="1" x14ac:dyDescent="0.3">
      <c r="A274" s="141"/>
      <c r="B274" s="233" t="s">
        <v>285</v>
      </c>
      <c r="C274" s="234"/>
      <c r="D274" s="235" t="s">
        <v>543</v>
      </c>
      <c r="E274" s="1158"/>
      <c r="F274" s="97"/>
      <c r="I274" s="1180"/>
      <c r="J274" s="1180"/>
    </row>
    <row r="275" spans="1:10" ht="15.75" hidden="1" customHeight="1" x14ac:dyDescent="0.3">
      <c r="A275" s="141"/>
      <c r="B275" s="233" t="s">
        <v>291</v>
      </c>
      <c r="C275" s="234"/>
      <c r="D275" s="235" t="s">
        <v>544</v>
      </c>
      <c r="E275" s="1158"/>
      <c r="F275" s="97"/>
      <c r="I275" s="1180"/>
      <c r="J275" s="1180"/>
    </row>
    <row r="276" spans="1:10" ht="15.75" hidden="1" customHeight="1" x14ac:dyDescent="0.3">
      <c r="A276" s="141"/>
      <c r="B276" s="203" t="s">
        <v>293</v>
      </c>
      <c r="C276" s="98"/>
      <c r="D276" s="974" t="s">
        <v>545</v>
      </c>
      <c r="E276" s="1158"/>
      <c r="F276" s="97"/>
      <c r="I276" s="1180"/>
      <c r="J276" s="1180"/>
    </row>
    <row r="277" spans="1:10" ht="15" hidden="1" customHeight="1" x14ac:dyDescent="0.3">
      <c r="A277" s="141"/>
      <c r="B277" s="140"/>
      <c r="C277" s="98"/>
      <c r="D277" s="1313" t="s">
        <v>546</v>
      </c>
      <c r="E277" s="1158"/>
      <c r="F277" s="97"/>
      <c r="I277" s="1180"/>
      <c r="J277" s="1180"/>
    </row>
    <row r="278" spans="1:10" ht="15.75" hidden="1" customHeight="1" x14ac:dyDescent="0.3">
      <c r="A278" s="141"/>
      <c r="B278" s="140"/>
      <c r="C278" s="98"/>
      <c r="D278" s="1313"/>
      <c r="E278" s="1158"/>
      <c r="F278"/>
      <c r="I278" s="1180"/>
      <c r="J278" s="1180"/>
    </row>
    <row r="279" spans="1:10" ht="15" hidden="1" customHeight="1" x14ac:dyDescent="0.3">
      <c r="A279" s="141"/>
      <c r="B279" s="140"/>
      <c r="C279" s="1110"/>
      <c r="D279" s="1328" t="s">
        <v>4102</v>
      </c>
      <c r="E279" s="1158"/>
      <c r="F279"/>
      <c r="I279" s="1180"/>
      <c r="J279" s="1180"/>
    </row>
    <row r="280" spans="1:10" ht="15.75" hidden="1" customHeight="1" thickBot="1" x14ac:dyDescent="0.35">
      <c r="A280" s="141"/>
      <c r="B280" s="140"/>
      <c r="C280" s="686"/>
      <c r="D280" s="1328"/>
      <c r="E280" s="1158"/>
      <c r="F280"/>
      <c r="I280" s="1180"/>
      <c r="J280" s="1180"/>
    </row>
    <row r="281" spans="1:10" ht="15.75" hidden="1" customHeight="1" thickTop="1" x14ac:dyDescent="0.3">
      <c r="A281" s="200">
        <v>601.20000000000005</v>
      </c>
      <c r="B281" s="201"/>
      <c r="C281" s="202"/>
      <c r="D281" s="1331" t="s">
        <v>547</v>
      </c>
      <c r="E281" s="1160"/>
      <c r="F281"/>
      <c r="I281" s="1180"/>
      <c r="J281" s="1180"/>
    </row>
    <row r="282" spans="1:10" ht="15" hidden="1" thickBot="1" x14ac:dyDescent="0.35">
      <c r="A282" s="141"/>
      <c r="B282" s="140"/>
      <c r="C282" s="98"/>
      <c r="D282" s="1313"/>
      <c r="E282" s="1158"/>
      <c r="F282"/>
      <c r="I282" s="1180"/>
      <c r="J282" s="1180"/>
    </row>
    <row r="283" spans="1:10" ht="15" hidden="1" customHeight="1" x14ac:dyDescent="0.3">
      <c r="A283" s="66"/>
      <c r="B283" s="203" t="s">
        <v>271</v>
      </c>
      <c r="C283" s="98"/>
      <c r="D283" s="1305" t="s">
        <v>549</v>
      </c>
      <c r="E283" s="1473">
        <f>'Verification Report'!O283</f>
        <v>0</v>
      </c>
      <c r="F283"/>
      <c r="I283" s="1180"/>
      <c r="J283" s="1180"/>
    </row>
    <row r="284" spans="1:10" ht="15.75" hidden="1" customHeight="1" x14ac:dyDescent="0.3">
      <c r="A284" s="66"/>
      <c r="B284" s="140"/>
      <c r="C284" s="98"/>
      <c r="D284" s="1305"/>
      <c r="E284" s="1473">
        <f>'Verification Report'!O284</f>
        <v>0</v>
      </c>
      <c r="F284"/>
      <c r="I284" s="1180"/>
      <c r="J284" s="1180"/>
    </row>
    <row r="285" spans="1:10" ht="15.75" hidden="1" customHeight="1" x14ac:dyDescent="0.3">
      <c r="A285" s="66"/>
      <c r="B285" s="238"/>
      <c r="C285" s="193"/>
      <c r="D285" s="1306"/>
      <c r="E285" s="1491">
        <f>'Verification Report'!O285</f>
        <v>0</v>
      </c>
      <c r="F285"/>
      <c r="I285" s="1180"/>
      <c r="J285" s="1180"/>
    </row>
    <row r="286" spans="1:10" ht="15" hidden="1" customHeight="1" x14ac:dyDescent="0.3">
      <c r="A286" s="66"/>
      <c r="B286" s="203" t="s">
        <v>273</v>
      </c>
      <c r="C286" s="98"/>
      <c r="D286" s="1305" t="s">
        <v>550</v>
      </c>
      <c r="E286" s="1473">
        <f>'Verification Report'!O286</f>
        <v>0</v>
      </c>
      <c r="F286"/>
      <c r="I286" s="1180"/>
      <c r="J286" s="1180"/>
    </row>
    <row r="287" spans="1:10" ht="15.75" hidden="1" customHeight="1" x14ac:dyDescent="0.3">
      <c r="A287" s="66"/>
      <c r="B287" s="140"/>
      <c r="C287" s="98"/>
      <c r="D287" s="1305"/>
      <c r="E287" s="1473">
        <f>'Verification Report'!O287</f>
        <v>0</v>
      </c>
      <c r="F287"/>
      <c r="I287" s="1180"/>
      <c r="J287" s="1180"/>
    </row>
    <row r="288" spans="1:10" ht="15.75" hidden="1" customHeight="1" x14ac:dyDescent="0.3">
      <c r="A288" s="66"/>
      <c r="B288" s="238"/>
      <c r="C288" s="193"/>
      <c r="D288" s="1306"/>
      <c r="E288" s="1491">
        <f>'Verification Report'!O288</f>
        <v>0</v>
      </c>
      <c r="F288"/>
      <c r="I288" s="1180"/>
      <c r="J288" s="1180"/>
    </row>
    <row r="289" spans="1:10" ht="15" hidden="1" thickBot="1" x14ac:dyDescent="0.35">
      <c r="A289" s="66"/>
      <c r="B289" s="27" t="s">
        <v>275</v>
      </c>
      <c r="C289" s="86"/>
      <c r="D289" s="86" t="s">
        <v>551</v>
      </c>
      <c r="E289" s="1157">
        <f>'Verification Report'!O289</f>
        <v>0</v>
      </c>
      <c r="F289"/>
      <c r="I289" s="1180"/>
      <c r="J289" s="1180"/>
    </row>
    <row r="290" spans="1:10" ht="15.75" hidden="1" customHeight="1" thickTop="1" x14ac:dyDescent="0.3">
      <c r="A290" s="200">
        <v>601.29999999999995</v>
      </c>
      <c r="B290" s="201"/>
      <c r="C290" s="202"/>
      <c r="D290" s="1331" t="s">
        <v>552</v>
      </c>
      <c r="E290" s="1160"/>
      <c r="F290"/>
      <c r="I290" s="1180"/>
      <c r="J290" s="1180"/>
    </row>
    <row r="291" spans="1:10" ht="15" hidden="1" thickBot="1" x14ac:dyDescent="0.35">
      <c r="A291" s="141"/>
      <c r="B291" s="140"/>
      <c r="C291" s="98"/>
      <c r="D291" s="1313"/>
      <c r="E291" s="1158"/>
      <c r="F291"/>
      <c r="I291" s="1180"/>
      <c r="J291" s="1180"/>
    </row>
    <row r="292" spans="1:10" ht="15" hidden="1" thickBot="1" x14ac:dyDescent="0.35">
      <c r="A292" s="141"/>
      <c r="B292" s="140"/>
      <c r="C292" s="98"/>
      <c r="D292" s="1313"/>
      <c r="E292" s="1158"/>
      <c r="F292"/>
      <c r="I292" s="1180"/>
      <c r="J292" s="1180"/>
    </row>
    <row r="293" spans="1:10" ht="15" hidden="1" thickBot="1" x14ac:dyDescent="0.35">
      <c r="A293" s="66"/>
      <c r="B293" s="231" t="s">
        <v>271</v>
      </c>
      <c r="C293" s="193"/>
      <c r="D293" s="193" t="s">
        <v>553</v>
      </c>
      <c r="E293" s="1159">
        <f>'Verification Report'!O293</f>
        <v>0</v>
      </c>
      <c r="F293"/>
      <c r="I293" s="1180"/>
      <c r="J293" s="1180"/>
    </row>
    <row r="294" spans="1:10" ht="15" hidden="1" thickBot="1" x14ac:dyDescent="0.35">
      <c r="A294" s="66"/>
      <c r="B294" s="233" t="s">
        <v>273</v>
      </c>
      <c r="C294" s="234"/>
      <c r="D294" s="234" t="s">
        <v>554</v>
      </c>
      <c r="E294" s="1114">
        <f>'Verification Report'!O294</f>
        <v>0</v>
      </c>
      <c r="F294"/>
      <c r="I294" s="1180"/>
      <c r="J294" s="1180"/>
    </row>
    <row r="295" spans="1:10" ht="15" hidden="1" thickBot="1" x14ac:dyDescent="0.35">
      <c r="A295" s="66"/>
      <c r="B295" s="233" t="s">
        <v>275</v>
      </c>
      <c r="C295" s="234"/>
      <c r="D295" s="234" t="s">
        <v>555</v>
      </c>
      <c r="E295" s="1114">
        <f>'Verification Report'!O295</f>
        <v>0</v>
      </c>
      <c r="F295"/>
      <c r="I295" s="1180"/>
      <c r="J295" s="1180"/>
    </row>
    <row r="296" spans="1:10" ht="15" hidden="1" thickBot="1" x14ac:dyDescent="0.35">
      <c r="A296" s="66"/>
      <c r="B296" s="233" t="s">
        <v>285</v>
      </c>
      <c r="C296" s="234"/>
      <c r="D296" s="234" t="s">
        <v>556</v>
      </c>
      <c r="E296" s="1114">
        <f>'Verification Report'!O296</f>
        <v>0</v>
      </c>
      <c r="F296"/>
      <c r="I296" s="1180"/>
      <c r="J296" s="1180"/>
    </row>
    <row r="297" spans="1:10" ht="15" hidden="1" thickBot="1" x14ac:dyDescent="0.35">
      <c r="A297" s="66"/>
      <c r="B297" s="27" t="s">
        <v>291</v>
      </c>
      <c r="C297" s="86"/>
      <c r="D297" s="86" t="s">
        <v>557</v>
      </c>
      <c r="E297" s="1157">
        <f>'Verification Report'!O297</f>
        <v>0</v>
      </c>
      <c r="F297"/>
      <c r="I297" s="1180"/>
      <c r="J297" s="1180"/>
    </row>
    <row r="298" spans="1:10" ht="15.75" hidden="1" customHeight="1" thickTop="1" x14ac:dyDescent="0.3">
      <c r="A298" s="200">
        <v>601.4</v>
      </c>
      <c r="B298" s="201"/>
      <c r="C298" s="202"/>
      <c r="D298" s="1331" t="s">
        <v>558</v>
      </c>
      <c r="E298" s="1528">
        <f>'Verification Report'!O298</f>
        <v>0</v>
      </c>
      <c r="F298"/>
      <c r="I298" s="1180"/>
      <c r="J298" s="1180"/>
    </row>
    <row r="299" spans="1:10" ht="15.75" hidden="1" customHeight="1" x14ac:dyDescent="0.3">
      <c r="A299" s="141"/>
      <c r="B299" s="140"/>
      <c r="C299" s="98"/>
      <c r="D299" s="1313"/>
      <c r="E299" s="1473">
        <f>'Verification Report'!O299</f>
        <v>0</v>
      </c>
      <c r="F299"/>
      <c r="I299" s="1180"/>
      <c r="J299" s="1180"/>
    </row>
    <row r="300" spans="1:10" ht="15.75" hidden="1" customHeight="1" thickBot="1" x14ac:dyDescent="0.35">
      <c r="A300" s="141"/>
      <c r="B300" s="140"/>
      <c r="C300" s="98"/>
      <c r="D300" s="1313"/>
      <c r="E300" s="1473">
        <f>'Verification Report'!O300</f>
        <v>0</v>
      </c>
      <c r="F300"/>
      <c r="I300" s="1180"/>
      <c r="J300" s="1180"/>
    </row>
    <row r="301" spans="1:10" ht="15.75" hidden="1" customHeight="1" thickTop="1" x14ac:dyDescent="0.3">
      <c r="A301" s="111">
        <v>601.5</v>
      </c>
      <c r="B301" s="201"/>
      <c r="C301" s="202"/>
      <c r="D301" s="1331" t="s">
        <v>559</v>
      </c>
      <c r="E301" s="1160"/>
      <c r="F301"/>
      <c r="I301" s="1180"/>
      <c r="J301" s="1180"/>
    </row>
    <row r="302" spans="1:10" ht="15" hidden="1" thickBot="1" x14ac:dyDescent="0.35">
      <c r="A302" s="141"/>
      <c r="B302" s="140"/>
      <c r="C302" s="98"/>
      <c r="D302" s="1313"/>
      <c r="E302" s="1158"/>
      <c r="F302"/>
      <c r="I302" s="1180"/>
      <c r="J302" s="1180"/>
    </row>
    <row r="303" spans="1:10" ht="15" hidden="1" thickBot="1" x14ac:dyDescent="0.35">
      <c r="A303" s="141"/>
      <c r="B303" s="140"/>
      <c r="C303" s="98"/>
      <c r="D303" s="1313"/>
      <c r="E303" s="1158"/>
      <c r="F303"/>
      <c r="I303" s="1180"/>
      <c r="J303" s="1180"/>
    </row>
    <row r="304" spans="1:10" ht="15" hidden="1" thickBot="1" x14ac:dyDescent="0.35">
      <c r="A304" s="66"/>
      <c r="B304" s="231" t="s">
        <v>271</v>
      </c>
      <c r="C304" s="193"/>
      <c r="D304" s="193" t="s">
        <v>561</v>
      </c>
      <c r="E304" s="1159">
        <f>'Verification Report'!O304</f>
        <v>0</v>
      </c>
      <c r="F304"/>
      <c r="I304" s="1180"/>
      <c r="J304" s="1180"/>
    </row>
    <row r="305" spans="1:10" ht="15" hidden="1" thickBot="1" x14ac:dyDescent="0.35">
      <c r="A305" s="66"/>
      <c r="B305" s="233" t="s">
        <v>273</v>
      </c>
      <c r="C305" s="234"/>
      <c r="D305" s="234" t="s">
        <v>562</v>
      </c>
      <c r="E305" s="1114">
        <f>'Verification Report'!O305</f>
        <v>0</v>
      </c>
      <c r="F305"/>
      <c r="I305" s="1180"/>
      <c r="J305" s="1180"/>
    </row>
    <row r="306" spans="1:10" ht="15" hidden="1" thickBot="1" x14ac:dyDescent="0.35">
      <c r="A306" s="66"/>
      <c r="B306" s="233" t="s">
        <v>275</v>
      </c>
      <c r="C306" s="234"/>
      <c r="D306" s="234" t="s">
        <v>563</v>
      </c>
      <c r="E306" s="1114">
        <f>'Verification Report'!O306</f>
        <v>0</v>
      </c>
      <c r="F306"/>
      <c r="I306" s="1180"/>
      <c r="J306" s="1180"/>
    </row>
    <row r="307" spans="1:10" ht="15" hidden="1" thickBot="1" x14ac:dyDescent="0.35">
      <c r="A307" s="66"/>
      <c r="B307" s="233" t="s">
        <v>285</v>
      </c>
      <c r="C307" s="234"/>
      <c r="D307" s="234" t="s">
        <v>564</v>
      </c>
      <c r="E307" s="1114">
        <f>'Verification Report'!O307</f>
        <v>0</v>
      </c>
      <c r="F307"/>
      <c r="I307" s="1180"/>
      <c r="J307" s="1180"/>
    </row>
    <row r="308" spans="1:10" ht="15" hidden="1" thickBot="1" x14ac:dyDescent="0.35">
      <c r="A308" s="66"/>
      <c r="B308" s="27" t="s">
        <v>291</v>
      </c>
      <c r="C308" s="86"/>
      <c r="D308" s="86" t="s">
        <v>565</v>
      </c>
      <c r="E308" s="1157">
        <f>'Verification Report'!O308</f>
        <v>0</v>
      </c>
      <c r="F308"/>
      <c r="I308" s="1180"/>
      <c r="J308" s="1180"/>
    </row>
    <row r="309" spans="1:10" ht="15.75" customHeight="1" thickTop="1" x14ac:dyDescent="0.3">
      <c r="A309" s="200">
        <v>601.6</v>
      </c>
      <c r="B309" s="201"/>
      <c r="C309" s="202"/>
      <c r="D309" s="1331" t="s">
        <v>566</v>
      </c>
      <c r="E309" s="1528">
        <f ca="1">'Verification Report'!O309</f>
        <v>0</v>
      </c>
      <c r="F309"/>
      <c r="G309" s="1110">
        <v>1</v>
      </c>
      <c r="H309" s="1178"/>
      <c r="I309" s="1180" t="s">
        <v>4745</v>
      </c>
      <c r="J309" s="1180"/>
    </row>
    <row r="310" spans="1:10" x14ac:dyDescent="0.3">
      <c r="A310" s="141"/>
      <c r="B310" s="140"/>
      <c r="C310" s="98"/>
      <c r="D310" s="1313"/>
      <c r="E310" s="1473">
        <f>'Verification Report'!O310</f>
        <v>0</v>
      </c>
      <c r="F310"/>
      <c r="G310" s="1110">
        <v>1</v>
      </c>
      <c r="I310" s="1180"/>
      <c r="J310" s="1180"/>
    </row>
    <row r="311" spans="1:10" ht="15" thickBot="1" x14ac:dyDescent="0.35">
      <c r="A311" s="141"/>
      <c r="B311" s="140"/>
      <c r="C311" s="98"/>
      <c r="D311" s="1313"/>
      <c r="E311" s="1473">
        <f>'Verification Report'!O311</f>
        <v>0</v>
      </c>
      <c r="F311"/>
      <c r="G311" s="1110">
        <v>1</v>
      </c>
      <c r="I311" s="1180"/>
      <c r="J311" s="1180"/>
    </row>
    <row r="312" spans="1:10" ht="15.75" hidden="1" customHeight="1" x14ac:dyDescent="0.3">
      <c r="A312" s="141"/>
      <c r="B312" s="231" t="s">
        <v>271</v>
      </c>
      <c r="C312" s="193"/>
      <c r="D312" s="193" t="s">
        <v>568</v>
      </c>
      <c r="E312" s="1158"/>
      <c r="F312"/>
      <c r="I312" s="1180"/>
      <c r="J312" s="1180"/>
    </row>
    <row r="313" spans="1:10" ht="15.75" hidden="1" customHeight="1" thickBot="1" x14ac:dyDescent="0.35">
      <c r="A313" s="141"/>
      <c r="B313" s="203" t="s">
        <v>273</v>
      </c>
      <c r="C313" s="98"/>
      <c r="D313" s="98" t="s">
        <v>569</v>
      </c>
      <c r="E313" s="1158"/>
      <c r="F313"/>
      <c r="I313" s="1180"/>
      <c r="J313" s="1180"/>
    </row>
    <row r="314" spans="1:10" ht="15.75" customHeight="1" thickTop="1" x14ac:dyDescent="0.3">
      <c r="A314" s="200">
        <v>601.70000000000005</v>
      </c>
      <c r="B314" s="201"/>
      <c r="C314" s="202"/>
      <c r="D314" s="1331" t="s">
        <v>570</v>
      </c>
      <c r="E314" s="1528">
        <f ca="1">'Verification Report'!O314</f>
        <v>0</v>
      </c>
      <c r="F314"/>
      <c r="G314" s="1110">
        <v>1</v>
      </c>
      <c r="I314" s="1180"/>
      <c r="J314" s="1180"/>
    </row>
    <row r="315" spans="1:10" x14ac:dyDescent="0.3">
      <c r="A315" s="141"/>
      <c r="B315" s="140"/>
      <c r="C315" s="98"/>
      <c r="D315" s="1313"/>
      <c r="E315" s="1473">
        <f>'Verification Report'!O315</f>
        <v>0</v>
      </c>
      <c r="F315" s="97"/>
      <c r="G315" s="1110">
        <v>1</v>
      </c>
      <c r="I315" s="1180"/>
      <c r="J315" s="1180"/>
    </row>
    <row r="316" spans="1:10" ht="15" hidden="1" customHeight="1" x14ac:dyDescent="0.3">
      <c r="A316" s="141"/>
      <c r="B316" s="140"/>
      <c r="C316" s="98"/>
      <c r="D316" s="208" t="s">
        <v>581</v>
      </c>
      <c r="E316" s="1158"/>
      <c r="F316" s="97"/>
      <c r="I316" s="1180"/>
      <c r="J316" s="1180"/>
    </row>
    <row r="317" spans="1:10" hidden="1" x14ac:dyDescent="0.3">
      <c r="A317" s="141"/>
      <c r="B317" s="140"/>
      <c r="C317" s="192" t="s">
        <v>121</v>
      </c>
      <c r="D317" s="193" t="s">
        <v>572</v>
      </c>
      <c r="E317" s="1158"/>
      <c r="F317"/>
      <c r="I317" s="1180"/>
    </row>
    <row r="318" spans="1:10" x14ac:dyDescent="0.3">
      <c r="A318" s="141"/>
      <c r="B318" s="140"/>
      <c r="C318" s="241" t="s">
        <v>122</v>
      </c>
      <c r="D318" s="234" t="s">
        <v>573</v>
      </c>
      <c r="E318" s="1158"/>
      <c r="F318" s="1176" t="str">
        <f>IF('Verification Report'!W318="","",'Verification Report'!W318)</f>
        <v/>
      </c>
      <c r="G318" s="1110">
        <v>1</v>
      </c>
      <c r="H318" s="1178"/>
      <c r="I318" s="1180" t="s">
        <v>4746</v>
      </c>
      <c r="J318" s="1180"/>
    </row>
    <row r="319" spans="1:10" ht="15" customHeight="1" x14ac:dyDescent="0.3">
      <c r="A319" s="141"/>
      <c r="B319" s="140"/>
      <c r="C319" s="242" t="s">
        <v>123</v>
      </c>
      <c r="D319" s="1373" t="s">
        <v>574</v>
      </c>
      <c r="E319" s="1158"/>
      <c r="F319" s="1176" t="str">
        <f>IF('Verification Report'!W319="","",'Verification Report'!W319)</f>
        <v/>
      </c>
      <c r="G319" s="1110">
        <v>1</v>
      </c>
      <c r="H319" s="1178"/>
      <c r="I319" s="1180" t="s">
        <v>4747</v>
      </c>
      <c r="J319" s="1180"/>
    </row>
    <row r="320" spans="1:10" x14ac:dyDescent="0.3">
      <c r="A320" s="141"/>
      <c r="B320" s="140"/>
      <c r="C320" s="98"/>
      <c r="D320" s="1374"/>
      <c r="E320" s="1158"/>
      <c r="F320" s="97"/>
      <c r="G320" s="1110">
        <v>1</v>
      </c>
      <c r="I320" s="1180"/>
      <c r="J320" s="1180"/>
    </row>
    <row r="321" spans="1:10" x14ac:dyDescent="0.3">
      <c r="A321" s="141"/>
      <c r="B321" s="140"/>
      <c r="C321" s="98"/>
      <c r="D321" s="209" t="s">
        <v>575</v>
      </c>
      <c r="E321" s="1158"/>
      <c r="F321" s="97"/>
      <c r="G321" s="1110">
        <v>1</v>
      </c>
      <c r="I321" s="1180"/>
      <c r="J321" s="1180"/>
    </row>
    <row r="322" spans="1:10" x14ac:dyDescent="0.3">
      <c r="A322" s="141"/>
      <c r="B322" s="140"/>
      <c r="C322" s="193"/>
      <c r="D322" s="1116" t="s">
        <v>576</v>
      </c>
      <c r="E322" s="1158"/>
      <c r="F322" s="97"/>
      <c r="G322" s="1110">
        <v>1</v>
      </c>
      <c r="I322" s="1180"/>
      <c r="J322" s="1180"/>
    </row>
    <row r="323" spans="1:10" ht="15" hidden="1" customHeight="1" x14ac:dyDescent="0.3">
      <c r="A323" s="141"/>
      <c r="B323" s="140"/>
      <c r="C323" s="243" t="s">
        <v>423</v>
      </c>
      <c r="D323" s="1356" t="s">
        <v>577</v>
      </c>
      <c r="E323" s="1158"/>
      <c r="F323"/>
      <c r="G323"/>
    </row>
    <row r="324" spans="1:10" hidden="1" x14ac:dyDescent="0.3">
      <c r="A324" s="141"/>
      <c r="B324" s="140"/>
      <c r="C324" s="193"/>
      <c r="D324" s="1306"/>
      <c r="E324" s="1158"/>
      <c r="F324" s="97"/>
      <c r="G324"/>
    </row>
    <row r="325" spans="1:10" ht="15" customHeight="1" x14ac:dyDescent="0.3">
      <c r="A325" s="141"/>
      <c r="B325" s="140"/>
      <c r="C325" s="243" t="s">
        <v>578</v>
      </c>
      <c r="D325" s="1356" t="s">
        <v>579</v>
      </c>
      <c r="E325" s="1158"/>
      <c r="F325" s="1176" t="str">
        <f>IF('Verification Report'!W325="","",'Verification Report'!W325)</f>
        <v/>
      </c>
      <c r="G325" s="1110">
        <v>1</v>
      </c>
      <c r="H325" s="1178"/>
      <c r="I325" s="1180"/>
      <c r="J325" s="1180"/>
    </row>
    <row r="326" spans="1:10" ht="15" thickBot="1" x14ac:dyDescent="0.35">
      <c r="A326" s="141"/>
      <c r="B326" s="140"/>
      <c r="C326" s="193"/>
      <c r="D326" s="1306"/>
      <c r="E326" s="1158"/>
      <c r="F326" s="97"/>
      <c r="G326" s="1110">
        <v>1</v>
      </c>
      <c r="I326" s="1180"/>
      <c r="J326" s="1180"/>
    </row>
    <row r="327" spans="1:10" ht="15.75" hidden="1" customHeight="1" x14ac:dyDescent="0.3">
      <c r="A327" s="141"/>
      <c r="B327" s="231" t="s">
        <v>271</v>
      </c>
      <c r="C327" s="98"/>
      <c r="D327" s="193" t="s">
        <v>580</v>
      </c>
      <c r="E327" s="1158"/>
      <c r="F327" s="97"/>
      <c r="I327" s="1180"/>
      <c r="J327" s="1180"/>
    </row>
    <row r="328" spans="1:10" ht="15" hidden="1" customHeight="1" x14ac:dyDescent="0.3">
      <c r="A328" s="141"/>
      <c r="B328" s="203" t="s">
        <v>273</v>
      </c>
      <c r="C328" s="218"/>
      <c r="D328" s="1355" t="s">
        <v>582</v>
      </c>
      <c r="E328" s="1158"/>
      <c r="F328" s="97"/>
      <c r="I328" s="1180"/>
      <c r="J328" s="1180"/>
    </row>
    <row r="329" spans="1:10" ht="15.75" hidden="1" customHeight="1" x14ac:dyDescent="0.3">
      <c r="A329" s="141"/>
      <c r="B329" s="196"/>
      <c r="C329" s="193"/>
      <c r="D329" s="1294"/>
      <c r="E329" s="1158"/>
      <c r="F329"/>
      <c r="I329" s="1180"/>
      <c r="J329" s="1180"/>
    </row>
    <row r="330" spans="1:10" ht="15" hidden="1" customHeight="1" x14ac:dyDescent="0.3">
      <c r="A330" s="141"/>
      <c r="B330" s="203" t="s">
        <v>275</v>
      </c>
      <c r="C330" s="98"/>
      <c r="D330" s="1293" t="s">
        <v>583</v>
      </c>
      <c r="E330" s="1158"/>
      <c r="F330"/>
      <c r="I330" s="1180"/>
      <c r="J330" s="1180"/>
    </row>
    <row r="331" spans="1:10" ht="15.75" hidden="1" customHeight="1" thickBot="1" x14ac:dyDescent="0.35">
      <c r="A331" s="141"/>
      <c r="B331" s="203"/>
      <c r="C331" s="98"/>
      <c r="D331" s="1348"/>
      <c r="E331" s="1158"/>
      <c r="F331"/>
      <c r="I331" s="1180"/>
      <c r="J331" s="1180"/>
    </row>
    <row r="332" spans="1:10" ht="15.75" hidden="1" customHeight="1" thickTop="1" x14ac:dyDescent="0.3">
      <c r="A332" s="200">
        <v>601.79999999999995</v>
      </c>
      <c r="B332" s="201"/>
      <c r="C332" s="202"/>
      <c r="D332" s="1331" t="s">
        <v>584</v>
      </c>
      <c r="E332" s="1528">
        <f>'Verification Report'!O332</f>
        <v>0</v>
      </c>
      <c r="F332"/>
      <c r="I332" s="1180"/>
      <c r="J332" s="1180"/>
    </row>
    <row r="333" spans="1:10" ht="15.75" hidden="1" customHeight="1" x14ac:dyDescent="0.3">
      <c r="A333" s="141"/>
      <c r="B333" s="140"/>
      <c r="C333" s="98"/>
      <c r="D333" s="1313"/>
      <c r="E333" s="1473">
        <f>'Verification Report'!O333</f>
        <v>0</v>
      </c>
      <c r="F333"/>
      <c r="I333" s="1180"/>
      <c r="J333" s="1180"/>
    </row>
    <row r="334" spans="1:10" ht="15.75" hidden="1" customHeight="1" x14ac:dyDescent="0.3">
      <c r="A334" s="141"/>
      <c r="B334" s="140"/>
      <c r="C334" s="98"/>
      <c r="D334" s="1313"/>
      <c r="E334" s="1473">
        <f>'Verification Report'!O334</f>
        <v>0</v>
      </c>
      <c r="F334"/>
      <c r="I334" s="1180"/>
      <c r="J334" s="1180"/>
    </row>
    <row r="335" spans="1:10" ht="15.75" hidden="1" customHeight="1" x14ac:dyDescent="0.3">
      <c r="A335" s="141"/>
      <c r="B335" s="140"/>
      <c r="C335" s="98"/>
      <c r="D335" s="1313"/>
      <c r="E335" s="1473">
        <f>'Verification Report'!O335</f>
        <v>0</v>
      </c>
      <c r="F335"/>
      <c r="I335" s="1180"/>
      <c r="J335" s="1180"/>
    </row>
    <row r="336" spans="1:10" ht="15.75" hidden="1" customHeight="1" x14ac:dyDescent="0.3">
      <c r="A336" s="141"/>
      <c r="B336" s="140"/>
      <c r="C336" s="98"/>
      <c r="D336" s="1313"/>
      <c r="E336" s="1473">
        <f>'Verification Report'!O336</f>
        <v>0</v>
      </c>
      <c r="F336"/>
      <c r="I336" s="1180"/>
      <c r="J336" s="1180"/>
    </row>
    <row r="337" spans="1:10" ht="15" hidden="1" customHeight="1" x14ac:dyDescent="0.3">
      <c r="A337" s="141"/>
      <c r="B337" s="140"/>
      <c r="C337" s="98"/>
      <c r="D337" s="1369" t="s">
        <v>1302</v>
      </c>
      <c r="E337" s="1473">
        <f>'Verification Report'!O337</f>
        <v>0</v>
      </c>
      <c r="F337"/>
      <c r="I337" s="1180"/>
      <c r="J337" s="1180"/>
    </row>
    <row r="338" spans="1:10" ht="15.75" hidden="1" customHeight="1" x14ac:dyDescent="0.3">
      <c r="A338" s="141"/>
      <c r="B338" s="140"/>
      <c r="C338" s="98"/>
      <c r="D338" s="1369"/>
      <c r="E338" s="1473">
        <f>'Verification Report'!O338</f>
        <v>0</v>
      </c>
      <c r="F338"/>
      <c r="I338" s="1180"/>
      <c r="J338" s="1180"/>
    </row>
    <row r="339" spans="1:10" ht="15.75" hidden="1" customHeight="1" thickBot="1" x14ac:dyDescent="0.35">
      <c r="A339" s="141"/>
      <c r="B339" s="140"/>
      <c r="C339" s="98"/>
      <c r="D339" s="1357"/>
      <c r="E339" s="1473">
        <f>'Verification Report'!O339</f>
        <v>0</v>
      </c>
      <c r="F339"/>
      <c r="I339" s="1180"/>
      <c r="J339" s="1180"/>
    </row>
    <row r="340" spans="1:10" ht="15.75" hidden="1" customHeight="1" thickTop="1" x14ac:dyDescent="0.3">
      <c r="A340" s="200">
        <v>601.9</v>
      </c>
      <c r="B340" s="201"/>
      <c r="C340" s="202"/>
      <c r="D340" s="1331" t="s">
        <v>585</v>
      </c>
      <c r="E340" s="1528">
        <f>'Verification Report'!O340</f>
        <v>0</v>
      </c>
      <c r="F340"/>
      <c r="I340" s="1180"/>
      <c r="J340" s="1180"/>
    </row>
    <row r="341" spans="1:10" ht="15.75" hidden="1" customHeight="1" x14ac:dyDescent="0.3">
      <c r="A341" s="141"/>
      <c r="B341" s="140"/>
      <c r="C341" s="98"/>
      <c r="D341" s="1313"/>
      <c r="E341" s="1473">
        <f>'Verification Report'!O341</f>
        <v>0</v>
      </c>
      <c r="F341"/>
      <c r="I341" s="1180"/>
      <c r="J341" s="1180"/>
    </row>
    <row r="342" spans="1:10" ht="15.75" hidden="1" customHeight="1" x14ac:dyDescent="0.3">
      <c r="A342" s="141"/>
      <c r="B342" s="140"/>
      <c r="C342" s="98"/>
      <c r="D342" s="1313"/>
      <c r="E342" s="1473">
        <f>'Verification Report'!O342</f>
        <v>0</v>
      </c>
      <c r="F342"/>
      <c r="I342" s="1180"/>
      <c r="J342" s="1180"/>
    </row>
    <row r="343" spans="1:10" ht="15" hidden="1" customHeight="1" x14ac:dyDescent="0.3">
      <c r="A343" s="141"/>
      <c r="B343" s="140"/>
      <c r="C343" s="98"/>
      <c r="D343" s="1369" t="s">
        <v>1302</v>
      </c>
      <c r="E343" s="1473">
        <f>'Verification Report'!O343</f>
        <v>0</v>
      </c>
      <c r="F343"/>
      <c r="I343" s="1180"/>
      <c r="J343" s="1180"/>
    </row>
    <row r="344" spans="1:10" ht="15.75" hidden="1" customHeight="1" x14ac:dyDescent="0.3">
      <c r="A344" s="141"/>
      <c r="B344" s="140"/>
      <c r="C344" s="98"/>
      <c r="D344" s="1369"/>
      <c r="E344" s="1473">
        <f>'Verification Report'!O344</f>
        <v>0</v>
      </c>
      <c r="F344"/>
      <c r="I344" s="1180"/>
      <c r="J344" s="1180"/>
    </row>
    <row r="345" spans="1:10" ht="15.75" hidden="1" customHeight="1" x14ac:dyDescent="0.3">
      <c r="A345" s="141"/>
      <c r="B345" s="140"/>
      <c r="C345" s="98"/>
      <c r="D345" s="1369"/>
      <c r="E345" s="1473">
        <f>'Verification Report'!O345</f>
        <v>0</v>
      </c>
      <c r="F345"/>
      <c r="I345" s="1180"/>
      <c r="J345" s="1180"/>
    </row>
    <row r="346" spans="1:10" ht="18.600000000000001" hidden="1" thickBot="1" x14ac:dyDescent="0.35">
      <c r="A346" s="72" t="s">
        <v>586</v>
      </c>
      <c r="B346" s="72"/>
      <c r="C346" s="72"/>
      <c r="D346" s="82"/>
      <c r="E346" s="71"/>
      <c r="F346"/>
      <c r="I346" s="1180"/>
      <c r="J346" s="1180"/>
    </row>
    <row r="347" spans="1:10" ht="15" hidden="1" customHeight="1" x14ac:dyDescent="0.3">
      <c r="A347" s="81" t="s">
        <v>3346</v>
      </c>
      <c r="B347" s="4"/>
      <c r="C347" s="86"/>
      <c r="D347" s="1292" t="s">
        <v>587</v>
      </c>
      <c r="E347" s="1157"/>
      <c r="F347"/>
      <c r="I347" s="1180"/>
      <c r="J347" s="1180"/>
    </row>
    <row r="348" spans="1:10" ht="15" hidden="1" thickBot="1" x14ac:dyDescent="0.35">
      <c r="A348" s="66"/>
      <c r="B348" s="4"/>
      <c r="C348" s="86"/>
      <c r="D348" s="1292"/>
      <c r="E348" s="1157"/>
      <c r="F348"/>
      <c r="I348" s="1180"/>
      <c r="J348" s="1180"/>
    </row>
    <row r="349" spans="1:10" ht="15.6" hidden="1" thickTop="1" thickBot="1" x14ac:dyDescent="0.35">
      <c r="A349" s="200">
        <v>602.1</v>
      </c>
      <c r="B349" s="201"/>
      <c r="C349" s="202"/>
      <c r="D349" s="135" t="s">
        <v>588</v>
      </c>
      <c r="E349" s="1160"/>
      <c r="F349"/>
      <c r="I349" s="1180"/>
      <c r="J349" s="1180"/>
    </row>
    <row r="350" spans="1:10" ht="15.6" hidden="1" thickTop="1" thickBot="1" x14ac:dyDescent="0.35">
      <c r="A350" s="200" t="s">
        <v>589</v>
      </c>
      <c r="B350" s="201"/>
      <c r="C350" s="202"/>
      <c r="D350" s="135" t="s">
        <v>590</v>
      </c>
      <c r="E350" s="1160"/>
      <c r="F350"/>
      <c r="I350" s="1180"/>
      <c r="J350" s="1180"/>
    </row>
    <row r="351" spans="1:10" ht="15" hidden="1" customHeight="1" x14ac:dyDescent="0.3">
      <c r="A351" s="141" t="s">
        <v>591</v>
      </c>
      <c r="B351" s="140"/>
      <c r="C351" s="98"/>
      <c r="D351" s="1313" t="s">
        <v>592</v>
      </c>
      <c r="E351" s="1157"/>
      <c r="F351"/>
      <c r="I351" s="1180"/>
      <c r="J351" s="1180"/>
    </row>
    <row r="352" spans="1:10" ht="15.75" hidden="1" customHeight="1" x14ac:dyDescent="0.3">
      <c r="A352" s="141"/>
      <c r="B352" s="140"/>
      <c r="C352" s="98"/>
      <c r="D352" s="1313"/>
      <c r="E352" s="1157"/>
      <c r="F352"/>
      <c r="I352" s="1180"/>
      <c r="J352" s="1180"/>
    </row>
    <row r="353" spans="1:10" ht="15.75" hidden="1" customHeight="1" x14ac:dyDescent="0.3">
      <c r="A353" s="244"/>
      <c r="B353" s="238"/>
      <c r="C353" s="193"/>
      <c r="D353" s="1350"/>
      <c r="E353" s="1157"/>
      <c r="F353"/>
      <c r="I353" s="1180"/>
      <c r="J353" s="1180"/>
    </row>
    <row r="354" spans="1:10" ht="15" hidden="1" customHeight="1" x14ac:dyDescent="0.3">
      <c r="A354" s="66" t="s">
        <v>593</v>
      </c>
      <c r="B354" s="4"/>
      <c r="C354" s="86"/>
      <c r="D354" s="1292" t="s">
        <v>594</v>
      </c>
      <c r="E354" s="1463">
        <f>'Verification Report'!O354</f>
        <v>0</v>
      </c>
      <c r="F354"/>
      <c r="I354" s="1180"/>
      <c r="J354" s="1180"/>
    </row>
    <row r="355" spans="1:10" ht="15.75" hidden="1" customHeight="1" thickBot="1" x14ac:dyDescent="0.35">
      <c r="A355" s="66"/>
      <c r="B355" s="4"/>
      <c r="C355" s="86"/>
      <c r="D355" s="1292"/>
      <c r="E355" s="1463">
        <f>'Verification Report'!O355</f>
        <v>0</v>
      </c>
      <c r="F355"/>
      <c r="I355" s="1180"/>
      <c r="J355" s="1180"/>
    </row>
    <row r="356" spans="1:10" ht="15.75" hidden="1" customHeight="1" thickTop="1" x14ac:dyDescent="0.3">
      <c r="A356" s="200" t="s">
        <v>3347</v>
      </c>
      <c r="B356" s="201"/>
      <c r="C356" s="202"/>
      <c r="D356" s="1331" t="s">
        <v>596</v>
      </c>
      <c r="E356" s="1528">
        <f>'Verification Report'!O356</f>
        <v>0</v>
      </c>
      <c r="F356"/>
      <c r="I356" s="1180"/>
      <c r="J356" s="1180"/>
    </row>
    <row r="357" spans="1:10" ht="15.75" hidden="1" customHeight="1" x14ac:dyDescent="0.3">
      <c r="A357" s="141"/>
      <c r="B357" s="140"/>
      <c r="C357" s="98"/>
      <c r="D357" s="1313"/>
      <c r="E357" s="1473">
        <f>'Verification Report'!O357</f>
        <v>0</v>
      </c>
      <c r="F357"/>
      <c r="I357" s="1180"/>
      <c r="J357" s="1180"/>
    </row>
    <row r="358" spans="1:10" ht="15.75" hidden="1" customHeight="1" x14ac:dyDescent="0.3">
      <c r="A358" s="141"/>
      <c r="B358" s="231" t="s">
        <v>271</v>
      </c>
      <c r="C358" s="193"/>
      <c r="D358" s="193" t="s">
        <v>597</v>
      </c>
      <c r="E358" s="1473">
        <f>'Verification Report'!O358</f>
        <v>0</v>
      </c>
      <c r="F358"/>
      <c r="I358" s="1180"/>
      <c r="J358" s="1180"/>
    </row>
    <row r="359" spans="1:10" ht="15.75" hidden="1" customHeight="1" thickBot="1" x14ac:dyDescent="0.35">
      <c r="A359" s="212"/>
      <c r="B359" s="213" t="s">
        <v>273</v>
      </c>
      <c r="C359" s="100"/>
      <c r="D359" s="100" t="s">
        <v>598</v>
      </c>
      <c r="E359" s="1529">
        <f>'Verification Report'!O359</f>
        <v>0</v>
      </c>
      <c r="F359"/>
      <c r="I359" s="1180"/>
      <c r="J359" s="1180"/>
    </row>
    <row r="360" spans="1:10" ht="15.6" hidden="1" thickTop="1" thickBot="1" x14ac:dyDescent="0.35">
      <c r="A360" s="200" t="s">
        <v>599</v>
      </c>
      <c r="B360" s="201"/>
      <c r="C360" s="202"/>
      <c r="D360" s="135" t="s">
        <v>600</v>
      </c>
      <c r="E360" s="1160"/>
      <c r="F360"/>
      <c r="I360" s="1180"/>
      <c r="J360" s="1180"/>
    </row>
    <row r="361" spans="1:10" ht="15" hidden="1" customHeight="1" x14ac:dyDescent="0.3">
      <c r="A361" s="141" t="s">
        <v>601</v>
      </c>
      <c r="B361" s="140"/>
      <c r="C361" s="98"/>
      <c r="D361" s="1313" t="s">
        <v>602</v>
      </c>
      <c r="E361" s="1157"/>
      <c r="F361"/>
      <c r="I361" s="1180"/>
      <c r="J361" s="1180"/>
    </row>
    <row r="362" spans="1:10" ht="15.75" hidden="1" customHeight="1" x14ac:dyDescent="0.3">
      <c r="A362" s="244"/>
      <c r="B362" s="238"/>
      <c r="C362" s="193"/>
      <c r="D362" s="1350"/>
      <c r="E362" s="1157"/>
      <c r="F362"/>
      <c r="I362" s="1180"/>
      <c r="J362" s="1180"/>
    </row>
    <row r="363" spans="1:10" ht="15" hidden="1" customHeight="1" x14ac:dyDescent="0.3">
      <c r="A363" s="66" t="s">
        <v>603</v>
      </c>
      <c r="B363" s="4"/>
      <c r="C363" s="86"/>
      <c r="D363" s="1292" t="s">
        <v>604</v>
      </c>
      <c r="E363" s="1463">
        <f>'Verification Report'!O363</f>
        <v>0</v>
      </c>
      <c r="F363"/>
      <c r="I363" s="1180"/>
      <c r="J363" s="1180"/>
    </row>
    <row r="364" spans="1:10" ht="15.75" hidden="1" customHeight="1" thickBot="1" x14ac:dyDescent="0.35">
      <c r="A364" s="66"/>
      <c r="B364" s="4"/>
      <c r="C364" s="86"/>
      <c r="D364" s="1292"/>
      <c r="E364" s="1463">
        <f>'Verification Report'!O364</f>
        <v>0</v>
      </c>
      <c r="F364"/>
      <c r="I364" s="1180"/>
      <c r="J364" s="1180"/>
    </row>
    <row r="365" spans="1:10" ht="15.6" hidden="1" thickTop="1" thickBot="1" x14ac:dyDescent="0.35">
      <c r="A365" s="200" t="s">
        <v>605</v>
      </c>
      <c r="B365" s="201"/>
      <c r="C365" s="202"/>
      <c r="D365" s="135" t="s">
        <v>606</v>
      </c>
      <c r="E365" s="1160"/>
      <c r="F365"/>
      <c r="I365" s="1180"/>
      <c r="J365" s="1180"/>
    </row>
    <row r="366" spans="1:10" ht="15" hidden="1" customHeight="1" x14ac:dyDescent="0.3">
      <c r="A366" s="66" t="s">
        <v>607</v>
      </c>
      <c r="B366" s="4"/>
      <c r="C366" s="86"/>
      <c r="D366" s="1292" t="s">
        <v>608</v>
      </c>
      <c r="E366" s="1157"/>
      <c r="F366"/>
      <c r="I366" s="1180"/>
      <c r="J366" s="1180"/>
    </row>
    <row r="367" spans="1:10" ht="15" hidden="1" thickBot="1" x14ac:dyDescent="0.35">
      <c r="A367" s="66"/>
      <c r="B367" s="4"/>
      <c r="C367" s="86"/>
      <c r="D367" s="1292"/>
      <c r="E367" s="1157"/>
      <c r="F367"/>
      <c r="I367" s="1180"/>
      <c r="J367" s="1180"/>
    </row>
    <row r="368" spans="1:10" ht="15" hidden="1" thickBot="1" x14ac:dyDescent="0.35">
      <c r="A368" s="66"/>
      <c r="B368" s="4"/>
      <c r="C368" s="86"/>
      <c r="D368" s="1292"/>
      <c r="E368" s="1157"/>
      <c r="F368"/>
      <c r="I368" s="1180"/>
      <c r="J368" s="1180"/>
    </row>
    <row r="369" spans="1:10" ht="15" hidden="1" customHeight="1" x14ac:dyDescent="0.3">
      <c r="A369" s="66"/>
      <c r="B369" s="203" t="s">
        <v>271</v>
      </c>
      <c r="C369" s="98"/>
      <c r="D369" s="1305" t="s">
        <v>609</v>
      </c>
      <c r="E369" s="1473">
        <f>'Verification Report'!O369</f>
        <v>0</v>
      </c>
      <c r="F369"/>
      <c r="I369" s="1180"/>
      <c r="J369" s="1180"/>
    </row>
    <row r="370" spans="1:10" ht="15.75" hidden="1" customHeight="1" x14ac:dyDescent="0.3">
      <c r="A370" s="66"/>
      <c r="B370" s="238"/>
      <c r="C370" s="193"/>
      <c r="D370" s="1306"/>
      <c r="E370" s="1491">
        <f>'Verification Report'!O370</f>
        <v>0</v>
      </c>
      <c r="F370"/>
      <c r="I370" s="1180"/>
      <c r="J370" s="1180"/>
    </row>
    <row r="371" spans="1:10" ht="15" hidden="1" thickBot="1" x14ac:dyDescent="0.35">
      <c r="A371" s="244"/>
      <c r="B371" s="231" t="s">
        <v>273</v>
      </c>
      <c r="C371" s="193"/>
      <c r="D371" s="193" t="s">
        <v>610</v>
      </c>
      <c r="E371" s="1157"/>
      <c r="F371"/>
      <c r="I371" s="1180"/>
      <c r="J371" s="1180"/>
    </row>
    <row r="372" spans="1:10" ht="15" hidden="1" customHeight="1" x14ac:dyDescent="0.3">
      <c r="A372" s="66" t="s">
        <v>611</v>
      </c>
      <c r="B372" s="4"/>
      <c r="C372" s="86"/>
      <c r="D372" s="1292" t="s">
        <v>612</v>
      </c>
      <c r="E372" s="1157"/>
      <c r="F372"/>
      <c r="I372" s="1180"/>
      <c r="J372" s="1180"/>
    </row>
    <row r="373" spans="1:10" ht="15" hidden="1" thickBot="1" x14ac:dyDescent="0.35">
      <c r="A373" s="66"/>
      <c r="B373" s="4"/>
      <c r="C373" s="86"/>
      <c r="D373" s="1292"/>
      <c r="E373" s="1157"/>
      <c r="F373"/>
      <c r="I373" s="1180"/>
      <c r="J373" s="1180"/>
    </row>
    <row r="374" spans="1:10" ht="15" hidden="1" thickBot="1" x14ac:dyDescent="0.35">
      <c r="A374" s="66"/>
      <c r="B374" s="4"/>
      <c r="C374" s="86"/>
      <c r="D374" s="1292"/>
      <c r="E374" s="1157"/>
      <c r="F374"/>
      <c r="I374" s="1180"/>
      <c r="J374" s="1180"/>
    </row>
    <row r="375" spans="1:10" ht="15" hidden="1" customHeight="1" x14ac:dyDescent="0.3">
      <c r="A375" s="66"/>
      <c r="B375" s="203" t="s">
        <v>271</v>
      </c>
      <c r="C375" s="98"/>
      <c r="D375" s="1305" t="s">
        <v>3245</v>
      </c>
      <c r="E375" s="1473">
        <f>'Verification Report'!O375</f>
        <v>0</v>
      </c>
      <c r="F375"/>
      <c r="I375" s="1180"/>
      <c r="J375" s="1180"/>
    </row>
    <row r="376" spans="1:10" ht="15.75" hidden="1" customHeight="1" x14ac:dyDescent="0.3">
      <c r="A376" s="66"/>
      <c r="B376" s="238"/>
      <c r="C376" s="193"/>
      <c r="D376" s="1306"/>
      <c r="E376" s="1491">
        <f>'Verification Report'!O376</f>
        <v>0</v>
      </c>
      <c r="F376"/>
      <c r="I376" s="1180"/>
      <c r="J376" s="1180"/>
    </row>
    <row r="377" spans="1:10" ht="15" hidden="1" customHeight="1" x14ac:dyDescent="0.3">
      <c r="A377" s="66"/>
      <c r="B377" s="27" t="s">
        <v>273</v>
      </c>
      <c r="C377" s="86"/>
      <c r="D377" s="1329" t="s">
        <v>3246</v>
      </c>
      <c r="E377" s="1157"/>
      <c r="F377"/>
      <c r="I377" s="1180"/>
      <c r="J377" s="1180"/>
    </row>
    <row r="378" spans="1:10" ht="15.75" hidden="1" customHeight="1" thickBot="1" x14ac:dyDescent="0.35">
      <c r="A378" s="66"/>
      <c r="B378" s="4"/>
      <c r="C378" s="86"/>
      <c r="D378" s="1329"/>
      <c r="E378" s="1157"/>
      <c r="F378"/>
      <c r="I378" s="1180"/>
      <c r="J378" s="1180"/>
    </row>
    <row r="379" spans="1:10" ht="15.6" hidden="1" thickTop="1" thickBot="1" x14ac:dyDescent="0.35">
      <c r="A379" s="200" t="s">
        <v>613</v>
      </c>
      <c r="B379" s="201"/>
      <c r="C379" s="202"/>
      <c r="D379" s="111" t="s">
        <v>614</v>
      </c>
      <c r="E379" s="1160"/>
      <c r="F379"/>
      <c r="I379" s="1180"/>
      <c r="J379" s="1180"/>
    </row>
    <row r="380" spans="1:10" ht="15.75" hidden="1" customHeight="1" x14ac:dyDescent="0.3">
      <c r="A380" s="66"/>
      <c r="B380" s="4"/>
      <c r="C380" s="86"/>
      <c r="D380" s="422" t="s">
        <v>3237</v>
      </c>
      <c r="E380" s="1157"/>
      <c r="F380"/>
      <c r="I380" s="1180"/>
      <c r="J380" s="1180"/>
    </row>
    <row r="381" spans="1:10" ht="15" hidden="1" customHeight="1" x14ac:dyDescent="0.3">
      <c r="A381" s="66"/>
      <c r="B381" s="203" t="s">
        <v>271</v>
      </c>
      <c r="C381" s="98"/>
      <c r="D381" s="1305" t="s">
        <v>615</v>
      </c>
      <c r="E381" s="1473">
        <f ca="1">'Verification Report'!O381</f>
        <v>0</v>
      </c>
      <c r="F381"/>
      <c r="I381" s="1180"/>
      <c r="J381" s="1180"/>
    </row>
    <row r="382" spans="1:10" ht="15.75" hidden="1" customHeight="1" x14ac:dyDescent="0.3">
      <c r="A382" s="66"/>
      <c r="B382" s="238"/>
      <c r="C382" s="193"/>
      <c r="D382" s="1306"/>
      <c r="E382" s="1491">
        <f>'Verification Report'!O382</f>
        <v>0</v>
      </c>
      <c r="F382"/>
      <c r="I382" s="1180"/>
      <c r="J382" s="1180"/>
    </row>
    <row r="383" spans="1:10" ht="15" hidden="1" customHeight="1" x14ac:dyDescent="0.3">
      <c r="A383" s="66"/>
      <c r="B383" s="27" t="s">
        <v>273</v>
      </c>
      <c r="C383" s="86"/>
      <c r="D383" s="1329" t="s">
        <v>616</v>
      </c>
      <c r="E383" s="1463">
        <f ca="1">'Verification Report'!O383</f>
        <v>0</v>
      </c>
      <c r="F383"/>
      <c r="I383" s="1180"/>
      <c r="J383" s="1180"/>
    </row>
    <row r="384" spans="1:10" ht="15.75" hidden="1" customHeight="1" x14ac:dyDescent="0.3">
      <c r="A384" s="66"/>
      <c r="B384" s="4"/>
      <c r="C384" s="86"/>
      <c r="D384" s="1329"/>
      <c r="E384" s="1463">
        <f>'Verification Report'!O384</f>
        <v>0</v>
      </c>
      <c r="F384"/>
      <c r="I384" s="1180"/>
      <c r="J384" s="1180"/>
    </row>
    <row r="385" spans="1:10" ht="15.75" hidden="1" customHeight="1" thickBot="1" x14ac:dyDescent="0.35">
      <c r="A385" s="66"/>
      <c r="B385" s="4"/>
      <c r="C385" s="86"/>
      <c r="D385" s="1329"/>
      <c r="E385" s="1463">
        <f>'Verification Report'!O385</f>
        <v>0</v>
      </c>
      <c r="F385"/>
      <c r="I385" s="1180"/>
      <c r="J385" s="1180"/>
    </row>
    <row r="386" spans="1:10" ht="15.75" hidden="1" customHeight="1" thickTop="1" x14ac:dyDescent="0.3">
      <c r="A386" s="200" t="s">
        <v>617</v>
      </c>
      <c r="B386" s="201"/>
      <c r="C386" s="202"/>
      <c r="D386" s="1331" t="s">
        <v>618</v>
      </c>
      <c r="E386" s="1160"/>
      <c r="F386"/>
      <c r="I386" s="1180"/>
      <c r="J386" s="1180"/>
    </row>
    <row r="387" spans="1:10" ht="15" hidden="1" thickBot="1" x14ac:dyDescent="0.35">
      <c r="A387" s="141"/>
      <c r="B387" s="140"/>
      <c r="C387" s="98"/>
      <c r="D387" s="1313"/>
      <c r="E387" s="1158"/>
      <c r="F387"/>
      <c r="I387" s="1180"/>
      <c r="J387" s="1180"/>
    </row>
    <row r="388" spans="1:10" ht="15" hidden="1" thickBot="1" x14ac:dyDescent="0.35">
      <c r="A388" s="66"/>
      <c r="B388" s="4"/>
      <c r="C388" s="86"/>
      <c r="D388" s="422" t="s">
        <v>3237</v>
      </c>
      <c r="E388" s="1157"/>
      <c r="F388"/>
      <c r="I388" s="1180"/>
      <c r="J388" s="1180"/>
    </row>
    <row r="389" spans="1:10" ht="15" hidden="1" customHeight="1" x14ac:dyDescent="0.3">
      <c r="A389" s="66"/>
      <c r="B389" s="203" t="s">
        <v>271</v>
      </c>
      <c r="C389" s="98"/>
      <c r="D389" s="1305" t="s">
        <v>619</v>
      </c>
      <c r="E389" s="1473">
        <f ca="1">'Verification Report'!O389</f>
        <v>0</v>
      </c>
      <c r="F389"/>
      <c r="I389" s="1180"/>
      <c r="J389" s="1180"/>
    </row>
    <row r="390" spans="1:10" ht="15.75" hidden="1" customHeight="1" x14ac:dyDescent="0.3">
      <c r="A390" s="66"/>
      <c r="B390" s="140"/>
      <c r="C390" s="98"/>
      <c r="D390" s="1305"/>
      <c r="E390" s="1473">
        <f>'Verification Report'!O390</f>
        <v>0</v>
      </c>
      <c r="F390"/>
      <c r="I390" s="1180"/>
      <c r="J390" s="1180"/>
    </row>
    <row r="391" spans="1:10" ht="15.75" hidden="1" customHeight="1" x14ac:dyDescent="0.3">
      <c r="A391" s="66"/>
      <c r="B391" s="140"/>
      <c r="C391" s="98"/>
      <c r="D391" s="1305"/>
      <c r="E391" s="1473">
        <f>'Verification Report'!O391</f>
        <v>0</v>
      </c>
      <c r="F391"/>
      <c r="I391" s="1180"/>
      <c r="J391" s="1180"/>
    </row>
    <row r="392" spans="1:10" ht="15.75" hidden="1" customHeight="1" x14ac:dyDescent="0.3">
      <c r="A392" s="66"/>
      <c r="B392" s="238"/>
      <c r="C392" s="193"/>
      <c r="D392" s="1306"/>
      <c r="E392" s="1491">
        <f>'Verification Report'!O392</f>
        <v>0</v>
      </c>
      <c r="F392"/>
      <c r="I392" s="1180"/>
      <c r="J392" s="1180"/>
    </row>
    <row r="393" spans="1:10" ht="15" hidden="1" customHeight="1" x14ac:dyDescent="0.3">
      <c r="A393" s="66"/>
      <c r="B393" s="237" t="s">
        <v>273</v>
      </c>
      <c r="C393" s="217"/>
      <c r="D393" s="1356" t="s">
        <v>620</v>
      </c>
      <c r="E393" s="1472">
        <f ca="1">'Verification Report'!O393</f>
        <v>0</v>
      </c>
      <c r="F393"/>
      <c r="I393" s="1180"/>
      <c r="J393" s="1180"/>
    </row>
    <row r="394" spans="1:10" ht="15.75" hidden="1" customHeight="1" x14ac:dyDescent="0.3">
      <c r="A394" s="66"/>
      <c r="B394" s="140"/>
      <c r="C394" s="98"/>
      <c r="D394" s="1305"/>
      <c r="E394" s="1473">
        <f>'Verification Report'!O394</f>
        <v>0</v>
      </c>
      <c r="F394"/>
      <c r="I394" s="1180"/>
      <c r="J394" s="1180"/>
    </row>
    <row r="395" spans="1:10" ht="15.75" hidden="1" customHeight="1" x14ac:dyDescent="0.3">
      <c r="A395" s="66"/>
      <c r="B395" s="140"/>
      <c r="C395" s="98"/>
      <c r="D395" s="1305"/>
      <c r="E395" s="1473">
        <f>'Verification Report'!O395</f>
        <v>0</v>
      </c>
      <c r="F395"/>
      <c r="I395" s="1180"/>
      <c r="J395" s="1180"/>
    </row>
    <row r="396" spans="1:10" ht="15.75" hidden="1" customHeight="1" x14ac:dyDescent="0.3">
      <c r="A396" s="66"/>
      <c r="B396" s="238"/>
      <c r="C396" s="193"/>
      <c r="D396" s="1306"/>
      <c r="E396" s="1491">
        <f>'Verification Report'!O396</f>
        <v>0</v>
      </c>
      <c r="F396"/>
      <c r="I396" s="1180"/>
      <c r="J396" s="1180"/>
    </row>
    <row r="397" spans="1:10" ht="15" hidden="1" customHeight="1" x14ac:dyDescent="0.3">
      <c r="A397" s="66"/>
      <c r="B397" s="27" t="s">
        <v>275</v>
      </c>
      <c r="C397" s="86"/>
      <c r="D397" s="1329" t="s">
        <v>621</v>
      </c>
      <c r="E397" s="1463">
        <f ca="1">'Verification Report'!O397</f>
        <v>0</v>
      </c>
      <c r="F397"/>
      <c r="I397" s="1180"/>
      <c r="J397" s="1180"/>
    </row>
    <row r="398" spans="1:10" ht="15.75" hidden="1" customHeight="1" x14ac:dyDescent="0.3">
      <c r="A398" s="66"/>
      <c r="B398" s="4"/>
      <c r="C398" s="86"/>
      <c r="D398" s="1329"/>
      <c r="E398" s="1463">
        <f>'Verification Report'!O398</f>
        <v>0</v>
      </c>
      <c r="F398"/>
      <c r="I398" s="1180"/>
      <c r="J398" s="1180"/>
    </row>
    <row r="399" spans="1:10" ht="15.75" hidden="1" customHeight="1" thickBot="1" x14ac:dyDescent="0.35">
      <c r="A399" s="66"/>
      <c r="B399" s="4"/>
      <c r="C399" s="86"/>
      <c r="D399" s="1329"/>
      <c r="E399" s="1463">
        <f>'Verification Report'!O399</f>
        <v>0</v>
      </c>
      <c r="F399"/>
      <c r="I399" s="1180"/>
      <c r="J399" s="1180"/>
    </row>
    <row r="400" spans="1:10" ht="15.6" hidden="1" thickTop="1" thickBot="1" x14ac:dyDescent="0.35">
      <c r="A400" s="200" t="s">
        <v>622</v>
      </c>
      <c r="B400" s="201"/>
      <c r="C400" s="202"/>
      <c r="D400" s="135" t="s">
        <v>623</v>
      </c>
      <c r="E400" s="1160"/>
      <c r="F400"/>
      <c r="I400" s="1180"/>
      <c r="J400" s="1180"/>
    </row>
    <row r="401" spans="1:10" ht="15" hidden="1" thickBot="1" x14ac:dyDescent="0.35">
      <c r="A401" s="66" t="s">
        <v>624</v>
      </c>
      <c r="B401" s="4"/>
      <c r="C401" s="86"/>
      <c r="D401" s="88" t="s">
        <v>625</v>
      </c>
      <c r="E401" s="1157"/>
      <c r="F401"/>
      <c r="I401" s="1180"/>
      <c r="J401" s="1180"/>
    </row>
    <row r="402" spans="1:10" ht="15" hidden="1" customHeight="1" x14ac:dyDescent="0.3">
      <c r="A402" s="66"/>
      <c r="B402" s="203" t="s">
        <v>271</v>
      </c>
      <c r="C402" s="98"/>
      <c r="D402" s="1305" t="s">
        <v>626</v>
      </c>
      <c r="E402" s="1473">
        <f>'Verification Report'!O402</f>
        <v>0</v>
      </c>
      <c r="F402"/>
      <c r="I402" s="1180"/>
      <c r="J402" s="1180"/>
    </row>
    <row r="403" spans="1:10" ht="15.75" hidden="1" customHeight="1" x14ac:dyDescent="0.3">
      <c r="A403" s="66"/>
      <c r="B403" s="238"/>
      <c r="C403" s="193"/>
      <c r="D403" s="1306"/>
      <c r="E403" s="1491">
        <f>'Verification Report'!O403</f>
        <v>0</v>
      </c>
      <c r="F403"/>
      <c r="I403" s="1180"/>
      <c r="J403" s="1180"/>
    </row>
    <row r="404" spans="1:10" ht="15" hidden="1" customHeight="1" x14ac:dyDescent="0.3">
      <c r="A404" s="66"/>
      <c r="B404" s="203" t="s">
        <v>273</v>
      </c>
      <c r="C404" s="98"/>
      <c r="D404" s="1305" t="s">
        <v>627</v>
      </c>
      <c r="E404" s="1473">
        <f>'Verification Report'!O404</f>
        <v>0</v>
      </c>
      <c r="F404"/>
      <c r="I404" s="1180"/>
      <c r="J404" s="1180"/>
    </row>
    <row r="405" spans="1:10" ht="15.75" hidden="1" customHeight="1" x14ac:dyDescent="0.3">
      <c r="A405" s="66"/>
      <c r="B405" s="140"/>
      <c r="C405" s="98"/>
      <c r="D405" s="1305"/>
      <c r="E405" s="1473">
        <f>'Verification Report'!O405</f>
        <v>0</v>
      </c>
      <c r="F405"/>
      <c r="I405" s="1180"/>
      <c r="J405" s="1180"/>
    </row>
    <row r="406" spans="1:10" ht="15.75" hidden="1" customHeight="1" x14ac:dyDescent="0.3">
      <c r="A406" s="66"/>
      <c r="B406" s="238"/>
      <c r="C406" s="193"/>
      <c r="D406" s="1134" t="s">
        <v>1304</v>
      </c>
      <c r="E406" s="1491">
        <f>'Verification Report'!O406</f>
        <v>0</v>
      </c>
      <c r="F406"/>
      <c r="I406" s="1180"/>
      <c r="J406" s="1180"/>
    </row>
    <row r="407" spans="1:10" ht="15" hidden="1" customHeight="1" x14ac:dyDescent="0.3">
      <c r="A407" s="141"/>
      <c r="B407" s="203" t="s">
        <v>275</v>
      </c>
      <c r="C407" s="98"/>
      <c r="D407" s="1305" t="s">
        <v>628</v>
      </c>
      <c r="E407" s="1473">
        <f>'Verification Report'!O407</f>
        <v>0</v>
      </c>
      <c r="F407"/>
      <c r="I407" s="1180"/>
      <c r="J407" s="1180"/>
    </row>
    <row r="408" spans="1:10" ht="15.75" hidden="1" customHeight="1" x14ac:dyDescent="0.3">
      <c r="A408" s="244"/>
      <c r="B408" s="238"/>
      <c r="C408" s="193"/>
      <c r="D408" s="1306"/>
      <c r="E408" s="1491">
        <f>'Verification Report'!O408</f>
        <v>0</v>
      </c>
      <c r="F408"/>
      <c r="I408" s="1180"/>
      <c r="J408" s="1180"/>
    </row>
    <row r="409" spans="1:10" ht="15" hidden="1" customHeight="1" x14ac:dyDescent="0.3">
      <c r="A409" s="215" t="s">
        <v>630</v>
      </c>
      <c r="B409" s="216"/>
      <c r="C409" s="217"/>
      <c r="D409" s="1364" t="s">
        <v>631</v>
      </c>
      <c r="E409" s="1472">
        <f>'Verification Report'!O409</f>
        <v>0</v>
      </c>
      <c r="F409"/>
      <c r="I409" s="1180"/>
      <c r="J409" s="1180"/>
    </row>
    <row r="410" spans="1:10" ht="15.75" hidden="1" customHeight="1" x14ac:dyDescent="0.3">
      <c r="A410" s="244"/>
      <c r="B410" s="238"/>
      <c r="C410" s="193"/>
      <c r="D410" s="1350"/>
      <c r="E410" s="1491">
        <f>'Verification Report'!O410</f>
        <v>0</v>
      </c>
      <c r="F410"/>
      <c r="I410" s="1180"/>
      <c r="J410" s="1180"/>
    </row>
    <row r="411" spans="1:10" ht="15" hidden="1" customHeight="1" x14ac:dyDescent="0.3">
      <c r="A411" s="66" t="s">
        <v>633</v>
      </c>
      <c r="B411" s="4"/>
      <c r="C411" s="86"/>
      <c r="D411" s="1292" t="s">
        <v>634</v>
      </c>
      <c r="E411" s="1463">
        <f>'Verification Report'!O411</f>
        <v>0</v>
      </c>
      <c r="F411"/>
      <c r="I411" s="1180"/>
      <c r="J411" s="1180"/>
    </row>
    <row r="412" spans="1:10" ht="15.75" hidden="1" customHeight="1" x14ac:dyDescent="0.3">
      <c r="A412" s="66"/>
      <c r="B412" s="4"/>
      <c r="C412" s="86"/>
      <c r="D412" s="1292"/>
      <c r="E412" s="1463">
        <f>'Verification Report'!O412</f>
        <v>0</v>
      </c>
      <c r="F412"/>
      <c r="I412" s="1180"/>
      <c r="J412" s="1180"/>
    </row>
    <row r="413" spans="1:10" ht="15.75" hidden="1" customHeight="1" x14ac:dyDescent="0.3">
      <c r="A413" s="66"/>
      <c r="B413" s="4"/>
      <c r="C413" s="86"/>
      <c r="D413" s="1292"/>
      <c r="E413" s="1463">
        <f>'Verification Report'!O413</f>
        <v>0</v>
      </c>
      <c r="F413"/>
      <c r="I413" s="1180"/>
      <c r="J413" s="1180"/>
    </row>
    <row r="414" spans="1:10" ht="15.75" hidden="1" customHeight="1" thickBot="1" x14ac:dyDescent="0.35">
      <c r="A414" s="66"/>
      <c r="B414" s="4"/>
      <c r="C414" s="86"/>
      <c r="D414" s="1292"/>
      <c r="E414" s="1463">
        <f>'Verification Report'!O414</f>
        <v>0</v>
      </c>
      <c r="F414"/>
      <c r="I414" s="1180"/>
      <c r="J414" s="1180"/>
    </row>
    <row r="415" spans="1:10" ht="15.75" customHeight="1" thickTop="1" x14ac:dyDescent="0.3">
      <c r="A415" s="200" t="s">
        <v>635</v>
      </c>
      <c r="B415" s="201"/>
      <c r="C415" s="202"/>
      <c r="D415" s="1331" t="s">
        <v>636</v>
      </c>
      <c r="E415" s="1160"/>
      <c r="F415" s="1176" t="str">
        <f>IF('Verification Report'!W415="","",'Verification Report'!W415)</f>
        <v/>
      </c>
      <c r="G415" s="1110">
        <v>1</v>
      </c>
      <c r="H415" s="1178"/>
      <c r="I415" s="1180" t="s">
        <v>4748</v>
      </c>
      <c r="J415" s="1180"/>
    </row>
    <row r="416" spans="1:10" ht="15" thickBot="1" x14ac:dyDescent="0.35">
      <c r="A416" s="141"/>
      <c r="B416" s="140"/>
      <c r="C416" s="98"/>
      <c r="D416" s="1313"/>
      <c r="E416" s="1158"/>
      <c r="F416"/>
      <c r="G416" s="1110">
        <v>1</v>
      </c>
      <c r="I416" s="1180"/>
      <c r="J416" s="1180"/>
    </row>
    <row r="417" spans="1:10" ht="15.75" hidden="1" customHeight="1" thickBot="1" x14ac:dyDescent="0.35">
      <c r="A417" s="141"/>
      <c r="B417" s="140"/>
      <c r="C417" s="98"/>
      <c r="D417" s="1129" t="s">
        <v>1304</v>
      </c>
      <c r="E417" s="1158"/>
      <c r="F417"/>
      <c r="I417" s="1180"/>
      <c r="J417" s="1180"/>
    </row>
    <row r="418" spans="1:10" ht="15.75" hidden="1" customHeight="1" thickTop="1" x14ac:dyDescent="0.3">
      <c r="A418" s="200" t="s">
        <v>637</v>
      </c>
      <c r="B418" s="201"/>
      <c r="C418" s="202"/>
      <c r="D418" s="1331" t="s">
        <v>638</v>
      </c>
      <c r="E418" s="1160"/>
      <c r="F418"/>
      <c r="I418" s="1180"/>
      <c r="J418" s="1180"/>
    </row>
    <row r="419" spans="1:10" ht="15" hidden="1" thickBot="1" x14ac:dyDescent="0.35">
      <c r="A419" s="141"/>
      <c r="B419" s="140"/>
      <c r="C419" s="98"/>
      <c r="D419" s="1313"/>
      <c r="E419" s="1158"/>
      <c r="F419"/>
      <c r="I419" s="1180"/>
      <c r="J419" s="1180"/>
    </row>
    <row r="420" spans="1:10" ht="15" hidden="1" thickBot="1" x14ac:dyDescent="0.35">
      <c r="A420" s="141"/>
      <c r="B420" s="140"/>
      <c r="C420" s="98"/>
      <c r="D420" s="1313"/>
      <c r="E420" s="1158"/>
      <c r="F420"/>
      <c r="I420" s="1180"/>
      <c r="J420" s="1180"/>
    </row>
    <row r="421" spans="1:10" ht="15" hidden="1" thickBot="1" x14ac:dyDescent="0.35">
      <c r="A421" s="141"/>
      <c r="B421" s="140"/>
      <c r="C421" s="98"/>
      <c r="D421" s="1313"/>
      <c r="E421" s="1158"/>
      <c r="F421"/>
      <c r="I421" s="1180"/>
      <c r="J421" s="1180"/>
    </row>
    <row r="422" spans="1:10" ht="15" hidden="1" thickBot="1" x14ac:dyDescent="0.35">
      <c r="A422" s="141"/>
      <c r="B422" s="140"/>
      <c r="C422" s="98"/>
      <c r="D422" s="1313"/>
      <c r="E422" s="1158"/>
      <c r="F422"/>
      <c r="I422" s="1180"/>
      <c r="J422" s="1180"/>
    </row>
    <row r="423" spans="1:10" ht="15.75" hidden="1" customHeight="1" x14ac:dyDescent="0.3">
      <c r="A423" s="66"/>
      <c r="B423" s="203" t="s">
        <v>271</v>
      </c>
      <c r="C423" s="98"/>
      <c r="D423" s="98" t="s">
        <v>639</v>
      </c>
      <c r="E423" s="1157"/>
      <c r="F423"/>
      <c r="I423" s="1180"/>
      <c r="J423" s="1180"/>
    </row>
    <row r="424" spans="1:10" ht="15.75" hidden="1" customHeight="1" x14ac:dyDescent="0.3">
      <c r="A424" s="66"/>
      <c r="B424" s="140"/>
      <c r="C424" s="94" t="s">
        <v>121</v>
      </c>
      <c r="D424" s="98" t="s">
        <v>640</v>
      </c>
      <c r="E424" s="1157"/>
      <c r="F424"/>
      <c r="I424" s="1180"/>
      <c r="J424" s="1180"/>
    </row>
    <row r="425" spans="1:10" ht="15.75" hidden="1" customHeight="1" x14ac:dyDescent="0.3">
      <c r="A425" s="66"/>
      <c r="B425" s="140"/>
      <c r="C425" s="94" t="s">
        <v>122</v>
      </c>
      <c r="D425" s="98" t="s">
        <v>641</v>
      </c>
      <c r="E425" s="1157"/>
      <c r="F425"/>
      <c r="I425" s="1180"/>
      <c r="J425" s="1180"/>
    </row>
    <row r="426" spans="1:10" ht="15.75" hidden="1" customHeight="1" x14ac:dyDescent="0.3">
      <c r="A426" s="66"/>
      <c r="B426" s="140"/>
      <c r="C426" s="115" t="s">
        <v>123</v>
      </c>
      <c r="D426" s="98" t="s">
        <v>642</v>
      </c>
      <c r="E426" s="1157"/>
      <c r="F426"/>
      <c r="I426" s="1180"/>
      <c r="J426" s="1180"/>
    </row>
    <row r="427" spans="1:10" ht="15" hidden="1" customHeight="1" x14ac:dyDescent="0.3">
      <c r="A427" s="66"/>
      <c r="B427" s="140"/>
      <c r="C427" s="210" t="s">
        <v>423</v>
      </c>
      <c r="D427" s="1305" t="s">
        <v>643</v>
      </c>
      <c r="E427" s="1157"/>
      <c r="F427"/>
      <c r="I427" s="1180"/>
      <c r="J427" s="1180"/>
    </row>
    <row r="428" spans="1:10" ht="15.75" hidden="1" customHeight="1" x14ac:dyDescent="0.3">
      <c r="A428" s="66"/>
      <c r="B428" s="140"/>
      <c r="C428" s="98"/>
      <c r="D428" s="1305"/>
      <c r="E428" s="1157"/>
      <c r="F428"/>
      <c r="I428" s="1180"/>
      <c r="J428" s="1180"/>
    </row>
    <row r="429" spans="1:10" ht="15.75" hidden="1" customHeight="1" x14ac:dyDescent="0.3">
      <c r="A429" s="66"/>
      <c r="B429" s="140"/>
      <c r="C429" s="210" t="s">
        <v>578</v>
      </c>
      <c r="D429" s="98" t="s">
        <v>644</v>
      </c>
      <c r="E429" s="1157"/>
      <c r="F429"/>
      <c r="I429" s="1180"/>
      <c r="J429" s="1180"/>
    </row>
    <row r="430" spans="1:10" ht="15.75" hidden="1" customHeight="1" x14ac:dyDescent="0.3">
      <c r="A430" s="66"/>
      <c r="B430" s="140"/>
      <c r="C430" s="115" t="s">
        <v>645</v>
      </c>
      <c r="D430" s="98" t="s">
        <v>646</v>
      </c>
      <c r="E430" s="1157"/>
      <c r="F430"/>
      <c r="I430" s="1180"/>
      <c r="J430" s="1180"/>
    </row>
    <row r="431" spans="1:10" ht="15.75" hidden="1" customHeight="1" x14ac:dyDescent="0.3">
      <c r="A431" s="66"/>
      <c r="B431" s="140"/>
      <c r="C431" s="210" t="s">
        <v>647</v>
      </c>
      <c r="D431" s="98" t="s">
        <v>648</v>
      </c>
      <c r="E431" s="1157"/>
      <c r="F431"/>
      <c r="I431" s="1180"/>
      <c r="J431" s="1180"/>
    </row>
    <row r="432" spans="1:10" ht="15.75" hidden="1" customHeight="1" x14ac:dyDescent="0.3">
      <c r="A432" s="66"/>
      <c r="B432" s="238"/>
      <c r="C432" s="246" t="s">
        <v>649</v>
      </c>
      <c r="D432" s="193" t="s">
        <v>650</v>
      </c>
      <c r="E432" s="1157"/>
      <c r="F432"/>
      <c r="I432" s="1180"/>
      <c r="J432" s="1180"/>
    </row>
    <row r="433" spans="1:10" ht="15" hidden="1" customHeight="1" x14ac:dyDescent="0.3">
      <c r="A433" s="66"/>
      <c r="B433" s="203" t="s">
        <v>273</v>
      </c>
      <c r="C433" s="98"/>
      <c r="D433" s="1305" t="s">
        <v>651</v>
      </c>
      <c r="E433" s="1473">
        <f>'Verification Report'!O433</f>
        <v>0</v>
      </c>
      <c r="F433"/>
      <c r="I433" s="1180"/>
      <c r="J433" s="1180"/>
    </row>
    <row r="434" spans="1:10" ht="15.75" hidden="1" customHeight="1" x14ac:dyDescent="0.3">
      <c r="A434" s="66"/>
      <c r="B434" s="140"/>
      <c r="C434" s="98"/>
      <c r="D434" s="1305"/>
      <c r="E434" s="1473">
        <f>'Verification Report'!O434</f>
        <v>0</v>
      </c>
      <c r="F434"/>
      <c r="I434" s="1180"/>
      <c r="J434" s="1180"/>
    </row>
    <row r="435" spans="1:10" ht="15.75" hidden="1" customHeight="1" x14ac:dyDescent="0.3">
      <c r="A435" s="66"/>
      <c r="B435" s="238"/>
      <c r="C435" s="193"/>
      <c r="D435" s="1306"/>
      <c r="E435" s="1491">
        <f>'Verification Report'!O435</f>
        <v>0</v>
      </c>
      <c r="F435"/>
      <c r="I435" s="1180"/>
      <c r="J435" s="1180"/>
    </row>
    <row r="436" spans="1:10" ht="15" hidden="1" thickBot="1" x14ac:dyDescent="0.35">
      <c r="A436" s="66"/>
      <c r="B436" s="233" t="s">
        <v>275</v>
      </c>
      <c r="C436" s="234"/>
      <c r="D436" s="234" t="s">
        <v>652</v>
      </c>
      <c r="E436" s="1114">
        <f>'Verification Report'!O436</f>
        <v>0</v>
      </c>
      <c r="F436"/>
      <c r="I436" s="1180"/>
      <c r="J436" s="1180"/>
    </row>
    <row r="437" spans="1:10" ht="15" hidden="1" customHeight="1" x14ac:dyDescent="0.3">
      <c r="A437" s="66"/>
      <c r="B437" s="237" t="s">
        <v>285</v>
      </c>
      <c r="C437" s="217"/>
      <c r="D437" s="1356" t="s">
        <v>653</v>
      </c>
      <c r="E437" s="1472">
        <f>'Verification Report'!O437</f>
        <v>0</v>
      </c>
      <c r="F437"/>
      <c r="I437" s="1180"/>
      <c r="J437" s="1180"/>
    </row>
    <row r="438" spans="1:10" ht="15.75" hidden="1" customHeight="1" x14ac:dyDescent="0.3">
      <c r="A438" s="66"/>
      <c r="B438" s="140"/>
      <c r="C438" s="98"/>
      <c r="D438" s="1305"/>
      <c r="E438" s="1473">
        <f>'Verification Report'!O438</f>
        <v>0</v>
      </c>
      <c r="F438"/>
      <c r="I438" s="1180"/>
      <c r="J438" s="1180"/>
    </row>
    <row r="439" spans="1:10" ht="15.75" hidden="1" customHeight="1" x14ac:dyDescent="0.3">
      <c r="A439" s="66"/>
      <c r="B439" s="140"/>
      <c r="C439" s="98"/>
      <c r="D439" s="1305"/>
      <c r="E439" s="1473">
        <f>'Verification Report'!O439</f>
        <v>0</v>
      </c>
      <c r="F439"/>
      <c r="I439" s="1180"/>
      <c r="J439" s="1180"/>
    </row>
    <row r="440" spans="1:10" ht="15.75" hidden="1" customHeight="1" x14ac:dyDescent="0.3">
      <c r="A440" s="66"/>
      <c r="B440" s="238"/>
      <c r="C440" s="193"/>
      <c r="D440" s="1306"/>
      <c r="E440" s="1491">
        <f>'Verification Report'!O440</f>
        <v>0</v>
      </c>
      <c r="F440"/>
      <c r="I440" s="1180"/>
      <c r="J440" s="1180"/>
    </row>
    <row r="441" spans="1:10" ht="15.75" hidden="1" customHeight="1" x14ac:dyDescent="0.3">
      <c r="A441" s="66"/>
      <c r="B441" s="27" t="s">
        <v>291</v>
      </c>
      <c r="C441" s="86"/>
      <c r="D441" s="86" t="s">
        <v>654</v>
      </c>
      <c r="E441" s="1157">
        <f ca="1">'Verification Report'!O441</f>
        <v>0</v>
      </c>
      <c r="F441"/>
      <c r="I441" s="1180"/>
      <c r="J441" s="1180"/>
    </row>
    <row r="442" spans="1:10" ht="15" hidden="1" customHeight="1" x14ac:dyDescent="0.3">
      <c r="A442" s="66"/>
      <c r="B442" s="4"/>
      <c r="C442" s="94" t="s">
        <v>121</v>
      </c>
      <c r="D442" s="1305" t="s">
        <v>655</v>
      </c>
      <c r="E442" s="1157"/>
      <c r="F442"/>
      <c r="I442" s="1180"/>
      <c r="J442" s="1180"/>
    </row>
    <row r="443" spans="1:10" ht="15.75" hidden="1" customHeight="1" x14ac:dyDescent="0.3">
      <c r="A443" s="66"/>
      <c r="B443" s="4"/>
      <c r="C443" s="94"/>
      <c r="D443" s="1305"/>
      <c r="E443" s="1157"/>
      <c r="F443"/>
      <c r="I443" s="1180"/>
      <c r="J443" s="1180"/>
    </row>
    <row r="444" spans="1:10" ht="15.75" hidden="1" customHeight="1" x14ac:dyDescent="0.3">
      <c r="A444" s="66"/>
      <c r="B444" s="4"/>
      <c r="C444" s="192"/>
      <c r="D444" s="1306"/>
      <c r="E444" s="1157"/>
      <c r="F444"/>
      <c r="I444" s="1180"/>
      <c r="J444" s="1180"/>
    </row>
    <row r="445" spans="1:10" ht="15" hidden="1" customHeight="1" x14ac:dyDescent="0.3">
      <c r="A445" s="66"/>
      <c r="B445" s="140"/>
      <c r="C445" s="94" t="s">
        <v>122</v>
      </c>
      <c r="D445" s="1305" t="s">
        <v>656</v>
      </c>
      <c r="E445" s="1158"/>
      <c r="F445"/>
      <c r="I445" s="1180"/>
      <c r="J445" s="1180"/>
    </row>
    <row r="446" spans="1:10" ht="15.75" hidden="1" customHeight="1" x14ac:dyDescent="0.3">
      <c r="A446" s="66"/>
      <c r="B446" s="238"/>
      <c r="C446" s="193"/>
      <c r="D446" s="1306"/>
      <c r="E446" s="1159"/>
      <c r="F446"/>
      <c r="I446" s="1180"/>
      <c r="J446" s="1180"/>
    </row>
    <row r="447" spans="1:10" ht="15" hidden="1" customHeight="1" x14ac:dyDescent="0.3">
      <c r="A447" s="66"/>
      <c r="B447" s="237" t="s">
        <v>293</v>
      </c>
      <c r="C447" s="217"/>
      <c r="D447" s="1356" t="s">
        <v>657</v>
      </c>
      <c r="E447" s="1472">
        <f>'Verification Report'!O447</f>
        <v>0</v>
      </c>
      <c r="F447"/>
      <c r="I447" s="1180"/>
      <c r="J447" s="1180"/>
    </row>
    <row r="448" spans="1:10" ht="15.75" hidden="1" customHeight="1" x14ac:dyDescent="0.3">
      <c r="A448" s="66"/>
      <c r="B448" s="238"/>
      <c r="C448" s="193"/>
      <c r="D448" s="1306"/>
      <c r="E448" s="1491">
        <f>'Verification Report'!O448</f>
        <v>0</v>
      </c>
      <c r="F448"/>
      <c r="I448" s="1180"/>
      <c r="J448" s="1180"/>
    </row>
    <row r="449" spans="1:10" ht="15" hidden="1" thickBot="1" x14ac:dyDescent="0.35">
      <c r="A449" s="66"/>
      <c r="B449" s="27" t="s">
        <v>405</v>
      </c>
      <c r="C449" s="86"/>
      <c r="D449" s="86" t="s">
        <v>658</v>
      </c>
      <c r="E449" s="1157">
        <f>'Verification Report'!O449</f>
        <v>0</v>
      </c>
      <c r="F449"/>
      <c r="I449" s="1180"/>
      <c r="J449" s="1180"/>
    </row>
    <row r="450" spans="1:10" ht="15.75" customHeight="1" thickTop="1" x14ac:dyDescent="0.3">
      <c r="A450" s="200" t="s">
        <v>660</v>
      </c>
      <c r="B450" s="201"/>
      <c r="C450" s="202"/>
      <c r="D450" s="1331" t="s">
        <v>661</v>
      </c>
      <c r="E450" s="1528">
        <f ca="1">'Verification Report'!O450</f>
        <v>0</v>
      </c>
      <c r="F450"/>
      <c r="G450" s="1110">
        <v>1</v>
      </c>
      <c r="H450" s="1178"/>
      <c r="I450" s="1180" t="s">
        <v>4749</v>
      </c>
      <c r="J450" s="1180"/>
    </row>
    <row r="451" spans="1:10" x14ac:dyDescent="0.3">
      <c r="A451" s="141"/>
      <c r="B451" s="140"/>
      <c r="C451" s="98"/>
      <c r="D451" s="1313"/>
      <c r="E451" s="1473">
        <f>'Verification Report'!O451</f>
        <v>0</v>
      </c>
      <c r="F451" s="1176" t="str">
        <f>IF('Verification Report'!W451="","",'Verification Report'!W451)</f>
        <v/>
      </c>
      <c r="G451" s="1110">
        <v>1</v>
      </c>
      <c r="I451" s="1180"/>
      <c r="J451" s="1180"/>
    </row>
    <row r="452" spans="1:10" x14ac:dyDescent="0.3">
      <c r="A452" s="141"/>
      <c r="B452" s="140"/>
      <c r="C452" s="98"/>
      <c r="D452" s="1313"/>
      <c r="E452" s="1473">
        <f>'Verification Report'!O452</f>
        <v>0</v>
      </c>
      <c r="F452" s="97"/>
      <c r="G452" s="1110">
        <v>1</v>
      </c>
      <c r="I452" s="1180"/>
      <c r="J452" s="1180"/>
    </row>
    <row r="453" spans="1:10" x14ac:dyDescent="0.3">
      <c r="A453" s="141"/>
      <c r="B453" s="140"/>
      <c r="C453" s="98"/>
      <c r="D453" s="1313"/>
      <c r="E453" s="1473">
        <f>'Verification Report'!O453</f>
        <v>0</v>
      </c>
      <c r="F453" s="97"/>
      <c r="G453" s="1110">
        <v>1</v>
      </c>
      <c r="I453" s="1180"/>
      <c r="J453" s="1180"/>
    </row>
    <row r="454" spans="1:10" x14ac:dyDescent="0.3">
      <c r="A454" s="141"/>
      <c r="B454" s="140"/>
      <c r="C454" s="98"/>
      <c r="D454" s="1313"/>
      <c r="E454" s="1473">
        <f>'Verification Report'!O454</f>
        <v>0</v>
      </c>
      <c r="F454" s="97"/>
      <c r="G454" s="1110">
        <v>1</v>
      </c>
      <c r="I454" s="1180"/>
      <c r="J454" s="1180"/>
    </row>
    <row r="455" spans="1:10" ht="15" thickBot="1" x14ac:dyDescent="0.35">
      <c r="A455" s="141"/>
      <c r="B455" s="140"/>
      <c r="C455" s="98"/>
      <c r="D455" s="1313"/>
      <c r="E455" s="1473">
        <f>'Verification Report'!O455</f>
        <v>0</v>
      </c>
      <c r="F455" s="97"/>
      <c r="G455" s="1110">
        <v>1</v>
      </c>
      <c r="I455" s="1180"/>
      <c r="J455" s="1180"/>
    </row>
    <row r="456" spans="1:10" ht="15.75" hidden="1" customHeight="1" x14ac:dyDescent="0.3">
      <c r="A456" s="141"/>
      <c r="B456" s="140"/>
      <c r="C456" s="98"/>
      <c r="D456" s="1133" t="str">
        <f>"This Project's Climate Zone: "&amp;W270</f>
        <v xml:space="preserve">This Project's Climate Zone: </v>
      </c>
      <c r="E456" s="1473">
        <f>'Verification Report'!O456</f>
        <v>0</v>
      </c>
      <c r="F456" s="97"/>
      <c r="I456" s="1180"/>
      <c r="J456" s="1180"/>
    </row>
    <row r="457" spans="1:10" ht="15.75" hidden="1" customHeight="1" x14ac:dyDescent="0.3">
      <c r="A457" s="141"/>
      <c r="B457" s="140"/>
      <c r="C457" s="94" t="s">
        <v>121</v>
      </c>
      <c r="D457" s="98" t="s">
        <v>662</v>
      </c>
      <c r="E457" s="1473">
        <f>'Verification Report'!O457</f>
        <v>0</v>
      </c>
      <c r="F457" s="97"/>
      <c r="I457" s="1180"/>
      <c r="J457" s="1180"/>
    </row>
    <row r="458" spans="1:10" ht="15.75" hidden="1" customHeight="1" x14ac:dyDescent="0.3">
      <c r="A458" s="141"/>
      <c r="B458" s="140"/>
      <c r="C458" s="94" t="s">
        <v>122</v>
      </c>
      <c r="D458" s="98" t="s">
        <v>663</v>
      </c>
      <c r="E458" s="1473">
        <f>'Verification Report'!O458</f>
        <v>0</v>
      </c>
      <c r="F458" s="97"/>
      <c r="I458" s="1180"/>
      <c r="J458" s="1180"/>
    </row>
    <row r="459" spans="1:10" ht="15.75" hidden="1" customHeight="1" x14ac:dyDescent="0.3">
      <c r="A459" s="141"/>
      <c r="B459" s="140"/>
      <c r="C459" s="115" t="s">
        <v>123</v>
      </c>
      <c r="D459" s="98" t="s">
        <v>664</v>
      </c>
      <c r="E459" s="1473">
        <f>'Verification Report'!O459</f>
        <v>0</v>
      </c>
      <c r="F459"/>
      <c r="I459" s="1180"/>
      <c r="J459" s="1180"/>
    </row>
    <row r="460" spans="1:10" ht="15.75" hidden="1" customHeight="1" x14ac:dyDescent="0.3">
      <c r="A460" s="141"/>
      <c r="B460" s="140"/>
      <c r="C460" s="210" t="s">
        <v>423</v>
      </c>
      <c r="D460" s="98" t="s">
        <v>665</v>
      </c>
      <c r="E460" s="1473">
        <f>'Verification Report'!O460</f>
        <v>0</v>
      </c>
      <c r="F460"/>
      <c r="I460" s="1180"/>
      <c r="J460" s="1180"/>
    </row>
    <row r="461" spans="1:10" ht="15" hidden="1" customHeight="1" x14ac:dyDescent="0.3">
      <c r="A461" s="141"/>
      <c r="B461" s="140"/>
      <c r="C461" s="210"/>
      <c r="D461" s="1369" t="s">
        <v>3254</v>
      </c>
      <c r="E461" s="1473">
        <f>'Verification Report'!O461</f>
        <v>0</v>
      </c>
      <c r="F461"/>
      <c r="I461" s="1180"/>
      <c r="J461" s="1180"/>
    </row>
    <row r="462" spans="1:10" ht="15.75" hidden="1" customHeight="1" thickBot="1" x14ac:dyDescent="0.35">
      <c r="A462" s="141"/>
      <c r="B462" s="140"/>
      <c r="C462" s="210"/>
      <c r="D462" s="1357"/>
      <c r="E462" s="1473">
        <f>'Verification Report'!O462</f>
        <v>0</v>
      </c>
      <c r="F462"/>
      <c r="I462" s="1180"/>
      <c r="J462" s="1180"/>
    </row>
    <row r="463" spans="1:10" ht="15.75" hidden="1" customHeight="1" thickTop="1" x14ac:dyDescent="0.3">
      <c r="A463" s="200" t="s">
        <v>667</v>
      </c>
      <c r="B463" s="201"/>
      <c r="C463" s="202"/>
      <c r="D463" s="1331" t="s">
        <v>668</v>
      </c>
      <c r="E463" s="1160"/>
      <c r="F463"/>
      <c r="I463" s="1180"/>
      <c r="J463" s="1180"/>
    </row>
    <row r="464" spans="1:10" ht="15.75" hidden="1" customHeight="1" thickBot="1" x14ac:dyDescent="0.35">
      <c r="A464" s="141"/>
      <c r="B464" s="140"/>
      <c r="C464" s="98"/>
      <c r="D464" s="1313"/>
      <c r="E464" s="1158"/>
      <c r="F464"/>
      <c r="I464" s="1180"/>
      <c r="J464" s="1180"/>
    </row>
    <row r="465" spans="1:10" ht="15.75" customHeight="1" thickTop="1" x14ac:dyDescent="0.3">
      <c r="A465" s="200" t="s">
        <v>669</v>
      </c>
      <c r="B465" s="201"/>
      <c r="C465" s="202"/>
      <c r="D465" s="1331" t="s">
        <v>670</v>
      </c>
      <c r="E465" s="1528">
        <f ca="1">'Verification Report'!O465</f>
        <v>0</v>
      </c>
      <c r="F465"/>
      <c r="G465" s="1110">
        <v>1</v>
      </c>
      <c r="H465" s="1178"/>
      <c r="I465" s="1180" t="s">
        <v>4750</v>
      </c>
      <c r="J465" s="1180"/>
    </row>
    <row r="466" spans="1:10" ht="15" thickBot="1" x14ac:dyDescent="0.35">
      <c r="A466" s="141"/>
      <c r="B466" s="140"/>
      <c r="C466" s="98"/>
      <c r="D466" s="1313"/>
      <c r="E466" s="1473">
        <f>'Verification Report'!O466</f>
        <v>0</v>
      </c>
      <c r="F466"/>
      <c r="G466" s="1110">
        <v>1</v>
      </c>
      <c r="I466" s="1180"/>
      <c r="J466" s="1180"/>
    </row>
    <row r="467" spans="1:10" ht="15.75" hidden="1" customHeight="1" thickBot="1" x14ac:dyDescent="0.35">
      <c r="A467" s="141"/>
      <c r="B467" s="140"/>
      <c r="C467" s="98"/>
      <c r="D467" s="422" t="s">
        <v>3239</v>
      </c>
      <c r="E467" s="1473">
        <f>'Verification Report'!O467</f>
        <v>0</v>
      </c>
      <c r="F467"/>
      <c r="I467" s="1180"/>
      <c r="J467" s="1180"/>
    </row>
    <row r="468" spans="1:10" ht="15.75" hidden="1" customHeight="1" thickTop="1" x14ac:dyDescent="0.3">
      <c r="A468" s="200" t="s">
        <v>672</v>
      </c>
      <c r="B468" s="201"/>
      <c r="C468" s="202"/>
      <c r="D468" s="1331" t="s">
        <v>673</v>
      </c>
      <c r="E468" s="1160"/>
      <c r="F468"/>
      <c r="I468" s="1180"/>
      <c r="J468" s="1180"/>
    </row>
    <row r="469" spans="1:10" ht="15.75" hidden="1" customHeight="1" x14ac:dyDescent="0.3">
      <c r="A469" s="141"/>
      <c r="B469" s="140"/>
      <c r="C469" s="98"/>
      <c r="D469" s="1313"/>
      <c r="E469" s="1158"/>
      <c r="F469"/>
      <c r="I469" s="1180"/>
      <c r="J469" s="1180"/>
    </row>
    <row r="470" spans="1:10" ht="15.75" hidden="1" customHeight="1" x14ac:dyDescent="0.3">
      <c r="A470" s="141"/>
      <c r="B470" s="140"/>
      <c r="C470" s="98"/>
      <c r="D470" s="1313"/>
      <c r="E470" s="1158"/>
      <c r="F470"/>
      <c r="I470" s="1180"/>
      <c r="J470" s="1180"/>
    </row>
    <row r="471" spans="1:10" ht="15.75" hidden="1" customHeight="1" thickBot="1" x14ac:dyDescent="0.35">
      <c r="A471" s="141"/>
      <c r="B471" s="140"/>
      <c r="C471" s="98"/>
      <c r="D471" s="1313"/>
      <c r="E471" s="1158"/>
      <c r="F471"/>
      <c r="I471" s="1180"/>
      <c r="J471" s="1180"/>
    </row>
    <row r="472" spans="1:10" ht="15.75" customHeight="1" thickTop="1" x14ac:dyDescent="0.3">
      <c r="A472" s="200" t="s">
        <v>674</v>
      </c>
      <c r="B472" s="201"/>
      <c r="C472" s="202"/>
      <c r="D472" s="1331" t="s">
        <v>675</v>
      </c>
      <c r="E472" s="1160"/>
      <c r="F472"/>
      <c r="G472" s="1110">
        <v>1</v>
      </c>
      <c r="I472" s="1180"/>
      <c r="J472" s="1180"/>
    </row>
    <row r="473" spans="1:10" x14ac:dyDescent="0.3">
      <c r="A473" s="141"/>
      <c r="B473" s="140"/>
      <c r="C473" s="98"/>
      <c r="D473" s="1313"/>
      <c r="E473" s="1158"/>
      <c r="F473"/>
      <c r="G473" s="1110">
        <v>1</v>
      </c>
      <c r="I473" s="1180"/>
      <c r="J473" s="1180"/>
    </row>
    <row r="474" spans="1:10" ht="15" customHeight="1" x14ac:dyDescent="0.3">
      <c r="A474" s="66"/>
      <c r="B474" s="203" t="s">
        <v>271</v>
      </c>
      <c r="C474" s="98"/>
      <c r="D474" s="1305" t="s">
        <v>676</v>
      </c>
      <c r="E474" s="1473">
        <f>'Verification Report'!O474</f>
        <v>0</v>
      </c>
      <c r="F474"/>
      <c r="G474" s="1110">
        <v>1</v>
      </c>
      <c r="H474" s="1178"/>
      <c r="I474" s="1180" t="s">
        <v>4751</v>
      </c>
      <c r="J474" s="1180"/>
    </row>
    <row r="475" spans="1:10" x14ac:dyDescent="0.3">
      <c r="A475" s="66"/>
      <c r="B475" s="238"/>
      <c r="C475" s="193"/>
      <c r="D475" s="1306"/>
      <c r="E475" s="1491">
        <f>'Verification Report'!O475</f>
        <v>0</v>
      </c>
      <c r="F475"/>
      <c r="G475" s="1110">
        <v>1</v>
      </c>
      <c r="I475" s="1180"/>
      <c r="J475" s="1180"/>
    </row>
    <row r="476" spans="1:10" x14ac:dyDescent="0.3">
      <c r="A476" s="66"/>
      <c r="B476" s="233" t="s">
        <v>273</v>
      </c>
      <c r="C476" s="234"/>
      <c r="D476" s="234" t="s">
        <v>677</v>
      </c>
      <c r="E476" s="1114">
        <f>'Verification Report'!O476</f>
        <v>0</v>
      </c>
      <c r="F476"/>
      <c r="G476" s="1110">
        <v>1</v>
      </c>
      <c r="H476" s="1178"/>
      <c r="I476" s="1180" t="s">
        <v>4751</v>
      </c>
      <c r="J476" s="1180"/>
    </row>
    <row r="477" spans="1:10" ht="15" thickBot="1" x14ac:dyDescent="0.35">
      <c r="A477" s="66"/>
      <c r="B477" s="27" t="s">
        <v>275</v>
      </c>
      <c r="C477" s="86"/>
      <c r="D477" s="86" t="s">
        <v>678</v>
      </c>
      <c r="E477" s="1157">
        <f>'Verification Report'!O477</f>
        <v>0</v>
      </c>
      <c r="F477"/>
      <c r="G477" s="1110">
        <v>1</v>
      </c>
      <c r="H477" s="1178"/>
      <c r="I477" s="1180" t="s">
        <v>4751</v>
      </c>
      <c r="J477" s="1180"/>
    </row>
    <row r="478" spans="1:10" ht="15.75" hidden="1" customHeight="1" thickTop="1" x14ac:dyDescent="0.3">
      <c r="A478" s="200">
        <v>602.20000000000005</v>
      </c>
      <c r="B478" s="201"/>
      <c r="C478" s="202"/>
      <c r="D478" s="1331" t="s">
        <v>679</v>
      </c>
      <c r="E478" s="1528">
        <f>'Verification Report'!O478</f>
        <v>0</v>
      </c>
      <c r="F478"/>
      <c r="I478" s="1180"/>
      <c r="J478" s="1180"/>
    </row>
    <row r="479" spans="1:10" ht="15" hidden="1" thickBot="1" x14ac:dyDescent="0.35">
      <c r="A479" s="141"/>
      <c r="B479" s="140"/>
      <c r="C479" s="98"/>
      <c r="D479" s="1313"/>
      <c r="E479" s="1473">
        <f>'Verification Report'!O479</f>
        <v>0</v>
      </c>
      <c r="F479" s="97"/>
      <c r="I479" s="1180"/>
      <c r="J479" s="1180"/>
    </row>
    <row r="480" spans="1:10" ht="15" hidden="1" thickBot="1" x14ac:dyDescent="0.35">
      <c r="A480" s="141"/>
      <c r="B480" s="140"/>
      <c r="C480" s="98"/>
      <c r="D480" s="1313"/>
      <c r="E480" s="1473">
        <f>'Verification Report'!O480</f>
        <v>0</v>
      </c>
      <c r="F480"/>
      <c r="I480" s="1180"/>
      <c r="J480" s="1180"/>
    </row>
    <row r="481" spans="1:10" ht="15" hidden="1" thickBot="1" x14ac:dyDescent="0.35">
      <c r="A481" s="141"/>
      <c r="B481" s="140"/>
      <c r="C481" s="98"/>
      <c r="D481" s="1313"/>
      <c r="E481" s="1473">
        <f>'Verification Report'!O481</f>
        <v>0</v>
      </c>
      <c r="F481"/>
      <c r="I481" s="1180"/>
      <c r="J481" s="1180"/>
    </row>
    <row r="482" spans="1:10" ht="15" hidden="1" customHeight="1" x14ac:dyDescent="0.3">
      <c r="A482" s="66"/>
      <c r="B482" s="203" t="s">
        <v>271</v>
      </c>
      <c r="C482" s="98"/>
      <c r="D482" s="1293" t="s">
        <v>680</v>
      </c>
      <c r="E482" s="1157"/>
      <c r="F482"/>
      <c r="I482" s="1180"/>
      <c r="J482" s="1180"/>
    </row>
    <row r="483" spans="1:10" ht="15.75" hidden="1" customHeight="1" x14ac:dyDescent="0.3">
      <c r="A483" s="66"/>
      <c r="B483" s="231"/>
      <c r="C483" s="193"/>
      <c r="D483" s="1294"/>
      <c r="E483" s="1157"/>
      <c r="F483"/>
      <c r="I483" s="1180"/>
      <c r="J483" s="1180"/>
    </row>
    <row r="484" spans="1:10" ht="15" hidden="1" thickBot="1" x14ac:dyDescent="0.35">
      <c r="A484" s="66"/>
      <c r="B484" s="233" t="s">
        <v>273</v>
      </c>
      <c r="C484" s="234"/>
      <c r="D484" s="234" t="s">
        <v>681</v>
      </c>
      <c r="E484" s="1157"/>
      <c r="F484"/>
      <c r="I484" s="1180"/>
      <c r="J484" s="1180"/>
    </row>
    <row r="485" spans="1:10" ht="15" hidden="1" customHeight="1" x14ac:dyDescent="0.3">
      <c r="A485" s="66"/>
      <c r="B485" s="27" t="s">
        <v>275</v>
      </c>
      <c r="C485" s="86"/>
      <c r="D485" s="1329" t="s">
        <v>682</v>
      </c>
      <c r="E485" s="1157"/>
      <c r="F485"/>
      <c r="I485" s="1180"/>
      <c r="J485" s="1180"/>
    </row>
    <row r="486" spans="1:10" ht="15.75" hidden="1" customHeight="1" x14ac:dyDescent="0.3">
      <c r="A486" s="66"/>
      <c r="B486" s="4"/>
      <c r="C486" s="86"/>
      <c r="D486" s="1329"/>
      <c r="E486" s="1157"/>
      <c r="F486"/>
      <c r="I486" s="1180"/>
      <c r="J486" s="1180"/>
    </row>
    <row r="487" spans="1:10" ht="15.75" hidden="1" customHeight="1" thickBot="1" x14ac:dyDescent="0.35">
      <c r="A487" s="66"/>
      <c r="B487" s="4"/>
      <c r="C487" s="86"/>
      <c r="D487" s="1329"/>
      <c r="E487" s="1157"/>
      <c r="F487"/>
      <c r="I487" s="1180"/>
      <c r="J487" s="1180"/>
    </row>
    <row r="488" spans="1:10" ht="15.75" customHeight="1" thickTop="1" x14ac:dyDescent="0.3">
      <c r="A488" s="200">
        <v>602.29999999999995</v>
      </c>
      <c r="B488" s="201"/>
      <c r="C488" s="202"/>
      <c r="D488" s="1331" t="s">
        <v>683</v>
      </c>
      <c r="E488" s="1528">
        <f>'Verification Report'!O488</f>
        <v>0</v>
      </c>
      <c r="F488"/>
      <c r="G488" s="1110">
        <v>1</v>
      </c>
      <c r="H488" s="1178"/>
      <c r="I488" s="1180" t="s">
        <v>4752</v>
      </c>
      <c r="J488" s="1180"/>
    </row>
    <row r="489" spans="1:10" x14ac:dyDescent="0.3">
      <c r="A489" s="141"/>
      <c r="B489" s="140"/>
      <c r="C489" s="98"/>
      <c r="D489" s="1313"/>
      <c r="E489" s="1473">
        <f>'Verification Report'!O489</f>
        <v>0</v>
      </c>
      <c r="F489"/>
      <c r="G489" s="1110">
        <v>1</v>
      </c>
      <c r="I489" s="1180"/>
      <c r="J489" s="1180"/>
    </row>
    <row r="490" spans="1:10" ht="15" thickBot="1" x14ac:dyDescent="0.35">
      <c r="A490" s="141"/>
      <c r="B490" s="140"/>
      <c r="C490" s="98"/>
      <c r="D490" s="1313"/>
      <c r="E490" s="1473">
        <f>'Verification Report'!O490</f>
        <v>0</v>
      </c>
      <c r="F490"/>
      <c r="G490" s="1110">
        <v>1</v>
      </c>
      <c r="I490" s="1180"/>
      <c r="J490" s="1180"/>
    </row>
    <row r="491" spans="1:10" ht="15" thickTop="1" x14ac:dyDescent="0.3">
      <c r="A491" s="200">
        <v>602.4</v>
      </c>
      <c r="B491" s="201"/>
      <c r="C491" s="202"/>
      <c r="D491" s="135" t="s">
        <v>684</v>
      </c>
      <c r="E491" s="1160"/>
      <c r="F491"/>
      <c r="G491" s="1110">
        <v>1</v>
      </c>
      <c r="I491" s="1180"/>
      <c r="J491" s="1180"/>
    </row>
    <row r="492" spans="1:10" ht="15" customHeight="1" x14ac:dyDescent="0.3">
      <c r="A492" s="141" t="s">
        <v>685</v>
      </c>
      <c r="B492" s="140"/>
      <c r="C492" s="98"/>
      <c r="D492" s="1313" t="s">
        <v>686</v>
      </c>
      <c r="E492" s="1157"/>
      <c r="F492" s="1176" t="str">
        <f>IF('Verification Report'!W492="","",'Verification Report'!W492)</f>
        <v/>
      </c>
      <c r="G492" s="1110">
        <v>1</v>
      </c>
      <c r="H492" s="1178"/>
      <c r="I492" s="1180" t="s">
        <v>4751</v>
      </c>
      <c r="J492" s="1180"/>
    </row>
    <row r="493" spans="1:10" x14ac:dyDescent="0.3">
      <c r="A493" s="141"/>
      <c r="B493" s="140"/>
      <c r="C493" s="98"/>
      <c r="D493" s="1313"/>
      <c r="E493" s="1157"/>
      <c r="G493" s="1110">
        <v>1</v>
      </c>
      <c r="I493" s="1180"/>
      <c r="J493" s="1180"/>
    </row>
    <row r="494" spans="1:10" x14ac:dyDescent="0.3">
      <c r="A494" s="141"/>
      <c r="B494" s="140"/>
      <c r="C494" s="98"/>
      <c r="D494" s="1313"/>
      <c r="E494" s="1157"/>
      <c r="G494" s="1110">
        <v>1</v>
      </c>
      <c r="I494" s="1180"/>
      <c r="J494" s="1180"/>
    </row>
    <row r="495" spans="1:10" x14ac:dyDescent="0.3">
      <c r="A495" s="141"/>
      <c r="B495" s="140"/>
      <c r="C495" s="98"/>
      <c r="D495" s="1313"/>
      <c r="E495" s="1157"/>
      <c r="G495" s="1110">
        <v>1</v>
      </c>
      <c r="I495" s="1180"/>
      <c r="J495" s="1180"/>
    </row>
    <row r="496" spans="1:10" x14ac:dyDescent="0.3">
      <c r="A496" s="244"/>
      <c r="B496" s="238"/>
      <c r="C496" s="193"/>
      <c r="D496" s="1350"/>
      <c r="E496" s="1157"/>
      <c r="F496"/>
      <c r="G496" s="1110">
        <v>1</v>
      </c>
      <c r="I496" s="1180"/>
      <c r="J496" s="1180"/>
    </row>
    <row r="497" spans="1:10" ht="15" customHeight="1" x14ac:dyDescent="0.3">
      <c r="A497" s="141" t="s">
        <v>687</v>
      </c>
      <c r="B497" s="140"/>
      <c r="C497" s="98"/>
      <c r="D497" s="1313" t="s">
        <v>688</v>
      </c>
      <c r="E497" s="1473">
        <f>'Verification Report'!O497</f>
        <v>0</v>
      </c>
      <c r="F497"/>
      <c r="G497" s="1110">
        <v>1</v>
      </c>
      <c r="H497" s="1178"/>
      <c r="I497" s="1180" t="s">
        <v>4751</v>
      </c>
      <c r="J497" s="1180"/>
    </row>
    <row r="498" spans="1:10" x14ac:dyDescent="0.3">
      <c r="A498" s="244"/>
      <c r="B498" s="238"/>
      <c r="C498" s="193"/>
      <c r="D498" s="1350"/>
      <c r="E498" s="1491">
        <f>'Verification Report'!O498</f>
        <v>0</v>
      </c>
      <c r="F498"/>
      <c r="G498" s="1110">
        <v>1</v>
      </c>
      <c r="I498" s="1180"/>
      <c r="J498" s="1180"/>
    </row>
    <row r="499" spans="1:10" ht="15" thickBot="1" x14ac:dyDescent="0.35">
      <c r="A499" s="66" t="s">
        <v>689</v>
      </c>
      <c r="B499" s="4"/>
      <c r="C499" s="86"/>
      <c r="D499" s="88" t="s">
        <v>690</v>
      </c>
      <c r="E499" s="1157">
        <f>'Verification Report'!O499</f>
        <v>0</v>
      </c>
      <c r="F499"/>
      <c r="G499" s="1110">
        <v>1</v>
      </c>
      <c r="H499" s="1178"/>
      <c r="I499" s="1180" t="s">
        <v>4751</v>
      </c>
      <c r="J499" s="1180"/>
    </row>
    <row r="500" spans="1:10" ht="18.600000000000001" hidden="1" thickBot="1" x14ac:dyDescent="0.4">
      <c r="A500" s="72" t="s">
        <v>691</v>
      </c>
      <c r="B500" s="23"/>
      <c r="C500" s="85"/>
      <c r="D500" s="82"/>
      <c r="E500" s="71"/>
      <c r="F500"/>
      <c r="I500" s="1180"/>
      <c r="J500" s="1180"/>
    </row>
    <row r="501" spans="1:10" ht="15" hidden="1" customHeight="1" x14ac:dyDescent="0.3">
      <c r="A501" s="925" t="s">
        <v>4436</v>
      </c>
      <c r="B501" s="4"/>
      <c r="C501" s="86"/>
      <c r="D501" s="1292" t="s">
        <v>692</v>
      </c>
      <c r="E501" s="1157"/>
      <c r="F501"/>
      <c r="I501" s="1180"/>
      <c r="J501" s="1180"/>
    </row>
    <row r="502" spans="1:10" ht="15" hidden="1" thickBot="1" x14ac:dyDescent="0.35">
      <c r="A502" s="66"/>
      <c r="B502" s="4"/>
      <c r="C502" s="86"/>
      <c r="D502" s="1292"/>
      <c r="E502" s="1157"/>
      <c r="F502"/>
      <c r="I502" s="1180"/>
      <c r="J502" s="1180"/>
    </row>
    <row r="503" spans="1:10" ht="15.75" hidden="1" customHeight="1" thickTop="1" x14ac:dyDescent="0.3">
      <c r="A503" s="200">
        <v>603.1</v>
      </c>
      <c r="B503" s="201"/>
      <c r="C503" s="202"/>
      <c r="D503" s="1331" t="s">
        <v>693</v>
      </c>
      <c r="E503" s="1528">
        <f>'Verification Report'!O503</f>
        <v>0</v>
      </c>
      <c r="F503"/>
      <c r="I503" s="1180"/>
      <c r="J503" s="1180"/>
    </row>
    <row r="504" spans="1:10" ht="15.75" hidden="1" customHeight="1" x14ac:dyDescent="0.3">
      <c r="A504" s="141"/>
      <c r="B504" s="140"/>
      <c r="C504" s="98"/>
      <c r="D504" s="1313"/>
      <c r="E504" s="1473">
        <f>'Verification Report'!O504</f>
        <v>0</v>
      </c>
      <c r="F504"/>
      <c r="I504" s="1180"/>
      <c r="J504" s="1180"/>
    </row>
    <row r="505" spans="1:10" ht="15.75" hidden="1" customHeight="1" x14ac:dyDescent="0.3">
      <c r="A505" s="141"/>
      <c r="B505" s="140"/>
      <c r="C505" s="98"/>
      <c r="D505" s="208" t="s">
        <v>694</v>
      </c>
      <c r="E505" s="1473">
        <f>'Verification Report'!O505</f>
        <v>0</v>
      </c>
      <c r="F505"/>
      <c r="I505" s="1180"/>
      <c r="J505" s="1180"/>
    </row>
    <row r="506" spans="1:10" ht="15" hidden="1" customHeight="1" x14ac:dyDescent="0.3">
      <c r="A506" s="141"/>
      <c r="B506" s="140"/>
      <c r="C506" s="98"/>
      <c r="D506" s="1432" t="s">
        <v>3258</v>
      </c>
      <c r="E506" s="1473">
        <f>'Verification Report'!O506</f>
        <v>0</v>
      </c>
      <c r="F506"/>
      <c r="I506" s="1180"/>
      <c r="J506" s="1180"/>
    </row>
    <row r="507" spans="1:10" ht="15.75" hidden="1" customHeight="1" x14ac:dyDescent="0.3">
      <c r="A507" s="141"/>
      <c r="B507" s="140"/>
      <c r="C507" s="98"/>
      <c r="D507" s="1538"/>
      <c r="E507" s="1473">
        <f>'Verification Report'!O507</f>
        <v>0</v>
      </c>
      <c r="F507"/>
      <c r="I507" s="1180"/>
      <c r="J507" s="1180"/>
    </row>
    <row r="508" spans="1:10" ht="15.75" hidden="1" customHeight="1" thickBot="1" x14ac:dyDescent="0.35">
      <c r="A508" s="141"/>
      <c r="B508" s="140"/>
      <c r="C508" s="98"/>
      <c r="D508" s="1538"/>
      <c r="E508" s="1473">
        <f>'Verification Report'!O508</f>
        <v>0</v>
      </c>
      <c r="F508"/>
      <c r="I508" s="1180"/>
      <c r="J508" s="1180"/>
    </row>
    <row r="509" spans="1:10" ht="15.75" hidden="1" customHeight="1" thickTop="1" x14ac:dyDescent="0.3">
      <c r="A509" s="200">
        <v>603.20000000000005</v>
      </c>
      <c r="B509" s="201"/>
      <c r="C509" s="202"/>
      <c r="D509" s="1331" t="s">
        <v>695</v>
      </c>
      <c r="E509" s="1528">
        <f>'Verification Report'!O509</f>
        <v>0</v>
      </c>
      <c r="F509"/>
      <c r="I509" s="1180"/>
      <c r="J509" s="1180"/>
    </row>
    <row r="510" spans="1:10" ht="15.75" hidden="1" customHeight="1" x14ac:dyDescent="0.3">
      <c r="A510" s="141"/>
      <c r="B510" s="140"/>
      <c r="C510" s="98"/>
      <c r="D510" s="1313"/>
      <c r="E510" s="1473">
        <f>'Verification Report'!O510</f>
        <v>0</v>
      </c>
      <c r="F510"/>
      <c r="I510" s="1180"/>
      <c r="J510" s="1180"/>
    </row>
    <row r="511" spans="1:10" ht="15.75" hidden="1" customHeight="1" x14ac:dyDescent="0.3">
      <c r="A511" s="141"/>
      <c r="B511" s="140"/>
      <c r="C511" s="98"/>
      <c r="D511" s="1313"/>
      <c r="E511" s="1473">
        <f>'Verification Report'!O511</f>
        <v>0</v>
      </c>
      <c r="F511"/>
      <c r="I511" s="1180"/>
      <c r="J511" s="1180"/>
    </row>
    <row r="512" spans="1:10" ht="26.25" hidden="1" customHeight="1" x14ac:dyDescent="0.3">
      <c r="A512" s="141"/>
      <c r="B512" s="140"/>
      <c r="C512" s="98"/>
      <c r="D512" s="1151" t="s">
        <v>3260</v>
      </c>
      <c r="E512" s="1473">
        <f>'Verification Report'!O512</f>
        <v>0</v>
      </c>
      <c r="F512"/>
      <c r="I512" s="1180"/>
      <c r="J512" s="1180"/>
    </row>
    <row r="513" spans="1:10" ht="15" hidden="1" customHeight="1" x14ac:dyDescent="0.3">
      <c r="A513" s="141"/>
      <c r="B513" s="140"/>
      <c r="C513" s="98"/>
      <c r="D513" s="1432" t="s">
        <v>3258</v>
      </c>
      <c r="E513" s="1473">
        <f>'Verification Report'!O513</f>
        <v>0</v>
      </c>
      <c r="F513"/>
      <c r="I513" s="1180"/>
      <c r="J513" s="1180"/>
    </row>
    <row r="514" spans="1:10" ht="15.75" hidden="1" customHeight="1" x14ac:dyDescent="0.3">
      <c r="A514" s="141"/>
      <c r="B514" s="140"/>
      <c r="C514" s="98"/>
      <c r="D514" s="1538"/>
      <c r="E514" s="1473">
        <f>'Verification Report'!O514</f>
        <v>0</v>
      </c>
      <c r="F514"/>
      <c r="I514" s="1180"/>
      <c r="J514" s="1180"/>
    </row>
    <row r="515" spans="1:10" ht="15.75" hidden="1" customHeight="1" thickBot="1" x14ac:dyDescent="0.35">
      <c r="A515" s="141"/>
      <c r="B515" s="140"/>
      <c r="C515" s="98"/>
      <c r="D515" s="1538"/>
      <c r="E515" s="1473">
        <f>'Verification Report'!O515</f>
        <v>0</v>
      </c>
      <c r="F515"/>
      <c r="I515" s="1180"/>
      <c r="J515" s="1180"/>
    </row>
    <row r="516" spans="1:10" ht="15.75" hidden="1" customHeight="1" thickTop="1" x14ac:dyDescent="0.3">
      <c r="A516" s="200">
        <v>603.29999999999995</v>
      </c>
      <c r="B516" s="201"/>
      <c r="C516" s="202"/>
      <c r="D516" s="1331" t="s">
        <v>696</v>
      </c>
      <c r="E516" s="1528">
        <f>'Verification Report'!O516</f>
        <v>0</v>
      </c>
      <c r="F516"/>
      <c r="I516" s="1180"/>
      <c r="J516" s="1180"/>
    </row>
    <row r="517" spans="1:10" ht="15.75" hidden="1" customHeight="1" x14ac:dyDescent="0.3">
      <c r="A517" s="141"/>
      <c r="B517" s="140"/>
      <c r="C517" s="98"/>
      <c r="D517" s="1313"/>
      <c r="E517" s="1473">
        <f>'Verification Report'!O517</f>
        <v>0</v>
      </c>
      <c r="F517"/>
      <c r="I517" s="1180"/>
      <c r="J517" s="1180"/>
    </row>
    <row r="518" spans="1:10" ht="26.25" hidden="1" customHeight="1" x14ac:dyDescent="0.3">
      <c r="A518" s="141"/>
      <c r="B518" s="140"/>
      <c r="C518" s="98"/>
      <c r="D518" s="1133" t="s">
        <v>3256</v>
      </c>
      <c r="E518" s="1473">
        <f>'Verification Report'!O518</f>
        <v>0</v>
      </c>
      <c r="F518"/>
      <c r="I518" s="1180"/>
      <c r="J518" s="1180"/>
    </row>
    <row r="519" spans="1:10" ht="18.600000000000001" hidden="1" thickBot="1" x14ac:dyDescent="0.4">
      <c r="A519" s="14" t="s">
        <v>697</v>
      </c>
      <c r="B519" s="23"/>
      <c r="C519" s="85"/>
      <c r="D519" s="82"/>
      <c r="E519" s="71"/>
      <c r="F519"/>
      <c r="I519" s="1180"/>
      <c r="J519" s="1180"/>
    </row>
    <row r="520" spans="1:10" ht="15" hidden="1" customHeight="1" x14ac:dyDescent="0.3">
      <c r="A520" s="66">
        <v>604.1</v>
      </c>
      <c r="B520" s="4"/>
      <c r="C520" s="86"/>
      <c r="D520" s="1292" t="s">
        <v>698</v>
      </c>
      <c r="E520" s="1463">
        <f>IFERROR(INDEX({0,1,2,3},MATCH(MIN(#REF!+0,#REF!+0),{0,0.25,0.5,0.75},1)),0)+IFERROR(INDEX({0,2,4,6},MATCH(MIN(#REF!+0,#REF!+0),{0,0.25,0.5,0.75},1)),0)</f>
        <v>0</v>
      </c>
      <c r="F520"/>
      <c r="I520" s="1180"/>
      <c r="J520" s="1180"/>
    </row>
    <row r="521" spans="1:10" ht="15.75" hidden="1" customHeight="1" x14ac:dyDescent="0.3">
      <c r="A521" s="66"/>
      <c r="B521" s="4"/>
      <c r="C521" s="86"/>
      <c r="D521" s="1292"/>
      <c r="E521" s="1463"/>
      <c r="F521"/>
      <c r="I521" s="1180"/>
      <c r="J521" s="1180"/>
    </row>
    <row r="522" spans="1:10" ht="15.75" hidden="1" customHeight="1" x14ac:dyDescent="0.3">
      <c r="A522" s="66"/>
      <c r="B522" s="4"/>
      <c r="C522" s="86"/>
      <c r="D522" s="1123" t="s">
        <v>3270</v>
      </c>
      <c r="E522" s="1463"/>
      <c r="F522"/>
      <c r="I522" s="1180"/>
      <c r="J522" s="1180"/>
    </row>
    <row r="523" spans="1:10" ht="15.75" hidden="1" customHeight="1" x14ac:dyDescent="0.3">
      <c r="A523" s="66"/>
      <c r="B523" s="4"/>
      <c r="C523" s="86"/>
      <c r="D523" s="422" t="s">
        <v>3267</v>
      </c>
      <c r="E523" s="1463"/>
      <c r="F523"/>
      <c r="I523" s="1180"/>
      <c r="J523" s="1180"/>
    </row>
    <row r="524" spans="1:10" ht="15" hidden="1" customHeight="1" x14ac:dyDescent="0.3">
      <c r="A524" s="66"/>
      <c r="B524" s="4"/>
      <c r="C524" s="86"/>
      <c r="D524" s="1328" t="s">
        <v>3269</v>
      </c>
      <c r="E524" s="1463"/>
      <c r="F524"/>
      <c r="I524" s="1180"/>
      <c r="J524" s="1180"/>
    </row>
    <row r="525" spans="1:10" ht="15.75" hidden="1" customHeight="1" x14ac:dyDescent="0.3">
      <c r="A525" s="66"/>
      <c r="B525" s="4"/>
      <c r="C525" s="86"/>
      <c r="D525" s="1328"/>
      <c r="E525" s="1463"/>
      <c r="F525"/>
      <c r="I525" s="1180"/>
      <c r="J525" s="1180"/>
    </row>
    <row r="526" spans="1:10" ht="15.75" hidden="1" customHeight="1" x14ac:dyDescent="0.3">
      <c r="A526" s="66"/>
      <c r="B526" s="4"/>
      <c r="C526" s="86"/>
      <c r="D526" s="1110"/>
      <c r="E526" s="1463"/>
      <c r="F526"/>
      <c r="I526" s="1180"/>
      <c r="J526" s="1180"/>
    </row>
    <row r="527" spans="1:10" ht="15.75" hidden="1" customHeight="1" x14ac:dyDescent="0.3">
      <c r="A527" s="66"/>
      <c r="B527" s="4"/>
      <c r="C527" s="86"/>
      <c r="D527" s="1110"/>
      <c r="E527" s="1463"/>
      <c r="F527"/>
      <c r="I527" s="1180"/>
      <c r="J527" s="1180"/>
    </row>
    <row r="528" spans="1:10" ht="18.600000000000001" hidden="1" thickBot="1" x14ac:dyDescent="0.4">
      <c r="A528" s="14" t="s">
        <v>699</v>
      </c>
      <c r="B528" s="23"/>
      <c r="C528" s="85"/>
      <c r="D528" s="72"/>
      <c r="E528" s="71"/>
      <c r="F528"/>
      <c r="I528" s="1180"/>
      <c r="J528" s="1180"/>
    </row>
    <row r="529" spans="1:10" ht="15" hidden="1" customHeight="1" x14ac:dyDescent="0.3">
      <c r="A529" s="81" t="s">
        <v>4435</v>
      </c>
      <c r="B529" s="4"/>
      <c r="C529" s="86"/>
      <c r="D529" s="1292" t="s">
        <v>700</v>
      </c>
      <c r="E529" s="1157"/>
      <c r="F529"/>
      <c r="I529" s="1180"/>
      <c r="J529" s="1180"/>
    </row>
    <row r="530" spans="1:10" ht="15" hidden="1" thickBot="1" x14ac:dyDescent="0.35">
      <c r="A530" s="66"/>
      <c r="B530" s="4"/>
      <c r="C530" s="86"/>
      <c r="D530" s="1292"/>
      <c r="E530" s="1157"/>
      <c r="F530"/>
      <c r="I530" s="1180"/>
      <c r="J530" s="1180"/>
    </row>
    <row r="531" spans="1:10" ht="15" hidden="1" thickBot="1" x14ac:dyDescent="0.35">
      <c r="A531" s="66"/>
      <c r="B531" s="4"/>
      <c r="C531" s="86"/>
      <c r="D531" s="172" t="s">
        <v>701</v>
      </c>
      <c r="E531" s="1157"/>
      <c r="F531"/>
      <c r="I531" s="1180"/>
      <c r="J531" s="1180"/>
    </row>
    <row r="532" spans="1:10" ht="15.75" hidden="1" customHeight="1" thickTop="1" x14ac:dyDescent="0.3">
      <c r="A532" s="200">
        <v>605.1</v>
      </c>
      <c r="B532" s="201"/>
      <c r="C532" s="202"/>
      <c r="D532" s="1331" t="s">
        <v>702</v>
      </c>
      <c r="E532" s="1528">
        <f>'Verification Report'!O532</f>
        <v>0</v>
      </c>
      <c r="F532"/>
      <c r="I532" s="1180"/>
      <c r="J532" s="1180"/>
    </row>
    <row r="533" spans="1:10" ht="15.75" hidden="1" customHeight="1" x14ac:dyDescent="0.3">
      <c r="A533" s="141"/>
      <c r="B533" s="140"/>
      <c r="C533" s="98"/>
      <c r="D533" s="1313"/>
      <c r="E533" s="1473">
        <f>'Verification Report'!O533</f>
        <v>0</v>
      </c>
      <c r="F533"/>
      <c r="I533" s="1180"/>
      <c r="J533" s="1180"/>
    </row>
    <row r="534" spans="1:10" ht="15.75" hidden="1" customHeight="1" x14ac:dyDescent="0.3">
      <c r="A534" s="141"/>
      <c r="B534" s="140"/>
      <c r="C534" s="98"/>
      <c r="D534" s="1313"/>
      <c r="E534" s="1473">
        <f>'Verification Report'!O534</f>
        <v>0</v>
      </c>
      <c r="F534"/>
      <c r="I534" s="1180"/>
      <c r="J534" s="1180"/>
    </row>
    <row r="535" spans="1:10" ht="15.75" hidden="1" customHeight="1" x14ac:dyDescent="0.3">
      <c r="A535" s="141"/>
      <c r="B535" s="140"/>
      <c r="C535" s="98"/>
      <c r="D535" s="1313"/>
      <c r="E535" s="1473">
        <f>'Verification Report'!O535</f>
        <v>0</v>
      </c>
      <c r="F535"/>
      <c r="I535" s="1180"/>
      <c r="J535" s="1180"/>
    </row>
    <row r="536" spans="1:10" ht="15.75" hidden="1" customHeight="1" x14ac:dyDescent="0.3">
      <c r="A536" s="141"/>
      <c r="B536" s="140"/>
      <c r="C536" s="98"/>
      <c r="D536" s="1313"/>
      <c r="E536" s="1473">
        <f>'Verification Report'!O536</f>
        <v>0</v>
      </c>
      <c r="F536"/>
      <c r="I536" s="1180"/>
      <c r="J536" s="1180"/>
    </row>
    <row r="537" spans="1:10" ht="15.75" hidden="1" customHeight="1" x14ac:dyDescent="0.3">
      <c r="A537" s="141"/>
      <c r="B537" s="140"/>
      <c r="C537" s="98"/>
      <c r="D537" s="1313"/>
      <c r="E537" s="1473">
        <f>'Verification Report'!O537</f>
        <v>0</v>
      </c>
      <c r="F537"/>
      <c r="I537" s="1180"/>
      <c r="J537" s="1180"/>
    </row>
    <row r="538" spans="1:10" ht="15" hidden="1" customHeight="1" x14ac:dyDescent="0.3">
      <c r="A538" s="141"/>
      <c r="B538" s="140"/>
      <c r="C538" s="98"/>
      <c r="D538" s="1305" t="s">
        <v>703</v>
      </c>
      <c r="E538" s="1473">
        <f>'Verification Report'!O538</f>
        <v>0</v>
      </c>
      <c r="F538"/>
      <c r="I538" s="1180"/>
      <c r="J538" s="1180"/>
    </row>
    <row r="539" spans="1:10" ht="15.75" hidden="1" customHeight="1" x14ac:dyDescent="0.3">
      <c r="A539" s="141"/>
      <c r="B539" s="140"/>
      <c r="C539" s="98"/>
      <c r="D539" s="1305"/>
      <c r="E539" s="1473">
        <f>'Verification Report'!O539</f>
        <v>0</v>
      </c>
      <c r="F539"/>
      <c r="I539" s="1180"/>
      <c r="J539" s="1180"/>
    </row>
    <row r="540" spans="1:10" ht="15.75" hidden="1" customHeight="1" x14ac:dyDescent="0.3">
      <c r="A540" s="141"/>
      <c r="B540" s="140"/>
      <c r="C540" s="98"/>
      <c r="D540" s="1305"/>
      <c r="E540" s="1473">
        <f>'Verification Report'!O540</f>
        <v>0</v>
      </c>
      <c r="F540"/>
      <c r="I540" s="1180"/>
      <c r="J540" s="1180"/>
    </row>
    <row r="541" spans="1:10" ht="15.75" hidden="1" customHeight="1" x14ac:dyDescent="0.3">
      <c r="A541" s="141"/>
      <c r="B541" s="140"/>
      <c r="C541" s="98"/>
      <c r="D541" s="1305"/>
      <c r="E541" s="1473">
        <f>'Verification Report'!O541</f>
        <v>0</v>
      </c>
      <c r="F541"/>
      <c r="I541" s="1180"/>
      <c r="J541" s="1180"/>
    </row>
    <row r="542" spans="1:10" ht="15.75" hidden="1" customHeight="1" x14ac:dyDescent="0.3">
      <c r="A542" s="141"/>
      <c r="B542" s="140"/>
      <c r="C542" s="98"/>
      <c r="D542" s="210" t="s">
        <v>704</v>
      </c>
      <c r="E542" s="1473">
        <f>'Verification Report'!O542</f>
        <v>0</v>
      </c>
      <c r="F542"/>
      <c r="I542" s="1180"/>
      <c r="J542" s="1180"/>
    </row>
    <row r="543" spans="1:10" ht="15" hidden="1" customHeight="1" x14ac:dyDescent="0.3">
      <c r="A543" s="141"/>
      <c r="B543" s="203" t="s">
        <v>271</v>
      </c>
      <c r="C543" s="98"/>
      <c r="D543" s="1305" t="s">
        <v>705</v>
      </c>
      <c r="E543" s="1473">
        <f>'Verification Report'!O543</f>
        <v>0</v>
      </c>
      <c r="F543"/>
      <c r="I543" s="1180"/>
      <c r="J543" s="1180"/>
    </row>
    <row r="544" spans="1:10" ht="15.75" hidden="1" customHeight="1" x14ac:dyDescent="0.3">
      <c r="A544" s="141"/>
      <c r="B544" s="140"/>
      <c r="C544" s="98"/>
      <c r="D544" s="1305"/>
      <c r="E544" s="1473">
        <f>'Verification Report'!O544</f>
        <v>0</v>
      </c>
      <c r="F544"/>
      <c r="I544" s="1180"/>
      <c r="J544" s="1180"/>
    </row>
    <row r="545" spans="1:10" ht="15" hidden="1" customHeight="1" x14ac:dyDescent="0.3">
      <c r="A545" s="141"/>
      <c r="B545" s="203" t="s">
        <v>273</v>
      </c>
      <c r="C545" s="98"/>
      <c r="D545" s="1305" t="s">
        <v>706</v>
      </c>
      <c r="E545" s="1473">
        <f>'Verification Report'!O545</f>
        <v>0</v>
      </c>
      <c r="F545"/>
      <c r="I545" s="1180"/>
      <c r="J545" s="1180"/>
    </row>
    <row r="546" spans="1:10" ht="15.75" hidden="1" customHeight="1" thickBot="1" x14ac:dyDescent="0.35">
      <c r="A546" s="141"/>
      <c r="B546" s="140"/>
      <c r="C546" s="98"/>
      <c r="D546" s="1305"/>
      <c r="E546" s="1473">
        <f>'Verification Report'!O546</f>
        <v>0</v>
      </c>
      <c r="F546"/>
      <c r="I546" s="1180"/>
      <c r="J546" s="1180"/>
    </row>
    <row r="547" spans="1:10" ht="15.75" hidden="1" customHeight="1" thickTop="1" x14ac:dyDescent="0.3">
      <c r="A547" s="200">
        <v>605.20000000000005</v>
      </c>
      <c r="B547" s="201"/>
      <c r="C547" s="202"/>
      <c r="D547" s="1331" t="s">
        <v>707</v>
      </c>
      <c r="E547" s="1528">
        <f>'Verification Report'!O547</f>
        <v>0</v>
      </c>
      <c r="F547"/>
      <c r="I547" s="1180"/>
      <c r="J547" s="1180"/>
    </row>
    <row r="548" spans="1:10" ht="15.75" hidden="1" customHeight="1" x14ac:dyDescent="0.3">
      <c r="A548" s="141"/>
      <c r="B548" s="140"/>
      <c r="C548" s="98"/>
      <c r="D548" s="1313"/>
      <c r="E548" s="1473">
        <f>'Verification Report'!O548</f>
        <v>0</v>
      </c>
      <c r="F548"/>
      <c r="I548" s="1180"/>
      <c r="J548" s="1180"/>
    </row>
    <row r="549" spans="1:10" ht="15" hidden="1" customHeight="1" x14ac:dyDescent="0.3">
      <c r="A549" s="141"/>
      <c r="B549" s="140"/>
      <c r="C549" s="94" t="s">
        <v>121</v>
      </c>
      <c r="D549" s="1305" t="s">
        <v>708</v>
      </c>
      <c r="E549" s="1158"/>
      <c r="F549"/>
      <c r="I549" s="1180"/>
      <c r="J549" s="1180"/>
    </row>
    <row r="550" spans="1:10" ht="15.75" hidden="1" customHeight="1" x14ac:dyDescent="0.3">
      <c r="A550" s="141"/>
      <c r="B550" s="140"/>
      <c r="C550" s="98"/>
      <c r="D550" s="1305"/>
      <c r="E550" s="1158"/>
      <c r="F550"/>
      <c r="I550" s="1180"/>
      <c r="J550" s="1180"/>
    </row>
    <row r="551" spans="1:10" ht="15.75" hidden="1" customHeight="1" x14ac:dyDescent="0.3">
      <c r="A551" s="141"/>
      <c r="B551" s="140"/>
      <c r="C551" s="193"/>
      <c r="D551" s="1306"/>
      <c r="E551" s="1158"/>
      <c r="F551"/>
      <c r="I551" s="1180"/>
      <c r="J551" s="1180"/>
    </row>
    <row r="552" spans="1:10" ht="15.75" hidden="1" customHeight="1" x14ac:dyDescent="0.3">
      <c r="A552" s="141"/>
      <c r="B552" s="140"/>
      <c r="C552" s="241" t="s">
        <v>122</v>
      </c>
      <c r="D552" s="234" t="s">
        <v>709</v>
      </c>
      <c r="E552" s="1158"/>
      <c r="F552"/>
      <c r="I552" s="1180"/>
      <c r="J552" s="1180"/>
    </row>
    <row r="553" spans="1:10" ht="15" hidden="1" customHeight="1" x14ac:dyDescent="0.3">
      <c r="A553" s="141"/>
      <c r="B553" s="140"/>
      <c r="C553" s="115" t="s">
        <v>123</v>
      </c>
      <c r="D553" s="1305" t="s">
        <v>710</v>
      </c>
      <c r="E553" s="1158"/>
      <c r="F553"/>
      <c r="I553" s="1180"/>
      <c r="J553" s="1180"/>
    </row>
    <row r="554" spans="1:10" ht="15.75" hidden="1" customHeight="1" x14ac:dyDescent="0.3">
      <c r="A554" s="141"/>
      <c r="B554" s="140"/>
      <c r="C554" s="210"/>
      <c r="D554" s="1305"/>
      <c r="E554" s="1158"/>
      <c r="F554"/>
      <c r="I554" s="1180"/>
      <c r="J554" s="1180"/>
    </row>
    <row r="555" spans="1:10" ht="15.75" hidden="1" customHeight="1" thickBot="1" x14ac:dyDescent="0.35">
      <c r="A555" s="141"/>
      <c r="B555" s="140"/>
      <c r="C555" s="98"/>
      <c r="D555" s="1305"/>
      <c r="E555" s="1158"/>
      <c r="F555"/>
      <c r="I555" s="1180"/>
      <c r="J555" s="1180"/>
    </row>
    <row r="556" spans="1:10" ht="15.75" hidden="1" customHeight="1" thickTop="1" x14ac:dyDescent="0.3">
      <c r="A556" s="200">
        <v>605.29999999999995</v>
      </c>
      <c r="B556" s="201"/>
      <c r="C556" s="202"/>
      <c r="D556" s="1331" t="s">
        <v>711</v>
      </c>
      <c r="E556" s="1528">
        <f>'Verification Report'!O556</f>
        <v>0</v>
      </c>
      <c r="F556"/>
      <c r="I556" s="1180"/>
      <c r="J556" s="1180"/>
    </row>
    <row r="557" spans="1:10" ht="15" hidden="1" thickBot="1" x14ac:dyDescent="0.35">
      <c r="A557" s="141"/>
      <c r="B557" s="140"/>
      <c r="C557" s="98"/>
      <c r="D557" s="1313"/>
      <c r="E557" s="1473">
        <f>'Verification Report'!O557</f>
        <v>0</v>
      </c>
      <c r="F557"/>
      <c r="I557" s="1180"/>
      <c r="J557" s="1180"/>
    </row>
    <row r="558" spans="1:10" ht="15" hidden="1" thickBot="1" x14ac:dyDescent="0.35">
      <c r="A558" s="66"/>
      <c r="B558" s="231" t="s">
        <v>271</v>
      </c>
      <c r="C558" s="193"/>
      <c r="D558" s="193" t="s">
        <v>713</v>
      </c>
      <c r="E558" s="1157"/>
      <c r="F558"/>
      <c r="I558" s="1180"/>
      <c r="J558" s="1180"/>
    </row>
    <row r="559" spans="1:10" ht="15" hidden="1" thickBot="1" x14ac:dyDescent="0.35">
      <c r="A559" s="66"/>
      <c r="B559" s="27" t="s">
        <v>273</v>
      </c>
      <c r="C559" s="86"/>
      <c r="D559" s="86" t="s">
        <v>714</v>
      </c>
      <c r="E559" s="1157"/>
      <c r="F559"/>
      <c r="I559" s="1180"/>
      <c r="J559" s="1180"/>
    </row>
    <row r="560" spans="1:10" ht="15.75" hidden="1" customHeight="1" x14ac:dyDescent="0.3">
      <c r="A560" s="66"/>
      <c r="B560" s="4"/>
      <c r="C560" s="192" t="s">
        <v>121</v>
      </c>
      <c r="D560" s="193" t="s">
        <v>3271</v>
      </c>
      <c r="E560" s="1157"/>
      <c r="F560"/>
      <c r="I560" s="1180"/>
      <c r="J560" s="1180"/>
    </row>
    <row r="561" spans="1:10" ht="15.75" hidden="1" customHeight="1" x14ac:dyDescent="0.3">
      <c r="A561" s="66"/>
      <c r="B561" s="4"/>
      <c r="C561" s="241" t="s">
        <v>122</v>
      </c>
      <c r="D561" s="234" t="s">
        <v>3272</v>
      </c>
      <c r="E561" s="1157"/>
      <c r="F561"/>
      <c r="I561" s="1180"/>
      <c r="J561" s="1180"/>
    </row>
    <row r="562" spans="1:10" ht="15.75" hidden="1" customHeight="1" x14ac:dyDescent="0.3">
      <c r="A562" s="66"/>
      <c r="B562" s="4"/>
      <c r="C562" s="247" t="s">
        <v>123</v>
      </c>
      <c r="D562" s="234" t="s">
        <v>3273</v>
      </c>
      <c r="E562" s="1157"/>
      <c r="F562"/>
      <c r="I562" s="1180"/>
      <c r="J562" s="1180"/>
    </row>
    <row r="563" spans="1:10" ht="15.75" hidden="1" customHeight="1" x14ac:dyDescent="0.3">
      <c r="A563" s="66"/>
      <c r="B563" s="4"/>
      <c r="C563" s="248" t="s">
        <v>423</v>
      </c>
      <c r="D563" s="234" t="s">
        <v>3274</v>
      </c>
      <c r="E563" s="1157"/>
      <c r="F563"/>
      <c r="I563" s="1180"/>
      <c r="J563" s="1180"/>
    </row>
    <row r="564" spans="1:10" ht="15.75" hidden="1" customHeight="1" x14ac:dyDescent="0.3">
      <c r="A564" s="66"/>
      <c r="B564" s="4"/>
      <c r="C564" s="241" t="s">
        <v>578</v>
      </c>
      <c r="D564" s="234" t="s">
        <v>3275</v>
      </c>
      <c r="E564" s="1157"/>
      <c r="F564"/>
      <c r="I564" s="1180"/>
      <c r="J564" s="1180"/>
    </row>
    <row r="565" spans="1:10" ht="15.75" hidden="1" customHeight="1" x14ac:dyDescent="0.3">
      <c r="A565" s="66"/>
      <c r="B565" s="4"/>
      <c r="C565" s="241" t="s">
        <v>645</v>
      </c>
      <c r="D565" s="234" t="s">
        <v>3276</v>
      </c>
      <c r="E565" s="1157"/>
      <c r="F565"/>
      <c r="I565" s="1180"/>
      <c r="J565" s="1180"/>
    </row>
    <row r="566" spans="1:10" ht="15.75" hidden="1" customHeight="1" x14ac:dyDescent="0.3">
      <c r="A566" s="66"/>
      <c r="B566" s="4"/>
      <c r="C566" s="247" t="s">
        <v>647</v>
      </c>
      <c r="D566" s="234" t="s">
        <v>3277</v>
      </c>
      <c r="E566" s="1157"/>
      <c r="F566"/>
      <c r="I566" s="1180"/>
      <c r="J566" s="1180"/>
    </row>
    <row r="567" spans="1:10" ht="15" hidden="1" thickBot="1" x14ac:dyDescent="0.35">
      <c r="A567" s="66"/>
      <c r="B567" s="1110"/>
      <c r="C567" s="248" t="s">
        <v>649</v>
      </c>
      <c r="D567" s="234" t="s">
        <v>3278</v>
      </c>
      <c r="E567" s="1157"/>
      <c r="F567"/>
      <c r="I567" s="1180"/>
      <c r="J567" s="1180"/>
    </row>
    <row r="568" spans="1:10" ht="15" hidden="1" thickBot="1" x14ac:dyDescent="0.35">
      <c r="A568" s="66"/>
      <c r="B568" s="1110"/>
      <c r="C568" s="88" t="s">
        <v>985</v>
      </c>
      <c r="D568" s="86" t="s">
        <v>3278</v>
      </c>
      <c r="E568" s="1157"/>
      <c r="F568"/>
      <c r="I568" s="1180"/>
      <c r="J568" s="1180"/>
    </row>
    <row r="569" spans="1:10" ht="15" hidden="1" thickBot="1" x14ac:dyDescent="0.35">
      <c r="A569" s="66"/>
      <c r="B569" s="1110"/>
      <c r="C569" s="88"/>
      <c r="D569" s="1123" t="s">
        <v>3279</v>
      </c>
      <c r="E569" s="1157"/>
      <c r="F569"/>
      <c r="I569" s="1180"/>
      <c r="J569" s="1180"/>
    </row>
    <row r="570" spans="1:10" ht="18.600000000000001" hidden="1" thickBot="1" x14ac:dyDescent="0.4">
      <c r="A570" s="14" t="s">
        <v>715</v>
      </c>
      <c r="B570" s="23"/>
      <c r="C570" s="85"/>
      <c r="D570" s="82"/>
      <c r="E570" s="71"/>
      <c r="F570"/>
      <c r="I570" s="1180"/>
      <c r="J570" s="1180"/>
    </row>
    <row r="571" spans="1:10" ht="15" hidden="1" thickBot="1" x14ac:dyDescent="0.35">
      <c r="A571" s="81" t="s">
        <v>4434</v>
      </c>
      <c r="B571" s="4"/>
      <c r="C571" s="86"/>
      <c r="D571" s="88" t="s">
        <v>716</v>
      </c>
      <c r="E571" s="1157"/>
      <c r="F571"/>
      <c r="I571" s="1180"/>
      <c r="J571" s="1180"/>
    </row>
    <row r="572" spans="1:10" ht="15.6" hidden="1" thickTop="1" thickBot="1" x14ac:dyDescent="0.35">
      <c r="A572" s="200">
        <v>606.1</v>
      </c>
      <c r="B572" s="201"/>
      <c r="C572" s="202"/>
      <c r="D572" s="135" t="s">
        <v>717</v>
      </c>
      <c r="E572" s="1528">
        <f ca="1">'Verification Report'!O572</f>
        <v>0</v>
      </c>
      <c r="F572"/>
      <c r="I572" s="1180"/>
      <c r="J572" s="1180"/>
    </row>
    <row r="573" spans="1:10" ht="15.75" hidden="1" customHeight="1" x14ac:dyDescent="0.3">
      <c r="A573" s="141"/>
      <c r="B573" s="140"/>
      <c r="C573" s="94" t="s">
        <v>121</v>
      </c>
      <c r="D573" s="98" t="s">
        <v>718</v>
      </c>
      <c r="E573" s="1473">
        <f>'Verification Report'!O573</f>
        <v>0</v>
      </c>
      <c r="F573"/>
      <c r="I573" s="1180"/>
      <c r="J573" s="1180"/>
    </row>
    <row r="574" spans="1:10" ht="15.75" hidden="1" customHeight="1" x14ac:dyDescent="0.3">
      <c r="A574" s="141"/>
      <c r="B574" s="140"/>
      <c r="C574" s="94" t="s">
        <v>122</v>
      </c>
      <c r="D574" s="98" t="s">
        <v>719</v>
      </c>
      <c r="E574" s="1473">
        <f>'Verification Report'!O574</f>
        <v>0</v>
      </c>
      <c r="F574"/>
      <c r="I574" s="1180"/>
      <c r="J574" s="1180"/>
    </row>
    <row r="575" spans="1:10" ht="15.75" hidden="1" customHeight="1" x14ac:dyDescent="0.3">
      <c r="A575" s="141"/>
      <c r="B575" s="140"/>
      <c r="C575" s="115" t="s">
        <v>123</v>
      </c>
      <c r="D575" s="98" t="s">
        <v>720</v>
      </c>
      <c r="E575" s="1473">
        <f>'Verification Report'!O575</f>
        <v>0</v>
      </c>
      <c r="F575"/>
      <c r="I575" s="1180"/>
      <c r="J575" s="1180"/>
    </row>
    <row r="576" spans="1:10" ht="15.75" hidden="1" customHeight="1" x14ac:dyDescent="0.3">
      <c r="A576" s="141"/>
      <c r="B576" s="140"/>
      <c r="C576" s="210" t="s">
        <v>423</v>
      </c>
      <c r="D576" s="98" t="s">
        <v>721</v>
      </c>
      <c r="E576" s="1473">
        <f>'Verification Report'!O576</f>
        <v>0</v>
      </c>
      <c r="F576"/>
      <c r="I576" s="1180"/>
      <c r="J576" s="1180"/>
    </row>
    <row r="577" spans="1:10" ht="15.75" hidden="1" customHeight="1" x14ac:dyDescent="0.3">
      <c r="A577" s="141"/>
      <c r="B577" s="140"/>
      <c r="C577" s="94" t="s">
        <v>578</v>
      </c>
      <c r="D577" s="98" t="s">
        <v>722</v>
      </c>
      <c r="E577" s="1473">
        <f>'Verification Report'!O577</f>
        <v>0</v>
      </c>
      <c r="F577"/>
      <c r="I577" s="1180"/>
      <c r="J577" s="1180"/>
    </row>
    <row r="578" spans="1:10" ht="15.75" hidden="1" customHeight="1" x14ac:dyDescent="0.3">
      <c r="A578" s="141"/>
      <c r="B578" s="140"/>
      <c r="C578" s="94" t="s">
        <v>645</v>
      </c>
      <c r="D578" s="98" t="s">
        <v>723</v>
      </c>
      <c r="E578" s="1473">
        <f>'Verification Report'!O578</f>
        <v>0</v>
      </c>
      <c r="F578"/>
      <c r="I578" s="1180"/>
      <c r="J578" s="1180"/>
    </row>
    <row r="579" spans="1:10" ht="15.75" hidden="1" customHeight="1" x14ac:dyDescent="0.3">
      <c r="A579" s="141"/>
      <c r="B579" s="140"/>
      <c r="C579" s="115" t="s">
        <v>647</v>
      </c>
      <c r="D579" s="98" t="s">
        <v>724</v>
      </c>
      <c r="E579" s="1473">
        <f>'Verification Report'!O579</f>
        <v>0</v>
      </c>
      <c r="F579"/>
      <c r="I579" s="1180"/>
      <c r="J579" s="1180"/>
    </row>
    <row r="580" spans="1:10" ht="15" hidden="1" customHeight="1" x14ac:dyDescent="0.3">
      <c r="A580" s="141"/>
      <c r="B580" s="140"/>
      <c r="C580" s="210" t="s">
        <v>649</v>
      </c>
      <c r="D580" s="1305" t="s">
        <v>725</v>
      </c>
      <c r="E580" s="1473">
        <f>'Verification Report'!O580</f>
        <v>0</v>
      </c>
      <c r="F580"/>
      <c r="I580" s="1180"/>
      <c r="J580" s="1180"/>
    </row>
    <row r="581" spans="1:10" ht="15.75" hidden="1" customHeight="1" x14ac:dyDescent="0.3">
      <c r="A581" s="141"/>
      <c r="B581" s="140"/>
      <c r="C581" s="210"/>
      <c r="D581" s="1305"/>
      <c r="E581" s="1473">
        <f>'Verification Report'!O581</f>
        <v>0</v>
      </c>
      <c r="F581"/>
      <c r="I581" s="1180"/>
      <c r="J581" s="1180"/>
    </row>
    <row r="582" spans="1:10" ht="15.75" hidden="1" customHeight="1" x14ac:dyDescent="0.3">
      <c r="A582" s="141"/>
      <c r="B582" s="140"/>
      <c r="C582" s="210"/>
      <c r="D582" s="1136" t="s">
        <v>1305</v>
      </c>
      <c r="E582" s="1158"/>
      <c r="F582"/>
      <c r="I582" s="1180"/>
      <c r="J582" s="1180"/>
    </row>
    <row r="583" spans="1:10" ht="15" hidden="1" customHeight="1" x14ac:dyDescent="0.3">
      <c r="A583" s="141"/>
      <c r="B583" s="203" t="s">
        <v>271</v>
      </c>
      <c r="C583" s="98"/>
      <c r="D583" s="1305" t="s">
        <v>726</v>
      </c>
      <c r="E583" s="1158"/>
      <c r="F583"/>
      <c r="I583" s="1180"/>
      <c r="J583" s="1180"/>
    </row>
    <row r="584" spans="1:10" ht="15.75" hidden="1" customHeight="1" x14ac:dyDescent="0.3">
      <c r="A584" s="141"/>
      <c r="B584" s="238"/>
      <c r="C584" s="193"/>
      <c r="D584" s="1306"/>
      <c r="E584" s="1158"/>
      <c r="F584"/>
      <c r="I584" s="1180"/>
      <c r="J584" s="1180"/>
    </row>
    <row r="585" spans="1:10" ht="15" hidden="1" customHeight="1" x14ac:dyDescent="0.3">
      <c r="A585" s="141"/>
      <c r="B585" s="237" t="s">
        <v>273</v>
      </c>
      <c r="C585" s="217"/>
      <c r="D585" s="1356" t="s">
        <v>727</v>
      </c>
      <c r="E585" s="1158"/>
      <c r="F585"/>
      <c r="I585" s="1180"/>
      <c r="J585" s="1180"/>
    </row>
    <row r="586" spans="1:10" ht="15.75" hidden="1" customHeight="1" x14ac:dyDescent="0.3">
      <c r="A586" s="141"/>
      <c r="B586" s="238"/>
      <c r="C586" s="193"/>
      <c r="D586" s="1306"/>
      <c r="E586" s="1158"/>
      <c r="F586"/>
      <c r="I586" s="1180"/>
      <c r="J586" s="1180"/>
    </row>
    <row r="587" spans="1:10" ht="15" hidden="1" customHeight="1" x14ac:dyDescent="0.3">
      <c r="A587" s="141"/>
      <c r="B587" s="203" t="s">
        <v>275</v>
      </c>
      <c r="C587" s="98"/>
      <c r="D587" s="1305" t="s">
        <v>728</v>
      </c>
      <c r="E587" s="1158"/>
      <c r="F587"/>
      <c r="I587" s="1180"/>
      <c r="J587" s="1180"/>
    </row>
    <row r="588" spans="1:10" ht="15.75" hidden="1" customHeight="1" thickBot="1" x14ac:dyDescent="0.35">
      <c r="A588" s="141"/>
      <c r="B588" s="140"/>
      <c r="C588" s="98"/>
      <c r="D588" s="1305"/>
      <c r="E588" s="1158"/>
      <c r="F588"/>
      <c r="I588" s="1180"/>
      <c r="J588" s="1180"/>
    </row>
    <row r="589" spans="1:10" ht="15.75" hidden="1" customHeight="1" thickTop="1" x14ac:dyDescent="0.3">
      <c r="A589" s="200">
        <v>606.20000000000005</v>
      </c>
      <c r="B589" s="201"/>
      <c r="C589" s="202"/>
      <c r="D589" s="1331" t="s">
        <v>729</v>
      </c>
      <c r="E589" s="1160"/>
      <c r="F589"/>
      <c r="I589" s="1180"/>
      <c r="J589" s="1180"/>
    </row>
    <row r="590" spans="1:10" ht="15" hidden="1" thickBot="1" x14ac:dyDescent="0.35">
      <c r="A590" s="141"/>
      <c r="B590" s="140"/>
      <c r="C590" s="98"/>
      <c r="D590" s="1313"/>
      <c r="E590" s="1158"/>
      <c r="F590"/>
      <c r="I590" s="1180"/>
      <c r="J590" s="1180"/>
    </row>
    <row r="591" spans="1:10" ht="15" hidden="1" thickBot="1" x14ac:dyDescent="0.35">
      <c r="A591" s="66"/>
      <c r="B591" s="4"/>
      <c r="C591" s="90" t="s">
        <v>121</v>
      </c>
      <c r="D591" s="86" t="s">
        <v>730</v>
      </c>
      <c r="E591" s="1157"/>
      <c r="F591"/>
      <c r="I591" s="1180"/>
      <c r="J591" s="1180"/>
    </row>
    <row r="592" spans="1:10" ht="15" hidden="1" customHeight="1" x14ac:dyDescent="0.3">
      <c r="A592" s="66"/>
      <c r="B592" s="4"/>
      <c r="C592" s="90" t="s">
        <v>122</v>
      </c>
      <c r="D592" s="1329" t="s">
        <v>731</v>
      </c>
      <c r="E592" s="1157"/>
      <c r="F592"/>
      <c r="I592" s="1180"/>
      <c r="J592" s="1180"/>
    </row>
    <row r="593" spans="1:10" ht="15" hidden="1" thickBot="1" x14ac:dyDescent="0.35">
      <c r="A593" s="66"/>
      <c r="B593" s="4"/>
      <c r="C593" s="90"/>
      <c r="D593" s="1329"/>
      <c r="E593" s="1157"/>
      <c r="F593"/>
      <c r="I593" s="1180"/>
      <c r="J593" s="1180"/>
    </row>
    <row r="594" spans="1:10" ht="15" hidden="1" thickBot="1" x14ac:dyDescent="0.35">
      <c r="A594" s="66"/>
      <c r="B594" s="4"/>
      <c r="C594" s="90" t="s">
        <v>123</v>
      </c>
      <c r="D594" s="173" t="s">
        <v>732</v>
      </c>
      <c r="E594" s="1157"/>
      <c r="F594"/>
      <c r="I594" s="1180"/>
      <c r="J594" s="1180"/>
    </row>
    <row r="595" spans="1:10" ht="15" hidden="1" thickBot="1" x14ac:dyDescent="0.35">
      <c r="A595" s="66"/>
      <c r="B595" s="4"/>
      <c r="C595" s="92" t="s">
        <v>423</v>
      </c>
      <c r="D595" s="173" t="s">
        <v>733</v>
      </c>
      <c r="E595" s="1157"/>
      <c r="F595"/>
      <c r="I595" s="1180"/>
      <c r="J595" s="1180"/>
    </row>
    <row r="596" spans="1:10" ht="15" hidden="1" thickBot="1" x14ac:dyDescent="0.35">
      <c r="A596" s="66"/>
      <c r="B596" s="4"/>
      <c r="C596" s="88" t="s">
        <v>578</v>
      </c>
      <c r="D596" s="173" t="s">
        <v>734</v>
      </c>
      <c r="E596" s="1157"/>
      <c r="F596"/>
      <c r="I596" s="1180"/>
      <c r="J596" s="1180"/>
    </row>
    <row r="597" spans="1:10" ht="15" hidden="1" thickBot="1" x14ac:dyDescent="0.35">
      <c r="A597" s="66"/>
      <c r="B597" s="4"/>
      <c r="C597" s="90" t="s">
        <v>645</v>
      </c>
      <c r="D597" s="86" t="s">
        <v>735</v>
      </c>
      <c r="E597" s="1157"/>
      <c r="F597"/>
      <c r="I597" s="1180"/>
      <c r="J597" s="1180"/>
    </row>
    <row r="598" spans="1:10" ht="15" hidden="1" thickBot="1" x14ac:dyDescent="0.35">
      <c r="A598" s="66"/>
      <c r="B598" s="4"/>
      <c r="C598" s="90" t="s">
        <v>647</v>
      </c>
      <c r="D598" s="86" t="s">
        <v>736</v>
      </c>
      <c r="E598" s="1157"/>
      <c r="F598"/>
      <c r="I598" s="1180"/>
      <c r="J598" s="1180"/>
    </row>
    <row r="599" spans="1:10" ht="15" hidden="1" thickBot="1" x14ac:dyDescent="0.35">
      <c r="A599" s="66"/>
      <c r="B599" s="4"/>
      <c r="C599" s="90" t="s">
        <v>649</v>
      </c>
      <c r="D599" s="86" t="s">
        <v>3283</v>
      </c>
      <c r="E599" s="1157"/>
      <c r="F599"/>
      <c r="I599" s="1180"/>
      <c r="J599" s="1180"/>
    </row>
    <row r="600" spans="1:10" ht="15" hidden="1" customHeight="1" x14ac:dyDescent="0.3">
      <c r="A600" s="66"/>
      <c r="B600" s="203" t="s">
        <v>271</v>
      </c>
      <c r="C600" s="98"/>
      <c r="D600" s="1305" t="s">
        <v>737</v>
      </c>
      <c r="E600" s="1473">
        <f>'Verification Report'!O600</f>
        <v>0</v>
      </c>
      <c r="F600"/>
      <c r="I600" s="1180"/>
      <c r="J600" s="1180"/>
    </row>
    <row r="601" spans="1:10" ht="15.75" hidden="1" customHeight="1" x14ac:dyDescent="0.3">
      <c r="A601" s="66"/>
      <c r="B601" s="203"/>
      <c r="C601" s="98"/>
      <c r="D601" s="1305"/>
      <c r="E601" s="1473">
        <f>'Verification Report'!O601</f>
        <v>0</v>
      </c>
      <c r="F601"/>
      <c r="I601" s="1180"/>
      <c r="J601" s="1180"/>
    </row>
    <row r="602" spans="1:10" ht="15.75" hidden="1" customHeight="1" x14ac:dyDescent="0.3">
      <c r="A602" s="66"/>
      <c r="B602" s="231"/>
      <c r="C602" s="193"/>
      <c r="D602" s="1137" t="s">
        <v>3285</v>
      </c>
      <c r="E602" s="1491">
        <f>'Verification Report'!O602</f>
        <v>0</v>
      </c>
      <c r="F602"/>
      <c r="I602" s="1180"/>
      <c r="J602" s="1180"/>
    </row>
    <row r="603" spans="1:10" ht="15" hidden="1" customHeight="1" x14ac:dyDescent="0.3">
      <c r="A603" s="66"/>
      <c r="B603" s="27" t="s">
        <v>273</v>
      </c>
      <c r="C603" s="86"/>
      <c r="D603" s="1329" t="s">
        <v>738</v>
      </c>
      <c r="E603" s="1463">
        <f>'Verification Report'!O603</f>
        <v>0</v>
      </c>
      <c r="F603"/>
      <c r="I603" s="1180"/>
      <c r="J603" s="1180"/>
    </row>
    <row r="604" spans="1:10" ht="15.75" hidden="1" customHeight="1" x14ac:dyDescent="0.3">
      <c r="A604" s="66"/>
      <c r="B604" s="4"/>
      <c r="C604" s="86"/>
      <c r="D604" s="1329"/>
      <c r="E604" s="1463">
        <f>'Verification Report'!O604</f>
        <v>0</v>
      </c>
      <c r="F604"/>
      <c r="I604" s="1180"/>
      <c r="J604" s="1180"/>
    </row>
    <row r="605" spans="1:10" ht="15.75" hidden="1" customHeight="1" thickBot="1" x14ac:dyDescent="0.35">
      <c r="A605" s="66"/>
      <c r="B605" s="4"/>
      <c r="C605" s="86"/>
      <c r="D605" s="1150" t="s">
        <v>3285</v>
      </c>
      <c r="E605" s="1463">
        <f>'Verification Report'!O605</f>
        <v>0</v>
      </c>
      <c r="F605"/>
      <c r="I605" s="1180"/>
      <c r="J605" s="1180"/>
    </row>
    <row r="606" spans="1:10" ht="15.75" hidden="1" customHeight="1" thickTop="1" x14ac:dyDescent="0.3">
      <c r="A606" s="200">
        <v>606.29999999999995</v>
      </c>
      <c r="B606" s="201"/>
      <c r="C606" s="202"/>
      <c r="D606" s="1331" t="s">
        <v>739</v>
      </c>
      <c r="E606" s="1528">
        <f ca="1">'Verification Report'!O606</f>
        <v>0</v>
      </c>
      <c r="F606"/>
      <c r="I606" s="1180"/>
      <c r="J606" s="1180"/>
    </row>
    <row r="607" spans="1:10" ht="15.75" hidden="1" customHeight="1" x14ac:dyDescent="0.3">
      <c r="A607" s="141"/>
      <c r="B607" s="140"/>
      <c r="C607" s="98"/>
      <c r="D607" s="1313"/>
      <c r="E607" s="1473">
        <f>'Verification Report'!O607</f>
        <v>0</v>
      </c>
      <c r="F607"/>
      <c r="I607" s="1180"/>
      <c r="J607" s="1180"/>
    </row>
    <row r="608" spans="1:10" ht="15.75" hidden="1" customHeight="1" x14ac:dyDescent="0.3">
      <c r="A608" s="141"/>
      <c r="B608" s="140"/>
      <c r="C608" s="98"/>
      <c r="D608" s="1313"/>
      <c r="E608" s="1473">
        <f>'Verification Report'!O608</f>
        <v>0</v>
      </c>
      <c r="F608"/>
      <c r="I608" s="1180"/>
      <c r="J608" s="1180"/>
    </row>
    <row r="609" spans="1:10" ht="15.75" hidden="1" customHeight="1" x14ac:dyDescent="0.3">
      <c r="A609" s="141"/>
      <c r="B609" s="140"/>
      <c r="C609" s="98"/>
      <c r="D609" s="1313"/>
      <c r="E609" s="1473">
        <f>'Verification Report'!O609</f>
        <v>0</v>
      </c>
      <c r="F609"/>
      <c r="I609" s="1180"/>
      <c r="J609" s="1180"/>
    </row>
    <row r="610" spans="1:10" ht="15.75" hidden="1" customHeight="1" x14ac:dyDescent="0.3">
      <c r="A610" s="141"/>
      <c r="B610" s="140"/>
      <c r="C610" s="98"/>
      <c r="D610" s="208" t="s">
        <v>740</v>
      </c>
      <c r="E610" s="1473">
        <f>'Verification Report'!O610</f>
        <v>0</v>
      </c>
      <c r="F610"/>
      <c r="I610" s="1180"/>
      <c r="J610" s="1180"/>
    </row>
    <row r="611" spans="1:10" ht="15.75" hidden="1" customHeight="1" x14ac:dyDescent="0.3">
      <c r="A611" s="141"/>
      <c r="B611" s="140"/>
      <c r="C611" s="98"/>
      <c r="D611" s="1136" t="s">
        <v>3289</v>
      </c>
      <c r="E611" s="1473">
        <f>'Verification Report'!O611</f>
        <v>0</v>
      </c>
      <c r="F611"/>
      <c r="I611" s="1180"/>
      <c r="J611" s="1180"/>
    </row>
    <row r="612" spans="1:10" ht="18.600000000000001" hidden="1" thickBot="1" x14ac:dyDescent="0.4">
      <c r="A612" s="14" t="s">
        <v>741</v>
      </c>
      <c r="B612" s="23"/>
      <c r="C612" s="85"/>
      <c r="D612" s="82"/>
      <c r="E612" s="71"/>
      <c r="F612"/>
      <c r="I612" s="1180"/>
      <c r="J612" s="1180"/>
    </row>
    <row r="613" spans="1:10" ht="15" hidden="1" customHeight="1" x14ac:dyDescent="0.3">
      <c r="A613" s="66">
        <v>607.1</v>
      </c>
      <c r="B613" s="4"/>
      <c r="C613" s="86"/>
      <c r="D613" s="1292" t="s">
        <v>742</v>
      </c>
      <c r="E613" s="1157"/>
      <c r="F613"/>
      <c r="I613" s="1180"/>
      <c r="J613" s="1180"/>
    </row>
    <row r="614" spans="1:10" ht="15" hidden="1" thickBot="1" x14ac:dyDescent="0.35">
      <c r="A614" s="66"/>
      <c r="B614" s="4"/>
      <c r="C614" s="86"/>
      <c r="D614" s="1292"/>
      <c r="E614" s="1157"/>
      <c r="F614"/>
      <c r="I614" s="1180"/>
      <c r="J614" s="1180"/>
    </row>
    <row r="615" spans="1:10" ht="15" hidden="1" customHeight="1" x14ac:dyDescent="0.3">
      <c r="A615" s="66"/>
      <c r="B615" s="203" t="s">
        <v>271</v>
      </c>
      <c r="C615" s="98"/>
      <c r="D615" s="1305" t="s">
        <v>743</v>
      </c>
      <c r="E615" s="1473">
        <f>'Verification Report'!O615</f>
        <v>0</v>
      </c>
      <c r="F615"/>
      <c r="I615" s="1180"/>
      <c r="J615" s="1180"/>
    </row>
    <row r="616" spans="1:10" ht="15.75" hidden="1" customHeight="1" x14ac:dyDescent="0.3">
      <c r="A616" s="66"/>
      <c r="B616" s="231"/>
      <c r="C616" s="193"/>
      <c r="D616" s="1306"/>
      <c r="E616" s="1491">
        <f>'Verification Report'!O616</f>
        <v>0</v>
      </c>
      <c r="F616"/>
      <c r="I616" s="1180"/>
      <c r="J616" s="1180"/>
    </row>
    <row r="617" spans="1:10" ht="15" hidden="1" thickBot="1" x14ac:dyDescent="0.35">
      <c r="A617" s="66"/>
      <c r="B617" s="27" t="s">
        <v>273</v>
      </c>
      <c r="C617" s="86"/>
      <c r="D617" s="86" t="s">
        <v>744</v>
      </c>
      <c r="E617" s="1157">
        <f>'Verification Report'!O617</f>
        <v>0</v>
      </c>
      <c r="F617"/>
      <c r="I617" s="1180"/>
      <c r="J617" s="1180"/>
    </row>
    <row r="618" spans="1:10" ht="15.75" hidden="1" customHeight="1" thickTop="1" x14ac:dyDescent="0.3">
      <c r="A618" s="200">
        <v>607.20000000000005</v>
      </c>
      <c r="B618" s="201"/>
      <c r="C618" s="202"/>
      <c r="D618" s="1331" t="s">
        <v>745</v>
      </c>
      <c r="E618" s="1528">
        <f>'Verification Report'!O618</f>
        <v>0</v>
      </c>
      <c r="F618"/>
      <c r="I618" s="1180"/>
      <c r="J618" s="1180"/>
    </row>
    <row r="619" spans="1:10" ht="15.75" hidden="1" customHeight="1" x14ac:dyDescent="0.3">
      <c r="A619" s="141"/>
      <c r="B619" s="140"/>
      <c r="C619" s="98"/>
      <c r="D619" s="1313"/>
      <c r="E619" s="1473">
        <f>'Verification Report'!O619</f>
        <v>0</v>
      </c>
      <c r="F619"/>
      <c r="I619" s="1180"/>
      <c r="J619" s="1180"/>
    </row>
    <row r="620" spans="1:10" ht="18.600000000000001" hidden="1" thickBot="1" x14ac:dyDescent="0.4">
      <c r="A620" s="14" t="s">
        <v>746</v>
      </c>
      <c r="B620" s="23"/>
      <c r="C620" s="85"/>
      <c r="D620" s="82"/>
      <c r="E620" s="71"/>
      <c r="F620"/>
      <c r="I620" s="1180"/>
      <c r="J620" s="1180"/>
    </row>
    <row r="621" spans="1:10" ht="15" hidden="1" customHeight="1" x14ac:dyDescent="0.3">
      <c r="A621" s="66">
        <v>608.1</v>
      </c>
      <c r="B621" s="4"/>
      <c r="C621" s="86"/>
      <c r="D621" s="1292" t="s">
        <v>747</v>
      </c>
      <c r="E621" s="1463">
        <f ca="1">'Verification Report'!O621</f>
        <v>0</v>
      </c>
      <c r="F621"/>
      <c r="I621" s="1180"/>
      <c r="J621" s="1180"/>
    </row>
    <row r="622" spans="1:10" ht="15.75" hidden="1" customHeight="1" x14ac:dyDescent="0.3">
      <c r="A622" s="66"/>
      <c r="B622" s="4"/>
      <c r="C622" s="86"/>
      <c r="D622" s="1292"/>
      <c r="E622" s="1463">
        <f>'Verification Report'!O622</f>
        <v>0</v>
      </c>
      <c r="F622"/>
      <c r="I622" s="1180"/>
      <c r="J622" s="1180"/>
    </row>
    <row r="623" spans="1:10" ht="15.75" hidden="1" customHeight="1" x14ac:dyDescent="0.3">
      <c r="A623" s="66"/>
      <c r="B623" s="4"/>
      <c r="C623" s="86"/>
      <c r="D623" s="1292"/>
      <c r="E623" s="1463">
        <f>'Verification Report'!O623</f>
        <v>0</v>
      </c>
      <c r="F623"/>
      <c r="I623" s="1180"/>
      <c r="J623" s="1180"/>
    </row>
    <row r="624" spans="1:10" ht="15" hidden="1" customHeight="1" x14ac:dyDescent="0.3">
      <c r="A624" s="66"/>
      <c r="B624" s="27" t="s">
        <v>271</v>
      </c>
      <c r="C624" s="86"/>
      <c r="D624" s="1329" t="s">
        <v>748</v>
      </c>
      <c r="E624" s="1463">
        <f>'Verification Report'!O624</f>
        <v>0</v>
      </c>
      <c r="F624"/>
      <c r="I624" s="1180"/>
      <c r="J624" s="1180"/>
    </row>
    <row r="625" spans="1:10" ht="15.75" hidden="1" customHeight="1" x14ac:dyDescent="0.3">
      <c r="A625" s="66"/>
      <c r="B625" s="27"/>
      <c r="C625" s="86"/>
      <c r="D625" s="1329"/>
      <c r="E625" s="1463">
        <f>'Verification Report'!O625</f>
        <v>0</v>
      </c>
      <c r="F625"/>
      <c r="I625" s="1180"/>
      <c r="J625" s="1180"/>
    </row>
    <row r="626" spans="1:10" ht="15.75" hidden="1" customHeight="1" x14ac:dyDescent="0.3">
      <c r="A626" s="66"/>
      <c r="B626" s="27" t="s">
        <v>273</v>
      </c>
      <c r="C626" s="86"/>
      <c r="D626" s="86" t="s">
        <v>749</v>
      </c>
      <c r="E626" s="1463">
        <f>'Verification Report'!O626</f>
        <v>0</v>
      </c>
      <c r="F626"/>
      <c r="I626" s="1180"/>
      <c r="J626" s="1180"/>
    </row>
    <row r="627" spans="1:10" ht="15.75" hidden="1" customHeight="1" x14ac:dyDescent="0.3">
      <c r="A627" s="66"/>
      <c r="B627" s="27" t="s">
        <v>275</v>
      </c>
      <c r="C627" s="86"/>
      <c r="D627" s="86" t="s">
        <v>750</v>
      </c>
      <c r="E627" s="1463">
        <f>'Verification Report'!O627</f>
        <v>0</v>
      </c>
      <c r="F627"/>
      <c r="I627" s="1180"/>
      <c r="J627" s="1180"/>
    </row>
    <row r="628" spans="1:10" ht="26.25" hidden="1" customHeight="1" x14ac:dyDescent="0.3">
      <c r="A628" s="66"/>
      <c r="B628" s="27"/>
      <c r="C628" s="86"/>
      <c r="D628" s="1123" t="s">
        <v>3294</v>
      </c>
      <c r="E628" s="1463">
        <f>'Verification Report'!O628</f>
        <v>0</v>
      </c>
      <c r="F628"/>
      <c r="I628" s="1180"/>
      <c r="J628" s="1180"/>
    </row>
    <row r="629" spans="1:10" ht="18.600000000000001" hidden="1" thickBot="1" x14ac:dyDescent="0.4">
      <c r="A629" s="14" t="s">
        <v>751</v>
      </c>
      <c r="B629" s="23"/>
      <c r="C629" s="85"/>
      <c r="D629" s="82"/>
      <c r="E629" s="71"/>
      <c r="F629"/>
      <c r="I629" s="1180"/>
      <c r="J629" s="1180"/>
    </row>
    <row r="630" spans="1:10" ht="15" hidden="1" customHeight="1" x14ac:dyDescent="0.3">
      <c r="A630" s="66">
        <v>609.1</v>
      </c>
      <c r="B630" s="4"/>
      <c r="C630" s="86"/>
      <c r="D630" s="1292" t="s">
        <v>752</v>
      </c>
      <c r="E630" s="1463">
        <f ca="1">'Verification Report'!O630</f>
        <v>0</v>
      </c>
      <c r="F630"/>
      <c r="I630" s="1180"/>
      <c r="J630" s="1180"/>
    </row>
    <row r="631" spans="1:10" ht="15.75" hidden="1" customHeight="1" x14ac:dyDescent="0.3">
      <c r="A631" s="66"/>
      <c r="B631" s="4"/>
      <c r="C631" s="86"/>
      <c r="D631" s="1292"/>
      <c r="E631" s="1463">
        <f>'Verification Report'!O631</f>
        <v>0</v>
      </c>
      <c r="F631"/>
      <c r="I631" s="1180"/>
      <c r="J631" s="1180"/>
    </row>
    <row r="632" spans="1:10" ht="15" hidden="1" customHeight="1" x14ac:dyDescent="0.3">
      <c r="A632" s="66"/>
      <c r="B632" s="4"/>
      <c r="C632" s="86"/>
      <c r="D632" s="1365" t="s">
        <v>3310</v>
      </c>
      <c r="E632" s="1463">
        <f>'Verification Report'!O632</f>
        <v>0</v>
      </c>
      <c r="F632"/>
      <c r="I632" s="1180"/>
      <c r="J632" s="1180"/>
    </row>
    <row r="633" spans="1:10" ht="15.75" hidden="1" customHeight="1" x14ac:dyDescent="0.3">
      <c r="A633" s="66"/>
      <c r="B633" s="4"/>
      <c r="C633" s="86"/>
      <c r="D633" s="1365"/>
      <c r="E633" s="1463">
        <f>'Verification Report'!O633</f>
        <v>0</v>
      </c>
      <c r="F633"/>
      <c r="I633" s="1180"/>
      <c r="J633" s="1180"/>
    </row>
    <row r="634" spans="1:10" ht="15.75" hidden="1" customHeight="1" x14ac:dyDescent="0.3">
      <c r="A634" s="66"/>
      <c r="B634" s="4"/>
      <c r="C634" s="86"/>
      <c r="D634" s="1365"/>
      <c r="E634" s="1463">
        <f>'Verification Report'!O634</f>
        <v>0</v>
      </c>
      <c r="F634"/>
      <c r="I634" s="1180"/>
      <c r="J634" s="1180"/>
    </row>
    <row r="635" spans="1:10" ht="15" hidden="1" customHeight="1" x14ac:dyDescent="0.3">
      <c r="A635" s="66"/>
      <c r="B635" s="4"/>
      <c r="C635" s="86"/>
      <c r="D635" s="1432" t="s">
        <v>3309</v>
      </c>
      <c r="E635" s="1463">
        <f>'Verification Report'!O635</f>
        <v>0</v>
      </c>
      <c r="F635"/>
      <c r="I635" s="1180"/>
      <c r="J635" s="1180"/>
    </row>
    <row r="636" spans="1:10" ht="15.75" hidden="1" customHeight="1" x14ac:dyDescent="0.3">
      <c r="A636" s="66"/>
      <c r="B636" s="4"/>
      <c r="C636" s="86"/>
      <c r="D636" s="1433"/>
      <c r="E636" s="1463">
        <f>'Verification Report'!O636</f>
        <v>0</v>
      </c>
      <c r="F636"/>
      <c r="I636" s="1180"/>
      <c r="J636" s="1180"/>
    </row>
    <row r="637" spans="1:10" ht="18.600000000000001" hidden="1" thickBot="1" x14ac:dyDescent="0.4">
      <c r="A637" s="14" t="s">
        <v>754</v>
      </c>
      <c r="B637" s="23"/>
      <c r="C637" s="85"/>
      <c r="D637" s="82"/>
      <c r="E637" s="71"/>
      <c r="F637"/>
      <c r="I637" s="1180"/>
      <c r="J637" s="1180"/>
    </row>
    <row r="638" spans="1:10" ht="15" hidden="1" customHeight="1" x14ac:dyDescent="0.3">
      <c r="A638" s="66">
        <v>610.1</v>
      </c>
      <c r="B638" s="4"/>
      <c r="C638" s="86"/>
      <c r="D638" s="1292" t="s">
        <v>755</v>
      </c>
      <c r="E638" s="1157"/>
      <c r="F638"/>
      <c r="I638" s="1180"/>
      <c r="J638" s="1180"/>
    </row>
    <row r="639" spans="1:10" ht="15" hidden="1" thickBot="1" x14ac:dyDescent="0.35">
      <c r="A639" s="66"/>
      <c r="B639" s="4"/>
      <c r="C639" s="86"/>
      <c r="D639" s="1292"/>
      <c r="E639" s="1157"/>
      <c r="F639"/>
      <c r="I639" s="1180"/>
      <c r="J639" s="1180"/>
    </row>
    <row r="640" spans="1:10" ht="15" hidden="1" thickBot="1" x14ac:dyDescent="0.35">
      <c r="A640" s="66"/>
      <c r="B640" s="4"/>
      <c r="C640" s="86"/>
      <c r="D640" s="1292"/>
      <c r="E640" s="1157"/>
      <c r="F640"/>
      <c r="I640" s="1180"/>
      <c r="J640" s="1180"/>
    </row>
    <row r="641" spans="1:10" ht="15" hidden="1" thickBot="1" x14ac:dyDescent="0.35">
      <c r="A641" s="66"/>
      <c r="B641" s="4"/>
      <c r="C641" s="86"/>
      <c r="D641" s="1292"/>
      <c r="E641" s="1157"/>
      <c r="F641"/>
      <c r="I641" s="1180"/>
      <c r="J641" s="1180"/>
    </row>
    <row r="642" spans="1:10" ht="15" hidden="1" thickBot="1" x14ac:dyDescent="0.35">
      <c r="A642" s="66"/>
      <c r="B642" s="4"/>
      <c r="C642" s="86"/>
      <c r="D642" s="1292"/>
      <c r="E642" s="1157"/>
      <c r="F642"/>
      <c r="I642" s="1180"/>
      <c r="J642" s="1180"/>
    </row>
    <row r="643" spans="1:10" ht="15" hidden="1" thickBot="1" x14ac:dyDescent="0.35">
      <c r="A643" s="66"/>
      <c r="B643" s="4"/>
      <c r="C643" s="86"/>
      <c r="D643" s="1292"/>
      <c r="E643" s="1157"/>
      <c r="F643"/>
      <c r="I643" s="1180"/>
      <c r="J643" s="1180"/>
    </row>
    <row r="644" spans="1:10" ht="15.75" hidden="1" customHeight="1" thickTop="1" x14ac:dyDescent="0.3">
      <c r="A644" s="200" t="s">
        <v>756</v>
      </c>
      <c r="B644" s="201"/>
      <c r="C644" s="202"/>
      <c r="D644" s="1331" t="s">
        <v>757</v>
      </c>
      <c r="E644" s="1160"/>
      <c r="F644"/>
      <c r="I644" s="1180"/>
      <c r="J644" s="1180"/>
    </row>
    <row r="645" spans="1:10" ht="15" hidden="1" thickBot="1" x14ac:dyDescent="0.35">
      <c r="A645" s="141"/>
      <c r="B645" s="140"/>
      <c r="C645" s="98"/>
      <c r="D645" s="1313"/>
      <c r="E645" s="1158"/>
      <c r="F645"/>
      <c r="I645" s="1180"/>
      <c r="J645" s="1180"/>
    </row>
    <row r="646" spans="1:10" ht="15" hidden="1" customHeight="1" x14ac:dyDescent="0.3">
      <c r="A646" s="66"/>
      <c r="B646" s="203" t="s">
        <v>271</v>
      </c>
      <c r="C646" s="98"/>
      <c r="D646" s="1305" t="s">
        <v>758</v>
      </c>
      <c r="E646" s="1473">
        <f>'Verification Report'!O646</f>
        <v>0</v>
      </c>
      <c r="F646"/>
      <c r="I646" s="1180"/>
      <c r="J646" s="1180"/>
    </row>
    <row r="647" spans="1:10" ht="15.75" hidden="1" customHeight="1" x14ac:dyDescent="0.3">
      <c r="A647" s="66"/>
      <c r="B647" s="140"/>
      <c r="C647" s="98"/>
      <c r="D647" s="1305"/>
      <c r="E647" s="1473">
        <f>'Verification Report'!O647</f>
        <v>0</v>
      </c>
      <c r="F647"/>
      <c r="I647" s="1180"/>
      <c r="J647" s="1180"/>
    </row>
    <row r="648" spans="1:10" ht="15.75" hidden="1" customHeight="1" x14ac:dyDescent="0.3">
      <c r="A648" s="66"/>
      <c r="B648" s="140"/>
      <c r="C648" s="98"/>
      <c r="D648" s="1305"/>
      <c r="E648" s="1473">
        <f>'Verification Report'!O648</f>
        <v>0</v>
      </c>
      <c r="F648"/>
      <c r="I648" s="1180"/>
      <c r="J648" s="1180"/>
    </row>
    <row r="649" spans="1:10" ht="15.75" hidden="1" customHeight="1" x14ac:dyDescent="0.3">
      <c r="A649" s="66"/>
      <c r="B649" s="140"/>
      <c r="C649" s="94" t="s">
        <v>121</v>
      </c>
      <c r="D649" s="98" t="s">
        <v>759</v>
      </c>
      <c r="E649" s="1473">
        <f>'Verification Report'!O649</f>
        <v>0</v>
      </c>
      <c r="F649"/>
      <c r="I649" s="1180"/>
      <c r="J649" s="1180"/>
    </row>
    <row r="650" spans="1:10" ht="15.75" hidden="1" customHeight="1" x14ac:dyDescent="0.3">
      <c r="A650" s="66"/>
      <c r="B650" s="140"/>
      <c r="C650" s="94" t="s">
        <v>122</v>
      </c>
      <c r="D650" s="98" t="s">
        <v>760</v>
      </c>
      <c r="E650" s="1473">
        <f>'Verification Report'!O650</f>
        <v>0</v>
      </c>
      <c r="F650"/>
      <c r="I650" s="1180"/>
      <c r="J650" s="1180"/>
    </row>
    <row r="651" spans="1:10" ht="15.75" hidden="1" customHeight="1" x14ac:dyDescent="0.3">
      <c r="A651" s="66"/>
      <c r="B651" s="140"/>
      <c r="C651" s="94" t="s">
        <v>123</v>
      </c>
      <c r="D651" s="98" t="s">
        <v>761</v>
      </c>
      <c r="E651" s="1473">
        <f>'Verification Report'!O651</f>
        <v>0</v>
      </c>
      <c r="F651"/>
      <c r="I651" s="1180"/>
      <c r="J651" s="1180"/>
    </row>
    <row r="652" spans="1:10" ht="15.75" hidden="1" customHeight="1" x14ac:dyDescent="0.3">
      <c r="A652" s="66"/>
      <c r="B652" s="140"/>
      <c r="C652" s="115" t="s">
        <v>423</v>
      </c>
      <c r="D652" s="98" t="s">
        <v>762</v>
      </c>
      <c r="E652" s="1473">
        <f>'Verification Report'!O652</f>
        <v>0</v>
      </c>
      <c r="F652"/>
      <c r="I652" s="1180"/>
      <c r="J652" s="1180"/>
    </row>
    <row r="653" spans="1:10" ht="15.75" hidden="1" customHeight="1" x14ac:dyDescent="0.3">
      <c r="A653" s="66"/>
      <c r="B653" s="140"/>
      <c r="C653" s="210" t="s">
        <v>578</v>
      </c>
      <c r="D653" s="98" t="s">
        <v>763</v>
      </c>
      <c r="E653" s="1473">
        <f>'Verification Report'!O653</f>
        <v>0</v>
      </c>
      <c r="F653"/>
      <c r="I653" s="1180"/>
      <c r="J653" s="1180"/>
    </row>
    <row r="654" spans="1:10" ht="15.75" hidden="1" customHeight="1" x14ac:dyDescent="0.3">
      <c r="A654" s="66"/>
      <c r="B654" s="238"/>
      <c r="C654" s="192" t="s">
        <v>645</v>
      </c>
      <c r="D654" s="193" t="s">
        <v>764</v>
      </c>
      <c r="E654" s="1491">
        <f>'Verification Report'!O654</f>
        <v>0</v>
      </c>
      <c r="F654"/>
      <c r="I654" s="1180"/>
      <c r="J654" s="1180"/>
    </row>
    <row r="655" spans="1:10" ht="15" hidden="1" customHeight="1" x14ac:dyDescent="0.3">
      <c r="A655" s="66"/>
      <c r="B655" s="237" t="s">
        <v>273</v>
      </c>
      <c r="C655" s="217"/>
      <c r="D655" s="1356" t="s">
        <v>765</v>
      </c>
      <c r="E655" s="1472">
        <f>'Verification Report'!O655</f>
        <v>0</v>
      </c>
      <c r="F655"/>
      <c r="I655" s="1180"/>
      <c r="J655" s="1180"/>
    </row>
    <row r="656" spans="1:10" ht="15.75" hidden="1" customHeight="1" x14ac:dyDescent="0.3">
      <c r="A656" s="66"/>
      <c r="B656" s="140"/>
      <c r="C656" s="98"/>
      <c r="D656" s="1305"/>
      <c r="E656" s="1473">
        <f>'Verification Report'!O656</f>
        <v>0</v>
      </c>
      <c r="F656"/>
      <c r="I656" s="1180"/>
      <c r="J656" s="1180"/>
    </row>
    <row r="657" spans="1:10" ht="15.75" hidden="1" customHeight="1" x14ac:dyDescent="0.3">
      <c r="A657" s="66"/>
      <c r="B657" s="140"/>
      <c r="C657" s="98"/>
      <c r="D657" s="1305"/>
      <c r="E657" s="1473">
        <f>'Verification Report'!O657</f>
        <v>0</v>
      </c>
      <c r="F657"/>
      <c r="I657" s="1180"/>
      <c r="J657" s="1180"/>
    </row>
    <row r="658" spans="1:10" ht="15.75" hidden="1" customHeight="1" x14ac:dyDescent="0.3">
      <c r="A658" s="66"/>
      <c r="B658" s="140"/>
      <c r="C658" s="98"/>
      <c r="D658" s="1305"/>
      <c r="E658" s="1473">
        <f>'Verification Report'!O658</f>
        <v>0</v>
      </c>
      <c r="F658"/>
      <c r="I658" s="1180"/>
      <c r="J658" s="1180"/>
    </row>
    <row r="659" spans="1:10" ht="15.75" hidden="1" customHeight="1" x14ac:dyDescent="0.3">
      <c r="A659" s="66"/>
      <c r="B659" s="140"/>
      <c r="C659" s="98"/>
      <c r="D659" s="1305"/>
      <c r="E659" s="1473">
        <f>'Verification Report'!O659</f>
        <v>0</v>
      </c>
      <c r="F659"/>
      <c r="I659" s="1180"/>
      <c r="J659" s="1180"/>
    </row>
    <row r="660" spans="1:10" ht="15.75" hidden="1" customHeight="1" x14ac:dyDescent="0.3">
      <c r="A660" s="66"/>
      <c r="B660" s="140"/>
      <c r="C660" s="98"/>
      <c r="D660" s="1305"/>
      <c r="E660" s="1473">
        <f>'Verification Report'!O660</f>
        <v>0</v>
      </c>
      <c r="F660"/>
      <c r="I660" s="1180"/>
      <c r="J660" s="1180"/>
    </row>
    <row r="661" spans="1:10" ht="15.75" hidden="1" customHeight="1" x14ac:dyDescent="0.3">
      <c r="A661" s="66"/>
      <c r="B661" s="238"/>
      <c r="C661" s="193"/>
      <c r="D661" s="1306"/>
      <c r="E661" s="1491">
        <f>'Verification Report'!O661</f>
        <v>0</v>
      </c>
      <c r="F661"/>
      <c r="I661" s="1180"/>
      <c r="J661" s="1180"/>
    </row>
    <row r="662" spans="1:10" ht="15" hidden="1" customHeight="1" x14ac:dyDescent="0.3">
      <c r="A662" s="66"/>
      <c r="B662" s="27" t="s">
        <v>275</v>
      </c>
      <c r="C662" s="86"/>
      <c r="D662" s="1329" t="s">
        <v>766</v>
      </c>
      <c r="E662" s="1463">
        <f>'Verification Report'!O662</f>
        <v>0</v>
      </c>
      <c r="F662"/>
      <c r="I662" s="1180"/>
      <c r="J662" s="1180"/>
    </row>
    <row r="663" spans="1:10" ht="15.75" hidden="1" customHeight="1" thickBot="1" x14ac:dyDescent="0.35">
      <c r="A663" s="66"/>
      <c r="B663" s="4"/>
      <c r="C663" s="86"/>
      <c r="D663" s="1329"/>
      <c r="E663" s="1463">
        <f>'Verification Report'!O663</f>
        <v>0</v>
      </c>
      <c r="F663"/>
      <c r="I663" s="1180"/>
      <c r="J663" s="1180"/>
    </row>
    <row r="664" spans="1:10" ht="15.75" hidden="1" customHeight="1" thickTop="1" x14ac:dyDescent="0.3">
      <c r="A664" s="200" t="s">
        <v>767</v>
      </c>
      <c r="B664" s="201"/>
      <c r="C664" s="202"/>
      <c r="D664" s="1331" t="s">
        <v>768</v>
      </c>
      <c r="E664" s="1528">
        <f ca="1">'Verification Report'!O664</f>
        <v>0</v>
      </c>
      <c r="F664"/>
      <c r="I664" s="1180"/>
      <c r="J664" s="1180"/>
    </row>
    <row r="665" spans="1:10" ht="15" hidden="1" thickBot="1" x14ac:dyDescent="0.35">
      <c r="A665" s="141"/>
      <c r="B665" s="140"/>
      <c r="C665" s="98"/>
      <c r="D665" s="1313"/>
      <c r="E665" s="1473">
        <f>'Verification Report'!O665</f>
        <v>0</v>
      </c>
      <c r="F665"/>
      <c r="I665" s="1180"/>
      <c r="J665" s="1180"/>
    </row>
    <row r="666" spans="1:10" ht="15" hidden="1" thickBot="1" x14ac:dyDescent="0.35">
      <c r="A666" s="141"/>
      <c r="B666" s="140"/>
      <c r="C666" s="98"/>
      <c r="D666" s="1313"/>
      <c r="E666" s="1473">
        <f>'Verification Report'!O666</f>
        <v>0</v>
      </c>
      <c r="F666"/>
      <c r="I666" s="1180"/>
      <c r="J666" s="1180"/>
    </row>
    <row r="667" spans="1:10" ht="15" hidden="1" thickBot="1" x14ac:dyDescent="0.35">
      <c r="A667" s="244"/>
      <c r="B667" s="238"/>
      <c r="C667" s="193"/>
      <c r="D667" s="1350"/>
      <c r="E667" s="1491">
        <f>'Verification Report'!O667</f>
        <v>0</v>
      </c>
      <c r="F667"/>
      <c r="I667" s="1180"/>
      <c r="J667" s="1180"/>
    </row>
    <row r="668" spans="1:10" ht="15" hidden="1" customHeight="1" x14ac:dyDescent="0.3">
      <c r="A668" s="215" t="s">
        <v>770</v>
      </c>
      <c r="B668" s="216"/>
      <c r="C668" s="217"/>
      <c r="D668" s="1364" t="s">
        <v>771</v>
      </c>
      <c r="E668" s="1157"/>
      <c r="F668"/>
      <c r="I668" s="1180"/>
      <c r="J668" s="1180"/>
    </row>
    <row r="669" spans="1:10" ht="15.75" hidden="1" customHeight="1" x14ac:dyDescent="0.3">
      <c r="A669" s="141"/>
      <c r="B669" s="140"/>
      <c r="C669" s="98"/>
      <c r="D669" s="1313"/>
      <c r="E669" s="1157"/>
      <c r="F669"/>
      <c r="I669" s="1180"/>
      <c r="J669" s="1180"/>
    </row>
    <row r="670" spans="1:10" ht="15.75" hidden="1" customHeight="1" x14ac:dyDescent="0.3">
      <c r="A670" s="141"/>
      <c r="B670" s="140"/>
      <c r="C670" s="98"/>
      <c r="D670" s="1313"/>
      <c r="E670" s="1157"/>
      <c r="F670"/>
      <c r="I670" s="1180"/>
      <c r="J670" s="1180"/>
    </row>
    <row r="671" spans="1:10" ht="15.75" hidden="1" customHeight="1" x14ac:dyDescent="0.3">
      <c r="A671" s="141"/>
      <c r="B671" s="140"/>
      <c r="C671" s="94" t="s">
        <v>121</v>
      </c>
      <c r="D671" s="98" t="s">
        <v>759</v>
      </c>
      <c r="E671" s="1157"/>
      <c r="F671"/>
      <c r="I671" s="1180"/>
      <c r="J671" s="1180"/>
    </row>
    <row r="672" spans="1:10" ht="15.75" hidden="1" customHeight="1" x14ac:dyDescent="0.3">
      <c r="A672" s="141"/>
      <c r="B672" s="140"/>
      <c r="C672" s="94" t="s">
        <v>122</v>
      </c>
      <c r="D672" s="98" t="s">
        <v>760</v>
      </c>
      <c r="E672" s="1157"/>
      <c r="F672"/>
      <c r="I672" s="1180"/>
      <c r="J672" s="1180"/>
    </row>
    <row r="673" spans="1:10" ht="15.75" hidden="1" customHeight="1" x14ac:dyDescent="0.3">
      <c r="A673" s="141"/>
      <c r="B673" s="140"/>
      <c r="C673" s="94" t="s">
        <v>123</v>
      </c>
      <c r="D673" s="98" t="s">
        <v>761</v>
      </c>
      <c r="E673" s="1157"/>
      <c r="F673"/>
      <c r="I673" s="1180"/>
      <c r="J673" s="1180"/>
    </row>
    <row r="674" spans="1:10" ht="15.75" hidden="1" customHeight="1" x14ac:dyDescent="0.3">
      <c r="A674" s="141"/>
      <c r="B674" s="140"/>
      <c r="C674" s="115" t="s">
        <v>423</v>
      </c>
      <c r="D674" s="98" t="s">
        <v>762</v>
      </c>
      <c r="E674" s="1157"/>
      <c r="F674"/>
      <c r="I674" s="1180"/>
      <c r="J674" s="1180"/>
    </row>
    <row r="675" spans="1:10" ht="15" hidden="1" customHeight="1" x14ac:dyDescent="0.3">
      <c r="A675" s="141"/>
      <c r="B675" s="140"/>
      <c r="C675" s="210" t="s">
        <v>578</v>
      </c>
      <c r="D675" s="98" t="s">
        <v>763</v>
      </c>
      <c r="E675" s="1157"/>
      <c r="F675"/>
      <c r="I675" s="1180"/>
      <c r="J675" s="1180"/>
    </row>
    <row r="676" spans="1:10" ht="15.75" hidden="1" customHeight="1" x14ac:dyDescent="0.3">
      <c r="A676" s="141"/>
      <c r="B676" s="140"/>
      <c r="C676" s="94" t="s">
        <v>645</v>
      </c>
      <c r="D676" s="98" t="s">
        <v>764</v>
      </c>
      <c r="E676" s="1157"/>
      <c r="F676"/>
      <c r="I676" s="1180"/>
      <c r="J676" s="1180"/>
    </row>
    <row r="677" spans="1:10" ht="15" hidden="1" customHeight="1" x14ac:dyDescent="0.3">
      <c r="A677" s="141"/>
      <c r="B677" s="140"/>
      <c r="C677" s="97"/>
      <c r="D677" s="1368" t="s">
        <v>772</v>
      </c>
      <c r="E677" s="1157"/>
      <c r="F677"/>
      <c r="I677" s="1180"/>
      <c r="J677" s="1180"/>
    </row>
    <row r="678" spans="1:10" ht="15.75" hidden="1" customHeight="1" x14ac:dyDescent="0.3">
      <c r="A678" s="141"/>
      <c r="B678" s="140"/>
      <c r="C678" s="1132"/>
      <c r="D678" s="1368"/>
      <c r="E678" s="1157"/>
      <c r="F678"/>
      <c r="I678" s="1180"/>
      <c r="J678" s="1180"/>
    </row>
    <row r="679" spans="1:10" ht="15.75" hidden="1" customHeight="1" x14ac:dyDescent="0.3">
      <c r="A679" s="141"/>
      <c r="B679" s="140"/>
      <c r="C679" s="1132"/>
      <c r="D679" s="1368"/>
      <c r="E679" s="1157"/>
      <c r="F679"/>
      <c r="I679" s="1180"/>
      <c r="J679" s="1180"/>
    </row>
    <row r="680" spans="1:10" ht="15" hidden="1" customHeight="1" x14ac:dyDescent="0.3">
      <c r="A680" s="141"/>
      <c r="B680" s="140"/>
      <c r="C680" s="1132"/>
      <c r="D680" s="1394" t="s">
        <v>3311</v>
      </c>
      <c r="E680" s="1157"/>
      <c r="F680"/>
      <c r="I680" s="1180"/>
      <c r="J680" s="1180"/>
    </row>
    <row r="681" spans="1:10" ht="15.75" hidden="1" customHeight="1" x14ac:dyDescent="0.3">
      <c r="A681" s="244"/>
      <c r="B681" s="238"/>
      <c r="C681" s="1145"/>
      <c r="D681" s="1396"/>
      <c r="E681" s="1157"/>
      <c r="F681"/>
      <c r="I681" s="1180"/>
      <c r="J681" s="1180"/>
    </row>
    <row r="682" spans="1:10" ht="15" hidden="1" customHeight="1" x14ac:dyDescent="0.3">
      <c r="A682" s="66" t="s">
        <v>773</v>
      </c>
      <c r="B682" s="4"/>
      <c r="C682" s="86"/>
      <c r="D682" s="1292" t="s">
        <v>774</v>
      </c>
      <c r="E682" s="1157"/>
      <c r="F682"/>
      <c r="I682" s="1180"/>
      <c r="J682" s="1180"/>
    </row>
    <row r="683" spans="1:10" ht="15.75" hidden="1" customHeight="1" x14ac:dyDescent="0.3">
      <c r="A683" s="66"/>
      <c r="B683" s="4"/>
      <c r="C683" s="86"/>
      <c r="D683" s="1292"/>
      <c r="E683" s="1157"/>
      <c r="F683"/>
      <c r="I683" s="1180"/>
      <c r="J683" s="1180"/>
    </row>
    <row r="684" spans="1:10" ht="15.75" hidden="1" customHeight="1" x14ac:dyDescent="0.3">
      <c r="A684" s="66"/>
      <c r="B684" s="4"/>
      <c r="C684" s="86"/>
      <c r="D684" s="1292"/>
      <c r="E684" s="1157"/>
      <c r="F684"/>
      <c r="I684" s="1180"/>
      <c r="J684" s="1180"/>
    </row>
    <row r="685" spans="1:10" ht="15.75" hidden="1" customHeight="1" x14ac:dyDescent="0.3">
      <c r="A685" s="66"/>
      <c r="B685" s="4"/>
      <c r="C685" s="86"/>
      <c r="D685" s="1292"/>
      <c r="E685" s="1157"/>
      <c r="F685"/>
      <c r="I685" s="1180"/>
      <c r="J685" s="1180"/>
    </row>
    <row r="686" spans="1:10" ht="15.75" hidden="1" customHeight="1" x14ac:dyDescent="0.3">
      <c r="A686" s="66"/>
      <c r="B686" s="4"/>
      <c r="C686" s="86"/>
      <c r="D686" s="1292"/>
      <c r="E686" s="1157"/>
      <c r="F686"/>
      <c r="I686" s="1180"/>
      <c r="J686" s="1180"/>
    </row>
    <row r="687" spans="1:10" ht="15.75" hidden="1" customHeight="1" x14ac:dyDescent="0.3">
      <c r="A687" s="66"/>
      <c r="B687" s="4"/>
      <c r="C687" s="86"/>
      <c r="D687" s="1292"/>
      <c r="E687" s="1157"/>
      <c r="F687"/>
      <c r="I687" s="1180"/>
      <c r="J687" s="1180"/>
    </row>
    <row r="688" spans="1:10" ht="15.75" hidden="1" customHeight="1" x14ac:dyDescent="0.3">
      <c r="A688" s="66"/>
      <c r="B688" s="4"/>
      <c r="C688" s="86"/>
      <c r="D688" s="1292"/>
      <c r="E688" s="1157"/>
      <c r="F688"/>
      <c r="I688" s="1180"/>
      <c r="J688" s="1180"/>
    </row>
    <row r="689" spans="1:10" ht="15.75" hidden="1" customHeight="1" x14ac:dyDescent="0.3">
      <c r="A689" s="66"/>
      <c r="B689" s="4"/>
      <c r="C689" s="86"/>
      <c r="D689" s="1292"/>
      <c r="E689" s="1157"/>
      <c r="F689"/>
      <c r="I689" s="1180"/>
      <c r="J689" s="1180"/>
    </row>
    <row r="690" spans="1:10" ht="15.75" hidden="1" customHeight="1" x14ac:dyDescent="0.3">
      <c r="A690" s="66"/>
      <c r="B690" s="4"/>
      <c r="C690" s="90" t="s">
        <v>121</v>
      </c>
      <c r="D690" s="86" t="s">
        <v>775</v>
      </c>
      <c r="E690" s="1157"/>
      <c r="F690"/>
      <c r="I690" s="1180"/>
      <c r="J690" s="1180"/>
    </row>
    <row r="691" spans="1:10" ht="15.75" hidden="1" customHeight="1" x14ac:dyDescent="0.3">
      <c r="A691" s="66"/>
      <c r="B691" s="4"/>
      <c r="C691" s="90" t="s">
        <v>122</v>
      </c>
      <c r="D691" s="86" t="s">
        <v>776</v>
      </c>
      <c r="E691" s="1157"/>
      <c r="F691"/>
      <c r="I691" s="1180"/>
      <c r="J691" s="1180"/>
    </row>
    <row r="692" spans="1:10" ht="15.75" hidden="1" customHeight="1" x14ac:dyDescent="0.3">
      <c r="A692" s="66"/>
      <c r="B692" s="4"/>
      <c r="C692" s="90" t="s">
        <v>123</v>
      </c>
      <c r="D692" s="86" t="s">
        <v>777</v>
      </c>
      <c r="E692" s="1157"/>
      <c r="F692"/>
      <c r="I692" s="1180"/>
      <c r="J692" s="1180"/>
    </row>
    <row r="693" spans="1:10" ht="15.75" hidden="1" customHeight="1" x14ac:dyDescent="0.3">
      <c r="A693" s="66"/>
      <c r="B693" s="4"/>
      <c r="C693" s="92" t="s">
        <v>423</v>
      </c>
      <c r="D693" s="86" t="s">
        <v>778</v>
      </c>
      <c r="E693" s="1157"/>
      <c r="F693"/>
      <c r="I693" s="1180"/>
      <c r="J693" s="1180"/>
    </row>
    <row r="694" spans="1:10" ht="15" hidden="1" customHeight="1" x14ac:dyDescent="0.3">
      <c r="A694" s="66"/>
      <c r="B694" s="4"/>
      <c r="C694" s="86"/>
      <c r="D694" s="1367" t="s">
        <v>779</v>
      </c>
      <c r="E694" s="1157"/>
      <c r="F694"/>
      <c r="I694" s="1180"/>
      <c r="J694" s="1180"/>
    </row>
    <row r="695" spans="1:10" ht="15.75" hidden="1" customHeight="1" x14ac:dyDescent="0.3">
      <c r="A695" s="66"/>
      <c r="B695" s="4"/>
      <c r="C695" s="86"/>
      <c r="D695" s="1367"/>
      <c r="E695" s="1157"/>
      <c r="F695"/>
      <c r="I695" s="1180"/>
      <c r="J695" s="1180"/>
    </row>
    <row r="696" spans="1:10" ht="15.75" hidden="1" customHeight="1" x14ac:dyDescent="0.3">
      <c r="A696" s="66"/>
      <c r="B696" s="4"/>
      <c r="C696" s="90" t="s">
        <v>121</v>
      </c>
      <c r="D696" s="86" t="s">
        <v>759</v>
      </c>
      <c r="E696" s="1157"/>
      <c r="F696"/>
      <c r="I696" s="1180"/>
      <c r="J696" s="1180"/>
    </row>
    <row r="697" spans="1:10" ht="15.75" hidden="1" customHeight="1" x14ac:dyDescent="0.3">
      <c r="A697" s="66"/>
      <c r="B697" s="4"/>
      <c r="C697" s="90" t="s">
        <v>122</v>
      </c>
      <c r="D697" s="86" t="s">
        <v>760</v>
      </c>
      <c r="E697" s="1157"/>
      <c r="F697"/>
      <c r="I697" s="1180"/>
      <c r="J697" s="1180"/>
    </row>
    <row r="698" spans="1:10" ht="15.75" hidden="1" customHeight="1" x14ac:dyDescent="0.3">
      <c r="A698" s="66"/>
      <c r="B698" s="4"/>
      <c r="C698" s="90" t="s">
        <v>123</v>
      </c>
      <c r="D698" s="86" t="s">
        <v>761</v>
      </c>
      <c r="E698" s="1157"/>
      <c r="F698"/>
      <c r="I698" s="1180"/>
      <c r="J698" s="1180"/>
    </row>
    <row r="699" spans="1:10" ht="15.75" hidden="1" customHeight="1" x14ac:dyDescent="0.3">
      <c r="A699" s="66"/>
      <c r="B699" s="4"/>
      <c r="C699" s="92" t="s">
        <v>423</v>
      </c>
      <c r="D699" s="86" t="s">
        <v>762</v>
      </c>
      <c r="E699" s="1157"/>
      <c r="F699"/>
      <c r="I699" s="1180"/>
      <c r="J699" s="1180"/>
    </row>
    <row r="700" spans="1:10" ht="15.75" hidden="1" customHeight="1" x14ac:dyDescent="0.3">
      <c r="A700" s="66"/>
      <c r="B700" s="4"/>
      <c r="C700" s="88" t="s">
        <v>578</v>
      </c>
      <c r="D700" s="86" t="s">
        <v>763</v>
      </c>
      <c r="E700" s="1157"/>
      <c r="F700"/>
      <c r="I700" s="1180"/>
      <c r="J700" s="1180"/>
    </row>
    <row r="701" spans="1:10" ht="15.75" hidden="1" customHeight="1" x14ac:dyDescent="0.3">
      <c r="A701" s="66"/>
      <c r="B701" s="4"/>
      <c r="C701" s="90" t="s">
        <v>645</v>
      </c>
      <c r="D701" s="86" t="s">
        <v>764</v>
      </c>
      <c r="E701" s="1157"/>
      <c r="F701"/>
      <c r="I701" s="1180"/>
      <c r="J701" s="1180"/>
    </row>
    <row r="702" spans="1:10" ht="15" hidden="1" customHeight="1" x14ac:dyDescent="0.3">
      <c r="A702" s="66"/>
      <c r="B702" s="4"/>
      <c r="C702" s="86"/>
      <c r="D702" s="1365" t="s">
        <v>780</v>
      </c>
      <c r="E702" s="1157"/>
      <c r="F702"/>
      <c r="I702" s="1180"/>
      <c r="J702" s="1180"/>
    </row>
    <row r="703" spans="1:10" ht="15.75" hidden="1" customHeight="1" x14ac:dyDescent="0.3">
      <c r="A703" s="66"/>
      <c r="B703" s="4"/>
      <c r="C703" s="86"/>
      <c r="D703" s="1365"/>
      <c r="E703" s="1157"/>
      <c r="F703"/>
      <c r="I703" s="1180"/>
      <c r="J703" s="1180"/>
    </row>
    <row r="704" spans="1:10" ht="15" hidden="1" customHeight="1" x14ac:dyDescent="0.3">
      <c r="A704" s="66"/>
      <c r="B704" s="4"/>
      <c r="C704" s="86"/>
      <c r="D704" s="1432" t="s">
        <v>3319</v>
      </c>
      <c r="E704" s="1157"/>
      <c r="F704"/>
      <c r="I704" s="1180"/>
      <c r="J704" s="1180"/>
    </row>
    <row r="705" spans="1:10" ht="15.75" hidden="1" customHeight="1" x14ac:dyDescent="0.3">
      <c r="A705" s="66"/>
      <c r="B705" s="4"/>
      <c r="C705" s="86"/>
      <c r="D705" s="1433"/>
      <c r="E705" s="1157"/>
      <c r="F705"/>
      <c r="I705" s="1180"/>
      <c r="J705" s="1180"/>
    </row>
    <row r="706" spans="1:10" ht="18.600000000000001" hidden="1" thickBot="1" x14ac:dyDescent="0.4">
      <c r="A706" s="14" t="s">
        <v>781</v>
      </c>
      <c r="B706" s="23"/>
      <c r="C706" s="85"/>
      <c r="D706" s="82"/>
      <c r="E706" s="71"/>
      <c r="F706"/>
      <c r="I706" s="1180"/>
      <c r="J706" s="1180"/>
    </row>
    <row r="707" spans="1:10" ht="15" hidden="1" customHeight="1" x14ac:dyDescent="0.3">
      <c r="A707" s="66">
        <v>611.1</v>
      </c>
      <c r="B707" s="4"/>
      <c r="C707" s="86"/>
      <c r="D707" s="1292" t="s">
        <v>782</v>
      </c>
      <c r="E707" s="1463">
        <f ca="1">'Verification Report'!O707</f>
        <v>0</v>
      </c>
      <c r="F707"/>
      <c r="I707" s="1180"/>
      <c r="J707" s="1180"/>
    </row>
    <row r="708" spans="1:10" ht="15.75" hidden="1" customHeight="1" x14ac:dyDescent="0.3">
      <c r="A708" s="66"/>
      <c r="B708" s="4"/>
      <c r="C708" s="86"/>
      <c r="D708" s="1292"/>
      <c r="E708" s="1463">
        <f>'Verification Report'!O708</f>
        <v>0</v>
      </c>
      <c r="F708"/>
      <c r="I708" s="1180"/>
      <c r="J708" s="1180"/>
    </row>
    <row r="709" spans="1:10" ht="15.75" hidden="1" customHeight="1" x14ac:dyDescent="0.3">
      <c r="A709" s="66"/>
      <c r="B709" s="4"/>
      <c r="C709" s="86"/>
      <c r="D709" s="1292"/>
      <c r="E709" s="1463">
        <f>'Verification Report'!O709</f>
        <v>0</v>
      </c>
      <c r="F709"/>
      <c r="I709" s="1180"/>
      <c r="J709" s="1180"/>
    </row>
    <row r="710" spans="1:10" ht="15.75" hidden="1" customHeight="1" x14ac:dyDescent="0.3">
      <c r="A710" s="66"/>
      <c r="B710" s="4"/>
      <c r="C710" s="86"/>
      <c r="D710" s="1292"/>
      <c r="E710" s="1463">
        <f>'Verification Report'!O710</f>
        <v>0</v>
      </c>
      <c r="F710"/>
      <c r="I710" s="1180"/>
      <c r="J710" s="1180"/>
    </row>
    <row r="711" spans="1:10" ht="15.75" hidden="1" customHeight="1" x14ac:dyDescent="0.3">
      <c r="A711" s="66"/>
      <c r="B711" s="4"/>
      <c r="C711" s="86"/>
      <c r="D711" s="1292"/>
      <c r="E711" s="1463">
        <f>'Verification Report'!O711</f>
        <v>0</v>
      </c>
      <c r="F711"/>
      <c r="I711" s="1180"/>
      <c r="J711" s="1180"/>
    </row>
    <row r="712" spans="1:10" ht="15.75" hidden="1" customHeight="1" x14ac:dyDescent="0.3">
      <c r="A712" s="66"/>
      <c r="B712" s="4"/>
      <c r="C712" s="86"/>
      <c r="D712" s="174" t="s">
        <v>783</v>
      </c>
      <c r="E712" s="1463">
        <f>'Verification Report'!O712</f>
        <v>0</v>
      </c>
      <c r="F712"/>
      <c r="I712" s="1180"/>
      <c r="J712" s="1180"/>
    </row>
    <row r="713" spans="1:10" ht="15" hidden="1" customHeight="1" x14ac:dyDescent="0.3">
      <c r="A713" s="66"/>
      <c r="B713" s="4"/>
      <c r="C713" s="86"/>
      <c r="D713" s="1328" t="s">
        <v>3340</v>
      </c>
      <c r="E713" s="1463">
        <f>'Verification Report'!O713</f>
        <v>0</v>
      </c>
      <c r="F713"/>
      <c r="I713" s="1180"/>
      <c r="J713" s="1180"/>
    </row>
    <row r="714" spans="1:10" ht="15.75" hidden="1" customHeight="1" thickBot="1" x14ac:dyDescent="0.35">
      <c r="A714" s="66"/>
      <c r="B714" s="4"/>
      <c r="C714" s="86"/>
      <c r="D714" s="1432"/>
      <c r="E714" s="1463">
        <f>'Verification Report'!O714</f>
        <v>0</v>
      </c>
      <c r="F714"/>
      <c r="I714" s="1180"/>
      <c r="J714" s="1180"/>
    </row>
    <row r="715" spans="1:10" ht="15.75" hidden="1" customHeight="1" thickTop="1" x14ac:dyDescent="0.3">
      <c r="A715" s="200">
        <v>611.20000000000005</v>
      </c>
      <c r="B715" s="201"/>
      <c r="C715" s="202"/>
      <c r="D715" s="1331" t="s">
        <v>784</v>
      </c>
      <c r="E715" s="1528">
        <f>'Verification Report'!O715</f>
        <v>0</v>
      </c>
      <c r="F715"/>
      <c r="I715" s="1180"/>
      <c r="J715" s="1180"/>
    </row>
    <row r="716" spans="1:10" ht="15" hidden="1" thickBot="1" x14ac:dyDescent="0.35">
      <c r="A716" s="141"/>
      <c r="B716" s="140"/>
      <c r="C716" s="98"/>
      <c r="D716" s="1313"/>
      <c r="E716" s="1473">
        <f>'Verification Report'!O716</f>
        <v>0</v>
      </c>
      <c r="F716"/>
      <c r="I716" s="1180"/>
      <c r="J716" s="1180"/>
    </row>
    <row r="717" spans="1:10" ht="15" hidden="1" thickBot="1" x14ac:dyDescent="0.35">
      <c r="A717" s="141"/>
      <c r="B717" s="140"/>
      <c r="C717" s="98"/>
      <c r="D717" s="1313"/>
      <c r="E717" s="1473">
        <f>'Verification Report'!O717</f>
        <v>0</v>
      </c>
      <c r="F717"/>
      <c r="I717" s="1180"/>
      <c r="J717" s="1180"/>
    </row>
    <row r="718" spans="1:10" ht="15" hidden="1" thickBot="1" x14ac:dyDescent="0.35">
      <c r="A718" s="66"/>
      <c r="B718" s="231" t="s">
        <v>271</v>
      </c>
      <c r="C718" s="193"/>
      <c r="D718" s="193" t="s">
        <v>785</v>
      </c>
      <c r="E718" s="1157"/>
      <c r="F718"/>
      <c r="I718" s="1180"/>
      <c r="J718" s="1180"/>
    </row>
    <row r="719" spans="1:10" ht="15" hidden="1" thickBot="1" x14ac:dyDescent="0.35">
      <c r="A719" s="66"/>
      <c r="B719" s="233" t="s">
        <v>273</v>
      </c>
      <c r="C719" s="234"/>
      <c r="D719" s="234" t="s">
        <v>786</v>
      </c>
      <c r="E719" s="1157"/>
      <c r="F719"/>
      <c r="I719" s="1180"/>
      <c r="J719" s="1180"/>
    </row>
    <row r="720" spans="1:10" ht="15" hidden="1" thickBot="1" x14ac:dyDescent="0.35">
      <c r="A720" s="66"/>
      <c r="B720" s="233" t="s">
        <v>275</v>
      </c>
      <c r="C720" s="234"/>
      <c r="D720" s="234" t="s">
        <v>787</v>
      </c>
      <c r="E720" s="1157"/>
      <c r="F720"/>
      <c r="I720" s="1180"/>
      <c r="J720" s="1180"/>
    </row>
    <row r="721" spans="1:10" ht="15" hidden="1" thickBot="1" x14ac:dyDescent="0.35">
      <c r="A721" s="66"/>
      <c r="B721" s="233" t="s">
        <v>285</v>
      </c>
      <c r="C721" s="234"/>
      <c r="D721" s="234" t="s">
        <v>788</v>
      </c>
      <c r="E721" s="1157"/>
      <c r="F721"/>
      <c r="I721" s="1180"/>
      <c r="J721" s="1180"/>
    </row>
    <row r="722" spans="1:10" ht="15" hidden="1" thickBot="1" x14ac:dyDescent="0.35">
      <c r="A722" s="66"/>
      <c r="B722" s="233" t="s">
        <v>291</v>
      </c>
      <c r="C722" s="234"/>
      <c r="D722" s="234" t="s">
        <v>789</v>
      </c>
      <c r="E722" s="1157"/>
      <c r="F722"/>
      <c r="I722" s="1180"/>
      <c r="J722" s="1180"/>
    </row>
    <row r="723" spans="1:10" ht="15" hidden="1" thickBot="1" x14ac:dyDescent="0.35">
      <c r="A723" s="66"/>
      <c r="B723" s="233" t="s">
        <v>293</v>
      </c>
      <c r="C723" s="234"/>
      <c r="D723" s="234" t="s">
        <v>790</v>
      </c>
      <c r="E723" s="1157"/>
      <c r="F723"/>
      <c r="I723" s="1180"/>
      <c r="J723" s="1180"/>
    </row>
    <row r="724" spans="1:10" ht="15" hidden="1" customHeight="1" x14ac:dyDescent="0.3">
      <c r="A724" s="66"/>
      <c r="B724" s="27" t="s">
        <v>405</v>
      </c>
      <c r="C724" s="86"/>
      <c r="D724" s="1329" t="s">
        <v>791</v>
      </c>
      <c r="E724" s="1157"/>
      <c r="F724"/>
      <c r="I724" s="1180"/>
      <c r="J724" s="1180"/>
    </row>
    <row r="725" spans="1:10" ht="15.75" hidden="1" customHeight="1" thickBot="1" x14ac:dyDescent="0.35">
      <c r="A725" s="66"/>
      <c r="B725" s="27"/>
      <c r="C725" s="86"/>
      <c r="D725" s="1329"/>
      <c r="E725" s="1157"/>
      <c r="F725"/>
      <c r="I725" s="1180"/>
      <c r="J725" s="1180"/>
    </row>
    <row r="726" spans="1:10" ht="15.75" customHeight="1" thickTop="1" x14ac:dyDescent="0.3">
      <c r="A726" s="200">
        <v>611.29999999999995</v>
      </c>
      <c r="B726" s="222"/>
      <c r="C726" s="202"/>
      <c r="D726" s="1331" t="s">
        <v>792</v>
      </c>
      <c r="E726" s="1528">
        <f>'Verification Report'!O726</f>
        <v>0</v>
      </c>
      <c r="F726"/>
      <c r="G726" s="1110">
        <v>1</v>
      </c>
      <c r="I726" s="1180"/>
      <c r="J726" s="1180"/>
    </row>
    <row r="727" spans="1:10" x14ac:dyDescent="0.3">
      <c r="A727" s="141"/>
      <c r="B727" s="140"/>
      <c r="C727" s="98"/>
      <c r="D727" s="1313"/>
      <c r="E727" s="1473">
        <f>'Verification Report'!O727</f>
        <v>0</v>
      </c>
      <c r="F727" s="97"/>
      <c r="G727" s="1110">
        <v>1</v>
      </c>
      <c r="I727" s="1180"/>
      <c r="J727" s="1180"/>
    </row>
    <row r="728" spans="1:10" ht="15" customHeight="1" x14ac:dyDescent="0.3">
      <c r="A728" s="66"/>
      <c r="B728" s="203" t="s">
        <v>271</v>
      </c>
      <c r="C728" s="98"/>
      <c r="D728" s="1305" t="s">
        <v>793</v>
      </c>
      <c r="E728" s="1157"/>
      <c r="F728" s="1176" t="str">
        <f>IF('Verification Report'!W728="","",'Verification Report'!W728)</f>
        <v/>
      </c>
      <c r="G728" s="1110">
        <v>1</v>
      </c>
      <c r="H728" s="1178"/>
      <c r="I728" s="1180" t="s">
        <v>4753</v>
      </c>
      <c r="J728" s="1180"/>
    </row>
    <row r="729" spans="1:10" x14ac:dyDescent="0.3">
      <c r="A729" s="66"/>
      <c r="B729" s="140"/>
      <c r="C729" s="98"/>
      <c r="D729" s="1305"/>
      <c r="E729" s="1157"/>
      <c r="G729" s="1110">
        <v>1</v>
      </c>
      <c r="I729" s="1180"/>
      <c r="J729" s="1180"/>
    </row>
    <row r="730" spans="1:10" x14ac:dyDescent="0.3">
      <c r="A730" s="66"/>
      <c r="B730" s="140"/>
      <c r="C730" s="98"/>
      <c r="D730" s="1305"/>
      <c r="E730" s="1157"/>
      <c r="G730" s="1110">
        <v>1</v>
      </c>
      <c r="I730" s="1180"/>
      <c r="J730" s="1180"/>
    </row>
    <row r="731" spans="1:10" x14ac:dyDescent="0.3">
      <c r="A731" s="66"/>
      <c r="B731" s="140"/>
      <c r="C731" s="98"/>
      <c r="D731" s="1305"/>
      <c r="E731" s="1157"/>
      <c r="G731" s="1110">
        <v>1</v>
      </c>
      <c r="I731" s="1180"/>
      <c r="J731" s="1180"/>
    </row>
    <row r="732" spans="1:10" ht="15" thickBot="1" x14ac:dyDescent="0.35">
      <c r="A732" s="66"/>
      <c r="B732" s="238"/>
      <c r="C732" s="193"/>
      <c r="D732" s="1306"/>
      <c r="E732" s="1157"/>
      <c r="G732" s="1110">
        <v>1</v>
      </c>
      <c r="I732" s="1180"/>
      <c r="J732" s="1180"/>
    </row>
    <row r="733" spans="1:10" ht="15" hidden="1" customHeight="1" x14ac:dyDescent="0.3">
      <c r="A733" s="66"/>
      <c r="B733" s="237" t="s">
        <v>273</v>
      </c>
      <c r="C733" s="217"/>
      <c r="D733" s="1356" t="s">
        <v>794</v>
      </c>
      <c r="E733" s="1157"/>
      <c r="F733"/>
      <c r="I733" s="1180"/>
      <c r="J733" s="1180"/>
    </row>
    <row r="734" spans="1:10" ht="15.75" hidden="1" customHeight="1" x14ac:dyDescent="0.3">
      <c r="A734" s="66"/>
      <c r="B734" s="140"/>
      <c r="C734" s="98"/>
      <c r="D734" s="1305"/>
      <c r="E734" s="1157"/>
      <c r="F734"/>
      <c r="I734" s="1180"/>
      <c r="J734" s="1180"/>
    </row>
    <row r="735" spans="1:10" ht="15.75" hidden="1" customHeight="1" x14ac:dyDescent="0.3">
      <c r="A735" s="66"/>
      <c r="B735" s="140"/>
      <c r="C735" s="98"/>
      <c r="D735" s="1305"/>
      <c r="E735" s="1157"/>
      <c r="F735"/>
      <c r="I735" s="1180"/>
      <c r="J735" s="1180"/>
    </row>
    <row r="736" spans="1:10" ht="15.75" hidden="1" customHeight="1" x14ac:dyDescent="0.3">
      <c r="A736" s="66"/>
      <c r="B736" s="238"/>
      <c r="C736" s="193"/>
      <c r="D736" s="1306"/>
      <c r="E736" s="1157"/>
      <c r="F736"/>
      <c r="I736" s="1180"/>
      <c r="J736" s="1180"/>
    </row>
    <row r="737" spans="1:10" ht="15" hidden="1" customHeight="1" x14ac:dyDescent="0.3">
      <c r="A737" s="66"/>
      <c r="B737" s="237" t="s">
        <v>275</v>
      </c>
      <c r="C737" s="217"/>
      <c r="D737" s="1356" t="s">
        <v>795</v>
      </c>
      <c r="E737" s="1157"/>
      <c r="F737"/>
      <c r="I737" s="1180"/>
      <c r="J737" s="1180"/>
    </row>
    <row r="738" spans="1:10" ht="15.75" hidden="1" customHeight="1" x14ac:dyDescent="0.3">
      <c r="A738" s="66"/>
      <c r="B738" s="238"/>
      <c r="C738" s="193"/>
      <c r="D738" s="1306"/>
      <c r="E738" s="1157"/>
      <c r="F738"/>
      <c r="I738" s="1180"/>
      <c r="J738" s="1180"/>
    </row>
    <row r="739" spans="1:10" ht="15" hidden="1" customHeight="1" x14ac:dyDescent="0.3">
      <c r="A739" s="66"/>
      <c r="B739" s="237" t="s">
        <v>285</v>
      </c>
      <c r="C739" s="217"/>
      <c r="D739" s="1356" t="s">
        <v>796</v>
      </c>
      <c r="E739" s="1157"/>
      <c r="F739"/>
      <c r="I739" s="1180"/>
      <c r="J739" s="1180"/>
    </row>
    <row r="740" spans="1:10" ht="15.75" hidden="1" customHeight="1" x14ac:dyDescent="0.3">
      <c r="A740" s="66"/>
      <c r="B740" s="238"/>
      <c r="C740" s="193"/>
      <c r="D740" s="1306"/>
      <c r="E740" s="1157"/>
      <c r="F740"/>
      <c r="I740" s="1180"/>
      <c r="J740" s="1180"/>
    </row>
    <row r="741" spans="1:10" ht="15" hidden="1" thickBot="1" x14ac:dyDescent="0.35">
      <c r="A741" s="66"/>
      <c r="B741" s="233" t="s">
        <v>291</v>
      </c>
      <c r="C741" s="234"/>
      <c r="D741" s="234" t="s">
        <v>797</v>
      </c>
      <c r="E741" s="1157"/>
      <c r="F741"/>
      <c r="I741" s="1180"/>
      <c r="J741" s="1180"/>
    </row>
    <row r="742" spans="1:10" ht="15" hidden="1" thickBot="1" x14ac:dyDescent="0.35">
      <c r="A742" s="66"/>
      <c r="B742" s="233" t="s">
        <v>293</v>
      </c>
      <c r="C742" s="234"/>
      <c r="D742" s="234" t="s">
        <v>798</v>
      </c>
      <c r="E742" s="1157"/>
      <c r="F742"/>
      <c r="I742" s="1180"/>
      <c r="J742" s="1180"/>
    </row>
    <row r="743" spans="1:10" ht="15" hidden="1" customHeight="1" x14ac:dyDescent="0.3">
      <c r="A743" s="66"/>
      <c r="B743" s="237" t="s">
        <v>405</v>
      </c>
      <c r="C743" s="217"/>
      <c r="D743" s="1356" t="s">
        <v>799</v>
      </c>
      <c r="E743" s="1157"/>
      <c r="F743"/>
      <c r="I743" s="1180"/>
      <c r="J743" s="1180"/>
    </row>
    <row r="744" spans="1:10" ht="15.75" hidden="1" customHeight="1" x14ac:dyDescent="0.3">
      <c r="A744" s="66"/>
      <c r="B744" s="140"/>
      <c r="C744" s="98"/>
      <c r="D744" s="1305"/>
      <c r="E744" s="1157"/>
      <c r="F744"/>
      <c r="I744" s="1180"/>
      <c r="J744" s="1180"/>
    </row>
    <row r="745" spans="1:10" ht="15.75" hidden="1" customHeight="1" x14ac:dyDescent="0.3">
      <c r="A745" s="66"/>
      <c r="B745" s="140"/>
      <c r="C745" s="98"/>
      <c r="D745" s="1305"/>
      <c r="E745" s="1157"/>
      <c r="F745"/>
      <c r="I745" s="1180"/>
      <c r="J745" s="1180"/>
    </row>
    <row r="746" spans="1:10" ht="15.75" hidden="1" customHeight="1" x14ac:dyDescent="0.3">
      <c r="A746" s="66"/>
      <c r="B746" s="238"/>
      <c r="C746" s="193"/>
      <c r="D746" s="1306"/>
      <c r="E746" s="1157"/>
      <c r="F746"/>
      <c r="I746" s="1180"/>
      <c r="J746" s="1180"/>
    </row>
    <row r="747" spans="1:10" ht="15" hidden="1" customHeight="1" x14ac:dyDescent="0.3">
      <c r="A747" s="66"/>
      <c r="B747" s="237" t="s">
        <v>456</v>
      </c>
      <c r="C747" s="217"/>
      <c r="D747" s="1356" t="s">
        <v>800</v>
      </c>
      <c r="E747" s="1157"/>
      <c r="F747"/>
      <c r="I747" s="1180"/>
      <c r="J747" s="1180"/>
    </row>
    <row r="748" spans="1:10" ht="15.75" hidden="1" customHeight="1" x14ac:dyDescent="0.3">
      <c r="A748" s="66"/>
      <c r="B748" s="238"/>
      <c r="C748" s="193"/>
      <c r="D748" s="1306"/>
      <c r="E748" s="1157"/>
      <c r="F748"/>
      <c r="I748" s="1180"/>
      <c r="J748" s="1180"/>
    </row>
    <row r="749" spans="1:10" ht="15" hidden="1" customHeight="1" x14ac:dyDescent="0.3">
      <c r="A749" s="66"/>
      <c r="B749" s="27" t="s">
        <v>458</v>
      </c>
      <c r="C749" s="86"/>
      <c r="D749" s="1329" t="s">
        <v>801</v>
      </c>
      <c r="E749" s="1157"/>
      <c r="F749"/>
      <c r="I749" s="1180"/>
      <c r="J749" s="1180"/>
    </row>
    <row r="750" spans="1:10" ht="15.75" hidden="1" customHeight="1" thickBot="1" x14ac:dyDescent="0.35">
      <c r="A750" s="66"/>
      <c r="B750" s="4"/>
      <c r="C750" s="86"/>
      <c r="D750" s="1329"/>
      <c r="E750" s="1157"/>
      <c r="F750"/>
      <c r="I750" s="1180"/>
      <c r="J750" s="1180"/>
    </row>
    <row r="751" spans="1:10" ht="15.75" hidden="1" customHeight="1" thickTop="1" x14ac:dyDescent="0.3">
      <c r="A751" s="200">
        <v>611.4</v>
      </c>
      <c r="B751" s="201"/>
      <c r="C751" s="202"/>
      <c r="D751" s="1331" t="s">
        <v>802</v>
      </c>
      <c r="E751" s="1528">
        <f>'Verification Report'!O751</f>
        <v>0</v>
      </c>
      <c r="F751"/>
      <c r="I751" s="1180"/>
      <c r="J751" s="1180"/>
    </row>
    <row r="752" spans="1:10" ht="15" hidden="1" thickBot="1" x14ac:dyDescent="0.35">
      <c r="A752" s="141"/>
      <c r="B752" s="140"/>
      <c r="C752" s="98"/>
      <c r="D752" s="1313"/>
      <c r="E752" s="1473">
        <f>'Verification Report'!O752</f>
        <v>0</v>
      </c>
      <c r="F752"/>
      <c r="I752" s="1180"/>
      <c r="J752" s="1180"/>
    </row>
    <row r="753" spans="1:10" ht="15" hidden="1" thickBot="1" x14ac:dyDescent="0.35">
      <c r="A753" s="141"/>
      <c r="B753" s="140"/>
      <c r="C753" s="98"/>
      <c r="D753" s="1313"/>
      <c r="E753" s="1473">
        <f>'Verification Report'!O753</f>
        <v>0</v>
      </c>
      <c r="F753"/>
      <c r="I753" s="1180"/>
      <c r="J753" s="1180"/>
    </row>
    <row r="754" spans="1:10" ht="15" hidden="1" thickBot="1" x14ac:dyDescent="0.35">
      <c r="A754" s="141"/>
      <c r="B754" s="140"/>
      <c r="C754" s="98"/>
      <c r="D754" s="1313"/>
      <c r="E754" s="1473">
        <f>'Verification Report'!O754</f>
        <v>0</v>
      </c>
      <c r="F754"/>
      <c r="I754" s="1180"/>
      <c r="J754" s="1180"/>
    </row>
    <row r="755" spans="1:10" ht="15" hidden="1" thickBot="1" x14ac:dyDescent="0.35">
      <c r="A755" s="244"/>
      <c r="B755" s="238"/>
      <c r="C755" s="193"/>
      <c r="D755" s="1350"/>
      <c r="E755" s="1491">
        <f>'Verification Report'!O755</f>
        <v>0</v>
      </c>
      <c r="F755"/>
      <c r="I755" s="1180"/>
      <c r="J755" s="1180"/>
    </row>
    <row r="756" spans="1:10" ht="15" hidden="1" customHeight="1" x14ac:dyDescent="0.3">
      <c r="A756" s="66" t="s">
        <v>803</v>
      </c>
      <c r="B756" s="4"/>
      <c r="C756" s="86"/>
      <c r="D756" s="1377" t="s">
        <v>804</v>
      </c>
      <c r="E756" s="1157"/>
      <c r="F756"/>
      <c r="I756" s="1180"/>
      <c r="J756" s="1180"/>
    </row>
    <row r="757" spans="1:10" ht="15.75" hidden="1" customHeight="1" x14ac:dyDescent="0.3">
      <c r="A757" s="66"/>
      <c r="B757" s="4"/>
      <c r="C757" s="86"/>
      <c r="D757" s="1377"/>
      <c r="E757" s="1157"/>
      <c r="F757"/>
      <c r="I757" s="1180"/>
      <c r="J757" s="1180"/>
    </row>
    <row r="758" spans="1:10" ht="15.75" hidden="1" customHeight="1" x14ac:dyDescent="0.3">
      <c r="A758" s="66"/>
      <c r="B758" s="4"/>
      <c r="C758" s="86"/>
      <c r="D758" s="1377"/>
      <c r="E758" s="1157"/>
      <c r="F758"/>
      <c r="I758" s="1180"/>
      <c r="J758" s="1180"/>
    </row>
    <row r="759" spans="1:10" ht="15.75" hidden="1" customHeight="1" x14ac:dyDescent="0.3">
      <c r="A759" s="66"/>
      <c r="B759" s="4"/>
      <c r="C759" s="86"/>
      <c r="D759" s="1377"/>
      <c r="E759" s="1157"/>
      <c r="F759"/>
      <c r="I759" s="1180"/>
      <c r="J759" s="1180"/>
    </row>
    <row r="760" spans="1:10" ht="15.75" hidden="1" customHeight="1" x14ac:dyDescent="0.3">
      <c r="A760" s="66"/>
      <c r="B760" s="4"/>
      <c r="C760" s="86"/>
      <c r="D760" s="1377"/>
      <c r="E760" s="1157"/>
      <c r="F760"/>
      <c r="I760" s="1180"/>
      <c r="J760" s="1180"/>
    </row>
    <row r="761" spans="1:10" ht="15.75" hidden="1" customHeight="1" x14ac:dyDescent="0.3">
      <c r="A761" s="66"/>
      <c r="B761" s="4"/>
      <c r="C761" s="86"/>
      <c r="D761" s="1377"/>
      <c r="E761" s="1157"/>
      <c r="F761"/>
      <c r="I761" s="1180"/>
      <c r="J761" s="1180"/>
    </row>
    <row r="762" spans="1:10" ht="15.75" hidden="1" customHeight="1" x14ac:dyDescent="0.3">
      <c r="A762" s="66"/>
      <c r="B762" s="4"/>
      <c r="C762" s="86"/>
      <c r="D762" s="1377"/>
      <c r="E762" s="1157"/>
      <c r="F762"/>
      <c r="I762" s="1180"/>
      <c r="J762" s="1180"/>
    </row>
    <row r="763" spans="1:10" ht="15.75" hidden="1" customHeight="1" x14ac:dyDescent="0.3">
      <c r="A763" s="66"/>
      <c r="B763" s="4"/>
      <c r="C763" s="86"/>
      <c r="D763" s="1377"/>
      <c r="E763" s="1157"/>
      <c r="F763"/>
      <c r="I763" s="1180"/>
      <c r="J763" s="1180"/>
    </row>
    <row r="764" spans="1:10" ht="15.75" hidden="1" customHeight="1" x14ac:dyDescent="0.3">
      <c r="A764" s="244"/>
      <c r="B764" s="238"/>
      <c r="C764" s="193"/>
      <c r="D764" s="1137" t="s">
        <v>3343</v>
      </c>
      <c r="E764" s="1157"/>
      <c r="F764"/>
      <c r="I764" s="1180"/>
      <c r="J764" s="1180"/>
    </row>
    <row r="765" spans="1:10" ht="15" hidden="1" customHeight="1" x14ac:dyDescent="0.3">
      <c r="A765" s="141" t="s">
        <v>805</v>
      </c>
      <c r="B765" s="140"/>
      <c r="C765" s="98"/>
      <c r="D765" s="1342" t="s">
        <v>806</v>
      </c>
      <c r="E765" s="1158"/>
      <c r="F765"/>
      <c r="I765" s="1180"/>
      <c r="J765" s="1180"/>
    </row>
    <row r="766" spans="1:10" ht="15.75" hidden="1" customHeight="1" x14ac:dyDescent="0.3">
      <c r="A766" s="141"/>
      <c r="B766" s="140"/>
      <c r="C766" s="98"/>
      <c r="D766" s="1342"/>
      <c r="E766" s="1158"/>
      <c r="F766"/>
      <c r="I766" s="1180"/>
      <c r="J766" s="1180"/>
    </row>
    <row r="767" spans="1:10" ht="15.75" hidden="1" customHeight="1" x14ac:dyDescent="0.3">
      <c r="A767" s="141"/>
      <c r="B767" s="140"/>
      <c r="C767" s="98"/>
      <c r="D767" s="1342"/>
      <c r="E767" s="1158"/>
      <c r="F767"/>
      <c r="I767" s="1180"/>
      <c r="J767" s="1180"/>
    </row>
    <row r="768" spans="1:10" ht="15.75" hidden="1" customHeight="1" x14ac:dyDescent="0.3">
      <c r="A768" s="141"/>
      <c r="B768" s="140"/>
      <c r="C768" s="98"/>
      <c r="D768" s="1342"/>
      <c r="E768" s="1158"/>
      <c r="F768"/>
      <c r="I768" s="1180"/>
      <c r="J768" s="1180"/>
    </row>
    <row r="769" spans="1:10" ht="15.75" hidden="1" customHeight="1" x14ac:dyDescent="0.3">
      <c r="A769" s="141"/>
      <c r="B769" s="140"/>
      <c r="C769" s="98"/>
      <c r="D769" s="1342"/>
      <c r="E769" s="1158"/>
      <c r="F769"/>
      <c r="I769" s="1180"/>
      <c r="J769" s="1180"/>
    </row>
    <row r="770" spans="1:10" ht="15.75" hidden="1" customHeight="1" x14ac:dyDescent="0.3">
      <c r="A770" s="141"/>
      <c r="B770" s="140"/>
      <c r="C770" s="98"/>
      <c r="D770" s="1342"/>
      <c r="E770" s="1158"/>
      <c r="F770"/>
      <c r="I770" s="1180"/>
      <c r="J770" s="1180"/>
    </row>
    <row r="771" spans="1:10" ht="15.75" hidden="1" customHeight="1" thickBot="1" x14ac:dyDescent="0.35">
      <c r="A771" s="104"/>
      <c r="B771" s="104"/>
      <c r="C771" s="104"/>
      <c r="D771" s="1141" t="s">
        <v>3343</v>
      </c>
      <c r="E771" s="1161"/>
      <c r="F771"/>
      <c r="I771" s="1180"/>
      <c r="J771" s="1180"/>
    </row>
    <row r="772" spans="1:10" ht="18.600000000000001" hidden="1" thickBot="1" x14ac:dyDescent="0.4">
      <c r="A772" s="22" t="s">
        <v>947</v>
      </c>
      <c r="B772" s="22"/>
      <c r="C772" s="22"/>
      <c r="D772" s="23"/>
      <c r="E772" s="24"/>
      <c r="F772"/>
      <c r="I772" s="1180"/>
      <c r="J772" s="1180"/>
    </row>
    <row r="773" spans="1:10" ht="15" hidden="1" customHeight="1" x14ac:dyDescent="0.3">
      <c r="A773" s="141">
        <v>701.1</v>
      </c>
      <c r="B773" s="614"/>
      <c r="C773" s="1112"/>
      <c r="D773" s="1313" t="s">
        <v>948</v>
      </c>
      <c r="E773" s="1158"/>
      <c r="F773"/>
      <c r="I773" s="1180"/>
      <c r="J773" s="1180"/>
    </row>
    <row r="774" spans="1:10" ht="15" hidden="1" thickBot="1" x14ac:dyDescent="0.35">
      <c r="A774" s="141"/>
      <c r="B774" s="614"/>
      <c r="C774" s="1112"/>
      <c r="D774" s="1313"/>
      <c r="E774" s="1158"/>
      <c r="F774"/>
      <c r="I774" s="1180"/>
      <c r="J774" s="1180"/>
    </row>
    <row r="775" spans="1:10" ht="15" hidden="1" thickBot="1" x14ac:dyDescent="0.35">
      <c r="A775" s="141"/>
      <c r="B775" s="614"/>
      <c r="C775" s="1112"/>
      <c r="D775" s="1313"/>
      <c r="E775" s="1158"/>
      <c r="F775"/>
      <c r="I775" s="1180"/>
      <c r="J775" s="1180"/>
    </row>
    <row r="776" spans="1:10" ht="15" hidden="1" thickBot="1" x14ac:dyDescent="0.35">
      <c r="A776" s="244"/>
      <c r="B776" s="626"/>
      <c r="C776" s="1113"/>
      <c r="D776" s="1350"/>
      <c r="E776" s="1159"/>
      <c r="F776"/>
      <c r="I776" s="1180"/>
      <c r="J776" s="1180"/>
    </row>
    <row r="777" spans="1:10" ht="15" hidden="1" customHeight="1" x14ac:dyDescent="0.3">
      <c r="A777" s="215" t="s">
        <v>949</v>
      </c>
      <c r="B777" s="1128"/>
      <c r="C777" s="1128"/>
      <c r="D777" s="1364" t="s">
        <v>950</v>
      </c>
      <c r="E777" s="1122"/>
      <c r="F777"/>
      <c r="I777" s="1180"/>
      <c r="J777" s="1180"/>
    </row>
    <row r="778" spans="1:10" ht="15.75" hidden="1" customHeight="1" x14ac:dyDescent="0.3">
      <c r="A778" s="238"/>
      <c r="B778" s="1113"/>
      <c r="C778" s="1113"/>
      <c r="D778" s="1350"/>
      <c r="E778" s="1117"/>
      <c r="F778"/>
      <c r="I778" s="1180"/>
      <c r="J778" s="1180"/>
    </row>
    <row r="779" spans="1:10" ht="15" hidden="1" customHeight="1" x14ac:dyDescent="0.3">
      <c r="A779" s="215" t="s">
        <v>951</v>
      </c>
      <c r="B779" s="1128"/>
      <c r="C779" s="1128"/>
      <c r="D779" s="1364" t="s">
        <v>952</v>
      </c>
      <c r="E779" s="1117"/>
      <c r="F779"/>
      <c r="I779" s="1180"/>
      <c r="J779" s="1180"/>
    </row>
    <row r="780" spans="1:10" ht="15.75" hidden="1" customHeight="1" x14ac:dyDescent="0.3">
      <c r="A780" s="140"/>
      <c r="B780" s="1112"/>
      <c r="C780" s="1112"/>
      <c r="D780" s="1313"/>
      <c r="E780" s="1117"/>
      <c r="F780"/>
      <c r="I780" s="1180"/>
      <c r="J780" s="1180"/>
    </row>
    <row r="781" spans="1:10" ht="15.75" hidden="1" customHeight="1" x14ac:dyDescent="0.3">
      <c r="A781" s="238"/>
      <c r="B781" s="1113"/>
      <c r="C781" s="1113"/>
      <c r="D781" s="1350"/>
      <c r="E781" s="1117"/>
      <c r="F781"/>
      <c r="I781" s="1180"/>
      <c r="J781" s="1180"/>
    </row>
    <row r="782" spans="1:10" ht="15" hidden="1" customHeight="1" x14ac:dyDescent="0.3">
      <c r="A782" s="141" t="s">
        <v>953</v>
      </c>
      <c r="B782" s="1112"/>
      <c r="C782" s="1112"/>
      <c r="D782" s="1313" t="s">
        <v>954</v>
      </c>
      <c r="E782" s="1117"/>
      <c r="F782"/>
      <c r="I782" s="1180"/>
      <c r="J782" s="1180"/>
    </row>
    <row r="783" spans="1:10" ht="15.75" hidden="1" customHeight="1" x14ac:dyDescent="0.3">
      <c r="A783" s="140"/>
      <c r="B783" s="1112"/>
      <c r="C783" s="1112"/>
      <c r="D783" s="1313"/>
      <c r="E783" s="1117"/>
      <c r="F783"/>
      <c r="I783" s="1180"/>
      <c r="J783" s="1180"/>
    </row>
    <row r="784" spans="1:10" ht="15.75" hidden="1" customHeight="1" x14ac:dyDescent="0.3">
      <c r="A784" s="238"/>
      <c r="B784" s="1113"/>
      <c r="C784" s="1113"/>
      <c r="D784" s="1350"/>
      <c r="E784" s="1118"/>
      <c r="F784"/>
      <c r="I784" s="1180"/>
      <c r="J784" s="1180"/>
    </row>
    <row r="785" spans="1:10" ht="15" hidden="1" customHeight="1" x14ac:dyDescent="0.3">
      <c r="A785" s="606" t="s">
        <v>955</v>
      </c>
      <c r="B785" s="1112"/>
      <c r="C785" s="1112"/>
      <c r="D785" s="1313" t="s">
        <v>956</v>
      </c>
      <c r="E785" s="1308">
        <f ca="1">'Verification Report'!O785</f>
        <v>0</v>
      </c>
      <c r="F785"/>
      <c r="I785" s="1180"/>
      <c r="J785" s="1180"/>
    </row>
    <row r="786" spans="1:10" ht="15.75" hidden="1" customHeight="1" x14ac:dyDescent="0.3">
      <c r="A786" s="140"/>
      <c r="B786" s="1112"/>
      <c r="C786" s="1112"/>
      <c r="D786" s="1313"/>
      <c r="E786" s="1308">
        <f>'Verification Report'!O786</f>
        <v>0</v>
      </c>
      <c r="F786"/>
      <c r="I786" s="1180"/>
      <c r="J786" s="1180"/>
    </row>
    <row r="787" spans="1:10" ht="15.75" hidden="1" customHeight="1" x14ac:dyDescent="0.3">
      <c r="A787" s="140"/>
      <c r="B787" s="1112"/>
      <c r="C787" s="1112"/>
      <c r="D787" s="1313"/>
      <c r="E787" s="1308">
        <f>'Verification Report'!O787</f>
        <v>0</v>
      </c>
      <c r="F787"/>
      <c r="I787" s="1180"/>
      <c r="J787" s="1180"/>
    </row>
    <row r="788" spans="1:10" ht="15.75" hidden="1" customHeight="1" x14ac:dyDescent="0.3">
      <c r="A788" s="140"/>
      <c r="B788" s="1112"/>
      <c r="C788" s="1112"/>
      <c r="D788" s="1313"/>
      <c r="E788" s="1308">
        <f>'Verification Report'!O788</f>
        <v>0</v>
      </c>
      <c r="F788"/>
      <c r="I788" s="1180"/>
      <c r="J788" s="1180"/>
    </row>
    <row r="789" spans="1:10" ht="15.75" hidden="1" customHeight="1" x14ac:dyDescent="0.3">
      <c r="A789" s="140"/>
      <c r="B789" s="1112"/>
      <c r="C789" s="1112"/>
      <c r="D789" s="1313"/>
      <c r="E789" s="1308">
        <f>'Verification Report'!O789</f>
        <v>0</v>
      </c>
      <c r="F789"/>
      <c r="I789" s="1180"/>
      <c r="J789" s="1180"/>
    </row>
    <row r="790" spans="1:10" ht="15.75" hidden="1" customHeight="1" x14ac:dyDescent="0.3">
      <c r="A790" s="140"/>
      <c r="B790" s="1112"/>
      <c r="C790" s="1112"/>
      <c r="D790" s="1313"/>
      <c r="E790" s="1308">
        <f>'Verification Report'!O790</f>
        <v>0</v>
      </c>
      <c r="F790"/>
      <c r="I790" s="1180"/>
      <c r="J790" s="1180"/>
    </row>
    <row r="791" spans="1:10" ht="15.75" hidden="1" customHeight="1" x14ac:dyDescent="0.3">
      <c r="A791" s="140"/>
      <c r="B791" s="1112"/>
      <c r="C791" s="1112"/>
      <c r="D791" s="1313"/>
      <c r="E791" s="1308">
        <f>'Verification Report'!O791</f>
        <v>0</v>
      </c>
      <c r="F791"/>
      <c r="I791" s="1180"/>
      <c r="J791" s="1180"/>
    </row>
    <row r="792" spans="1:10" ht="15.75" hidden="1" customHeight="1" thickBot="1" x14ac:dyDescent="0.35">
      <c r="A792" s="270"/>
      <c r="B792" s="1127"/>
      <c r="C792" s="1127"/>
      <c r="D792" s="1332"/>
      <c r="E792" s="1315">
        <f>'Verification Report'!O792</f>
        <v>0</v>
      </c>
      <c r="F792"/>
      <c r="I792" s="1180"/>
      <c r="J792" s="1180"/>
    </row>
    <row r="793" spans="1:10" ht="15.75" hidden="1" customHeight="1" thickTop="1" x14ac:dyDescent="0.3">
      <c r="A793" s="200">
        <v>701.2</v>
      </c>
      <c r="B793" s="616"/>
      <c r="C793" s="616"/>
      <c r="D793" s="1331" t="s">
        <v>957</v>
      </c>
      <c r="E793" s="1126"/>
      <c r="F793"/>
      <c r="I793" s="1180"/>
      <c r="J793" s="1180"/>
    </row>
    <row r="794" spans="1:10" ht="15" hidden="1" thickBot="1" x14ac:dyDescent="0.35">
      <c r="A794" s="270"/>
      <c r="B794" s="1127"/>
      <c r="C794" s="1127"/>
      <c r="D794" s="1332"/>
      <c r="E794" s="1120"/>
      <c r="F794"/>
      <c r="I794" s="1180"/>
      <c r="J794" s="1180"/>
    </row>
    <row r="795" spans="1:10" ht="15.75" hidden="1" customHeight="1" thickTop="1" x14ac:dyDescent="0.3">
      <c r="A795" s="200">
        <v>701.3</v>
      </c>
      <c r="B795" s="616"/>
      <c r="C795" s="616"/>
      <c r="D795" s="1331" t="s">
        <v>958</v>
      </c>
      <c r="E795" s="1126"/>
      <c r="F795"/>
      <c r="I795" s="1180"/>
      <c r="J795" s="1180"/>
    </row>
    <row r="796" spans="1:10" ht="15.75" hidden="1" customHeight="1" x14ac:dyDescent="0.3">
      <c r="A796" s="140"/>
      <c r="B796" s="1112"/>
      <c r="C796" s="1112"/>
      <c r="D796" s="1313"/>
      <c r="E796" s="1117"/>
      <c r="F796"/>
      <c r="I796" s="1180"/>
      <c r="J796" s="1180"/>
    </row>
    <row r="797" spans="1:10" ht="15.75" hidden="1" customHeight="1" thickBot="1" x14ac:dyDescent="0.35">
      <c r="A797" s="270"/>
      <c r="B797" s="1127"/>
      <c r="C797" s="1127"/>
      <c r="D797" s="1141" t="s">
        <v>3602</v>
      </c>
      <c r="E797" s="1120"/>
      <c r="F797"/>
      <c r="I797" s="1180"/>
      <c r="J797" s="1180"/>
    </row>
    <row r="798" spans="1:10" ht="15.6" hidden="1" thickTop="1" thickBot="1" x14ac:dyDescent="0.35">
      <c r="A798" s="200">
        <v>701.4</v>
      </c>
      <c r="B798" s="616"/>
      <c r="C798" s="616"/>
      <c r="D798" s="1146" t="s">
        <v>959</v>
      </c>
      <c r="E798" s="1126"/>
      <c r="F798"/>
      <c r="I798" s="1180"/>
      <c r="J798" s="1180"/>
    </row>
    <row r="799" spans="1:10" ht="15" hidden="1" thickBot="1" x14ac:dyDescent="0.35">
      <c r="A799" s="244" t="s">
        <v>960</v>
      </c>
      <c r="B799" s="1113"/>
      <c r="C799" s="1113"/>
      <c r="D799" s="1139" t="s">
        <v>961</v>
      </c>
      <c r="E799" s="1118"/>
      <c r="F799"/>
      <c r="I799" s="1180"/>
      <c r="J799" s="1180"/>
    </row>
    <row r="800" spans="1:10" ht="15" hidden="1" customHeight="1" x14ac:dyDescent="0.3">
      <c r="A800" s="215" t="s">
        <v>962</v>
      </c>
      <c r="B800" s="1128"/>
      <c r="C800" s="1128"/>
      <c r="D800" s="1364" t="s">
        <v>963</v>
      </c>
      <c r="E800" s="1122"/>
      <c r="F800"/>
      <c r="I800" s="1180"/>
      <c r="J800" s="1180"/>
    </row>
    <row r="801" spans="1:10" ht="15.75" hidden="1" customHeight="1" x14ac:dyDescent="0.3">
      <c r="A801" s="140"/>
      <c r="B801" s="1112"/>
      <c r="C801" s="1112"/>
      <c r="D801" s="1313"/>
      <c r="E801" s="1117"/>
      <c r="F801"/>
      <c r="I801" s="1180"/>
      <c r="J801" s="1180"/>
    </row>
    <row r="802" spans="1:10" ht="15.75" hidden="1" customHeight="1" x14ac:dyDescent="0.3">
      <c r="A802" s="238"/>
      <c r="B802" s="1113"/>
      <c r="C802" s="1113"/>
      <c r="D802" s="1350"/>
      <c r="E802" s="1118"/>
      <c r="F802"/>
      <c r="I802" s="1180"/>
      <c r="J802" s="1180"/>
    </row>
    <row r="803" spans="1:10" ht="15" hidden="1" customHeight="1" x14ac:dyDescent="0.3">
      <c r="A803" s="630" t="s">
        <v>964</v>
      </c>
      <c r="B803" s="1128"/>
      <c r="C803" s="1128"/>
      <c r="D803" s="1364" t="s">
        <v>965</v>
      </c>
      <c r="E803" s="1122"/>
      <c r="F803"/>
      <c r="I803" s="1180"/>
      <c r="J803" s="1180"/>
    </row>
    <row r="804" spans="1:10" ht="15.75" hidden="1" customHeight="1" x14ac:dyDescent="0.3">
      <c r="A804" s="140"/>
      <c r="B804" s="1112"/>
      <c r="C804" s="1112"/>
      <c r="D804" s="1313"/>
      <c r="E804" s="1117"/>
      <c r="F804"/>
      <c r="I804" s="1180"/>
      <c r="J804" s="1180"/>
    </row>
    <row r="805" spans="1:10" ht="15.75" hidden="1" customHeight="1" x14ac:dyDescent="0.3">
      <c r="A805" s="140"/>
      <c r="B805" s="1112"/>
      <c r="C805" s="1112"/>
      <c r="D805" s="1313"/>
      <c r="E805" s="1117"/>
      <c r="F805"/>
      <c r="I805" s="1180"/>
      <c r="J805" s="1180"/>
    </row>
    <row r="806" spans="1:10" ht="15.75" hidden="1" customHeight="1" x14ac:dyDescent="0.3">
      <c r="A806" s="140"/>
      <c r="B806" s="1112"/>
      <c r="C806" s="1112"/>
      <c r="D806" s="1313"/>
      <c r="E806" s="1117"/>
      <c r="F806"/>
      <c r="I806" s="1180"/>
      <c r="J806" s="1180"/>
    </row>
    <row r="807" spans="1:10" ht="15.75" hidden="1" customHeight="1" x14ac:dyDescent="0.3">
      <c r="A807" s="238"/>
      <c r="B807" s="1113"/>
      <c r="C807" s="1113"/>
      <c r="D807" s="1350"/>
      <c r="E807" s="1118"/>
      <c r="F807"/>
      <c r="I807" s="1180"/>
      <c r="J807" s="1180"/>
    </row>
    <row r="808" spans="1:10" ht="15" hidden="1" thickBot="1" x14ac:dyDescent="0.35">
      <c r="A808" s="630" t="s">
        <v>966</v>
      </c>
      <c r="B808" s="1128"/>
      <c r="C808" s="1128"/>
      <c r="D808" s="1140" t="s">
        <v>967</v>
      </c>
      <c r="E808" s="1122"/>
      <c r="F808"/>
      <c r="I808" s="1180"/>
      <c r="J808" s="1180"/>
    </row>
    <row r="809" spans="1:10" ht="15" hidden="1" customHeight="1" x14ac:dyDescent="0.3">
      <c r="A809" s="606" t="s">
        <v>4078</v>
      </c>
      <c r="B809" s="1112"/>
      <c r="C809" s="1112"/>
      <c r="D809" s="1313" t="s">
        <v>968</v>
      </c>
      <c r="E809" s="1117"/>
      <c r="F809"/>
      <c r="I809" s="1180"/>
      <c r="J809" s="1180"/>
    </row>
    <row r="810" spans="1:10" ht="15.75" hidden="1" customHeight="1" x14ac:dyDescent="0.3">
      <c r="A810" s="606"/>
      <c r="B810" s="1112"/>
      <c r="C810" s="1112"/>
      <c r="D810" s="1313"/>
      <c r="E810" s="1117"/>
      <c r="F810"/>
      <c r="I810" s="1180"/>
      <c r="J810" s="1180"/>
    </row>
    <row r="811" spans="1:10" ht="15.75" hidden="1" customHeight="1" x14ac:dyDescent="0.3">
      <c r="A811" s="631"/>
      <c r="B811" s="1113"/>
      <c r="C811" s="1113"/>
      <c r="D811" s="1350"/>
      <c r="E811" s="1118"/>
      <c r="F811"/>
      <c r="I811" s="1180"/>
      <c r="J811" s="1180"/>
    </row>
    <row r="812" spans="1:10" ht="28.2" hidden="1" thickBot="1" x14ac:dyDescent="0.35">
      <c r="A812" s="632" t="s">
        <v>969</v>
      </c>
      <c r="B812" s="365"/>
      <c r="C812" s="365"/>
      <c r="D812" s="633" t="s">
        <v>970</v>
      </c>
      <c r="E812" s="1163"/>
      <c r="F812"/>
      <c r="I812" s="1180"/>
      <c r="J812" s="1180"/>
    </row>
    <row r="813" spans="1:10" ht="15" hidden="1" customHeight="1" x14ac:dyDescent="0.3">
      <c r="A813" s="630" t="s">
        <v>971</v>
      </c>
      <c r="B813" s="1128"/>
      <c r="C813" s="1128"/>
      <c r="D813" s="1364" t="s">
        <v>972</v>
      </c>
      <c r="E813" s="1122"/>
      <c r="F813"/>
      <c r="I813" s="1180"/>
      <c r="J813" s="1180"/>
    </row>
    <row r="814" spans="1:10" ht="15.75" hidden="1" customHeight="1" x14ac:dyDescent="0.3">
      <c r="A814" s="631"/>
      <c r="B814" s="1113"/>
      <c r="C814" s="1113"/>
      <c r="D814" s="1350"/>
      <c r="E814" s="1118"/>
      <c r="F814"/>
      <c r="I814" s="1180"/>
      <c r="J814" s="1180"/>
    </row>
    <row r="815" spans="1:10" ht="15" hidden="1" thickBot="1" x14ac:dyDescent="0.35">
      <c r="A815" s="630" t="s">
        <v>973</v>
      </c>
      <c r="B815" s="1128"/>
      <c r="C815" s="1128"/>
      <c r="D815" s="1140" t="s">
        <v>974</v>
      </c>
      <c r="E815" s="1122"/>
      <c r="F815"/>
      <c r="I815" s="1180"/>
      <c r="J815" s="1180"/>
    </row>
    <row r="816" spans="1:10" ht="15" hidden="1" customHeight="1" x14ac:dyDescent="0.3">
      <c r="A816" s="68" t="s">
        <v>975</v>
      </c>
      <c r="B816" s="1131"/>
      <c r="C816" s="1131"/>
      <c r="D816" s="1292" t="s">
        <v>976</v>
      </c>
      <c r="E816" s="1119"/>
      <c r="F816"/>
      <c r="I816" s="1180"/>
      <c r="J816" s="1180"/>
    </row>
    <row r="817" spans="1:10" ht="15.75" hidden="1" customHeight="1" x14ac:dyDescent="0.3">
      <c r="A817" s="4"/>
      <c r="B817" s="1131"/>
      <c r="C817" s="1131"/>
      <c r="D817" s="1292"/>
      <c r="E817" s="1119"/>
      <c r="F817"/>
      <c r="I817" s="1180"/>
      <c r="J817" s="1180"/>
    </row>
    <row r="818" spans="1:10" ht="15.75" hidden="1" customHeight="1" x14ac:dyDescent="0.3">
      <c r="A818" s="4"/>
      <c r="B818" s="1131"/>
      <c r="C818" s="1131"/>
      <c r="D818" s="1292"/>
      <c r="E818" s="1119"/>
      <c r="F818"/>
      <c r="I818" s="1180"/>
      <c r="J818" s="1180"/>
    </row>
    <row r="819" spans="1:10" ht="15.75" hidden="1" customHeight="1" x14ac:dyDescent="0.3">
      <c r="A819" s="4"/>
      <c r="B819" s="1131"/>
      <c r="C819" s="1131"/>
      <c r="D819" s="1292"/>
      <c r="E819" s="1119"/>
      <c r="F819"/>
      <c r="I819" s="1180"/>
      <c r="J819" s="1180"/>
    </row>
    <row r="820" spans="1:10" ht="15" hidden="1" thickBot="1" x14ac:dyDescent="0.35">
      <c r="A820" s="4"/>
      <c r="B820" s="1131"/>
      <c r="C820" s="260" t="s">
        <v>121</v>
      </c>
      <c r="D820" s="1131" t="s">
        <v>977</v>
      </c>
      <c r="E820" s="1119"/>
      <c r="F820"/>
      <c r="I820" s="1180"/>
      <c r="J820" s="1180"/>
    </row>
    <row r="821" spans="1:10" ht="15" hidden="1" thickBot="1" x14ac:dyDescent="0.35">
      <c r="A821" s="4"/>
      <c r="B821" s="1131"/>
      <c r="C821" s="260" t="s">
        <v>122</v>
      </c>
      <c r="D821" s="1131" t="s">
        <v>978</v>
      </c>
      <c r="E821" s="1119"/>
      <c r="F821"/>
      <c r="I821" s="1180"/>
      <c r="J821" s="1180"/>
    </row>
    <row r="822" spans="1:10" ht="15" hidden="1" thickBot="1" x14ac:dyDescent="0.35">
      <c r="A822" s="4"/>
      <c r="B822" s="1131"/>
      <c r="C822" s="261" t="s">
        <v>123</v>
      </c>
      <c r="D822" s="1131" t="s">
        <v>979</v>
      </c>
      <c r="E822" s="1119"/>
      <c r="F822"/>
      <c r="I822" s="1180"/>
      <c r="J822" s="1180"/>
    </row>
    <row r="823" spans="1:10" ht="15" hidden="1" thickBot="1" x14ac:dyDescent="0.35">
      <c r="A823" s="4"/>
      <c r="B823" s="1131"/>
      <c r="C823" s="1135" t="s">
        <v>423</v>
      </c>
      <c r="D823" s="1131" t="s">
        <v>980</v>
      </c>
      <c r="E823" s="1119"/>
      <c r="F823"/>
      <c r="I823" s="1180"/>
      <c r="J823" s="1180"/>
    </row>
    <row r="824" spans="1:10" ht="15" hidden="1" thickBot="1" x14ac:dyDescent="0.35">
      <c r="A824" s="4"/>
      <c r="B824" s="1131"/>
      <c r="C824" s="1135" t="s">
        <v>578</v>
      </c>
      <c r="D824" s="1131" t="s">
        <v>981</v>
      </c>
      <c r="E824" s="1119"/>
      <c r="F824"/>
      <c r="I824" s="1180"/>
      <c r="J824" s="1180"/>
    </row>
    <row r="825" spans="1:10" ht="15" hidden="1" thickBot="1" x14ac:dyDescent="0.35">
      <c r="A825" s="4"/>
      <c r="B825" s="1131"/>
      <c r="C825" s="261" t="s">
        <v>645</v>
      </c>
      <c r="D825" s="1131" t="s">
        <v>982</v>
      </c>
      <c r="E825" s="1119"/>
      <c r="F825"/>
      <c r="I825" s="1180"/>
      <c r="J825" s="1180"/>
    </row>
    <row r="826" spans="1:10" ht="15" hidden="1" thickBot="1" x14ac:dyDescent="0.35">
      <c r="A826" s="4"/>
      <c r="B826" s="1131"/>
      <c r="C826" s="1135" t="s">
        <v>647</v>
      </c>
      <c r="D826" s="1131" t="s">
        <v>983</v>
      </c>
      <c r="E826" s="1119"/>
      <c r="F826"/>
      <c r="I826" s="1180"/>
      <c r="J826" s="1180"/>
    </row>
    <row r="827" spans="1:10" ht="15" hidden="1" thickBot="1" x14ac:dyDescent="0.35">
      <c r="A827" s="4"/>
      <c r="B827" s="1131"/>
      <c r="C827" s="1135" t="s">
        <v>649</v>
      </c>
      <c r="D827" s="1131" t="s">
        <v>984</v>
      </c>
      <c r="E827" s="1119"/>
      <c r="F827"/>
      <c r="I827" s="1180"/>
      <c r="J827" s="1180"/>
    </row>
    <row r="828" spans="1:10" ht="15" hidden="1" thickBot="1" x14ac:dyDescent="0.35">
      <c r="A828" s="4"/>
      <c r="B828" s="1131"/>
      <c r="C828" s="1135" t="s">
        <v>985</v>
      </c>
      <c r="D828" s="1131" t="s">
        <v>986</v>
      </c>
      <c r="E828" s="1119"/>
      <c r="F828"/>
      <c r="I828" s="1180"/>
      <c r="J828" s="1180"/>
    </row>
    <row r="829" spans="1:10" ht="15" hidden="1" thickBot="1" x14ac:dyDescent="0.35">
      <c r="A829" s="4"/>
      <c r="B829" s="1131"/>
      <c r="C829" s="1135" t="s">
        <v>987</v>
      </c>
      <c r="D829" s="1131" t="s">
        <v>988</v>
      </c>
      <c r="E829" s="1119"/>
      <c r="F829"/>
      <c r="I829" s="1180"/>
      <c r="J829" s="1180"/>
    </row>
    <row r="830" spans="1:10" ht="15" hidden="1" thickBot="1" x14ac:dyDescent="0.35">
      <c r="A830" s="140"/>
      <c r="B830" s="1112"/>
      <c r="C830" s="1138" t="s">
        <v>989</v>
      </c>
      <c r="D830" s="1112" t="s">
        <v>990</v>
      </c>
      <c r="E830" s="1117"/>
      <c r="F830"/>
      <c r="I830" s="1180"/>
      <c r="J830" s="1180"/>
    </row>
    <row r="831" spans="1:10" ht="15" hidden="1" thickBot="1" x14ac:dyDescent="0.35">
      <c r="A831" s="238"/>
      <c r="B831" s="1113"/>
      <c r="C831" s="1139" t="s">
        <v>991</v>
      </c>
      <c r="D831" s="1113" t="s">
        <v>992</v>
      </c>
      <c r="E831" s="1118"/>
      <c r="F831"/>
      <c r="I831" s="1180"/>
      <c r="J831" s="1180"/>
    </row>
    <row r="832" spans="1:10" ht="15" hidden="1" customHeight="1" x14ac:dyDescent="0.3">
      <c r="A832" s="68" t="s">
        <v>993</v>
      </c>
      <c r="B832" s="1131"/>
      <c r="C832" s="1131"/>
      <c r="D832" s="1292" t="s">
        <v>994</v>
      </c>
      <c r="E832" s="1119"/>
      <c r="F832"/>
      <c r="I832" s="1180"/>
      <c r="J832" s="1180"/>
    </row>
    <row r="833" spans="1:10" ht="15" hidden="1" thickBot="1" x14ac:dyDescent="0.35">
      <c r="A833" s="4"/>
      <c r="B833" s="1131"/>
      <c r="C833" s="1131"/>
      <c r="D833" s="1292"/>
      <c r="E833" s="1119"/>
      <c r="F833"/>
      <c r="I833" s="1180"/>
      <c r="J833" s="1180"/>
    </row>
    <row r="834" spans="1:10" ht="15" hidden="1" thickBot="1" x14ac:dyDescent="0.35">
      <c r="A834" s="4"/>
      <c r="B834" s="1131"/>
      <c r="C834" s="1131"/>
      <c r="D834" s="1292"/>
      <c r="E834" s="1119"/>
      <c r="F834"/>
      <c r="I834" s="1180"/>
      <c r="J834" s="1180"/>
    </row>
    <row r="835" spans="1:10" ht="15" hidden="1" customHeight="1" x14ac:dyDescent="0.3">
      <c r="A835" s="4"/>
      <c r="B835" s="260" t="s">
        <v>271</v>
      </c>
      <c r="C835" s="1131"/>
      <c r="D835" s="1292" t="s">
        <v>995</v>
      </c>
      <c r="E835" s="1119"/>
      <c r="F835"/>
      <c r="I835" s="1180"/>
      <c r="J835" s="1180"/>
    </row>
    <row r="836" spans="1:10" ht="15.75" hidden="1" customHeight="1" x14ac:dyDescent="0.3">
      <c r="A836" s="4"/>
      <c r="B836" s="1131"/>
      <c r="C836" s="1131"/>
      <c r="D836" s="1292"/>
      <c r="E836" s="1119"/>
      <c r="F836"/>
      <c r="I836" s="1180"/>
      <c r="J836" s="1180"/>
    </row>
    <row r="837" spans="1:10" ht="15.75" hidden="1" customHeight="1" x14ac:dyDescent="0.3">
      <c r="A837" s="4"/>
      <c r="B837" s="1131"/>
      <c r="C837" s="1131"/>
      <c r="D837" s="1292"/>
      <c r="E837" s="1119"/>
      <c r="F837"/>
      <c r="I837" s="1180"/>
      <c r="J837" s="1180"/>
    </row>
    <row r="838" spans="1:10" ht="15.75" hidden="1" customHeight="1" x14ac:dyDescent="0.3">
      <c r="A838" s="4"/>
      <c r="B838" s="1131"/>
      <c r="C838" s="1131"/>
      <c r="D838" s="1292"/>
      <c r="E838" s="1119"/>
      <c r="F838"/>
      <c r="I838" s="1180"/>
      <c r="J838" s="1180"/>
    </row>
    <row r="839" spans="1:10" ht="15.75" hidden="1" customHeight="1" x14ac:dyDescent="0.3">
      <c r="A839" s="4"/>
      <c r="B839" s="1131"/>
      <c r="C839" s="1131"/>
      <c r="D839" s="1292"/>
      <c r="E839" s="1119"/>
      <c r="F839"/>
      <c r="I839" s="1180"/>
      <c r="J839" s="1180"/>
    </row>
    <row r="840" spans="1:10" ht="15" hidden="1" thickBot="1" x14ac:dyDescent="0.35">
      <c r="A840" s="4"/>
      <c r="B840" s="1131"/>
      <c r="C840" s="260" t="s">
        <v>121</v>
      </c>
      <c r="D840" s="1131" t="s">
        <v>996</v>
      </c>
      <c r="E840" s="1119"/>
      <c r="F840"/>
      <c r="I840" s="1180"/>
      <c r="J840" s="1180"/>
    </row>
    <row r="841" spans="1:10" ht="15" hidden="1" customHeight="1" x14ac:dyDescent="0.3">
      <c r="A841" s="4"/>
      <c r="B841" s="1131"/>
      <c r="C841" s="260" t="s">
        <v>122</v>
      </c>
      <c r="D841" s="1329" t="s">
        <v>997</v>
      </c>
      <c r="E841" s="1119"/>
      <c r="F841"/>
      <c r="I841" s="1180"/>
      <c r="J841" s="1180"/>
    </row>
    <row r="842" spans="1:10" ht="15.75" hidden="1" customHeight="1" x14ac:dyDescent="0.3">
      <c r="A842" s="4"/>
      <c r="B842" s="1131"/>
      <c r="C842" s="260"/>
      <c r="D842" s="1329"/>
      <c r="E842" s="1119"/>
      <c r="F842"/>
      <c r="I842" s="1180"/>
      <c r="J842" s="1180"/>
    </row>
    <row r="843" spans="1:10" ht="15" hidden="1" thickBot="1" x14ac:dyDescent="0.35">
      <c r="A843" s="4"/>
      <c r="B843" s="1131"/>
      <c r="C843" s="261" t="s">
        <v>123</v>
      </c>
      <c r="D843" s="1131" t="s">
        <v>998</v>
      </c>
      <c r="E843" s="1119"/>
      <c r="F843"/>
      <c r="I843" s="1180"/>
      <c r="J843" s="1180"/>
    </row>
    <row r="844" spans="1:10" ht="15" hidden="1" customHeight="1" x14ac:dyDescent="0.3">
      <c r="A844" s="4"/>
      <c r="B844" s="1131"/>
      <c r="C844" s="1135" t="s">
        <v>423</v>
      </c>
      <c r="D844" s="1329" t="s">
        <v>999</v>
      </c>
      <c r="E844" s="1119"/>
      <c r="F844"/>
      <c r="I844" s="1180"/>
      <c r="J844" s="1180"/>
    </row>
    <row r="845" spans="1:10" ht="15.75" hidden="1" customHeight="1" x14ac:dyDescent="0.3">
      <c r="A845" s="4"/>
      <c r="B845" s="1131"/>
      <c r="C845" s="1135"/>
      <c r="D845" s="1329"/>
      <c r="E845" s="1119"/>
      <c r="F845"/>
      <c r="I845" s="1180"/>
      <c r="J845" s="1180"/>
    </row>
    <row r="846" spans="1:10" ht="15" hidden="1" thickBot="1" x14ac:dyDescent="0.35">
      <c r="A846" s="4"/>
      <c r="B846" s="1131"/>
      <c r="C846" s="1135" t="s">
        <v>578</v>
      </c>
      <c r="D846" s="1131" t="s">
        <v>1000</v>
      </c>
      <c r="E846" s="1119"/>
      <c r="F846"/>
      <c r="I846" s="1180"/>
      <c r="J846" s="1180"/>
    </row>
    <row r="847" spans="1:10" ht="15" hidden="1" thickBot="1" x14ac:dyDescent="0.35">
      <c r="A847" s="4"/>
      <c r="B847" s="1131"/>
      <c r="C847" s="261" t="s">
        <v>645</v>
      </c>
      <c r="D847" s="1131" t="s">
        <v>1001</v>
      </c>
      <c r="E847" s="1119"/>
      <c r="F847"/>
      <c r="I847" s="1180"/>
      <c r="J847" s="1180"/>
    </row>
    <row r="848" spans="1:10" ht="15" hidden="1" thickBot="1" x14ac:dyDescent="0.35">
      <c r="A848" s="4"/>
      <c r="B848" s="1131"/>
      <c r="C848" s="1135" t="s">
        <v>647</v>
      </c>
      <c r="D848" s="1131" t="s">
        <v>1002</v>
      </c>
      <c r="E848" s="1119"/>
      <c r="F848"/>
      <c r="I848" s="1180"/>
      <c r="J848" s="1180"/>
    </row>
    <row r="849" spans="1:10" ht="15" hidden="1" customHeight="1" x14ac:dyDescent="0.3">
      <c r="A849" s="4"/>
      <c r="B849" s="1112"/>
      <c r="C849" s="647"/>
      <c r="D849" s="1394" t="s">
        <v>4075</v>
      </c>
      <c r="E849" s="1119"/>
      <c r="F849"/>
      <c r="I849" s="1180"/>
      <c r="J849" s="1180"/>
    </row>
    <row r="850" spans="1:10" ht="15.75" hidden="1" customHeight="1" x14ac:dyDescent="0.3">
      <c r="A850" s="4"/>
      <c r="B850" s="1113"/>
      <c r="C850" s="648"/>
      <c r="D850" s="1396"/>
      <c r="E850" s="1119"/>
      <c r="F850"/>
      <c r="I850" s="1180"/>
      <c r="J850" s="1180"/>
    </row>
    <row r="851" spans="1:10" ht="15" hidden="1" customHeight="1" x14ac:dyDescent="0.3">
      <c r="A851" s="140"/>
      <c r="B851" s="614" t="s">
        <v>273</v>
      </c>
      <c r="C851" s="1112"/>
      <c r="D851" s="1313" t="s">
        <v>1003</v>
      </c>
      <c r="E851" s="1117"/>
      <c r="F851"/>
      <c r="I851" s="1180"/>
      <c r="J851" s="1180"/>
    </row>
    <row r="852" spans="1:10" ht="15.75" hidden="1" customHeight="1" x14ac:dyDescent="0.3">
      <c r="A852" s="140"/>
      <c r="B852" s="1112"/>
      <c r="C852" s="1112"/>
      <c r="D852" s="1313"/>
      <c r="E852" s="1117"/>
      <c r="F852"/>
      <c r="I852" s="1180"/>
      <c r="J852" s="1180"/>
    </row>
    <row r="853" spans="1:10" ht="15.75" hidden="1" customHeight="1" x14ac:dyDescent="0.3">
      <c r="A853" s="238"/>
      <c r="B853" s="1113"/>
      <c r="C853" s="1113"/>
      <c r="D853" s="422" t="s">
        <v>3636</v>
      </c>
      <c r="E853" s="1118"/>
      <c r="F853"/>
      <c r="I853" s="1180"/>
      <c r="J853" s="1180"/>
    </row>
    <row r="854" spans="1:10" ht="15" hidden="1" thickBot="1" x14ac:dyDescent="0.35">
      <c r="A854" s="68" t="s">
        <v>1004</v>
      </c>
      <c r="B854" s="1131"/>
      <c r="C854" s="1131"/>
      <c r="D854" s="1135" t="s">
        <v>1005</v>
      </c>
      <c r="E854" s="1119"/>
      <c r="F854"/>
      <c r="I854" s="1180"/>
      <c r="J854" s="1180"/>
    </row>
    <row r="855" spans="1:10" ht="15" hidden="1" thickBot="1" x14ac:dyDescent="0.35">
      <c r="A855" s="4"/>
      <c r="B855" s="626" t="s">
        <v>271</v>
      </c>
      <c r="C855" s="1113"/>
      <c r="D855" s="1113" t="s">
        <v>1006</v>
      </c>
      <c r="E855" s="1119"/>
      <c r="F855"/>
      <c r="I855" s="1180"/>
      <c r="J855" s="1180"/>
    </row>
    <row r="856" spans="1:10" ht="15" hidden="1" customHeight="1" x14ac:dyDescent="0.3">
      <c r="A856" s="4"/>
      <c r="B856" s="649" t="s">
        <v>273</v>
      </c>
      <c r="C856" s="1128"/>
      <c r="D856" s="1356" t="s">
        <v>1007</v>
      </c>
      <c r="E856" s="1119"/>
      <c r="F856"/>
      <c r="I856" s="1180"/>
      <c r="J856" s="1180"/>
    </row>
    <row r="857" spans="1:10" ht="15.75" hidden="1" customHeight="1" x14ac:dyDescent="0.3">
      <c r="A857" s="4"/>
      <c r="B857" s="626"/>
      <c r="C857" s="1113"/>
      <c r="D857" s="1306"/>
      <c r="E857" s="1119"/>
      <c r="F857"/>
      <c r="I857" s="1180"/>
      <c r="J857" s="1180"/>
    </row>
    <row r="858" spans="1:10" ht="15" hidden="1" thickBot="1" x14ac:dyDescent="0.35">
      <c r="A858" s="4"/>
      <c r="B858" s="650" t="s">
        <v>275</v>
      </c>
      <c r="C858" s="365"/>
      <c r="D858" s="365" t="s">
        <v>1008</v>
      </c>
      <c r="E858" s="1119"/>
      <c r="F858"/>
      <c r="I858" s="1180"/>
      <c r="J858" s="1180"/>
    </row>
    <row r="859" spans="1:10" ht="15" hidden="1" customHeight="1" x14ac:dyDescent="0.3">
      <c r="A859" s="4"/>
      <c r="B859" s="260" t="s">
        <v>285</v>
      </c>
      <c r="C859" s="1131"/>
      <c r="D859" s="1329" t="s">
        <v>1009</v>
      </c>
      <c r="E859" s="1119"/>
      <c r="F859"/>
      <c r="I859" s="1180"/>
      <c r="J859" s="1180"/>
    </row>
    <row r="860" spans="1:10" ht="15.75" hidden="1" customHeight="1" x14ac:dyDescent="0.3">
      <c r="A860" s="4"/>
      <c r="B860" s="260"/>
      <c r="C860" s="1131"/>
      <c r="D860" s="1329"/>
      <c r="E860" s="1119"/>
      <c r="F860"/>
      <c r="I860" s="1180"/>
      <c r="J860" s="1180"/>
    </row>
    <row r="861" spans="1:10" ht="15.75" hidden="1" customHeight="1" x14ac:dyDescent="0.3">
      <c r="A861" s="4"/>
      <c r="B861" s="260"/>
      <c r="C861" s="1131"/>
      <c r="D861" s="1329"/>
      <c r="E861" s="1119"/>
      <c r="F861"/>
      <c r="I861" s="1180"/>
      <c r="J861" s="1180"/>
    </row>
    <row r="862" spans="1:10" ht="15.75" hidden="1" customHeight="1" x14ac:dyDescent="0.3">
      <c r="A862" s="4"/>
      <c r="B862" s="260"/>
      <c r="C862" s="1131"/>
      <c r="D862" s="1329"/>
      <c r="E862" s="1119"/>
      <c r="F862"/>
      <c r="I862" s="1180"/>
      <c r="J862" s="1180"/>
    </row>
    <row r="863" spans="1:10" ht="15" hidden="1" customHeight="1" x14ac:dyDescent="0.3">
      <c r="A863" s="4"/>
      <c r="B863" s="614" t="s">
        <v>291</v>
      </c>
      <c r="C863" s="1112"/>
      <c r="D863" s="1305" t="s">
        <v>1010</v>
      </c>
      <c r="E863" s="1119"/>
      <c r="F863"/>
      <c r="I863" s="1180"/>
      <c r="J863" s="1180"/>
    </row>
    <row r="864" spans="1:10" ht="15.75" hidden="1" customHeight="1" x14ac:dyDescent="0.3">
      <c r="A864" s="4"/>
      <c r="B864" s="626"/>
      <c r="C864" s="1113"/>
      <c r="D864" s="1306"/>
      <c r="E864" s="1119"/>
      <c r="F864"/>
      <c r="I864" s="1180"/>
      <c r="J864" s="1180"/>
    </row>
    <row r="865" spans="1:10" ht="15" hidden="1" customHeight="1" x14ac:dyDescent="0.3">
      <c r="A865" s="4"/>
      <c r="B865" s="649" t="s">
        <v>293</v>
      </c>
      <c r="C865" s="1128"/>
      <c r="D865" s="1356" t="s">
        <v>1011</v>
      </c>
      <c r="E865" s="1119"/>
      <c r="F865"/>
      <c r="I865" s="1180"/>
      <c r="J865" s="1180"/>
    </row>
    <row r="866" spans="1:10" ht="15.75" hidden="1" customHeight="1" x14ac:dyDescent="0.3">
      <c r="A866" s="4"/>
      <c r="B866" s="614"/>
      <c r="C866" s="1112"/>
      <c r="D866" s="1305"/>
      <c r="E866" s="1119"/>
      <c r="F866"/>
      <c r="I866" s="1180"/>
      <c r="J866" s="1180"/>
    </row>
    <row r="867" spans="1:10" ht="15.75" hidden="1" customHeight="1" x14ac:dyDescent="0.3">
      <c r="A867" s="4"/>
      <c r="B867" s="626"/>
      <c r="C867" s="1113"/>
      <c r="D867" s="1306"/>
      <c r="E867" s="1119"/>
      <c r="F867"/>
      <c r="I867" s="1180"/>
      <c r="J867" s="1180"/>
    </row>
    <row r="868" spans="1:10" ht="15" hidden="1" customHeight="1" x14ac:dyDescent="0.3">
      <c r="A868" s="4"/>
      <c r="B868" s="649" t="s">
        <v>405</v>
      </c>
      <c r="C868" s="1128"/>
      <c r="D868" s="1356" t="s">
        <v>1012</v>
      </c>
      <c r="E868" s="1119"/>
      <c r="F868"/>
      <c r="I868" s="1180"/>
      <c r="J868" s="1180"/>
    </row>
    <row r="869" spans="1:10" ht="15.75" hidden="1" customHeight="1" x14ac:dyDescent="0.3">
      <c r="A869" s="4"/>
      <c r="B869" s="626"/>
      <c r="C869" s="1113"/>
      <c r="D869" s="1306"/>
      <c r="E869" s="1119"/>
      <c r="F869"/>
      <c r="I869" s="1180"/>
      <c r="J869" s="1180"/>
    </row>
    <row r="870" spans="1:10" ht="15" hidden="1" thickBot="1" x14ac:dyDescent="0.35">
      <c r="A870" s="4"/>
      <c r="B870" s="650" t="s">
        <v>456</v>
      </c>
      <c r="C870" s="365"/>
      <c r="D870" s="365" t="s">
        <v>1013</v>
      </c>
      <c r="E870" s="1119"/>
      <c r="F870"/>
      <c r="I870" s="1180"/>
      <c r="J870" s="1180"/>
    </row>
    <row r="871" spans="1:10" ht="15" hidden="1" thickBot="1" x14ac:dyDescent="0.35">
      <c r="A871" s="4"/>
      <c r="B871" s="650" t="s">
        <v>458</v>
      </c>
      <c r="C871" s="365"/>
      <c r="D871" s="365" t="s">
        <v>1014</v>
      </c>
      <c r="E871" s="1119"/>
      <c r="F871"/>
      <c r="I871" s="1180"/>
      <c r="J871" s="1180"/>
    </row>
    <row r="872" spans="1:10" ht="15" hidden="1" customHeight="1" x14ac:dyDescent="0.3">
      <c r="A872" s="4"/>
      <c r="B872" s="649" t="s">
        <v>460</v>
      </c>
      <c r="C872" s="1128"/>
      <c r="D872" s="1356" t="s">
        <v>1015</v>
      </c>
      <c r="E872" s="1119"/>
      <c r="F872"/>
      <c r="I872" s="1180"/>
      <c r="J872" s="1180"/>
    </row>
    <row r="873" spans="1:10" ht="15.75" hidden="1" customHeight="1" x14ac:dyDescent="0.3">
      <c r="A873" s="4"/>
      <c r="B873" s="614"/>
      <c r="C873" s="1112"/>
      <c r="D873" s="1305"/>
      <c r="E873" s="1119"/>
      <c r="F873"/>
      <c r="I873" s="1180"/>
      <c r="J873" s="1180"/>
    </row>
    <row r="874" spans="1:10" ht="15.75" hidden="1" customHeight="1" x14ac:dyDescent="0.3">
      <c r="A874" s="4"/>
      <c r="B874" s="626"/>
      <c r="C874" s="1113"/>
      <c r="D874" s="1306"/>
      <c r="E874" s="1119"/>
      <c r="F874"/>
      <c r="I874" s="1180"/>
      <c r="J874" s="1180"/>
    </row>
    <row r="875" spans="1:10" ht="15" hidden="1" customHeight="1" x14ac:dyDescent="0.3">
      <c r="A875" s="140"/>
      <c r="B875" s="614" t="s">
        <v>462</v>
      </c>
      <c r="C875" s="1112"/>
      <c r="D875" s="1305" t="s">
        <v>1016</v>
      </c>
      <c r="E875" s="1117"/>
      <c r="F875"/>
      <c r="I875" s="1180"/>
      <c r="J875" s="1180"/>
    </row>
    <row r="876" spans="1:10" ht="15.75" hidden="1" customHeight="1" x14ac:dyDescent="0.3">
      <c r="A876" s="140"/>
      <c r="B876" s="614"/>
      <c r="C876" s="1112"/>
      <c r="D876" s="1305"/>
      <c r="E876" s="1117"/>
      <c r="F876"/>
      <c r="I876" s="1180"/>
      <c r="J876" s="1180"/>
    </row>
    <row r="877" spans="1:10" ht="15.75" hidden="1" customHeight="1" x14ac:dyDescent="0.3">
      <c r="A877" s="238"/>
      <c r="B877" s="626"/>
      <c r="C877" s="1113"/>
      <c r="D877" s="1306"/>
      <c r="E877" s="1118"/>
      <c r="F877"/>
      <c r="I877" s="1180"/>
      <c r="J877" s="1180"/>
    </row>
    <row r="878" spans="1:10" ht="15" hidden="1" customHeight="1" x14ac:dyDescent="0.3">
      <c r="A878" s="215" t="s">
        <v>1018</v>
      </c>
      <c r="B878" s="1128"/>
      <c r="C878" s="1128"/>
      <c r="D878" s="1364" t="s">
        <v>1019</v>
      </c>
      <c r="E878" s="1122"/>
      <c r="F878"/>
      <c r="I878" s="1180"/>
      <c r="J878" s="1180"/>
    </row>
    <row r="879" spans="1:10" ht="15.75" hidden="1" customHeight="1" x14ac:dyDescent="0.3">
      <c r="A879" s="141"/>
      <c r="B879" s="1112"/>
      <c r="C879" s="1112"/>
      <c r="D879" s="1313"/>
      <c r="E879" s="1117"/>
      <c r="F879"/>
      <c r="I879" s="1180"/>
      <c r="J879" s="1180"/>
    </row>
    <row r="880" spans="1:10" ht="15.75" hidden="1" customHeight="1" x14ac:dyDescent="0.3">
      <c r="A880" s="244"/>
      <c r="B880" s="1113"/>
      <c r="C880" s="1113"/>
      <c r="D880" s="1350"/>
      <c r="E880" s="1118"/>
      <c r="F880"/>
      <c r="I880" s="1180"/>
      <c r="J880" s="1180"/>
    </row>
    <row r="881" spans="1:10" ht="15" hidden="1" customHeight="1" x14ac:dyDescent="0.3">
      <c r="A881" s="215" t="s">
        <v>1021</v>
      </c>
      <c r="B881" s="1128"/>
      <c r="C881" s="1128"/>
      <c r="D881" s="1364" t="s">
        <v>1022</v>
      </c>
      <c r="E881" s="1122"/>
      <c r="F881"/>
      <c r="I881" s="1180"/>
      <c r="J881" s="1180"/>
    </row>
    <row r="882" spans="1:10" ht="15.75" hidden="1" customHeight="1" x14ac:dyDescent="0.3">
      <c r="A882" s="140"/>
      <c r="B882" s="1112"/>
      <c r="C882" s="1112"/>
      <c r="D882" s="1313"/>
      <c r="E882" s="1117"/>
      <c r="F882"/>
      <c r="I882" s="1180"/>
      <c r="J882" s="1180"/>
    </row>
    <row r="883" spans="1:10" ht="15.75" hidden="1" customHeight="1" x14ac:dyDescent="0.3">
      <c r="A883" s="140"/>
      <c r="B883" s="1112"/>
      <c r="C883" s="1112"/>
      <c r="D883" s="1313"/>
      <c r="E883" s="1117"/>
      <c r="F883"/>
      <c r="I883" s="1180"/>
      <c r="J883" s="1180"/>
    </row>
    <row r="884" spans="1:10" ht="15.75" hidden="1" customHeight="1" x14ac:dyDescent="0.3">
      <c r="A884" s="140"/>
      <c r="B884" s="1112"/>
      <c r="C884" s="1112"/>
      <c r="D884" s="1313"/>
      <c r="E884" s="1117"/>
      <c r="F884"/>
      <c r="I884" s="1180"/>
      <c r="J884" s="1180"/>
    </row>
    <row r="885" spans="1:10" ht="15.75" hidden="1" customHeight="1" x14ac:dyDescent="0.3">
      <c r="A885" s="140"/>
      <c r="B885" s="1112"/>
      <c r="C885" s="1112"/>
      <c r="D885" s="1313"/>
      <c r="E885" s="1117"/>
      <c r="F885"/>
      <c r="I885" s="1180"/>
      <c r="J885" s="1180"/>
    </row>
    <row r="886" spans="1:10" ht="15.75" hidden="1" customHeight="1" x14ac:dyDescent="0.3">
      <c r="A886" s="238"/>
      <c r="B886" s="1113"/>
      <c r="C886" s="1113"/>
      <c r="D886" s="1350"/>
      <c r="E886" s="1118"/>
      <c r="F886"/>
      <c r="I886" s="1180"/>
      <c r="J886" s="1180"/>
    </row>
    <row r="887" spans="1:10" ht="15" hidden="1" customHeight="1" x14ac:dyDescent="0.3">
      <c r="A887" s="215" t="s">
        <v>1024</v>
      </c>
      <c r="B887" s="1128"/>
      <c r="C887" s="1128"/>
      <c r="D887" s="1364" t="s">
        <v>1025</v>
      </c>
      <c r="E887" s="1122"/>
      <c r="F887"/>
      <c r="I887" s="1180"/>
      <c r="J887" s="1180"/>
    </row>
    <row r="888" spans="1:10" ht="15.75" hidden="1" customHeight="1" x14ac:dyDescent="0.3">
      <c r="A888" s="140"/>
      <c r="B888" s="1112"/>
      <c r="C888" s="1112"/>
      <c r="D888" s="1313"/>
      <c r="E888" s="1117"/>
      <c r="F888"/>
      <c r="I888" s="1180"/>
      <c r="J888" s="1180"/>
    </row>
    <row r="889" spans="1:10" ht="15.75" hidden="1" customHeight="1" x14ac:dyDescent="0.3">
      <c r="A889" s="140"/>
      <c r="B889" s="1112"/>
      <c r="C889" s="1112"/>
      <c r="D889" s="1313"/>
      <c r="E889" s="1117"/>
      <c r="F889"/>
      <c r="I889" s="1180"/>
      <c r="J889" s="1180"/>
    </row>
    <row r="890" spans="1:10" ht="15.75" hidden="1" customHeight="1" x14ac:dyDescent="0.3">
      <c r="A890" s="140"/>
      <c r="B890" s="1112"/>
      <c r="C890" s="1112"/>
      <c r="D890" s="1313"/>
      <c r="E890" s="1117"/>
      <c r="F890"/>
      <c r="I890" s="1180"/>
      <c r="J890" s="1180"/>
    </row>
    <row r="891" spans="1:10" ht="15.75" hidden="1" customHeight="1" x14ac:dyDescent="0.3">
      <c r="A891" s="140"/>
      <c r="B891" s="1112"/>
      <c r="C891" s="1112"/>
      <c r="D891" s="1313"/>
      <c r="E891" s="1117"/>
      <c r="F891"/>
      <c r="I891" s="1180"/>
      <c r="J891" s="1180"/>
    </row>
    <row r="892" spans="1:10" ht="15.75" hidden="1" customHeight="1" x14ac:dyDescent="0.3">
      <c r="A892" s="238"/>
      <c r="B892" s="1113"/>
      <c r="C892" s="1113"/>
      <c r="D892" s="1350"/>
      <c r="E892" s="1118"/>
      <c r="F892"/>
      <c r="I892" s="1180"/>
      <c r="J892" s="1180"/>
    </row>
    <row r="893" spans="1:10" ht="15" hidden="1" customHeight="1" x14ac:dyDescent="0.3">
      <c r="A893" s="66" t="s">
        <v>1026</v>
      </c>
      <c r="B893" s="1131"/>
      <c r="C893" s="1131"/>
      <c r="D893" s="1292" t="s">
        <v>1027</v>
      </c>
      <c r="E893" s="1119"/>
      <c r="F893"/>
      <c r="I893" s="1180"/>
      <c r="J893" s="1180"/>
    </row>
    <row r="894" spans="1:10" ht="15" hidden="1" thickBot="1" x14ac:dyDescent="0.35">
      <c r="A894" s="4"/>
      <c r="B894" s="1131"/>
      <c r="C894" s="1131"/>
      <c r="D894" s="1292"/>
      <c r="E894" s="1119"/>
      <c r="F894"/>
      <c r="I894" s="1180"/>
      <c r="J894" s="1180"/>
    </row>
    <row r="895" spans="1:10" ht="15" hidden="1" customHeight="1" x14ac:dyDescent="0.3">
      <c r="A895" s="4"/>
      <c r="B895" s="614" t="s">
        <v>271</v>
      </c>
      <c r="C895" s="1112"/>
      <c r="D895" s="1305" t="s">
        <v>1028</v>
      </c>
      <c r="E895" s="1119"/>
      <c r="F895"/>
      <c r="I895" s="1180"/>
      <c r="J895" s="1180"/>
    </row>
    <row r="896" spans="1:10" ht="15.75" hidden="1" customHeight="1" x14ac:dyDescent="0.3">
      <c r="A896" s="4"/>
      <c r="B896" s="626"/>
      <c r="C896" s="1113"/>
      <c r="D896" s="1306"/>
      <c r="E896" s="1119"/>
      <c r="F896"/>
      <c r="I896" s="1180"/>
      <c r="J896" s="1180"/>
    </row>
    <row r="897" spans="1:10" ht="15" hidden="1" thickBot="1" x14ac:dyDescent="0.35">
      <c r="A897" s="238"/>
      <c r="B897" s="626" t="s">
        <v>273</v>
      </c>
      <c r="C897" s="1113"/>
      <c r="D897" s="1113" t="s">
        <v>1029</v>
      </c>
      <c r="E897" s="1118"/>
      <c r="F897"/>
      <c r="I897" s="1180"/>
      <c r="J897" s="1180"/>
    </row>
    <row r="898" spans="1:10" ht="15" hidden="1" thickBot="1" x14ac:dyDescent="0.35">
      <c r="A898" s="66" t="s">
        <v>1030</v>
      </c>
      <c r="B898" s="1131"/>
      <c r="C898" s="1131"/>
      <c r="D898" s="1135" t="s">
        <v>1031</v>
      </c>
      <c r="E898" s="1119"/>
      <c r="F898"/>
      <c r="I898" s="1180"/>
      <c r="J898" s="1180"/>
    </row>
    <row r="899" spans="1:10" ht="18.600000000000001" hidden="1" thickBot="1" x14ac:dyDescent="0.4">
      <c r="A899" s="14" t="s">
        <v>1032</v>
      </c>
      <c r="B899" s="87"/>
      <c r="C899" s="87"/>
      <c r="D899" s="87"/>
      <c r="E899" s="594"/>
      <c r="F899"/>
      <c r="I899" s="1180"/>
      <c r="J899" s="1180"/>
    </row>
    <row r="900" spans="1:10" ht="15" hidden="1" customHeight="1" x14ac:dyDescent="0.3">
      <c r="A900" s="141">
        <v>702.1</v>
      </c>
      <c r="B900" s="1112"/>
      <c r="C900" s="1112"/>
      <c r="D900" s="1313" t="s">
        <v>1033</v>
      </c>
      <c r="E900" s="1117"/>
      <c r="F900"/>
      <c r="I900" s="1180"/>
      <c r="J900" s="1180"/>
    </row>
    <row r="901" spans="1:10" ht="15" hidden="1" thickBot="1" x14ac:dyDescent="0.35">
      <c r="A901" s="270"/>
      <c r="B901" s="1127"/>
      <c r="C901" s="1127"/>
      <c r="D901" s="1332"/>
      <c r="E901" s="1120"/>
      <c r="F901"/>
      <c r="I901" s="1180"/>
      <c r="J901" s="1180"/>
    </row>
    <row r="902" spans="1:10" ht="15.6" hidden="1" thickTop="1" thickBot="1" x14ac:dyDescent="0.35">
      <c r="A902" s="200">
        <v>702.2</v>
      </c>
      <c r="B902" s="616"/>
      <c r="C902" s="616"/>
      <c r="D902" s="1146" t="s">
        <v>1034</v>
      </c>
      <c r="E902" s="1126"/>
      <c r="F902"/>
      <c r="I902" s="1180"/>
      <c r="J902" s="1180"/>
    </row>
    <row r="903" spans="1:10" ht="15" hidden="1" customHeight="1" x14ac:dyDescent="0.3">
      <c r="A903" s="606" t="s">
        <v>1035</v>
      </c>
      <c r="B903" s="1112"/>
      <c r="C903" s="1112"/>
      <c r="D903" s="1313" t="s">
        <v>1036</v>
      </c>
      <c r="E903" s="1117"/>
      <c r="F903"/>
      <c r="I903" s="1180"/>
      <c r="J903" s="1180"/>
    </row>
    <row r="904" spans="1:10" ht="15.75" hidden="1" customHeight="1" x14ac:dyDescent="0.3">
      <c r="A904" s="140"/>
      <c r="B904" s="1112"/>
      <c r="C904" s="1112"/>
      <c r="D904" s="1313"/>
      <c r="E904" s="1117"/>
      <c r="F904"/>
      <c r="I904" s="1180"/>
      <c r="J904" s="1180"/>
    </row>
    <row r="905" spans="1:10" ht="15.75" hidden="1" customHeight="1" x14ac:dyDescent="0.3">
      <c r="A905" s="140"/>
      <c r="B905" s="1112"/>
      <c r="C905" s="1112"/>
      <c r="D905" s="1313"/>
      <c r="E905" s="1117"/>
      <c r="F905"/>
      <c r="I905" s="1180"/>
      <c r="J905" s="1180"/>
    </row>
    <row r="906" spans="1:10" ht="15.75" hidden="1" customHeight="1" x14ac:dyDescent="0.3">
      <c r="A906" s="238"/>
      <c r="B906" s="1113"/>
      <c r="C906" s="1113"/>
      <c r="D906" s="1350"/>
      <c r="E906" s="1118"/>
      <c r="F906"/>
      <c r="I906" s="1180"/>
      <c r="J906" s="1180"/>
    </row>
    <row r="907" spans="1:10" ht="15" hidden="1" customHeight="1" x14ac:dyDescent="0.3">
      <c r="A907" s="68" t="s">
        <v>1037</v>
      </c>
      <c r="B907" s="1131"/>
      <c r="C907" s="1131"/>
      <c r="D907" s="1292" t="s">
        <v>1038</v>
      </c>
      <c r="E907" s="1310">
        <f ca="1">'Verification Report'!O907</f>
        <v>0</v>
      </c>
      <c r="F907"/>
      <c r="I907" s="1180"/>
      <c r="J907" s="1180"/>
    </row>
    <row r="908" spans="1:10" ht="15.75" hidden="1" customHeight="1" x14ac:dyDescent="0.3">
      <c r="A908" s="4"/>
      <c r="B908" s="1131"/>
      <c r="C908" s="1131"/>
      <c r="D908" s="1292"/>
      <c r="E908" s="1310">
        <f>'Verification Report'!O908</f>
        <v>0</v>
      </c>
      <c r="F908"/>
      <c r="I908" s="1180"/>
      <c r="J908" s="1180"/>
    </row>
    <row r="909" spans="1:10" ht="15.75" hidden="1" customHeight="1" x14ac:dyDescent="0.3">
      <c r="A909" s="4"/>
      <c r="B909" s="1131"/>
      <c r="C909" s="1131"/>
      <c r="D909" s="1292"/>
      <c r="E909" s="1310">
        <f>'Verification Report'!O909</f>
        <v>0</v>
      </c>
      <c r="F909"/>
      <c r="I909" s="1180"/>
      <c r="J909" s="1180"/>
    </row>
    <row r="910" spans="1:10" ht="15.75" hidden="1" customHeight="1" x14ac:dyDescent="0.3">
      <c r="A910" s="4"/>
      <c r="B910" s="1131"/>
      <c r="C910" s="1131"/>
      <c r="D910" s="1292"/>
      <c r="E910" s="1310">
        <f>'Verification Report'!O910</f>
        <v>0</v>
      </c>
      <c r="F910"/>
      <c r="I910" s="1180"/>
      <c r="J910" s="1180"/>
    </row>
    <row r="911" spans="1:10" ht="15.75" hidden="1" customHeight="1" x14ac:dyDescent="0.3">
      <c r="A911" s="4"/>
      <c r="B911" s="1131"/>
      <c r="C911" s="1131"/>
      <c r="D911" s="1292"/>
      <c r="E911" s="1310">
        <f>'Verification Report'!O911</f>
        <v>0</v>
      </c>
      <c r="F911"/>
      <c r="I911" s="1180"/>
      <c r="J911" s="1180"/>
    </row>
    <row r="912" spans="1:10" ht="15.75" hidden="1" customHeight="1" x14ac:dyDescent="0.3">
      <c r="A912" s="4"/>
      <c r="B912" s="1131"/>
      <c r="C912" s="1131"/>
      <c r="D912" s="1135" t="s">
        <v>1039</v>
      </c>
      <c r="E912" s="1119"/>
      <c r="F912"/>
      <c r="I912" s="1180"/>
      <c r="J912" s="1180"/>
    </row>
    <row r="913" spans="1:10" ht="15" hidden="1" customHeight="1" x14ac:dyDescent="0.3">
      <c r="A913" s="140"/>
      <c r="B913" s="1112"/>
      <c r="C913" s="1112"/>
      <c r="D913" s="1369" t="s">
        <v>3201</v>
      </c>
      <c r="E913" s="1117"/>
      <c r="F913"/>
      <c r="I913" s="1180"/>
      <c r="J913" s="1180"/>
    </row>
    <row r="914" spans="1:10" ht="15.75" hidden="1" customHeight="1" x14ac:dyDescent="0.3">
      <c r="A914" s="140"/>
      <c r="B914" s="1112"/>
      <c r="C914" s="1112"/>
      <c r="D914" s="1369"/>
      <c r="E914" s="1117"/>
      <c r="F914"/>
      <c r="I914" s="1180"/>
      <c r="J914" s="1180"/>
    </row>
    <row r="915" spans="1:10" ht="15.75" hidden="1" customHeight="1" x14ac:dyDescent="0.3">
      <c r="A915" s="238"/>
      <c r="B915" s="1113"/>
      <c r="C915" s="1113"/>
      <c r="D915" s="1370"/>
      <c r="E915" s="1117"/>
      <c r="F915"/>
      <c r="I915" s="1180"/>
      <c r="J915" s="1180"/>
    </row>
    <row r="916" spans="1:10" ht="15" hidden="1" customHeight="1" x14ac:dyDescent="0.3">
      <c r="A916" s="68" t="s">
        <v>1040</v>
      </c>
      <c r="B916" s="1131"/>
      <c r="C916" s="1131"/>
      <c r="D916" s="1292" t="s">
        <v>1041</v>
      </c>
      <c r="E916" s="1119"/>
      <c r="F916"/>
      <c r="I916" s="1180"/>
      <c r="J916" s="1180"/>
    </row>
    <row r="917" spans="1:10" ht="15.75" hidden="1" customHeight="1" x14ac:dyDescent="0.3">
      <c r="A917" s="4"/>
      <c r="B917" s="1131"/>
      <c r="C917" s="1131"/>
      <c r="D917" s="1292"/>
      <c r="E917" s="1119"/>
      <c r="F917"/>
      <c r="I917" s="1180"/>
      <c r="J917" s="1180"/>
    </row>
    <row r="918" spans="1:10" ht="18.600000000000001" hidden="1" thickBot="1" x14ac:dyDescent="0.4">
      <c r="A918" s="14" t="s">
        <v>1042</v>
      </c>
      <c r="B918" s="87"/>
      <c r="C918" s="87"/>
      <c r="D918" s="87"/>
      <c r="E918" s="594"/>
      <c r="F918"/>
      <c r="I918" s="1180"/>
      <c r="J918" s="1180"/>
    </row>
    <row r="919" spans="1:10" ht="15" hidden="1" thickBot="1" x14ac:dyDescent="0.35">
      <c r="A919" s="66">
        <v>703.1</v>
      </c>
      <c r="B919" s="1131"/>
      <c r="C919" s="1131"/>
      <c r="D919" s="1135" t="s">
        <v>1043</v>
      </c>
      <c r="E919" s="1119">
        <f ca="1">'Verification Report'!O919</f>
        <v>0</v>
      </c>
      <c r="F919"/>
      <c r="I919" s="1180"/>
      <c r="J919" s="1180"/>
    </row>
    <row r="920" spans="1:10" ht="15" hidden="1" customHeight="1" x14ac:dyDescent="0.3">
      <c r="A920" s="68" t="s">
        <v>1044</v>
      </c>
      <c r="B920" s="1131"/>
      <c r="C920" s="1131"/>
      <c r="D920" s="1292" t="s">
        <v>1045</v>
      </c>
      <c r="E920" s="1119"/>
      <c r="F920"/>
      <c r="I920" s="1180"/>
      <c r="J920" s="1180"/>
    </row>
    <row r="921" spans="1:10" ht="15.75" hidden="1" customHeight="1" x14ac:dyDescent="0.3">
      <c r="A921" s="4"/>
      <c r="B921" s="1131"/>
      <c r="C921" s="1131"/>
      <c r="D921" s="1292"/>
      <c r="E921" s="1119"/>
      <c r="F921"/>
      <c r="I921" s="1180"/>
      <c r="J921" s="1180"/>
    </row>
    <row r="922" spans="1:10" ht="15.75" hidden="1" customHeight="1" x14ac:dyDescent="0.3">
      <c r="A922" s="238"/>
      <c r="B922" s="1113"/>
      <c r="C922" s="1113"/>
      <c r="D922" s="1134" t="s">
        <v>3202</v>
      </c>
      <c r="E922" s="1119"/>
      <c r="F922"/>
      <c r="I922" s="1180"/>
      <c r="J922" s="1180"/>
    </row>
    <row r="923" spans="1:10" ht="15" hidden="1" customHeight="1" x14ac:dyDescent="0.3">
      <c r="A923" s="630" t="s">
        <v>1047</v>
      </c>
      <c r="B923" s="1128"/>
      <c r="C923" s="1128"/>
      <c r="D923" s="1364" t="s">
        <v>1048</v>
      </c>
      <c r="E923" s="1119"/>
      <c r="F923"/>
      <c r="I923" s="1180"/>
      <c r="J923" s="1180"/>
    </row>
    <row r="924" spans="1:10" ht="15.75" hidden="1" customHeight="1" x14ac:dyDescent="0.3">
      <c r="A924" s="140"/>
      <c r="B924" s="1112"/>
      <c r="C924" s="1112"/>
      <c r="D924" s="1313"/>
      <c r="E924" s="1119"/>
      <c r="F924"/>
      <c r="I924" s="1180"/>
      <c r="J924" s="1180"/>
    </row>
    <row r="925" spans="1:10" ht="15.75" hidden="1" customHeight="1" x14ac:dyDescent="0.3">
      <c r="A925" s="140"/>
      <c r="B925" s="1112"/>
      <c r="C925" s="1112"/>
      <c r="D925" s="1313"/>
      <c r="E925" s="1119"/>
      <c r="F925"/>
      <c r="I925" s="1180"/>
      <c r="J925" s="1180"/>
    </row>
    <row r="926" spans="1:10" ht="15.75" hidden="1" customHeight="1" x14ac:dyDescent="0.3">
      <c r="A926" s="140"/>
      <c r="B926" s="1112"/>
      <c r="C926" s="1112"/>
      <c r="D926" s="1313"/>
      <c r="E926" s="1119"/>
      <c r="F926"/>
      <c r="I926" s="1180"/>
      <c r="J926" s="1180"/>
    </row>
    <row r="927" spans="1:10" ht="15.75" hidden="1" customHeight="1" x14ac:dyDescent="0.3">
      <c r="A927" s="140"/>
      <c r="B927" s="1112"/>
      <c r="C927" s="1112"/>
      <c r="D927" s="1313"/>
      <c r="E927" s="1119"/>
      <c r="F927"/>
      <c r="I927" s="1180"/>
      <c r="J927" s="1180"/>
    </row>
    <row r="928" spans="1:10" ht="15.75" hidden="1" customHeight="1" x14ac:dyDescent="0.3">
      <c r="A928" s="238"/>
      <c r="B928" s="1113"/>
      <c r="C928" s="1113"/>
      <c r="D928" s="1350"/>
      <c r="E928" s="1119"/>
      <c r="F928"/>
      <c r="I928" s="1180"/>
      <c r="J928" s="1180"/>
    </row>
    <row r="929" spans="1:10" ht="15" hidden="1" customHeight="1" x14ac:dyDescent="0.3">
      <c r="A929" s="630" t="s">
        <v>1050</v>
      </c>
      <c r="B929" s="1128"/>
      <c r="C929" s="1128"/>
      <c r="D929" s="1364" t="s">
        <v>1051</v>
      </c>
      <c r="E929" s="1119"/>
      <c r="F929"/>
      <c r="I929" s="1180"/>
      <c r="J929" s="1180"/>
    </row>
    <row r="930" spans="1:10" ht="15.75" hidden="1" customHeight="1" x14ac:dyDescent="0.3">
      <c r="A930" s="140"/>
      <c r="B930" s="1112"/>
      <c r="C930" s="1112"/>
      <c r="D930" s="1313"/>
      <c r="E930" s="1119"/>
      <c r="F930"/>
      <c r="I930" s="1180"/>
      <c r="J930" s="1180"/>
    </row>
    <row r="931" spans="1:10" ht="15.75" hidden="1" customHeight="1" x14ac:dyDescent="0.3">
      <c r="A931" s="140"/>
      <c r="B931" s="1112"/>
      <c r="C931" s="1112"/>
      <c r="D931" s="1313"/>
      <c r="E931" s="1119"/>
      <c r="F931"/>
      <c r="I931" s="1180"/>
      <c r="J931" s="1180"/>
    </row>
    <row r="932" spans="1:10" ht="15.75" hidden="1" customHeight="1" x14ac:dyDescent="0.3">
      <c r="A932" s="238"/>
      <c r="B932" s="1113"/>
      <c r="C932" s="1113"/>
      <c r="D932" s="1350"/>
      <c r="E932" s="1119"/>
      <c r="F932"/>
      <c r="I932" s="1180"/>
      <c r="J932" s="1180"/>
    </row>
    <row r="933" spans="1:10" ht="15" hidden="1" customHeight="1" x14ac:dyDescent="0.3">
      <c r="A933" s="68" t="s">
        <v>1052</v>
      </c>
      <c r="B933" s="1131"/>
      <c r="C933" s="1131"/>
      <c r="D933" s="1292" t="s">
        <v>1053</v>
      </c>
      <c r="E933" s="1119"/>
      <c r="F933"/>
      <c r="I933" s="1180"/>
      <c r="J933" s="1180"/>
    </row>
    <row r="934" spans="1:10" ht="15.75" hidden="1" customHeight="1" x14ac:dyDescent="0.3">
      <c r="A934" s="4"/>
      <c r="B934" s="1131"/>
      <c r="C934" s="1131"/>
      <c r="D934" s="1292"/>
      <c r="E934" s="1119"/>
      <c r="F934"/>
      <c r="I934" s="1180"/>
      <c r="J934" s="1180"/>
    </row>
    <row r="935" spans="1:10" ht="15.75" hidden="1" customHeight="1" x14ac:dyDescent="0.3">
      <c r="A935" s="238"/>
      <c r="B935" s="1113"/>
      <c r="C935" s="1113"/>
      <c r="D935" s="1137" t="s">
        <v>3759</v>
      </c>
      <c r="E935" s="1119"/>
      <c r="F935"/>
      <c r="I935" s="1180"/>
      <c r="J935" s="1180"/>
    </row>
    <row r="936" spans="1:10" ht="15" hidden="1" customHeight="1" x14ac:dyDescent="0.3">
      <c r="A936" s="606" t="s">
        <v>1054</v>
      </c>
      <c r="B936" s="1112"/>
      <c r="C936" s="1112"/>
      <c r="D936" s="1313" t="s">
        <v>1055</v>
      </c>
      <c r="E936" s="1117"/>
      <c r="F936"/>
      <c r="I936" s="1180"/>
      <c r="J936" s="1180"/>
    </row>
    <row r="937" spans="1:10" ht="15.75" hidden="1" customHeight="1" thickBot="1" x14ac:dyDescent="0.35">
      <c r="A937" s="270"/>
      <c r="B937" s="1127"/>
      <c r="C937" s="1127"/>
      <c r="D937" s="1332"/>
      <c r="E937" s="1120"/>
      <c r="F937"/>
      <c r="I937" s="1180"/>
      <c r="J937" s="1180"/>
    </row>
    <row r="938" spans="1:10" ht="15" hidden="1" thickBot="1" x14ac:dyDescent="0.35">
      <c r="A938" s="66">
        <v>703.2</v>
      </c>
      <c r="B938" s="1131"/>
      <c r="C938" s="1131"/>
      <c r="D938" s="1135" t="s">
        <v>1056</v>
      </c>
      <c r="E938" s="1119"/>
      <c r="F938"/>
      <c r="I938" s="1180"/>
      <c r="J938" s="1180"/>
    </row>
    <row r="939" spans="1:10" ht="15" hidden="1" customHeight="1" x14ac:dyDescent="0.3">
      <c r="A939" s="66" t="s">
        <v>1057</v>
      </c>
      <c r="B939" s="1131"/>
      <c r="C939" s="1131"/>
      <c r="D939" s="1292" t="s">
        <v>1058</v>
      </c>
      <c r="E939" s="1310">
        <f>'Verification Report'!O939</f>
        <v>0</v>
      </c>
      <c r="F939"/>
      <c r="I939" s="1180"/>
      <c r="J939" s="1180"/>
    </row>
    <row r="940" spans="1:10" ht="15.75" hidden="1" customHeight="1" x14ac:dyDescent="0.3">
      <c r="A940" s="4"/>
      <c r="B940" s="1131"/>
      <c r="C940" s="1131"/>
      <c r="D940" s="1292"/>
      <c r="E940" s="1310">
        <f>'Verification Report'!O940</f>
        <v>0</v>
      </c>
      <c r="F940"/>
      <c r="I940" s="1180"/>
      <c r="J940" s="1180"/>
    </row>
    <row r="941" spans="1:10" ht="15.75" hidden="1" customHeight="1" x14ac:dyDescent="0.3">
      <c r="A941" s="4"/>
      <c r="B941" s="1131"/>
      <c r="C941" s="1131"/>
      <c r="D941" s="1292"/>
      <c r="E941" s="1310">
        <f>'Verification Report'!O941</f>
        <v>0</v>
      </c>
      <c r="F941"/>
      <c r="I941" s="1180"/>
      <c r="J941" s="1180"/>
    </row>
    <row r="942" spans="1:10" ht="15.75" hidden="1" customHeight="1" x14ac:dyDescent="0.3">
      <c r="A942" s="4"/>
      <c r="B942" s="1131"/>
      <c r="C942" s="1131"/>
      <c r="D942" s="1292"/>
      <c r="E942" s="1310">
        <f>'Verification Report'!O942</f>
        <v>0</v>
      </c>
      <c r="F942"/>
      <c r="I942" s="1180"/>
      <c r="J942" s="1180"/>
    </row>
    <row r="943" spans="1:10" ht="15.75" hidden="1" customHeight="1" x14ac:dyDescent="0.3">
      <c r="A943" s="4"/>
      <c r="B943" s="1131"/>
      <c r="C943" s="1131"/>
      <c r="D943" s="1292"/>
      <c r="E943" s="1310">
        <f>'Verification Report'!O943</f>
        <v>0</v>
      </c>
      <c r="F943"/>
      <c r="I943" s="1180"/>
      <c r="J943" s="1180"/>
    </row>
    <row r="944" spans="1:10" ht="15.75" hidden="1" customHeight="1" x14ac:dyDescent="0.3">
      <c r="A944" s="4"/>
      <c r="B944" s="1131"/>
      <c r="C944" s="1131"/>
      <c r="D944" s="1292"/>
      <c r="E944" s="1310">
        <f>'Verification Report'!O944</f>
        <v>0</v>
      </c>
      <c r="F944"/>
      <c r="I944" s="1180"/>
      <c r="J944" s="1180"/>
    </row>
    <row r="945" spans="1:10" ht="15.75" hidden="1" customHeight="1" x14ac:dyDescent="0.3">
      <c r="A945" s="238"/>
      <c r="B945" s="1113"/>
      <c r="C945" s="1113"/>
      <c r="D945" s="422" t="s">
        <v>3760</v>
      </c>
      <c r="E945" s="1118"/>
      <c r="F945"/>
      <c r="I945" s="1180"/>
      <c r="J945" s="1180"/>
    </row>
    <row r="946" spans="1:10" ht="15" hidden="1" customHeight="1" x14ac:dyDescent="0.3">
      <c r="A946" s="215" t="s">
        <v>1060</v>
      </c>
      <c r="B946" s="1128"/>
      <c r="C946" s="1128"/>
      <c r="D946" s="1364" t="s">
        <v>1061</v>
      </c>
      <c r="E946" s="1324">
        <f>'Verification Report'!O946</f>
        <v>0</v>
      </c>
      <c r="F946"/>
      <c r="I946" s="1180"/>
      <c r="J946" s="1180"/>
    </row>
    <row r="947" spans="1:10" ht="15.75" hidden="1" customHeight="1" x14ac:dyDescent="0.3">
      <c r="A947" s="238"/>
      <c r="B947" s="1113"/>
      <c r="C947" s="1113"/>
      <c r="D947" s="1350"/>
      <c r="E947" s="1309">
        <f>'Verification Report'!O947</f>
        <v>0</v>
      </c>
      <c r="F947"/>
      <c r="I947" s="1180"/>
      <c r="J947" s="1180"/>
    </row>
    <row r="948" spans="1:10" ht="15" hidden="1" customHeight="1" x14ac:dyDescent="0.3">
      <c r="A948" s="215" t="s">
        <v>1063</v>
      </c>
      <c r="B948" s="1128"/>
      <c r="C948" s="1128"/>
      <c r="D948" s="1364" t="s">
        <v>1064</v>
      </c>
      <c r="E948" s="1324">
        <f ca="1">'Verification Report'!O948</f>
        <v>0</v>
      </c>
      <c r="F948"/>
      <c r="I948" s="1180"/>
      <c r="J948" s="1180"/>
    </row>
    <row r="949" spans="1:10" ht="15.75" hidden="1" customHeight="1" x14ac:dyDescent="0.3">
      <c r="A949" s="140"/>
      <c r="B949" s="1112"/>
      <c r="C949" s="1112"/>
      <c r="D949" s="1313"/>
      <c r="E949" s="1308">
        <f>'Verification Report'!O949</f>
        <v>0</v>
      </c>
      <c r="F949"/>
      <c r="I949" s="1180"/>
      <c r="J949" s="1180"/>
    </row>
    <row r="950" spans="1:10" ht="15.75" hidden="1" customHeight="1" x14ac:dyDescent="0.3">
      <c r="A950" s="238"/>
      <c r="B950" s="1113"/>
      <c r="C950" s="1113"/>
      <c r="D950" s="1350"/>
      <c r="E950" s="1309">
        <f>'Verification Report'!O950</f>
        <v>0</v>
      </c>
      <c r="F950"/>
      <c r="I950" s="1180"/>
      <c r="J950" s="1180"/>
    </row>
    <row r="951" spans="1:10" ht="15" hidden="1" customHeight="1" x14ac:dyDescent="0.3">
      <c r="A951" s="215" t="s">
        <v>1065</v>
      </c>
      <c r="B951" s="1128"/>
      <c r="C951" s="1128"/>
      <c r="D951" s="1364" t="s">
        <v>1066</v>
      </c>
      <c r="E951" s="1324">
        <f ca="1">'Verification Report'!O951</f>
        <v>0</v>
      </c>
      <c r="F951"/>
      <c r="I951" s="1180"/>
      <c r="J951" s="1180"/>
    </row>
    <row r="952" spans="1:10" ht="15.75" hidden="1" customHeight="1" x14ac:dyDescent="0.3">
      <c r="A952" s="140"/>
      <c r="B952" s="1112"/>
      <c r="C952" s="1112"/>
      <c r="D952" s="1313"/>
      <c r="E952" s="1308">
        <f>'Verification Report'!O952</f>
        <v>0</v>
      </c>
      <c r="F952"/>
      <c r="I952" s="1180"/>
      <c r="J952" s="1180"/>
    </row>
    <row r="953" spans="1:10" ht="15.75" hidden="1" customHeight="1" x14ac:dyDescent="0.3">
      <c r="A953" s="238"/>
      <c r="B953" s="1113"/>
      <c r="C953" s="1113"/>
      <c r="D953" s="1350"/>
      <c r="E953" s="1309">
        <f>'Verification Report'!O953</f>
        <v>0</v>
      </c>
      <c r="F953"/>
      <c r="I953" s="1180"/>
      <c r="J953" s="1180"/>
    </row>
    <row r="954" spans="1:10" ht="15" hidden="1" thickBot="1" x14ac:dyDescent="0.35">
      <c r="A954" s="68" t="s">
        <v>1068</v>
      </c>
      <c r="B954" s="1131"/>
      <c r="C954" s="1131"/>
      <c r="D954" s="1135" t="s">
        <v>1069</v>
      </c>
      <c r="E954" s="1119"/>
      <c r="F954"/>
      <c r="I954" s="1180"/>
      <c r="J954" s="1180"/>
    </row>
    <row r="955" spans="1:10" ht="15" hidden="1" customHeight="1" x14ac:dyDescent="0.3">
      <c r="A955" s="606" t="s">
        <v>1070</v>
      </c>
      <c r="B955" s="1112"/>
      <c r="C955" s="1112"/>
      <c r="D955" s="1305" t="s">
        <v>1071</v>
      </c>
      <c r="E955" s="1119"/>
      <c r="F955"/>
      <c r="I955" s="1180"/>
      <c r="J955" s="1180"/>
    </row>
    <row r="956" spans="1:10" ht="15.75" hidden="1" customHeight="1" x14ac:dyDescent="0.3">
      <c r="A956" s="140"/>
      <c r="B956" s="1112"/>
      <c r="C956" s="1112"/>
      <c r="D956" s="1305"/>
      <c r="E956" s="1119"/>
      <c r="F956"/>
      <c r="I956" s="1180"/>
      <c r="J956" s="1180"/>
    </row>
    <row r="957" spans="1:10" ht="15.75" hidden="1" customHeight="1" x14ac:dyDescent="0.3">
      <c r="A957" s="140"/>
      <c r="B957" s="1112"/>
      <c r="C957" s="1112"/>
      <c r="D957" s="1305"/>
      <c r="E957" s="1119"/>
      <c r="F957"/>
      <c r="I957" s="1180"/>
      <c r="J957" s="1180"/>
    </row>
    <row r="958" spans="1:10" ht="15.75" hidden="1" customHeight="1" x14ac:dyDescent="0.3">
      <c r="A958" s="140"/>
      <c r="B958" s="1112"/>
      <c r="C958" s="1112"/>
      <c r="D958" s="1305"/>
      <c r="E958" s="1119"/>
      <c r="F958"/>
      <c r="I958" s="1180"/>
      <c r="J958" s="1180"/>
    </row>
    <row r="959" spans="1:10" ht="15.75" hidden="1" customHeight="1" x14ac:dyDescent="0.3">
      <c r="A959" s="140"/>
      <c r="B959" s="1112"/>
      <c r="C959" s="1112"/>
      <c r="D959" s="1305"/>
      <c r="E959" s="1119"/>
      <c r="F959"/>
      <c r="I959" s="1180"/>
      <c r="J959" s="1180"/>
    </row>
    <row r="960" spans="1:10" ht="15.75" hidden="1" customHeight="1" x14ac:dyDescent="0.3">
      <c r="A960" s="140"/>
      <c r="B960" s="1112"/>
      <c r="C960" s="1112"/>
      <c r="D960" s="1305"/>
      <c r="E960" s="1119"/>
      <c r="F960"/>
      <c r="I960" s="1180"/>
      <c r="J960" s="1180"/>
    </row>
    <row r="961" spans="1:10" ht="15.75" hidden="1" customHeight="1" x14ac:dyDescent="0.3">
      <c r="A961" s="238"/>
      <c r="B961" s="1113"/>
      <c r="C961" s="1113"/>
      <c r="D961" s="422" t="s">
        <v>4047</v>
      </c>
      <c r="E961" s="1119"/>
      <c r="F961"/>
      <c r="I961" s="1180"/>
      <c r="J961" s="1180"/>
    </row>
    <row r="962" spans="1:10" ht="15" hidden="1" customHeight="1" x14ac:dyDescent="0.3">
      <c r="A962" s="630" t="s">
        <v>1072</v>
      </c>
      <c r="B962" s="1128"/>
      <c r="C962" s="1128"/>
      <c r="D962" s="1364" t="s">
        <v>1073</v>
      </c>
      <c r="E962" s="1119"/>
      <c r="F962"/>
      <c r="I962" s="1180"/>
      <c r="J962" s="1180"/>
    </row>
    <row r="963" spans="1:10" ht="15.75" hidden="1" customHeight="1" x14ac:dyDescent="0.3">
      <c r="A963" s="140"/>
      <c r="B963" s="1112"/>
      <c r="C963" s="1112"/>
      <c r="D963" s="1313"/>
      <c r="E963" s="1119"/>
      <c r="F963"/>
      <c r="I963" s="1180"/>
      <c r="J963" s="1180"/>
    </row>
    <row r="964" spans="1:10" ht="15.75" hidden="1" customHeight="1" x14ac:dyDescent="0.3">
      <c r="A964" s="140"/>
      <c r="B964" s="1112"/>
      <c r="C964" s="1112"/>
      <c r="D964" s="1313"/>
      <c r="E964" s="1119"/>
      <c r="F964"/>
      <c r="I964" s="1180"/>
      <c r="J964" s="1180"/>
    </row>
    <row r="965" spans="1:10" ht="15.75" hidden="1" customHeight="1" x14ac:dyDescent="0.3">
      <c r="A965" s="140"/>
      <c r="B965" s="1112"/>
      <c r="C965" s="1112"/>
      <c r="D965" s="1313"/>
      <c r="E965" s="1119"/>
      <c r="F965"/>
      <c r="I965" s="1180"/>
      <c r="J965" s="1180"/>
    </row>
    <row r="966" spans="1:10" ht="15.75" hidden="1" customHeight="1" x14ac:dyDescent="0.3">
      <c r="A966" s="140"/>
      <c r="B966" s="1112"/>
      <c r="C966" s="1112"/>
      <c r="D966" s="1313"/>
      <c r="E966" s="1119"/>
      <c r="F966"/>
      <c r="I966" s="1180"/>
      <c r="J966" s="1180"/>
    </row>
    <row r="967" spans="1:10" ht="15.75" hidden="1" customHeight="1" x14ac:dyDescent="0.3">
      <c r="A967" s="140"/>
      <c r="B967" s="1112"/>
      <c r="C967" s="1112"/>
      <c r="D967" s="1313"/>
      <c r="E967" s="1119"/>
      <c r="F967"/>
      <c r="I967" s="1180"/>
      <c r="J967" s="1180"/>
    </row>
    <row r="968" spans="1:10" ht="15.75" hidden="1" customHeight="1" x14ac:dyDescent="0.3">
      <c r="A968" s="140"/>
      <c r="B968" s="1112"/>
      <c r="C968" s="1112"/>
      <c r="D968" s="1313"/>
      <c r="E968" s="1119"/>
      <c r="F968"/>
      <c r="I968" s="1180"/>
      <c r="J968" s="1180"/>
    </row>
    <row r="969" spans="1:10" ht="15.75" hidden="1" customHeight="1" x14ac:dyDescent="0.3">
      <c r="A969" s="238"/>
      <c r="B969" s="1113"/>
      <c r="C969" s="1113"/>
      <c r="D969" s="1350"/>
      <c r="E969" s="1119"/>
      <c r="F969"/>
      <c r="I969" s="1180"/>
      <c r="J969" s="1180"/>
    </row>
    <row r="970" spans="1:10" ht="15" hidden="1" customHeight="1" x14ac:dyDescent="0.3">
      <c r="A970" s="68" t="s">
        <v>1074</v>
      </c>
      <c r="B970" s="1131"/>
      <c r="C970" s="1131"/>
      <c r="D970" s="1292" t="s">
        <v>1075</v>
      </c>
      <c r="E970" s="1310">
        <f ca="1">'Verification Report'!O970</f>
        <v>0</v>
      </c>
      <c r="F970"/>
      <c r="I970" s="1180"/>
      <c r="J970" s="1180"/>
    </row>
    <row r="971" spans="1:10" ht="15.75" hidden="1" customHeight="1" x14ac:dyDescent="0.3">
      <c r="A971" s="4"/>
      <c r="B971" s="1131"/>
      <c r="C971" s="1131"/>
      <c r="D971" s="1292"/>
      <c r="E971" s="1310">
        <f>'Verification Report'!O971</f>
        <v>0</v>
      </c>
      <c r="F971"/>
      <c r="I971" s="1180"/>
      <c r="J971" s="1180"/>
    </row>
    <row r="972" spans="1:10" ht="15.75" hidden="1" customHeight="1" x14ac:dyDescent="0.3">
      <c r="A972" s="4"/>
      <c r="B972" s="1131"/>
      <c r="C972" s="1131"/>
      <c r="D972" s="1292"/>
      <c r="E972" s="1310">
        <f>'Verification Report'!O972</f>
        <v>0</v>
      </c>
      <c r="F972"/>
      <c r="I972" s="1180"/>
      <c r="J972" s="1180"/>
    </row>
    <row r="973" spans="1:10" ht="15.75" hidden="1" customHeight="1" x14ac:dyDescent="0.3">
      <c r="A973" s="4"/>
      <c r="B973" s="1131"/>
      <c r="C973" s="1131"/>
      <c r="D973" s="1292"/>
      <c r="E973" s="1310">
        <f>'Verification Report'!O973</f>
        <v>0</v>
      </c>
      <c r="F973"/>
      <c r="I973" s="1180"/>
      <c r="J973" s="1180"/>
    </row>
    <row r="974" spans="1:10" ht="15.75" hidden="1" customHeight="1" x14ac:dyDescent="0.3">
      <c r="A974" s="4"/>
      <c r="B974" s="1131"/>
      <c r="C974" s="1131"/>
      <c r="D974" s="1292"/>
      <c r="E974" s="1310">
        <f>'Verification Report'!O974</f>
        <v>0</v>
      </c>
      <c r="F974"/>
      <c r="I974" s="1180"/>
      <c r="J974" s="1180"/>
    </row>
    <row r="975" spans="1:10" ht="15.75" hidden="1" customHeight="1" x14ac:dyDescent="0.3">
      <c r="A975" s="4"/>
      <c r="B975" s="1131"/>
      <c r="C975" s="626" t="s">
        <v>121</v>
      </c>
      <c r="D975" s="1116" t="s">
        <v>3705</v>
      </c>
      <c r="E975" s="1119"/>
      <c r="F975"/>
      <c r="I975" s="1180"/>
      <c r="J975" s="1180"/>
    </row>
    <row r="976" spans="1:10" ht="15.75" hidden="1" customHeight="1" x14ac:dyDescent="0.3">
      <c r="A976" s="4"/>
      <c r="B976" s="1131"/>
      <c r="C976" s="626" t="s">
        <v>122</v>
      </c>
      <c r="D976" s="1116" t="s">
        <v>3702</v>
      </c>
      <c r="E976" s="1119"/>
      <c r="F976"/>
      <c r="I976" s="1180"/>
      <c r="J976" s="1180"/>
    </row>
    <row r="977" spans="1:10" ht="15.75" hidden="1" customHeight="1" x14ac:dyDescent="0.3">
      <c r="A977" s="238"/>
      <c r="B977" s="1113"/>
      <c r="C977" s="651" t="s">
        <v>123</v>
      </c>
      <c r="D977" s="364" t="s">
        <v>3701</v>
      </c>
      <c r="E977" s="1119"/>
      <c r="F977"/>
      <c r="I977" s="1180"/>
      <c r="J977" s="1180"/>
    </row>
    <row r="978" spans="1:10" ht="15" hidden="1" customHeight="1" x14ac:dyDescent="0.3">
      <c r="A978" s="606" t="s">
        <v>1076</v>
      </c>
      <c r="B978" s="1112"/>
      <c r="C978" s="97"/>
      <c r="D978" s="1313" t="s">
        <v>1077</v>
      </c>
      <c r="E978" s="1117"/>
      <c r="F978"/>
      <c r="I978" s="1180"/>
      <c r="J978" s="1180"/>
    </row>
    <row r="979" spans="1:10" ht="15.75" hidden="1" customHeight="1" x14ac:dyDescent="0.3">
      <c r="A979" s="140"/>
      <c r="B979" s="1112"/>
      <c r="C979" s="1112"/>
      <c r="D979" s="1313"/>
      <c r="E979" s="1117"/>
      <c r="F979"/>
      <c r="I979" s="1180"/>
      <c r="J979" s="1180"/>
    </row>
    <row r="980" spans="1:10" ht="15.75" hidden="1" customHeight="1" x14ac:dyDescent="0.3">
      <c r="A980" s="140"/>
      <c r="B980" s="1112"/>
      <c r="C980" s="1112"/>
      <c r="D980" s="1313"/>
      <c r="E980" s="1117"/>
      <c r="F980"/>
      <c r="I980" s="1180"/>
      <c r="J980" s="1180"/>
    </row>
    <row r="981" spans="1:10" ht="15.75" hidden="1" customHeight="1" x14ac:dyDescent="0.3">
      <c r="A981" s="140"/>
      <c r="B981" s="1112"/>
      <c r="C981" s="1112"/>
      <c r="D981" s="1313"/>
      <c r="E981" s="1117"/>
      <c r="F981"/>
      <c r="I981" s="1180"/>
      <c r="J981" s="1180"/>
    </row>
    <row r="982" spans="1:10" ht="15.75" hidden="1" customHeight="1" x14ac:dyDescent="0.3">
      <c r="A982" s="140"/>
      <c r="B982" s="1112"/>
      <c r="C982" s="1112"/>
      <c r="D982" s="1313"/>
      <c r="E982" s="1117"/>
      <c r="F982"/>
      <c r="I982" s="1180"/>
      <c r="J982" s="1180"/>
    </row>
    <row r="983" spans="1:10" ht="15.75" hidden="1" customHeight="1" x14ac:dyDescent="0.3">
      <c r="A983" s="140"/>
      <c r="B983" s="1112"/>
      <c r="C983" s="1112"/>
      <c r="D983" s="1313"/>
      <c r="E983" s="1117"/>
      <c r="F983"/>
      <c r="I983" s="1180"/>
      <c r="J983" s="1180"/>
    </row>
    <row r="984" spans="1:10" ht="15.75" hidden="1" customHeight="1" x14ac:dyDescent="0.3">
      <c r="A984" s="140"/>
      <c r="B984" s="1112"/>
      <c r="C984" s="1112"/>
      <c r="D984" s="1313"/>
      <c r="E984" s="1117"/>
      <c r="F984"/>
      <c r="I984" s="1180"/>
      <c r="J984" s="1180"/>
    </row>
    <row r="985" spans="1:10" ht="15.75" hidden="1" customHeight="1" thickBot="1" x14ac:dyDescent="0.35">
      <c r="A985" s="270"/>
      <c r="B985" s="1127"/>
      <c r="C985" s="1127"/>
      <c r="D985" s="1332"/>
      <c r="E985" s="1120"/>
      <c r="F985"/>
      <c r="I985" s="1180"/>
      <c r="J985" s="1180"/>
    </row>
    <row r="986" spans="1:10" ht="15" hidden="1" thickBot="1" x14ac:dyDescent="0.35">
      <c r="A986" s="27">
        <v>703.3</v>
      </c>
      <c r="B986" s="1131"/>
      <c r="C986" s="1131"/>
      <c r="D986" s="1135" t="s">
        <v>1079</v>
      </c>
      <c r="E986" s="1119"/>
      <c r="F986"/>
      <c r="I986" s="1180"/>
      <c r="J986" s="1180"/>
    </row>
    <row r="987" spans="1:10" ht="15" hidden="1" customHeight="1" x14ac:dyDescent="0.3">
      <c r="A987" s="68" t="s">
        <v>1078</v>
      </c>
      <c r="B987" s="1131"/>
      <c r="C987" s="1131"/>
      <c r="D987" s="1292" t="s">
        <v>1080</v>
      </c>
      <c r="E987" s="1119"/>
      <c r="F987"/>
      <c r="I987" s="1180"/>
      <c r="J987" s="1180"/>
    </row>
    <row r="988" spans="1:10" ht="15.75" hidden="1" customHeight="1" x14ac:dyDescent="0.3">
      <c r="A988" s="4"/>
      <c r="B988" s="1131"/>
      <c r="C988" s="1131"/>
      <c r="D988" s="1292"/>
      <c r="E988" s="1119"/>
      <c r="F988"/>
      <c r="I988" s="1180"/>
      <c r="J988" s="1180"/>
    </row>
    <row r="989" spans="1:10" ht="15.75" hidden="1" customHeight="1" x14ac:dyDescent="0.3">
      <c r="A989" s="4"/>
      <c r="B989" s="1131"/>
      <c r="C989" s="1131"/>
      <c r="D989" s="1292"/>
      <c r="E989" s="1119"/>
      <c r="F989"/>
      <c r="I989" s="1180"/>
      <c r="J989" s="1180"/>
    </row>
    <row r="990" spans="1:10" ht="15.75" hidden="1" customHeight="1" x14ac:dyDescent="0.3">
      <c r="A990" s="4"/>
      <c r="B990" s="1131"/>
      <c r="C990" s="1131"/>
      <c r="D990" s="1292"/>
      <c r="E990" s="1119"/>
      <c r="F990"/>
      <c r="I990" s="1180"/>
      <c r="J990" s="1180"/>
    </row>
    <row r="991" spans="1:10" ht="15.75" hidden="1" customHeight="1" x14ac:dyDescent="0.3">
      <c r="A991" s="4"/>
      <c r="B991" s="1131"/>
      <c r="C991" s="1131"/>
      <c r="D991" s="1292"/>
      <c r="E991" s="1119"/>
      <c r="F991"/>
      <c r="I991" s="1180"/>
      <c r="J991" s="1180"/>
    </row>
    <row r="992" spans="1:10" ht="15.75" hidden="1" customHeight="1" x14ac:dyDescent="0.3">
      <c r="A992" s="4"/>
      <c r="B992" s="1131"/>
      <c r="C992" s="1131"/>
      <c r="D992" s="1292"/>
      <c r="E992" s="1119"/>
      <c r="F992"/>
      <c r="I992" s="1180"/>
      <c r="J992" s="1180"/>
    </row>
    <row r="993" spans="1:10" ht="15.75" hidden="1" customHeight="1" x14ac:dyDescent="0.3">
      <c r="A993" s="4"/>
      <c r="B993" s="1131"/>
      <c r="C993" s="1131"/>
      <c r="D993" s="1292"/>
      <c r="E993" s="1119"/>
      <c r="F993"/>
      <c r="I993" s="1180"/>
      <c r="J993" s="1180"/>
    </row>
    <row r="994" spans="1:10" ht="15.75" hidden="1" customHeight="1" x14ac:dyDescent="0.3">
      <c r="A994" s="4"/>
      <c r="B994" s="1131"/>
      <c r="C994" s="1131"/>
      <c r="D994" s="1292"/>
      <c r="E994" s="1119"/>
      <c r="F994"/>
      <c r="I994" s="1180"/>
      <c r="J994" s="1180"/>
    </row>
    <row r="995" spans="1:10" ht="15" hidden="1" customHeight="1" x14ac:dyDescent="0.3">
      <c r="A995" s="4"/>
      <c r="B995" s="1131"/>
      <c r="C995" s="1131"/>
      <c r="D995" s="1399" t="s">
        <v>1300</v>
      </c>
      <c r="E995" s="1119"/>
      <c r="F995"/>
      <c r="I995" s="1180"/>
      <c r="J995" s="1180"/>
    </row>
    <row r="996" spans="1:10" ht="15.75" hidden="1" customHeight="1" x14ac:dyDescent="0.3">
      <c r="A996" s="4"/>
      <c r="B996" s="1131"/>
      <c r="C996" s="1131"/>
      <c r="D996" s="1399"/>
      <c r="E996" s="1119"/>
      <c r="F996"/>
      <c r="I996" s="1180"/>
      <c r="J996" s="1180"/>
    </row>
    <row r="997" spans="1:10" ht="15.75" hidden="1" customHeight="1" x14ac:dyDescent="0.3">
      <c r="A997" s="4"/>
      <c r="B997" s="1131"/>
      <c r="C997" s="1131"/>
      <c r="D997" s="1142" t="s">
        <v>1081</v>
      </c>
      <c r="E997" s="1119"/>
      <c r="F997"/>
      <c r="I997" s="1180"/>
      <c r="J997" s="1180"/>
    </row>
    <row r="998" spans="1:10" ht="15.75" hidden="1" customHeight="1" x14ac:dyDescent="0.3">
      <c r="A998" s="140"/>
      <c r="B998" s="1112"/>
      <c r="C998" s="1112"/>
      <c r="D998" s="638" t="s">
        <v>1082</v>
      </c>
      <c r="E998" s="1119"/>
      <c r="F998"/>
      <c r="I998" s="1180"/>
      <c r="J998" s="1180"/>
    </row>
    <row r="999" spans="1:10" ht="15.75" hidden="1" customHeight="1" x14ac:dyDescent="0.3">
      <c r="A999" s="238"/>
      <c r="B999" s="1113"/>
      <c r="C999" s="1113"/>
      <c r="D999" s="639" t="s">
        <v>1083</v>
      </c>
      <c r="E999" s="1119"/>
      <c r="F999"/>
      <c r="I999" s="1180"/>
      <c r="J999" s="1180"/>
    </row>
    <row r="1000" spans="1:10" ht="15" hidden="1" customHeight="1" x14ac:dyDescent="0.3">
      <c r="A1000" s="606" t="s">
        <v>1084</v>
      </c>
      <c r="B1000" s="1112"/>
      <c r="C1000" s="1112"/>
      <c r="D1000" s="1313" t="s">
        <v>1085</v>
      </c>
      <c r="E1000" s="1308">
        <f ca="1">'Verification Report'!O1000</f>
        <v>0</v>
      </c>
      <c r="F1000"/>
      <c r="I1000" s="1180"/>
      <c r="J1000" s="1180"/>
    </row>
    <row r="1001" spans="1:10" ht="15.75" hidden="1" customHeight="1" x14ac:dyDescent="0.3">
      <c r="A1001" s="140"/>
      <c r="B1001" s="1112"/>
      <c r="C1001" s="1112"/>
      <c r="D1001" s="1313"/>
      <c r="E1001" s="1308">
        <f>'Verification Report'!O1001</f>
        <v>0</v>
      </c>
      <c r="F1001"/>
      <c r="I1001" s="1180"/>
      <c r="J1001" s="1180"/>
    </row>
    <row r="1002" spans="1:10" ht="15.75" hidden="1" customHeight="1" x14ac:dyDescent="0.3">
      <c r="A1002" s="140"/>
      <c r="B1002" s="1112"/>
      <c r="C1002" s="1112"/>
      <c r="D1002" s="1313"/>
      <c r="E1002" s="1308">
        <f>'Verification Report'!O1002</f>
        <v>0</v>
      </c>
      <c r="F1002"/>
      <c r="I1002" s="1180"/>
      <c r="J1002" s="1180"/>
    </row>
    <row r="1003" spans="1:10" ht="15.75" hidden="1" customHeight="1" x14ac:dyDescent="0.3">
      <c r="A1003" s="140"/>
      <c r="B1003" s="1112"/>
      <c r="C1003" s="1112"/>
      <c r="D1003" s="1313"/>
      <c r="E1003" s="1308">
        <f>'Verification Report'!O1003</f>
        <v>0</v>
      </c>
      <c r="F1003"/>
      <c r="I1003" s="1180"/>
      <c r="J1003" s="1180"/>
    </row>
    <row r="1004" spans="1:10" ht="15.75" hidden="1" customHeight="1" x14ac:dyDescent="0.3">
      <c r="A1004" s="238"/>
      <c r="B1004" s="1113"/>
      <c r="C1004" s="1113"/>
      <c r="D1004" s="1350"/>
      <c r="E1004" s="1309">
        <f>'Verification Report'!O1004</f>
        <v>0</v>
      </c>
      <c r="F1004"/>
      <c r="I1004" s="1180"/>
      <c r="J1004" s="1180"/>
    </row>
    <row r="1005" spans="1:10" ht="15" hidden="1" thickBot="1" x14ac:dyDescent="0.35">
      <c r="A1005" s="68" t="s">
        <v>1086</v>
      </c>
      <c r="B1005" s="1131"/>
      <c r="C1005" s="1131"/>
      <c r="D1005" s="1135" t="s">
        <v>1087</v>
      </c>
      <c r="E1005" s="1119"/>
      <c r="F1005"/>
      <c r="I1005" s="1180"/>
      <c r="J1005" s="1180"/>
    </row>
    <row r="1006" spans="1:10" ht="15.75" hidden="1" customHeight="1" x14ac:dyDescent="0.3">
      <c r="A1006" s="4"/>
      <c r="B1006" s="260" t="s">
        <v>271</v>
      </c>
      <c r="C1006" s="1131"/>
      <c r="D1006" s="1131" t="s">
        <v>1088</v>
      </c>
      <c r="E1006" s="1119">
        <f ca="1">'Verification Report'!O1006</f>
        <v>0</v>
      </c>
      <c r="F1006"/>
      <c r="I1006" s="1180"/>
      <c r="J1006" s="1180"/>
    </row>
    <row r="1007" spans="1:10" ht="15.75" hidden="1" customHeight="1" x14ac:dyDescent="0.3">
      <c r="A1007" s="4"/>
      <c r="B1007" s="260"/>
      <c r="C1007" s="1131"/>
      <c r="D1007" s="1131" t="s">
        <v>4038</v>
      </c>
      <c r="E1007" s="1119"/>
      <c r="F1007"/>
      <c r="I1007" s="1180"/>
      <c r="J1007" s="1180"/>
    </row>
    <row r="1008" spans="1:10" ht="15.75" hidden="1" customHeight="1" x14ac:dyDescent="0.3">
      <c r="A1008" s="4"/>
      <c r="B1008" s="260"/>
      <c r="C1008" s="1131"/>
      <c r="D1008" s="1131" t="s">
        <v>4039</v>
      </c>
      <c r="E1008" s="1119"/>
      <c r="F1008"/>
      <c r="I1008" s="1180"/>
      <c r="J1008" s="1180"/>
    </row>
    <row r="1009" spans="1:10" ht="15.75" hidden="1" customHeight="1" x14ac:dyDescent="0.3">
      <c r="A1009" s="4"/>
      <c r="B1009" s="260"/>
      <c r="C1009" s="1131"/>
      <c r="D1009" s="1131" t="s">
        <v>4040</v>
      </c>
      <c r="E1009" s="1119"/>
      <c r="F1009"/>
      <c r="I1009" s="1180"/>
      <c r="J1009" s="1180"/>
    </row>
    <row r="1010" spans="1:10" ht="15.75" hidden="1" customHeight="1" x14ac:dyDescent="0.3">
      <c r="A1010" s="4"/>
      <c r="B1010" s="260"/>
      <c r="C1010" s="1131"/>
      <c r="D1010" s="1131" t="s">
        <v>4041</v>
      </c>
      <c r="E1010" s="1119"/>
      <c r="F1010"/>
      <c r="I1010" s="1180"/>
      <c r="J1010" s="1180"/>
    </row>
    <row r="1011" spans="1:10" ht="15.75" hidden="1" customHeight="1" x14ac:dyDescent="0.3">
      <c r="A1011" s="4"/>
      <c r="B1011" s="1113"/>
      <c r="C1011" s="1113"/>
      <c r="D1011" s="1113" t="s">
        <v>4042</v>
      </c>
      <c r="E1011" s="1118"/>
      <c r="F1011"/>
      <c r="I1011" s="1180"/>
      <c r="J1011" s="1180"/>
    </row>
    <row r="1012" spans="1:10" ht="15.75" hidden="1" customHeight="1" x14ac:dyDescent="0.3">
      <c r="A1012" s="4"/>
      <c r="B1012" s="260" t="s">
        <v>273</v>
      </c>
      <c r="C1012" s="1131"/>
      <c r="D1012" s="1131" t="s">
        <v>1089</v>
      </c>
      <c r="E1012" s="1119">
        <f ca="1">'Verification Report'!O1012</f>
        <v>0</v>
      </c>
      <c r="F1012"/>
      <c r="I1012" s="1180"/>
      <c r="J1012" s="1180"/>
    </row>
    <row r="1013" spans="1:10" ht="15.75" hidden="1" customHeight="1" x14ac:dyDescent="0.3">
      <c r="A1013" s="4"/>
      <c r="B1013" s="260"/>
      <c r="C1013" s="1131"/>
      <c r="D1013" s="1131" t="s">
        <v>4043</v>
      </c>
      <c r="E1013" s="1119"/>
      <c r="F1013"/>
      <c r="I1013" s="1180"/>
      <c r="J1013" s="1180"/>
    </row>
    <row r="1014" spans="1:10" ht="15.75" hidden="1" customHeight="1" x14ac:dyDescent="0.3">
      <c r="A1014" s="4"/>
      <c r="B1014" s="1113"/>
      <c r="C1014" s="1113"/>
      <c r="D1014" s="1113" t="s">
        <v>4038</v>
      </c>
      <c r="E1014" s="1118"/>
      <c r="F1014"/>
      <c r="I1014" s="1180"/>
      <c r="J1014" s="1180"/>
    </row>
    <row r="1015" spans="1:10" ht="15.75" hidden="1" customHeight="1" x14ac:dyDescent="0.3">
      <c r="A1015" s="4"/>
      <c r="B1015" s="260" t="s">
        <v>275</v>
      </c>
      <c r="C1015" s="1131"/>
      <c r="D1015" s="1131" t="s">
        <v>1090</v>
      </c>
      <c r="E1015" s="1119">
        <f ca="1">'Verification Report'!O1015</f>
        <v>0</v>
      </c>
      <c r="F1015"/>
      <c r="I1015" s="1180"/>
      <c r="J1015" s="1180"/>
    </row>
    <row r="1016" spans="1:10" ht="15.75" hidden="1" customHeight="1" x14ac:dyDescent="0.3">
      <c r="A1016" s="4"/>
      <c r="B1016" s="260"/>
      <c r="C1016" s="1131"/>
      <c r="D1016" s="1131" t="s">
        <v>4043</v>
      </c>
      <c r="E1016" s="1119"/>
      <c r="F1016"/>
      <c r="I1016" s="1180"/>
      <c r="J1016" s="1180"/>
    </row>
    <row r="1017" spans="1:10" ht="15.75" hidden="1" customHeight="1" x14ac:dyDescent="0.3">
      <c r="A1017" s="4"/>
      <c r="B1017" s="260"/>
      <c r="C1017" s="1131"/>
      <c r="D1017" s="1131" t="s">
        <v>4038</v>
      </c>
      <c r="E1017" s="1119"/>
      <c r="F1017"/>
      <c r="I1017" s="1180"/>
      <c r="J1017" s="1180"/>
    </row>
    <row r="1018" spans="1:10" ht="15.75" hidden="1" customHeight="1" x14ac:dyDescent="0.3">
      <c r="A1018" s="4"/>
      <c r="B1018" s="260"/>
      <c r="C1018" s="1131"/>
      <c r="D1018" s="1131" t="s">
        <v>4040</v>
      </c>
      <c r="E1018" s="1119"/>
      <c r="F1018"/>
      <c r="I1018" s="1180"/>
      <c r="J1018" s="1180"/>
    </row>
    <row r="1019" spans="1:10" ht="15.75" hidden="1" customHeight="1" x14ac:dyDescent="0.3">
      <c r="A1019" s="4"/>
      <c r="B1019" s="1113"/>
      <c r="C1019" s="1113"/>
      <c r="D1019" s="1113" t="s">
        <v>4041</v>
      </c>
      <c r="E1019" s="1118"/>
      <c r="F1019"/>
      <c r="I1019" s="1180"/>
      <c r="J1019" s="1180"/>
    </row>
    <row r="1020" spans="1:10" ht="15.75" hidden="1" customHeight="1" x14ac:dyDescent="0.3">
      <c r="A1020" s="4"/>
      <c r="B1020" s="260" t="s">
        <v>285</v>
      </c>
      <c r="C1020" s="1131"/>
      <c r="D1020" s="1131" t="s">
        <v>1091</v>
      </c>
      <c r="E1020" s="1119">
        <f ca="1">'Verification Report'!O1020</f>
        <v>0</v>
      </c>
      <c r="F1020"/>
      <c r="I1020" s="1180"/>
      <c r="J1020" s="1180"/>
    </row>
    <row r="1021" spans="1:10" ht="15.75" hidden="1" customHeight="1" x14ac:dyDescent="0.3">
      <c r="A1021" s="4"/>
      <c r="B1021" s="260"/>
      <c r="C1021" s="1131"/>
      <c r="D1021" s="1131" t="s">
        <v>4043</v>
      </c>
      <c r="E1021" s="1119"/>
      <c r="F1021"/>
      <c r="I1021" s="1180"/>
      <c r="J1021" s="1180"/>
    </row>
    <row r="1022" spans="1:10" ht="15.75" hidden="1" customHeight="1" x14ac:dyDescent="0.3">
      <c r="A1022" s="238"/>
      <c r="B1022" s="1113"/>
      <c r="C1022" s="1113"/>
      <c r="D1022" s="1113" t="s">
        <v>4038</v>
      </c>
      <c r="E1022" s="1119"/>
      <c r="F1022"/>
      <c r="I1022" s="1180"/>
      <c r="J1022" s="1180"/>
    </row>
    <row r="1023" spans="1:10" ht="15" hidden="1" customHeight="1" x14ac:dyDescent="0.3">
      <c r="A1023" s="68" t="s">
        <v>1092</v>
      </c>
      <c r="B1023" s="1131"/>
      <c r="C1023" s="1131"/>
      <c r="D1023" s="1292" t="s">
        <v>1093</v>
      </c>
      <c r="E1023" s="1119"/>
      <c r="F1023"/>
      <c r="I1023" s="1180"/>
      <c r="J1023" s="1180"/>
    </row>
    <row r="1024" spans="1:10" ht="15" hidden="1" thickBot="1" x14ac:dyDescent="0.35">
      <c r="A1024" s="4"/>
      <c r="B1024" s="1131"/>
      <c r="C1024" s="1131"/>
      <c r="D1024" s="1292"/>
      <c r="E1024" s="1119"/>
      <c r="F1024"/>
      <c r="I1024" s="1180"/>
      <c r="J1024" s="1180"/>
    </row>
    <row r="1025" spans="1:10" ht="15" hidden="1" thickBot="1" x14ac:dyDescent="0.35">
      <c r="A1025" s="4"/>
      <c r="B1025" s="1131"/>
      <c r="C1025" s="1131"/>
      <c r="D1025" s="1292"/>
      <c r="E1025" s="1119"/>
      <c r="F1025"/>
      <c r="I1025" s="1180"/>
      <c r="J1025" s="1180"/>
    </row>
    <row r="1026" spans="1:10" ht="15.75" hidden="1" customHeight="1" x14ac:dyDescent="0.3">
      <c r="A1026" s="4"/>
      <c r="B1026" s="260" t="s">
        <v>271</v>
      </c>
      <c r="C1026" s="1131"/>
      <c r="D1026" s="1124" t="s">
        <v>3706</v>
      </c>
      <c r="E1026" s="1119">
        <f ca="1">'Verification Report'!O1026</f>
        <v>0</v>
      </c>
      <c r="F1026"/>
      <c r="I1026" s="1180"/>
      <c r="J1026" s="1180"/>
    </row>
    <row r="1027" spans="1:10" ht="15.75" hidden="1" customHeight="1" x14ac:dyDescent="0.3">
      <c r="A1027" s="4"/>
      <c r="B1027" s="260"/>
      <c r="C1027" s="1131"/>
      <c r="D1027" s="1131" t="s">
        <v>4054</v>
      </c>
      <c r="E1027" s="1119"/>
      <c r="F1027"/>
      <c r="I1027" s="1180"/>
      <c r="J1027" s="1180"/>
    </row>
    <row r="1028" spans="1:10" ht="15.75" hidden="1" customHeight="1" x14ac:dyDescent="0.3">
      <c r="A1028" s="4"/>
      <c r="B1028" s="260"/>
      <c r="C1028" s="1131"/>
      <c r="D1028" s="1131" t="s">
        <v>4055</v>
      </c>
      <c r="E1028" s="1119"/>
      <c r="F1028"/>
      <c r="I1028" s="1180"/>
      <c r="J1028" s="1180"/>
    </row>
    <row r="1029" spans="1:10" ht="15.75" hidden="1" customHeight="1" x14ac:dyDescent="0.3">
      <c r="A1029" s="4"/>
      <c r="B1029" s="260"/>
      <c r="C1029" s="1131"/>
      <c r="D1029" s="1131" t="s">
        <v>4056</v>
      </c>
      <c r="E1029" s="1119"/>
      <c r="F1029"/>
      <c r="I1029" s="1180"/>
      <c r="J1029" s="1180"/>
    </row>
    <row r="1030" spans="1:10" ht="15.75" hidden="1" customHeight="1" x14ac:dyDescent="0.3">
      <c r="A1030" s="4"/>
      <c r="B1030" s="626"/>
      <c r="C1030" s="1113"/>
      <c r="D1030" s="1113" t="s">
        <v>4057</v>
      </c>
      <c r="E1030" s="1118"/>
      <c r="F1030"/>
      <c r="I1030" s="1180"/>
      <c r="J1030" s="1180"/>
    </row>
    <row r="1031" spans="1:10" ht="15" hidden="1" thickBot="1" x14ac:dyDescent="0.35">
      <c r="A1031" s="238"/>
      <c r="B1031" s="626" t="s">
        <v>275</v>
      </c>
      <c r="C1031" s="1113"/>
      <c r="D1031" s="1116" t="s">
        <v>4058</v>
      </c>
      <c r="E1031" s="1118">
        <f ca="1">'Verification Report'!O1031</f>
        <v>0</v>
      </c>
      <c r="F1031"/>
      <c r="I1031" s="1180"/>
      <c r="J1031" s="1180"/>
    </row>
    <row r="1032" spans="1:10" ht="15" hidden="1" customHeight="1" x14ac:dyDescent="0.3">
      <c r="A1032" s="68" t="s">
        <v>1094</v>
      </c>
      <c r="B1032" s="1131"/>
      <c r="C1032" s="1131"/>
      <c r="D1032" s="1389" t="s">
        <v>1095</v>
      </c>
      <c r="E1032" s="1119"/>
      <c r="F1032"/>
      <c r="I1032" s="1180"/>
      <c r="J1032" s="1180"/>
    </row>
    <row r="1033" spans="1:10" ht="15" hidden="1" thickBot="1" x14ac:dyDescent="0.35">
      <c r="A1033" s="4"/>
      <c r="B1033" s="1131"/>
      <c r="C1033" s="1131"/>
      <c r="D1033" s="1389"/>
      <c r="E1033" s="1119"/>
      <c r="F1033"/>
      <c r="I1033" s="1180"/>
      <c r="J1033" s="1180"/>
    </row>
    <row r="1034" spans="1:10" ht="15" hidden="1" thickBot="1" x14ac:dyDescent="0.35">
      <c r="A1034" s="4"/>
      <c r="B1034" s="1131"/>
      <c r="C1034" s="1131"/>
      <c r="D1034" s="1389"/>
      <c r="E1034" s="1119"/>
      <c r="F1034"/>
      <c r="I1034" s="1180"/>
      <c r="J1034" s="1180"/>
    </row>
    <row r="1035" spans="1:10" ht="15.75" hidden="1" customHeight="1" x14ac:dyDescent="0.3">
      <c r="A1035" s="4"/>
      <c r="B1035" s="260" t="s">
        <v>271</v>
      </c>
      <c r="C1035" s="1131"/>
      <c r="D1035" s="1124" t="s">
        <v>4067</v>
      </c>
      <c r="E1035" s="1119">
        <f ca="1">'Verification Report'!O1035</f>
        <v>0</v>
      </c>
      <c r="F1035"/>
      <c r="I1035" s="1180"/>
      <c r="J1035" s="1180"/>
    </row>
    <row r="1036" spans="1:10" ht="15.75" hidden="1" customHeight="1" x14ac:dyDescent="0.3">
      <c r="A1036" s="4"/>
      <c r="B1036" s="260"/>
      <c r="C1036" s="1131"/>
      <c r="D1036" s="1131" t="s">
        <v>4061</v>
      </c>
      <c r="E1036" s="1119"/>
      <c r="F1036"/>
      <c r="I1036" s="1180"/>
      <c r="J1036" s="1180"/>
    </row>
    <row r="1037" spans="1:10" ht="15.75" hidden="1" customHeight="1" x14ac:dyDescent="0.3">
      <c r="A1037" s="4"/>
      <c r="B1037" s="260"/>
      <c r="C1037" s="1131"/>
      <c r="D1037" s="1131" t="s">
        <v>4062</v>
      </c>
      <c r="E1037" s="1119"/>
      <c r="F1037"/>
      <c r="I1037" s="1180"/>
      <c r="J1037" s="1180"/>
    </row>
    <row r="1038" spans="1:10" ht="15.75" hidden="1" customHeight="1" x14ac:dyDescent="0.3">
      <c r="A1038" s="4"/>
      <c r="B1038" s="260"/>
      <c r="C1038" s="1131"/>
      <c r="D1038" s="1131" t="s">
        <v>4063</v>
      </c>
      <c r="E1038" s="1119"/>
      <c r="F1038"/>
      <c r="I1038" s="1180"/>
      <c r="J1038" s="1180"/>
    </row>
    <row r="1039" spans="1:10" ht="15.75" hidden="1" customHeight="1" x14ac:dyDescent="0.3">
      <c r="A1039" s="4"/>
      <c r="B1039" s="260"/>
      <c r="C1039" s="1131"/>
      <c r="D1039" s="1131" t="s">
        <v>4064</v>
      </c>
      <c r="E1039" s="1119"/>
      <c r="F1039"/>
      <c r="I1039" s="1180"/>
      <c r="J1039" s="1180"/>
    </row>
    <row r="1040" spans="1:10" ht="15" hidden="1" customHeight="1" x14ac:dyDescent="0.3">
      <c r="A1040" s="4"/>
      <c r="B1040" s="97"/>
      <c r="C1040" s="614" t="s">
        <v>4066</v>
      </c>
      <c r="D1040" s="1293" t="s">
        <v>4065</v>
      </c>
      <c r="E1040" s="1308">
        <f ca="1">'Verification Report'!O1040</f>
        <v>0</v>
      </c>
      <c r="F1040"/>
      <c r="I1040" s="1180"/>
      <c r="J1040" s="1180"/>
    </row>
    <row r="1041" spans="1:10" ht="15.75" hidden="1" customHeight="1" x14ac:dyDescent="0.3">
      <c r="A1041" s="4"/>
      <c r="B1041" s="626"/>
      <c r="C1041" s="1113"/>
      <c r="D1041" s="1294"/>
      <c r="E1041" s="1309">
        <f>'Verification Report'!O1041</f>
        <v>0</v>
      </c>
      <c r="F1041"/>
      <c r="I1041" s="1180"/>
      <c r="J1041" s="1180"/>
    </row>
    <row r="1042" spans="1:10" ht="15" hidden="1" thickBot="1" x14ac:dyDescent="0.35">
      <c r="A1042" s="238"/>
      <c r="B1042" s="626" t="s">
        <v>273</v>
      </c>
      <c r="C1042" s="1113"/>
      <c r="D1042" s="1116" t="s">
        <v>4068</v>
      </c>
      <c r="E1042" s="1118">
        <f ca="1">'Verification Report'!O1042</f>
        <v>0</v>
      </c>
      <c r="F1042"/>
      <c r="I1042" s="1180"/>
      <c r="J1042" s="1180"/>
    </row>
    <row r="1043" spans="1:10" ht="15" hidden="1" customHeight="1" x14ac:dyDescent="0.3">
      <c r="A1043" s="630" t="s">
        <v>1096</v>
      </c>
      <c r="B1043" s="1128"/>
      <c r="C1043" s="1128"/>
      <c r="D1043" s="1364" t="s">
        <v>1097</v>
      </c>
      <c r="E1043" s="1324">
        <f ca="1">'Verification Report'!O1043</f>
        <v>0</v>
      </c>
      <c r="F1043"/>
      <c r="I1043" s="1180"/>
      <c r="J1043" s="1180"/>
    </row>
    <row r="1044" spans="1:10" ht="15.75" hidden="1" customHeight="1" x14ac:dyDescent="0.3">
      <c r="A1044" s="140"/>
      <c r="B1044" s="1112"/>
      <c r="C1044" s="1112"/>
      <c r="D1044" s="1313"/>
      <c r="E1044" s="1308">
        <f>'Verification Report'!O1044</f>
        <v>0</v>
      </c>
      <c r="F1044"/>
      <c r="I1044" s="1180"/>
      <c r="J1044" s="1180"/>
    </row>
    <row r="1045" spans="1:10" ht="15.75" hidden="1" customHeight="1" x14ac:dyDescent="0.3">
      <c r="A1045" s="140"/>
      <c r="B1045" s="1112"/>
      <c r="C1045" s="1112"/>
      <c r="D1045" s="1313"/>
      <c r="E1045" s="1308">
        <f>'Verification Report'!O1045</f>
        <v>0</v>
      </c>
      <c r="F1045"/>
      <c r="I1045" s="1180"/>
      <c r="J1045" s="1180"/>
    </row>
    <row r="1046" spans="1:10" ht="15.75" hidden="1" customHeight="1" x14ac:dyDescent="0.3">
      <c r="A1046" s="238"/>
      <c r="B1046" s="1113"/>
      <c r="C1046" s="1113"/>
      <c r="D1046" s="1113" t="s">
        <v>4070</v>
      </c>
      <c r="E1046" s="1309">
        <f>'Verification Report'!O1046</f>
        <v>0</v>
      </c>
      <c r="F1046"/>
      <c r="I1046" s="1180"/>
      <c r="J1046" s="1180"/>
    </row>
    <row r="1047" spans="1:10" ht="15" hidden="1" customHeight="1" x14ac:dyDescent="0.3">
      <c r="A1047" s="68" t="s">
        <v>1098</v>
      </c>
      <c r="B1047" s="1131"/>
      <c r="C1047" s="1131"/>
      <c r="D1047" s="1389" t="s">
        <v>4105</v>
      </c>
      <c r="E1047" s="1310">
        <f ca="1">'Verification Report'!O1047</f>
        <v>0</v>
      </c>
      <c r="F1047"/>
      <c r="I1047" s="1180"/>
      <c r="J1047" s="1180"/>
    </row>
    <row r="1048" spans="1:10" ht="15.75" hidden="1" customHeight="1" x14ac:dyDescent="0.3">
      <c r="A1048" s="4"/>
      <c r="B1048" s="1131"/>
      <c r="C1048" s="1131"/>
      <c r="D1048" s="1389"/>
      <c r="E1048" s="1310">
        <f>'Verification Report'!O1048</f>
        <v>0</v>
      </c>
      <c r="F1048"/>
      <c r="I1048" s="1180"/>
      <c r="J1048" s="1180"/>
    </row>
    <row r="1049" spans="1:10" ht="15.75" hidden="1" customHeight="1" x14ac:dyDescent="0.3">
      <c r="A1049" s="4"/>
      <c r="B1049" s="1131"/>
      <c r="C1049" s="1131"/>
      <c r="D1049" s="1389"/>
      <c r="E1049" s="1310">
        <f>'Verification Report'!O1049</f>
        <v>0</v>
      </c>
      <c r="F1049"/>
      <c r="I1049" s="1180"/>
      <c r="J1049" s="1180"/>
    </row>
    <row r="1050" spans="1:10" ht="15.75" hidden="1" customHeight="1" x14ac:dyDescent="0.3">
      <c r="A1050" s="4"/>
      <c r="B1050" s="1131"/>
      <c r="C1050" s="1131"/>
      <c r="D1050" s="1131" t="s">
        <v>4071</v>
      </c>
      <c r="E1050" s="1119"/>
      <c r="F1050"/>
      <c r="I1050" s="1180"/>
      <c r="J1050" s="1180"/>
    </row>
    <row r="1051" spans="1:10" ht="15.75" hidden="1" customHeight="1" x14ac:dyDescent="0.3">
      <c r="A1051" s="4"/>
      <c r="B1051" s="1131"/>
      <c r="C1051" s="1131"/>
      <c r="D1051" s="1131" t="s">
        <v>4072</v>
      </c>
      <c r="E1051" s="1119"/>
      <c r="F1051"/>
      <c r="I1051" s="1180"/>
      <c r="J1051" s="1180"/>
    </row>
    <row r="1052" spans="1:10" ht="15.75" hidden="1" customHeight="1" x14ac:dyDescent="0.3">
      <c r="A1052" s="238"/>
      <c r="B1052" s="1113"/>
      <c r="C1052" s="1113"/>
      <c r="D1052" s="1113" t="s">
        <v>4073</v>
      </c>
      <c r="E1052" s="1118"/>
      <c r="F1052"/>
      <c r="I1052" s="1180"/>
      <c r="J1052" s="1180"/>
    </row>
    <row r="1053" spans="1:10" ht="15.75" hidden="1" customHeight="1" x14ac:dyDescent="0.3">
      <c r="A1053" s="68" t="s">
        <v>1099</v>
      </c>
      <c r="B1053" s="1131"/>
      <c r="C1053" s="1131"/>
      <c r="D1053" s="1135" t="s">
        <v>1100</v>
      </c>
      <c r="E1053" s="1119">
        <f ca="1">'Verification Report'!O1053</f>
        <v>0</v>
      </c>
      <c r="F1053"/>
      <c r="I1053" s="1180"/>
      <c r="J1053" s="1180"/>
    </row>
    <row r="1054" spans="1:10" ht="15.75" hidden="1" customHeight="1" x14ac:dyDescent="0.3">
      <c r="A1054" s="4"/>
      <c r="B1054" s="1131"/>
      <c r="C1054" s="1131"/>
      <c r="D1054" s="1149" t="s">
        <v>1101</v>
      </c>
      <c r="E1054" s="1119"/>
      <c r="F1054"/>
      <c r="I1054" s="1180"/>
      <c r="J1054" s="1180"/>
    </row>
    <row r="1055" spans="1:10" ht="15" hidden="1" customHeight="1" x14ac:dyDescent="0.3">
      <c r="A1055" s="4"/>
      <c r="B1055" s="1131"/>
      <c r="C1055" s="1131"/>
      <c r="D1055" s="1389" t="s">
        <v>1102</v>
      </c>
      <c r="E1055" s="1119"/>
      <c r="F1055"/>
      <c r="I1055" s="1180"/>
      <c r="J1055" s="1180"/>
    </row>
    <row r="1056" spans="1:10" ht="15.75" hidden="1" customHeight="1" x14ac:dyDescent="0.3">
      <c r="A1056" s="4"/>
      <c r="B1056" s="1131"/>
      <c r="C1056" s="1131"/>
      <c r="D1056" s="1389"/>
      <c r="E1056" s="1119"/>
      <c r="F1056"/>
      <c r="I1056" s="1180"/>
      <c r="J1056" s="1180"/>
    </row>
    <row r="1057" spans="1:10" ht="15.75" hidden="1" customHeight="1" x14ac:dyDescent="0.3">
      <c r="A1057" s="4"/>
      <c r="B1057" s="1131"/>
      <c r="C1057" s="1131"/>
      <c r="D1057" s="1389"/>
      <c r="E1057" s="1119"/>
      <c r="F1057"/>
      <c r="I1057" s="1180"/>
      <c r="J1057" s="1180"/>
    </row>
    <row r="1058" spans="1:10" ht="15.75" hidden="1" customHeight="1" x14ac:dyDescent="0.3">
      <c r="A1058" s="4"/>
      <c r="B1058" s="1131"/>
      <c r="C1058" s="1131"/>
      <c r="D1058" s="1389"/>
      <c r="E1058" s="1119"/>
      <c r="F1058"/>
      <c r="I1058" s="1180"/>
      <c r="J1058" s="1180"/>
    </row>
    <row r="1059" spans="1:10" ht="15.75" hidden="1" customHeight="1" x14ac:dyDescent="0.3">
      <c r="A1059" s="238"/>
      <c r="B1059" s="1113"/>
      <c r="C1059" s="1113"/>
      <c r="D1059" s="1137" t="s">
        <v>4046</v>
      </c>
      <c r="E1059" s="1118"/>
      <c r="F1059"/>
      <c r="I1059" s="1180"/>
      <c r="J1059" s="1180"/>
    </row>
    <row r="1060" spans="1:10" ht="15" hidden="1" customHeight="1" x14ac:dyDescent="0.3">
      <c r="A1060" s="630" t="s">
        <v>1103</v>
      </c>
      <c r="B1060" s="1128"/>
      <c r="C1060" s="1128"/>
      <c r="D1060" s="1393" t="s">
        <v>1104</v>
      </c>
      <c r="E1060" s="1324">
        <f ca="1">'Verification Report'!O1060</f>
        <v>0</v>
      </c>
      <c r="F1060"/>
      <c r="I1060" s="1180"/>
      <c r="J1060" s="1180"/>
    </row>
    <row r="1061" spans="1:10" ht="15.75" hidden="1" customHeight="1" x14ac:dyDescent="0.3">
      <c r="A1061" s="140"/>
      <c r="B1061" s="1112"/>
      <c r="C1061" s="1112"/>
      <c r="D1061" s="1390"/>
      <c r="E1061" s="1308">
        <f>'Verification Report'!O1061</f>
        <v>0</v>
      </c>
      <c r="F1061"/>
      <c r="I1061" s="1180"/>
      <c r="J1061" s="1180"/>
    </row>
    <row r="1062" spans="1:10" ht="15.75" hidden="1" customHeight="1" x14ac:dyDescent="0.3">
      <c r="A1062" s="140"/>
      <c r="B1062" s="1112"/>
      <c r="C1062" s="1112"/>
      <c r="D1062" s="1132" t="s">
        <v>1101</v>
      </c>
      <c r="E1062" s="1117"/>
      <c r="F1062"/>
      <c r="I1062" s="1180"/>
      <c r="J1062" s="1180"/>
    </row>
    <row r="1063" spans="1:10" ht="15" hidden="1" customHeight="1" x14ac:dyDescent="0.3">
      <c r="A1063" s="140"/>
      <c r="B1063" s="1112"/>
      <c r="C1063" s="1112"/>
      <c r="D1063" s="1394" t="s">
        <v>4045</v>
      </c>
      <c r="E1063" s="1117"/>
      <c r="F1063"/>
      <c r="I1063" s="1180"/>
      <c r="J1063" s="1180"/>
    </row>
    <row r="1064" spans="1:10" ht="15.75" hidden="1" customHeight="1" thickBot="1" x14ac:dyDescent="0.35">
      <c r="A1064" s="270"/>
      <c r="B1064" s="1127"/>
      <c r="C1064" s="1127"/>
      <c r="D1064" s="1395"/>
      <c r="E1064" s="1120"/>
      <c r="F1064"/>
      <c r="I1064" s="1180"/>
      <c r="J1064" s="1180"/>
    </row>
    <row r="1065" spans="1:10" ht="15" hidden="1" thickBot="1" x14ac:dyDescent="0.35">
      <c r="A1065" s="66">
        <v>703.4</v>
      </c>
      <c r="B1065" s="1131"/>
      <c r="C1065" s="1131"/>
      <c r="D1065" s="1135" t="s">
        <v>1105</v>
      </c>
      <c r="E1065" s="1119"/>
      <c r="F1065"/>
      <c r="I1065" s="1180"/>
      <c r="J1065" s="1180"/>
    </row>
    <row r="1066" spans="1:10" ht="15.75" hidden="1" customHeight="1" x14ac:dyDescent="0.3">
      <c r="A1066" s="141" t="s">
        <v>1106</v>
      </c>
      <c r="B1066" s="1112"/>
      <c r="C1066" s="1112"/>
      <c r="D1066" s="1138" t="s">
        <v>1107</v>
      </c>
      <c r="E1066" s="1308">
        <f ca="1">'Verification Report'!O1066</f>
        <v>0</v>
      </c>
      <c r="F1066"/>
      <c r="I1066" s="1180"/>
      <c r="J1066" s="1180"/>
    </row>
    <row r="1067" spans="1:10" ht="15.75" hidden="1" customHeight="1" x14ac:dyDescent="0.3">
      <c r="A1067" s="238"/>
      <c r="B1067" s="1113"/>
      <c r="C1067" s="1113"/>
      <c r="D1067" s="1137" t="s">
        <v>1108</v>
      </c>
      <c r="E1067" s="1309">
        <f>'Verification Report'!O1067</f>
        <v>0</v>
      </c>
      <c r="F1067"/>
      <c r="I1067" s="1180"/>
      <c r="J1067" s="1180"/>
    </row>
    <row r="1068" spans="1:10" ht="15.75" hidden="1" customHeight="1" x14ac:dyDescent="0.3">
      <c r="A1068" s="215" t="s">
        <v>1109</v>
      </c>
      <c r="B1068" s="1128"/>
      <c r="C1068" s="1128"/>
      <c r="D1068" s="1140" t="s">
        <v>1110</v>
      </c>
      <c r="E1068" s="1324">
        <f ca="1">'Verification Report'!O1068</f>
        <v>0</v>
      </c>
      <c r="F1068"/>
      <c r="I1068" s="1180"/>
      <c r="J1068" s="1180"/>
    </row>
    <row r="1069" spans="1:10" ht="15.75" hidden="1" customHeight="1" x14ac:dyDescent="0.3">
      <c r="A1069" s="238"/>
      <c r="B1069" s="1113"/>
      <c r="C1069" s="1113"/>
      <c r="D1069" s="1137" t="s">
        <v>1108</v>
      </c>
      <c r="E1069" s="1309">
        <f>'Verification Report'!O1069</f>
        <v>0</v>
      </c>
      <c r="F1069"/>
      <c r="I1069" s="1180"/>
      <c r="J1069" s="1180"/>
    </row>
    <row r="1070" spans="1:10" ht="15" hidden="1" thickBot="1" x14ac:dyDescent="0.35">
      <c r="A1070" s="66" t="s">
        <v>1111</v>
      </c>
      <c r="B1070" s="1131"/>
      <c r="C1070" s="1131"/>
      <c r="D1070" s="1135" t="s">
        <v>1112</v>
      </c>
      <c r="E1070" s="1119">
        <f ca="1">'Verification Report'!O1070</f>
        <v>0</v>
      </c>
      <c r="F1070"/>
      <c r="I1070" s="1180"/>
      <c r="J1070" s="1180"/>
    </row>
    <row r="1071" spans="1:10" ht="15" hidden="1" thickBot="1" x14ac:dyDescent="0.35">
      <c r="A1071" s="4"/>
      <c r="B1071" s="626" t="s">
        <v>271</v>
      </c>
      <c r="C1071" s="1113"/>
      <c r="D1071" s="1113" t="s">
        <v>1113</v>
      </c>
      <c r="E1071" s="1119"/>
      <c r="F1071"/>
      <c r="I1071" s="1180"/>
      <c r="J1071" s="1180"/>
    </row>
    <row r="1072" spans="1:10" ht="15" hidden="1" customHeight="1" x14ac:dyDescent="0.3">
      <c r="A1072" s="4"/>
      <c r="B1072" s="649" t="s">
        <v>273</v>
      </c>
      <c r="C1072" s="1128"/>
      <c r="D1072" s="1356" t="s">
        <v>1114</v>
      </c>
      <c r="E1072" s="1119"/>
      <c r="F1072"/>
      <c r="I1072" s="1180"/>
      <c r="J1072" s="1180"/>
    </row>
    <row r="1073" spans="1:10" ht="15.75" hidden="1" customHeight="1" x14ac:dyDescent="0.3">
      <c r="A1073" s="4"/>
      <c r="B1073" s="1113"/>
      <c r="C1073" s="1113"/>
      <c r="D1073" s="1306"/>
      <c r="E1073" s="1119"/>
      <c r="F1073"/>
      <c r="I1073" s="1180"/>
      <c r="J1073" s="1180"/>
    </row>
    <row r="1074" spans="1:10" ht="15.75" hidden="1" customHeight="1" x14ac:dyDescent="0.3">
      <c r="A1074" s="140"/>
      <c r="B1074" s="614" t="s">
        <v>275</v>
      </c>
      <c r="C1074" s="1112"/>
      <c r="D1074" s="1112" t="s">
        <v>1115</v>
      </c>
      <c r="E1074" s="1119"/>
      <c r="F1074"/>
      <c r="I1074" s="1180"/>
      <c r="J1074" s="1180"/>
    </row>
    <row r="1075" spans="1:10" ht="15.75" hidden="1" customHeight="1" x14ac:dyDescent="0.3">
      <c r="A1075" s="238"/>
      <c r="B1075" s="1113"/>
      <c r="C1075" s="1113"/>
      <c r="D1075" s="1137" t="s">
        <v>1108</v>
      </c>
      <c r="E1075" s="1119"/>
      <c r="F1075"/>
      <c r="I1075" s="1180"/>
      <c r="J1075" s="1180"/>
    </row>
    <row r="1076" spans="1:10" ht="15" hidden="1" customHeight="1" x14ac:dyDescent="0.3">
      <c r="A1076" s="141" t="s">
        <v>1116</v>
      </c>
      <c r="B1076" s="1112"/>
      <c r="C1076" s="1112"/>
      <c r="D1076" s="1313" t="s">
        <v>1117</v>
      </c>
      <c r="E1076" s="1308">
        <f ca="1">'Verification Report'!O1076</f>
        <v>0</v>
      </c>
      <c r="F1076"/>
      <c r="I1076" s="1180"/>
      <c r="J1076" s="1180"/>
    </row>
    <row r="1077" spans="1:10" ht="15.75" hidden="1" customHeight="1" x14ac:dyDescent="0.3">
      <c r="A1077" s="140"/>
      <c r="B1077" s="1112"/>
      <c r="C1077" s="1112"/>
      <c r="D1077" s="1313"/>
      <c r="E1077" s="1308">
        <f>'Verification Report'!O1077</f>
        <v>0</v>
      </c>
      <c r="F1077"/>
      <c r="I1077" s="1180"/>
      <c r="J1077" s="1180"/>
    </row>
    <row r="1078" spans="1:10" ht="15.75" hidden="1" customHeight="1" x14ac:dyDescent="0.3">
      <c r="A1078" s="140"/>
      <c r="B1078" s="1112"/>
      <c r="C1078" s="1112"/>
      <c r="D1078" s="1313"/>
      <c r="E1078" s="1308">
        <f>'Verification Report'!O1078</f>
        <v>0</v>
      </c>
      <c r="F1078"/>
      <c r="I1078" s="1180"/>
      <c r="J1078" s="1180"/>
    </row>
    <row r="1079" spans="1:10" ht="15.75" hidden="1" customHeight="1" x14ac:dyDescent="0.3">
      <c r="A1079" s="140"/>
      <c r="B1079" s="1112"/>
      <c r="C1079" s="1112"/>
      <c r="D1079" s="1313"/>
      <c r="E1079" s="1308">
        <f>'Verification Report'!O1079</f>
        <v>0</v>
      </c>
      <c r="F1079"/>
      <c r="I1079" s="1180"/>
      <c r="J1079" s="1180"/>
    </row>
    <row r="1080" spans="1:10" ht="15.75" hidden="1" customHeight="1" x14ac:dyDescent="0.3">
      <c r="A1080" s="140"/>
      <c r="B1080" s="1112"/>
      <c r="C1080" s="1112"/>
      <c r="D1080" s="1313"/>
      <c r="E1080" s="1308">
        <f>'Verification Report'!O1080</f>
        <v>0</v>
      </c>
      <c r="F1080"/>
      <c r="I1080" s="1180"/>
      <c r="J1080" s="1180"/>
    </row>
    <row r="1081" spans="1:10" ht="15.75" hidden="1" customHeight="1" x14ac:dyDescent="0.3">
      <c r="A1081" s="140"/>
      <c r="B1081" s="1112"/>
      <c r="C1081" s="1112"/>
      <c r="D1081" s="1132" t="s">
        <v>1118</v>
      </c>
      <c r="E1081" s="1117"/>
      <c r="F1081"/>
      <c r="I1081" s="1180"/>
      <c r="J1081" s="1180"/>
    </row>
    <row r="1082" spans="1:10" ht="15.75" hidden="1" customHeight="1" x14ac:dyDescent="0.3">
      <c r="A1082" s="140"/>
      <c r="B1082" s="626" t="s">
        <v>271</v>
      </c>
      <c r="C1082" s="1113"/>
      <c r="D1082" s="1113" t="s">
        <v>3908</v>
      </c>
      <c r="E1082" s="1117"/>
      <c r="F1082"/>
      <c r="I1082" s="1180"/>
      <c r="J1082" s="1180"/>
    </row>
    <row r="1083" spans="1:10" ht="15.75" hidden="1" customHeight="1" x14ac:dyDescent="0.3">
      <c r="A1083" s="140"/>
      <c r="B1083" s="650" t="s">
        <v>273</v>
      </c>
      <c r="C1083" s="365"/>
      <c r="D1083" s="365" t="s">
        <v>3909</v>
      </c>
      <c r="E1083" s="1117"/>
      <c r="F1083"/>
      <c r="I1083" s="1180"/>
      <c r="J1083" s="1180"/>
    </row>
    <row r="1084" spans="1:10" ht="15.75" hidden="1" customHeight="1" thickBot="1" x14ac:dyDescent="0.35">
      <c r="A1084" s="270"/>
      <c r="B1084" s="615" t="s">
        <v>275</v>
      </c>
      <c r="C1084" s="1127"/>
      <c r="D1084" s="1127" t="s">
        <v>3910</v>
      </c>
      <c r="E1084" s="1120"/>
      <c r="F1084"/>
      <c r="I1084" s="1180"/>
      <c r="J1084" s="1180"/>
    </row>
    <row r="1085" spans="1:10" ht="15" hidden="1" thickBot="1" x14ac:dyDescent="0.35">
      <c r="A1085" s="66">
        <v>703.5</v>
      </c>
      <c r="B1085" s="1131"/>
      <c r="C1085" s="1131"/>
      <c r="D1085" s="1135" t="s">
        <v>1119</v>
      </c>
      <c r="E1085" s="1119"/>
      <c r="F1085"/>
      <c r="I1085" s="1180"/>
      <c r="J1085" s="1180"/>
    </row>
    <row r="1086" spans="1:10" ht="15.75" hidden="1" customHeight="1" x14ac:dyDescent="0.3">
      <c r="A1086" s="66" t="s">
        <v>1120</v>
      </c>
      <c r="B1086" s="1131"/>
      <c r="C1086" s="1131"/>
      <c r="D1086" s="1135" t="s">
        <v>1121</v>
      </c>
      <c r="E1086" s="4"/>
      <c r="F1086"/>
      <c r="I1086" s="1180"/>
      <c r="J1086" s="1180"/>
    </row>
    <row r="1087" spans="1:10" ht="15.75" hidden="1" customHeight="1" x14ac:dyDescent="0.3">
      <c r="A1087" s="4"/>
      <c r="B1087" s="1131"/>
      <c r="C1087" s="1131"/>
      <c r="D1087" s="1123" t="s">
        <v>3907</v>
      </c>
      <c r="E1087" s="4"/>
      <c r="F1087"/>
      <c r="I1087" s="1180"/>
      <c r="J1087" s="1180"/>
    </row>
    <row r="1088" spans="1:10" ht="15.75" hidden="1" customHeight="1" x14ac:dyDescent="0.3">
      <c r="A1088" s="4"/>
      <c r="B1088" s="260" t="s">
        <v>271</v>
      </c>
      <c r="C1088" s="1131"/>
      <c r="D1088" s="1131" t="s">
        <v>1122</v>
      </c>
      <c r="E1088" s="1119"/>
      <c r="F1088"/>
      <c r="I1088" s="1180"/>
      <c r="J1088" s="1180"/>
    </row>
    <row r="1089" spans="1:10" ht="15.75" hidden="1" customHeight="1" x14ac:dyDescent="0.3">
      <c r="A1089" s="4"/>
      <c r="B1089" s="260"/>
      <c r="C1089" s="260" t="s">
        <v>121</v>
      </c>
      <c r="D1089" s="1131" t="s">
        <v>1122</v>
      </c>
      <c r="E1089" s="1119">
        <f ca="1">'Verification Report'!O1089</f>
        <v>0</v>
      </c>
      <c r="F1089"/>
      <c r="I1089" s="1180"/>
      <c r="J1089" s="1180"/>
    </row>
    <row r="1090" spans="1:10" ht="15.75" hidden="1" customHeight="1" x14ac:dyDescent="0.3">
      <c r="A1090" s="4"/>
      <c r="B1090" s="260"/>
      <c r="C1090" s="260"/>
      <c r="D1090" s="1131" t="s">
        <v>3895</v>
      </c>
      <c r="E1090" s="1119"/>
      <c r="F1090"/>
      <c r="I1090" s="1180"/>
      <c r="J1090" s="1180"/>
    </row>
    <row r="1091" spans="1:10" ht="15.75" hidden="1" customHeight="1" x14ac:dyDescent="0.3">
      <c r="A1091" s="4"/>
      <c r="B1091" s="260"/>
      <c r="C1091" s="260"/>
      <c r="D1091" s="1131" t="s">
        <v>3896</v>
      </c>
      <c r="E1091" s="1119"/>
      <c r="F1091"/>
      <c r="I1091" s="1180"/>
      <c r="J1091" s="1180"/>
    </row>
    <row r="1092" spans="1:10" ht="15" hidden="1" customHeight="1" x14ac:dyDescent="0.3">
      <c r="A1092" s="4"/>
      <c r="B1092" s="1131"/>
      <c r="C1092" s="260" t="s">
        <v>122</v>
      </c>
      <c r="D1092" s="1367" t="s">
        <v>3892</v>
      </c>
      <c r="E1092" s="1310">
        <f ca="1">'Verification Report'!O1092</f>
        <v>0</v>
      </c>
      <c r="F1092"/>
      <c r="I1092" s="1180"/>
      <c r="J1092" s="1180"/>
    </row>
    <row r="1093" spans="1:10" ht="15.75" hidden="1" customHeight="1" x14ac:dyDescent="0.3">
      <c r="A1093" s="4"/>
      <c r="B1093" s="1131"/>
      <c r="C1093" s="260"/>
      <c r="D1093" s="1367"/>
      <c r="E1093" s="1310">
        <f>'Verification Report'!O1093</f>
        <v>0</v>
      </c>
      <c r="F1093"/>
      <c r="I1093" s="1180"/>
      <c r="J1093" s="1180"/>
    </row>
    <row r="1094" spans="1:10" ht="15.75" hidden="1" customHeight="1" x14ac:dyDescent="0.3">
      <c r="A1094" s="4"/>
      <c r="B1094" s="1131"/>
      <c r="C1094" s="260"/>
      <c r="D1094" s="1131" t="s">
        <v>3897</v>
      </c>
      <c r="E1094" s="1119"/>
      <c r="F1094"/>
      <c r="I1094" s="1180"/>
      <c r="J1094" s="1180"/>
    </row>
    <row r="1095" spans="1:10" ht="15.75" hidden="1" customHeight="1" x14ac:dyDescent="0.3">
      <c r="A1095" s="4"/>
      <c r="B1095" s="1113"/>
      <c r="C1095" s="626"/>
      <c r="D1095" s="1113" t="s">
        <v>3898</v>
      </c>
      <c r="E1095" s="1119"/>
      <c r="F1095"/>
      <c r="I1095" s="1180"/>
      <c r="J1095" s="1180"/>
    </row>
    <row r="1096" spans="1:10" ht="15.75" hidden="1" customHeight="1" x14ac:dyDescent="0.3">
      <c r="A1096" s="4"/>
      <c r="B1096" s="260" t="s">
        <v>273</v>
      </c>
      <c r="C1096" s="1131"/>
      <c r="D1096" s="1131" t="s">
        <v>1123</v>
      </c>
      <c r="E1096" s="1119"/>
      <c r="F1096"/>
      <c r="I1096" s="1180"/>
      <c r="J1096" s="1180"/>
    </row>
    <row r="1097" spans="1:10" ht="15.75" hidden="1" customHeight="1" x14ac:dyDescent="0.3">
      <c r="A1097" s="4"/>
      <c r="B1097" s="260"/>
      <c r="C1097" s="260" t="s">
        <v>121</v>
      </c>
      <c r="D1097" s="1131" t="s">
        <v>3890</v>
      </c>
      <c r="E1097" s="1119">
        <f ca="1">'Verification Report'!O1097</f>
        <v>0</v>
      </c>
      <c r="F1097"/>
      <c r="I1097" s="1180"/>
      <c r="J1097" s="1180"/>
    </row>
    <row r="1098" spans="1:10" ht="15.75" hidden="1" customHeight="1" x14ac:dyDescent="0.3">
      <c r="A1098" s="4"/>
      <c r="B1098" s="1113"/>
      <c r="C1098" s="626" t="s">
        <v>122</v>
      </c>
      <c r="D1098" s="1113" t="s">
        <v>3891</v>
      </c>
      <c r="E1098" s="1118">
        <f ca="1">'Verification Report'!O1098</f>
        <v>0</v>
      </c>
      <c r="F1098"/>
      <c r="I1098" s="1180"/>
      <c r="J1098" s="1180"/>
    </row>
    <row r="1099" spans="1:10" ht="15.75" hidden="1" customHeight="1" x14ac:dyDescent="0.3">
      <c r="A1099" s="4"/>
      <c r="B1099" s="650" t="s">
        <v>275</v>
      </c>
      <c r="C1099" s="365"/>
      <c r="D1099" s="365" t="s">
        <v>3889</v>
      </c>
      <c r="E1099" s="1163">
        <f ca="1">'Verification Report'!O1099</f>
        <v>0</v>
      </c>
      <c r="F1099"/>
      <c r="I1099" s="1180"/>
      <c r="J1099" s="1180"/>
    </row>
    <row r="1100" spans="1:10" ht="15.75" hidden="1" customHeight="1" x14ac:dyDescent="0.3">
      <c r="A1100" s="4"/>
      <c r="B1100" s="260" t="s">
        <v>285</v>
      </c>
      <c r="C1100" s="1131"/>
      <c r="D1100" s="1131" t="s">
        <v>1124</v>
      </c>
      <c r="E1100" s="1119">
        <f ca="1">'Verification Report'!O1100</f>
        <v>0</v>
      </c>
      <c r="F1100"/>
      <c r="I1100" s="1180"/>
      <c r="J1100" s="1180"/>
    </row>
    <row r="1101" spans="1:10" ht="15.75" hidden="1" customHeight="1" x14ac:dyDescent="0.3">
      <c r="A1101" s="4"/>
      <c r="B1101" s="260"/>
      <c r="C1101" s="1131"/>
      <c r="D1101" s="1131" t="s">
        <v>3899</v>
      </c>
      <c r="E1101" s="1119"/>
      <c r="F1101"/>
      <c r="I1101" s="1180"/>
      <c r="J1101" s="1180"/>
    </row>
    <row r="1102" spans="1:10" ht="15.75" hidden="1" customHeight="1" x14ac:dyDescent="0.3">
      <c r="A1102" s="4"/>
      <c r="B1102" s="260"/>
      <c r="C1102" s="1131"/>
      <c r="D1102" s="1131" t="s">
        <v>3900</v>
      </c>
      <c r="E1102" s="1119"/>
      <c r="F1102"/>
      <c r="I1102" s="1180"/>
      <c r="J1102" s="1180"/>
    </row>
    <row r="1103" spans="1:10" ht="15.75" hidden="1" customHeight="1" x14ac:dyDescent="0.3">
      <c r="A1103" s="238"/>
      <c r="B1103" s="1113"/>
      <c r="C1103" s="1113"/>
      <c r="D1103" s="1113" t="s">
        <v>3901</v>
      </c>
      <c r="E1103" s="1119"/>
      <c r="F1103"/>
      <c r="I1103" s="1180"/>
      <c r="J1103" s="1180"/>
    </row>
    <row r="1104" spans="1:10" ht="15" hidden="1" customHeight="1" x14ac:dyDescent="0.3">
      <c r="A1104" s="606" t="s">
        <v>1125</v>
      </c>
      <c r="B1104" s="1112"/>
      <c r="C1104" s="1112"/>
      <c r="D1104" s="1390" t="s">
        <v>1126</v>
      </c>
      <c r="E1104" s="1308">
        <f ca="1">'Verification Report'!O1104</f>
        <v>0</v>
      </c>
      <c r="F1104"/>
      <c r="I1104" s="1180"/>
      <c r="J1104" s="1180"/>
    </row>
    <row r="1105" spans="1:10" ht="15.75" hidden="1" customHeight="1" x14ac:dyDescent="0.3">
      <c r="A1105" s="631"/>
      <c r="B1105" s="1113"/>
      <c r="C1105" s="1113"/>
      <c r="D1105" s="1391"/>
      <c r="E1105" s="1309">
        <f>'Verification Report'!O1105</f>
        <v>0</v>
      </c>
      <c r="F1105"/>
      <c r="I1105" s="1180"/>
      <c r="J1105" s="1180"/>
    </row>
    <row r="1106" spans="1:10" ht="15.75" hidden="1" customHeight="1" x14ac:dyDescent="0.3">
      <c r="A1106" s="68" t="s">
        <v>1127</v>
      </c>
      <c r="B1106" s="1131"/>
      <c r="C1106" s="1131"/>
      <c r="D1106" s="1135" t="s">
        <v>1128</v>
      </c>
      <c r="E1106" s="1119">
        <f ca="1">'Verification Report'!O1106</f>
        <v>0</v>
      </c>
      <c r="F1106"/>
      <c r="I1106" s="1180"/>
      <c r="J1106" s="1180"/>
    </row>
    <row r="1107" spans="1:10" ht="15.75" hidden="1" customHeight="1" x14ac:dyDescent="0.3">
      <c r="A1107" s="196"/>
      <c r="B1107" s="1113"/>
      <c r="C1107" s="1113"/>
      <c r="D1107" s="1145" t="s">
        <v>1101</v>
      </c>
      <c r="E1107" s="1118"/>
      <c r="F1107"/>
      <c r="I1107" s="1180"/>
      <c r="J1107" s="1180"/>
    </row>
    <row r="1108" spans="1:10" ht="28.2" hidden="1" thickBot="1" x14ac:dyDescent="0.35">
      <c r="A1108" s="631" t="s">
        <v>3886</v>
      </c>
      <c r="B1108" s="1113"/>
      <c r="C1108" s="1113"/>
      <c r="D1108" s="1139" t="s">
        <v>1129</v>
      </c>
      <c r="E1108" s="1118">
        <f ca="1">'Verification Report'!O1108</f>
        <v>0</v>
      </c>
      <c r="F1108"/>
      <c r="I1108" s="1180"/>
      <c r="J1108" s="1180"/>
    </row>
    <row r="1109" spans="1:10" ht="15" hidden="1" customHeight="1" x14ac:dyDescent="0.3">
      <c r="A1109" s="630" t="s">
        <v>1130</v>
      </c>
      <c r="B1109" s="1128"/>
      <c r="C1109" s="1128"/>
      <c r="D1109" s="1364" t="s">
        <v>4106</v>
      </c>
      <c r="E1109" s="1324">
        <f ca="1">'Verification Report'!O1109</f>
        <v>0</v>
      </c>
      <c r="F1109"/>
      <c r="I1109" s="1180"/>
      <c r="J1109" s="1180"/>
    </row>
    <row r="1110" spans="1:10" ht="15.75" hidden="1" customHeight="1" x14ac:dyDescent="0.3">
      <c r="A1110" s="140"/>
      <c r="B1110" s="1112"/>
      <c r="C1110" s="1112"/>
      <c r="D1110" s="1313"/>
      <c r="E1110" s="1308">
        <f>'Verification Report'!O1110</f>
        <v>0</v>
      </c>
      <c r="F1110"/>
      <c r="I1110" s="1180"/>
      <c r="J1110" s="1180"/>
    </row>
    <row r="1111" spans="1:10" ht="15.75" hidden="1" customHeight="1" x14ac:dyDescent="0.3">
      <c r="A1111" s="140"/>
      <c r="B1111" s="1112"/>
      <c r="C1111" s="1112"/>
      <c r="D1111" s="1313"/>
      <c r="E1111" s="1308">
        <f>'Verification Report'!O1111</f>
        <v>0</v>
      </c>
      <c r="F1111"/>
      <c r="I1111" s="1180"/>
      <c r="J1111" s="1180"/>
    </row>
    <row r="1112" spans="1:10" ht="15.75" hidden="1" customHeight="1" x14ac:dyDescent="0.3">
      <c r="A1112" s="140"/>
      <c r="B1112" s="97"/>
      <c r="C1112" s="1112"/>
      <c r="D1112" s="652" t="s">
        <v>3902</v>
      </c>
      <c r="E1112" s="1117"/>
      <c r="F1112"/>
      <c r="I1112" s="1180"/>
      <c r="J1112" s="1180"/>
    </row>
    <row r="1113" spans="1:10" ht="15.75" hidden="1" customHeight="1" x14ac:dyDescent="0.3">
      <c r="A1113" s="140"/>
      <c r="B1113" s="97"/>
      <c r="C1113" s="1112"/>
      <c r="D1113" s="653" t="s">
        <v>3903</v>
      </c>
      <c r="E1113" s="1117"/>
      <c r="F1113"/>
      <c r="I1113" s="1180"/>
      <c r="J1113" s="1180"/>
    </row>
    <row r="1114" spans="1:10" ht="15.75" hidden="1" customHeight="1" x14ac:dyDescent="0.3">
      <c r="A1114" s="140"/>
      <c r="B1114" s="97"/>
      <c r="C1114" s="1112"/>
      <c r="D1114" s="653" t="s">
        <v>3904</v>
      </c>
      <c r="E1114" s="1117"/>
      <c r="F1114"/>
      <c r="I1114" s="1180"/>
      <c r="J1114" s="1180"/>
    </row>
    <row r="1115" spans="1:10" ht="15.75" hidden="1" customHeight="1" x14ac:dyDescent="0.3">
      <c r="A1115" s="140"/>
      <c r="B1115" s="97"/>
      <c r="C1115" s="1112"/>
      <c r="D1115" s="653" t="s">
        <v>3905</v>
      </c>
      <c r="E1115" s="1117"/>
      <c r="F1115"/>
      <c r="I1115" s="1180"/>
      <c r="J1115" s="1180"/>
    </row>
    <row r="1116" spans="1:10" ht="15.75" hidden="1" customHeight="1" thickBot="1" x14ac:dyDescent="0.35">
      <c r="A1116" s="270"/>
      <c r="B1116" s="104"/>
      <c r="C1116" s="1127"/>
      <c r="D1116" s="641" t="s">
        <v>3906</v>
      </c>
      <c r="E1116" s="1120"/>
      <c r="F1116"/>
      <c r="I1116" s="1180"/>
      <c r="J1116" s="1180"/>
    </row>
    <row r="1117" spans="1:10" ht="15" hidden="1" thickBot="1" x14ac:dyDescent="0.35">
      <c r="A1117" s="66">
        <v>703.6</v>
      </c>
      <c r="B1117" s="1131"/>
      <c r="C1117" s="1131"/>
      <c r="D1117" s="1135" t="s">
        <v>1131</v>
      </c>
      <c r="E1117" s="1119"/>
      <c r="F1117"/>
      <c r="I1117" s="1180"/>
      <c r="J1117" s="1180"/>
    </row>
    <row r="1118" spans="1:10" ht="15" hidden="1" customHeight="1" x14ac:dyDescent="0.3">
      <c r="A1118" s="66" t="s">
        <v>1132</v>
      </c>
      <c r="B1118" s="1131"/>
      <c r="C1118" s="1131"/>
      <c r="D1118" s="1389" t="s">
        <v>1133</v>
      </c>
      <c r="E1118" s="1119"/>
      <c r="F1118"/>
      <c r="I1118" s="1180"/>
      <c r="J1118" s="1180"/>
    </row>
    <row r="1119" spans="1:10" ht="15" hidden="1" thickBot="1" x14ac:dyDescent="0.35">
      <c r="A1119" s="66"/>
      <c r="B1119" s="1131"/>
      <c r="C1119" s="1131"/>
      <c r="D1119" s="1389"/>
      <c r="E1119" s="1119"/>
      <c r="F1119"/>
      <c r="I1119" s="1180"/>
      <c r="J1119" s="1180"/>
    </row>
    <row r="1120" spans="1:10" ht="15" hidden="1" customHeight="1" x14ac:dyDescent="0.3">
      <c r="A1120" s="4"/>
      <c r="B1120" s="614" t="s">
        <v>271</v>
      </c>
      <c r="C1120" s="1112"/>
      <c r="D1120" s="1374" t="s">
        <v>3883</v>
      </c>
      <c r="E1120" s="1308">
        <f ca="1">'Verification Report'!O1120</f>
        <v>0</v>
      </c>
      <c r="F1120"/>
      <c r="I1120" s="1180"/>
      <c r="J1120" s="1180"/>
    </row>
    <row r="1121" spans="1:10" ht="15.75" hidden="1" customHeight="1" x14ac:dyDescent="0.3">
      <c r="A1121" s="4"/>
      <c r="B1121" s="626"/>
      <c r="C1121" s="1113"/>
      <c r="D1121" s="1392"/>
      <c r="E1121" s="1309">
        <f>'Verification Report'!O1121</f>
        <v>0</v>
      </c>
      <c r="F1121"/>
      <c r="I1121" s="1180"/>
      <c r="J1121" s="1180"/>
    </row>
    <row r="1122" spans="1:10" ht="15" hidden="1" customHeight="1" x14ac:dyDescent="0.3">
      <c r="A1122" s="4"/>
      <c r="B1122" s="649" t="s">
        <v>273</v>
      </c>
      <c r="C1122" s="1128"/>
      <c r="D1122" s="1356" t="s">
        <v>1134</v>
      </c>
      <c r="E1122" s="1324">
        <f ca="1">'Verification Report'!O1122</f>
        <v>0</v>
      </c>
      <c r="F1122"/>
      <c r="I1122" s="1180"/>
      <c r="J1122" s="1180"/>
    </row>
    <row r="1123" spans="1:10" ht="15.75" hidden="1" customHeight="1" x14ac:dyDescent="0.3">
      <c r="A1123" s="4"/>
      <c r="B1123" s="1113"/>
      <c r="C1123" s="1113"/>
      <c r="D1123" s="1306"/>
      <c r="E1123" s="1309">
        <f>'Verification Report'!O1123</f>
        <v>0</v>
      </c>
      <c r="F1123"/>
      <c r="I1123" s="1180"/>
      <c r="J1123" s="1180"/>
    </row>
    <row r="1124" spans="1:10" ht="15" hidden="1" customHeight="1" x14ac:dyDescent="0.3">
      <c r="A1124" s="140"/>
      <c r="B1124" s="614" t="s">
        <v>275</v>
      </c>
      <c r="C1124" s="1112"/>
      <c r="D1124" s="1305" t="s">
        <v>1135</v>
      </c>
      <c r="E1124" s="1308">
        <f ca="1">'Verification Report'!O1124</f>
        <v>0</v>
      </c>
      <c r="F1124"/>
      <c r="I1124" s="1180"/>
      <c r="J1124" s="1180"/>
    </row>
    <row r="1125" spans="1:10" ht="15.75" hidden="1" customHeight="1" x14ac:dyDescent="0.3">
      <c r="A1125" s="238"/>
      <c r="B1125" s="1113"/>
      <c r="C1125" s="1113"/>
      <c r="D1125" s="1306"/>
      <c r="E1125" s="1309">
        <f>'Verification Report'!O1125</f>
        <v>0</v>
      </c>
      <c r="F1125"/>
      <c r="I1125" s="1180"/>
      <c r="J1125" s="1180"/>
    </row>
    <row r="1126" spans="1:10" ht="15" hidden="1" thickBot="1" x14ac:dyDescent="0.35">
      <c r="A1126" s="68" t="s">
        <v>1136</v>
      </c>
      <c r="B1126" s="1131"/>
      <c r="C1126" s="1131"/>
      <c r="D1126" s="1135" t="s">
        <v>1137</v>
      </c>
      <c r="E1126" s="1119"/>
      <c r="F1126"/>
      <c r="I1126" s="1180"/>
      <c r="J1126" s="1180"/>
    </row>
    <row r="1127" spans="1:10" ht="15" hidden="1" thickBot="1" x14ac:dyDescent="0.35">
      <c r="A1127" s="4"/>
      <c r="B1127" s="626" t="s">
        <v>271</v>
      </c>
      <c r="C1127" s="1113"/>
      <c r="D1127" s="652" t="s">
        <v>1138</v>
      </c>
      <c r="E1127" s="1118">
        <f ca="1">'Verification Report'!O1127</f>
        <v>0</v>
      </c>
      <c r="F1127"/>
      <c r="I1127" s="1180"/>
      <c r="J1127" s="1180"/>
    </row>
    <row r="1128" spans="1:10" ht="15" hidden="1" thickBot="1" x14ac:dyDescent="0.35">
      <c r="A1128" s="4"/>
      <c r="B1128" s="650" t="s">
        <v>273</v>
      </c>
      <c r="C1128" s="365"/>
      <c r="D1128" s="365" t="s">
        <v>1139</v>
      </c>
      <c r="E1128" s="1163">
        <f ca="1">'Verification Report'!O1128</f>
        <v>0</v>
      </c>
      <c r="F1128"/>
      <c r="I1128" s="1180"/>
      <c r="J1128" s="1180"/>
    </row>
    <row r="1129" spans="1:10" ht="15.75" hidden="1" customHeight="1" x14ac:dyDescent="0.3">
      <c r="A1129" s="140"/>
      <c r="B1129" s="614" t="s">
        <v>275</v>
      </c>
      <c r="C1129" s="1112"/>
      <c r="D1129" s="1112" t="s">
        <v>1140</v>
      </c>
      <c r="E1129" s="1117">
        <f ca="1">'Verification Report'!O1129</f>
        <v>0</v>
      </c>
      <c r="F1129"/>
      <c r="I1129" s="1180"/>
      <c r="J1129" s="1180"/>
    </row>
    <row r="1130" spans="1:10" ht="15.75" hidden="1" customHeight="1" thickBot="1" x14ac:dyDescent="0.35">
      <c r="A1130" s="270"/>
      <c r="B1130" s="615"/>
      <c r="C1130" s="1127"/>
      <c r="D1130" s="1141" t="s">
        <v>3878</v>
      </c>
      <c r="E1130" s="1120"/>
      <c r="F1130"/>
      <c r="I1130" s="1180"/>
      <c r="J1130" s="1180"/>
    </row>
    <row r="1131" spans="1:10" ht="15" hidden="1" thickBot="1" x14ac:dyDescent="0.35">
      <c r="A1131" s="152">
        <v>703.7</v>
      </c>
      <c r="B1131" s="1131"/>
      <c r="C1131" s="1131"/>
      <c r="D1131" s="1135" t="s">
        <v>1141</v>
      </c>
      <c r="E1131" s="1119"/>
      <c r="F1131"/>
      <c r="I1131" s="1180"/>
      <c r="J1131" s="1180"/>
    </row>
    <row r="1132" spans="1:10" ht="15" hidden="1" customHeight="1" x14ac:dyDescent="0.3">
      <c r="A1132" s="152" t="s">
        <v>1142</v>
      </c>
      <c r="B1132" s="1131"/>
      <c r="C1132" s="1131"/>
      <c r="D1132" s="1292" t="s">
        <v>1143</v>
      </c>
      <c r="E1132" s="1310">
        <f ca="1">'Verification Report'!O1132</f>
        <v>0</v>
      </c>
      <c r="F1132"/>
      <c r="I1132" s="1180"/>
      <c r="J1132" s="1180"/>
    </row>
    <row r="1133" spans="1:10" ht="15" hidden="1" thickBot="1" x14ac:dyDescent="0.35">
      <c r="A1133" s="4"/>
      <c r="B1133" s="1131"/>
      <c r="C1133" s="1131"/>
      <c r="D1133" s="1292"/>
      <c r="E1133" s="1310">
        <f>'Verification Report'!O1133</f>
        <v>0</v>
      </c>
      <c r="F1133"/>
      <c r="I1133" s="1180"/>
      <c r="J1133" s="1180"/>
    </row>
    <row r="1134" spans="1:10" ht="15" hidden="1" customHeight="1" x14ac:dyDescent="0.3">
      <c r="A1134" s="4"/>
      <c r="B1134" s="614" t="s">
        <v>271</v>
      </c>
      <c r="C1134" s="1112"/>
      <c r="D1134" s="1305" t="s">
        <v>1144</v>
      </c>
      <c r="E1134" s="1119"/>
      <c r="F1134"/>
      <c r="I1134" s="1180"/>
      <c r="J1134" s="1180"/>
    </row>
    <row r="1135" spans="1:10" ht="15.75" hidden="1" customHeight="1" x14ac:dyDescent="0.3">
      <c r="A1135" s="4"/>
      <c r="B1135" s="626"/>
      <c r="C1135" s="1113"/>
      <c r="D1135" s="1306"/>
      <c r="E1135" s="1119"/>
      <c r="F1135"/>
      <c r="I1135" s="1180"/>
      <c r="J1135" s="1180"/>
    </row>
    <row r="1136" spans="1:10" ht="15" hidden="1" customHeight="1" x14ac:dyDescent="0.3">
      <c r="A1136" s="4"/>
      <c r="B1136" s="649" t="s">
        <v>273</v>
      </c>
      <c r="C1136" s="1128"/>
      <c r="D1136" s="1356" t="s">
        <v>1145</v>
      </c>
      <c r="E1136" s="1119"/>
      <c r="F1136"/>
      <c r="I1136" s="1180"/>
      <c r="J1136" s="1180"/>
    </row>
    <row r="1137" spans="1:10" ht="15.75" hidden="1" customHeight="1" x14ac:dyDescent="0.3">
      <c r="A1137" s="4"/>
      <c r="B1137" s="626"/>
      <c r="C1137" s="1113"/>
      <c r="D1137" s="1306"/>
      <c r="E1137" s="1119"/>
      <c r="F1137"/>
      <c r="I1137" s="1180"/>
      <c r="J1137" s="1180"/>
    </row>
    <row r="1138" spans="1:10" ht="15" hidden="1" customHeight="1" x14ac:dyDescent="0.3">
      <c r="A1138" s="4"/>
      <c r="B1138" s="649" t="s">
        <v>275</v>
      </c>
      <c r="C1138" s="1128"/>
      <c r="D1138" s="1356" t="s">
        <v>1146</v>
      </c>
      <c r="E1138" s="1119"/>
      <c r="F1138"/>
      <c r="I1138" s="1180"/>
      <c r="J1138" s="1180"/>
    </row>
    <row r="1139" spans="1:10" ht="15.75" hidden="1" customHeight="1" x14ac:dyDescent="0.3">
      <c r="A1139" s="4"/>
      <c r="B1139" s="1113"/>
      <c r="C1139" s="1113"/>
      <c r="D1139" s="1306"/>
      <c r="E1139" s="1119"/>
      <c r="F1139"/>
      <c r="I1139" s="1180"/>
      <c r="J1139" s="1180"/>
    </row>
    <row r="1140" spans="1:10" ht="15" hidden="1" customHeight="1" x14ac:dyDescent="0.3">
      <c r="A1140" s="4"/>
      <c r="B1140" s="649" t="s">
        <v>285</v>
      </c>
      <c r="C1140" s="1128"/>
      <c r="D1140" s="1356" t="s">
        <v>1147</v>
      </c>
      <c r="E1140" s="1119"/>
      <c r="F1140"/>
      <c r="I1140" s="1180"/>
      <c r="J1140" s="1180"/>
    </row>
    <row r="1141" spans="1:10" ht="15.75" hidden="1" customHeight="1" x14ac:dyDescent="0.3">
      <c r="A1141" s="4"/>
      <c r="B1141" s="1113"/>
      <c r="C1141" s="1113"/>
      <c r="D1141" s="1306"/>
      <c r="E1141" s="1119"/>
      <c r="F1141"/>
      <c r="I1141" s="1180"/>
      <c r="J1141" s="1180"/>
    </row>
    <row r="1142" spans="1:10" ht="15" hidden="1" customHeight="1" x14ac:dyDescent="0.3">
      <c r="A1142" s="4"/>
      <c r="B1142" s="649" t="s">
        <v>291</v>
      </c>
      <c r="C1142" s="1128"/>
      <c r="D1142" s="1356" t="s">
        <v>1148</v>
      </c>
      <c r="E1142" s="1119"/>
      <c r="F1142"/>
      <c r="I1142" s="1180"/>
      <c r="J1142" s="1180"/>
    </row>
    <row r="1143" spans="1:10" ht="15.75" hidden="1" customHeight="1" x14ac:dyDescent="0.3">
      <c r="A1143" s="4"/>
      <c r="B1143" s="1113"/>
      <c r="C1143" s="1113"/>
      <c r="D1143" s="1306"/>
      <c r="E1143" s="1119"/>
      <c r="F1143"/>
      <c r="I1143" s="1180"/>
      <c r="J1143" s="1180"/>
    </row>
    <row r="1144" spans="1:10" ht="15" hidden="1" thickBot="1" x14ac:dyDescent="0.35">
      <c r="A1144" s="4"/>
      <c r="B1144" s="260" t="s">
        <v>293</v>
      </c>
      <c r="C1144" s="1131"/>
      <c r="D1144" s="1131" t="s">
        <v>1149</v>
      </c>
      <c r="E1144" s="1119"/>
      <c r="F1144"/>
      <c r="I1144" s="1180"/>
      <c r="J1144" s="1180"/>
    </row>
    <row r="1145" spans="1:10" ht="15" hidden="1" customHeight="1" x14ac:dyDescent="0.3">
      <c r="A1145" s="4"/>
      <c r="B1145" s="1131"/>
      <c r="C1145" s="260" t="s">
        <v>121</v>
      </c>
      <c r="D1145" s="1367" t="s">
        <v>1150</v>
      </c>
      <c r="E1145" s="1119"/>
      <c r="F1145"/>
      <c r="I1145" s="1180"/>
      <c r="J1145" s="1180"/>
    </row>
    <row r="1146" spans="1:10" ht="15.75" hidden="1" customHeight="1" x14ac:dyDescent="0.3">
      <c r="A1146" s="4"/>
      <c r="B1146" s="1131"/>
      <c r="C1146" s="260"/>
      <c r="D1146" s="1367"/>
      <c r="E1146" s="1119"/>
      <c r="F1146"/>
      <c r="I1146" s="1180"/>
      <c r="J1146" s="1180"/>
    </row>
    <row r="1147" spans="1:10" ht="15" hidden="1" thickBot="1" x14ac:dyDescent="0.35">
      <c r="A1147" s="4"/>
      <c r="B1147" s="1131"/>
      <c r="C1147" s="260" t="s">
        <v>122</v>
      </c>
      <c r="D1147" s="1131" t="s">
        <v>1151</v>
      </c>
      <c r="E1147" s="1119"/>
      <c r="F1147"/>
      <c r="I1147" s="1180"/>
      <c r="J1147" s="1180"/>
    </row>
    <row r="1148" spans="1:10" ht="15" hidden="1" customHeight="1" x14ac:dyDescent="0.3">
      <c r="A1148" s="4"/>
      <c r="B1148" s="1112"/>
      <c r="C1148" s="655" t="s">
        <v>123</v>
      </c>
      <c r="D1148" s="1305" t="s">
        <v>1152</v>
      </c>
      <c r="E1148" s="1119"/>
      <c r="F1148"/>
      <c r="I1148" s="1180"/>
      <c r="J1148" s="1180"/>
    </row>
    <row r="1149" spans="1:10" ht="15.75" hidden="1" customHeight="1" x14ac:dyDescent="0.3">
      <c r="A1149" s="4"/>
      <c r="B1149" s="1113"/>
      <c r="C1149" s="1113"/>
      <c r="D1149" s="1306"/>
      <c r="E1149" s="1119"/>
      <c r="F1149"/>
      <c r="I1149" s="1180"/>
      <c r="J1149" s="1180"/>
    </row>
    <row r="1150" spans="1:10" ht="15" hidden="1" customHeight="1" x14ac:dyDescent="0.3">
      <c r="A1150" s="4"/>
      <c r="B1150" s="649" t="s">
        <v>405</v>
      </c>
      <c r="C1150" s="1128"/>
      <c r="D1150" s="1356" t="s">
        <v>3880</v>
      </c>
      <c r="E1150" s="1119"/>
      <c r="F1150"/>
      <c r="I1150" s="1180"/>
      <c r="J1150" s="1180"/>
    </row>
    <row r="1151" spans="1:10" ht="15.75" hidden="1" customHeight="1" x14ac:dyDescent="0.3">
      <c r="A1151" s="4"/>
      <c r="B1151" s="1112"/>
      <c r="C1151" s="1112"/>
      <c r="D1151" s="1305"/>
      <c r="E1151" s="1119"/>
      <c r="F1151"/>
      <c r="I1151" s="1180"/>
      <c r="J1151" s="1180"/>
    </row>
    <row r="1152" spans="1:10" ht="15.75" hidden="1" customHeight="1" x14ac:dyDescent="0.3">
      <c r="A1152" s="4"/>
      <c r="B1152" s="1113"/>
      <c r="C1152" s="1113"/>
      <c r="D1152" s="422" t="s">
        <v>3881</v>
      </c>
      <c r="E1152" s="1119"/>
      <c r="F1152"/>
      <c r="I1152" s="1180"/>
      <c r="J1152" s="1180"/>
    </row>
    <row r="1153" spans="1:10" ht="15" hidden="1" thickBot="1" x14ac:dyDescent="0.35">
      <c r="A1153" s="4"/>
      <c r="B1153" s="650" t="s">
        <v>456</v>
      </c>
      <c r="C1153" s="365"/>
      <c r="D1153" s="365" t="s">
        <v>1153</v>
      </c>
      <c r="E1153" s="1119"/>
      <c r="F1153"/>
      <c r="I1153" s="1180"/>
      <c r="J1153" s="1180"/>
    </row>
    <row r="1154" spans="1:10" ht="15" hidden="1" thickBot="1" x14ac:dyDescent="0.35">
      <c r="A1154" s="4"/>
      <c r="B1154" s="260" t="s">
        <v>458</v>
      </c>
      <c r="C1154" s="1131"/>
      <c r="D1154" s="1131" t="s">
        <v>1154</v>
      </c>
      <c r="E1154" s="1119"/>
      <c r="F1154"/>
      <c r="I1154" s="1180"/>
      <c r="J1154" s="1180"/>
    </row>
    <row r="1155" spans="1:10" ht="15" hidden="1" customHeight="1" x14ac:dyDescent="0.3">
      <c r="A1155" s="140"/>
      <c r="B1155" s="1112"/>
      <c r="C1155" s="1112"/>
      <c r="D1155" s="1394" t="s">
        <v>3877</v>
      </c>
      <c r="E1155" s="1117"/>
      <c r="F1155"/>
      <c r="I1155" s="1180"/>
      <c r="J1155" s="1180"/>
    </row>
    <row r="1156" spans="1:10" ht="15.75" hidden="1" customHeight="1" x14ac:dyDescent="0.3">
      <c r="A1156" s="140"/>
      <c r="B1156" s="1112"/>
      <c r="C1156" s="1112"/>
      <c r="D1156" s="1394"/>
      <c r="E1156" s="1117"/>
      <c r="F1156"/>
      <c r="I1156" s="1180"/>
      <c r="J1156" s="1180"/>
    </row>
    <row r="1157" spans="1:10" ht="15.75" hidden="1" customHeight="1" x14ac:dyDescent="0.3">
      <c r="A1157" s="140"/>
      <c r="B1157" s="1112"/>
      <c r="C1157" s="1112"/>
      <c r="D1157" s="1394"/>
      <c r="E1157" s="1117"/>
      <c r="F1157"/>
      <c r="I1157" s="1180"/>
      <c r="J1157" s="1180"/>
    </row>
    <row r="1158" spans="1:10" ht="15.75" hidden="1" customHeight="1" x14ac:dyDescent="0.3">
      <c r="A1158" s="140"/>
      <c r="B1158" s="1112"/>
      <c r="C1158" s="1112"/>
      <c r="D1158" s="1394"/>
      <c r="E1158" s="1117"/>
      <c r="F1158"/>
      <c r="I1158" s="1180"/>
      <c r="J1158" s="1180"/>
    </row>
    <row r="1159" spans="1:10" ht="15.75" hidden="1" customHeight="1" x14ac:dyDescent="0.3">
      <c r="A1159" s="238"/>
      <c r="B1159" s="1113"/>
      <c r="C1159" s="1113"/>
      <c r="D1159" s="1396"/>
      <c r="E1159" s="1118"/>
      <c r="F1159"/>
      <c r="I1159" s="1180"/>
      <c r="J1159" s="1180"/>
    </row>
    <row r="1160" spans="1:10" ht="15" hidden="1" customHeight="1" x14ac:dyDescent="0.3">
      <c r="A1160" s="630" t="s">
        <v>1155</v>
      </c>
      <c r="B1160" s="1128"/>
      <c r="C1160" s="1128"/>
      <c r="D1160" s="1364" t="s">
        <v>1156</v>
      </c>
      <c r="E1160" s="1324">
        <f ca="1">'Verification Report'!O1160</f>
        <v>0</v>
      </c>
      <c r="F1160"/>
      <c r="I1160" s="1180"/>
      <c r="J1160" s="1180"/>
    </row>
    <row r="1161" spans="1:10" ht="15.75" hidden="1" customHeight="1" x14ac:dyDescent="0.3">
      <c r="A1161" s="238"/>
      <c r="B1161" s="1113"/>
      <c r="C1161" s="1113"/>
      <c r="D1161" s="1350"/>
      <c r="E1161" s="1309">
        <f>'Verification Report'!O1161</f>
        <v>0</v>
      </c>
      <c r="F1161"/>
      <c r="I1161" s="1180"/>
      <c r="J1161" s="1180"/>
    </row>
    <row r="1162" spans="1:10" ht="15" hidden="1" customHeight="1" x14ac:dyDescent="0.3">
      <c r="A1162" s="68" t="s">
        <v>1157</v>
      </c>
      <c r="B1162" s="1131"/>
      <c r="C1162" s="1131"/>
      <c r="D1162" s="1292" t="s">
        <v>1158</v>
      </c>
      <c r="E1162" s="1310">
        <f ca="1">'Verification Report'!O1162</f>
        <v>0</v>
      </c>
      <c r="F1162"/>
      <c r="I1162" s="1180"/>
      <c r="J1162" s="1180"/>
    </row>
    <row r="1163" spans="1:10" ht="15" hidden="1" thickBot="1" x14ac:dyDescent="0.35">
      <c r="A1163" s="4"/>
      <c r="B1163" s="1131"/>
      <c r="C1163" s="1131"/>
      <c r="D1163" s="1292"/>
      <c r="E1163" s="1310">
        <f>'Verification Report'!O1163</f>
        <v>0</v>
      </c>
      <c r="F1163"/>
      <c r="I1163" s="1180"/>
      <c r="J1163" s="1180"/>
    </row>
    <row r="1164" spans="1:10" ht="15" hidden="1" thickBot="1" x14ac:dyDescent="0.35">
      <c r="A1164" s="4"/>
      <c r="B1164" s="1131"/>
      <c r="C1164" s="1131"/>
      <c r="D1164" s="1130" t="s">
        <v>1159</v>
      </c>
      <c r="E1164" s="1119"/>
      <c r="F1164"/>
      <c r="I1164" s="1180"/>
      <c r="J1164" s="1180"/>
    </row>
    <row r="1165" spans="1:10" ht="15" hidden="1" thickBot="1" x14ac:dyDescent="0.35">
      <c r="A1165" s="4"/>
      <c r="B1165" s="1131"/>
      <c r="C1165" s="1131"/>
      <c r="D1165" s="1130" t="s">
        <v>1160</v>
      </c>
      <c r="E1165" s="1119"/>
      <c r="F1165"/>
      <c r="I1165" s="1180"/>
      <c r="J1165" s="1180"/>
    </row>
    <row r="1166" spans="1:10" ht="15" hidden="1" customHeight="1" x14ac:dyDescent="0.3">
      <c r="A1166" s="4"/>
      <c r="B1166" s="264" t="s">
        <v>271</v>
      </c>
      <c r="C1166" s="1131"/>
      <c r="D1166" s="1329" t="s">
        <v>1161</v>
      </c>
      <c r="E1166" s="1119"/>
      <c r="F1166"/>
      <c r="I1166" s="1180"/>
      <c r="J1166" s="1180"/>
    </row>
    <row r="1167" spans="1:10" ht="15" hidden="1" thickBot="1" x14ac:dyDescent="0.35">
      <c r="A1167" s="4"/>
      <c r="B1167" s="1131"/>
      <c r="C1167" s="1131"/>
      <c r="D1167" s="1329"/>
      <c r="E1167" s="1119"/>
      <c r="F1167"/>
      <c r="I1167" s="1180"/>
      <c r="J1167" s="1180"/>
    </row>
    <row r="1168" spans="1:10" ht="15" hidden="1" customHeight="1" x14ac:dyDescent="0.3">
      <c r="A1168" s="4"/>
      <c r="B1168" s="1131"/>
      <c r="C1168" s="260" t="s">
        <v>121</v>
      </c>
      <c r="D1168" s="1329" t="s">
        <v>1162</v>
      </c>
      <c r="E1168" s="1119"/>
      <c r="F1168"/>
      <c r="I1168" s="1180"/>
      <c r="J1168" s="1180"/>
    </row>
    <row r="1169" spans="1:10" ht="15.75" hidden="1" customHeight="1" x14ac:dyDescent="0.3">
      <c r="A1169" s="4"/>
      <c r="B1169" s="1131"/>
      <c r="C1169" s="1131"/>
      <c r="D1169" s="1329"/>
      <c r="E1169" s="1119"/>
      <c r="F1169"/>
      <c r="I1169" s="1180"/>
      <c r="J1169" s="1180"/>
    </row>
    <row r="1170" spans="1:10" ht="15" hidden="1" thickBot="1" x14ac:dyDescent="0.35">
      <c r="A1170" s="4"/>
      <c r="B1170" s="1131"/>
      <c r="C1170" s="260" t="s">
        <v>122</v>
      </c>
      <c r="D1170" s="1131" t="s">
        <v>1163</v>
      </c>
      <c r="E1170" s="1119"/>
      <c r="F1170"/>
      <c r="I1170" s="1180"/>
      <c r="J1170" s="1180"/>
    </row>
    <row r="1171" spans="1:10" ht="15" hidden="1" thickBot="1" x14ac:dyDescent="0.35">
      <c r="A1171" s="4"/>
      <c r="B1171" s="1131"/>
      <c r="C1171" s="261" t="s">
        <v>123</v>
      </c>
      <c r="D1171" s="1131" t="s">
        <v>1164</v>
      </c>
      <c r="E1171" s="1119"/>
      <c r="F1171"/>
      <c r="I1171" s="1180"/>
      <c r="J1171" s="1180"/>
    </row>
    <row r="1172" spans="1:10" ht="15" hidden="1" customHeight="1" x14ac:dyDescent="0.3">
      <c r="A1172" s="4"/>
      <c r="B1172" s="1112"/>
      <c r="C1172" s="1138" t="s">
        <v>423</v>
      </c>
      <c r="D1172" s="1305" t="s">
        <v>1165</v>
      </c>
      <c r="E1172" s="1119"/>
      <c r="F1172"/>
      <c r="I1172" s="1180"/>
      <c r="J1172" s="1180"/>
    </row>
    <row r="1173" spans="1:10" ht="15.75" hidden="1" customHeight="1" x14ac:dyDescent="0.3">
      <c r="A1173" s="4"/>
      <c r="B1173" s="1113"/>
      <c r="C1173" s="1113"/>
      <c r="D1173" s="1306"/>
      <c r="E1173" s="1119"/>
      <c r="F1173"/>
      <c r="I1173" s="1180"/>
      <c r="J1173" s="1180"/>
    </row>
    <row r="1174" spans="1:10" ht="15" hidden="1" customHeight="1" x14ac:dyDescent="0.3">
      <c r="A1174" s="4"/>
      <c r="B1174" s="264" t="s">
        <v>273</v>
      </c>
      <c r="C1174" s="1131"/>
      <c r="D1174" s="1329" t="s">
        <v>1166</v>
      </c>
      <c r="E1174" s="1119"/>
      <c r="F1174"/>
      <c r="I1174" s="1180"/>
      <c r="J1174" s="1180"/>
    </row>
    <row r="1175" spans="1:10" ht="15.75" hidden="1" customHeight="1" x14ac:dyDescent="0.3">
      <c r="A1175" s="4"/>
      <c r="B1175" s="1131"/>
      <c r="C1175" s="1131"/>
      <c r="D1175" s="1329"/>
      <c r="E1175" s="1119"/>
      <c r="F1175"/>
      <c r="I1175" s="1180"/>
      <c r="J1175" s="1180"/>
    </row>
    <row r="1176" spans="1:10" ht="15.75" hidden="1" customHeight="1" x14ac:dyDescent="0.3">
      <c r="A1176" s="4"/>
      <c r="B1176" s="1113"/>
      <c r="C1176" s="1113"/>
      <c r="D1176" s="1145" t="s">
        <v>1167</v>
      </c>
      <c r="E1176" s="1119"/>
      <c r="F1176"/>
      <c r="I1176" s="1180"/>
      <c r="J1176" s="1180"/>
    </row>
    <row r="1177" spans="1:10" ht="15" hidden="1" thickBot="1" x14ac:dyDescent="0.35">
      <c r="A1177" s="4"/>
      <c r="B1177" s="656" t="s">
        <v>275</v>
      </c>
      <c r="C1177" s="365"/>
      <c r="D1177" s="365" t="s">
        <v>1168</v>
      </c>
      <c r="E1177" s="1119"/>
      <c r="F1177"/>
      <c r="I1177" s="1180"/>
      <c r="J1177" s="1180"/>
    </row>
    <row r="1178" spans="1:10" ht="15" hidden="1" customHeight="1" x14ac:dyDescent="0.3">
      <c r="A1178" s="4"/>
      <c r="B1178" s="657" t="s">
        <v>285</v>
      </c>
      <c r="C1178" s="1128"/>
      <c r="D1178" s="1356" t="s">
        <v>1169</v>
      </c>
      <c r="E1178" s="1119"/>
      <c r="F1178"/>
      <c r="I1178" s="1180"/>
      <c r="J1178" s="1180"/>
    </row>
    <row r="1179" spans="1:10" ht="15.75" hidden="1" customHeight="1" x14ac:dyDescent="0.3">
      <c r="A1179" s="4"/>
      <c r="B1179" s="1113"/>
      <c r="C1179" s="1113"/>
      <c r="D1179" s="1306"/>
      <c r="E1179" s="1119"/>
      <c r="F1179"/>
      <c r="I1179" s="1180"/>
      <c r="J1179" s="1180"/>
    </row>
    <row r="1180" spans="1:10" ht="15" hidden="1" customHeight="1" x14ac:dyDescent="0.3">
      <c r="A1180" s="4"/>
      <c r="B1180" s="264" t="s">
        <v>291</v>
      </c>
      <c r="C1180" s="1131"/>
      <c r="D1180" s="1329" t="s">
        <v>1170</v>
      </c>
      <c r="E1180" s="1119"/>
      <c r="F1180"/>
      <c r="I1180" s="1180"/>
      <c r="J1180" s="1180"/>
    </row>
    <row r="1181" spans="1:10" ht="15" hidden="1" thickBot="1" x14ac:dyDescent="0.35">
      <c r="A1181" s="4"/>
      <c r="B1181" s="1131"/>
      <c r="C1181" s="1131"/>
      <c r="D1181" s="1329"/>
      <c r="E1181" s="1119"/>
      <c r="F1181"/>
      <c r="I1181" s="1180"/>
      <c r="J1181" s="1180"/>
    </row>
    <row r="1182" spans="1:10" ht="15" hidden="1" thickBot="1" x14ac:dyDescent="0.35">
      <c r="A1182" s="4"/>
      <c r="B1182" s="1131"/>
      <c r="C1182" s="1131"/>
      <c r="D1182" s="1329"/>
      <c r="E1182" s="1119"/>
      <c r="F1182"/>
      <c r="I1182" s="1180"/>
      <c r="J1182" s="1180"/>
    </row>
    <row r="1183" spans="1:10" ht="15" hidden="1" customHeight="1" x14ac:dyDescent="0.3">
      <c r="A1183" s="4"/>
      <c r="B1183" s="1131"/>
      <c r="C1183" s="260" t="s">
        <v>121</v>
      </c>
      <c r="D1183" s="1329" t="s">
        <v>1171</v>
      </c>
      <c r="E1183" s="1119"/>
      <c r="F1183"/>
      <c r="I1183" s="1180"/>
      <c r="J1183" s="1180"/>
    </row>
    <row r="1184" spans="1:10" ht="15.75" hidden="1" customHeight="1" x14ac:dyDescent="0.3">
      <c r="A1184" s="4"/>
      <c r="B1184" s="1131"/>
      <c r="C1184" s="1131"/>
      <c r="D1184" s="1329"/>
      <c r="E1184" s="1119"/>
      <c r="F1184"/>
      <c r="I1184" s="1180"/>
      <c r="J1184" s="1180"/>
    </row>
    <row r="1185" spans="1:10" ht="15" hidden="1" customHeight="1" x14ac:dyDescent="0.3">
      <c r="A1185" s="4"/>
      <c r="B1185" s="1112"/>
      <c r="C1185" s="614" t="s">
        <v>122</v>
      </c>
      <c r="D1185" s="1305" t="s">
        <v>1172</v>
      </c>
      <c r="E1185" s="1119"/>
      <c r="F1185"/>
      <c r="I1185" s="1180"/>
      <c r="J1185" s="1180"/>
    </row>
    <row r="1186" spans="1:10" ht="15.75" hidden="1" customHeight="1" x14ac:dyDescent="0.3">
      <c r="A1186" s="4"/>
      <c r="B1186" s="1113"/>
      <c r="C1186" s="1113"/>
      <c r="D1186" s="1306"/>
      <c r="E1186" s="1119"/>
      <c r="F1186"/>
      <c r="I1186" s="1180"/>
      <c r="J1186" s="1180"/>
    </row>
    <row r="1187" spans="1:10" ht="15" hidden="1" customHeight="1" x14ac:dyDescent="0.3">
      <c r="A1187" s="140"/>
      <c r="B1187" s="643" t="s">
        <v>293</v>
      </c>
      <c r="C1187" s="1112"/>
      <c r="D1187" s="1305" t="s">
        <v>1173</v>
      </c>
      <c r="E1187" s="1117"/>
      <c r="F1187"/>
      <c r="I1187" s="1180"/>
      <c r="J1187" s="1180"/>
    </row>
    <row r="1188" spans="1:10" ht="15.75" hidden="1" customHeight="1" x14ac:dyDescent="0.3">
      <c r="A1188" s="238"/>
      <c r="B1188" s="1113"/>
      <c r="C1188" s="1113"/>
      <c r="D1188" s="1306"/>
      <c r="E1188" s="1118"/>
      <c r="F1188"/>
      <c r="I1188" s="1180"/>
      <c r="J1188" s="1180"/>
    </row>
    <row r="1189" spans="1:10" ht="15" hidden="1" customHeight="1" x14ac:dyDescent="0.3">
      <c r="A1189" s="68" t="s">
        <v>1174</v>
      </c>
      <c r="B1189" s="1131"/>
      <c r="C1189" s="1131"/>
      <c r="D1189" s="1377" t="s">
        <v>1175</v>
      </c>
      <c r="E1189" s="1310">
        <f ca="1">'Verification Report'!O1189</f>
        <v>0</v>
      </c>
      <c r="F1189"/>
      <c r="I1189" s="1180"/>
      <c r="J1189" s="1180"/>
    </row>
    <row r="1190" spans="1:10" ht="15" hidden="1" thickBot="1" x14ac:dyDescent="0.35">
      <c r="A1190" s="4"/>
      <c r="B1190" s="1131"/>
      <c r="C1190" s="1131"/>
      <c r="D1190" s="1377"/>
      <c r="E1190" s="1310">
        <f>'Verification Report'!O1190</f>
        <v>0</v>
      </c>
      <c r="F1190"/>
      <c r="I1190" s="1180"/>
      <c r="J1190" s="1180"/>
    </row>
    <row r="1191" spans="1:10" ht="15" hidden="1" thickBot="1" x14ac:dyDescent="0.35">
      <c r="A1191" s="4"/>
      <c r="B1191" s="1131"/>
      <c r="C1191" s="1131"/>
      <c r="D1191" s="1131" t="s">
        <v>1176</v>
      </c>
      <c r="E1191" s="1119"/>
      <c r="F1191"/>
      <c r="I1191" s="1180"/>
      <c r="J1191" s="1180"/>
    </row>
    <row r="1192" spans="1:10" ht="15" hidden="1" customHeight="1" x14ac:dyDescent="0.3">
      <c r="A1192" s="4"/>
      <c r="B1192" s="643" t="s">
        <v>271</v>
      </c>
      <c r="C1192" s="1112"/>
      <c r="D1192" s="1305" t="s">
        <v>1177</v>
      </c>
      <c r="E1192" s="1119"/>
      <c r="F1192"/>
      <c r="I1192" s="1180"/>
      <c r="J1192" s="1180"/>
    </row>
    <row r="1193" spans="1:10" ht="15.75" hidden="1" customHeight="1" x14ac:dyDescent="0.3">
      <c r="A1193" s="4"/>
      <c r="B1193" s="1113"/>
      <c r="C1193" s="1113"/>
      <c r="D1193" s="1306"/>
      <c r="E1193" s="1119"/>
      <c r="F1193"/>
      <c r="I1193" s="1180"/>
      <c r="J1193" s="1180"/>
    </row>
    <row r="1194" spans="1:10" ht="15" hidden="1" customHeight="1" x14ac:dyDescent="0.3">
      <c r="A1194" s="4"/>
      <c r="B1194" s="264" t="s">
        <v>273</v>
      </c>
      <c r="C1194" s="1131"/>
      <c r="D1194" s="1367" t="s">
        <v>1178</v>
      </c>
      <c r="E1194" s="1119"/>
      <c r="F1194"/>
      <c r="I1194" s="1180"/>
      <c r="J1194" s="1180"/>
    </row>
    <row r="1195" spans="1:10" ht="15" hidden="1" thickBot="1" x14ac:dyDescent="0.35">
      <c r="A1195" s="4"/>
      <c r="B1195" s="1131"/>
      <c r="C1195" s="1131"/>
      <c r="D1195" s="1367"/>
      <c r="E1195" s="1119"/>
      <c r="F1195"/>
      <c r="I1195" s="1180"/>
      <c r="J1195" s="1180"/>
    </row>
    <row r="1196" spans="1:10" ht="15" hidden="1" customHeight="1" x14ac:dyDescent="0.3">
      <c r="A1196" s="4"/>
      <c r="B1196" s="1131"/>
      <c r="C1196" s="614" t="s">
        <v>121</v>
      </c>
      <c r="D1196" s="1305" t="s">
        <v>1179</v>
      </c>
      <c r="E1196" s="1119"/>
      <c r="F1196"/>
      <c r="I1196" s="1180"/>
      <c r="J1196" s="1180"/>
    </row>
    <row r="1197" spans="1:10" ht="15.75" hidden="1" customHeight="1" x14ac:dyDescent="0.3">
      <c r="A1197" s="4"/>
      <c r="B1197" s="1131"/>
      <c r="C1197" s="1112"/>
      <c r="D1197" s="1305"/>
      <c r="E1197" s="1119"/>
      <c r="F1197"/>
      <c r="I1197" s="1180"/>
      <c r="J1197" s="1180"/>
    </row>
    <row r="1198" spans="1:10" ht="15.75" hidden="1" customHeight="1" x14ac:dyDescent="0.3">
      <c r="A1198" s="4"/>
      <c r="B1198" s="1131"/>
      <c r="C1198" s="1113"/>
      <c r="D1198" s="1306"/>
      <c r="E1198" s="1119"/>
      <c r="F1198"/>
      <c r="I1198" s="1180"/>
      <c r="J1198" s="1180"/>
    </row>
    <row r="1199" spans="1:10" ht="15" hidden="1" customHeight="1" x14ac:dyDescent="0.3">
      <c r="A1199" s="4"/>
      <c r="B1199" s="1131"/>
      <c r="C1199" s="260" t="s">
        <v>122</v>
      </c>
      <c r="D1199" s="1329" t="s">
        <v>1180</v>
      </c>
      <c r="E1199" s="1119"/>
      <c r="F1199"/>
      <c r="I1199" s="1180"/>
      <c r="J1199" s="1180"/>
    </row>
    <row r="1200" spans="1:10" ht="15.75" hidden="1" customHeight="1" x14ac:dyDescent="0.3">
      <c r="A1200" s="4"/>
      <c r="B1200" s="1131"/>
      <c r="C1200" s="1131"/>
      <c r="D1200" s="1329"/>
      <c r="E1200" s="1119"/>
      <c r="F1200"/>
      <c r="I1200" s="1180"/>
      <c r="J1200" s="1180"/>
    </row>
    <row r="1201" spans="1:10" ht="15" hidden="1" customHeight="1" x14ac:dyDescent="0.3">
      <c r="A1201" s="4"/>
      <c r="B1201" s="1131"/>
      <c r="C1201" s="1130" t="s">
        <v>985</v>
      </c>
      <c r="D1201" s="1329" t="s">
        <v>1181</v>
      </c>
      <c r="E1201" s="1119"/>
      <c r="F1201"/>
      <c r="I1201" s="1180"/>
      <c r="J1201" s="1180"/>
    </row>
    <row r="1202" spans="1:10" ht="15.75" hidden="1" customHeight="1" x14ac:dyDescent="0.3">
      <c r="A1202" s="4"/>
      <c r="B1202" s="1131"/>
      <c r="C1202" s="1144"/>
      <c r="D1202" s="1329"/>
      <c r="E1202" s="1119"/>
      <c r="F1202"/>
      <c r="I1202" s="1180"/>
      <c r="J1202" s="1180"/>
    </row>
    <row r="1203" spans="1:10" ht="15" hidden="1" customHeight="1" x14ac:dyDescent="0.3">
      <c r="A1203" s="4"/>
      <c r="B1203" s="1131"/>
      <c r="C1203" s="1130" t="s">
        <v>1182</v>
      </c>
      <c r="D1203" s="1329" t="s">
        <v>1183</v>
      </c>
      <c r="E1203" s="1119"/>
      <c r="F1203"/>
      <c r="I1203" s="1180"/>
      <c r="J1203" s="1180"/>
    </row>
    <row r="1204" spans="1:10" ht="15.75" hidden="1" customHeight="1" x14ac:dyDescent="0.3">
      <c r="A1204" s="4"/>
      <c r="B1204" s="1131"/>
      <c r="C1204" s="1144"/>
      <c r="D1204" s="1329"/>
      <c r="E1204" s="1119"/>
      <c r="F1204"/>
      <c r="I1204" s="1180"/>
      <c r="J1204" s="1180"/>
    </row>
    <row r="1205" spans="1:10" ht="15" hidden="1" customHeight="1" x14ac:dyDescent="0.3">
      <c r="A1205" s="4"/>
      <c r="B1205" s="1131"/>
      <c r="C1205" s="1132" t="s">
        <v>1184</v>
      </c>
      <c r="D1205" s="1305" t="s">
        <v>1185</v>
      </c>
      <c r="E1205" s="1119"/>
      <c r="F1205"/>
      <c r="I1205" s="1180"/>
      <c r="J1205" s="1180"/>
    </row>
    <row r="1206" spans="1:10" ht="15.75" hidden="1" customHeight="1" x14ac:dyDescent="0.3">
      <c r="A1206" s="4"/>
      <c r="B1206" s="1131"/>
      <c r="C1206" s="1113"/>
      <c r="D1206" s="1306"/>
      <c r="E1206" s="1119"/>
      <c r="F1206"/>
      <c r="I1206" s="1180"/>
      <c r="J1206" s="1180"/>
    </row>
    <row r="1207" spans="1:10" ht="15" hidden="1" customHeight="1" x14ac:dyDescent="0.3">
      <c r="A1207" s="4"/>
      <c r="B1207" s="1112"/>
      <c r="C1207" s="614" t="s">
        <v>123</v>
      </c>
      <c r="D1207" s="1305" t="s">
        <v>1186</v>
      </c>
      <c r="E1207" s="1119"/>
      <c r="F1207"/>
      <c r="I1207" s="1180"/>
      <c r="J1207" s="1180"/>
    </row>
    <row r="1208" spans="1:10" ht="15.75" hidden="1" customHeight="1" x14ac:dyDescent="0.3">
      <c r="A1208" s="4"/>
      <c r="B1208" s="1112"/>
      <c r="C1208" s="1112"/>
      <c r="D1208" s="1305"/>
      <c r="E1208" s="1119"/>
      <c r="F1208"/>
      <c r="I1208" s="1180"/>
      <c r="J1208" s="1180"/>
    </row>
    <row r="1209" spans="1:10" ht="15.75" hidden="1" customHeight="1" x14ac:dyDescent="0.3">
      <c r="A1209" s="4"/>
      <c r="B1209" s="1113"/>
      <c r="C1209" s="1113"/>
      <c r="D1209" s="1306"/>
      <c r="E1209" s="1119"/>
      <c r="F1209"/>
      <c r="I1209" s="1180"/>
      <c r="J1209" s="1180"/>
    </row>
    <row r="1210" spans="1:10" ht="15" hidden="1" customHeight="1" x14ac:dyDescent="0.3">
      <c r="A1210" s="4"/>
      <c r="B1210" s="264" t="s">
        <v>275</v>
      </c>
      <c r="C1210" s="1131"/>
      <c r="D1210" s="1329" t="s">
        <v>1187</v>
      </c>
      <c r="E1210" s="1119"/>
      <c r="F1210"/>
      <c r="I1210" s="1180"/>
      <c r="J1210" s="1180"/>
    </row>
    <row r="1211" spans="1:10" ht="15.75" hidden="1" customHeight="1" x14ac:dyDescent="0.3">
      <c r="A1211" s="4"/>
      <c r="B1211" s="1131"/>
      <c r="C1211" s="1131"/>
      <c r="D1211" s="1329"/>
      <c r="E1211" s="1119"/>
      <c r="F1211"/>
      <c r="I1211" s="1180"/>
      <c r="J1211" s="1180"/>
    </row>
    <row r="1212" spans="1:10" ht="18.600000000000001" hidden="1" thickBot="1" x14ac:dyDescent="0.4">
      <c r="A1212" s="14" t="s">
        <v>1188</v>
      </c>
      <c r="B1212" s="87"/>
      <c r="C1212" s="87"/>
      <c r="D1212" s="87"/>
      <c r="E1212" s="594"/>
      <c r="F1212"/>
      <c r="I1212" s="1180"/>
      <c r="J1212" s="1180"/>
    </row>
    <row r="1213" spans="1:10" ht="15" hidden="1" customHeight="1" x14ac:dyDescent="0.3">
      <c r="A1213" s="141">
        <v>704.1</v>
      </c>
      <c r="B1213" s="1112"/>
      <c r="C1213" s="1112"/>
      <c r="D1213" s="1313" t="s">
        <v>1189</v>
      </c>
      <c r="E1213" s="1310">
        <f>'Verification Report'!O1213</f>
        <v>0</v>
      </c>
      <c r="F1213"/>
      <c r="I1213" s="1180"/>
      <c r="J1213" s="1180"/>
    </row>
    <row r="1214" spans="1:10" ht="15.75" hidden="1" customHeight="1" x14ac:dyDescent="0.3">
      <c r="A1214" s="140"/>
      <c r="B1214" s="1112"/>
      <c r="C1214" s="1112"/>
      <c r="D1214" s="1313"/>
      <c r="E1214" s="1310">
        <f>'Verification Report'!O1214</f>
        <v>0</v>
      </c>
      <c r="F1214"/>
      <c r="I1214" s="1180"/>
      <c r="J1214" s="1180"/>
    </row>
    <row r="1215" spans="1:10" ht="15" hidden="1" customHeight="1" x14ac:dyDescent="0.3">
      <c r="A1215" s="140"/>
      <c r="B1215" s="1112"/>
      <c r="C1215" s="1112"/>
      <c r="D1215" s="1313"/>
      <c r="E1215" s="1310">
        <f>'Verification Report'!O1215</f>
        <v>0</v>
      </c>
      <c r="F1215"/>
      <c r="I1215" s="1180"/>
      <c r="J1215" s="1180"/>
    </row>
    <row r="1216" spans="1:10" ht="15.75" hidden="1" customHeight="1" x14ac:dyDescent="0.3">
      <c r="A1216" s="238"/>
      <c r="B1216" s="1113"/>
      <c r="C1216" s="1113"/>
      <c r="D1216" s="1350"/>
      <c r="E1216" s="1310">
        <f>'Verification Report'!O1216</f>
        <v>0</v>
      </c>
      <c r="F1216"/>
      <c r="I1216" s="1180"/>
      <c r="J1216" s="1180"/>
    </row>
    <row r="1217" spans="1:10" ht="15" hidden="1" customHeight="1" x14ac:dyDescent="0.3">
      <c r="A1217" s="66">
        <v>704.2</v>
      </c>
      <c r="B1217" s="1131"/>
      <c r="C1217" s="1131"/>
      <c r="D1217" s="1292" t="s">
        <v>1190</v>
      </c>
      <c r="E1217" s="1310">
        <f>'Verification Report'!O1217</f>
        <v>0</v>
      </c>
      <c r="F1217"/>
      <c r="I1217" s="1180"/>
      <c r="J1217" s="1180"/>
    </row>
    <row r="1218" spans="1:10" ht="15.75" hidden="1" customHeight="1" x14ac:dyDescent="0.3">
      <c r="A1218" s="4"/>
      <c r="B1218" s="1131"/>
      <c r="C1218" s="1131"/>
      <c r="D1218" s="1292"/>
      <c r="E1218" s="1310">
        <f>'Verification Report'!O1218</f>
        <v>0</v>
      </c>
      <c r="F1218"/>
      <c r="I1218" s="1180"/>
      <c r="J1218" s="1180"/>
    </row>
    <row r="1219" spans="1:10" ht="15.75" hidden="1" customHeight="1" x14ac:dyDescent="0.3">
      <c r="A1219" s="4"/>
      <c r="B1219" s="1131"/>
      <c r="C1219" s="1131"/>
      <c r="D1219" s="1292"/>
      <c r="E1219" s="1310">
        <f>'Verification Report'!O1219</f>
        <v>0</v>
      </c>
      <c r="F1219"/>
      <c r="I1219" s="1180"/>
      <c r="J1219" s="1180"/>
    </row>
    <row r="1220" spans="1:10" ht="15.75" hidden="1" customHeight="1" x14ac:dyDescent="0.3">
      <c r="A1220" s="4"/>
      <c r="B1220" s="1131"/>
      <c r="C1220" s="1131"/>
      <c r="D1220" s="1111" t="s">
        <v>3868</v>
      </c>
      <c r="E1220" s="1310">
        <f>'Verification Report'!O1220</f>
        <v>0</v>
      </c>
      <c r="F1220"/>
      <c r="I1220" s="1180"/>
      <c r="J1220" s="1180"/>
    </row>
    <row r="1221" spans="1:10" ht="18.600000000000001" hidden="1" thickBot="1" x14ac:dyDescent="0.4">
      <c r="A1221" s="14" t="s">
        <v>1191</v>
      </c>
      <c r="B1221" s="87"/>
      <c r="C1221" s="87"/>
      <c r="D1221" s="87"/>
      <c r="E1221" s="594"/>
      <c r="F1221"/>
      <c r="I1221" s="1180"/>
      <c r="J1221" s="1180"/>
    </row>
    <row r="1222" spans="1:10" ht="15" hidden="1" thickBot="1" x14ac:dyDescent="0.35">
      <c r="A1222" s="66">
        <v>705.2</v>
      </c>
      <c r="B1222" s="1131"/>
      <c r="C1222" s="1131"/>
      <c r="D1222" s="1135" t="s">
        <v>1192</v>
      </c>
      <c r="E1222" s="1119"/>
      <c r="F1222"/>
      <c r="I1222" s="1180"/>
      <c r="J1222" s="1180"/>
    </row>
    <row r="1223" spans="1:10" ht="15" hidden="1" thickBot="1" x14ac:dyDescent="0.35">
      <c r="A1223" s="68" t="s">
        <v>1193</v>
      </c>
      <c r="B1223" s="1131"/>
      <c r="C1223" s="1131"/>
      <c r="D1223" s="1135" t="s">
        <v>1194</v>
      </c>
      <c r="E1223" s="1119"/>
      <c r="F1223"/>
      <c r="I1223" s="1180"/>
      <c r="J1223" s="1180"/>
    </row>
    <row r="1224" spans="1:10" ht="15" hidden="1" customHeight="1" x14ac:dyDescent="0.3">
      <c r="A1224" s="68"/>
      <c r="B1224" s="1131"/>
      <c r="C1224" s="1131"/>
      <c r="D1224" s="1404" t="s">
        <v>1195</v>
      </c>
      <c r="E1224" s="1119"/>
      <c r="F1224"/>
      <c r="I1224" s="1180"/>
      <c r="J1224" s="1180"/>
    </row>
    <row r="1225" spans="1:10" ht="15" hidden="1" thickBot="1" x14ac:dyDescent="0.35">
      <c r="A1225" s="68"/>
      <c r="B1225" s="1131"/>
      <c r="C1225" s="1131"/>
      <c r="D1225" s="1404"/>
      <c r="E1225" s="1119"/>
      <c r="F1225"/>
      <c r="I1225" s="1180"/>
      <c r="J1225" s="1180"/>
    </row>
    <row r="1226" spans="1:10" ht="15" hidden="1" customHeight="1" x14ac:dyDescent="0.3">
      <c r="A1226" s="68" t="s">
        <v>1196</v>
      </c>
      <c r="B1226" s="1131"/>
      <c r="C1226" s="1131"/>
      <c r="D1226" s="1292" t="s">
        <v>1197</v>
      </c>
      <c r="E1226" s="1310">
        <f ca="1">'Verification Report'!O1226</f>
        <v>0</v>
      </c>
      <c r="F1226"/>
      <c r="I1226" s="1180"/>
      <c r="J1226" s="1180"/>
    </row>
    <row r="1227" spans="1:10" ht="15.75" hidden="1" customHeight="1" x14ac:dyDescent="0.3">
      <c r="A1227" s="4"/>
      <c r="B1227" s="1131"/>
      <c r="C1227" s="1131"/>
      <c r="D1227" s="1292"/>
      <c r="E1227" s="1310">
        <f>'Verification Report'!O1227</f>
        <v>0</v>
      </c>
      <c r="F1227"/>
      <c r="I1227" s="1180"/>
      <c r="J1227" s="1180"/>
    </row>
    <row r="1228" spans="1:10" ht="15.75" hidden="1" customHeight="1" x14ac:dyDescent="0.3">
      <c r="A1228" s="4"/>
      <c r="B1228" s="644" t="s">
        <v>271</v>
      </c>
      <c r="C1228" s="1113"/>
      <c r="D1228" s="1113" t="s">
        <v>1198</v>
      </c>
      <c r="E1228" s="1119"/>
      <c r="F1228"/>
      <c r="I1228" s="1180"/>
      <c r="J1228" s="1180"/>
    </row>
    <row r="1229" spans="1:10" ht="15.75" hidden="1" customHeight="1" x14ac:dyDescent="0.3">
      <c r="A1229" s="238"/>
      <c r="B1229" s="644" t="s">
        <v>273</v>
      </c>
      <c r="C1229" s="1113"/>
      <c r="D1229" s="1113" t="s">
        <v>1199</v>
      </c>
      <c r="E1229" s="1119"/>
      <c r="F1229"/>
      <c r="I1229" s="1180"/>
      <c r="J1229" s="1180"/>
    </row>
    <row r="1230" spans="1:10" ht="15" hidden="1" customHeight="1" x14ac:dyDescent="0.3">
      <c r="A1230" s="606" t="s">
        <v>1200</v>
      </c>
      <c r="B1230" s="643"/>
      <c r="C1230" s="1112"/>
      <c r="D1230" s="1313" t="s">
        <v>1201</v>
      </c>
      <c r="E1230" s="1308">
        <f>'Verification Report'!O1230</f>
        <v>0</v>
      </c>
      <c r="F1230"/>
      <c r="I1230" s="1180"/>
      <c r="J1230" s="1180"/>
    </row>
    <row r="1231" spans="1:10" ht="15.75" hidden="1" customHeight="1" x14ac:dyDescent="0.3">
      <c r="A1231" s="238"/>
      <c r="B1231" s="1113"/>
      <c r="C1231" s="1113"/>
      <c r="D1231" s="1350"/>
      <c r="E1231" s="1309">
        <f>'Verification Report'!O1231</f>
        <v>0</v>
      </c>
      <c r="F1231"/>
      <c r="I1231" s="1180"/>
      <c r="J1231" s="1180"/>
    </row>
    <row r="1232" spans="1:10" ht="15" hidden="1" thickBot="1" x14ac:dyDescent="0.35">
      <c r="A1232" s="68" t="s">
        <v>1202</v>
      </c>
      <c r="B1232" s="1131"/>
      <c r="C1232" s="1131"/>
      <c r="D1232" s="1135" t="s">
        <v>1203</v>
      </c>
      <c r="E1232" s="1119"/>
      <c r="F1232"/>
      <c r="I1232" s="1180"/>
      <c r="J1232" s="1180"/>
    </row>
    <row r="1233" spans="1:10" ht="15" hidden="1" customHeight="1" x14ac:dyDescent="0.3">
      <c r="A1233" s="4"/>
      <c r="B1233" s="264" t="s">
        <v>271</v>
      </c>
      <c r="C1233" s="1131"/>
      <c r="D1233" s="1329" t="s">
        <v>1204</v>
      </c>
      <c r="E1233" s="1310">
        <f ca="1">'Verification Report'!O1233</f>
        <v>0</v>
      </c>
      <c r="F1233"/>
      <c r="I1233" s="1180"/>
      <c r="J1233" s="1180"/>
    </row>
    <row r="1234" spans="1:10" ht="15.75" hidden="1" customHeight="1" x14ac:dyDescent="0.3">
      <c r="A1234" s="4"/>
      <c r="B1234" s="1131"/>
      <c r="C1234" s="1131"/>
      <c r="D1234" s="1329"/>
      <c r="E1234" s="1310">
        <f>'Verification Report'!O1234</f>
        <v>0</v>
      </c>
      <c r="F1234"/>
      <c r="I1234" s="1180"/>
      <c r="J1234" s="1180"/>
    </row>
    <row r="1235" spans="1:10" ht="15.75" hidden="1" customHeight="1" x14ac:dyDescent="0.3">
      <c r="A1235" s="4"/>
      <c r="B1235" s="1131"/>
      <c r="C1235" s="260" t="s">
        <v>121</v>
      </c>
      <c r="D1235" s="1131" t="s">
        <v>1198</v>
      </c>
      <c r="E1235" s="1119"/>
      <c r="F1235"/>
      <c r="I1235" s="1180"/>
      <c r="J1235" s="1180"/>
    </row>
    <row r="1236" spans="1:10" ht="15.75" hidden="1" customHeight="1" x14ac:dyDescent="0.3">
      <c r="A1236" s="4"/>
      <c r="B1236" s="1113"/>
      <c r="C1236" s="626" t="s">
        <v>122</v>
      </c>
      <c r="D1236" s="1113" t="s">
        <v>1199</v>
      </c>
      <c r="E1236" s="1119"/>
      <c r="F1236"/>
      <c r="I1236" s="1180"/>
      <c r="J1236" s="1180"/>
    </row>
    <row r="1237" spans="1:10" ht="15" hidden="1" customHeight="1" x14ac:dyDescent="0.3">
      <c r="A1237" s="4"/>
      <c r="B1237" s="264" t="s">
        <v>273</v>
      </c>
      <c r="C1237" s="1131"/>
      <c r="D1237" s="1329" t="s">
        <v>1205</v>
      </c>
      <c r="E1237" s="1310">
        <f ca="1">'Verification Report'!O1237</f>
        <v>0</v>
      </c>
      <c r="F1237"/>
      <c r="I1237" s="1180"/>
      <c r="J1237" s="1180"/>
    </row>
    <row r="1238" spans="1:10" ht="15.75" hidden="1" customHeight="1" x14ac:dyDescent="0.3">
      <c r="A1238" s="4"/>
      <c r="B1238" s="1131"/>
      <c r="C1238" s="1131"/>
      <c r="D1238" s="1329"/>
      <c r="E1238" s="1310">
        <f>'Verification Report'!O1238</f>
        <v>0</v>
      </c>
      <c r="F1238"/>
      <c r="I1238" s="1180"/>
      <c r="J1238" s="1180"/>
    </row>
    <row r="1239" spans="1:10" ht="15.75" hidden="1" customHeight="1" x14ac:dyDescent="0.3">
      <c r="A1239" s="4"/>
      <c r="B1239" s="1131"/>
      <c r="C1239" s="1131"/>
      <c r="D1239" s="1329"/>
      <c r="E1239" s="1310">
        <f>'Verification Report'!O1239</f>
        <v>0</v>
      </c>
      <c r="F1239"/>
      <c r="I1239" s="1180"/>
      <c r="J1239" s="1180"/>
    </row>
    <row r="1240" spans="1:10" ht="15.75" hidden="1" customHeight="1" x14ac:dyDescent="0.3">
      <c r="A1240" s="140"/>
      <c r="B1240" s="1112"/>
      <c r="C1240" s="614" t="s">
        <v>121</v>
      </c>
      <c r="D1240" s="1112" t="s">
        <v>1206</v>
      </c>
      <c r="E1240" s="1119"/>
      <c r="F1240"/>
      <c r="I1240" s="1180"/>
      <c r="J1240" s="1180"/>
    </row>
    <row r="1241" spans="1:10" ht="15.75" hidden="1" customHeight="1" x14ac:dyDescent="0.3">
      <c r="A1241" s="238"/>
      <c r="B1241" s="1113"/>
      <c r="C1241" s="626" t="s">
        <v>122</v>
      </c>
      <c r="D1241" s="1113" t="s">
        <v>1207</v>
      </c>
      <c r="E1241" s="1118"/>
      <c r="F1241"/>
      <c r="I1241" s="1180"/>
      <c r="J1241" s="1180"/>
    </row>
    <row r="1242" spans="1:10" ht="15" hidden="1" customHeight="1" x14ac:dyDescent="0.3">
      <c r="A1242" s="68" t="s">
        <v>1208</v>
      </c>
      <c r="B1242" s="1131"/>
      <c r="C1242" s="1131"/>
      <c r="D1242" s="1292" t="s">
        <v>1209</v>
      </c>
      <c r="E1242" s="1310">
        <f ca="1">'Verification Report'!O1242</f>
        <v>0</v>
      </c>
      <c r="F1242"/>
      <c r="I1242" s="1180"/>
      <c r="J1242" s="1180"/>
    </row>
    <row r="1243" spans="1:10" ht="15.75" hidden="1" customHeight="1" x14ac:dyDescent="0.3">
      <c r="A1243" s="4"/>
      <c r="B1243" s="1131"/>
      <c r="C1243" s="1131"/>
      <c r="D1243" s="1292"/>
      <c r="E1243" s="1310">
        <f>'Verification Report'!O1243</f>
        <v>0</v>
      </c>
      <c r="F1243"/>
      <c r="I1243" s="1180"/>
      <c r="J1243" s="1180"/>
    </row>
    <row r="1244" spans="1:10" ht="15.75" hidden="1" customHeight="1" x14ac:dyDescent="0.3">
      <c r="A1244" s="4"/>
      <c r="B1244" s="1131"/>
      <c r="C1244" s="1131"/>
      <c r="D1244" s="1292"/>
      <c r="E1244" s="1310">
        <f>'Verification Report'!O1244</f>
        <v>0</v>
      </c>
      <c r="F1244"/>
      <c r="I1244" s="1180"/>
      <c r="J1244" s="1180"/>
    </row>
    <row r="1245" spans="1:10" ht="15.75" hidden="1" customHeight="1" x14ac:dyDescent="0.3">
      <c r="A1245" s="4"/>
      <c r="B1245" s="644" t="s">
        <v>271</v>
      </c>
      <c r="C1245" s="1113"/>
      <c r="D1245" s="1113" t="s">
        <v>1206</v>
      </c>
      <c r="E1245" s="1119"/>
      <c r="F1245"/>
      <c r="I1245" s="1180"/>
      <c r="J1245" s="1180"/>
    </row>
    <row r="1246" spans="1:10" ht="15.75" hidden="1" customHeight="1" x14ac:dyDescent="0.3">
      <c r="A1246" s="238"/>
      <c r="B1246" s="644" t="s">
        <v>273</v>
      </c>
      <c r="C1246" s="1113"/>
      <c r="D1246" s="1113" t="s">
        <v>1210</v>
      </c>
      <c r="E1246" s="1118"/>
      <c r="F1246"/>
      <c r="I1246" s="1180"/>
      <c r="J1246" s="1180"/>
    </row>
    <row r="1247" spans="1:10" ht="15" hidden="1" customHeight="1" x14ac:dyDescent="0.3">
      <c r="A1247" s="630" t="s">
        <v>1211</v>
      </c>
      <c r="B1247" s="1128"/>
      <c r="C1247" s="1128"/>
      <c r="D1247" s="1364" t="s">
        <v>1212</v>
      </c>
      <c r="E1247" s="1324">
        <f>'Verification Report'!O1247</f>
        <v>0</v>
      </c>
      <c r="F1247"/>
      <c r="I1247" s="1180"/>
      <c r="J1247" s="1180"/>
    </row>
    <row r="1248" spans="1:10" ht="15.75" hidden="1" customHeight="1" x14ac:dyDescent="0.3">
      <c r="A1248" s="140"/>
      <c r="B1248" s="1112"/>
      <c r="C1248" s="1112"/>
      <c r="D1248" s="1313"/>
      <c r="E1248" s="1308">
        <f>'Verification Report'!O1248</f>
        <v>0</v>
      </c>
      <c r="F1248"/>
      <c r="I1248" s="1180"/>
      <c r="J1248" s="1180"/>
    </row>
    <row r="1249" spans="1:10" ht="15.75" hidden="1" customHeight="1" x14ac:dyDescent="0.3">
      <c r="A1249" s="238"/>
      <c r="B1249" s="1113"/>
      <c r="C1249" s="1113"/>
      <c r="D1249" s="1145" t="s">
        <v>1101</v>
      </c>
      <c r="E1249" s="1118"/>
      <c r="F1249"/>
      <c r="I1249" s="1180"/>
      <c r="J1249" s="1180"/>
    </row>
    <row r="1250" spans="1:10" ht="15" hidden="1" customHeight="1" x14ac:dyDescent="0.3">
      <c r="A1250" s="630" t="s">
        <v>1213</v>
      </c>
      <c r="B1250" s="1128"/>
      <c r="C1250" s="1128"/>
      <c r="D1250" s="1364" t="s">
        <v>1214</v>
      </c>
      <c r="E1250" s="1324">
        <f>'Verification Report'!O1250</f>
        <v>0</v>
      </c>
      <c r="F1250"/>
      <c r="I1250" s="1180"/>
      <c r="J1250" s="1180"/>
    </row>
    <row r="1251" spans="1:10" ht="15.75" hidden="1" customHeight="1" x14ac:dyDescent="0.3">
      <c r="A1251" s="238"/>
      <c r="B1251" s="1113"/>
      <c r="C1251" s="1113"/>
      <c r="D1251" s="1350"/>
      <c r="E1251" s="1309">
        <f>'Verification Report'!O1251</f>
        <v>0</v>
      </c>
      <c r="F1251"/>
      <c r="I1251" s="1180"/>
      <c r="J1251" s="1180"/>
    </row>
    <row r="1252" spans="1:10" ht="15" hidden="1" customHeight="1" x14ac:dyDescent="0.3">
      <c r="A1252" s="606" t="s">
        <v>1215</v>
      </c>
      <c r="B1252" s="1112"/>
      <c r="C1252" s="1112"/>
      <c r="D1252" s="1313" t="s">
        <v>1216</v>
      </c>
      <c r="E1252" s="1308">
        <f>'Verification Report'!O1252</f>
        <v>0</v>
      </c>
      <c r="F1252"/>
      <c r="I1252" s="1180"/>
      <c r="J1252" s="1180"/>
    </row>
    <row r="1253" spans="1:10" ht="15.75" hidden="1" customHeight="1" x14ac:dyDescent="0.3">
      <c r="A1253" s="140"/>
      <c r="B1253" s="1112"/>
      <c r="C1253" s="1112"/>
      <c r="D1253" s="1313"/>
      <c r="E1253" s="1308">
        <f>'Verification Report'!O1253</f>
        <v>0</v>
      </c>
      <c r="F1253"/>
      <c r="I1253" s="1180"/>
      <c r="J1253" s="1180"/>
    </row>
    <row r="1254" spans="1:10" ht="15.75" hidden="1" customHeight="1" thickBot="1" x14ac:dyDescent="0.35">
      <c r="A1254" s="270"/>
      <c r="B1254" s="1127"/>
      <c r="C1254" s="1127"/>
      <c r="D1254" s="1332"/>
      <c r="E1254" s="1315">
        <f>'Verification Report'!O1254</f>
        <v>0</v>
      </c>
      <c r="F1254"/>
      <c r="I1254" s="1180"/>
      <c r="J1254" s="1180"/>
    </row>
    <row r="1255" spans="1:10" ht="15.6" hidden="1" thickTop="1" thickBot="1" x14ac:dyDescent="0.35">
      <c r="A1255" s="455">
        <v>705.3</v>
      </c>
      <c r="B1255" s="617"/>
      <c r="C1255" s="617"/>
      <c r="D1255" s="457" t="s">
        <v>1217</v>
      </c>
      <c r="E1255" s="603">
        <f>'Verification Report'!O1255</f>
        <v>0</v>
      </c>
      <c r="F1255"/>
      <c r="I1255" s="1180"/>
      <c r="J1255" s="1180"/>
    </row>
    <row r="1256" spans="1:10" ht="15.75" hidden="1" customHeight="1" thickTop="1" x14ac:dyDescent="0.3">
      <c r="A1256" s="200">
        <v>705.4</v>
      </c>
      <c r="B1256" s="616"/>
      <c r="C1256" s="616"/>
      <c r="D1256" s="1331" t="s">
        <v>1218</v>
      </c>
      <c r="E1256" s="1336">
        <f>'Verification Report'!O1256</f>
        <v>0</v>
      </c>
      <c r="F1256"/>
      <c r="I1256" s="1180"/>
      <c r="J1256" s="1180"/>
    </row>
    <row r="1257" spans="1:10" ht="15.75" hidden="1" customHeight="1" x14ac:dyDescent="0.3">
      <c r="A1257" s="140"/>
      <c r="B1257" s="1112"/>
      <c r="C1257" s="1112"/>
      <c r="D1257" s="1313"/>
      <c r="E1257" s="1308">
        <f>'Verification Report'!O1257</f>
        <v>0</v>
      </c>
      <c r="F1257"/>
      <c r="I1257" s="1180"/>
      <c r="J1257" s="1180"/>
    </row>
    <row r="1258" spans="1:10" ht="15.75" hidden="1" customHeight="1" thickBot="1" x14ac:dyDescent="0.35">
      <c r="A1258" s="270"/>
      <c r="B1258" s="1127"/>
      <c r="C1258" s="1127"/>
      <c r="D1258" s="1332"/>
      <c r="E1258" s="1315">
        <f>'Verification Report'!O1258</f>
        <v>0</v>
      </c>
      <c r="F1258"/>
      <c r="I1258" s="1180"/>
      <c r="J1258" s="1180"/>
    </row>
    <row r="1259" spans="1:10" ht="15" hidden="1" thickBot="1" x14ac:dyDescent="0.35">
      <c r="A1259" s="66">
        <v>705.5</v>
      </c>
      <c r="B1259" s="1131"/>
      <c r="C1259" s="1131"/>
      <c r="D1259" s="1135" t="s">
        <v>1219</v>
      </c>
      <c r="E1259" s="1119"/>
      <c r="F1259"/>
      <c r="I1259" s="1180"/>
      <c r="J1259" s="1180"/>
    </row>
    <row r="1260" spans="1:10" ht="15" hidden="1" customHeight="1" x14ac:dyDescent="0.3">
      <c r="A1260" s="606" t="s">
        <v>1220</v>
      </c>
      <c r="B1260" s="1112"/>
      <c r="C1260" s="1112"/>
      <c r="D1260" s="1313" t="s">
        <v>1221</v>
      </c>
      <c r="E1260" s="1308">
        <f>'Verification Report'!O1260</f>
        <v>0</v>
      </c>
      <c r="F1260"/>
      <c r="I1260" s="1180"/>
      <c r="J1260" s="1180"/>
    </row>
    <row r="1261" spans="1:10" ht="15.75" hidden="1" customHeight="1" x14ac:dyDescent="0.3">
      <c r="A1261" s="140"/>
      <c r="B1261" s="1112"/>
      <c r="C1261" s="1112"/>
      <c r="D1261" s="1313"/>
      <c r="E1261" s="1308">
        <f>'Verification Report'!O1261</f>
        <v>0</v>
      </c>
      <c r="F1261"/>
      <c r="I1261" s="1180"/>
      <c r="J1261" s="1180"/>
    </row>
    <row r="1262" spans="1:10" ht="15.75" hidden="1" customHeight="1" x14ac:dyDescent="0.3">
      <c r="A1262" s="140"/>
      <c r="B1262" s="1112"/>
      <c r="C1262" s="1112"/>
      <c r="D1262" s="1313"/>
      <c r="E1262" s="1308">
        <f>'Verification Report'!O1262</f>
        <v>0</v>
      </c>
      <c r="F1262"/>
      <c r="I1262" s="1180"/>
      <c r="J1262" s="1180"/>
    </row>
    <row r="1263" spans="1:10" ht="15.75" hidden="1" customHeight="1" x14ac:dyDescent="0.3">
      <c r="A1263" s="140"/>
      <c r="B1263" s="1112"/>
      <c r="C1263" s="1112"/>
      <c r="D1263" s="1313"/>
      <c r="E1263" s="1308">
        <f>'Verification Report'!O1263</f>
        <v>0</v>
      </c>
      <c r="F1263"/>
      <c r="I1263" s="1180"/>
      <c r="J1263" s="1180"/>
    </row>
    <row r="1264" spans="1:10" ht="15.75" hidden="1" customHeight="1" x14ac:dyDescent="0.3">
      <c r="A1264" s="238"/>
      <c r="B1264" s="1113"/>
      <c r="C1264" s="1113"/>
      <c r="D1264" s="1350"/>
      <c r="E1264" s="1309">
        <f>'Verification Report'!O1264</f>
        <v>0</v>
      </c>
      <c r="F1264"/>
      <c r="I1264" s="1180"/>
      <c r="J1264" s="1180"/>
    </row>
    <row r="1265" spans="1:10" ht="15" hidden="1" customHeight="1" x14ac:dyDescent="0.3">
      <c r="A1265" s="68" t="s">
        <v>1222</v>
      </c>
      <c r="B1265" s="1131"/>
      <c r="C1265" s="1131"/>
      <c r="D1265" s="1292" t="s">
        <v>1223</v>
      </c>
      <c r="E1265" s="1310">
        <f>'Verification Report'!O1265</f>
        <v>0</v>
      </c>
      <c r="F1265"/>
      <c r="I1265" s="1180"/>
      <c r="J1265" s="1180"/>
    </row>
    <row r="1266" spans="1:10" ht="15.75" hidden="1" customHeight="1" x14ac:dyDescent="0.3">
      <c r="A1266" s="4"/>
      <c r="B1266" s="1131"/>
      <c r="C1266" s="1131"/>
      <c r="D1266" s="1292"/>
      <c r="E1266" s="1310">
        <f>'Verification Report'!O1266</f>
        <v>0</v>
      </c>
      <c r="F1266"/>
      <c r="I1266" s="1180"/>
      <c r="J1266" s="1180"/>
    </row>
    <row r="1267" spans="1:10" ht="15" hidden="1" thickBot="1" x14ac:dyDescent="0.35">
      <c r="A1267" s="4"/>
      <c r="B1267" s="264" t="s">
        <v>271</v>
      </c>
      <c r="C1267" s="1131"/>
      <c r="D1267" s="1131" t="s">
        <v>1224</v>
      </c>
      <c r="E1267" s="1119"/>
      <c r="F1267"/>
      <c r="I1267" s="1180"/>
      <c r="J1267" s="1180"/>
    </row>
    <row r="1268" spans="1:10" ht="15" hidden="1" thickBot="1" x14ac:dyDescent="0.35">
      <c r="A1268" s="4"/>
      <c r="B1268" s="644" t="s">
        <v>273</v>
      </c>
      <c r="C1268" s="1113"/>
      <c r="D1268" s="1113" t="s">
        <v>1225</v>
      </c>
      <c r="E1268" s="1119"/>
      <c r="F1268"/>
      <c r="I1268" s="1180"/>
      <c r="J1268" s="1180"/>
    </row>
    <row r="1269" spans="1:10" ht="15" hidden="1" thickBot="1" x14ac:dyDescent="0.35">
      <c r="A1269" s="4"/>
      <c r="B1269" s="656" t="s">
        <v>275</v>
      </c>
      <c r="C1269" s="365"/>
      <c r="D1269" s="365" t="s">
        <v>1226</v>
      </c>
      <c r="E1269" s="1119"/>
      <c r="F1269"/>
      <c r="I1269" s="1180"/>
      <c r="J1269" s="1180"/>
    </row>
    <row r="1270" spans="1:10" ht="15" hidden="1" thickBot="1" x14ac:dyDescent="0.35">
      <c r="A1270" s="140"/>
      <c r="B1270" s="656" t="s">
        <v>285</v>
      </c>
      <c r="C1270" s="365"/>
      <c r="D1270" s="365" t="s">
        <v>1227</v>
      </c>
      <c r="E1270" s="1117"/>
      <c r="F1270"/>
      <c r="I1270" s="1180"/>
      <c r="J1270" s="1180"/>
    </row>
    <row r="1271" spans="1:10" ht="15" hidden="1" thickBot="1" x14ac:dyDescent="0.35">
      <c r="A1271" s="140"/>
      <c r="B1271" s="656" t="s">
        <v>291</v>
      </c>
      <c r="C1271" s="365"/>
      <c r="D1271" s="365" t="s">
        <v>1228</v>
      </c>
      <c r="E1271" s="1117"/>
      <c r="F1271"/>
      <c r="I1271" s="1180"/>
      <c r="J1271" s="1180"/>
    </row>
    <row r="1272" spans="1:10" ht="15" hidden="1" thickBot="1" x14ac:dyDescent="0.35">
      <c r="A1272" s="270"/>
      <c r="B1272" s="646" t="s">
        <v>293</v>
      </c>
      <c r="C1272" s="1127"/>
      <c r="D1272" s="1127" t="s">
        <v>1229</v>
      </c>
      <c r="E1272" s="1120"/>
      <c r="F1272"/>
      <c r="I1272" s="1180"/>
      <c r="J1272" s="1180"/>
    </row>
    <row r="1273" spans="1:10" ht="15" hidden="1" thickBot="1" x14ac:dyDescent="0.35">
      <c r="A1273" s="152">
        <v>705.6</v>
      </c>
      <c r="B1273" s="1131"/>
      <c r="C1273" s="1131"/>
      <c r="D1273" s="1135" t="s">
        <v>1230</v>
      </c>
      <c r="E1273" s="1119"/>
      <c r="F1273"/>
      <c r="I1273" s="1180"/>
      <c r="J1273" s="1180"/>
    </row>
    <row r="1274" spans="1:10" ht="15" hidden="1" customHeight="1" x14ac:dyDescent="0.3">
      <c r="A1274" s="606" t="s">
        <v>1231</v>
      </c>
      <c r="B1274" s="1112"/>
      <c r="C1274" s="1112"/>
      <c r="D1274" s="1313" t="s">
        <v>1232</v>
      </c>
      <c r="E1274" s="1308">
        <f>'Verification Report'!O1274</f>
        <v>0</v>
      </c>
      <c r="F1274"/>
      <c r="I1274" s="1180"/>
      <c r="J1274" s="1180"/>
    </row>
    <row r="1275" spans="1:10" ht="15.75" hidden="1" customHeight="1" x14ac:dyDescent="0.3">
      <c r="A1275" s="140"/>
      <c r="B1275" s="1112"/>
      <c r="C1275" s="1112"/>
      <c r="D1275" s="1313"/>
      <c r="E1275" s="1308">
        <f>'Verification Report'!O1275</f>
        <v>0</v>
      </c>
      <c r="F1275"/>
      <c r="I1275" s="1180"/>
      <c r="J1275" s="1180"/>
    </row>
    <row r="1276" spans="1:10" ht="15.75" hidden="1" customHeight="1" x14ac:dyDescent="0.3">
      <c r="A1276" s="140"/>
      <c r="B1276" s="1112"/>
      <c r="C1276" s="1112"/>
      <c r="D1276" s="1313"/>
      <c r="E1276" s="1308">
        <f>'Verification Report'!O1276</f>
        <v>0</v>
      </c>
      <c r="F1276"/>
      <c r="I1276" s="1180"/>
      <c r="J1276" s="1180"/>
    </row>
    <row r="1277" spans="1:10" ht="15.75" hidden="1" customHeight="1" x14ac:dyDescent="0.3">
      <c r="A1277" s="140"/>
      <c r="B1277" s="1112"/>
      <c r="C1277" s="1112"/>
      <c r="D1277" s="1313"/>
      <c r="E1277" s="1308">
        <f>'Verification Report'!O1277</f>
        <v>0</v>
      </c>
      <c r="F1277"/>
      <c r="I1277" s="1180"/>
      <c r="J1277" s="1180"/>
    </row>
    <row r="1278" spans="1:10" ht="15.75" hidden="1" customHeight="1" x14ac:dyDescent="0.3">
      <c r="A1278" s="140"/>
      <c r="B1278" s="1112"/>
      <c r="C1278" s="1112"/>
      <c r="D1278" s="1313"/>
      <c r="E1278" s="1308">
        <f>'Verification Report'!O1278</f>
        <v>0</v>
      </c>
      <c r="F1278"/>
      <c r="I1278" s="1180"/>
      <c r="J1278" s="1180"/>
    </row>
    <row r="1279" spans="1:10" ht="15.75" hidden="1" customHeight="1" x14ac:dyDescent="0.3">
      <c r="A1279" s="238"/>
      <c r="B1279" s="1113"/>
      <c r="C1279" s="1113"/>
      <c r="D1279" s="1350"/>
      <c r="E1279" s="1309">
        <f>'Verification Report'!O1279</f>
        <v>0</v>
      </c>
      <c r="F1279"/>
      <c r="I1279" s="1180"/>
      <c r="J1279" s="1180"/>
    </row>
    <row r="1280" spans="1:10" ht="15" hidden="1" thickBot="1" x14ac:dyDescent="0.35">
      <c r="A1280" s="68" t="s">
        <v>3869</v>
      </c>
      <c r="B1280" s="1131"/>
      <c r="C1280" s="1131"/>
      <c r="D1280" s="1135" t="s">
        <v>3870</v>
      </c>
      <c r="E1280" s="1119"/>
      <c r="F1280"/>
      <c r="I1280" s="1180"/>
      <c r="J1280" s="1180"/>
    </row>
    <row r="1281" spans="1:10" ht="15" hidden="1" customHeight="1" x14ac:dyDescent="0.3">
      <c r="A1281" s="68" t="s">
        <v>1234</v>
      </c>
      <c r="B1281" s="1131"/>
      <c r="C1281" s="1131"/>
      <c r="D1281" s="1292" t="s">
        <v>1235</v>
      </c>
      <c r="E1281" s="1119"/>
      <c r="F1281"/>
      <c r="I1281" s="1180"/>
      <c r="J1281" s="1180"/>
    </row>
    <row r="1282" spans="1:10" ht="15" hidden="1" thickBot="1" x14ac:dyDescent="0.35">
      <c r="A1282" s="4"/>
      <c r="B1282" s="1131"/>
      <c r="C1282" s="1131"/>
      <c r="D1282" s="1292"/>
      <c r="E1282" s="1119"/>
      <c r="F1282"/>
      <c r="I1282" s="1180"/>
      <c r="J1282" s="1180"/>
    </row>
    <row r="1283" spans="1:10" ht="15" hidden="1" thickBot="1" x14ac:dyDescent="0.35">
      <c r="A1283" s="4"/>
      <c r="B1283" s="1131"/>
      <c r="C1283" s="1131"/>
      <c r="D1283" s="1292"/>
      <c r="E1283" s="1119"/>
      <c r="F1283"/>
      <c r="I1283" s="1180"/>
      <c r="J1283" s="1180"/>
    </row>
    <row r="1284" spans="1:10" ht="15" hidden="1" customHeight="1" x14ac:dyDescent="0.3">
      <c r="A1284" s="4"/>
      <c r="B1284" s="1131"/>
      <c r="C1284" s="1131"/>
      <c r="D1284" s="1365" t="s">
        <v>1233</v>
      </c>
      <c r="E1284" s="1119"/>
      <c r="F1284"/>
      <c r="I1284" s="1180"/>
      <c r="J1284" s="1180"/>
    </row>
    <row r="1285" spans="1:10" ht="15" hidden="1" thickBot="1" x14ac:dyDescent="0.35">
      <c r="A1285" s="4"/>
      <c r="B1285" s="1131"/>
      <c r="C1285" s="1131"/>
      <c r="D1285" s="1365"/>
      <c r="E1285" s="1119"/>
      <c r="F1285"/>
      <c r="I1285" s="1180"/>
      <c r="J1285" s="1180"/>
    </row>
    <row r="1286" spans="1:10" ht="15" hidden="1" thickBot="1" x14ac:dyDescent="0.35">
      <c r="A1286" s="4"/>
      <c r="B1286" s="1131"/>
      <c r="C1286" s="1131"/>
      <c r="D1286" s="1130" t="s">
        <v>3872</v>
      </c>
      <c r="E1286" s="1119"/>
      <c r="F1286"/>
      <c r="I1286" s="1180"/>
      <c r="J1286" s="1180"/>
    </row>
    <row r="1287" spans="1:10" ht="15" hidden="1" thickBot="1" x14ac:dyDescent="0.35">
      <c r="A1287" s="4"/>
      <c r="B1287" s="644" t="s">
        <v>271</v>
      </c>
      <c r="C1287" s="1113"/>
      <c r="D1287" s="1113" t="s">
        <v>1236</v>
      </c>
      <c r="E1287" s="1118">
        <f>'Verification Report'!O1287</f>
        <v>0</v>
      </c>
      <c r="F1287"/>
      <c r="I1287" s="1180"/>
      <c r="J1287" s="1180"/>
    </row>
    <row r="1288" spans="1:10" ht="15.75" hidden="1" customHeight="1" x14ac:dyDescent="0.3">
      <c r="A1288" s="4"/>
      <c r="B1288" s="264" t="s">
        <v>273</v>
      </c>
      <c r="C1288" s="1131"/>
      <c r="D1288" s="1131" t="s">
        <v>1237</v>
      </c>
      <c r="E1288" s="1119">
        <f>'Verification Report'!O1288</f>
        <v>0</v>
      </c>
      <c r="F1288"/>
      <c r="I1288" s="1180"/>
      <c r="J1288" s="1180"/>
    </row>
    <row r="1289" spans="1:10" ht="15" hidden="1" customHeight="1" x14ac:dyDescent="0.3">
      <c r="A1289" s="140"/>
      <c r="B1289" s="643"/>
      <c r="C1289" s="1112"/>
      <c r="D1289" s="1394" t="s">
        <v>3873</v>
      </c>
      <c r="E1289" s="1119"/>
      <c r="F1289"/>
      <c r="I1289" s="1180"/>
      <c r="J1289" s="1180"/>
    </row>
    <row r="1290" spans="1:10" ht="15.75" hidden="1" customHeight="1" x14ac:dyDescent="0.3">
      <c r="A1290" s="238"/>
      <c r="B1290" s="644"/>
      <c r="C1290" s="1113"/>
      <c r="D1290" s="1396"/>
      <c r="E1290" s="1119"/>
      <c r="F1290"/>
      <c r="I1290" s="1180"/>
      <c r="J1290" s="1180"/>
    </row>
    <row r="1291" spans="1:10" ht="15" hidden="1" customHeight="1" x14ac:dyDescent="0.3">
      <c r="A1291" s="68" t="s">
        <v>1238</v>
      </c>
      <c r="B1291" s="1131"/>
      <c r="C1291" s="1131"/>
      <c r="D1291" s="1292" t="s">
        <v>1239</v>
      </c>
      <c r="E1291" s="1310">
        <f>'Verification Report'!O1291</f>
        <v>0</v>
      </c>
      <c r="F1291"/>
      <c r="I1291" s="1180"/>
      <c r="J1291" s="1180"/>
    </row>
    <row r="1292" spans="1:10" ht="15.75" hidden="1" customHeight="1" x14ac:dyDescent="0.3">
      <c r="A1292" s="4"/>
      <c r="B1292" s="1131"/>
      <c r="C1292" s="1131"/>
      <c r="D1292" s="1292"/>
      <c r="E1292" s="1310">
        <f>'Verification Report'!O1292</f>
        <v>0</v>
      </c>
      <c r="F1292"/>
      <c r="I1292" s="1180"/>
      <c r="J1292" s="1180"/>
    </row>
    <row r="1293" spans="1:10" ht="15.75" hidden="1" customHeight="1" x14ac:dyDescent="0.3">
      <c r="A1293" s="4"/>
      <c r="B1293" s="1131"/>
      <c r="C1293" s="1131"/>
      <c r="D1293" s="1292"/>
      <c r="E1293" s="1310">
        <f>'Verification Report'!O1293</f>
        <v>0</v>
      </c>
      <c r="F1293"/>
      <c r="I1293" s="1180"/>
      <c r="J1293" s="1180"/>
    </row>
    <row r="1294" spans="1:10" ht="15" hidden="1" customHeight="1" x14ac:dyDescent="0.3">
      <c r="A1294" s="4"/>
      <c r="B1294" s="643" t="s">
        <v>271</v>
      </c>
      <c r="C1294" s="1112"/>
      <c r="D1294" s="1305" t="s">
        <v>1240</v>
      </c>
      <c r="E1294" s="1119"/>
      <c r="F1294"/>
      <c r="I1294" s="1180"/>
      <c r="J1294" s="1180"/>
    </row>
    <row r="1295" spans="1:10" ht="15.75" hidden="1" customHeight="1" x14ac:dyDescent="0.3">
      <c r="A1295" s="4"/>
      <c r="B1295" s="644"/>
      <c r="C1295" s="1113"/>
      <c r="D1295" s="1306"/>
      <c r="E1295" s="1119"/>
      <c r="F1295"/>
      <c r="I1295" s="1180"/>
      <c r="J1295" s="1180"/>
    </row>
    <row r="1296" spans="1:10" ht="15.75" hidden="1" customHeight="1" x14ac:dyDescent="0.3">
      <c r="A1296" s="4"/>
      <c r="B1296" s="264" t="s">
        <v>273</v>
      </c>
      <c r="C1296" s="1131"/>
      <c r="D1296" s="1131" t="s">
        <v>1241</v>
      </c>
      <c r="E1296" s="1119"/>
      <c r="F1296"/>
      <c r="I1296" s="1180"/>
      <c r="J1296" s="1180"/>
    </row>
    <row r="1297" spans="1:10" ht="15" hidden="1" customHeight="1" x14ac:dyDescent="0.3">
      <c r="A1297" s="140"/>
      <c r="B1297" s="643"/>
      <c r="C1297" s="1112"/>
      <c r="D1297" s="1394" t="s">
        <v>3874</v>
      </c>
      <c r="E1297" s="1119"/>
      <c r="F1297"/>
      <c r="I1297" s="1180"/>
      <c r="J1297" s="1180"/>
    </row>
    <row r="1298" spans="1:10" ht="15.75" hidden="1" customHeight="1" x14ac:dyDescent="0.3">
      <c r="A1298" s="238"/>
      <c r="B1298" s="644"/>
      <c r="C1298" s="1113"/>
      <c r="D1298" s="1396"/>
      <c r="E1298" s="1119"/>
      <c r="F1298"/>
      <c r="I1298" s="1180"/>
      <c r="J1298" s="1180"/>
    </row>
    <row r="1299" spans="1:10" ht="15.75" hidden="1" customHeight="1" x14ac:dyDescent="0.3">
      <c r="A1299" s="68" t="s">
        <v>1242</v>
      </c>
      <c r="B1299" s="1131"/>
      <c r="C1299" s="1131"/>
      <c r="D1299" s="1135" t="s">
        <v>1243</v>
      </c>
      <c r="E1299" s="1310">
        <f ca="1">'Verification Report'!O1299</f>
        <v>0</v>
      </c>
      <c r="F1299"/>
      <c r="I1299" s="1180"/>
      <c r="J1299" s="1180"/>
    </row>
    <row r="1300" spans="1:10" ht="15.75" hidden="1" customHeight="1" x14ac:dyDescent="0.3">
      <c r="A1300" s="4"/>
      <c r="B1300" s="1131"/>
      <c r="C1300" s="1131"/>
      <c r="D1300" s="1130" t="s">
        <v>1244</v>
      </c>
      <c r="E1300" s="1310">
        <f>'Verification Report'!O1300</f>
        <v>0</v>
      </c>
      <c r="F1300"/>
      <c r="I1300" s="1180"/>
      <c r="J1300" s="1180"/>
    </row>
    <row r="1301" spans="1:10" ht="15.75" hidden="1" customHeight="1" x14ac:dyDescent="0.3">
      <c r="A1301" s="4"/>
      <c r="B1301" s="1131"/>
      <c r="C1301" s="1131"/>
      <c r="D1301" s="1130" t="s">
        <v>3779</v>
      </c>
      <c r="E1301" s="1310">
        <f>'Verification Report'!O1301</f>
        <v>0</v>
      </c>
      <c r="F1301"/>
      <c r="I1301" s="1180"/>
      <c r="J1301" s="1180"/>
    </row>
    <row r="1302" spans="1:10" ht="15.75" hidden="1" customHeight="1" x14ac:dyDescent="0.3">
      <c r="A1302" s="4"/>
      <c r="B1302" s="644" t="s">
        <v>271</v>
      </c>
      <c r="C1302" s="1113"/>
      <c r="D1302" s="1113" t="s">
        <v>3780</v>
      </c>
      <c r="E1302" s="1119"/>
      <c r="F1302"/>
      <c r="I1302" s="1180"/>
      <c r="J1302" s="1180"/>
    </row>
    <row r="1303" spans="1:10" ht="15" hidden="1" customHeight="1" x14ac:dyDescent="0.3">
      <c r="A1303" s="140"/>
      <c r="B1303" s="643" t="s">
        <v>273</v>
      </c>
      <c r="C1303" s="1112"/>
      <c r="D1303" s="1305" t="s">
        <v>3781</v>
      </c>
      <c r="E1303" s="1119"/>
      <c r="F1303"/>
      <c r="I1303" s="1180"/>
      <c r="J1303" s="1180"/>
    </row>
    <row r="1304" spans="1:10" ht="15.75" hidden="1" customHeight="1" x14ac:dyDescent="0.3">
      <c r="A1304" s="238"/>
      <c r="B1304" s="196"/>
      <c r="C1304" s="1113"/>
      <c r="D1304" s="1306"/>
      <c r="E1304" s="1118"/>
      <c r="F1304"/>
      <c r="I1304" s="1180"/>
      <c r="J1304" s="1180"/>
    </row>
    <row r="1305" spans="1:10" ht="15" hidden="1" customHeight="1" x14ac:dyDescent="0.3">
      <c r="A1305" s="68" t="s">
        <v>3778</v>
      </c>
      <c r="B1305" s="1131"/>
      <c r="C1305" s="1131"/>
      <c r="D1305" s="1389" t="s">
        <v>3782</v>
      </c>
      <c r="E1305" s="1324">
        <f>'Verification Report'!O1305</f>
        <v>0</v>
      </c>
      <c r="F1305"/>
      <c r="I1305" s="1180"/>
      <c r="J1305" s="1180"/>
    </row>
    <row r="1306" spans="1:10" ht="15" hidden="1" thickBot="1" x14ac:dyDescent="0.35">
      <c r="A1306" s="4"/>
      <c r="B1306" s="1131"/>
      <c r="C1306" s="1131"/>
      <c r="D1306" s="1389"/>
      <c r="E1306" s="1310">
        <f>'Verification Report'!O1306</f>
        <v>0</v>
      </c>
      <c r="F1306"/>
      <c r="I1306" s="1180"/>
      <c r="J1306" s="1180"/>
    </row>
    <row r="1307" spans="1:10" ht="15" hidden="1" thickBot="1" x14ac:dyDescent="0.35">
      <c r="A1307" s="4"/>
      <c r="B1307" s="1131"/>
      <c r="C1307" s="1131"/>
      <c r="D1307" s="1130" t="s">
        <v>1244</v>
      </c>
      <c r="E1307" s="1119"/>
      <c r="F1307"/>
      <c r="I1307" s="1180"/>
      <c r="J1307" s="1180"/>
    </row>
    <row r="1308" spans="1:10" ht="15" hidden="1" thickBot="1" x14ac:dyDescent="0.35">
      <c r="A1308" s="4"/>
      <c r="B1308" s="1131"/>
      <c r="C1308" s="260" t="s">
        <v>121</v>
      </c>
      <c r="D1308" s="1131" t="s">
        <v>1245</v>
      </c>
      <c r="E1308" s="1119"/>
      <c r="F1308"/>
      <c r="I1308" s="1180"/>
      <c r="J1308" s="1180"/>
    </row>
    <row r="1309" spans="1:10" ht="15" hidden="1" thickBot="1" x14ac:dyDescent="0.35">
      <c r="A1309" s="4"/>
      <c r="B1309" s="1131"/>
      <c r="C1309" s="260" t="s">
        <v>122</v>
      </c>
      <c r="D1309" s="1131" t="s">
        <v>1246</v>
      </c>
      <c r="E1309" s="1119"/>
      <c r="F1309"/>
      <c r="I1309" s="1180"/>
      <c r="J1309" s="1180"/>
    </row>
    <row r="1310" spans="1:10" ht="15" hidden="1" thickBot="1" x14ac:dyDescent="0.35">
      <c r="A1310" s="4"/>
      <c r="B1310" s="1131"/>
      <c r="C1310" s="261" t="s">
        <v>123</v>
      </c>
      <c r="D1310" s="1131" t="s">
        <v>1247</v>
      </c>
      <c r="E1310" s="1119"/>
      <c r="F1310"/>
      <c r="I1310" s="1180"/>
      <c r="J1310" s="1180"/>
    </row>
    <row r="1311" spans="1:10" ht="15" hidden="1" thickBot="1" x14ac:dyDescent="0.35">
      <c r="A1311" s="4"/>
      <c r="B1311" s="1131"/>
      <c r="C1311" s="1135" t="s">
        <v>423</v>
      </c>
      <c r="D1311" s="1131" t="s">
        <v>1248</v>
      </c>
      <c r="E1311" s="1119"/>
      <c r="F1311"/>
      <c r="I1311" s="1180"/>
      <c r="J1311" s="1180"/>
    </row>
    <row r="1312" spans="1:10" ht="15" hidden="1" thickBot="1" x14ac:dyDescent="0.35">
      <c r="A1312" s="4"/>
      <c r="B1312" s="1131"/>
      <c r="C1312" s="1135" t="s">
        <v>578</v>
      </c>
      <c r="D1312" s="1131" t="s">
        <v>1249</v>
      </c>
      <c r="E1312" s="1119"/>
      <c r="F1312"/>
      <c r="I1312" s="1180"/>
      <c r="J1312" s="1180"/>
    </row>
    <row r="1313" spans="1:10" ht="15" hidden="1" thickBot="1" x14ac:dyDescent="0.35">
      <c r="A1313" s="4"/>
      <c r="B1313" s="1131"/>
      <c r="C1313" s="261" t="s">
        <v>645</v>
      </c>
      <c r="D1313" s="1131" t="s">
        <v>1250</v>
      </c>
      <c r="E1313" s="1119"/>
      <c r="F1313"/>
      <c r="I1313" s="1180"/>
      <c r="J1313" s="1180"/>
    </row>
    <row r="1314" spans="1:10" ht="15" hidden="1" customHeight="1" x14ac:dyDescent="0.3">
      <c r="A1314" s="140"/>
      <c r="B1314" s="1112"/>
      <c r="C1314" s="1138" t="s">
        <v>647</v>
      </c>
      <c r="D1314" s="1293" t="s">
        <v>1251</v>
      </c>
      <c r="E1314" s="1119"/>
      <c r="F1314"/>
      <c r="I1314" s="1180"/>
      <c r="J1314" s="1180"/>
    </row>
    <row r="1315" spans="1:10" ht="15.75" hidden="1" customHeight="1" x14ac:dyDescent="0.3">
      <c r="A1315" s="238"/>
      <c r="B1315" s="1113"/>
      <c r="C1315" s="1139"/>
      <c r="D1315" s="1294"/>
      <c r="E1315" s="1119"/>
      <c r="F1315"/>
      <c r="I1315" s="1180"/>
      <c r="J1315" s="1180"/>
    </row>
    <row r="1316" spans="1:10" ht="15" hidden="1" thickBot="1" x14ac:dyDescent="0.35">
      <c r="A1316" s="68" t="s">
        <v>1252</v>
      </c>
      <c r="B1316" s="1131"/>
      <c r="C1316" s="1131"/>
      <c r="D1316" s="265" t="s">
        <v>1253</v>
      </c>
      <c r="E1316" s="1119"/>
      <c r="F1316"/>
      <c r="I1316" s="1180"/>
      <c r="J1316" s="1180"/>
    </row>
    <row r="1317" spans="1:10" ht="15" hidden="1" customHeight="1" x14ac:dyDescent="0.3">
      <c r="A1317" s="606" t="s">
        <v>1254</v>
      </c>
      <c r="B1317" s="1112"/>
      <c r="C1317" s="1112"/>
      <c r="D1317" s="1402" t="s">
        <v>1255</v>
      </c>
      <c r="E1317" s="1308">
        <f ca="1">'Verification Report'!O1317</f>
        <v>0</v>
      </c>
      <c r="F1317"/>
      <c r="I1317" s="1180"/>
      <c r="J1317" s="1180"/>
    </row>
    <row r="1318" spans="1:10" ht="15.75" hidden="1" customHeight="1" x14ac:dyDescent="0.3">
      <c r="A1318" s="631"/>
      <c r="B1318" s="1113"/>
      <c r="C1318" s="1113"/>
      <c r="D1318" s="1403"/>
      <c r="E1318" s="1309">
        <f>'Verification Report'!O1318</f>
        <v>0</v>
      </c>
      <c r="F1318"/>
      <c r="I1318" s="1180"/>
      <c r="J1318" s="1180"/>
    </row>
    <row r="1319" spans="1:10" ht="15" hidden="1" customHeight="1" x14ac:dyDescent="0.3">
      <c r="A1319" s="606" t="s">
        <v>1256</v>
      </c>
      <c r="B1319" s="1112"/>
      <c r="C1319" s="1112"/>
      <c r="D1319" s="1397" t="s">
        <v>1257</v>
      </c>
      <c r="E1319" s="1308">
        <f ca="1">'Verification Report'!O1319</f>
        <v>0</v>
      </c>
      <c r="F1319"/>
      <c r="I1319" s="1180"/>
      <c r="J1319" s="1180"/>
    </row>
    <row r="1320" spans="1:10" ht="15.75" hidden="1" customHeight="1" thickBot="1" x14ac:dyDescent="0.35">
      <c r="A1320" s="270"/>
      <c r="B1320" s="1127"/>
      <c r="C1320" s="1127"/>
      <c r="D1320" s="1398"/>
      <c r="E1320" s="1315">
        <f>'Verification Report'!O1320</f>
        <v>0</v>
      </c>
      <c r="F1320"/>
      <c r="I1320" s="1180"/>
      <c r="J1320" s="1180"/>
    </row>
    <row r="1321" spans="1:10" ht="15.75" hidden="1" customHeight="1" thickTop="1" x14ac:dyDescent="0.3">
      <c r="A1321" s="66">
        <v>705.7</v>
      </c>
      <c r="B1321" s="1131"/>
      <c r="C1321" s="1131"/>
      <c r="D1321" s="1401" t="s">
        <v>1258</v>
      </c>
      <c r="E1321" s="1310">
        <f ca="1">'Verification Report'!O1321</f>
        <v>0</v>
      </c>
      <c r="F1321"/>
      <c r="I1321" s="1180"/>
      <c r="J1321" s="1180"/>
    </row>
    <row r="1322" spans="1:10" ht="15.75" hidden="1" customHeight="1" x14ac:dyDescent="0.3">
      <c r="A1322" s="4"/>
      <c r="B1322" s="1131"/>
      <c r="C1322" s="1131"/>
      <c r="D1322" s="1401"/>
      <c r="E1322" s="1310">
        <f>'Verification Report'!O1322</f>
        <v>0</v>
      </c>
      <c r="F1322"/>
      <c r="I1322" s="1180"/>
      <c r="J1322" s="1180"/>
    </row>
    <row r="1323" spans="1:10" ht="15.75" hidden="1" customHeight="1" x14ac:dyDescent="0.3">
      <c r="A1323" s="4"/>
      <c r="B1323" s="1131"/>
      <c r="C1323" s="1131"/>
      <c r="D1323" s="1401"/>
      <c r="E1323" s="1310">
        <f>'Verification Report'!O1323</f>
        <v>0</v>
      </c>
      <c r="F1323"/>
      <c r="I1323" s="1180"/>
      <c r="J1323" s="1180"/>
    </row>
    <row r="1324" spans="1:10" ht="15.75" hidden="1" customHeight="1" x14ac:dyDescent="0.3">
      <c r="A1324" s="4"/>
      <c r="B1324" s="1131"/>
      <c r="C1324" s="1131"/>
      <c r="D1324" s="1401"/>
      <c r="E1324" s="1310">
        <f>'Verification Report'!O1324</f>
        <v>0</v>
      </c>
      <c r="F1324"/>
      <c r="I1324" s="1180"/>
      <c r="J1324" s="1180"/>
    </row>
    <row r="1325" spans="1:10" ht="18.600000000000001" hidden="1" thickBot="1" x14ac:dyDescent="0.4">
      <c r="A1325" s="14" t="s">
        <v>1259</v>
      </c>
      <c r="B1325" s="87"/>
      <c r="C1325" s="87"/>
      <c r="D1325" s="87"/>
      <c r="E1325" s="594"/>
      <c r="F1325"/>
      <c r="I1325" s="1180"/>
      <c r="J1325" s="1180"/>
    </row>
    <row r="1326" spans="1:10" ht="15" hidden="1" customHeight="1" x14ac:dyDescent="0.3">
      <c r="A1326" s="66">
        <v>706.1</v>
      </c>
      <c r="B1326" s="1131"/>
      <c r="C1326" s="1131"/>
      <c r="D1326" s="1292" t="s">
        <v>1260</v>
      </c>
      <c r="E1326" s="1310">
        <f>'Verification Report'!O1326</f>
        <v>0</v>
      </c>
      <c r="F1326"/>
      <c r="I1326" s="1180"/>
      <c r="J1326" s="1180"/>
    </row>
    <row r="1327" spans="1:10" ht="15" hidden="1" thickBot="1" x14ac:dyDescent="0.35">
      <c r="A1327" s="4"/>
      <c r="B1327" s="1131"/>
      <c r="C1327" s="1131"/>
      <c r="D1327" s="1292"/>
      <c r="E1327" s="1310">
        <f>'Verification Report'!O1327</f>
        <v>0</v>
      </c>
      <c r="F1327"/>
      <c r="I1327" s="1180"/>
      <c r="J1327" s="1180"/>
    </row>
    <row r="1328" spans="1:10" ht="15" hidden="1" thickBot="1" x14ac:dyDescent="0.35">
      <c r="A1328" s="4"/>
      <c r="B1328" s="644" t="s">
        <v>271</v>
      </c>
      <c r="C1328" s="1113"/>
      <c r="D1328" s="1113" t="s">
        <v>1261</v>
      </c>
      <c r="E1328" s="1119"/>
      <c r="F1328"/>
      <c r="I1328" s="1180"/>
      <c r="J1328" s="1180"/>
    </row>
    <row r="1329" spans="1:10" ht="15" hidden="1" thickBot="1" x14ac:dyDescent="0.35">
      <c r="A1329" s="4"/>
      <c r="B1329" s="656" t="s">
        <v>273</v>
      </c>
      <c r="C1329" s="365"/>
      <c r="D1329" s="365" t="s">
        <v>1262</v>
      </c>
      <c r="E1329" s="1119"/>
      <c r="F1329"/>
      <c r="I1329" s="1180"/>
      <c r="J1329" s="1180"/>
    </row>
    <row r="1330" spans="1:10" ht="15" hidden="1" thickBot="1" x14ac:dyDescent="0.35">
      <c r="A1330" s="4"/>
      <c r="B1330" s="656" t="s">
        <v>275</v>
      </c>
      <c r="C1330" s="365"/>
      <c r="D1330" s="365" t="s">
        <v>1263</v>
      </c>
      <c r="E1330" s="1119"/>
      <c r="F1330"/>
      <c r="I1330" s="1180"/>
      <c r="J1330" s="1180"/>
    </row>
    <row r="1331" spans="1:10" ht="15" hidden="1" customHeight="1" x14ac:dyDescent="0.3">
      <c r="A1331" s="4"/>
      <c r="B1331" s="657" t="s">
        <v>285</v>
      </c>
      <c r="C1331" s="1128"/>
      <c r="D1331" s="1355" t="s">
        <v>1264</v>
      </c>
      <c r="E1331" s="1119"/>
      <c r="F1331"/>
      <c r="I1331" s="1180"/>
      <c r="J1331" s="1180"/>
    </row>
    <row r="1332" spans="1:10" ht="15.75" hidden="1" customHeight="1" x14ac:dyDescent="0.3">
      <c r="A1332" s="4"/>
      <c r="B1332" s="644"/>
      <c r="C1332" s="1113"/>
      <c r="D1332" s="1294"/>
      <c r="E1332" s="1119"/>
      <c r="F1332"/>
      <c r="I1332" s="1180"/>
      <c r="J1332" s="1180"/>
    </row>
    <row r="1333" spans="1:10" ht="15" hidden="1" thickBot="1" x14ac:dyDescent="0.35">
      <c r="A1333" s="270"/>
      <c r="B1333" s="646" t="s">
        <v>291</v>
      </c>
      <c r="C1333" s="1127"/>
      <c r="D1333" s="1127" t="s">
        <v>1265</v>
      </c>
      <c r="E1333" s="1120"/>
      <c r="F1333"/>
      <c r="I1333" s="1180"/>
      <c r="J1333" s="1180"/>
    </row>
    <row r="1334" spans="1:10" ht="15.75" hidden="1" customHeight="1" thickTop="1" x14ac:dyDescent="0.3">
      <c r="A1334" s="66">
        <v>706.2</v>
      </c>
      <c r="B1334" s="1131"/>
      <c r="C1334" s="1131"/>
      <c r="D1334" s="1389" t="s">
        <v>1266</v>
      </c>
      <c r="E1334" s="1119"/>
      <c r="F1334"/>
      <c r="I1334" s="1180"/>
      <c r="J1334" s="1180"/>
    </row>
    <row r="1335" spans="1:10" ht="15" hidden="1" thickBot="1" x14ac:dyDescent="0.35">
      <c r="A1335" s="66"/>
      <c r="B1335" s="1131"/>
      <c r="C1335" s="1131"/>
      <c r="D1335" s="1389"/>
      <c r="E1335" s="1119"/>
      <c r="F1335"/>
      <c r="I1335" s="1180"/>
      <c r="J1335" s="1180"/>
    </row>
    <row r="1336" spans="1:10" ht="15" hidden="1" customHeight="1" x14ac:dyDescent="0.3">
      <c r="A1336" s="4"/>
      <c r="B1336" s="643" t="s">
        <v>271</v>
      </c>
      <c r="C1336" s="1112"/>
      <c r="D1336" s="1305" t="s">
        <v>1267</v>
      </c>
      <c r="E1336" s="1310">
        <f>'Verification Report'!O1336</f>
        <v>0</v>
      </c>
      <c r="F1336"/>
      <c r="I1336" s="1180"/>
      <c r="J1336" s="1180"/>
    </row>
    <row r="1337" spans="1:10" ht="15.75" hidden="1" customHeight="1" x14ac:dyDescent="0.3">
      <c r="A1337" s="4"/>
      <c r="B1337" s="1112"/>
      <c r="C1337" s="1112"/>
      <c r="D1337" s="1305"/>
      <c r="E1337" s="1310">
        <f>'Verification Report'!O1337</f>
        <v>0</v>
      </c>
      <c r="F1337"/>
      <c r="I1337" s="1180"/>
      <c r="J1337" s="1180"/>
    </row>
    <row r="1338" spans="1:10" ht="15.75" hidden="1" customHeight="1" x14ac:dyDescent="0.3">
      <c r="A1338" s="4"/>
      <c r="B1338" s="1113"/>
      <c r="C1338" s="1113"/>
      <c r="D1338" s="1306"/>
      <c r="E1338" s="1310">
        <f>'Verification Report'!O1338</f>
        <v>0</v>
      </c>
      <c r="F1338"/>
      <c r="I1338" s="1180"/>
      <c r="J1338" s="1180"/>
    </row>
    <row r="1339" spans="1:10" ht="15" hidden="1" customHeight="1" x14ac:dyDescent="0.3">
      <c r="A1339" s="140"/>
      <c r="B1339" s="643" t="s">
        <v>273</v>
      </c>
      <c r="C1339" s="1112"/>
      <c r="D1339" s="1305" t="s">
        <v>1268</v>
      </c>
      <c r="E1339" s="1308">
        <f ca="1">'Verification Report'!O1339</f>
        <v>0</v>
      </c>
      <c r="F1339"/>
      <c r="I1339" s="1180"/>
      <c r="J1339" s="1180"/>
    </row>
    <row r="1340" spans="1:10" ht="15.75" hidden="1" customHeight="1" x14ac:dyDescent="0.3">
      <c r="A1340" s="140"/>
      <c r="B1340" s="1112"/>
      <c r="C1340" s="1112"/>
      <c r="D1340" s="1305"/>
      <c r="E1340" s="1308">
        <f>'Verification Report'!O1340</f>
        <v>0</v>
      </c>
      <c r="F1340"/>
      <c r="I1340" s="1180"/>
      <c r="J1340" s="1180"/>
    </row>
    <row r="1341" spans="1:10" ht="15.75" hidden="1" customHeight="1" x14ac:dyDescent="0.3">
      <c r="A1341" s="140"/>
      <c r="B1341" s="1112"/>
      <c r="C1341" s="1112"/>
      <c r="D1341" s="1305"/>
      <c r="E1341" s="1308">
        <f>'Verification Report'!O1341</f>
        <v>0</v>
      </c>
      <c r="F1341"/>
      <c r="I1341" s="1180"/>
      <c r="J1341" s="1180"/>
    </row>
    <row r="1342" spans="1:10" ht="15" hidden="1" customHeight="1" x14ac:dyDescent="0.3">
      <c r="A1342" s="140"/>
      <c r="B1342" s="1112"/>
      <c r="C1342" s="614" t="s">
        <v>121</v>
      </c>
      <c r="D1342" s="1305" t="s">
        <v>1269</v>
      </c>
      <c r="E1342" s="1117"/>
      <c r="F1342"/>
      <c r="I1342" s="1180"/>
      <c r="J1342" s="1180"/>
    </row>
    <row r="1343" spans="1:10" ht="15.75" hidden="1" customHeight="1" x14ac:dyDescent="0.3">
      <c r="A1343" s="140"/>
      <c r="B1343" s="1112"/>
      <c r="C1343" s="626"/>
      <c r="D1343" s="1306"/>
      <c r="E1343" s="1117"/>
      <c r="F1343"/>
      <c r="I1343" s="1180"/>
      <c r="J1343" s="1180"/>
    </row>
    <row r="1344" spans="1:10" ht="15" hidden="1" customHeight="1" x14ac:dyDescent="0.3">
      <c r="A1344" s="140"/>
      <c r="B1344" s="1112"/>
      <c r="C1344" s="614" t="s">
        <v>122</v>
      </c>
      <c r="D1344" s="1305" t="s">
        <v>1270</v>
      </c>
      <c r="E1344" s="1117"/>
      <c r="F1344"/>
      <c r="I1344" s="1180"/>
      <c r="J1344" s="1180"/>
    </row>
    <row r="1345" spans="1:10" ht="15.75" hidden="1" customHeight="1" thickBot="1" x14ac:dyDescent="0.35">
      <c r="A1345" s="270"/>
      <c r="B1345" s="1127"/>
      <c r="C1345" s="1127"/>
      <c r="D1345" s="1330"/>
      <c r="E1345" s="1120"/>
      <c r="F1345"/>
      <c r="I1345" s="1180"/>
      <c r="J1345" s="1180"/>
    </row>
    <row r="1346" spans="1:10" ht="15.75" hidden="1" customHeight="1" thickTop="1" x14ac:dyDescent="0.3">
      <c r="A1346" s="66">
        <v>706.3</v>
      </c>
      <c r="B1346" s="1131"/>
      <c r="C1346" s="1131"/>
      <c r="D1346" s="1389" t="s">
        <v>1271</v>
      </c>
      <c r="E1346" s="1310">
        <f>'Verification Report'!O1346</f>
        <v>0</v>
      </c>
      <c r="F1346"/>
      <c r="I1346" s="1180"/>
      <c r="J1346" s="1180"/>
    </row>
    <row r="1347" spans="1:10" ht="15.75" hidden="1" customHeight="1" x14ac:dyDescent="0.3">
      <c r="A1347" s="66"/>
      <c r="B1347" s="1131"/>
      <c r="C1347" s="1131"/>
      <c r="D1347" s="1389"/>
      <c r="E1347" s="1310">
        <f>'Verification Report'!O1347</f>
        <v>0</v>
      </c>
      <c r="F1347"/>
      <c r="I1347" s="1180"/>
      <c r="J1347" s="1180"/>
    </row>
    <row r="1348" spans="1:10" ht="15.75" hidden="1" customHeight="1" x14ac:dyDescent="0.3">
      <c r="A1348" s="4"/>
      <c r="B1348" s="1131"/>
      <c r="C1348" s="1131"/>
      <c r="D1348" s="1144" t="s">
        <v>1272</v>
      </c>
      <c r="E1348" s="1119"/>
      <c r="F1348"/>
      <c r="I1348" s="1180"/>
      <c r="J1348" s="1180"/>
    </row>
    <row r="1349" spans="1:10" ht="15.75" hidden="1" customHeight="1" x14ac:dyDescent="0.3">
      <c r="A1349" s="4"/>
      <c r="B1349" s="1131"/>
      <c r="C1349" s="1131"/>
      <c r="D1349" s="1144" t="s">
        <v>1273</v>
      </c>
      <c r="E1349" s="1119"/>
      <c r="F1349"/>
      <c r="I1349" s="1180"/>
      <c r="J1349" s="1180"/>
    </row>
    <row r="1350" spans="1:10" ht="15" hidden="1" customHeight="1" x14ac:dyDescent="0.3">
      <c r="A1350" s="4"/>
      <c r="B1350" s="1110"/>
      <c r="C1350" s="267"/>
      <c r="D1350" s="1365" t="s">
        <v>1274</v>
      </c>
      <c r="E1350" s="1119"/>
      <c r="F1350"/>
      <c r="I1350" s="1180"/>
      <c r="J1350" s="1180"/>
    </row>
    <row r="1351" spans="1:10" ht="15.75" hidden="1" customHeight="1" x14ac:dyDescent="0.3">
      <c r="A1351" s="4"/>
      <c r="B1351" s="1110"/>
      <c r="C1351" s="267"/>
      <c r="D1351" s="1365"/>
      <c r="E1351" s="1119"/>
      <c r="F1351"/>
      <c r="I1351" s="1180"/>
      <c r="J1351" s="1180"/>
    </row>
    <row r="1352" spans="1:10" ht="15" hidden="1" customHeight="1" x14ac:dyDescent="0.3">
      <c r="A1352" s="4"/>
      <c r="B1352" s="1131"/>
      <c r="C1352" s="1110"/>
      <c r="D1352" s="1365" t="s">
        <v>1275</v>
      </c>
      <c r="E1352" s="1119"/>
      <c r="F1352"/>
      <c r="I1352" s="1180"/>
      <c r="J1352" s="1180"/>
    </row>
    <row r="1353" spans="1:10" ht="15.75" hidden="1" customHeight="1" x14ac:dyDescent="0.3">
      <c r="A1353" s="4"/>
      <c r="B1353" s="1131"/>
      <c r="C1353" s="1110"/>
      <c r="D1353" s="1365"/>
      <c r="E1353" s="1119"/>
      <c r="F1353"/>
      <c r="I1353" s="1180"/>
      <c r="J1353" s="1180"/>
    </row>
    <row r="1354" spans="1:10" ht="15" hidden="1" thickBot="1" x14ac:dyDescent="0.35">
      <c r="A1354" s="4"/>
      <c r="B1354" s="644" t="s">
        <v>271</v>
      </c>
      <c r="C1354" s="1113"/>
      <c r="D1354" s="1113" t="s">
        <v>1138</v>
      </c>
      <c r="E1354" s="1119"/>
      <c r="F1354"/>
      <c r="I1354" s="1180"/>
      <c r="J1354" s="1180"/>
    </row>
    <row r="1355" spans="1:10" ht="15" hidden="1" thickBot="1" x14ac:dyDescent="0.35">
      <c r="A1355" s="4"/>
      <c r="B1355" s="656" t="s">
        <v>273</v>
      </c>
      <c r="C1355" s="365"/>
      <c r="D1355" s="365" t="s">
        <v>1276</v>
      </c>
      <c r="E1355" s="1119"/>
      <c r="F1355"/>
      <c r="I1355" s="1180"/>
      <c r="J1355" s="1180"/>
    </row>
    <row r="1356" spans="1:10" ht="15" hidden="1" thickBot="1" x14ac:dyDescent="0.35">
      <c r="A1356" s="4"/>
      <c r="B1356" s="656" t="s">
        <v>275</v>
      </c>
      <c r="C1356" s="365"/>
      <c r="D1356" s="365" t="s">
        <v>1139</v>
      </c>
      <c r="E1356" s="1119"/>
      <c r="F1356"/>
      <c r="I1356" s="1180"/>
      <c r="J1356" s="1180"/>
    </row>
    <row r="1357" spans="1:10" ht="15" hidden="1" thickBot="1" x14ac:dyDescent="0.35">
      <c r="A1357" s="4"/>
      <c r="B1357" s="656" t="s">
        <v>285</v>
      </c>
      <c r="C1357" s="365"/>
      <c r="D1357" s="365" t="s">
        <v>1277</v>
      </c>
      <c r="E1357" s="1119"/>
      <c r="F1357"/>
      <c r="I1357" s="1180"/>
      <c r="J1357" s="1180"/>
    </row>
    <row r="1358" spans="1:10" ht="15" hidden="1" thickBot="1" x14ac:dyDescent="0.35">
      <c r="A1358" s="4"/>
      <c r="B1358" s="656" t="s">
        <v>291</v>
      </c>
      <c r="C1358" s="365"/>
      <c r="D1358" s="365" t="s">
        <v>1278</v>
      </c>
      <c r="E1358" s="1119"/>
      <c r="F1358"/>
      <c r="I1358" s="1180"/>
      <c r="J1358" s="1180"/>
    </row>
    <row r="1359" spans="1:10" ht="15" hidden="1" thickBot="1" x14ac:dyDescent="0.35">
      <c r="A1359" s="4"/>
      <c r="B1359" s="656" t="s">
        <v>293</v>
      </c>
      <c r="C1359" s="365"/>
      <c r="D1359" s="365" t="s">
        <v>1279</v>
      </c>
      <c r="E1359" s="1119"/>
      <c r="F1359"/>
      <c r="I1359" s="1180"/>
      <c r="J1359" s="1180"/>
    </row>
    <row r="1360" spans="1:10" ht="15" hidden="1" thickBot="1" x14ac:dyDescent="0.35">
      <c r="A1360" s="4"/>
      <c r="B1360" s="656" t="s">
        <v>405</v>
      </c>
      <c r="C1360" s="365"/>
      <c r="D1360" s="365" t="s">
        <v>1280</v>
      </c>
      <c r="E1360" s="1119"/>
      <c r="F1360"/>
      <c r="I1360" s="1180"/>
      <c r="J1360" s="1180"/>
    </row>
    <row r="1361" spans="1:10" ht="15" hidden="1" thickBot="1" x14ac:dyDescent="0.35">
      <c r="A1361" s="270"/>
      <c r="B1361" s="646" t="s">
        <v>456</v>
      </c>
      <c r="C1361" s="1127"/>
      <c r="D1361" s="1127" t="s">
        <v>1281</v>
      </c>
      <c r="E1361" s="1120"/>
      <c r="F1361"/>
      <c r="I1361" s="1180"/>
      <c r="J1361" s="1180"/>
    </row>
    <row r="1362" spans="1:10" ht="15" hidden="1" thickBot="1" x14ac:dyDescent="0.35">
      <c r="A1362" s="66">
        <v>706.4</v>
      </c>
      <c r="B1362" s="1131"/>
      <c r="C1362" s="1131"/>
      <c r="D1362" s="1135" t="s">
        <v>1282</v>
      </c>
      <c r="E1362" s="1119"/>
      <c r="F1362"/>
      <c r="I1362" s="1180"/>
      <c r="J1362" s="1180"/>
    </row>
    <row r="1363" spans="1:10" ht="15" hidden="1" thickBot="1" x14ac:dyDescent="0.35">
      <c r="A1363" s="66" t="s">
        <v>1283</v>
      </c>
      <c r="B1363" s="1131"/>
      <c r="C1363" s="1131"/>
      <c r="D1363" s="1135" t="s">
        <v>1284</v>
      </c>
      <c r="E1363" s="1119"/>
      <c r="F1363"/>
      <c r="I1363" s="1180"/>
      <c r="J1363" s="1180"/>
    </row>
    <row r="1364" spans="1:10" ht="15" hidden="1" customHeight="1" x14ac:dyDescent="0.3">
      <c r="A1364" s="4"/>
      <c r="B1364" s="643" t="s">
        <v>271</v>
      </c>
      <c r="C1364" s="1112"/>
      <c r="D1364" s="1305" t="s">
        <v>1285</v>
      </c>
      <c r="E1364" s="1308">
        <f>'Verification Report'!O1364</f>
        <v>0</v>
      </c>
      <c r="F1364"/>
      <c r="I1364" s="1180"/>
      <c r="J1364" s="1180"/>
    </row>
    <row r="1365" spans="1:10" ht="15.75" hidden="1" customHeight="1" x14ac:dyDescent="0.3">
      <c r="A1365" s="4"/>
      <c r="B1365" s="644"/>
      <c r="C1365" s="1113"/>
      <c r="D1365" s="1306"/>
      <c r="E1365" s="1309">
        <f>'Verification Report'!O1365</f>
        <v>0</v>
      </c>
      <c r="F1365"/>
      <c r="I1365" s="1180"/>
      <c r="J1365" s="1180"/>
    </row>
    <row r="1366" spans="1:10" ht="15" hidden="1" customHeight="1" x14ac:dyDescent="0.3">
      <c r="A1366" s="140"/>
      <c r="B1366" s="643" t="s">
        <v>273</v>
      </c>
      <c r="C1366" s="1112"/>
      <c r="D1366" s="1305" t="s">
        <v>1286</v>
      </c>
      <c r="E1366" s="1308">
        <f>'Verification Report'!O1366</f>
        <v>0</v>
      </c>
      <c r="F1366"/>
      <c r="I1366" s="1180"/>
      <c r="J1366" s="1180"/>
    </row>
    <row r="1367" spans="1:10" ht="15.75" hidden="1" customHeight="1" x14ac:dyDescent="0.3">
      <c r="A1367" s="238"/>
      <c r="B1367" s="1113"/>
      <c r="C1367" s="1113"/>
      <c r="D1367" s="1306"/>
      <c r="E1367" s="1309">
        <f>'Verification Report'!O1367</f>
        <v>0</v>
      </c>
      <c r="F1367"/>
      <c r="I1367" s="1180"/>
      <c r="J1367" s="1180"/>
    </row>
    <row r="1368" spans="1:10" ht="15" hidden="1" customHeight="1" x14ac:dyDescent="0.3">
      <c r="A1368" s="215" t="s">
        <v>1287</v>
      </c>
      <c r="B1368" s="1128"/>
      <c r="C1368" s="1128"/>
      <c r="D1368" s="1364" t="s">
        <v>1288</v>
      </c>
      <c r="E1368" s="1324">
        <f>'Verification Report'!O1368</f>
        <v>0</v>
      </c>
      <c r="F1368"/>
      <c r="I1368" s="1180"/>
      <c r="J1368" s="1180"/>
    </row>
    <row r="1369" spans="1:10" ht="15.75" hidden="1" customHeight="1" thickBot="1" x14ac:dyDescent="0.35">
      <c r="A1369" s="270"/>
      <c r="B1369" s="1127"/>
      <c r="C1369" s="1127"/>
      <c r="D1369" s="1332"/>
      <c r="E1369" s="1315">
        <f>'Verification Report'!O1369</f>
        <v>0</v>
      </c>
      <c r="F1369"/>
      <c r="I1369" s="1180"/>
      <c r="J1369" s="1180"/>
    </row>
    <row r="1370" spans="1:10" ht="15.75" hidden="1" customHeight="1" thickTop="1" x14ac:dyDescent="0.3">
      <c r="A1370" s="200">
        <v>706.5</v>
      </c>
      <c r="B1370" s="616"/>
      <c r="C1370" s="616"/>
      <c r="D1370" s="1331" t="s">
        <v>1289</v>
      </c>
      <c r="E1370" s="1336">
        <f>'Verification Report'!O1370</f>
        <v>0</v>
      </c>
      <c r="F1370"/>
      <c r="I1370" s="1180"/>
      <c r="J1370" s="1180"/>
    </row>
    <row r="1371" spans="1:10" ht="15.75" hidden="1" customHeight="1" x14ac:dyDescent="0.3">
      <c r="A1371" s="140"/>
      <c r="B1371" s="1112"/>
      <c r="C1371" s="1112"/>
      <c r="D1371" s="1313"/>
      <c r="E1371" s="1308">
        <f>'Verification Report'!O1371</f>
        <v>0</v>
      </c>
      <c r="F1371"/>
      <c r="I1371" s="1180"/>
      <c r="J1371" s="1180"/>
    </row>
    <row r="1372" spans="1:10" ht="15.75" hidden="1" customHeight="1" x14ac:dyDescent="0.3">
      <c r="A1372" s="140"/>
      <c r="B1372" s="1112"/>
      <c r="C1372" s="1112"/>
      <c r="D1372" s="1313"/>
      <c r="E1372" s="1308">
        <f>'Verification Report'!O1372</f>
        <v>0</v>
      </c>
      <c r="F1372"/>
      <c r="I1372" s="1180"/>
      <c r="J1372" s="1180"/>
    </row>
    <row r="1373" spans="1:10" ht="15.75" hidden="1" customHeight="1" x14ac:dyDescent="0.3">
      <c r="A1373" s="140"/>
      <c r="B1373" s="1112"/>
      <c r="C1373" s="1112"/>
      <c r="D1373" s="1313"/>
      <c r="E1373" s="1308">
        <f>'Verification Report'!O1373</f>
        <v>0</v>
      </c>
      <c r="F1373"/>
      <c r="I1373" s="1180"/>
      <c r="J1373" s="1180"/>
    </row>
    <row r="1374" spans="1:10" ht="15" hidden="1" customHeight="1" x14ac:dyDescent="0.3">
      <c r="A1374" s="140"/>
      <c r="B1374" s="1112"/>
      <c r="C1374" s="1112"/>
      <c r="D1374" s="1368" t="s">
        <v>1290</v>
      </c>
      <c r="E1374" s="1117"/>
      <c r="F1374"/>
      <c r="I1374" s="1180"/>
      <c r="J1374" s="1180"/>
    </row>
    <row r="1375" spans="1:10" ht="15.75" hidden="1" customHeight="1" x14ac:dyDescent="0.3">
      <c r="A1375" s="140"/>
      <c r="B1375" s="1112"/>
      <c r="C1375" s="1112"/>
      <c r="D1375" s="1368"/>
      <c r="E1375" s="1117"/>
      <c r="F1375"/>
      <c r="I1375" s="1180"/>
      <c r="J1375" s="1180"/>
    </row>
    <row r="1376" spans="1:10" ht="15.75" hidden="1" customHeight="1" x14ac:dyDescent="0.3">
      <c r="A1376" s="140"/>
      <c r="B1376" s="1112"/>
      <c r="C1376" s="1112"/>
      <c r="D1376" s="1368"/>
      <c r="E1376" s="1117"/>
      <c r="F1376"/>
      <c r="I1376" s="1180"/>
      <c r="J1376" s="1180"/>
    </row>
    <row r="1377" spans="1:10" ht="15" hidden="1" customHeight="1" x14ac:dyDescent="0.3">
      <c r="A1377" s="140"/>
      <c r="B1377" s="1112"/>
      <c r="C1377" s="1112"/>
      <c r="D1377" s="1368" t="s">
        <v>1291</v>
      </c>
      <c r="E1377" s="1117"/>
      <c r="F1377"/>
      <c r="I1377" s="1180"/>
      <c r="J1377" s="1180"/>
    </row>
    <row r="1378" spans="1:10" ht="15.75" hidden="1" customHeight="1" thickBot="1" x14ac:dyDescent="0.35">
      <c r="A1378" s="270"/>
      <c r="B1378" s="1127"/>
      <c r="C1378" s="1127"/>
      <c r="D1378" s="1400"/>
      <c r="E1378" s="1120"/>
      <c r="F1378"/>
      <c r="I1378" s="1180"/>
      <c r="J1378" s="1180"/>
    </row>
    <row r="1379" spans="1:10" ht="15.75" hidden="1" customHeight="1" thickTop="1" x14ac:dyDescent="0.3">
      <c r="A1379" s="200">
        <v>706.6</v>
      </c>
      <c r="B1379" s="616"/>
      <c r="C1379" s="616"/>
      <c r="D1379" s="1331" t="s">
        <v>1292</v>
      </c>
      <c r="E1379" s="1336">
        <f ca="1">'Verification Report'!O1379</f>
        <v>0</v>
      </c>
      <c r="F1379"/>
      <c r="I1379" s="1180"/>
      <c r="J1379" s="1180"/>
    </row>
    <row r="1380" spans="1:10" ht="15.75" hidden="1" customHeight="1" thickBot="1" x14ac:dyDescent="0.35">
      <c r="A1380" s="270"/>
      <c r="B1380" s="1127"/>
      <c r="C1380" s="1127"/>
      <c r="D1380" s="1332"/>
      <c r="E1380" s="1315">
        <f>'Verification Report'!O1380</f>
        <v>0</v>
      </c>
      <c r="F1380"/>
      <c r="I1380" s="1180"/>
      <c r="J1380" s="1180"/>
    </row>
    <row r="1381" spans="1:10" ht="15.75" hidden="1" customHeight="1" thickTop="1" x14ac:dyDescent="0.3">
      <c r="A1381" s="66">
        <v>706.7</v>
      </c>
      <c r="B1381" s="1131"/>
      <c r="C1381" s="1131"/>
      <c r="D1381" s="1292" t="s">
        <v>1293</v>
      </c>
      <c r="E1381" s="1119"/>
      <c r="F1381"/>
      <c r="I1381" s="1180"/>
      <c r="J1381" s="1180"/>
    </row>
    <row r="1382" spans="1:10" ht="15" hidden="1" thickBot="1" x14ac:dyDescent="0.35">
      <c r="A1382" s="4"/>
      <c r="B1382" s="1131"/>
      <c r="C1382" s="1131"/>
      <c r="D1382" s="1292"/>
      <c r="E1382" s="1119"/>
      <c r="F1382"/>
      <c r="I1382" s="1180"/>
      <c r="J1382" s="1180"/>
    </row>
    <row r="1383" spans="1:10" ht="15" hidden="1" thickBot="1" x14ac:dyDescent="0.35">
      <c r="A1383" s="4"/>
      <c r="B1383" s="644" t="s">
        <v>271</v>
      </c>
      <c r="C1383" s="1113"/>
      <c r="D1383" s="1113" t="s">
        <v>1294</v>
      </c>
      <c r="E1383" s="1118">
        <f>'Verification Report'!O1383</f>
        <v>0</v>
      </c>
      <c r="F1383"/>
      <c r="I1383" s="1180"/>
      <c r="J1383" s="1180"/>
    </row>
    <row r="1384" spans="1:10" ht="15.75" hidden="1" customHeight="1" x14ac:dyDescent="0.3">
      <c r="A1384" s="140"/>
      <c r="B1384" s="643" t="s">
        <v>273</v>
      </c>
      <c r="C1384" s="1112"/>
      <c r="D1384" s="1112" t="s">
        <v>1295</v>
      </c>
      <c r="E1384" s="1117">
        <f>'Verification Report'!O1384</f>
        <v>0</v>
      </c>
      <c r="F1384"/>
      <c r="I1384" s="1180"/>
      <c r="J1384" s="1180"/>
    </row>
    <row r="1385" spans="1:10" ht="15" hidden="1" customHeight="1" x14ac:dyDescent="0.3">
      <c r="A1385" s="140"/>
      <c r="B1385" s="1112"/>
      <c r="C1385" s="1112"/>
      <c r="D1385" s="1313" t="s">
        <v>1296</v>
      </c>
      <c r="E1385" s="1117"/>
      <c r="F1385"/>
      <c r="I1385" s="1180"/>
      <c r="J1385" s="1180"/>
    </row>
    <row r="1386" spans="1:10" ht="15.75" hidden="1" customHeight="1" thickBot="1" x14ac:dyDescent="0.35">
      <c r="A1386" s="270"/>
      <c r="B1386" s="1127"/>
      <c r="C1386" s="1127"/>
      <c r="D1386" s="1332"/>
      <c r="E1386" s="1120"/>
      <c r="F1386"/>
      <c r="I1386" s="1180"/>
      <c r="J1386" s="1180"/>
    </row>
    <row r="1387" spans="1:10" ht="15.75" hidden="1" customHeight="1" thickTop="1" x14ac:dyDescent="0.3">
      <c r="A1387" s="200">
        <v>706.8</v>
      </c>
      <c r="B1387" s="616"/>
      <c r="C1387" s="616"/>
      <c r="D1387" s="1331" t="s">
        <v>1297</v>
      </c>
      <c r="E1387" s="1336">
        <f>'Verification Report'!O1387</f>
        <v>0</v>
      </c>
      <c r="F1387"/>
      <c r="I1387" s="1180"/>
      <c r="J1387" s="1180"/>
    </row>
    <row r="1388" spans="1:10" ht="15.75" hidden="1" customHeight="1" x14ac:dyDescent="0.3">
      <c r="A1388" s="140"/>
      <c r="B1388" s="1112"/>
      <c r="C1388" s="1112"/>
      <c r="D1388" s="1313"/>
      <c r="E1388" s="1308">
        <f>'Verification Report'!O1388</f>
        <v>0</v>
      </c>
      <c r="F1388"/>
      <c r="I1388" s="1180"/>
      <c r="J1388" s="1180"/>
    </row>
    <row r="1389" spans="1:10" ht="15.75" hidden="1" customHeight="1" thickBot="1" x14ac:dyDescent="0.35">
      <c r="A1389" s="270"/>
      <c r="B1389" s="1127"/>
      <c r="C1389" s="1127"/>
      <c r="D1389" s="1332"/>
      <c r="E1389" s="1315">
        <f>'Verification Report'!O1389</f>
        <v>0</v>
      </c>
      <c r="F1389"/>
      <c r="I1389" s="1180"/>
      <c r="J1389" s="1180"/>
    </row>
    <row r="1390" spans="1:10" ht="15.75" hidden="1" customHeight="1" thickTop="1" x14ac:dyDescent="0.3">
      <c r="A1390" s="66">
        <v>706.9</v>
      </c>
      <c r="B1390" s="1131"/>
      <c r="C1390" s="1131"/>
      <c r="D1390" s="1292" t="s">
        <v>1298</v>
      </c>
      <c r="E1390" s="1310">
        <f>'Verification Report'!O1390</f>
        <v>0</v>
      </c>
      <c r="F1390"/>
      <c r="I1390" s="1180"/>
      <c r="J1390" s="1180"/>
    </row>
    <row r="1391" spans="1:10" ht="15.75" hidden="1" customHeight="1" x14ac:dyDescent="0.3">
      <c r="A1391" s="4"/>
      <c r="B1391" s="1131"/>
      <c r="C1391" s="1131"/>
      <c r="D1391" s="1292"/>
      <c r="E1391" s="1310">
        <f>'Verification Report'!O1391</f>
        <v>0</v>
      </c>
      <c r="F1391"/>
      <c r="I1391" s="1180"/>
      <c r="J1391" s="1180"/>
    </row>
    <row r="1392" spans="1:10" ht="15.75" hidden="1" customHeight="1" x14ac:dyDescent="0.3">
      <c r="A1392" s="4"/>
      <c r="B1392" s="1131"/>
      <c r="C1392" s="1131"/>
      <c r="D1392" s="1292"/>
      <c r="E1392" s="1310">
        <f>'Verification Report'!O1392</f>
        <v>0</v>
      </c>
      <c r="F1392"/>
      <c r="I1392" s="1180"/>
      <c r="J1392" s="1180"/>
    </row>
    <row r="1393" spans="1:10" ht="15" hidden="1" customHeight="1" x14ac:dyDescent="0.3">
      <c r="A1393" s="4"/>
      <c r="B1393" s="1131"/>
      <c r="C1393" s="1131"/>
      <c r="D1393" s="1292" t="s">
        <v>1299</v>
      </c>
      <c r="E1393" s="1157"/>
      <c r="F1393"/>
      <c r="I1393" s="1180"/>
      <c r="J1393" s="1180"/>
    </row>
    <row r="1394" spans="1:10" ht="15.75" hidden="1" customHeight="1" x14ac:dyDescent="0.3">
      <c r="A1394" s="4"/>
      <c r="B1394" s="1131"/>
      <c r="C1394" s="1131"/>
      <c r="D1394" s="1292"/>
      <c r="E1394" s="1157"/>
      <c r="F1394"/>
      <c r="I1394" s="1180"/>
      <c r="J1394" s="1180"/>
    </row>
    <row r="1395" spans="1:10" ht="18.600000000000001" hidden="1" thickBot="1" x14ac:dyDescent="0.4">
      <c r="A1395" s="22" t="s">
        <v>844</v>
      </c>
      <c r="B1395" s="22"/>
      <c r="C1395" s="22"/>
      <c r="D1395" s="23"/>
      <c r="E1395" s="24"/>
      <c r="F1395"/>
      <c r="I1395" s="1180"/>
      <c r="J1395" s="1180"/>
    </row>
    <row r="1396" spans="1:10" ht="15" hidden="1" thickBot="1" x14ac:dyDescent="0.35">
      <c r="A1396" s="450" t="s">
        <v>845</v>
      </c>
      <c r="B1396" s="270"/>
      <c r="C1396" s="270"/>
      <c r="D1396" s="1147" t="s">
        <v>846</v>
      </c>
      <c r="E1396" s="1161"/>
      <c r="F1396"/>
      <c r="I1396" s="1180"/>
      <c r="J1396" s="1180"/>
    </row>
    <row r="1397" spans="1:10" ht="15.75" hidden="1" customHeight="1" thickTop="1" x14ac:dyDescent="0.3">
      <c r="A1397" s="66">
        <v>801.1</v>
      </c>
      <c r="B1397" s="4"/>
      <c r="C1397" s="4"/>
      <c r="D1397" s="1292" t="s">
        <v>847</v>
      </c>
      <c r="E1397" s="1310">
        <f ca="1">'Verification Report'!O1397</f>
        <v>0</v>
      </c>
      <c r="F1397"/>
      <c r="I1397" s="1180"/>
      <c r="J1397" s="1180"/>
    </row>
    <row r="1398" spans="1:10" ht="15" hidden="1" thickBot="1" x14ac:dyDescent="0.35">
      <c r="A1398" s="66"/>
      <c r="B1398" s="4"/>
      <c r="C1398" s="4"/>
      <c r="D1398" s="1292"/>
      <c r="E1398" s="1310">
        <f>'Verification Report'!O1398</f>
        <v>0</v>
      </c>
      <c r="F1398"/>
      <c r="I1398" s="1180"/>
      <c r="J1398" s="1180"/>
    </row>
    <row r="1399" spans="1:10" ht="15" hidden="1" thickBot="1" x14ac:dyDescent="0.35">
      <c r="A1399" s="66"/>
      <c r="B1399" s="4"/>
      <c r="C1399" s="4"/>
      <c r="D1399" s="1292"/>
      <c r="E1399" s="1310">
        <f>'Verification Report'!O1399</f>
        <v>0</v>
      </c>
      <c r="F1399"/>
      <c r="I1399" s="1180"/>
      <c r="J1399" s="1180"/>
    </row>
    <row r="1400" spans="1:10" ht="15" hidden="1" thickBot="1" x14ac:dyDescent="0.35">
      <c r="A1400" s="66"/>
      <c r="B1400" s="4"/>
      <c r="C1400" s="4"/>
      <c r="D1400" s="1292"/>
      <c r="E1400" s="1310">
        <f>'Verification Report'!O1400</f>
        <v>0</v>
      </c>
      <c r="F1400"/>
      <c r="I1400" s="1180"/>
      <c r="J1400" s="1180"/>
    </row>
    <row r="1401" spans="1:10" ht="15" hidden="1" thickBot="1" x14ac:dyDescent="0.35">
      <c r="A1401" s="66"/>
      <c r="B1401" s="4"/>
      <c r="C1401" s="4"/>
      <c r="D1401" s="1292"/>
      <c r="E1401" s="1310">
        <f>'Verification Report'!O1401</f>
        <v>0</v>
      </c>
      <c r="F1401"/>
      <c r="I1401" s="1180"/>
      <c r="J1401" s="1180"/>
    </row>
    <row r="1402" spans="1:10" ht="15" hidden="1" customHeight="1" x14ac:dyDescent="0.3">
      <c r="A1402" s="66"/>
      <c r="B1402" s="4"/>
      <c r="C1402" s="4"/>
      <c r="D1402" s="1431" t="s">
        <v>848</v>
      </c>
      <c r="E1402" s="1119"/>
      <c r="F1402"/>
      <c r="I1402" s="1180"/>
      <c r="J1402" s="1180"/>
    </row>
    <row r="1403" spans="1:10" ht="15" hidden="1" thickBot="1" x14ac:dyDescent="0.35">
      <c r="A1403" s="66"/>
      <c r="B1403" s="4"/>
      <c r="C1403" s="4"/>
      <c r="D1403" s="1431"/>
      <c r="E1403" s="1119"/>
      <c r="F1403"/>
      <c r="I1403" s="1180"/>
      <c r="J1403" s="1180"/>
    </row>
    <row r="1404" spans="1:10" ht="15" hidden="1" thickBot="1" x14ac:dyDescent="0.35">
      <c r="A1404" s="66"/>
      <c r="B1404" s="4"/>
      <c r="C1404" s="4"/>
      <c r="D1404" s="1431"/>
      <c r="E1404" s="1119"/>
      <c r="F1404"/>
      <c r="I1404" s="1180"/>
      <c r="J1404" s="1180"/>
    </row>
    <row r="1405" spans="1:10" ht="15" hidden="1" customHeight="1" x14ac:dyDescent="0.3">
      <c r="A1405" s="66"/>
      <c r="B1405" s="4"/>
      <c r="C1405" s="4"/>
      <c r="D1405" s="1431" t="s">
        <v>849</v>
      </c>
      <c r="E1405" s="1119"/>
      <c r="F1405"/>
      <c r="I1405" s="1180"/>
      <c r="J1405" s="1180"/>
    </row>
    <row r="1406" spans="1:10" ht="15" hidden="1" thickBot="1" x14ac:dyDescent="0.35">
      <c r="A1406" s="66"/>
      <c r="B1406" s="4"/>
      <c r="C1406" s="4"/>
      <c r="D1406" s="1431"/>
      <c r="E1406" s="1119"/>
      <c r="F1406"/>
      <c r="I1406" s="1180"/>
      <c r="J1406" s="1180"/>
    </row>
    <row r="1407" spans="1:10" ht="15" hidden="1" thickBot="1" x14ac:dyDescent="0.35">
      <c r="A1407" s="66"/>
      <c r="B1407" s="4"/>
      <c r="C1407" s="4"/>
      <c r="D1407" s="1431"/>
      <c r="E1407" s="1119"/>
      <c r="F1407"/>
      <c r="I1407" s="1180"/>
      <c r="J1407" s="1180"/>
    </row>
    <row r="1408" spans="1:10" ht="15" hidden="1" thickBot="1" x14ac:dyDescent="0.35">
      <c r="A1408" s="66"/>
      <c r="B1408" s="4"/>
      <c r="C1408" s="4"/>
      <c r="D1408" s="1123" t="s">
        <v>850</v>
      </c>
      <c r="E1408" s="1119"/>
      <c r="F1408"/>
      <c r="I1408" s="1180"/>
      <c r="J1408" s="1180"/>
    </row>
    <row r="1409" spans="1:10" ht="15" hidden="1" thickBot="1" x14ac:dyDescent="0.35">
      <c r="A1409" s="66"/>
      <c r="B1409" s="4"/>
      <c r="C1409" s="4"/>
      <c r="D1409" s="422" t="s">
        <v>3783</v>
      </c>
      <c r="E1409" s="1119"/>
      <c r="F1409"/>
      <c r="I1409" s="1180"/>
      <c r="J1409" s="1180"/>
    </row>
    <row r="1410" spans="1:10" ht="15" hidden="1" thickBot="1" x14ac:dyDescent="0.35">
      <c r="A1410" s="66"/>
      <c r="B1410" s="4"/>
      <c r="C1410" s="4"/>
      <c r="D1410" s="422" t="s">
        <v>3784</v>
      </c>
      <c r="E1410" s="1119"/>
      <c r="F1410"/>
      <c r="I1410" s="1180"/>
      <c r="J1410" s="1180"/>
    </row>
    <row r="1411" spans="1:10" ht="15" hidden="1" customHeight="1" x14ac:dyDescent="0.3">
      <c r="A1411" s="66"/>
      <c r="B1411" s="203" t="s">
        <v>271</v>
      </c>
      <c r="C1411" s="140"/>
      <c r="D1411" s="1305" t="s">
        <v>851</v>
      </c>
      <c r="E1411" s="1119"/>
      <c r="F1411"/>
      <c r="I1411" s="1180"/>
      <c r="J1411" s="1180"/>
    </row>
    <row r="1412" spans="1:10" ht="15.75" hidden="1" customHeight="1" x14ac:dyDescent="0.3">
      <c r="A1412" s="66"/>
      <c r="B1412" s="231"/>
      <c r="C1412" s="238"/>
      <c r="D1412" s="1306"/>
      <c r="E1412" s="1119"/>
      <c r="F1412"/>
      <c r="I1412" s="1180"/>
      <c r="J1412" s="1180"/>
    </row>
    <row r="1413" spans="1:10" ht="15" hidden="1" customHeight="1" x14ac:dyDescent="0.3">
      <c r="A1413" s="66"/>
      <c r="B1413" s="203" t="s">
        <v>273</v>
      </c>
      <c r="C1413" s="140"/>
      <c r="D1413" s="1305" t="s">
        <v>852</v>
      </c>
      <c r="E1413" s="1119"/>
      <c r="F1413"/>
      <c r="I1413" s="1180"/>
      <c r="J1413" s="1180"/>
    </row>
    <row r="1414" spans="1:10" ht="15.75" hidden="1" customHeight="1" x14ac:dyDescent="0.3">
      <c r="A1414" s="66"/>
      <c r="B1414" s="231"/>
      <c r="C1414" s="238"/>
      <c r="D1414" s="1306"/>
      <c r="E1414" s="1119"/>
      <c r="F1414"/>
      <c r="I1414" s="1180"/>
      <c r="J1414" s="1180"/>
    </row>
    <row r="1415" spans="1:10" ht="15" hidden="1" customHeight="1" x14ac:dyDescent="0.3">
      <c r="A1415" s="66"/>
      <c r="B1415" s="203" t="s">
        <v>275</v>
      </c>
      <c r="C1415" s="140"/>
      <c r="D1415" s="1305" t="s">
        <v>853</v>
      </c>
      <c r="E1415" s="1119"/>
      <c r="F1415"/>
      <c r="I1415" s="1180"/>
      <c r="J1415" s="1180"/>
    </row>
    <row r="1416" spans="1:10" ht="15.75" hidden="1" customHeight="1" x14ac:dyDescent="0.3">
      <c r="A1416" s="66"/>
      <c r="B1416" s="231"/>
      <c r="C1416" s="238"/>
      <c r="D1416" s="1306"/>
      <c r="E1416" s="1119"/>
      <c r="F1416"/>
      <c r="I1416" s="1180"/>
      <c r="J1416" s="1180"/>
    </row>
    <row r="1417" spans="1:10" ht="15" hidden="1" customHeight="1" x14ac:dyDescent="0.3">
      <c r="A1417" s="66"/>
      <c r="B1417" s="27" t="s">
        <v>285</v>
      </c>
      <c r="C1417" s="4"/>
      <c r="D1417" s="1329" t="s">
        <v>854</v>
      </c>
      <c r="E1417" s="1119"/>
      <c r="F1417"/>
      <c r="I1417" s="1180"/>
      <c r="J1417" s="1180"/>
    </row>
    <row r="1418" spans="1:10" ht="15.75" hidden="1" customHeight="1" x14ac:dyDescent="0.3">
      <c r="A1418" s="66"/>
      <c r="B1418" s="4"/>
      <c r="C1418" s="4"/>
      <c r="D1418" s="1329"/>
      <c r="E1418" s="1119"/>
      <c r="F1418"/>
      <c r="I1418" s="1180"/>
      <c r="J1418" s="1180"/>
    </row>
    <row r="1419" spans="1:10" ht="15.75" hidden="1" customHeight="1" x14ac:dyDescent="0.3">
      <c r="A1419" s="66"/>
      <c r="B1419" s="4"/>
      <c r="C1419" s="4"/>
      <c r="D1419" s="1329"/>
      <c r="E1419" s="1119"/>
      <c r="F1419"/>
      <c r="I1419" s="1180"/>
      <c r="J1419" s="1180"/>
    </row>
    <row r="1420" spans="1:10" ht="15" hidden="1" customHeight="1" x14ac:dyDescent="0.3">
      <c r="A1420" s="4"/>
      <c r="B1420" s="140"/>
      <c r="C1420" s="203" t="s">
        <v>121</v>
      </c>
      <c r="D1420" s="1305" t="s">
        <v>855</v>
      </c>
      <c r="E1420" s="1119"/>
      <c r="F1420"/>
      <c r="I1420" s="1180"/>
      <c r="J1420" s="1180"/>
    </row>
    <row r="1421" spans="1:10" ht="15.75" hidden="1" customHeight="1" x14ac:dyDescent="0.3">
      <c r="A1421" s="66"/>
      <c r="B1421" s="238"/>
      <c r="C1421" s="238"/>
      <c r="D1421" s="1306"/>
      <c r="E1421" s="1119"/>
      <c r="F1421"/>
      <c r="I1421" s="1180"/>
      <c r="J1421" s="1180"/>
    </row>
    <row r="1422" spans="1:10" ht="15" hidden="1" customHeight="1" x14ac:dyDescent="0.3">
      <c r="A1422" s="66"/>
      <c r="B1422" s="203" t="s">
        <v>291</v>
      </c>
      <c r="C1422" s="140"/>
      <c r="D1422" s="1305" t="s">
        <v>857</v>
      </c>
      <c r="E1422" s="1117"/>
      <c r="F1422"/>
      <c r="I1422" s="1180"/>
      <c r="J1422" s="1180"/>
    </row>
    <row r="1423" spans="1:10" ht="15.75" hidden="1" customHeight="1" x14ac:dyDescent="0.3">
      <c r="A1423" s="66"/>
      <c r="B1423" s="140"/>
      <c r="C1423" s="140"/>
      <c r="D1423" s="1305"/>
      <c r="E1423" s="1117"/>
      <c r="F1423"/>
      <c r="I1423" s="1180"/>
      <c r="J1423" s="1180"/>
    </row>
    <row r="1424" spans="1:10" ht="15.75" hidden="1" customHeight="1" x14ac:dyDescent="0.3">
      <c r="A1424" s="66"/>
      <c r="B1424" s="140"/>
      <c r="C1424" s="140"/>
      <c r="D1424" s="1305"/>
      <c r="E1424" s="1117"/>
      <c r="F1424"/>
      <c r="I1424" s="1180"/>
      <c r="J1424" s="1180"/>
    </row>
    <row r="1425" spans="1:10" ht="15.75" hidden="1" customHeight="1" x14ac:dyDescent="0.3">
      <c r="A1425" s="66"/>
      <c r="B1425" s="140"/>
      <c r="C1425" s="140"/>
      <c r="D1425" s="1305"/>
      <c r="E1425" s="1117"/>
      <c r="F1425"/>
      <c r="I1425" s="1180"/>
      <c r="J1425" s="1180"/>
    </row>
    <row r="1426" spans="1:10" ht="15.75" hidden="1" customHeight="1" x14ac:dyDescent="0.3">
      <c r="A1426" s="66"/>
      <c r="B1426" s="238"/>
      <c r="C1426" s="238"/>
      <c r="D1426" s="1306"/>
      <c r="E1426" s="1118"/>
      <c r="F1426"/>
      <c r="I1426" s="1180"/>
      <c r="J1426" s="1180"/>
    </row>
    <row r="1427" spans="1:10" ht="15" hidden="1" customHeight="1" x14ac:dyDescent="0.3">
      <c r="A1427" s="141"/>
      <c r="B1427" s="203" t="s">
        <v>293</v>
      </c>
      <c r="C1427" s="140"/>
      <c r="D1427" s="1305" t="s">
        <v>858</v>
      </c>
      <c r="E1427" s="1308">
        <f>'Verification Report'!O1427</f>
        <v>0</v>
      </c>
      <c r="F1427"/>
      <c r="I1427" s="1180"/>
      <c r="J1427" s="1180"/>
    </row>
    <row r="1428" spans="1:10" ht="15.75" hidden="1" customHeight="1" x14ac:dyDescent="0.3">
      <c r="A1428" s="141"/>
      <c r="B1428" s="140"/>
      <c r="C1428" s="140"/>
      <c r="D1428" s="1305"/>
      <c r="E1428" s="1308">
        <f>'Verification Report'!O1428</f>
        <v>0</v>
      </c>
      <c r="F1428"/>
      <c r="I1428" s="1180"/>
      <c r="J1428" s="1180"/>
    </row>
    <row r="1429" spans="1:10" ht="15.75" hidden="1" customHeight="1" thickBot="1" x14ac:dyDescent="0.35">
      <c r="A1429" s="212"/>
      <c r="B1429" s="270"/>
      <c r="C1429" s="270"/>
      <c r="D1429" s="1330"/>
      <c r="E1429" s="1315">
        <f>'Verification Report'!O1429</f>
        <v>0</v>
      </c>
      <c r="F1429"/>
      <c r="I1429" s="1180"/>
      <c r="J1429" s="1180"/>
    </row>
    <row r="1430" spans="1:10" ht="15.75" hidden="1" customHeight="1" thickTop="1" x14ac:dyDescent="0.3">
      <c r="A1430" s="66">
        <v>801.2</v>
      </c>
      <c r="B1430" s="4"/>
      <c r="C1430" s="4"/>
      <c r="D1430" s="1292" t="s">
        <v>859</v>
      </c>
      <c r="E1430" s="1119"/>
      <c r="F1430"/>
      <c r="I1430" s="1180"/>
      <c r="J1430" s="1180"/>
    </row>
    <row r="1431" spans="1:10" ht="15" hidden="1" thickBot="1" x14ac:dyDescent="0.35">
      <c r="A1431" s="66"/>
      <c r="B1431" s="4"/>
      <c r="C1431" s="4"/>
      <c r="D1431" s="1292"/>
      <c r="E1431" s="1119"/>
      <c r="F1431"/>
      <c r="I1431" s="1180"/>
      <c r="J1431" s="1180"/>
    </row>
    <row r="1432" spans="1:10" ht="15" hidden="1" thickBot="1" x14ac:dyDescent="0.35">
      <c r="A1432" s="66"/>
      <c r="B1432" s="231" t="s">
        <v>271</v>
      </c>
      <c r="C1432" s="238"/>
      <c r="D1432" s="1113" t="s">
        <v>860</v>
      </c>
      <c r="E1432" s="1118">
        <f>'Verification Report'!O1432</f>
        <v>0</v>
      </c>
      <c r="F1432"/>
      <c r="I1432" s="1180"/>
      <c r="J1432" s="1180"/>
    </row>
    <row r="1433" spans="1:10" ht="15.75" hidden="1" customHeight="1" x14ac:dyDescent="0.3">
      <c r="A1433" s="141"/>
      <c r="B1433" s="231" t="s">
        <v>273</v>
      </c>
      <c r="C1433" s="238"/>
      <c r="D1433" s="1113" t="s">
        <v>861</v>
      </c>
      <c r="E1433" s="1308">
        <f ca="1">'Verification Report'!O1433</f>
        <v>0</v>
      </c>
      <c r="F1433"/>
      <c r="I1433" s="1180"/>
      <c r="J1433" s="1180"/>
    </row>
    <row r="1434" spans="1:10" ht="15.75" hidden="1" customHeight="1" x14ac:dyDescent="0.3">
      <c r="A1434" s="141"/>
      <c r="B1434" s="203" t="s">
        <v>275</v>
      </c>
      <c r="C1434" s="140"/>
      <c r="D1434" s="1112" t="s">
        <v>862</v>
      </c>
      <c r="E1434" s="1308">
        <f>'Verification Report'!O1434</f>
        <v>0</v>
      </c>
      <c r="F1434"/>
      <c r="I1434" s="1180"/>
      <c r="J1434" s="1180"/>
    </row>
    <row r="1435" spans="1:10" ht="15" hidden="1" customHeight="1" x14ac:dyDescent="0.3">
      <c r="A1435" s="141"/>
      <c r="B1435" s="203"/>
      <c r="C1435" s="140"/>
      <c r="D1435" s="1432" t="s">
        <v>3828</v>
      </c>
      <c r="E1435" s="1117"/>
      <c r="F1435"/>
      <c r="I1435" s="1180"/>
      <c r="J1435" s="1180"/>
    </row>
    <row r="1436" spans="1:10" ht="15.75" hidden="1" customHeight="1" x14ac:dyDescent="0.3">
      <c r="A1436" s="141"/>
      <c r="B1436" s="203"/>
      <c r="C1436" s="140"/>
      <c r="D1436" s="1433"/>
      <c r="E1436" s="1117"/>
      <c r="F1436"/>
      <c r="I1436" s="1180"/>
      <c r="J1436" s="1180"/>
    </row>
    <row r="1437" spans="1:10" ht="15" hidden="1" customHeight="1" x14ac:dyDescent="0.3">
      <c r="A1437" s="141"/>
      <c r="B1437" s="97"/>
      <c r="C1437" s="97"/>
      <c r="D1437" s="1394" t="s">
        <v>3829</v>
      </c>
      <c r="E1437" s="1117"/>
      <c r="F1437"/>
      <c r="I1437" s="1180"/>
      <c r="J1437" s="1180"/>
    </row>
    <row r="1438" spans="1:10" ht="15.75" hidden="1" customHeight="1" thickBot="1" x14ac:dyDescent="0.35">
      <c r="A1438" s="212"/>
      <c r="B1438" s="104"/>
      <c r="C1438" s="104"/>
      <c r="D1438" s="1395"/>
      <c r="E1438" s="1120"/>
      <c r="F1438"/>
      <c r="I1438" s="1180"/>
      <c r="J1438" s="1180"/>
    </row>
    <row r="1439" spans="1:10" ht="15" hidden="1" thickBot="1" x14ac:dyDescent="0.35">
      <c r="A1439" s="66">
        <v>801.3</v>
      </c>
      <c r="B1439" s="4"/>
      <c r="C1439" s="4"/>
      <c r="D1439" s="1135" t="s">
        <v>863</v>
      </c>
      <c r="E1439" s="1119"/>
      <c r="F1439"/>
      <c r="I1439" s="1180"/>
      <c r="J1439" s="1180"/>
    </row>
    <row r="1440" spans="1:10" ht="15" hidden="1" customHeight="1" x14ac:dyDescent="0.3">
      <c r="A1440" s="66"/>
      <c r="B1440" s="27" t="s">
        <v>271</v>
      </c>
      <c r="C1440" s="4"/>
      <c r="D1440" s="1329" t="s">
        <v>865</v>
      </c>
      <c r="E1440" s="1310">
        <f ca="1">'Verification Report'!O1440</f>
        <v>0</v>
      </c>
      <c r="F1440"/>
      <c r="I1440" s="1180"/>
      <c r="J1440" s="1180"/>
    </row>
    <row r="1441" spans="1:10" ht="15.75" hidden="1" customHeight="1" x14ac:dyDescent="0.3">
      <c r="A1441" s="66"/>
      <c r="B1441" s="4"/>
      <c r="C1441" s="4"/>
      <c r="D1441" s="1329"/>
      <c r="E1441" s="1310">
        <f>'Verification Report'!O1441</f>
        <v>0</v>
      </c>
      <c r="F1441"/>
      <c r="I1441" s="1180"/>
      <c r="J1441" s="1180"/>
    </row>
    <row r="1442" spans="1:10" ht="15" hidden="1" customHeight="1" x14ac:dyDescent="0.3">
      <c r="A1442" s="66"/>
      <c r="B1442" s="4"/>
      <c r="C1442" s="4"/>
      <c r="D1442" s="1329"/>
      <c r="E1442" s="1310">
        <f>'Verification Report'!O1442</f>
        <v>0</v>
      </c>
      <c r="F1442"/>
      <c r="I1442" s="1180"/>
      <c r="J1442" s="1180"/>
    </row>
    <row r="1443" spans="1:10" ht="15.75" hidden="1" customHeight="1" x14ac:dyDescent="0.3">
      <c r="A1443" s="66"/>
      <c r="B1443" s="4"/>
      <c r="C1443" s="4"/>
      <c r="D1443" s="1329"/>
      <c r="E1443" s="1310">
        <f>'Verification Report'!O1443</f>
        <v>0</v>
      </c>
      <c r="F1443"/>
      <c r="I1443" s="1180"/>
      <c r="J1443" s="1180"/>
    </row>
    <row r="1444" spans="1:10" ht="15.75" hidden="1" customHeight="1" x14ac:dyDescent="0.3">
      <c r="A1444" s="66"/>
      <c r="B1444" s="4"/>
      <c r="C1444" s="4"/>
      <c r="D1444" s="1329"/>
      <c r="E1444" s="1310">
        <f>'Verification Report'!O1444</f>
        <v>0</v>
      </c>
      <c r="F1444"/>
      <c r="I1444" s="1180"/>
      <c r="J1444" s="1180"/>
    </row>
    <row r="1445" spans="1:10" ht="15.75" hidden="1" customHeight="1" x14ac:dyDescent="0.3">
      <c r="A1445" s="66"/>
      <c r="B1445" s="4"/>
      <c r="C1445" s="4"/>
      <c r="D1445" s="1329"/>
      <c r="E1445" s="1310">
        <f>'Verification Report'!O1445</f>
        <v>0</v>
      </c>
      <c r="F1445"/>
      <c r="I1445" s="1180"/>
      <c r="J1445" s="1180"/>
    </row>
    <row r="1446" spans="1:10" ht="15" hidden="1" customHeight="1" x14ac:dyDescent="0.3">
      <c r="A1446" s="66"/>
      <c r="B1446" s="140"/>
      <c r="C1446" s="140"/>
      <c r="D1446" s="1368" t="s">
        <v>867</v>
      </c>
      <c r="E1446" s="1117"/>
      <c r="F1446"/>
      <c r="I1446" s="1180"/>
      <c r="J1446" s="1180"/>
    </row>
    <row r="1447" spans="1:10" ht="15.75" hidden="1" customHeight="1" x14ac:dyDescent="0.3">
      <c r="A1447" s="66"/>
      <c r="B1447" s="140"/>
      <c r="C1447" s="140"/>
      <c r="D1447" s="1368"/>
      <c r="E1447" s="1117"/>
      <c r="F1447"/>
      <c r="I1447" s="1180"/>
      <c r="J1447" s="1180"/>
    </row>
    <row r="1448" spans="1:10" ht="15.75" hidden="1" customHeight="1" x14ac:dyDescent="0.3">
      <c r="A1448" s="66"/>
      <c r="B1448" s="238"/>
      <c r="C1448" s="238"/>
      <c r="D1448" s="1424"/>
      <c r="E1448" s="1118"/>
      <c r="F1448"/>
      <c r="I1448" s="1180"/>
      <c r="J1448" s="1180"/>
    </row>
    <row r="1449" spans="1:10" ht="15" hidden="1" customHeight="1" x14ac:dyDescent="0.3">
      <c r="A1449" s="66"/>
      <c r="B1449" s="27" t="s">
        <v>273</v>
      </c>
      <c r="C1449" s="4"/>
      <c r="D1449" s="1329" t="s">
        <v>869</v>
      </c>
      <c r="E1449" s="1310">
        <f ca="1">'Verification Report'!O1449</f>
        <v>0</v>
      </c>
      <c r="F1449"/>
      <c r="I1449" s="1180"/>
      <c r="J1449" s="1180"/>
    </row>
    <row r="1450" spans="1:10" ht="15.75" hidden="1" customHeight="1" x14ac:dyDescent="0.3">
      <c r="A1450" s="66"/>
      <c r="B1450" s="4"/>
      <c r="C1450" s="4"/>
      <c r="D1450" s="1329"/>
      <c r="E1450" s="1310">
        <f>'Verification Report'!O1450</f>
        <v>0</v>
      </c>
      <c r="F1450"/>
      <c r="I1450" s="1180"/>
      <c r="J1450" s="1180"/>
    </row>
    <row r="1451" spans="1:10" ht="15.75" hidden="1" customHeight="1" x14ac:dyDescent="0.3">
      <c r="A1451" s="4"/>
      <c r="B1451" s="4"/>
      <c r="C1451" s="27" t="s">
        <v>121</v>
      </c>
      <c r="D1451" s="1131" t="s">
        <v>870</v>
      </c>
      <c r="E1451" s="1119"/>
      <c r="F1451"/>
      <c r="I1451" s="1180"/>
      <c r="J1451" s="1180"/>
    </row>
    <row r="1452" spans="1:10" ht="15.75" hidden="1" customHeight="1" x14ac:dyDescent="0.3">
      <c r="A1452" s="4"/>
      <c r="B1452" s="4"/>
      <c r="C1452" s="27" t="s">
        <v>122</v>
      </c>
      <c r="D1452" s="1131" t="s">
        <v>872</v>
      </c>
      <c r="E1452" s="1119"/>
      <c r="F1452"/>
      <c r="I1452" s="1180"/>
      <c r="J1452" s="1180"/>
    </row>
    <row r="1453" spans="1:10" ht="15.75" hidden="1" customHeight="1" x14ac:dyDescent="0.3">
      <c r="A1453" s="4"/>
      <c r="B1453" s="238"/>
      <c r="C1453" s="231" t="s">
        <v>123</v>
      </c>
      <c r="D1453" s="1113" t="s">
        <v>874</v>
      </c>
      <c r="E1453" s="1118"/>
      <c r="F1453"/>
      <c r="I1453" s="1180"/>
      <c r="J1453" s="1180"/>
    </row>
    <row r="1454" spans="1:10" ht="26.25" hidden="1" customHeight="1" x14ac:dyDescent="0.3">
      <c r="A1454" s="141"/>
      <c r="B1454" s="203" t="s">
        <v>275</v>
      </c>
      <c r="C1454" s="140"/>
      <c r="D1454" s="1112" t="s">
        <v>876</v>
      </c>
      <c r="E1454" s="1308">
        <f ca="1">'Verification Report'!O1454</f>
        <v>0</v>
      </c>
      <c r="F1454"/>
      <c r="I1454" s="1180"/>
      <c r="J1454" s="1180"/>
    </row>
    <row r="1455" spans="1:10" ht="15.75" hidden="1" customHeight="1" thickBot="1" x14ac:dyDescent="0.35">
      <c r="A1455" s="212"/>
      <c r="B1455" s="270"/>
      <c r="C1455" s="270"/>
      <c r="D1455" s="1143" t="s">
        <v>877</v>
      </c>
      <c r="E1455" s="1315">
        <f>'Verification Report'!O1455</f>
        <v>0</v>
      </c>
      <c r="F1455"/>
      <c r="I1455" s="1180"/>
      <c r="J1455" s="1180"/>
    </row>
    <row r="1456" spans="1:10" ht="15.6" hidden="1" thickTop="1" thickBot="1" x14ac:dyDescent="0.35">
      <c r="A1456" s="200">
        <v>801.4</v>
      </c>
      <c r="B1456" s="201"/>
      <c r="C1456" s="201"/>
      <c r="D1456" s="1146" t="s">
        <v>879</v>
      </c>
      <c r="E1456" s="1126"/>
      <c r="F1456"/>
      <c r="I1456" s="1180"/>
      <c r="J1456" s="1180"/>
    </row>
    <row r="1457" spans="1:10" ht="15" hidden="1" customHeight="1" x14ac:dyDescent="0.3">
      <c r="A1457" s="141" t="s">
        <v>880</v>
      </c>
      <c r="B1457" s="140"/>
      <c r="C1457" s="140"/>
      <c r="D1457" s="1313" t="s">
        <v>881</v>
      </c>
      <c r="E1457" s="1117"/>
      <c r="F1457"/>
      <c r="I1457" s="1180"/>
      <c r="J1457" s="1180"/>
    </row>
    <row r="1458" spans="1:10" ht="15" hidden="1" thickBot="1" x14ac:dyDescent="0.35">
      <c r="A1458" s="141"/>
      <c r="B1458" s="140"/>
      <c r="C1458" s="140"/>
      <c r="D1458" s="1313"/>
      <c r="E1458" s="1119"/>
      <c r="F1458"/>
      <c r="I1458" s="1180"/>
      <c r="J1458" s="1180"/>
    </row>
    <row r="1459" spans="1:10" ht="15.75" hidden="1" customHeight="1" x14ac:dyDescent="0.3">
      <c r="A1459" s="66"/>
      <c r="B1459" s="203" t="s">
        <v>271</v>
      </c>
      <c r="C1459" s="140"/>
      <c r="D1459" s="1112" t="s">
        <v>882</v>
      </c>
      <c r="E1459" s="1308">
        <f ca="1">'Verification Report'!O1459</f>
        <v>0</v>
      </c>
      <c r="F1459"/>
      <c r="I1459" s="1180"/>
      <c r="J1459" s="1180"/>
    </row>
    <row r="1460" spans="1:10" ht="15" hidden="1" customHeight="1" x14ac:dyDescent="0.3">
      <c r="A1460" s="66"/>
      <c r="B1460" s="140"/>
      <c r="C1460" s="140"/>
      <c r="D1460" s="1368" t="s">
        <v>883</v>
      </c>
      <c r="E1460" s="1308">
        <f>'Verification Report'!O1460</f>
        <v>0</v>
      </c>
      <c r="F1460"/>
      <c r="I1460" s="1180"/>
      <c r="J1460" s="1180"/>
    </row>
    <row r="1461" spans="1:10" ht="15.75" hidden="1" customHeight="1" x14ac:dyDescent="0.3">
      <c r="A1461" s="66"/>
      <c r="B1461" s="140"/>
      <c r="C1461" s="140"/>
      <c r="D1461" s="1368"/>
      <c r="E1461" s="1308">
        <f>'Verification Report'!O1461</f>
        <v>0</v>
      </c>
      <c r="F1461"/>
      <c r="I1461" s="1180"/>
      <c r="J1461" s="1180"/>
    </row>
    <row r="1462" spans="1:10" ht="15.75" hidden="1" customHeight="1" x14ac:dyDescent="0.3">
      <c r="A1462" s="66"/>
      <c r="B1462" s="238"/>
      <c r="C1462" s="238"/>
      <c r="D1462" s="1424"/>
      <c r="E1462" s="1309">
        <f>'Verification Report'!O1462</f>
        <v>0</v>
      </c>
      <c r="F1462"/>
      <c r="I1462" s="1180"/>
      <c r="J1462" s="1180"/>
    </row>
    <row r="1463" spans="1:10" ht="15" hidden="1" thickBot="1" x14ac:dyDescent="0.35">
      <c r="A1463" s="244"/>
      <c r="B1463" s="231" t="s">
        <v>273</v>
      </c>
      <c r="C1463" s="238"/>
      <c r="D1463" s="1113" t="s">
        <v>884</v>
      </c>
      <c r="E1463" s="1118">
        <f>'Verification Report'!O1463</f>
        <v>0</v>
      </c>
      <c r="F1463"/>
      <c r="I1463" s="1180"/>
      <c r="J1463" s="1180"/>
    </row>
    <row r="1464" spans="1:10" ht="15" hidden="1" customHeight="1" x14ac:dyDescent="0.3">
      <c r="A1464" s="141" t="s">
        <v>885</v>
      </c>
      <c r="B1464" s="140"/>
      <c r="C1464" s="140"/>
      <c r="D1464" s="1313" t="s">
        <v>886</v>
      </c>
      <c r="E1464" s="1308">
        <f ca="1">'Verification Report'!O1464</f>
        <v>0</v>
      </c>
      <c r="F1464"/>
      <c r="I1464" s="1180"/>
      <c r="J1464" s="1180"/>
    </row>
    <row r="1465" spans="1:10" ht="15.75" hidden="1" customHeight="1" x14ac:dyDescent="0.3">
      <c r="A1465" s="141"/>
      <c r="B1465" s="140"/>
      <c r="C1465" s="140"/>
      <c r="D1465" s="1313"/>
      <c r="E1465" s="1308">
        <f>'Verification Report'!O1465</f>
        <v>0</v>
      </c>
      <c r="F1465"/>
      <c r="I1465" s="1180"/>
      <c r="J1465" s="1180"/>
    </row>
    <row r="1466" spans="1:10" ht="15.75" hidden="1" customHeight="1" thickBot="1" x14ac:dyDescent="0.35">
      <c r="A1466" s="212"/>
      <c r="B1466" s="270"/>
      <c r="C1466" s="270"/>
      <c r="D1466" s="1143" t="s">
        <v>887</v>
      </c>
      <c r="E1466" s="1315">
        <f>'Verification Report'!O1466</f>
        <v>0</v>
      </c>
      <c r="F1466"/>
      <c r="I1466" s="1180"/>
      <c r="J1466" s="1180"/>
    </row>
    <row r="1467" spans="1:10" ht="15.75" hidden="1" customHeight="1" thickTop="1" x14ac:dyDescent="0.3">
      <c r="A1467" s="66">
        <v>801.5</v>
      </c>
      <c r="B1467" s="4"/>
      <c r="C1467" s="4"/>
      <c r="D1467" s="1389" t="s">
        <v>888</v>
      </c>
      <c r="E1467" s="1119"/>
      <c r="F1467"/>
      <c r="I1467" s="1180"/>
      <c r="J1467" s="1180"/>
    </row>
    <row r="1468" spans="1:10" ht="15" hidden="1" thickBot="1" x14ac:dyDescent="0.35">
      <c r="A1468" s="66"/>
      <c r="B1468" s="4"/>
      <c r="C1468" s="4"/>
      <c r="D1468" s="1389"/>
      <c r="E1468" s="1119"/>
      <c r="F1468"/>
      <c r="I1468" s="1180"/>
      <c r="J1468" s="1180"/>
    </row>
    <row r="1469" spans="1:10" ht="15" hidden="1" customHeight="1" x14ac:dyDescent="0.3">
      <c r="A1469" s="66"/>
      <c r="B1469" s="203" t="s">
        <v>271</v>
      </c>
      <c r="C1469" s="140"/>
      <c r="D1469" s="1293" t="s">
        <v>889</v>
      </c>
      <c r="E1469" s="1117"/>
      <c r="F1469"/>
      <c r="I1469" s="1180"/>
      <c r="J1469" s="1180"/>
    </row>
    <row r="1470" spans="1:10" ht="15.75" hidden="1" customHeight="1" x14ac:dyDescent="0.3">
      <c r="A1470" s="141"/>
      <c r="B1470" s="231"/>
      <c r="C1470" s="238"/>
      <c r="D1470" s="1294"/>
      <c r="E1470" s="1118"/>
      <c r="F1470"/>
      <c r="I1470" s="1180"/>
      <c r="J1470" s="1180"/>
    </row>
    <row r="1471" spans="1:10" ht="15" hidden="1" customHeight="1" x14ac:dyDescent="0.3">
      <c r="A1471" s="66"/>
      <c r="B1471" s="27" t="s">
        <v>273</v>
      </c>
      <c r="C1471" s="4"/>
      <c r="D1471" s="1329" t="s">
        <v>890</v>
      </c>
      <c r="E1471" s="1310">
        <f ca="1">'Verification Report'!O1471</f>
        <v>0</v>
      </c>
      <c r="F1471"/>
      <c r="I1471" s="1180"/>
      <c r="J1471" s="1180"/>
    </row>
    <row r="1472" spans="1:10" ht="15.75" hidden="1" customHeight="1" x14ac:dyDescent="0.3">
      <c r="A1472" s="66"/>
      <c r="B1472" s="4"/>
      <c r="C1472" s="4"/>
      <c r="D1472" s="1329"/>
      <c r="E1472" s="1310">
        <f>'Verification Report'!O1472</f>
        <v>0</v>
      </c>
      <c r="F1472"/>
      <c r="I1472" s="1180"/>
      <c r="J1472" s="1180"/>
    </row>
    <row r="1473" spans="1:10" ht="15.75" hidden="1" customHeight="1" x14ac:dyDescent="0.3">
      <c r="A1473" s="66"/>
      <c r="B1473" s="4"/>
      <c r="C1473" s="4"/>
      <c r="D1473" s="1329"/>
      <c r="E1473" s="1310">
        <f>'Verification Report'!O1473</f>
        <v>0</v>
      </c>
      <c r="F1473"/>
      <c r="I1473" s="1180"/>
      <c r="J1473" s="1180"/>
    </row>
    <row r="1474" spans="1:10" ht="15" hidden="1" customHeight="1" x14ac:dyDescent="0.3">
      <c r="A1474" s="66"/>
      <c r="B1474" s="140"/>
      <c r="C1474" s="140"/>
      <c r="D1474" s="1368" t="s">
        <v>891</v>
      </c>
      <c r="E1474" s="1119"/>
      <c r="F1474"/>
      <c r="I1474" s="1180"/>
      <c r="J1474" s="1180"/>
    </row>
    <row r="1475" spans="1:10" ht="15.75" hidden="1" customHeight="1" x14ac:dyDescent="0.3">
      <c r="A1475" s="66"/>
      <c r="B1475" s="140"/>
      <c r="C1475" s="140"/>
      <c r="D1475" s="1368"/>
      <c r="E1475" s="1119"/>
      <c r="F1475"/>
      <c r="I1475" s="1180"/>
      <c r="J1475" s="1180"/>
    </row>
    <row r="1476" spans="1:10" ht="15.75" hidden="1" customHeight="1" x14ac:dyDescent="0.3">
      <c r="A1476" s="66"/>
      <c r="B1476" s="238"/>
      <c r="C1476" s="238"/>
      <c r="D1476" s="1424"/>
      <c r="E1476" s="1118"/>
      <c r="F1476"/>
      <c r="I1476" s="1180"/>
      <c r="J1476" s="1180"/>
    </row>
    <row r="1477" spans="1:10" ht="15" hidden="1" thickBot="1" x14ac:dyDescent="0.35">
      <c r="A1477" s="66"/>
      <c r="B1477" s="231" t="s">
        <v>275</v>
      </c>
      <c r="C1477" s="238"/>
      <c r="D1477" s="1113" t="s">
        <v>892</v>
      </c>
      <c r="E1477" s="1118">
        <f ca="1">'Verification Report'!O1477</f>
        <v>0</v>
      </c>
      <c r="F1477"/>
      <c r="I1477" s="1180"/>
      <c r="J1477" s="1180"/>
    </row>
    <row r="1478" spans="1:10" ht="15" hidden="1" customHeight="1" x14ac:dyDescent="0.3">
      <c r="A1478" s="66"/>
      <c r="B1478" s="27" t="s">
        <v>285</v>
      </c>
      <c r="C1478" s="4"/>
      <c r="D1478" s="1329" t="s">
        <v>893</v>
      </c>
      <c r="E1478" s="1119"/>
      <c r="F1478"/>
      <c r="I1478" s="1180"/>
      <c r="J1478" s="1180"/>
    </row>
    <row r="1479" spans="1:10" ht="15" hidden="1" thickBot="1" x14ac:dyDescent="0.35">
      <c r="A1479" s="66"/>
      <c r="B1479" s="4"/>
      <c r="C1479" s="4"/>
      <c r="D1479" s="1329"/>
      <c r="E1479" s="1119"/>
      <c r="F1479"/>
      <c r="I1479" s="1180"/>
      <c r="J1479" s="1180"/>
    </row>
    <row r="1480" spans="1:10" ht="15.75" hidden="1" customHeight="1" x14ac:dyDescent="0.3">
      <c r="A1480" s="4"/>
      <c r="B1480" s="4"/>
      <c r="C1480" s="203" t="s">
        <v>121</v>
      </c>
      <c r="D1480" s="1112" t="s">
        <v>894</v>
      </c>
      <c r="E1480" s="1308">
        <f ca="1">'Verification Report'!O1480</f>
        <v>0</v>
      </c>
      <c r="F1480"/>
      <c r="I1480" s="1180"/>
      <c r="J1480" s="1180"/>
    </row>
    <row r="1481" spans="1:10" ht="15" hidden="1" customHeight="1" x14ac:dyDescent="0.3">
      <c r="A1481" s="4"/>
      <c r="B1481" s="4"/>
      <c r="C1481" s="140"/>
      <c r="D1481" s="1368" t="s">
        <v>896</v>
      </c>
      <c r="E1481" s="1308">
        <f>'Verification Report'!O1481</f>
        <v>0</v>
      </c>
      <c r="F1481"/>
      <c r="I1481" s="1180"/>
      <c r="J1481" s="1180"/>
    </row>
    <row r="1482" spans="1:10" ht="15.75" hidden="1" customHeight="1" x14ac:dyDescent="0.3">
      <c r="A1482" s="4"/>
      <c r="B1482" s="4"/>
      <c r="C1482" s="140"/>
      <c r="D1482" s="1368"/>
      <c r="E1482" s="1308">
        <f>'Verification Report'!O1482</f>
        <v>0</v>
      </c>
      <c r="F1482"/>
      <c r="I1482" s="1180"/>
      <c r="J1482" s="1180"/>
    </row>
    <row r="1483" spans="1:10" ht="15.75" hidden="1" customHeight="1" x14ac:dyDescent="0.3">
      <c r="A1483" s="4"/>
      <c r="B1483" s="4"/>
      <c r="C1483" s="238"/>
      <c r="D1483" s="1424"/>
      <c r="E1483" s="1309">
        <f>'Verification Report'!O1483</f>
        <v>0</v>
      </c>
      <c r="F1483"/>
      <c r="I1483" s="1180"/>
      <c r="J1483" s="1180"/>
    </row>
    <row r="1484" spans="1:10" ht="15" hidden="1" customHeight="1" x14ac:dyDescent="0.3">
      <c r="A1484" s="4"/>
      <c r="B1484" s="4"/>
      <c r="C1484" s="203" t="s">
        <v>122</v>
      </c>
      <c r="D1484" s="1305" t="s">
        <v>897</v>
      </c>
      <c r="E1484" s="1308">
        <f>'Verification Report'!O1484</f>
        <v>0</v>
      </c>
      <c r="F1484"/>
      <c r="I1484" s="1180"/>
      <c r="J1484" s="1180"/>
    </row>
    <row r="1485" spans="1:10" ht="15.75" hidden="1" customHeight="1" x14ac:dyDescent="0.3">
      <c r="A1485" s="4"/>
      <c r="B1485" s="4"/>
      <c r="C1485" s="231"/>
      <c r="D1485" s="1306"/>
      <c r="E1485" s="1309">
        <f>'Verification Report'!O1485</f>
        <v>0</v>
      </c>
      <c r="F1485"/>
      <c r="I1485" s="1180"/>
      <c r="J1485" s="1180"/>
    </row>
    <row r="1486" spans="1:10" ht="15" hidden="1" thickBot="1" x14ac:dyDescent="0.35">
      <c r="A1486" s="270"/>
      <c r="B1486" s="270"/>
      <c r="C1486" s="213" t="s">
        <v>123</v>
      </c>
      <c r="D1486" s="1127" t="s">
        <v>898</v>
      </c>
      <c r="E1486" s="1120">
        <f>'Verification Report'!O1486</f>
        <v>0</v>
      </c>
      <c r="F1486"/>
      <c r="I1486" s="1180"/>
      <c r="J1486" s="1180"/>
    </row>
    <row r="1487" spans="1:10" ht="15" hidden="1" thickBot="1" x14ac:dyDescent="0.35">
      <c r="A1487" s="141">
        <v>801.6</v>
      </c>
      <c r="B1487" s="140"/>
      <c r="C1487" s="140"/>
      <c r="D1487" s="1138" t="s">
        <v>900</v>
      </c>
      <c r="E1487" s="1117"/>
      <c r="F1487"/>
      <c r="I1487" s="1180"/>
      <c r="J1487" s="1180"/>
    </row>
    <row r="1488" spans="1:10" ht="15" hidden="1" customHeight="1" x14ac:dyDescent="0.3">
      <c r="A1488" s="141" t="s">
        <v>901</v>
      </c>
      <c r="B1488" s="140"/>
      <c r="C1488" s="140"/>
      <c r="D1488" s="1313" t="s">
        <v>902</v>
      </c>
      <c r="E1488" s="1308">
        <f>'Verification Report'!O1488</f>
        <v>0</v>
      </c>
      <c r="F1488"/>
      <c r="I1488" s="1180"/>
      <c r="J1488" s="1180"/>
    </row>
    <row r="1489" spans="1:10" ht="15.75" hidden="1" customHeight="1" x14ac:dyDescent="0.3">
      <c r="A1489" s="141"/>
      <c r="B1489" s="140"/>
      <c r="C1489" s="140"/>
      <c r="D1489" s="1313"/>
      <c r="E1489" s="1308">
        <f>'Verification Report'!O1489</f>
        <v>0</v>
      </c>
      <c r="F1489"/>
      <c r="I1489" s="1180"/>
      <c r="J1489" s="1180"/>
    </row>
    <row r="1490" spans="1:10" ht="15.75" hidden="1" customHeight="1" x14ac:dyDescent="0.3">
      <c r="A1490" s="244"/>
      <c r="B1490" s="238"/>
      <c r="C1490" s="238"/>
      <c r="D1490" s="1350"/>
      <c r="E1490" s="1309">
        <f>'Verification Report'!O1490</f>
        <v>0</v>
      </c>
      <c r="F1490"/>
      <c r="I1490" s="1180"/>
      <c r="J1490" s="1180"/>
    </row>
    <row r="1491" spans="1:10" ht="15" hidden="1" thickBot="1" x14ac:dyDescent="0.35">
      <c r="A1491" s="66" t="s">
        <v>903</v>
      </c>
      <c r="B1491" s="4"/>
      <c r="C1491" s="4"/>
      <c r="D1491" s="1135" t="s">
        <v>904</v>
      </c>
      <c r="E1491" s="1119"/>
      <c r="F1491"/>
      <c r="I1491" s="1180"/>
      <c r="J1491" s="1180"/>
    </row>
    <row r="1492" spans="1:10" ht="15" hidden="1" thickBot="1" x14ac:dyDescent="0.35">
      <c r="A1492" s="66"/>
      <c r="B1492" s="231" t="s">
        <v>271</v>
      </c>
      <c r="C1492" s="238"/>
      <c r="D1492" s="1113" t="s">
        <v>905</v>
      </c>
      <c r="E1492" s="1118">
        <f>'Verification Report'!O1492</f>
        <v>0</v>
      </c>
      <c r="F1492"/>
      <c r="I1492" s="1180"/>
      <c r="J1492" s="1180"/>
    </row>
    <row r="1493" spans="1:10" ht="15" hidden="1" thickBot="1" x14ac:dyDescent="0.35">
      <c r="A1493" s="66"/>
      <c r="B1493" s="231" t="s">
        <v>273</v>
      </c>
      <c r="C1493" s="238"/>
      <c r="D1493" s="1113" t="s">
        <v>906</v>
      </c>
      <c r="E1493" s="1118">
        <f>'Verification Report'!O1493</f>
        <v>0</v>
      </c>
      <c r="F1493"/>
      <c r="I1493" s="1180"/>
      <c r="J1493" s="1180"/>
    </row>
    <row r="1494" spans="1:10" ht="15" hidden="1" customHeight="1" x14ac:dyDescent="0.3">
      <c r="A1494" s="141"/>
      <c r="B1494" s="203" t="s">
        <v>275</v>
      </c>
      <c r="C1494" s="140"/>
      <c r="D1494" s="1305" t="s">
        <v>907</v>
      </c>
      <c r="E1494" s="1308">
        <f>'Verification Report'!O1494</f>
        <v>0</v>
      </c>
      <c r="F1494"/>
      <c r="I1494" s="1180"/>
      <c r="J1494" s="1180"/>
    </row>
    <row r="1495" spans="1:10" ht="15.75" hidden="1" customHeight="1" x14ac:dyDescent="0.3">
      <c r="A1495" s="244"/>
      <c r="B1495" s="238"/>
      <c r="C1495" s="238"/>
      <c r="D1495" s="1306"/>
      <c r="E1495" s="1309">
        <f>'Verification Report'!O1495</f>
        <v>0</v>
      </c>
      <c r="F1495"/>
      <c r="I1495" s="1180"/>
      <c r="J1495" s="1180"/>
    </row>
    <row r="1496" spans="1:10" ht="15" hidden="1" customHeight="1" x14ac:dyDescent="0.3">
      <c r="A1496" s="141" t="s">
        <v>908</v>
      </c>
      <c r="B1496" s="140"/>
      <c r="C1496" s="140"/>
      <c r="D1496" s="1313" t="s">
        <v>909</v>
      </c>
      <c r="E1496" s="1117"/>
      <c r="F1496"/>
      <c r="I1496" s="1180"/>
      <c r="J1496" s="1180"/>
    </row>
    <row r="1497" spans="1:10" ht="15.75" hidden="1" customHeight="1" x14ac:dyDescent="0.3">
      <c r="A1497" s="141"/>
      <c r="B1497" s="140"/>
      <c r="C1497" s="140"/>
      <c r="D1497" s="1313"/>
      <c r="E1497" s="1117"/>
      <c r="F1497"/>
      <c r="I1497" s="1180"/>
      <c r="J1497" s="1180"/>
    </row>
    <row r="1498" spans="1:10" ht="15.75" hidden="1" customHeight="1" x14ac:dyDescent="0.3">
      <c r="A1498" s="244"/>
      <c r="B1498" s="238"/>
      <c r="C1498" s="238"/>
      <c r="D1498" s="1350"/>
      <c r="E1498" s="1118"/>
      <c r="F1498"/>
      <c r="I1498" s="1180"/>
      <c r="J1498" s="1180"/>
    </row>
    <row r="1499" spans="1:10" ht="15" hidden="1" customHeight="1" x14ac:dyDescent="0.3">
      <c r="A1499" s="66" t="s">
        <v>910</v>
      </c>
      <c r="B1499" s="4"/>
      <c r="C1499" s="4"/>
      <c r="D1499" s="1389" t="s">
        <v>911</v>
      </c>
      <c r="E1499" s="1119"/>
      <c r="F1499"/>
      <c r="I1499" s="1180"/>
      <c r="J1499" s="1180"/>
    </row>
    <row r="1500" spans="1:10" ht="15" hidden="1" thickBot="1" x14ac:dyDescent="0.35">
      <c r="A1500" s="66"/>
      <c r="B1500" s="4"/>
      <c r="C1500" s="4"/>
      <c r="D1500" s="1389"/>
      <c r="E1500" s="1119"/>
      <c r="F1500"/>
      <c r="I1500" s="1180"/>
      <c r="J1500" s="1180"/>
    </row>
    <row r="1501" spans="1:10" ht="15" hidden="1" thickBot="1" x14ac:dyDescent="0.35">
      <c r="A1501" s="66"/>
      <c r="B1501" s="4"/>
      <c r="C1501" s="4"/>
      <c r="D1501" s="1130" t="s">
        <v>912</v>
      </c>
      <c r="E1501" s="1119"/>
      <c r="F1501"/>
      <c r="I1501" s="1180"/>
      <c r="J1501" s="1180"/>
    </row>
    <row r="1502" spans="1:10" ht="15" hidden="1" customHeight="1" x14ac:dyDescent="0.3">
      <c r="A1502" s="66"/>
      <c r="B1502" s="203" t="s">
        <v>271</v>
      </c>
      <c r="C1502" s="140"/>
      <c r="D1502" s="1305" t="s">
        <v>913</v>
      </c>
      <c r="E1502" s="1308">
        <f>'Verification Report'!O1502</f>
        <v>0</v>
      </c>
      <c r="F1502"/>
      <c r="I1502" s="1180"/>
      <c r="J1502" s="1180"/>
    </row>
    <row r="1503" spans="1:10" ht="15.75" hidden="1" customHeight="1" x14ac:dyDescent="0.3">
      <c r="A1503" s="66"/>
      <c r="B1503" s="238"/>
      <c r="C1503" s="238"/>
      <c r="D1503" s="1306"/>
      <c r="E1503" s="1308">
        <f>'Verification Report'!O1503</f>
        <v>0</v>
      </c>
      <c r="F1503"/>
      <c r="I1503" s="1180"/>
      <c r="J1503" s="1180"/>
    </row>
    <row r="1504" spans="1:10" ht="15" hidden="1" thickBot="1" x14ac:dyDescent="0.35">
      <c r="A1504" s="66"/>
      <c r="B1504" s="231" t="s">
        <v>273</v>
      </c>
      <c r="C1504" s="238"/>
      <c r="D1504" s="1113" t="s">
        <v>914</v>
      </c>
      <c r="E1504" s="1309">
        <f>'Verification Report'!O1504</f>
        <v>0</v>
      </c>
      <c r="F1504"/>
      <c r="I1504" s="1180"/>
      <c r="J1504" s="1180"/>
    </row>
    <row r="1505" spans="1:10" ht="15" hidden="1" customHeight="1" x14ac:dyDescent="0.3">
      <c r="A1505" s="141"/>
      <c r="B1505" s="203" t="s">
        <v>275</v>
      </c>
      <c r="C1505" s="140"/>
      <c r="D1505" s="1305" t="s">
        <v>915</v>
      </c>
      <c r="E1505" s="1308">
        <f ca="1">'Verification Report'!O1505</f>
        <v>0</v>
      </c>
      <c r="F1505"/>
      <c r="I1505" s="1180"/>
      <c r="J1505" s="1180"/>
    </row>
    <row r="1506" spans="1:10" ht="15.75" hidden="1" customHeight="1" x14ac:dyDescent="0.3">
      <c r="A1506" s="141"/>
      <c r="B1506" s="140"/>
      <c r="C1506" s="140"/>
      <c r="D1506" s="1305"/>
      <c r="E1506" s="1308">
        <f>'Verification Report'!O1506</f>
        <v>0</v>
      </c>
      <c r="F1506"/>
      <c r="I1506" s="1180"/>
      <c r="J1506" s="1180"/>
    </row>
    <row r="1507" spans="1:10" ht="15" hidden="1" customHeight="1" x14ac:dyDescent="0.3">
      <c r="A1507" s="141"/>
      <c r="B1507" s="140"/>
      <c r="C1507" s="140"/>
      <c r="D1507" s="1394" t="s">
        <v>3851</v>
      </c>
      <c r="E1507" s="1117"/>
      <c r="F1507"/>
      <c r="I1507" s="1180"/>
      <c r="J1507" s="1180"/>
    </row>
    <row r="1508" spans="1:10" ht="15.75" hidden="1" customHeight="1" x14ac:dyDescent="0.3">
      <c r="A1508" s="244"/>
      <c r="B1508" s="238"/>
      <c r="C1508" s="238"/>
      <c r="D1508" s="1396"/>
      <c r="E1508" s="1118"/>
      <c r="F1508"/>
      <c r="I1508" s="1180"/>
      <c r="J1508" s="1180"/>
    </row>
    <row r="1509" spans="1:10" ht="15" hidden="1" customHeight="1" x14ac:dyDescent="0.3">
      <c r="A1509" s="141" t="s">
        <v>916</v>
      </c>
      <c r="B1509" s="140"/>
      <c r="C1509" s="140"/>
      <c r="D1509" s="1313" t="s">
        <v>917</v>
      </c>
      <c r="E1509" s="1308">
        <f>'Verification Report'!O1509</f>
        <v>0</v>
      </c>
      <c r="F1509"/>
      <c r="I1509" s="1180"/>
      <c r="J1509" s="1180"/>
    </row>
    <row r="1510" spans="1:10" ht="15.75" hidden="1" customHeight="1" thickBot="1" x14ac:dyDescent="0.35">
      <c r="A1510" s="212"/>
      <c r="B1510" s="270"/>
      <c r="C1510" s="270"/>
      <c r="D1510" s="1332"/>
      <c r="E1510" s="1315">
        <f>'Verification Report'!O1510</f>
        <v>0</v>
      </c>
      <c r="F1510"/>
      <c r="I1510" s="1180"/>
      <c r="J1510" s="1180"/>
    </row>
    <row r="1511" spans="1:10" ht="15.75" hidden="1" customHeight="1" thickTop="1" x14ac:dyDescent="0.3">
      <c r="A1511" s="200">
        <v>801.7</v>
      </c>
      <c r="B1511" s="201"/>
      <c r="C1511" s="201"/>
      <c r="D1511" s="1429" t="s">
        <v>918</v>
      </c>
      <c r="E1511" s="1126"/>
      <c r="F1511"/>
      <c r="I1511" s="1180"/>
      <c r="J1511" s="1180"/>
    </row>
    <row r="1512" spans="1:10" ht="15" hidden="1" thickBot="1" x14ac:dyDescent="0.35">
      <c r="A1512" s="141"/>
      <c r="B1512" s="140"/>
      <c r="C1512" s="140"/>
      <c r="D1512" s="1430"/>
      <c r="E1512" s="1117"/>
      <c r="F1512"/>
      <c r="I1512" s="1180"/>
      <c r="J1512" s="1180"/>
    </row>
    <row r="1513" spans="1:10" ht="15.75" hidden="1" customHeight="1" x14ac:dyDescent="0.3">
      <c r="A1513" s="141" t="s">
        <v>1307</v>
      </c>
      <c r="B1513" s="140"/>
      <c r="C1513" s="140"/>
      <c r="D1513" s="1148" t="s">
        <v>1308</v>
      </c>
      <c r="E1513" s="1117">
        <f ca="1">'Verification Report'!O1513</f>
        <v>0</v>
      </c>
      <c r="F1513"/>
      <c r="I1513" s="1180"/>
      <c r="J1513" s="1180"/>
    </row>
    <row r="1514" spans="1:10" ht="15.75" hidden="1" customHeight="1" x14ac:dyDescent="0.3">
      <c r="A1514" s="141"/>
      <c r="B1514" s="231" t="s">
        <v>271</v>
      </c>
      <c r="C1514" s="238"/>
      <c r="D1514" s="1113" t="s">
        <v>919</v>
      </c>
      <c r="E1514" s="1117"/>
      <c r="F1514"/>
      <c r="I1514" s="1180"/>
      <c r="J1514" s="1180"/>
    </row>
    <row r="1515" spans="1:10" ht="15" hidden="1" customHeight="1" x14ac:dyDescent="0.3">
      <c r="A1515" s="141"/>
      <c r="B1515" s="203" t="s">
        <v>273</v>
      </c>
      <c r="C1515" s="140"/>
      <c r="D1515" s="1305" t="s">
        <v>920</v>
      </c>
      <c r="E1515" s="1117"/>
      <c r="F1515"/>
      <c r="I1515" s="1180"/>
      <c r="J1515" s="1180"/>
    </row>
    <row r="1516" spans="1:10" ht="15.75" hidden="1" customHeight="1" x14ac:dyDescent="0.3">
      <c r="A1516" s="141"/>
      <c r="B1516" s="140"/>
      <c r="C1516" s="140"/>
      <c r="D1516" s="1305"/>
      <c r="E1516" s="1117"/>
      <c r="F1516"/>
      <c r="I1516" s="1180"/>
      <c r="J1516" s="1180"/>
    </row>
    <row r="1517" spans="1:10" ht="15.75" hidden="1" customHeight="1" x14ac:dyDescent="0.3">
      <c r="A1517" s="140"/>
      <c r="B1517" s="140"/>
      <c r="C1517" s="231" t="s">
        <v>121</v>
      </c>
      <c r="D1517" s="1113" t="s">
        <v>921</v>
      </c>
      <c r="E1517" s="1117"/>
      <c r="F1517"/>
      <c r="I1517" s="1180"/>
      <c r="J1517" s="1180"/>
    </row>
    <row r="1518" spans="1:10" ht="15.75" hidden="1" customHeight="1" x14ac:dyDescent="0.3">
      <c r="A1518" s="140"/>
      <c r="B1518" s="140"/>
      <c r="C1518" s="231" t="s">
        <v>122</v>
      </c>
      <c r="D1518" s="1113" t="s">
        <v>922</v>
      </c>
      <c r="E1518" s="1117"/>
      <c r="F1518"/>
      <c r="I1518" s="1180"/>
      <c r="J1518" s="1180"/>
    </row>
    <row r="1519" spans="1:10" ht="15" hidden="1" customHeight="1" x14ac:dyDescent="0.3">
      <c r="A1519" s="140"/>
      <c r="B1519" s="140"/>
      <c r="C1519" s="203" t="s">
        <v>123</v>
      </c>
      <c r="D1519" s="1305" t="s">
        <v>923</v>
      </c>
      <c r="E1519" s="1117"/>
      <c r="F1519"/>
      <c r="I1519" s="1180"/>
      <c r="J1519" s="1180"/>
    </row>
    <row r="1520" spans="1:10" ht="15.75" hidden="1" customHeight="1" x14ac:dyDescent="0.3">
      <c r="A1520" s="140"/>
      <c r="B1520" s="140"/>
      <c r="C1520" s="238"/>
      <c r="D1520" s="1306"/>
      <c r="E1520" s="1117"/>
      <c r="F1520"/>
      <c r="I1520" s="1180"/>
      <c r="J1520" s="1180"/>
    </row>
    <row r="1521" spans="1:10" ht="15" hidden="1" customHeight="1" x14ac:dyDescent="0.3">
      <c r="A1521" s="140"/>
      <c r="B1521" s="140"/>
      <c r="C1521" s="203" t="s">
        <v>423</v>
      </c>
      <c r="D1521" s="1305" t="s">
        <v>924</v>
      </c>
      <c r="E1521" s="1117"/>
      <c r="F1521"/>
      <c r="I1521" s="1180"/>
      <c r="J1521" s="1180"/>
    </row>
    <row r="1522" spans="1:10" ht="15.75" hidden="1" customHeight="1" x14ac:dyDescent="0.3">
      <c r="A1522" s="141"/>
      <c r="B1522" s="140"/>
      <c r="C1522" s="140"/>
      <c r="D1522" s="1305"/>
      <c r="E1522" s="1117"/>
      <c r="F1522"/>
      <c r="I1522" s="1180"/>
      <c r="J1522" s="1180"/>
    </row>
    <row r="1523" spans="1:10" ht="15.75" hidden="1" customHeight="1" x14ac:dyDescent="0.3">
      <c r="A1523" s="244"/>
      <c r="B1523" s="238"/>
      <c r="C1523" s="238"/>
      <c r="D1523" s="1306"/>
      <c r="E1523" s="1118"/>
      <c r="F1523"/>
      <c r="I1523" s="1180"/>
      <c r="J1523" s="1180"/>
    </row>
    <row r="1524" spans="1:10" ht="15" hidden="1" customHeight="1" x14ac:dyDescent="0.3">
      <c r="A1524" s="66" t="s">
        <v>925</v>
      </c>
      <c r="B1524" s="4"/>
      <c r="C1524" s="4"/>
      <c r="D1524" s="1292" t="s">
        <v>926</v>
      </c>
      <c r="E1524" s="1310">
        <f ca="1">'Verification Report'!O1524</f>
        <v>0</v>
      </c>
      <c r="F1524"/>
      <c r="I1524" s="1180"/>
      <c r="J1524" s="1180"/>
    </row>
    <row r="1525" spans="1:10" ht="15" hidden="1" thickBot="1" x14ac:dyDescent="0.35">
      <c r="A1525" s="66"/>
      <c r="B1525" s="4"/>
      <c r="C1525" s="4"/>
      <c r="D1525" s="1292"/>
      <c r="E1525" s="1310">
        <f>'Verification Report'!O1525</f>
        <v>0</v>
      </c>
      <c r="F1525"/>
      <c r="I1525" s="1180"/>
      <c r="J1525" s="1180"/>
    </row>
    <row r="1526" spans="1:10" ht="15" hidden="1" thickBot="1" x14ac:dyDescent="0.35">
      <c r="A1526" s="66"/>
      <c r="B1526" s="4"/>
      <c r="C1526" s="4"/>
      <c r="D1526" s="1292"/>
      <c r="E1526" s="1310">
        <f>'Verification Report'!O1526</f>
        <v>0</v>
      </c>
      <c r="F1526"/>
      <c r="I1526" s="1180"/>
      <c r="J1526" s="1180"/>
    </row>
    <row r="1527" spans="1:10" ht="26.25" hidden="1" customHeight="1" x14ac:dyDescent="0.3">
      <c r="A1527" s="66"/>
      <c r="B1527" s="203" t="s">
        <v>271</v>
      </c>
      <c r="C1527" s="140"/>
      <c r="D1527" s="1112" t="s">
        <v>927</v>
      </c>
      <c r="E1527" s="1119"/>
      <c r="F1527"/>
      <c r="I1527" s="1180"/>
      <c r="J1527" s="1180"/>
    </row>
    <row r="1528" spans="1:10" ht="15.75" hidden="1" customHeight="1" x14ac:dyDescent="0.3">
      <c r="A1528" s="66"/>
      <c r="B1528" s="238"/>
      <c r="C1528" s="238"/>
      <c r="D1528" s="1145" t="s">
        <v>928</v>
      </c>
      <c r="E1528" s="1119"/>
      <c r="F1528"/>
      <c r="I1528" s="1180"/>
      <c r="J1528" s="1180"/>
    </row>
    <row r="1529" spans="1:10" ht="15" hidden="1" thickBot="1" x14ac:dyDescent="0.35">
      <c r="A1529" s="212"/>
      <c r="B1529" s="213" t="s">
        <v>273</v>
      </c>
      <c r="C1529" s="270"/>
      <c r="D1529" s="1127" t="s">
        <v>929</v>
      </c>
      <c r="E1529" s="1120"/>
      <c r="F1529"/>
      <c r="I1529" s="1180"/>
      <c r="J1529" s="1180"/>
    </row>
    <row r="1530" spans="1:10" ht="15.75" hidden="1" customHeight="1" thickTop="1" x14ac:dyDescent="0.3">
      <c r="A1530" s="66">
        <v>801.8</v>
      </c>
      <c r="B1530" s="4"/>
      <c r="C1530" s="4"/>
      <c r="D1530" s="1292" t="s">
        <v>930</v>
      </c>
      <c r="E1530" s="1336">
        <f>'Verification Report'!O1530</f>
        <v>0</v>
      </c>
      <c r="F1530"/>
      <c r="I1530" s="1180"/>
      <c r="J1530" s="1180"/>
    </row>
    <row r="1531" spans="1:10" ht="15.75" hidden="1" customHeight="1" x14ac:dyDescent="0.3">
      <c r="A1531" s="66"/>
      <c r="B1531" s="4"/>
      <c r="C1531" s="4"/>
      <c r="D1531" s="1292"/>
      <c r="E1531" s="1310">
        <f>'Verification Report'!O1531</f>
        <v>0</v>
      </c>
      <c r="F1531"/>
      <c r="I1531" s="1180"/>
      <c r="J1531" s="1180"/>
    </row>
    <row r="1532" spans="1:10" ht="18.600000000000001" hidden="1" thickBot="1" x14ac:dyDescent="0.4">
      <c r="A1532" s="14" t="s">
        <v>931</v>
      </c>
      <c r="B1532" s="23"/>
      <c r="C1532" s="23"/>
      <c r="D1532" s="259"/>
      <c r="E1532" s="594"/>
      <c r="F1532"/>
      <c r="I1532" s="1180"/>
      <c r="J1532" s="1180"/>
    </row>
    <row r="1533" spans="1:10" ht="15" hidden="1" customHeight="1" x14ac:dyDescent="0.3">
      <c r="A1533" s="66">
        <v>802.1</v>
      </c>
      <c r="B1533" s="4"/>
      <c r="C1533" s="4"/>
      <c r="D1533" s="1292" t="s">
        <v>932</v>
      </c>
      <c r="E1533" s="1310">
        <f ca="1">'Verification Report'!O1533</f>
        <v>0</v>
      </c>
      <c r="F1533"/>
      <c r="I1533" s="1180"/>
      <c r="J1533" s="1180"/>
    </row>
    <row r="1534" spans="1:10" ht="15" hidden="1" thickBot="1" x14ac:dyDescent="0.35">
      <c r="A1534" s="66"/>
      <c r="B1534" s="4"/>
      <c r="C1534" s="4"/>
      <c r="D1534" s="1292"/>
      <c r="E1534" s="1310">
        <f>'Verification Report'!O1534</f>
        <v>0</v>
      </c>
      <c r="F1534"/>
      <c r="I1534" s="1180"/>
      <c r="J1534" s="1180"/>
    </row>
    <row r="1535" spans="1:10" ht="15" hidden="1" thickBot="1" x14ac:dyDescent="0.35">
      <c r="A1535" s="66"/>
      <c r="B1535" s="4"/>
      <c r="C1535" s="4"/>
      <c r="D1535" s="1130" t="s">
        <v>933</v>
      </c>
      <c r="E1535" s="1310">
        <f>'Verification Report'!O1535</f>
        <v>0</v>
      </c>
      <c r="F1535"/>
      <c r="I1535" s="1180"/>
      <c r="J1535" s="1180"/>
    </row>
    <row r="1536" spans="1:10" ht="15" hidden="1" thickBot="1" x14ac:dyDescent="0.35">
      <c r="A1536" s="66"/>
      <c r="B1536" s="4"/>
      <c r="C1536" s="4"/>
      <c r="D1536" s="1130" t="s">
        <v>934</v>
      </c>
      <c r="E1536" s="1119"/>
      <c r="F1536"/>
      <c r="I1536" s="1180"/>
      <c r="J1536" s="1180"/>
    </row>
    <row r="1537" spans="1:10" ht="15.75" hidden="1" customHeight="1" x14ac:dyDescent="0.3">
      <c r="A1537" s="66"/>
      <c r="B1537" s="203" t="s">
        <v>271</v>
      </c>
      <c r="C1537" s="140"/>
      <c r="D1537" s="1112" t="s">
        <v>935</v>
      </c>
      <c r="E1537" s="1119"/>
      <c r="F1537"/>
      <c r="I1537" s="1180"/>
      <c r="J1537" s="1180"/>
    </row>
    <row r="1538" spans="1:10" ht="15.75" hidden="1" customHeight="1" x14ac:dyDescent="0.3">
      <c r="A1538" s="66"/>
      <c r="B1538" s="238"/>
      <c r="C1538" s="238"/>
      <c r="D1538" s="1145" t="s">
        <v>936</v>
      </c>
      <c r="E1538" s="1119"/>
      <c r="F1538"/>
      <c r="I1538" s="1180"/>
      <c r="J1538" s="1180"/>
    </row>
    <row r="1539" spans="1:10" ht="15" hidden="1" thickBot="1" x14ac:dyDescent="0.35">
      <c r="A1539" s="212"/>
      <c r="B1539" s="213" t="s">
        <v>273</v>
      </c>
      <c r="C1539" s="270"/>
      <c r="D1539" s="1127" t="s">
        <v>937</v>
      </c>
      <c r="E1539" s="1120"/>
      <c r="F1539"/>
      <c r="I1539" s="1180"/>
      <c r="J1539" s="1180"/>
    </row>
    <row r="1540" spans="1:10" ht="15.75" hidden="1" customHeight="1" thickTop="1" x14ac:dyDescent="0.3">
      <c r="A1540" s="200">
        <v>802.2</v>
      </c>
      <c r="B1540" s="201"/>
      <c r="C1540" s="201"/>
      <c r="D1540" s="1331" t="s">
        <v>938</v>
      </c>
      <c r="E1540" s="1336">
        <f>'Verification Report'!O1540</f>
        <v>0</v>
      </c>
      <c r="F1540"/>
      <c r="I1540" s="1180"/>
      <c r="J1540" s="1180"/>
    </row>
    <row r="1541" spans="1:10" ht="15.75" hidden="1" customHeight="1" x14ac:dyDescent="0.3">
      <c r="A1541" s="141"/>
      <c r="B1541" s="140"/>
      <c r="C1541" s="140"/>
      <c r="D1541" s="1313"/>
      <c r="E1541" s="1308">
        <f>'Verification Report'!O1541</f>
        <v>0</v>
      </c>
      <c r="F1541"/>
      <c r="I1541" s="1180"/>
      <c r="J1541" s="1180"/>
    </row>
    <row r="1542" spans="1:10" ht="15.75" hidden="1" customHeight="1" thickBot="1" x14ac:dyDescent="0.35">
      <c r="A1542" s="212"/>
      <c r="B1542" s="270"/>
      <c r="C1542" s="270"/>
      <c r="D1542" s="1332"/>
      <c r="E1542" s="1315">
        <f>'Verification Report'!O1542</f>
        <v>0</v>
      </c>
      <c r="F1542"/>
      <c r="I1542" s="1180"/>
      <c r="J1542" s="1180"/>
    </row>
    <row r="1543" spans="1:10" ht="15.75" hidden="1" customHeight="1" thickTop="1" x14ac:dyDescent="0.3">
      <c r="A1543" s="66">
        <v>802.3</v>
      </c>
      <c r="B1543" s="4"/>
      <c r="C1543" s="4"/>
      <c r="D1543" s="1389" t="s">
        <v>940</v>
      </c>
      <c r="E1543" s="1310">
        <f>'Verification Report'!O1543</f>
        <v>0</v>
      </c>
      <c r="F1543"/>
      <c r="I1543" s="1180"/>
      <c r="J1543" s="1180"/>
    </row>
    <row r="1544" spans="1:10" ht="15" hidden="1" thickBot="1" x14ac:dyDescent="0.35">
      <c r="A1544" s="66"/>
      <c r="B1544" s="4"/>
      <c r="C1544" s="4"/>
      <c r="D1544" s="1389"/>
      <c r="E1544" s="1310">
        <f>'Verification Report'!O1544</f>
        <v>0</v>
      </c>
      <c r="F1544"/>
      <c r="I1544" s="1180"/>
      <c r="J1544" s="1180"/>
    </row>
    <row r="1545" spans="1:10" ht="15" hidden="1" thickBot="1" x14ac:dyDescent="0.35">
      <c r="A1545" s="66"/>
      <c r="B1545" s="4"/>
      <c r="C1545" s="4"/>
      <c r="D1545" s="1389"/>
      <c r="E1545" s="1310">
        <f>'Verification Report'!O1545</f>
        <v>0</v>
      </c>
      <c r="F1545"/>
      <c r="I1545" s="1180"/>
      <c r="J1545" s="1180"/>
    </row>
    <row r="1546" spans="1:10" ht="15" hidden="1" thickBot="1" x14ac:dyDescent="0.35">
      <c r="A1546" s="141"/>
      <c r="B1546" s="231" t="s">
        <v>271</v>
      </c>
      <c r="C1546" s="238"/>
      <c r="D1546" s="1113" t="s">
        <v>941</v>
      </c>
      <c r="E1546" s="1117"/>
      <c r="F1546"/>
      <c r="I1546" s="1180"/>
      <c r="J1546" s="1180"/>
    </row>
    <row r="1547" spans="1:10" ht="15" hidden="1" thickBot="1" x14ac:dyDescent="0.35">
      <c r="A1547" s="212"/>
      <c r="B1547" s="213" t="s">
        <v>273</v>
      </c>
      <c r="C1547" s="270"/>
      <c r="D1547" s="1127" t="s">
        <v>942</v>
      </c>
      <c r="E1547" s="1120"/>
      <c r="F1547"/>
      <c r="I1547" s="1180"/>
      <c r="J1547" s="1180"/>
    </row>
    <row r="1548" spans="1:10" ht="15.75" hidden="1" customHeight="1" thickTop="1" x14ac:dyDescent="0.3">
      <c r="A1548" s="200">
        <v>802.4</v>
      </c>
      <c r="B1548" s="201"/>
      <c r="C1548" s="201"/>
      <c r="D1548" s="1331" t="s">
        <v>943</v>
      </c>
      <c r="E1548" s="1336">
        <f>'Verification Report'!O1548</f>
        <v>0</v>
      </c>
      <c r="F1548"/>
      <c r="I1548" s="1180"/>
      <c r="J1548" s="1180"/>
    </row>
    <row r="1549" spans="1:10" ht="15.75" hidden="1" customHeight="1" x14ac:dyDescent="0.3">
      <c r="A1549" s="141"/>
      <c r="B1549" s="140"/>
      <c r="C1549" s="140"/>
      <c r="D1549" s="1313"/>
      <c r="E1549" s="1308">
        <f>'Verification Report'!O1549</f>
        <v>0</v>
      </c>
      <c r="F1549"/>
      <c r="I1549" s="1180"/>
      <c r="J1549" s="1180"/>
    </row>
    <row r="1550" spans="1:10" ht="15.75" hidden="1" customHeight="1" thickBot="1" x14ac:dyDescent="0.35">
      <c r="A1550" s="212"/>
      <c r="B1550" s="270"/>
      <c r="C1550" s="270"/>
      <c r="D1550" s="1332"/>
      <c r="E1550" s="1315">
        <f>'Verification Report'!O1550</f>
        <v>0</v>
      </c>
      <c r="F1550"/>
      <c r="I1550" s="1180"/>
      <c r="J1550" s="1180"/>
    </row>
    <row r="1551" spans="1:10" ht="15.75" hidden="1" customHeight="1" thickTop="1" x14ac:dyDescent="0.3">
      <c r="A1551" s="200">
        <v>802.5</v>
      </c>
      <c r="B1551" s="201"/>
      <c r="C1551" s="201"/>
      <c r="D1551" s="1427" t="s">
        <v>944</v>
      </c>
      <c r="E1551" s="1336">
        <f>'Verification Report'!O1551</f>
        <v>0</v>
      </c>
      <c r="F1551"/>
      <c r="I1551" s="1180"/>
      <c r="J1551" s="1180"/>
    </row>
    <row r="1552" spans="1:10" ht="15.75" hidden="1" customHeight="1" thickBot="1" x14ac:dyDescent="0.35">
      <c r="A1552" s="212"/>
      <c r="B1552" s="270"/>
      <c r="C1552" s="270"/>
      <c r="D1552" s="1428"/>
      <c r="E1552" s="1315">
        <f>'Verification Report'!O1552</f>
        <v>0</v>
      </c>
      <c r="F1552"/>
      <c r="I1552" s="1180"/>
      <c r="J1552" s="1180"/>
    </row>
    <row r="1553" spans="1:10" ht="15.75" hidden="1" customHeight="1" thickTop="1" x14ac:dyDescent="0.3">
      <c r="A1553" s="66">
        <v>802.6</v>
      </c>
      <c r="B1553" s="4"/>
      <c r="C1553" s="4"/>
      <c r="D1553" s="1292" t="s">
        <v>945</v>
      </c>
      <c r="E1553" s="1310">
        <f>'Verification Report'!O1553</f>
        <v>0</v>
      </c>
      <c r="F1553"/>
      <c r="I1553" s="1180"/>
      <c r="J1553" s="1180"/>
    </row>
    <row r="1554" spans="1:10" ht="15.75" hidden="1" customHeight="1" x14ac:dyDescent="0.3">
      <c r="A1554" s="66"/>
      <c r="B1554" s="4"/>
      <c r="C1554" s="4"/>
      <c r="D1554" s="1292"/>
      <c r="E1554" s="1310">
        <f>'Verification Report'!O1554</f>
        <v>0</v>
      </c>
      <c r="F1554"/>
      <c r="I1554" s="1180"/>
      <c r="J1554" s="1180"/>
    </row>
    <row r="1555" spans="1:10" ht="15.75" hidden="1" customHeight="1" x14ac:dyDescent="0.3">
      <c r="A1555" s="66"/>
      <c r="B1555" s="4"/>
      <c r="C1555" s="4"/>
      <c r="D1555" s="1130" t="s">
        <v>934</v>
      </c>
      <c r="E1555" s="1310">
        <f>'Verification Report'!O1555</f>
        <v>0</v>
      </c>
      <c r="F1555"/>
      <c r="I1555" s="1180"/>
      <c r="J1555" s="1180"/>
    </row>
    <row r="1556" spans="1:10" ht="18.600000000000001" hidden="1" thickBot="1" x14ac:dyDescent="0.4">
      <c r="A1556" s="22" t="s">
        <v>3348</v>
      </c>
      <c r="B1556" s="22"/>
      <c r="C1556" s="22"/>
      <c r="D1556" s="23"/>
      <c r="E1556" s="24"/>
      <c r="F1556"/>
      <c r="I1556" s="1180"/>
      <c r="J1556" s="1180"/>
    </row>
    <row r="1557" spans="1:10" ht="15" hidden="1" thickBot="1" x14ac:dyDescent="0.35">
      <c r="A1557" s="251">
        <v>901</v>
      </c>
      <c r="B1557" s="4"/>
      <c r="C1557" s="4"/>
      <c r="D1557" s="1135" t="s">
        <v>3349</v>
      </c>
      <c r="E1557" s="1125"/>
      <c r="F1557"/>
      <c r="I1557" s="1180"/>
      <c r="J1557" s="1180"/>
    </row>
    <row r="1558" spans="1:10" ht="15" hidden="1" thickBot="1" x14ac:dyDescent="0.35">
      <c r="A1558" s="268">
        <v>901.1</v>
      </c>
      <c r="B1558" s="140"/>
      <c r="C1558" s="140"/>
      <c r="D1558" s="1138" t="s">
        <v>3350</v>
      </c>
      <c r="E1558" s="1121"/>
      <c r="F1558"/>
      <c r="I1558" s="1180"/>
      <c r="J1558" s="1180"/>
    </row>
    <row r="1559" spans="1:10" ht="15" hidden="1" customHeight="1" x14ac:dyDescent="0.3">
      <c r="A1559" s="268" t="s">
        <v>3351</v>
      </c>
      <c r="B1559" s="140"/>
      <c r="C1559" s="140"/>
      <c r="D1559" s="1313" t="s">
        <v>3352</v>
      </c>
      <c r="E1559" s="1308">
        <f>'Verification Report'!O1559</f>
        <v>0</v>
      </c>
      <c r="F1559"/>
      <c r="I1559" s="1180"/>
      <c r="J1559" s="1180"/>
    </row>
    <row r="1560" spans="1:10" ht="15.75" hidden="1" customHeight="1" x14ac:dyDescent="0.3">
      <c r="A1560" s="576"/>
      <c r="B1560" s="140"/>
      <c r="C1560" s="140"/>
      <c r="D1560" s="1313"/>
      <c r="E1560" s="1308">
        <f>'Verification Report'!O1560</f>
        <v>0</v>
      </c>
      <c r="F1560"/>
      <c r="I1560" s="1180"/>
      <c r="J1560" s="1180"/>
    </row>
    <row r="1561" spans="1:10" ht="15.75" hidden="1" customHeight="1" x14ac:dyDescent="0.3">
      <c r="A1561" s="576"/>
      <c r="B1561" s="140"/>
      <c r="C1561" s="140"/>
      <c r="D1561" s="1313"/>
      <c r="E1561" s="1308">
        <f>'Verification Report'!O1561</f>
        <v>0</v>
      </c>
      <c r="F1561"/>
      <c r="I1561" s="1180"/>
      <c r="J1561" s="1180"/>
    </row>
    <row r="1562" spans="1:10" ht="15.75" hidden="1" customHeight="1" x14ac:dyDescent="0.3">
      <c r="A1562" s="576"/>
      <c r="B1562" s="140"/>
      <c r="C1562" s="140"/>
      <c r="D1562" s="1313"/>
      <c r="E1562" s="1308">
        <f>'Verification Report'!O1562</f>
        <v>0</v>
      </c>
      <c r="F1562"/>
      <c r="I1562" s="1180"/>
      <c r="J1562" s="1180"/>
    </row>
    <row r="1563" spans="1:10" ht="15" hidden="1" customHeight="1" x14ac:dyDescent="0.3">
      <c r="A1563" s="576"/>
      <c r="B1563" s="140"/>
      <c r="C1563" s="140"/>
      <c r="D1563" s="1434" t="s">
        <v>3597</v>
      </c>
      <c r="E1563" s="1308">
        <f>'Verification Report'!O1563</f>
        <v>0</v>
      </c>
      <c r="F1563"/>
      <c r="I1563" s="1180"/>
      <c r="J1563" s="1180"/>
    </row>
    <row r="1564" spans="1:10" ht="15.75" hidden="1" customHeight="1" x14ac:dyDescent="0.3">
      <c r="A1564" s="620"/>
      <c r="B1564" s="238"/>
      <c r="C1564" s="238"/>
      <c r="D1564" s="1435"/>
      <c r="E1564" s="1309">
        <f>'Verification Report'!O1564</f>
        <v>0</v>
      </c>
      <c r="F1564"/>
      <c r="I1564" s="1180"/>
      <c r="J1564" s="1180"/>
    </row>
    <row r="1565" spans="1:10" ht="15" hidden="1" customHeight="1" x14ac:dyDescent="0.3">
      <c r="A1565" s="215" t="s">
        <v>3353</v>
      </c>
      <c r="B1565" s="216"/>
      <c r="C1565" s="216"/>
      <c r="D1565" s="1364" t="s">
        <v>3354</v>
      </c>
      <c r="E1565" s="1324">
        <f>'Verification Report'!O1565</f>
        <v>0</v>
      </c>
      <c r="F1565"/>
      <c r="I1565" s="1180"/>
      <c r="J1565" s="1180"/>
    </row>
    <row r="1566" spans="1:10" ht="15.75" hidden="1" customHeight="1" x14ac:dyDescent="0.3">
      <c r="A1566" s="576"/>
      <c r="B1566" s="140"/>
      <c r="C1566" s="140"/>
      <c r="D1566" s="1313"/>
      <c r="E1566" s="1308">
        <f>'Verification Report'!O1566</f>
        <v>0</v>
      </c>
      <c r="F1566"/>
      <c r="I1566" s="1180"/>
      <c r="J1566" s="1180"/>
    </row>
    <row r="1567" spans="1:10" ht="15.75" hidden="1" customHeight="1" x14ac:dyDescent="0.3">
      <c r="A1567" s="620"/>
      <c r="B1567" s="238"/>
      <c r="C1567" s="238"/>
      <c r="D1567" s="1137" t="s">
        <v>3928</v>
      </c>
      <c r="E1567" s="1118"/>
      <c r="F1567"/>
      <c r="I1567" s="1180"/>
      <c r="J1567" s="1180"/>
    </row>
    <row r="1568" spans="1:10" ht="15" hidden="1" customHeight="1" x14ac:dyDescent="0.3">
      <c r="A1568" s="66" t="s">
        <v>3355</v>
      </c>
      <c r="B1568" s="4"/>
      <c r="C1568" s="4"/>
      <c r="D1568" s="1292" t="s">
        <v>3356</v>
      </c>
      <c r="E1568" s="1119"/>
      <c r="F1568"/>
      <c r="I1568" s="1180"/>
      <c r="J1568" s="1180"/>
    </row>
    <row r="1569" spans="1:10" ht="15" hidden="1" thickBot="1" x14ac:dyDescent="0.35">
      <c r="A1569" s="182"/>
      <c r="B1569" s="4"/>
      <c r="C1569" s="4"/>
      <c r="D1569" s="1292"/>
      <c r="E1569" s="1119"/>
      <c r="F1569"/>
      <c r="I1569" s="1180"/>
      <c r="J1569" s="1180"/>
    </row>
    <row r="1570" spans="1:10" ht="15.75" hidden="1" customHeight="1" x14ac:dyDescent="0.3">
      <c r="A1570" s="182"/>
      <c r="B1570" s="27" t="s">
        <v>271</v>
      </c>
      <c r="C1570" s="4"/>
      <c r="D1570" s="1131" t="s">
        <v>3357</v>
      </c>
      <c r="E1570" s="1119">
        <f ca="1">'Verification Report'!O1570</f>
        <v>0</v>
      </c>
      <c r="F1570"/>
      <c r="I1570" s="1180"/>
      <c r="J1570" s="1180"/>
    </row>
    <row r="1571" spans="1:10" ht="15.75" hidden="1" customHeight="1" x14ac:dyDescent="0.3">
      <c r="A1571" s="182"/>
      <c r="B1571" s="27"/>
      <c r="C1571" s="27" t="s">
        <v>121</v>
      </c>
      <c r="D1571" s="1131" t="s">
        <v>3358</v>
      </c>
      <c r="E1571" s="1119"/>
      <c r="F1571"/>
      <c r="I1571" s="1180"/>
      <c r="J1571" s="1180"/>
    </row>
    <row r="1572" spans="1:10" ht="15.75" hidden="1" customHeight="1" x14ac:dyDescent="0.3">
      <c r="A1572" s="182"/>
      <c r="B1572" s="231"/>
      <c r="C1572" s="231" t="s">
        <v>122</v>
      </c>
      <c r="D1572" s="1113" t="s">
        <v>3359</v>
      </c>
      <c r="E1572" s="1118"/>
      <c r="F1572"/>
      <c r="I1572" s="1180"/>
      <c r="J1572" s="1180"/>
    </row>
    <row r="1573" spans="1:10" ht="15.75" hidden="1" customHeight="1" x14ac:dyDescent="0.3">
      <c r="A1573" s="576"/>
      <c r="B1573" s="203" t="s">
        <v>273</v>
      </c>
      <c r="C1573" s="140"/>
      <c r="D1573" s="1112" t="s">
        <v>3360</v>
      </c>
      <c r="E1573" s="1117">
        <f ca="1">'Verification Report'!O1573</f>
        <v>0</v>
      </c>
      <c r="F1573"/>
      <c r="I1573" s="1180"/>
      <c r="J1573" s="1180"/>
    </row>
    <row r="1574" spans="1:10" ht="15.75" hidden="1" customHeight="1" x14ac:dyDescent="0.3">
      <c r="A1574" s="576"/>
      <c r="B1574" s="140"/>
      <c r="C1574" s="203" t="s">
        <v>121</v>
      </c>
      <c r="D1574" s="1112" t="s">
        <v>3361</v>
      </c>
      <c r="E1574" s="1117"/>
      <c r="F1574"/>
      <c r="I1574" s="1180"/>
      <c r="J1574" s="1180"/>
    </row>
    <row r="1575" spans="1:10" ht="15.75" hidden="1" customHeight="1" x14ac:dyDescent="0.3">
      <c r="A1575" s="620"/>
      <c r="B1575" s="238"/>
      <c r="C1575" s="231" t="s">
        <v>122</v>
      </c>
      <c r="D1575" s="1113" t="s">
        <v>3362</v>
      </c>
      <c r="E1575" s="1118"/>
      <c r="F1575"/>
      <c r="I1575" s="1180"/>
      <c r="J1575" s="1180"/>
    </row>
    <row r="1576" spans="1:10" ht="15" hidden="1" customHeight="1" x14ac:dyDescent="0.3">
      <c r="A1576" s="141" t="s">
        <v>3363</v>
      </c>
      <c r="B1576" s="140"/>
      <c r="C1576" s="140"/>
      <c r="D1576" s="1313" t="s">
        <v>3364</v>
      </c>
      <c r="E1576" s="1117"/>
      <c r="F1576"/>
      <c r="I1576" s="1180"/>
      <c r="J1576" s="1180"/>
    </row>
    <row r="1577" spans="1:10" ht="15.75" hidden="1" customHeight="1" x14ac:dyDescent="0.3">
      <c r="A1577" s="576"/>
      <c r="B1577" s="140"/>
      <c r="C1577" s="140"/>
      <c r="D1577" s="1313"/>
      <c r="E1577" s="1117"/>
      <c r="F1577"/>
      <c r="I1577" s="1180"/>
      <c r="J1577" s="1180"/>
    </row>
    <row r="1578" spans="1:10" ht="15.75" hidden="1" customHeight="1" x14ac:dyDescent="0.3">
      <c r="A1578" s="576"/>
      <c r="B1578" s="140"/>
      <c r="C1578" s="140"/>
      <c r="D1578" s="1313"/>
      <c r="E1578" s="1117"/>
      <c r="F1578"/>
      <c r="I1578" s="1180"/>
      <c r="J1578" s="1180"/>
    </row>
    <row r="1579" spans="1:10" ht="15.75" hidden="1" customHeight="1" x14ac:dyDescent="0.3">
      <c r="A1579" s="620"/>
      <c r="B1579" s="238"/>
      <c r="C1579" s="238"/>
      <c r="D1579" s="1350"/>
      <c r="E1579" s="1118"/>
      <c r="F1579"/>
      <c r="I1579" s="1180"/>
      <c r="J1579" s="1180"/>
    </row>
    <row r="1580" spans="1:10" ht="15" hidden="1" customHeight="1" x14ac:dyDescent="0.3">
      <c r="A1580" s="141" t="s">
        <v>3365</v>
      </c>
      <c r="B1580" s="140"/>
      <c r="C1580" s="140"/>
      <c r="D1580" s="1313" t="s">
        <v>3366</v>
      </c>
      <c r="E1580" s="1308">
        <f>'Verification Report'!O1580</f>
        <v>0</v>
      </c>
      <c r="F1580"/>
      <c r="I1580" s="1180"/>
      <c r="J1580" s="1180"/>
    </row>
    <row r="1581" spans="1:10" ht="15.75" hidden="1" customHeight="1" x14ac:dyDescent="0.3">
      <c r="A1581" s="576"/>
      <c r="B1581" s="140"/>
      <c r="C1581" s="140"/>
      <c r="D1581" s="1313"/>
      <c r="E1581" s="1308">
        <f>'Verification Report'!O1581</f>
        <v>0</v>
      </c>
      <c r="F1581"/>
      <c r="I1581" s="1180"/>
      <c r="J1581" s="1180"/>
    </row>
    <row r="1582" spans="1:10" ht="15.75" hidden="1" customHeight="1" x14ac:dyDescent="0.3">
      <c r="A1582" s="620"/>
      <c r="B1582" s="238"/>
      <c r="C1582" s="238"/>
      <c r="D1582" s="1350"/>
      <c r="E1582" s="1309">
        <f>'Verification Report'!O1582</f>
        <v>0</v>
      </c>
      <c r="F1582"/>
      <c r="I1582" s="1180"/>
      <c r="J1582" s="1180"/>
    </row>
    <row r="1583" spans="1:10" ht="15.75" hidden="1" customHeight="1" x14ac:dyDescent="0.3">
      <c r="A1583" s="141" t="s">
        <v>3367</v>
      </c>
      <c r="B1583" s="140"/>
      <c r="C1583" s="140"/>
      <c r="D1583" s="1138" t="s">
        <v>3368</v>
      </c>
      <c r="E1583" s="1117">
        <f ca="1">'Verification Report'!O1583</f>
        <v>0</v>
      </c>
      <c r="F1583"/>
      <c r="I1583" s="1180"/>
      <c r="J1583" s="1180"/>
    </row>
    <row r="1584" spans="1:10" ht="15.75" hidden="1" customHeight="1" x14ac:dyDescent="0.3">
      <c r="A1584" s="576"/>
      <c r="B1584" s="231" t="s">
        <v>271</v>
      </c>
      <c r="C1584" s="238"/>
      <c r="D1584" s="1113" t="s">
        <v>3369</v>
      </c>
      <c r="E1584" s="1117"/>
      <c r="F1584"/>
      <c r="I1584" s="1180"/>
      <c r="J1584" s="1180"/>
    </row>
    <row r="1585" spans="1:10" ht="15.75" hidden="1" customHeight="1" thickBot="1" x14ac:dyDescent="0.35">
      <c r="A1585" s="577"/>
      <c r="B1585" s="213" t="s">
        <v>273</v>
      </c>
      <c r="C1585" s="270"/>
      <c r="D1585" s="1127" t="s">
        <v>3370</v>
      </c>
      <c r="E1585" s="1120"/>
      <c r="F1585"/>
      <c r="I1585" s="1180"/>
      <c r="J1585" s="1180"/>
    </row>
    <row r="1586" spans="1:10" ht="15" thickTop="1" x14ac:dyDescent="0.3">
      <c r="A1586" s="200">
        <v>901.2</v>
      </c>
      <c r="B1586" s="201"/>
      <c r="C1586" s="201"/>
      <c r="D1586" s="1146" t="s">
        <v>3371</v>
      </c>
      <c r="E1586" s="1126"/>
      <c r="F1586"/>
      <c r="G1586" s="1110">
        <v>1</v>
      </c>
      <c r="I1586" s="1180"/>
      <c r="J1586" s="1180"/>
    </row>
    <row r="1587" spans="1:10" ht="15" customHeight="1" x14ac:dyDescent="0.3">
      <c r="A1587" s="66" t="s">
        <v>3372</v>
      </c>
      <c r="B1587" s="4"/>
      <c r="C1587" s="4"/>
      <c r="D1587" s="1292" t="s">
        <v>3373</v>
      </c>
      <c r="E1587" s="1119"/>
      <c r="F1587"/>
      <c r="G1587" s="1110">
        <v>1</v>
      </c>
      <c r="H1587" s="1178"/>
      <c r="I1587" s="1180" t="s">
        <v>4754</v>
      </c>
      <c r="J1587" s="1180"/>
    </row>
    <row r="1588" spans="1:10" x14ac:dyDescent="0.3">
      <c r="A1588" s="182"/>
      <c r="B1588" s="4"/>
      <c r="C1588" s="4"/>
      <c r="D1588" s="1292"/>
      <c r="E1588" s="1119"/>
      <c r="F1588"/>
      <c r="G1588" s="1110">
        <v>1</v>
      </c>
      <c r="I1588" s="1180"/>
      <c r="J1588" s="1180"/>
    </row>
    <row r="1589" spans="1:10" ht="15" customHeight="1" x14ac:dyDescent="0.3">
      <c r="A1589" s="182"/>
      <c r="B1589" s="203" t="s">
        <v>271</v>
      </c>
      <c r="C1589" s="140"/>
      <c r="D1589" s="1305" t="s">
        <v>3374</v>
      </c>
      <c r="E1589" s="1308">
        <f>'Verification Report'!O1589</f>
        <v>0</v>
      </c>
      <c r="F1589"/>
      <c r="G1589" s="1110">
        <v>1</v>
      </c>
      <c r="I1589" s="1180"/>
      <c r="J1589" s="1180"/>
    </row>
    <row r="1590" spans="1:10" x14ac:dyDescent="0.3">
      <c r="A1590" s="182"/>
      <c r="B1590" s="140"/>
      <c r="C1590" s="140"/>
      <c r="D1590" s="1305"/>
      <c r="E1590" s="1308">
        <f>'Verification Report'!O1590</f>
        <v>0</v>
      </c>
      <c r="F1590"/>
      <c r="G1590" s="1110">
        <v>1</v>
      </c>
      <c r="I1590" s="1180"/>
      <c r="J1590" s="1180"/>
    </row>
    <row r="1591" spans="1:10" x14ac:dyDescent="0.3">
      <c r="A1591" s="182"/>
      <c r="B1591" s="238"/>
      <c r="C1591" s="238"/>
      <c r="D1591" s="1306"/>
      <c r="E1591" s="1309">
        <f>'Verification Report'!O1591</f>
        <v>0</v>
      </c>
      <c r="F1591"/>
      <c r="G1591" s="1110">
        <v>1</v>
      </c>
      <c r="I1591" s="1180"/>
      <c r="J1591" s="1180"/>
    </row>
    <row r="1592" spans="1:10" ht="15" customHeight="1" x14ac:dyDescent="0.3">
      <c r="A1592" s="182"/>
      <c r="B1592" s="203" t="s">
        <v>273</v>
      </c>
      <c r="C1592" s="140"/>
      <c r="D1592" s="1305" t="s">
        <v>3375</v>
      </c>
      <c r="E1592" s="1308">
        <f>'Verification Report'!O1592</f>
        <v>0</v>
      </c>
      <c r="F1592"/>
      <c r="G1592" s="1110">
        <v>1</v>
      </c>
      <c r="I1592" s="1180"/>
      <c r="J1592" s="1180"/>
    </row>
    <row r="1593" spans="1:10" x14ac:dyDescent="0.3">
      <c r="A1593" s="182"/>
      <c r="B1593" s="231"/>
      <c r="C1593" s="238"/>
      <c r="D1593" s="1306"/>
      <c r="E1593" s="1309">
        <f>'Verification Report'!O1593</f>
        <v>0</v>
      </c>
      <c r="F1593"/>
      <c r="G1593" s="1110">
        <v>1</v>
      </c>
      <c r="I1593" s="1180"/>
      <c r="J1593" s="1180"/>
    </row>
    <row r="1594" spans="1:10" ht="15" customHeight="1" x14ac:dyDescent="0.3">
      <c r="A1594" s="182"/>
      <c r="B1594" s="203" t="s">
        <v>275</v>
      </c>
      <c r="C1594" s="140"/>
      <c r="D1594" s="1305" t="s">
        <v>3376</v>
      </c>
      <c r="E1594" s="1308">
        <f>'Verification Report'!O1594</f>
        <v>0</v>
      </c>
      <c r="F1594"/>
      <c r="G1594" s="1110">
        <v>1</v>
      </c>
      <c r="I1594" s="1180"/>
      <c r="J1594" s="1180"/>
    </row>
    <row r="1595" spans="1:10" x14ac:dyDescent="0.3">
      <c r="A1595" s="182"/>
      <c r="B1595" s="203"/>
      <c r="C1595" s="140"/>
      <c r="D1595" s="1305"/>
      <c r="E1595" s="1308">
        <f>'Verification Report'!O1595</f>
        <v>0</v>
      </c>
      <c r="F1595"/>
      <c r="G1595" s="1110">
        <v>1</v>
      </c>
      <c r="I1595" s="1180"/>
      <c r="J1595" s="1180"/>
    </row>
    <row r="1596" spans="1:10" x14ac:dyDescent="0.3">
      <c r="A1596" s="182"/>
      <c r="B1596" s="231"/>
      <c r="C1596" s="238"/>
      <c r="D1596" s="1306"/>
      <c r="E1596" s="1309">
        <f>'Verification Report'!O1596</f>
        <v>0</v>
      </c>
      <c r="F1596"/>
      <c r="G1596" s="1110">
        <v>1</v>
      </c>
      <c r="I1596" s="1180"/>
      <c r="J1596" s="1180"/>
    </row>
    <row r="1597" spans="1:10" ht="15" customHeight="1" x14ac:dyDescent="0.3">
      <c r="A1597" s="182"/>
      <c r="B1597" s="203" t="s">
        <v>285</v>
      </c>
      <c r="C1597" s="140"/>
      <c r="D1597" s="1293" t="s">
        <v>3377</v>
      </c>
      <c r="E1597" s="1308">
        <f>'Verification Report'!O1597</f>
        <v>0</v>
      </c>
      <c r="F1597"/>
      <c r="G1597" s="1110">
        <v>1</v>
      </c>
      <c r="I1597" s="1180"/>
      <c r="J1597" s="1180"/>
    </row>
    <row r="1598" spans="1:10" x14ac:dyDescent="0.3">
      <c r="A1598" s="182"/>
      <c r="B1598" s="231"/>
      <c r="C1598" s="238"/>
      <c r="D1598" s="1294"/>
      <c r="E1598" s="1309">
        <f>'Verification Report'!O1598</f>
        <v>0</v>
      </c>
      <c r="F1598"/>
      <c r="G1598" s="1110">
        <v>1</v>
      </c>
      <c r="I1598" s="1180"/>
      <c r="J1598" s="1180"/>
    </row>
    <row r="1599" spans="1:10" ht="15" customHeight="1" x14ac:dyDescent="0.3">
      <c r="A1599" s="576"/>
      <c r="B1599" s="203" t="s">
        <v>291</v>
      </c>
      <c r="C1599" s="140"/>
      <c r="D1599" s="1305" t="s">
        <v>3378</v>
      </c>
      <c r="E1599" s="1308">
        <f>'Verification Report'!O1599</f>
        <v>0</v>
      </c>
      <c r="F1599"/>
      <c r="G1599" s="1110">
        <v>1</v>
      </c>
      <c r="I1599" s="1180"/>
      <c r="J1599" s="1180"/>
    </row>
    <row r="1600" spans="1:10" x14ac:dyDescent="0.3">
      <c r="A1600" s="620"/>
      <c r="B1600" s="231"/>
      <c r="C1600" s="238"/>
      <c r="D1600" s="1306"/>
      <c r="E1600" s="1309">
        <f>'Verification Report'!O1600</f>
        <v>0</v>
      </c>
      <c r="F1600"/>
      <c r="G1600" s="1110">
        <v>1</v>
      </c>
      <c r="I1600" s="1180"/>
      <c r="J1600" s="1180"/>
    </row>
    <row r="1601" spans="1:10" ht="15" thickBot="1" x14ac:dyDescent="0.35">
      <c r="A1601" s="212" t="s">
        <v>3379</v>
      </c>
      <c r="B1601" s="270"/>
      <c r="C1601" s="270"/>
      <c r="D1601" s="621" t="s">
        <v>3380</v>
      </c>
      <c r="E1601" s="1120">
        <f>'Verification Report'!O1601</f>
        <v>0</v>
      </c>
      <c r="F1601"/>
      <c r="G1601" s="1110">
        <v>1</v>
      </c>
      <c r="H1601" s="1178"/>
      <c r="I1601" s="1180" t="s">
        <v>4754</v>
      </c>
      <c r="J1601" s="1180"/>
    </row>
    <row r="1602" spans="1:10" ht="15" thickTop="1" x14ac:dyDescent="0.3">
      <c r="A1602" s="66">
        <v>901.3</v>
      </c>
      <c r="B1602" s="4"/>
      <c r="C1602" s="4"/>
      <c r="D1602" s="1135" t="s">
        <v>3381</v>
      </c>
      <c r="E1602" s="1119"/>
      <c r="G1602" s="1110">
        <v>1</v>
      </c>
      <c r="I1602" s="1180"/>
      <c r="J1602" s="1180"/>
    </row>
    <row r="1603" spans="1:10" x14ac:dyDescent="0.3">
      <c r="A1603" s="182"/>
      <c r="B1603" s="27" t="s">
        <v>271</v>
      </c>
      <c r="C1603" s="4"/>
      <c r="D1603" s="1131" t="s">
        <v>3382</v>
      </c>
      <c r="E1603" s="1119"/>
      <c r="G1603" s="1110">
        <v>1</v>
      </c>
      <c r="H1603" s="1178"/>
      <c r="I1603" s="1180" t="s">
        <v>4755</v>
      </c>
      <c r="J1603" s="1180"/>
    </row>
    <row r="1604" spans="1:10" ht="15" customHeight="1" x14ac:dyDescent="0.3">
      <c r="A1604" s="182"/>
      <c r="B1604" s="4"/>
      <c r="C1604" s="203" t="s">
        <v>121</v>
      </c>
      <c r="D1604" s="1305" t="s">
        <v>3383</v>
      </c>
      <c r="E1604" s="1308">
        <f>'Verification Report'!O1604</f>
        <v>0</v>
      </c>
      <c r="F1604"/>
      <c r="G1604" s="1110">
        <v>1</v>
      </c>
      <c r="I1604" s="1180"/>
      <c r="J1604" s="1180"/>
    </row>
    <row r="1605" spans="1:10" x14ac:dyDescent="0.3">
      <c r="A1605" s="182"/>
      <c r="B1605" s="4"/>
      <c r="C1605" s="231"/>
      <c r="D1605" s="1306"/>
      <c r="E1605" s="1309">
        <f>'Verification Report'!O1605</f>
        <v>0</v>
      </c>
      <c r="F1605"/>
      <c r="G1605" s="1110">
        <v>1</v>
      </c>
      <c r="I1605" s="1180"/>
      <c r="J1605" s="1180"/>
    </row>
    <row r="1606" spans="1:10" ht="15" customHeight="1" x14ac:dyDescent="0.3">
      <c r="A1606" s="182"/>
      <c r="B1606" s="4"/>
      <c r="C1606" s="203" t="s">
        <v>122</v>
      </c>
      <c r="D1606" s="1305" t="s">
        <v>3384</v>
      </c>
      <c r="E1606" s="1308">
        <f>'Verification Report'!O1606</f>
        <v>0</v>
      </c>
      <c r="F1606"/>
      <c r="G1606" s="1110">
        <v>1</v>
      </c>
      <c r="I1606" s="1180"/>
      <c r="J1606" s="1180"/>
    </row>
    <row r="1607" spans="1:10" x14ac:dyDescent="0.3">
      <c r="A1607" s="182"/>
      <c r="B1607" s="4"/>
      <c r="C1607" s="238"/>
      <c r="D1607" s="1306"/>
      <c r="E1607" s="1309">
        <f>'Verification Report'!O1607</f>
        <v>0</v>
      </c>
      <c r="F1607"/>
      <c r="G1607" s="1110">
        <v>1</v>
      </c>
      <c r="I1607" s="1180"/>
      <c r="J1607" s="1180"/>
    </row>
    <row r="1608" spans="1:10" ht="15" customHeight="1" x14ac:dyDescent="0.3">
      <c r="A1608" s="182"/>
      <c r="B1608" s="140"/>
      <c r="C1608" s="203" t="s">
        <v>123</v>
      </c>
      <c r="D1608" s="1305" t="s">
        <v>3385</v>
      </c>
      <c r="E1608" s="1308">
        <f ca="1">'Verification Report'!O1608</f>
        <v>0</v>
      </c>
      <c r="F1608"/>
      <c r="G1608" s="1110">
        <v>1</v>
      </c>
      <c r="I1608" s="1180"/>
      <c r="J1608" s="1180"/>
    </row>
    <row r="1609" spans="1:10" x14ac:dyDescent="0.3">
      <c r="A1609" s="182"/>
      <c r="B1609" s="140"/>
      <c r="C1609" s="140"/>
      <c r="D1609" s="1305"/>
      <c r="E1609" s="1308">
        <f>'Verification Report'!O1609</f>
        <v>0</v>
      </c>
      <c r="F1609"/>
      <c r="G1609" s="1110">
        <v>1</v>
      </c>
      <c r="I1609" s="1180"/>
      <c r="J1609" s="1180"/>
    </row>
    <row r="1610" spans="1:10" x14ac:dyDescent="0.3">
      <c r="A1610" s="182"/>
      <c r="B1610" s="140"/>
      <c r="C1610" s="140"/>
      <c r="D1610" s="1305"/>
      <c r="E1610" s="1308">
        <f>'Verification Report'!O1610</f>
        <v>0</v>
      </c>
      <c r="F1610"/>
      <c r="G1610" s="1110">
        <v>1</v>
      </c>
      <c r="I1610" s="1180"/>
      <c r="J1610" s="1180"/>
    </row>
    <row r="1611" spans="1:10" x14ac:dyDescent="0.3">
      <c r="A1611" s="182"/>
      <c r="B1611" s="140"/>
      <c r="C1611" s="140"/>
      <c r="D1611" s="1305"/>
      <c r="E1611" s="1308">
        <f>'Verification Report'!O1611</f>
        <v>0</v>
      </c>
      <c r="F1611"/>
      <c r="G1611" s="1110">
        <v>1</v>
      </c>
      <c r="I1611" s="1180"/>
      <c r="J1611" s="1180"/>
    </row>
    <row r="1612" spans="1:10" x14ac:dyDescent="0.3">
      <c r="A1612" s="182"/>
      <c r="B1612" s="140"/>
      <c r="C1612" s="140"/>
      <c r="D1612" s="1305"/>
      <c r="E1612" s="1308">
        <f>'Verification Report'!O1612</f>
        <v>0</v>
      </c>
      <c r="F1612"/>
      <c r="G1612" s="1110">
        <v>1</v>
      </c>
      <c r="I1612" s="1180"/>
      <c r="J1612" s="1180"/>
    </row>
    <row r="1613" spans="1:10" x14ac:dyDescent="0.3">
      <c r="A1613" s="182"/>
      <c r="B1613" s="238"/>
      <c r="C1613" s="238"/>
      <c r="D1613" s="1306"/>
      <c r="E1613" s="1309">
        <f>'Verification Report'!O1613</f>
        <v>0</v>
      </c>
      <c r="F1613"/>
      <c r="G1613" s="1110">
        <v>1</v>
      </c>
      <c r="I1613" s="1180"/>
      <c r="J1613" s="1180"/>
    </row>
    <row r="1614" spans="1:10" ht="15" customHeight="1" thickBot="1" x14ac:dyDescent="0.35">
      <c r="A1614" s="577"/>
      <c r="B1614" s="213" t="s">
        <v>273</v>
      </c>
      <c r="C1614" s="270"/>
      <c r="D1614" s="1127" t="s">
        <v>3386</v>
      </c>
      <c r="E1614" s="1120">
        <f>'Verification Report'!O1614</f>
        <v>0</v>
      </c>
      <c r="F1614"/>
      <c r="G1614" s="1110">
        <v>1</v>
      </c>
      <c r="H1614" s="1178"/>
      <c r="I1614" s="1180" t="s">
        <v>4755</v>
      </c>
      <c r="J1614" s="1180"/>
    </row>
    <row r="1615" spans="1:10" ht="15.75" hidden="1" customHeight="1" thickTop="1" x14ac:dyDescent="0.3">
      <c r="A1615" s="66">
        <v>901.4</v>
      </c>
      <c r="B1615" s="4"/>
      <c r="C1615" s="4"/>
      <c r="D1615" s="1329" t="s">
        <v>3387</v>
      </c>
      <c r="E1615" s="1336">
        <f ca="1">'Verification Report'!O1615</f>
        <v>0</v>
      </c>
    </row>
    <row r="1616" spans="1:10" ht="15" hidden="1" thickTop="1" x14ac:dyDescent="0.3">
      <c r="A1616" s="182"/>
      <c r="B1616" s="4"/>
      <c r="C1616" s="4"/>
      <c r="D1616" s="1329"/>
      <c r="E1616" s="1310">
        <f>'Verification Report'!O1616</f>
        <v>0</v>
      </c>
      <c r="F1616"/>
    </row>
    <row r="1617" spans="1:6" ht="15" hidden="1" thickTop="1" x14ac:dyDescent="0.3">
      <c r="A1617" s="182"/>
      <c r="B1617" s="4"/>
      <c r="C1617" s="4"/>
      <c r="D1617" s="1329"/>
      <c r="E1617" s="1310">
        <f>'Verification Report'!O1617</f>
        <v>0</v>
      </c>
      <c r="F1617"/>
    </row>
    <row r="1618" spans="1:6" ht="15" hidden="1" customHeight="1" x14ac:dyDescent="0.3">
      <c r="A1618" s="182"/>
      <c r="B1618" s="203" t="s">
        <v>271</v>
      </c>
      <c r="C1618" s="140"/>
      <c r="D1618" s="1305" t="s">
        <v>3388</v>
      </c>
      <c r="E1618" s="1110"/>
      <c r="F1618"/>
    </row>
    <row r="1619" spans="1:6" ht="15.75" hidden="1" customHeight="1" x14ac:dyDescent="0.3">
      <c r="A1619" s="182"/>
      <c r="B1619" s="140"/>
      <c r="C1619" s="140"/>
      <c r="D1619" s="1305"/>
      <c r="E1619" s="1119"/>
      <c r="F1619"/>
    </row>
    <row r="1620" spans="1:6" ht="15.75" hidden="1" customHeight="1" x14ac:dyDescent="0.3">
      <c r="A1620" s="182"/>
      <c r="B1620" s="140"/>
      <c r="C1620" s="140"/>
      <c r="D1620" s="1305"/>
      <c r="E1620" s="1119"/>
      <c r="F1620"/>
    </row>
    <row r="1621" spans="1:6" ht="15.75" hidden="1" customHeight="1" x14ac:dyDescent="0.3">
      <c r="A1621" s="182"/>
      <c r="B1621" s="140"/>
      <c r="C1621" s="140"/>
      <c r="D1621" s="1305"/>
      <c r="E1621" s="1119"/>
      <c r="F1621"/>
    </row>
    <row r="1622" spans="1:6" ht="15.75" hidden="1" customHeight="1" x14ac:dyDescent="0.3">
      <c r="A1622" s="182"/>
      <c r="B1622" s="238"/>
      <c r="C1622" s="238"/>
      <c r="D1622" s="1137" t="s">
        <v>4382</v>
      </c>
      <c r="E1622" s="1119"/>
      <c r="F1622"/>
    </row>
    <row r="1623" spans="1:6" ht="15.75" hidden="1" customHeight="1" x14ac:dyDescent="0.3">
      <c r="A1623" s="576"/>
      <c r="B1623" s="140"/>
      <c r="C1623" s="140"/>
      <c r="D1623" s="1112" t="s">
        <v>3913</v>
      </c>
      <c r="E1623" s="1117"/>
      <c r="F1623"/>
    </row>
    <row r="1624" spans="1:6" ht="15.75" hidden="1" customHeight="1" x14ac:dyDescent="0.3">
      <c r="A1624" s="576"/>
      <c r="B1624" s="140"/>
      <c r="C1624" s="140"/>
      <c r="D1624" s="1112" t="s">
        <v>3914</v>
      </c>
      <c r="E1624" s="1117"/>
      <c r="F1624"/>
    </row>
    <row r="1625" spans="1:6" ht="15.75" hidden="1" customHeight="1" x14ac:dyDescent="0.3">
      <c r="A1625" s="576"/>
      <c r="B1625" s="140"/>
      <c r="C1625" s="140"/>
      <c r="D1625" s="1112" t="s">
        <v>3915</v>
      </c>
      <c r="E1625" s="1117"/>
      <c r="F1625"/>
    </row>
    <row r="1626" spans="1:6" ht="15.75" hidden="1" customHeight="1" x14ac:dyDescent="0.3">
      <c r="A1626" s="576"/>
      <c r="B1626" s="140"/>
      <c r="C1626" s="140"/>
      <c r="D1626" s="1112" t="s">
        <v>3916</v>
      </c>
      <c r="E1626" s="1117"/>
      <c r="F1626"/>
    </row>
    <row r="1627" spans="1:6" ht="15" hidden="1" customHeight="1" x14ac:dyDescent="0.3">
      <c r="A1627" s="576"/>
      <c r="B1627" s="203" t="s">
        <v>273</v>
      </c>
      <c r="C1627" s="140"/>
      <c r="D1627" s="1305" t="s">
        <v>3389</v>
      </c>
      <c r="E1627" s="1117"/>
      <c r="F1627"/>
    </row>
    <row r="1628" spans="1:6" ht="15.75" hidden="1" customHeight="1" x14ac:dyDescent="0.3">
      <c r="A1628" s="576"/>
      <c r="B1628" s="238"/>
      <c r="C1628" s="238"/>
      <c r="D1628" s="1306"/>
      <c r="E1628" s="1117"/>
      <c r="F1628"/>
    </row>
    <row r="1629" spans="1:6" ht="15.75" hidden="1" customHeight="1" x14ac:dyDescent="0.3">
      <c r="A1629" s="576"/>
      <c r="B1629" s="231" t="s">
        <v>275</v>
      </c>
      <c r="C1629" s="238"/>
      <c r="D1629" s="1113" t="s">
        <v>3390</v>
      </c>
      <c r="E1629" s="1117"/>
      <c r="F1629"/>
    </row>
    <row r="1630" spans="1:6" ht="15.75" hidden="1" customHeight="1" x14ac:dyDescent="0.3">
      <c r="A1630" s="576"/>
      <c r="B1630" s="231" t="s">
        <v>285</v>
      </c>
      <c r="C1630" s="238"/>
      <c r="D1630" s="1113" t="s">
        <v>3391</v>
      </c>
      <c r="E1630" s="1117"/>
      <c r="F1630"/>
    </row>
    <row r="1631" spans="1:6" ht="15" hidden="1" customHeight="1" x14ac:dyDescent="0.3">
      <c r="A1631" s="576"/>
      <c r="B1631" s="203" t="s">
        <v>291</v>
      </c>
      <c r="C1631" s="140"/>
      <c r="D1631" s="1305" t="s">
        <v>3392</v>
      </c>
      <c r="E1631" s="1117"/>
      <c r="F1631"/>
    </row>
    <row r="1632" spans="1:6" ht="15.75" hidden="1" customHeight="1" x14ac:dyDescent="0.3">
      <c r="A1632" s="576"/>
      <c r="B1632" s="231"/>
      <c r="C1632" s="238"/>
      <c r="D1632" s="1306"/>
      <c r="E1632" s="1117"/>
      <c r="F1632"/>
    </row>
    <row r="1633" spans="1:6" ht="16.5" hidden="1" customHeight="1" thickBot="1" x14ac:dyDescent="0.35">
      <c r="A1633" s="577"/>
      <c r="B1633" s="213" t="s">
        <v>293</v>
      </c>
      <c r="C1633" s="270"/>
      <c r="D1633" s="1127" t="s">
        <v>3393</v>
      </c>
      <c r="E1633" s="1120"/>
      <c r="F1633"/>
    </row>
    <row r="1634" spans="1:6" ht="15.75" hidden="1" customHeight="1" thickTop="1" x14ac:dyDescent="0.3">
      <c r="A1634" s="66">
        <v>901.5</v>
      </c>
      <c r="B1634" s="4"/>
      <c r="C1634" s="4"/>
      <c r="D1634" s="1292" t="s">
        <v>3394</v>
      </c>
      <c r="E1634" s="1119"/>
      <c r="F1634"/>
    </row>
    <row r="1635" spans="1:6" ht="15" hidden="1" thickTop="1" x14ac:dyDescent="0.3">
      <c r="A1635" s="182"/>
      <c r="B1635" s="4"/>
      <c r="C1635" s="4"/>
      <c r="D1635" s="1292"/>
      <c r="E1635" s="1119"/>
      <c r="F1635"/>
    </row>
    <row r="1636" spans="1:6" ht="15" hidden="1" thickTop="1" x14ac:dyDescent="0.3">
      <c r="A1636" s="182"/>
      <c r="B1636" s="4"/>
      <c r="C1636" s="4"/>
      <c r="D1636" s="1130" t="s">
        <v>3395</v>
      </c>
      <c r="E1636" s="1119"/>
      <c r="F1636"/>
    </row>
    <row r="1637" spans="1:6" ht="15" hidden="1" customHeight="1" x14ac:dyDescent="0.3">
      <c r="A1637" s="182"/>
      <c r="B1637" s="203" t="s">
        <v>271</v>
      </c>
      <c r="C1637" s="140"/>
      <c r="D1637" s="1305" t="s">
        <v>3396</v>
      </c>
      <c r="E1637" s="1308">
        <f>'Verification Report'!O1637</f>
        <v>0</v>
      </c>
      <c r="F1637"/>
    </row>
    <row r="1638" spans="1:6" ht="15.75" hidden="1" customHeight="1" x14ac:dyDescent="0.3">
      <c r="A1638" s="182"/>
      <c r="B1638" s="238"/>
      <c r="C1638" s="238"/>
      <c r="D1638" s="1306"/>
      <c r="E1638" s="1309">
        <f>'Verification Report'!O1638</f>
        <v>0</v>
      </c>
      <c r="F1638"/>
    </row>
    <row r="1639" spans="1:6" ht="15" hidden="1" customHeight="1" x14ac:dyDescent="0.3">
      <c r="A1639" s="576"/>
      <c r="B1639" s="203" t="s">
        <v>273</v>
      </c>
      <c r="C1639" s="140"/>
      <c r="D1639" s="1305" t="s">
        <v>3397</v>
      </c>
      <c r="E1639" s="1308">
        <f>'Verification Report'!O1639</f>
        <v>0</v>
      </c>
      <c r="F1639"/>
    </row>
    <row r="1640" spans="1:6" ht="15.75" hidden="1" customHeight="1" x14ac:dyDescent="0.3">
      <c r="A1640" s="576"/>
      <c r="B1640" s="140"/>
      <c r="C1640" s="140"/>
      <c r="D1640" s="1305"/>
      <c r="E1640" s="1308">
        <f>'Verification Report'!O1640</f>
        <v>0</v>
      </c>
      <c r="F1640"/>
    </row>
    <row r="1641" spans="1:6" ht="16.5" hidden="1" customHeight="1" thickBot="1" x14ac:dyDescent="0.35">
      <c r="A1641" s="577"/>
      <c r="B1641" s="270"/>
      <c r="C1641" s="270"/>
      <c r="D1641" s="1330"/>
      <c r="E1641" s="1315">
        <f>'Verification Report'!O1641</f>
        <v>0</v>
      </c>
      <c r="F1641"/>
    </row>
    <row r="1642" spans="1:6" ht="15.75" hidden="1" customHeight="1" thickTop="1" x14ac:dyDescent="0.3">
      <c r="A1642" s="200">
        <v>901.6</v>
      </c>
      <c r="B1642" s="201"/>
      <c r="C1642" s="201"/>
      <c r="D1642" s="1331" t="s">
        <v>3398</v>
      </c>
      <c r="E1642" s="1126"/>
      <c r="F1642"/>
    </row>
    <row r="1643" spans="1:6" ht="16.5" hidden="1" customHeight="1" thickBot="1" x14ac:dyDescent="0.35">
      <c r="A1643" s="577"/>
      <c r="B1643" s="270"/>
      <c r="C1643" s="270"/>
      <c r="D1643" s="1332"/>
      <c r="E1643" s="1120"/>
      <c r="F1643"/>
    </row>
    <row r="1644" spans="1:6" ht="15.75" hidden="1" customHeight="1" thickTop="1" x14ac:dyDescent="0.3">
      <c r="A1644" s="66">
        <v>901.7</v>
      </c>
      <c r="B1644" s="4"/>
      <c r="C1644" s="4"/>
      <c r="D1644" s="1292" t="s">
        <v>3399</v>
      </c>
      <c r="E1644" s="1310">
        <f>'Verification Report'!O1644</f>
        <v>0</v>
      </c>
      <c r="F1644"/>
    </row>
    <row r="1645" spans="1:6" ht="15" hidden="1" thickTop="1" x14ac:dyDescent="0.3">
      <c r="A1645" s="182"/>
      <c r="B1645" s="4"/>
      <c r="C1645" s="4"/>
      <c r="D1645" s="1292"/>
      <c r="E1645" s="1310">
        <f>'Verification Report'!O1645</f>
        <v>0</v>
      </c>
      <c r="F1645"/>
    </row>
    <row r="1646" spans="1:6" ht="15" hidden="1" thickTop="1" x14ac:dyDescent="0.3">
      <c r="A1646" s="182"/>
      <c r="B1646" s="4"/>
      <c r="C1646" s="4"/>
      <c r="D1646" s="1292"/>
      <c r="E1646" s="1310">
        <f>'Verification Report'!O1646</f>
        <v>0</v>
      </c>
      <c r="F1646"/>
    </row>
    <row r="1647" spans="1:6" ht="15" hidden="1" thickTop="1" x14ac:dyDescent="0.3">
      <c r="A1647" s="182"/>
      <c r="B1647" s="4"/>
      <c r="C1647" s="4"/>
      <c r="D1647" s="1292"/>
      <c r="E1647" s="1310">
        <f>'Verification Report'!O1647</f>
        <v>0</v>
      </c>
      <c r="F1647"/>
    </row>
    <row r="1648" spans="1:6" ht="15" hidden="1" thickTop="1" x14ac:dyDescent="0.3">
      <c r="A1648" s="182"/>
      <c r="B1648" s="4"/>
      <c r="C1648" s="4"/>
      <c r="D1648" s="1292"/>
      <c r="E1648" s="1310">
        <f>'Verification Report'!O1648</f>
        <v>0</v>
      </c>
      <c r="F1648"/>
    </row>
    <row r="1649" spans="1:6" ht="15" hidden="1" customHeight="1" x14ac:dyDescent="0.3">
      <c r="A1649" s="182"/>
      <c r="B1649" s="4"/>
      <c r="C1649" s="4"/>
      <c r="D1649" s="1365" t="s">
        <v>3400</v>
      </c>
      <c r="E1649" s="1310">
        <f>'Verification Report'!O1649</f>
        <v>0</v>
      </c>
      <c r="F1649"/>
    </row>
    <row r="1650" spans="1:6" ht="15" hidden="1" thickTop="1" x14ac:dyDescent="0.3">
      <c r="A1650" s="182"/>
      <c r="B1650" s="4"/>
      <c r="C1650" s="4"/>
      <c r="D1650" s="1365"/>
      <c r="E1650" s="1310">
        <f>'Verification Report'!O1650</f>
        <v>0</v>
      </c>
      <c r="F1650"/>
    </row>
    <row r="1651" spans="1:6" ht="15" hidden="1" customHeight="1" x14ac:dyDescent="0.3">
      <c r="A1651" s="182"/>
      <c r="B1651" s="27" t="s">
        <v>271</v>
      </c>
      <c r="C1651" s="4"/>
      <c r="D1651" s="1329" t="s">
        <v>3401</v>
      </c>
      <c r="E1651" s="1119"/>
      <c r="F1651"/>
    </row>
    <row r="1652" spans="1:6" ht="15.75" hidden="1" customHeight="1" x14ac:dyDescent="0.3">
      <c r="A1652" s="182"/>
      <c r="B1652" s="4"/>
      <c r="C1652" s="4"/>
      <c r="D1652" s="1329"/>
      <c r="E1652" s="1119"/>
      <c r="F1652"/>
    </row>
    <row r="1653" spans="1:6" ht="15.75" hidden="1" customHeight="1" x14ac:dyDescent="0.3">
      <c r="A1653" s="182"/>
      <c r="B1653" s="4"/>
      <c r="C1653" s="4"/>
      <c r="D1653" s="1329"/>
      <c r="E1653" s="1119"/>
      <c r="F1653"/>
    </row>
    <row r="1654" spans="1:6" ht="15.75" hidden="1" customHeight="1" x14ac:dyDescent="0.3">
      <c r="A1654" s="182"/>
      <c r="B1654" s="4"/>
      <c r="C1654" s="4"/>
      <c r="D1654" s="1329"/>
      <c r="E1654" s="1119"/>
      <c r="F1654"/>
    </row>
    <row r="1655" spans="1:6" ht="15.75" hidden="1" customHeight="1" x14ac:dyDescent="0.3">
      <c r="A1655" s="182"/>
      <c r="B1655" s="4"/>
      <c r="C1655" s="27" t="s">
        <v>121</v>
      </c>
      <c r="D1655" s="1131" t="s">
        <v>3402</v>
      </c>
      <c r="E1655" s="1119"/>
      <c r="F1655"/>
    </row>
    <row r="1656" spans="1:6" ht="15.75" hidden="1" customHeight="1" x14ac:dyDescent="0.3">
      <c r="A1656" s="182"/>
      <c r="B1656" s="4"/>
      <c r="C1656" s="27" t="s">
        <v>122</v>
      </c>
      <c r="D1656" s="1131" t="s">
        <v>3403</v>
      </c>
      <c r="E1656" s="1119"/>
      <c r="F1656"/>
    </row>
    <row r="1657" spans="1:6" ht="15.75" hidden="1" customHeight="1" x14ac:dyDescent="0.3">
      <c r="A1657" s="182"/>
      <c r="B1657" s="4"/>
      <c r="C1657" s="27" t="s">
        <v>123</v>
      </c>
      <c r="D1657" s="1131" t="s">
        <v>3404</v>
      </c>
      <c r="E1657" s="1119"/>
      <c r="F1657"/>
    </row>
    <row r="1658" spans="1:6" ht="15.75" hidden="1" customHeight="1" x14ac:dyDescent="0.3">
      <c r="A1658" s="182"/>
      <c r="B1658" s="4"/>
      <c r="C1658" s="27" t="s">
        <v>423</v>
      </c>
      <c r="D1658" s="1131" t="s">
        <v>3405</v>
      </c>
      <c r="E1658" s="1119"/>
      <c r="F1658"/>
    </row>
    <row r="1659" spans="1:6" ht="15.75" hidden="1" customHeight="1" x14ac:dyDescent="0.3">
      <c r="A1659" s="182"/>
      <c r="B1659" s="4"/>
      <c r="C1659" s="27" t="s">
        <v>578</v>
      </c>
      <c r="D1659" s="1131" t="s">
        <v>3406</v>
      </c>
      <c r="E1659" s="1119"/>
      <c r="F1659"/>
    </row>
    <row r="1660" spans="1:6" ht="15.75" hidden="1" customHeight="1" x14ac:dyDescent="0.3">
      <c r="A1660" s="182"/>
      <c r="B1660" s="238"/>
      <c r="C1660" s="231" t="s">
        <v>645</v>
      </c>
      <c r="D1660" s="1113" t="s">
        <v>3407</v>
      </c>
      <c r="E1660" s="1119"/>
      <c r="F1660"/>
    </row>
    <row r="1661" spans="1:6" ht="15.75" hidden="1" customHeight="1" x14ac:dyDescent="0.3">
      <c r="A1661" s="576"/>
      <c r="B1661" s="231" t="s">
        <v>273</v>
      </c>
      <c r="C1661" s="238"/>
      <c r="D1661" s="1113" t="s">
        <v>4107</v>
      </c>
      <c r="E1661" s="1117"/>
      <c r="F1661"/>
    </row>
    <row r="1662" spans="1:6" ht="15.75" hidden="1" customHeight="1" x14ac:dyDescent="0.3">
      <c r="A1662" s="576"/>
      <c r="B1662" s="203" t="s">
        <v>275</v>
      </c>
      <c r="C1662" s="140"/>
      <c r="D1662" s="1112" t="s">
        <v>3917</v>
      </c>
      <c r="E1662" s="1117"/>
      <c r="F1662"/>
    </row>
    <row r="1663" spans="1:6" ht="15" hidden="1" customHeight="1" x14ac:dyDescent="0.3">
      <c r="A1663" s="576"/>
      <c r="B1663" s="140"/>
      <c r="C1663" s="140"/>
      <c r="D1663" s="1368" t="s">
        <v>3408</v>
      </c>
      <c r="E1663" s="1117"/>
      <c r="F1663"/>
    </row>
    <row r="1664" spans="1:6" ht="16.5" hidden="1" customHeight="1" thickBot="1" x14ac:dyDescent="0.35">
      <c r="A1664" s="577"/>
      <c r="B1664" s="270"/>
      <c r="C1664" s="270"/>
      <c r="D1664" s="1400"/>
      <c r="E1664" s="1120"/>
      <c r="F1664"/>
    </row>
    <row r="1665" spans="1:6" ht="15.75" hidden="1" customHeight="1" thickTop="1" x14ac:dyDescent="0.3">
      <c r="A1665" s="200">
        <v>901.8</v>
      </c>
      <c r="B1665" s="201"/>
      <c r="C1665" s="201"/>
      <c r="D1665" s="1331" t="s">
        <v>3409</v>
      </c>
      <c r="E1665" s="1336">
        <f>'Verification Report'!O1665</f>
        <v>0</v>
      </c>
      <c r="F1665"/>
    </row>
    <row r="1666" spans="1:6" ht="15.75" hidden="1" customHeight="1" x14ac:dyDescent="0.3">
      <c r="A1666" s="576"/>
      <c r="B1666" s="140"/>
      <c r="C1666" s="140"/>
      <c r="D1666" s="1313"/>
      <c r="E1666" s="1308">
        <f>'Verification Report'!O1666</f>
        <v>0</v>
      </c>
      <c r="F1666"/>
    </row>
    <row r="1667" spans="1:6" ht="15.75" hidden="1" customHeight="1" x14ac:dyDescent="0.3">
      <c r="A1667" s="576"/>
      <c r="B1667" s="140"/>
      <c r="C1667" s="140"/>
      <c r="D1667" s="1313"/>
      <c r="E1667" s="1308">
        <f>'Verification Report'!O1667</f>
        <v>0</v>
      </c>
      <c r="F1667"/>
    </row>
    <row r="1668" spans="1:6" ht="15.75" hidden="1" customHeight="1" x14ac:dyDescent="0.3">
      <c r="A1668" s="576"/>
      <c r="B1668" s="140"/>
      <c r="C1668" s="140"/>
      <c r="D1668" s="1313"/>
      <c r="E1668" s="1308">
        <f>'Verification Report'!O1668</f>
        <v>0</v>
      </c>
      <c r="F1668"/>
    </row>
    <row r="1669" spans="1:6" ht="15.75" hidden="1" customHeight="1" x14ac:dyDescent="0.3">
      <c r="A1669" s="576"/>
      <c r="B1669" s="140"/>
      <c r="C1669" s="140"/>
      <c r="D1669" s="1313"/>
      <c r="E1669" s="1308">
        <f>'Verification Report'!O1669</f>
        <v>0</v>
      </c>
      <c r="F1669"/>
    </row>
    <row r="1670" spans="1:6" ht="16.5" hidden="1" customHeight="1" thickBot="1" x14ac:dyDescent="0.35">
      <c r="A1670" s="577"/>
      <c r="B1670" s="270"/>
      <c r="C1670" s="270"/>
      <c r="D1670" s="1332"/>
      <c r="E1670" s="1315">
        <f>'Verification Report'!O1670</f>
        <v>0</v>
      </c>
      <c r="F1670"/>
    </row>
    <row r="1671" spans="1:6" ht="15.75" hidden="1" customHeight="1" thickTop="1" x14ac:dyDescent="0.3">
      <c r="A1671" s="200">
        <v>901.9</v>
      </c>
      <c r="B1671" s="201"/>
      <c r="C1671" s="201"/>
      <c r="D1671" s="1331" t="s">
        <v>3410</v>
      </c>
      <c r="E1671" s="1126"/>
      <c r="F1671"/>
    </row>
    <row r="1672" spans="1:6" ht="15.75" hidden="1" customHeight="1" x14ac:dyDescent="0.3">
      <c r="A1672" s="576"/>
      <c r="B1672" s="140"/>
      <c r="C1672" s="140"/>
      <c r="D1672" s="1313"/>
      <c r="E1672" s="1117"/>
      <c r="F1672"/>
    </row>
    <row r="1673" spans="1:6" ht="15.75" hidden="1" customHeight="1" x14ac:dyDescent="0.3">
      <c r="A1673" s="576"/>
      <c r="B1673" s="140"/>
      <c r="C1673" s="140"/>
      <c r="D1673" s="1313"/>
      <c r="E1673" s="1117"/>
      <c r="F1673"/>
    </row>
    <row r="1674" spans="1:6" ht="15" hidden="1" customHeight="1" x14ac:dyDescent="0.3">
      <c r="A1674" s="66" t="s">
        <v>3411</v>
      </c>
      <c r="B1674" s="4"/>
      <c r="C1674" s="4"/>
      <c r="D1674" s="1292" t="s">
        <v>3412</v>
      </c>
      <c r="E1674" s="1310">
        <f>'Verification Report'!O1674</f>
        <v>0</v>
      </c>
      <c r="F1674"/>
    </row>
    <row r="1675" spans="1:6" ht="15" hidden="1" thickTop="1" x14ac:dyDescent="0.3">
      <c r="A1675" s="182"/>
      <c r="B1675" s="4"/>
      <c r="C1675" s="4"/>
      <c r="D1675" s="1292"/>
      <c r="E1675" s="1310">
        <f>'Verification Report'!O1675</f>
        <v>0</v>
      </c>
      <c r="F1675"/>
    </row>
    <row r="1676" spans="1:6" ht="15" hidden="1" customHeight="1" x14ac:dyDescent="0.3">
      <c r="A1676" s="182"/>
      <c r="B1676" s="203" t="s">
        <v>271</v>
      </c>
      <c r="C1676" s="140"/>
      <c r="D1676" s="1305" t="s">
        <v>3413</v>
      </c>
      <c r="E1676" s="1119"/>
      <c r="F1676"/>
    </row>
    <row r="1677" spans="1:6" ht="15.75" hidden="1" customHeight="1" x14ac:dyDescent="0.3">
      <c r="A1677" s="182"/>
      <c r="B1677" s="238"/>
      <c r="C1677" s="238"/>
      <c r="D1677" s="1306"/>
      <c r="E1677" s="1119"/>
      <c r="F1677"/>
    </row>
    <row r="1678" spans="1:6" ht="15" hidden="1" thickTop="1" x14ac:dyDescent="0.3">
      <c r="A1678" s="182"/>
      <c r="B1678" s="231" t="s">
        <v>273</v>
      </c>
      <c r="C1678" s="238"/>
      <c r="D1678" s="1113" t="s">
        <v>3414</v>
      </c>
      <c r="E1678" s="1119"/>
      <c r="F1678"/>
    </row>
    <row r="1679" spans="1:6" ht="15.75" hidden="1" customHeight="1" x14ac:dyDescent="0.3">
      <c r="A1679" s="576"/>
      <c r="B1679" s="203" t="s">
        <v>275</v>
      </c>
      <c r="C1679" s="140"/>
      <c r="D1679" s="1112" t="s">
        <v>3415</v>
      </c>
      <c r="E1679" s="1117"/>
      <c r="F1679"/>
    </row>
    <row r="1680" spans="1:6" ht="15.75" hidden="1" customHeight="1" x14ac:dyDescent="0.3">
      <c r="A1680" s="196"/>
      <c r="B1680" s="196"/>
      <c r="C1680" s="196"/>
      <c r="D1680" s="422" t="s">
        <v>3931</v>
      </c>
      <c r="E1680" s="238"/>
      <c r="F1680"/>
    </row>
    <row r="1681" spans="1:6" ht="15" hidden="1" customHeight="1" x14ac:dyDescent="0.3">
      <c r="A1681" s="215" t="s">
        <v>3416</v>
      </c>
      <c r="B1681" s="216"/>
      <c r="C1681" s="216"/>
      <c r="D1681" s="1364" t="s">
        <v>3417</v>
      </c>
      <c r="E1681" s="1324">
        <f>'Verification Report'!O1681</f>
        <v>0</v>
      </c>
      <c r="F1681"/>
    </row>
    <row r="1682" spans="1:6" ht="15.75" hidden="1" customHeight="1" x14ac:dyDescent="0.3">
      <c r="A1682" s="576"/>
      <c r="B1682" s="140"/>
      <c r="C1682" s="140"/>
      <c r="D1682" s="1313"/>
      <c r="E1682" s="1308">
        <f>'Verification Report'!O1682</f>
        <v>0</v>
      </c>
      <c r="F1682"/>
    </row>
    <row r="1683" spans="1:6" ht="15" hidden="1" customHeight="1" x14ac:dyDescent="0.3">
      <c r="A1683" s="576"/>
      <c r="B1683" s="140"/>
      <c r="C1683" s="140"/>
      <c r="D1683" s="1434" t="s">
        <v>3418</v>
      </c>
      <c r="E1683" s="1308">
        <f>'Verification Report'!O1683</f>
        <v>0</v>
      </c>
      <c r="F1683"/>
    </row>
    <row r="1684" spans="1:6" ht="15.75" hidden="1" customHeight="1" x14ac:dyDescent="0.3">
      <c r="A1684" s="576"/>
      <c r="B1684" s="140"/>
      <c r="C1684" s="140"/>
      <c r="D1684" s="1434"/>
      <c r="E1684" s="1308">
        <f>'Verification Report'!O1684</f>
        <v>0</v>
      </c>
      <c r="F1684"/>
    </row>
    <row r="1685" spans="1:6" ht="15.75" hidden="1" customHeight="1" x14ac:dyDescent="0.3">
      <c r="A1685" s="620"/>
      <c r="B1685" s="238"/>
      <c r="C1685" s="238"/>
      <c r="D1685" s="422" t="s">
        <v>4026</v>
      </c>
      <c r="E1685" s="1118"/>
      <c r="F1685"/>
    </row>
    <row r="1686" spans="1:6" ht="15" hidden="1" customHeight="1" x14ac:dyDescent="0.3">
      <c r="A1686" s="141" t="s">
        <v>3419</v>
      </c>
      <c r="B1686" s="140"/>
      <c r="C1686" s="140"/>
      <c r="D1686" s="1313" t="s">
        <v>3420</v>
      </c>
      <c r="E1686" s="1308">
        <f>'Verification Report'!O1686</f>
        <v>0</v>
      </c>
      <c r="F1686"/>
    </row>
    <row r="1687" spans="1:6" ht="15.75" hidden="1" customHeight="1" x14ac:dyDescent="0.3">
      <c r="A1687" s="576"/>
      <c r="B1687" s="140"/>
      <c r="C1687" s="140"/>
      <c r="D1687" s="1313"/>
      <c r="E1687" s="1308">
        <f>'Verification Report'!O1687</f>
        <v>0</v>
      </c>
      <c r="F1687"/>
    </row>
    <row r="1688" spans="1:6" ht="15.75" hidden="1" customHeight="1" x14ac:dyDescent="0.3">
      <c r="A1688" s="576"/>
      <c r="B1688" s="140"/>
      <c r="C1688" s="140"/>
      <c r="D1688" s="1313"/>
      <c r="E1688" s="1308">
        <f>'Verification Report'!O1688</f>
        <v>0</v>
      </c>
      <c r="F1688"/>
    </row>
    <row r="1689" spans="1:6" ht="15.75" hidden="1" customHeight="1" x14ac:dyDescent="0.3">
      <c r="A1689" s="576"/>
      <c r="B1689" s="140"/>
      <c r="C1689" s="140"/>
      <c r="D1689" s="1313"/>
      <c r="E1689" s="1308">
        <f>'Verification Report'!O1689</f>
        <v>0</v>
      </c>
      <c r="F1689"/>
    </row>
    <row r="1690" spans="1:6" ht="15.75" hidden="1" customHeight="1" x14ac:dyDescent="0.3">
      <c r="A1690" s="576"/>
      <c r="B1690" s="140"/>
      <c r="C1690" s="140"/>
      <c r="D1690" s="1313"/>
      <c r="E1690" s="1308">
        <f>'Verification Report'!O1690</f>
        <v>0</v>
      </c>
      <c r="F1690"/>
    </row>
    <row r="1691" spans="1:6" ht="16.5" hidden="1" customHeight="1" thickBot="1" x14ac:dyDescent="0.35">
      <c r="A1691" s="577"/>
      <c r="B1691" s="270"/>
      <c r="C1691" s="270"/>
      <c r="D1691" s="1332"/>
      <c r="E1691" s="1315">
        <f>'Verification Report'!O1691</f>
        <v>0</v>
      </c>
      <c r="F1691"/>
    </row>
    <row r="1692" spans="1:6" ht="15.75" hidden="1" customHeight="1" thickTop="1" x14ac:dyDescent="0.3">
      <c r="A1692" s="252">
        <v>901.1</v>
      </c>
      <c r="B1692" s="4"/>
      <c r="C1692" s="4"/>
      <c r="D1692" s="1292" t="s">
        <v>3421</v>
      </c>
      <c r="E1692" s="1310">
        <f>'Verification Report'!O1692</f>
        <v>0</v>
      </c>
      <c r="F1692"/>
    </row>
    <row r="1693" spans="1:6" ht="15" hidden="1" thickTop="1" x14ac:dyDescent="0.3">
      <c r="A1693" s="182"/>
      <c r="B1693" s="4"/>
      <c r="C1693" s="4"/>
      <c r="D1693" s="1292"/>
      <c r="E1693" s="1310">
        <f>'Verification Report'!O1693</f>
        <v>0</v>
      </c>
      <c r="F1693"/>
    </row>
    <row r="1694" spans="1:6" ht="15" hidden="1" thickTop="1" x14ac:dyDescent="0.3">
      <c r="A1694" s="182"/>
      <c r="B1694" s="4"/>
      <c r="C1694" s="4"/>
      <c r="D1694" s="1292"/>
      <c r="E1694" s="1310">
        <f>'Verification Report'!O1694</f>
        <v>0</v>
      </c>
      <c r="F1694"/>
    </row>
    <row r="1695" spans="1:6" ht="15" hidden="1" customHeight="1" x14ac:dyDescent="0.3">
      <c r="A1695" s="182"/>
      <c r="B1695" s="203" t="s">
        <v>271</v>
      </c>
      <c r="C1695" s="140"/>
      <c r="D1695" s="1305" t="s">
        <v>3422</v>
      </c>
      <c r="E1695" s="1119"/>
      <c r="F1695"/>
    </row>
    <row r="1696" spans="1:6" ht="15.75" hidden="1" customHeight="1" x14ac:dyDescent="0.3">
      <c r="A1696" s="182"/>
      <c r="B1696" s="140"/>
      <c r="C1696" s="140"/>
      <c r="D1696" s="1305"/>
      <c r="E1696" s="1119"/>
      <c r="F1696"/>
    </row>
    <row r="1697" spans="1:6" ht="15.75" hidden="1" customHeight="1" x14ac:dyDescent="0.3">
      <c r="A1697" s="182"/>
      <c r="B1697" s="140"/>
      <c r="C1697" s="140"/>
      <c r="D1697" s="1305"/>
      <c r="E1697" s="1119"/>
      <c r="F1697"/>
    </row>
    <row r="1698" spans="1:6" ht="15.75" hidden="1" customHeight="1" x14ac:dyDescent="0.3">
      <c r="A1698" s="182"/>
      <c r="B1698" s="140"/>
      <c r="C1698" s="140"/>
      <c r="D1698" s="1305"/>
      <c r="E1698" s="1119"/>
      <c r="F1698"/>
    </row>
    <row r="1699" spans="1:6" ht="15.75" hidden="1" customHeight="1" x14ac:dyDescent="0.3">
      <c r="A1699" s="182"/>
      <c r="B1699" s="238"/>
      <c r="C1699" s="238"/>
      <c r="D1699" s="1306"/>
      <c r="E1699" s="1119"/>
      <c r="F1699"/>
    </row>
    <row r="1700" spans="1:6" ht="15" hidden="1" thickTop="1" x14ac:dyDescent="0.3">
      <c r="A1700" s="182"/>
      <c r="B1700" s="231" t="s">
        <v>273</v>
      </c>
      <c r="C1700" s="238"/>
      <c r="D1700" s="1113" t="s">
        <v>3423</v>
      </c>
      <c r="E1700" s="1119"/>
      <c r="F1700"/>
    </row>
    <row r="1701" spans="1:6" ht="15" hidden="1" customHeight="1" x14ac:dyDescent="0.3">
      <c r="A1701" s="576"/>
      <c r="B1701" s="203" t="s">
        <v>275</v>
      </c>
      <c r="C1701" s="140"/>
      <c r="D1701" s="1305" t="s">
        <v>3424</v>
      </c>
      <c r="E1701" s="1117"/>
      <c r="F1701"/>
    </row>
    <row r="1702" spans="1:6" ht="15.75" hidden="1" customHeight="1" x14ac:dyDescent="0.3">
      <c r="A1702" s="576"/>
      <c r="B1702" s="140"/>
      <c r="C1702" s="140"/>
      <c r="D1702" s="1305"/>
      <c r="E1702" s="1117"/>
      <c r="F1702"/>
    </row>
    <row r="1703" spans="1:6" ht="15.75" hidden="1" customHeight="1" x14ac:dyDescent="0.3">
      <c r="A1703" s="576"/>
      <c r="B1703" s="140"/>
      <c r="C1703" s="140"/>
      <c r="D1703" s="1305"/>
      <c r="E1703" s="1117"/>
      <c r="F1703"/>
    </row>
    <row r="1704" spans="1:6" ht="16.5" hidden="1" customHeight="1" thickBot="1" x14ac:dyDescent="0.35">
      <c r="A1704" s="577"/>
      <c r="B1704" s="270"/>
      <c r="C1704" s="270"/>
      <c r="D1704" s="422" t="s">
        <v>4027</v>
      </c>
      <c r="E1704" s="1120"/>
      <c r="F1704"/>
    </row>
    <row r="1705" spans="1:6" ht="15.75" hidden="1" customHeight="1" thickTop="1" x14ac:dyDescent="0.3">
      <c r="A1705" s="200">
        <v>901.11</v>
      </c>
      <c r="B1705" s="201"/>
      <c r="C1705" s="201"/>
      <c r="D1705" s="1331" t="s">
        <v>3425</v>
      </c>
      <c r="E1705" s="1336">
        <f>'Verification Report'!O1705</f>
        <v>0</v>
      </c>
      <c r="F1705"/>
    </row>
    <row r="1706" spans="1:6" ht="15.75" hidden="1" customHeight="1" x14ac:dyDescent="0.3">
      <c r="A1706" s="576"/>
      <c r="B1706" s="140"/>
      <c r="C1706" s="140"/>
      <c r="D1706" s="1313"/>
      <c r="E1706" s="1308">
        <f>'Verification Report'!O1706</f>
        <v>0</v>
      </c>
      <c r="F1706"/>
    </row>
    <row r="1707" spans="1:6" ht="15.75" hidden="1" customHeight="1" x14ac:dyDescent="0.3">
      <c r="A1707" s="576"/>
      <c r="B1707" s="140"/>
      <c r="C1707" s="140"/>
      <c r="D1707" s="1313"/>
      <c r="E1707" s="1308">
        <f>'Verification Report'!O1707</f>
        <v>0</v>
      </c>
      <c r="F1707"/>
    </row>
    <row r="1708" spans="1:6" ht="15.75" hidden="1" customHeight="1" x14ac:dyDescent="0.3">
      <c r="A1708" s="576"/>
      <c r="B1708" s="140"/>
      <c r="C1708" s="140"/>
      <c r="D1708" s="1313"/>
      <c r="E1708" s="1308">
        <f>'Verification Report'!O1708</f>
        <v>0</v>
      </c>
      <c r="F1708"/>
    </row>
    <row r="1709" spans="1:6" ht="16.5" hidden="1" customHeight="1" thickBot="1" x14ac:dyDescent="0.35">
      <c r="A1709" s="577"/>
      <c r="B1709" s="270"/>
      <c r="C1709" s="270"/>
      <c r="D1709" s="1332"/>
      <c r="E1709" s="1315">
        <f>'Verification Report'!O1709</f>
        <v>0</v>
      </c>
      <c r="F1709"/>
    </row>
    <row r="1710" spans="1:6" ht="15.75" hidden="1" customHeight="1" thickTop="1" x14ac:dyDescent="0.3">
      <c r="A1710" s="200">
        <v>901.12</v>
      </c>
      <c r="B1710" s="201"/>
      <c r="C1710" s="201"/>
      <c r="D1710" s="1331" t="s">
        <v>3426</v>
      </c>
      <c r="E1710" s="1126"/>
      <c r="F1710"/>
    </row>
    <row r="1711" spans="1:6" ht="16.5" hidden="1" customHeight="1" thickBot="1" x14ac:dyDescent="0.35">
      <c r="A1711" s="577"/>
      <c r="B1711" s="270"/>
      <c r="C1711" s="270"/>
      <c r="D1711" s="1332"/>
      <c r="E1711" s="1120"/>
      <c r="F1711"/>
    </row>
    <row r="1712" spans="1:6" ht="15.75" hidden="1" customHeight="1" thickTop="1" x14ac:dyDescent="0.3">
      <c r="A1712" s="200">
        <v>901.13</v>
      </c>
      <c r="B1712" s="201"/>
      <c r="C1712" s="201"/>
      <c r="D1712" s="1331" t="s">
        <v>3427</v>
      </c>
      <c r="E1712" s="1336">
        <f ca="1">'Verification Report'!O1712</f>
        <v>0</v>
      </c>
      <c r="F1712"/>
    </row>
    <row r="1713" spans="1:6" ht="15.75" hidden="1" customHeight="1" x14ac:dyDescent="0.3">
      <c r="A1713" s="576"/>
      <c r="B1713" s="140"/>
      <c r="C1713" s="140"/>
      <c r="D1713" s="1313"/>
      <c r="E1713" s="1308">
        <f>'Verification Report'!O1713</f>
        <v>0</v>
      </c>
      <c r="F1713"/>
    </row>
    <row r="1714" spans="1:6" ht="26.25" hidden="1" customHeight="1" x14ac:dyDescent="0.3">
      <c r="A1714" s="576"/>
      <c r="B1714" s="231" t="s">
        <v>271</v>
      </c>
      <c r="C1714" s="238"/>
      <c r="D1714" s="1113" t="s">
        <v>3428</v>
      </c>
      <c r="E1714" s="1117"/>
      <c r="F1714"/>
    </row>
    <row r="1715" spans="1:6" ht="27" hidden="1" customHeight="1" thickBot="1" x14ac:dyDescent="0.35">
      <c r="A1715" s="577"/>
      <c r="B1715" s="213" t="s">
        <v>273</v>
      </c>
      <c r="C1715" s="270"/>
      <c r="D1715" s="1127" t="s">
        <v>3429</v>
      </c>
      <c r="E1715" s="1120"/>
      <c r="F1715"/>
    </row>
    <row r="1716" spans="1:6" ht="15.75" hidden="1" customHeight="1" thickTop="1" x14ac:dyDescent="0.3">
      <c r="A1716" s="66">
        <v>901.14</v>
      </c>
      <c r="B1716" s="4"/>
      <c r="C1716" s="4"/>
      <c r="D1716" s="1292" t="s">
        <v>3430</v>
      </c>
      <c r="E1716" s="1119"/>
      <c r="F1716"/>
    </row>
    <row r="1717" spans="1:6" ht="15" hidden="1" thickTop="1" x14ac:dyDescent="0.3">
      <c r="A1717" s="182"/>
      <c r="B1717" s="4"/>
      <c r="C1717" s="4"/>
      <c r="D1717" s="1292"/>
      <c r="E1717" s="1119"/>
      <c r="F1717"/>
    </row>
    <row r="1718" spans="1:6" ht="15" hidden="1" customHeight="1" x14ac:dyDescent="0.3">
      <c r="A1718" s="182"/>
      <c r="B1718" s="203" t="s">
        <v>271</v>
      </c>
      <c r="C1718" s="140"/>
      <c r="D1718" s="1305" t="s">
        <v>3431</v>
      </c>
      <c r="E1718" s="1308">
        <f ca="1">'Verification Report'!O1718</f>
        <v>0</v>
      </c>
      <c r="F1718"/>
    </row>
    <row r="1719" spans="1:6" ht="15.75" hidden="1" customHeight="1" x14ac:dyDescent="0.3">
      <c r="A1719" s="182"/>
      <c r="B1719" s="238"/>
      <c r="C1719" s="238"/>
      <c r="D1719" s="1306"/>
      <c r="E1719" s="1309">
        <f>'Verification Report'!O1719</f>
        <v>0</v>
      </c>
      <c r="F1719"/>
    </row>
    <row r="1720" spans="1:6" ht="15" hidden="1" customHeight="1" x14ac:dyDescent="0.3">
      <c r="A1720" s="182"/>
      <c r="B1720" s="27" t="s">
        <v>273</v>
      </c>
      <c r="C1720" s="4"/>
      <c r="D1720" s="1329" t="s">
        <v>3432</v>
      </c>
      <c r="E1720" s="1310">
        <f ca="1">'Verification Report'!O1720</f>
        <v>0</v>
      </c>
      <c r="F1720"/>
    </row>
    <row r="1721" spans="1:6" ht="15.75" hidden="1" customHeight="1" x14ac:dyDescent="0.3">
      <c r="A1721" s="182"/>
      <c r="B1721" s="4"/>
      <c r="C1721" s="4"/>
      <c r="D1721" s="1329"/>
      <c r="E1721" s="1310">
        <f>'Verification Report'!O1721</f>
        <v>0</v>
      </c>
      <c r="F1721"/>
    </row>
    <row r="1722" spans="1:6" ht="18.600000000000001" hidden="1" thickTop="1" x14ac:dyDescent="0.35">
      <c r="A1722" s="14" t="s">
        <v>3433</v>
      </c>
      <c r="B1722" s="23"/>
      <c r="C1722" s="23"/>
      <c r="D1722" s="87"/>
      <c r="E1722" s="594"/>
      <c r="F1722"/>
    </row>
    <row r="1723" spans="1:6" ht="15.6" hidden="1" thickTop="1" thickBot="1" x14ac:dyDescent="0.35">
      <c r="A1723" s="574">
        <v>902</v>
      </c>
      <c r="B1723" s="270"/>
      <c r="C1723" s="270"/>
      <c r="D1723" s="1147" t="s">
        <v>3434</v>
      </c>
      <c r="E1723" s="1120"/>
      <c r="F1723"/>
    </row>
    <row r="1724" spans="1:6" ht="15" hidden="1" thickTop="1" x14ac:dyDescent="0.3">
      <c r="A1724" s="66">
        <v>902.1</v>
      </c>
      <c r="B1724" s="4"/>
      <c r="C1724" s="4"/>
      <c r="D1724" s="1135" t="s">
        <v>3435</v>
      </c>
      <c r="E1724" s="1119"/>
      <c r="F1724"/>
    </row>
    <row r="1725" spans="1:6" ht="15" hidden="1" thickTop="1" x14ac:dyDescent="0.3">
      <c r="A1725" s="66" t="s">
        <v>4076</v>
      </c>
      <c r="B1725" s="4"/>
      <c r="C1725" s="4"/>
      <c r="D1725" s="1135" t="s">
        <v>4077</v>
      </c>
      <c r="E1725" s="1119"/>
      <c r="F1725"/>
    </row>
    <row r="1726" spans="1:6" ht="15" hidden="1" customHeight="1" x14ac:dyDescent="0.3">
      <c r="A1726" s="182"/>
      <c r="B1726" s="27" t="s">
        <v>271</v>
      </c>
      <c r="C1726" s="4"/>
      <c r="D1726" s="1329" t="s">
        <v>3436</v>
      </c>
      <c r="E1726" s="1119"/>
      <c r="F1726"/>
    </row>
    <row r="1727" spans="1:6" ht="15.75" hidden="1" customHeight="1" x14ac:dyDescent="0.3">
      <c r="A1727" s="182"/>
      <c r="B1727" s="4"/>
      <c r="C1727" s="4"/>
      <c r="D1727" s="1329"/>
      <c r="E1727" s="1119"/>
      <c r="F1727"/>
    </row>
    <row r="1728" spans="1:6" ht="15" hidden="1" customHeight="1" x14ac:dyDescent="0.3">
      <c r="A1728" s="182"/>
      <c r="B1728" s="203"/>
      <c r="C1728" s="203" t="s">
        <v>121</v>
      </c>
      <c r="D1728" s="1305" t="s">
        <v>3918</v>
      </c>
      <c r="E1728" s="1308">
        <f>'Verification Report'!O1728</f>
        <v>0</v>
      </c>
      <c r="F1728"/>
    </row>
    <row r="1729" spans="1:6" ht="15.75" hidden="1" customHeight="1" x14ac:dyDescent="0.3">
      <c r="A1729" s="182"/>
      <c r="B1729" s="231"/>
      <c r="C1729" s="238"/>
      <c r="D1729" s="1306"/>
      <c r="E1729" s="1309">
        <f>'Verification Report'!O1729</f>
        <v>0</v>
      </c>
      <c r="F1729"/>
    </row>
    <row r="1730" spans="1:6" ht="15" hidden="1" customHeight="1" x14ac:dyDescent="0.3">
      <c r="A1730" s="182"/>
      <c r="B1730" s="203" t="s">
        <v>273</v>
      </c>
      <c r="C1730" s="140"/>
      <c r="D1730" s="1305" t="s">
        <v>3437</v>
      </c>
      <c r="E1730" s="1119"/>
      <c r="F1730"/>
    </row>
    <row r="1731" spans="1:6" ht="15.75" hidden="1" customHeight="1" x14ac:dyDescent="0.3">
      <c r="A1731" s="182"/>
      <c r="B1731" s="231"/>
      <c r="C1731" s="238"/>
      <c r="D1731" s="1306"/>
      <c r="E1731" s="1118"/>
      <c r="F1731"/>
    </row>
    <row r="1732" spans="1:6" ht="15" hidden="1" customHeight="1" x14ac:dyDescent="0.3">
      <c r="A1732" s="576"/>
      <c r="B1732" s="203" t="s">
        <v>275</v>
      </c>
      <c r="C1732" s="140"/>
      <c r="D1732" s="1305" t="s">
        <v>3438</v>
      </c>
      <c r="E1732" s="1308">
        <f>'Verification Report'!O1732</f>
        <v>0</v>
      </c>
      <c r="F1732"/>
    </row>
    <row r="1733" spans="1:6" ht="15.75" hidden="1" customHeight="1" x14ac:dyDescent="0.3">
      <c r="A1733" s="576"/>
      <c r="B1733" s="203"/>
      <c r="C1733" s="140"/>
      <c r="D1733" s="1305"/>
      <c r="E1733" s="1308">
        <f>'Verification Report'!O1733</f>
        <v>0</v>
      </c>
      <c r="F1733"/>
    </row>
    <row r="1734" spans="1:6" ht="15.75" hidden="1" customHeight="1" x14ac:dyDescent="0.3">
      <c r="A1734" s="620"/>
      <c r="B1734" s="238"/>
      <c r="C1734" s="238"/>
      <c r="D1734" s="1306"/>
      <c r="E1734" s="1309">
        <f>'Verification Report'!O1734</f>
        <v>0</v>
      </c>
      <c r="F1734"/>
    </row>
    <row r="1735" spans="1:6" ht="15" hidden="1" customHeight="1" x14ac:dyDescent="0.3">
      <c r="A1735" s="215" t="s">
        <v>3439</v>
      </c>
      <c r="B1735" s="216"/>
      <c r="C1735" s="216"/>
      <c r="D1735" s="1364" t="s">
        <v>3440</v>
      </c>
      <c r="E1735" s="1324">
        <f>'Verification Report'!O1735</f>
        <v>0</v>
      </c>
      <c r="F1735"/>
    </row>
    <row r="1736" spans="1:6" ht="15.75" hidden="1" customHeight="1" x14ac:dyDescent="0.3">
      <c r="A1736" s="576"/>
      <c r="B1736" s="140"/>
      <c r="C1736" s="140"/>
      <c r="D1736" s="1313"/>
      <c r="E1736" s="1308">
        <f>'Verification Report'!O1736</f>
        <v>0</v>
      </c>
      <c r="F1736"/>
    </row>
    <row r="1737" spans="1:6" ht="15.75" hidden="1" customHeight="1" x14ac:dyDescent="0.3">
      <c r="A1737" s="576"/>
      <c r="B1737" s="231" t="s">
        <v>271</v>
      </c>
      <c r="C1737" s="238"/>
      <c r="D1737" s="1113" t="s">
        <v>3442</v>
      </c>
      <c r="E1737" s="1117"/>
      <c r="F1737"/>
    </row>
    <row r="1738" spans="1:6" ht="15.75" hidden="1" customHeight="1" x14ac:dyDescent="0.3">
      <c r="A1738" s="620"/>
      <c r="B1738" s="231" t="s">
        <v>273</v>
      </c>
      <c r="C1738" s="238"/>
      <c r="D1738" s="1113" t="s">
        <v>3443</v>
      </c>
      <c r="E1738" s="1118"/>
      <c r="F1738"/>
    </row>
    <row r="1739" spans="1:6" ht="15" hidden="1" customHeight="1" x14ac:dyDescent="0.3">
      <c r="A1739" s="215" t="s">
        <v>3444</v>
      </c>
      <c r="B1739" s="216"/>
      <c r="C1739" s="216"/>
      <c r="D1739" s="1364" t="s">
        <v>3445</v>
      </c>
      <c r="E1739" s="1324">
        <f>'Verification Report'!O1739</f>
        <v>0</v>
      </c>
      <c r="F1739"/>
    </row>
    <row r="1740" spans="1:6" ht="15.75" hidden="1" customHeight="1" x14ac:dyDescent="0.3">
      <c r="A1740" s="576"/>
      <c r="B1740" s="140"/>
      <c r="C1740" s="140"/>
      <c r="D1740" s="1313"/>
      <c r="E1740" s="1308">
        <f>'Verification Report'!O1740</f>
        <v>0</v>
      </c>
      <c r="F1740"/>
    </row>
    <row r="1741" spans="1:6" ht="15.75" hidden="1" customHeight="1" x14ac:dyDescent="0.3">
      <c r="A1741" s="576"/>
      <c r="B1741" s="140"/>
      <c r="C1741" s="203" t="s">
        <v>121</v>
      </c>
      <c r="D1741" s="1112" t="s">
        <v>3446</v>
      </c>
      <c r="E1741" s="1117"/>
      <c r="F1741"/>
    </row>
    <row r="1742" spans="1:6" ht="26.25" hidden="1" customHeight="1" x14ac:dyDescent="0.3">
      <c r="A1742" s="620"/>
      <c r="B1742" s="238"/>
      <c r="C1742" s="231" t="s">
        <v>122</v>
      </c>
      <c r="D1742" s="1113" t="s">
        <v>3447</v>
      </c>
      <c r="E1742" s="1118"/>
      <c r="F1742"/>
    </row>
    <row r="1743" spans="1:6" ht="15.75" hidden="1" customHeight="1" x14ac:dyDescent="0.3">
      <c r="A1743" s="215" t="s">
        <v>3448</v>
      </c>
      <c r="B1743" s="216"/>
      <c r="C1743" s="216"/>
      <c r="D1743" s="1140" t="s">
        <v>3449</v>
      </c>
      <c r="E1743" s="1122">
        <f>'Verification Report'!O1743</f>
        <v>0</v>
      </c>
      <c r="F1743"/>
    </row>
    <row r="1744" spans="1:6" ht="15.75" hidden="1" customHeight="1" x14ac:dyDescent="0.3">
      <c r="A1744" s="576"/>
      <c r="B1744" s="203" t="s">
        <v>271</v>
      </c>
      <c r="C1744" s="140"/>
      <c r="D1744" s="1112" t="s">
        <v>3921</v>
      </c>
      <c r="E1744" s="1117"/>
      <c r="F1744"/>
    </row>
    <row r="1745" spans="1:6" ht="15.75" hidden="1" customHeight="1" x14ac:dyDescent="0.3">
      <c r="A1745" s="576"/>
      <c r="B1745" s="231"/>
      <c r="C1745" s="238"/>
      <c r="D1745" s="1145" t="s">
        <v>3450</v>
      </c>
      <c r="E1745" s="1117"/>
      <c r="F1745"/>
    </row>
    <row r="1746" spans="1:6" ht="15.75" hidden="1" customHeight="1" x14ac:dyDescent="0.3">
      <c r="A1746" s="576"/>
      <c r="B1746" s="203" t="s">
        <v>273</v>
      </c>
      <c r="C1746" s="140"/>
      <c r="D1746" s="1112" t="s">
        <v>3451</v>
      </c>
      <c r="E1746" s="1117"/>
      <c r="F1746"/>
    </row>
    <row r="1747" spans="1:6" ht="15.75" hidden="1" customHeight="1" x14ac:dyDescent="0.3">
      <c r="A1747" s="620"/>
      <c r="B1747" s="238"/>
      <c r="C1747" s="238"/>
      <c r="D1747" s="1145" t="s">
        <v>3450</v>
      </c>
      <c r="E1747" s="1118"/>
      <c r="F1747"/>
    </row>
    <row r="1748" spans="1:6" ht="15" hidden="1" customHeight="1" x14ac:dyDescent="0.3">
      <c r="A1748" s="66" t="s">
        <v>3452</v>
      </c>
      <c r="B1748" s="4"/>
      <c r="C1748" s="4"/>
      <c r="D1748" s="1292" t="s">
        <v>3453</v>
      </c>
      <c r="E1748" s="1310">
        <f>'Verification Report'!O1748</f>
        <v>0</v>
      </c>
      <c r="F1748"/>
    </row>
    <row r="1749" spans="1:6" ht="15" hidden="1" thickTop="1" x14ac:dyDescent="0.3">
      <c r="A1749" s="182"/>
      <c r="B1749" s="4"/>
      <c r="C1749" s="4"/>
      <c r="D1749" s="1292"/>
      <c r="E1749" s="1310">
        <f>'Verification Report'!O1749</f>
        <v>0</v>
      </c>
      <c r="F1749"/>
    </row>
    <row r="1750" spans="1:6" ht="15" hidden="1" customHeight="1" x14ac:dyDescent="0.3">
      <c r="A1750" s="182"/>
      <c r="B1750" s="203" t="s">
        <v>271</v>
      </c>
      <c r="C1750" s="140"/>
      <c r="D1750" s="1305" t="s">
        <v>3454</v>
      </c>
      <c r="E1750" s="1119"/>
      <c r="F1750"/>
    </row>
    <row r="1751" spans="1:6" ht="15.75" hidden="1" customHeight="1" x14ac:dyDescent="0.3">
      <c r="A1751" s="182"/>
      <c r="B1751" s="231"/>
      <c r="C1751" s="238"/>
      <c r="D1751" s="1306"/>
      <c r="E1751" s="1119"/>
      <c r="F1751"/>
    </row>
    <row r="1752" spans="1:6" ht="15" hidden="1" customHeight="1" x14ac:dyDescent="0.3">
      <c r="A1752" s="182"/>
      <c r="B1752" s="203" t="s">
        <v>273</v>
      </c>
      <c r="C1752" s="140"/>
      <c r="D1752" s="1305" t="s">
        <v>3455</v>
      </c>
      <c r="E1752" s="1119"/>
      <c r="F1752"/>
    </row>
    <row r="1753" spans="1:6" ht="15.75" hidden="1" customHeight="1" x14ac:dyDescent="0.3">
      <c r="A1753" s="182"/>
      <c r="B1753" s="238"/>
      <c r="C1753" s="238"/>
      <c r="D1753" s="1306"/>
      <c r="E1753" s="1119"/>
      <c r="F1753"/>
    </row>
    <row r="1754" spans="1:6" ht="15" hidden="1" customHeight="1" x14ac:dyDescent="0.3">
      <c r="A1754" s="576"/>
      <c r="B1754" s="203" t="s">
        <v>275</v>
      </c>
      <c r="C1754" s="140"/>
      <c r="D1754" s="1305" t="s">
        <v>3456</v>
      </c>
      <c r="E1754" s="1117"/>
      <c r="F1754"/>
    </row>
    <row r="1755" spans="1:6" ht="15.75" hidden="1" customHeight="1" x14ac:dyDescent="0.3">
      <c r="A1755" s="576"/>
      <c r="B1755" s="140"/>
      <c r="C1755" s="140"/>
      <c r="D1755" s="1305"/>
      <c r="E1755" s="1117"/>
      <c r="F1755"/>
    </row>
    <row r="1756" spans="1:6" ht="16.5" hidden="1" customHeight="1" thickBot="1" x14ac:dyDescent="0.35">
      <c r="A1756" s="577"/>
      <c r="B1756" s="270"/>
      <c r="C1756" s="270"/>
      <c r="D1756" s="1330"/>
      <c r="E1756" s="1120"/>
      <c r="F1756"/>
    </row>
    <row r="1757" spans="1:6" ht="15" hidden="1" thickTop="1" x14ac:dyDescent="0.3">
      <c r="A1757" s="200">
        <v>902.2</v>
      </c>
      <c r="B1757" s="201"/>
      <c r="C1757" s="201"/>
      <c r="D1757" s="1146" t="s">
        <v>3457</v>
      </c>
      <c r="E1757" s="1126"/>
      <c r="F1757"/>
    </row>
    <row r="1758" spans="1:6" ht="15" hidden="1" customHeight="1" x14ac:dyDescent="0.3">
      <c r="A1758" s="141" t="s">
        <v>3923</v>
      </c>
      <c r="B1758" s="140"/>
      <c r="C1758" s="140"/>
      <c r="D1758" s="1313" t="s">
        <v>4684</v>
      </c>
      <c r="E1758" s="1308">
        <f ca="1">'Verification Report'!O1758</f>
        <v>0</v>
      </c>
      <c r="F1758"/>
    </row>
    <row r="1759" spans="1:6" ht="15.75" hidden="1" customHeight="1" x14ac:dyDescent="0.3">
      <c r="A1759" s="576"/>
      <c r="B1759" s="140"/>
      <c r="C1759" s="140"/>
      <c r="D1759" s="1313"/>
      <c r="E1759" s="1308">
        <f>'Verification Report'!O1759</f>
        <v>0</v>
      </c>
      <c r="F1759"/>
    </row>
    <row r="1760" spans="1:6" ht="15.75" hidden="1" customHeight="1" x14ac:dyDescent="0.3">
      <c r="A1760" s="576"/>
      <c r="B1760" s="140"/>
      <c r="C1760" s="140"/>
      <c r="D1760" s="1313"/>
      <c r="E1760" s="1308">
        <f>'Verification Report'!O1760</f>
        <v>0</v>
      </c>
      <c r="F1760"/>
    </row>
    <row r="1761" spans="1:6" ht="15" hidden="1" customHeight="1" x14ac:dyDescent="0.3">
      <c r="A1761" s="576"/>
      <c r="B1761" s="203" t="s">
        <v>271</v>
      </c>
      <c r="C1761" s="140"/>
      <c r="D1761" s="1293" t="s">
        <v>3458</v>
      </c>
      <c r="E1761" s="1117"/>
      <c r="F1761"/>
    </row>
    <row r="1762" spans="1:6" ht="15.75" hidden="1" customHeight="1" x14ac:dyDescent="0.3">
      <c r="A1762" s="576"/>
      <c r="B1762" s="231"/>
      <c r="C1762" s="238"/>
      <c r="D1762" s="1294"/>
      <c r="E1762" s="1117"/>
      <c r="F1762"/>
    </row>
    <row r="1763" spans="1:6" ht="15" hidden="1" customHeight="1" x14ac:dyDescent="0.3">
      <c r="A1763" s="576"/>
      <c r="B1763" s="203" t="s">
        <v>273</v>
      </c>
      <c r="C1763" s="140"/>
      <c r="D1763" s="1305" t="s">
        <v>3459</v>
      </c>
      <c r="E1763" s="1117"/>
      <c r="F1763"/>
    </row>
    <row r="1764" spans="1:6" ht="15.75" hidden="1" customHeight="1" x14ac:dyDescent="0.3">
      <c r="A1764" s="576"/>
      <c r="B1764" s="238"/>
      <c r="C1764" s="238"/>
      <c r="D1764" s="1306"/>
      <c r="E1764" s="1117"/>
      <c r="F1764"/>
    </row>
    <row r="1765" spans="1:6" ht="15.75" hidden="1" customHeight="1" x14ac:dyDescent="0.3">
      <c r="A1765" s="576"/>
      <c r="B1765" s="231" t="s">
        <v>275</v>
      </c>
      <c r="C1765" s="238"/>
      <c r="D1765" s="1113" t="s">
        <v>3460</v>
      </c>
      <c r="E1765" s="1117"/>
      <c r="F1765"/>
    </row>
    <row r="1766" spans="1:6" ht="15.75" hidden="1" customHeight="1" x14ac:dyDescent="0.3">
      <c r="A1766" s="620"/>
      <c r="B1766" s="231" t="s">
        <v>285</v>
      </c>
      <c r="C1766" s="238"/>
      <c r="D1766" s="1113" t="s">
        <v>3461</v>
      </c>
      <c r="E1766" s="1118"/>
      <c r="F1766"/>
    </row>
    <row r="1767" spans="1:6" ht="15" hidden="1" customHeight="1" x14ac:dyDescent="0.3">
      <c r="A1767" s="215" t="s">
        <v>3462</v>
      </c>
      <c r="B1767" s="216"/>
      <c r="C1767" s="216"/>
      <c r="D1767" s="1364" t="s">
        <v>3463</v>
      </c>
      <c r="E1767" s="1324">
        <f ca="1">'Verification Report'!O1767</f>
        <v>0</v>
      </c>
      <c r="F1767"/>
    </row>
    <row r="1768" spans="1:6" ht="15.75" hidden="1" customHeight="1" x14ac:dyDescent="0.3">
      <c r="A1768" s="620"/>
      <c r="B1768" s="238"/>
      <c r="C1768" s="238"/>
      <c r="D1768" s="1350"/>
      <c r="E1768" s="1309">
        <f>'Verification Report'!O1768</f>
        <v>0</v>
      </c>
      <c r="F1768"/>
    </row>
    <row r="1769" spans="1:6" ht="15" hidden="1" customHeight="1" x14ac:dyDescent="0.3">
      <c r="A1769" s="215" t="s">
        <v>3464</v>
      </c>
      <c r="B1769" s="216"/>
      <c r="C1769" s="216"/>
      <c r="D1769" s="1364" t="s">
        <v>3465</v>
      </c>
      <c r="E1769" s="1324">
        <f>'Verification Report'!O1769</f>
        <v>0</v>
      </c>
      <c r="F1769"/>
    </row>
    <row r="1770" spans="1:6" ht="15.75" hidden="1" customHeight="1" x14ac:dyDescent="0.3">
      <c r="A1770" s="576"/>
      <c r="B1770" s="140"/>
      <c r="C1770" s="140"/>
      <c r="D1770" s="1313"/>
      <c r="E1770" s="1308">
        <f>'Verification Report'!O1770</f>
        <v>0</v>
      </c>
      <c r="F1770"/>
    </row>
    <row r="1771" spans="1:6" ht="15.75" hidden="1" customHeight="1" x14ac:dyDescent="0.3">
      <c r="A1771" s="620"/>
      <c r="B1771" s="238"/>
      <c r="C1771" s="238"/>
      <c r="D1771" s="1350"/>
      <c r="E1771" s="1309">
        <f>'Verification Report'!O1771</f>
        <v>0</v>
      </c>
      <c r="F1771"/>
    </row>
    <row r="1772" spans="1:6" ht="15" hidden="1" customHeight="1" x14ac:dyDescent="0.3">
      <c r="A1772" s="141" t="s">
        <v>3466</v>
      </c>
      <c r="B1772" s="140"/>
      <c r="C1772" s="140"/>
      <c r="D1772" s="1313" t="s">
        <v>3467</v>
      </c>
      <c r="E1772" s="1308">
        <f>'Verification Report'!O1772</f>
        <v>0</v>
      </c>
      <c r="F1772"/>
    </row>
    <row r="1773" spans="1:6" ht="15.75" hidden="1" customHeight="1" x14ac:dyDescent="0.3">
      <c r="A1773" s="576"/>
      <c r="B1773" s="140"/>
      <c r="C1773" s="140"/>
      <c r="D1773" s="1313"/>
      <c r="E1773" s="1308">
        <f>'Verification Report'!O1773</f>
        <v>0</v>
      </c>
      <c r="F1773"/>
    </row>
    <row r="1774" spans="1:6" ht="16.5" hidden="1" customHeight="1" thickBot="1" x14ac:dyDescent="0.35">
      <c r="A1774" s="577"/>
      <c r="B1774" s="270"/>
      <c r="C1774" s="270"/>
      <c r="D1774" s="1332"/>
      <c r="E1774" s="1315">
        <f>'Verification Report'!O1774</f>
        <v>0</v>
      </c>
      <c r="F1774"/>
    </row>
    <row r="1775" spans="1:6" ht="15.75" hidden="1" customHeight="1" thickTop="1" x14ac:dyDescent="0.3">
      <c r="A1775" s="200">
        <v>902.3</v>
      </c>
      <c r="B1775" s="201"/>
      <c r="C1775" s="201"/>
      <c r="D1775" s="1331" t="s">
        <v>3468</v>
      </c>
      <c r="E1775" s="1126"/>
      <c r="F1775"/>
    </row>
    <row r="1776" spans="1:6" ht="15.75" hidden="1" customHeight="1" x14ac:dyDescent="0.3">
      <c r="A1776" s="576"/>
      <c r="B1776" s="140"/>
      <c r="C1776" s="140"/>
      <c r="D1776" s="1313"/>
      <c r="E1776" s="1117"/>
      <c r="F1776"/>
    </row>
    <row r="1777" spans="1:6" ht="15.75" hidden="1" customHeight="1" x14ac:dyDescent="0.3">
      <c r="A1777" s="576"/>
      <c r="B1777" s="203" t="s">
        <v>271</v>
      </c>
      <c r="C1777" s="140"/>
      <c r="D1777" s="1112" t="s">
        <v>3469</v>
      </c>
      <c r="E1777" s="1117">
        <f ca="1">'Verification Report'!O1777</f>
        <v>0</v>
      </c>
      <c r="F1777"/>
    </row>
    <row r="1778" spans="1:6" ht="15.75" hidden="1" customHeight="1" x14ac:dyDescent="0.3">
      <c r="A1778" s="576"/>
      <c r="B1778" s="140"/>
      <c r="C1778" s="203" t="s">
        <v>121</v>
      </c>
      <c r="D1778" s="1112" t="s">
        <v>3470</v>
      </c>
      <c r="E1778" s="1117"/>
      <c r="F1778"/>
    </row>
    <row r="1779" spans="1:6" ht="15.75" hidden="1" customHeight="1" x14ac:dyDescent="0.3">
      <c r="A1779" s="576"/>
      <c r="B1779" s="238"/>
      <c r="C1779" s="231" t="s">
        <v>122</v>
      </c>
      <c r="D1779" s="1113" t="s">
        <v>3471</v>
      </c>
      <c r="E1779" s="1117"/>
      <c r="F1779"/>
    </row>
    <row r="1780" spans="1:6" ht="15.75" hidden="1" customHeight="1" x14ac:dyDescent="0.3">
      <c r="A1780" s="576"/>
      <c r="B1780" s="203" t="s">
        <v>273</v>
      </c>
      <c r="C1780" s="140"/>
      <c r="D1780" s="1112" t="s">
        <v>3472</v>
      </c>
      <c r="E1780" s="1117"/>
      <c r="F1780"/>
    </row>
    <row r="1781" spans="1:6" ht="16.5" hidden="1" customHeight="1" thickBot="1" x14ac:dyDescent="0.35">
      <c r="A1781" s="577"/>
      <c r="B1781" s="270"/>
      <c r="C1781" s="213" t="s">
        <v>121</v>
      </c>
      <c r="D1781" s="1127" t="s">
        <v>3473</v>
      </c>
      <c r="E1781" s="1120">
        <f>'Verification Report'!O1781</f>
        <v>0</v>
      </c>
      <c r="F1781"/>
    </row>
    <row r="1782" spans="1:6" ht="15.75" hidden="1" customHeight="1" thickTop="1" x14ac:dyDescent="0.3">
      <c r="A1782" s="66">
        <v>902.4</v>
      </c>
      <c r="B1782" s="4"/>
      <c r="C1782" s="4"/>
      <c r="D1782" s="1292" t="s">
        <v>3474</v>
      </c>
      <c r="E1782" s="1310">
        <f>'Verification Report'!O1782</f>
        <v>0</v>
      </c>
      <c r="F1782"/>
    </row>
    <row r="1783" spans="1:6" ht="15" hidden="1" thickTop="1" x14ac:dyDescent="0.3">
      <c r="A1783" s="182"/>
      <c r="B1783" s="4"/>
      <c r="C1783" s="4"/>
      <c r="D1783" s="1292"/>
      <c r="E1783" s="1310">
        <f>'Verification Report'!O1783</f>
        <v>0</v>
      </c>
      <c r="F1783"/>
    </row>
    <row r="1784" spans="1:6" ht="15" hidden="1" customHeight="1" x14ac:dyDescent="0.3">
      <c r="A1784" s="182"/>
      <c r="B1784" s="203" t="s">
        <v>271</v>
      </c>
      <c r="C1784" s="140"/>
      <c r="D1784" s="1305" t="s">
        <v>3475</v>
      </c>
      <c r="E1784" s="1119"/>
      <c r="F1784"/>
    </row>
    <row r="1785" spans="1:6" ht="15.75" hidden="1" customHeight="1" x14ac:dyDescent="0.3">
      <c r="A1785" s="182"/>
      <c r="B1785" s="231"/>
      <c r="C1785" s="238"/>
      <c r="D1785" s="1306"/>
      <c r="E1785" s="1119"/>
      <c r="F1785"/>
    </row>
    <row r="1786" spans="1:6" ht="15" hidden="1" customHeight="1" x14ac:dyDescent="0.3">
      <c r="A1786" s="576"/>
      <c r="B1786" s="203" t="s">
        <v>273</v>
      </c>
      <c r="C1786" s="140"/>
      <c r="D1786" s="1305" t="s">
        <v>3476</v>
      </c>
      <c r="E1786" s="1117"/>
      <c r="F1786"/>
    </row>
    <row r="1787" spans="1:6" ht="15.75" hidden="1" customHeight="1" x14ac:dyDescent="0.3">
      <c r="A1787" s="576"/>
      <c r="B1787" s="140"/>
      <c r="C1787" s="140"/>
      <c r="D1787" s="1305"/>
      <c r="E1787" s="1117"/>
      <c r="F1787"/>
    </row>
    <row r="1788" spans="1:6" ht="16.5" hidden="1" customHeight="1" thickBot="1" x14ac:dyDescent="0.35">
      <c r="A1788" s="577"/>
      <c r="B1788" s="270"/>
      <c r="C1788" s="270"/>
      <c r="D1788" s="1330"/>
      <c r="E1788" s="1120"/>
      <c r="F1788"/>
    </row>
    <row r="1789" spans="1:6" ht="15.75" hidden="1" customHeight="1" thickTop="1" x14ac:dyDescent="0.3">
      <c r="A1789" s="200">
        <v>902.5</v>
      </c>
      <c r="B1789" s="201"/>
      <c r="C1789" s="201"/>
      <c r="D1789" s="1427" t="s">
        <v>3477</v>
      </c>
      <c r="E1789" s="1336">
        <f>'Verification Report'!O1789</f>
        <v>0</v>
      </c>
      <c r="F1789"/>
    </row>
    <row r="1790" spans="1:6" ht="16.5" hidden="1" customHeight="1" thickBot="1" x14ac:dyDescent="0.35">
      <c r="A1790" s="212"/>
      <c r="B1790" s="270"/>
      <c r="C1790" s="270"/>
      <c r="D1790" s="1428"/>
      <c r="E1790" s="1315">
        <f>'Verification Report'!O1790</f>
        <v>0</v>
      </c>
      <c r="F1790"/>
    </row>
    <row r="1791" spans="1:6" ht="15.75" hidden="1" customHeight="1" thickTop="1" x14ac:dyDescent="0.3">
      <c r="A1791" s="66">
        <v>902.6</v>
      </c>
      <c r="B1791" s="4"/>
      <c r="C1791" s="4"/>
      <c r="D1791" s="1292" t="s">
        <v>3478</v>
      </c>
      <c r="E1791" s="1119"/>
      <c r="F1791"/>
    </row>
    <row r="1792" spans="1:6" ht="15.75" hidden="1" customHeight="1" x14ac:dyDescent="0.3">
      <c r="A1792" s="182"/>
      <c r="B1792" s="4"/>
      <c r="C1792" s="4"/>
      <c r="D1792" s="1292"/>
      <c r="E1792" s="1119"/>
      <c r="F1792"/>
    </row>
    <row r="1793" spans="1:6" ht="18.600000000000001" hidden="1" thickTop="1" x14ac:dyDescent="0.35">
      <c r="A1793" s="14" t="s">
        <v>3479</v>
      </c>
      <c r="B1793" s="23"/>
      <c r="C1793" s="23"/>
      <c r="D1793" s="87"/>
      <c r="E1793" s="594"/>
      <c r="F1793"/>
    </row>
    <row r="1794" spans="1:6" ht="15.6" hidden="1" thickTop="1" thickBot="1" x14ac:dyDescent="0.35">
      <c r="A1794" s="574">
        <v>903</v>
      </c>
      <c r="B1794" s="270"/>
      <c r="C1794" s="270"/>
      <c r="D1794" s="1147" t="s">
        <v>3480</v>
      </c>
      <c r="E1794" s="1120"/>
      <c r="F1794"/>
    </row>
    <row r="1795" spans="1:6" ht="15.75" hidden="1" customHeight="1" thickTop="1" x14ac:dyDescent="0.3">
      <c r="A1795" s="575">
        <v>903.1</v>
      </c>
      <c r="B1795" s="201"/>
      <c r="C1795" s="201"/>
      <c r="D1795" s="1146" t="s">
        <v>3926</v>
      </c>
      <c r="E1795" s="1126">
        <f ca="1">'Verification Report'!O1795</f>
        <v>0</v>
      </c>
      <c r="F1795"/>
    </row>
    <row r="1796" spans="1:6" ht="15" hidden="1" customHeight="1" x14ac:dyDescent="0.3">
      <c r="A1796" s="576"/>
      <c r="B1796" s="203" t="s">
        <v>271</v>
      </c>
      <c r="C1796" s="140"/>
      <c r="D1796" s="1305" t="s">
        <v>3924</v>
      </c>
      <c r="E1796" s="1117"/>
      <c r="F1796"/>
    </row>
    <row r="1797" spans="1:6" ht="15.75" hidden="1" customHeight="1" x14ac:dyDescent="0.3">
      <c r="A1797" s="576"/>
      <c r="B1797" s="231"/>
      <c r="C1797" s="238"/>
      <c r="D1797" s="1350"/>
      <c r="E1797" s="1117"/>
      <c r="F1797"/>
    </row>
    <row r="1798" spans="1:6" ht="16.5" hidden="1" customHeight="1" thickBot="1" x14ac:dyDescent="0.35">
      <c r="A1798" s="577"/>
      <c r="B1798" s="213" t="s">
        <v>273</v>
      </c>
      <c r="C1798" s="270"/>
      <c r="D1798" s="1127" t="s">
        <v>3925</v>
      </c>
      <c r="E1798" s="1120"/>
      <c r="F1798"/>
    </row>
    <row r="1799" spans="1:6" ht="15.75" hidden="1" customHeight="1" thickTop="1" x14ac:dyDescent="0.3">
      <c r="A1799" s="200">
        <v>903.2</v>
      </c>
      <c r="B1799" s="201"/>
      <c r="C1799" s="201"/>
      <c r="D1799" s="1146" t="s">
        <v>3483</v>
      </c>
      <c r="E1799" s="1126">
        <f ca="1">'Verification Report'!O1799</f>
        <v>0</v>
      </c>
      <c r="F1799"/>
    </row>
    <row r="1800" spans="1:6" ht="15.75" hidden="1" customHeight="1" x14ac:dyDescent="0.3">
      <c r="A1800" s="576"/>
      <c r="B1800" s="231" t="s">
        <v>271</v>
      </c>
      <c r="C1800" s="238"/>
      <c r="D1800" s="1113" t="s">
        <v>3484</v>
      </c>
      <c r="E1800" s="1117"/>
      <c r="F1800"/>
    </row>
    <row r="1801" spans="1:6" ht="15" hidden="1" customHeight="1" x14ac:dyDescent="0.3">
      <c r="A1801" s="576"/>
      <c r="B1801" s="203" t="s">
        <v>273</v>
      </c>
      <c r="C1801" s="140"/>
      <c r="D1801" s="1305" t="s">
        <v>3485</v>
      </c>
      <c r="E1801" s="1117"/>
      <c r="F1801"/>
    </row>
    <row r="1802" spans="1:6" ht="16.5" hidden="1" customHeight="1" thickBot="1" x14ac:dyDescent="0.35">
      <c r="A1802" s="577"/>
      <c r="B1802" s="270"/>
      <c r="C1802" s="270"/>
      <c r="D1802" s="1330"/>
      <c r="E1802" s="1120"/>
      <c r="F1802"/>
    </row>
    <row r="1803" spans="1:6" ht="15.75" hidden="1" customHeight="1" thickTop="1" x14ac:dyDescent="0.3">
      <c r="A1803" s="66">
        <v>903.3</v>
      </c>
      <c r="B1803" s="4"/>
      <c r="C1803" s="4"/>
      <c r="D1803" s="1292" t="s">
        <v>3927</v>
      </c>
      <c r="E1803" s="1310">
        <f>'Verification Report'!O1803</f>
        <v>0</v>
      </c>
      <c r="F1803"/>
    </row>
    <row r="1804" spans="1:6" ht="15.75" hidden="1" customHeight="1" x14ac:dyDescent="0.3">
      <c r="A1804" s="182"/>
      <c r="B1804" s="4"/>
      <c r="C1804" s="4"/>
      <c r="D1804" s="1292"/>
      <c r="E1804" s="1310">
        <f>'Verification Report'!O1804</f>
        <v>0</v>
      </c>
      <c r="F1804"/>
    </row>
    <row r="1805" spans="1:6" ht="15.75" hidden="1" customHeight="1" x14ac:dyDescent="0.3">
      <c r="A1805" s="182"/>
      <c r="B1805" s="231" t="s">
        <v>271</v>
      </c>
      <c r="C1805" s="196"/>
      <c r="D1805" s="1113" t="s">
        <v>3486</v>
      </c>
      <c r="E1805" s="1117"/>
      <c r="F1805"/>
    </row>
    <row r="1806" spans="1:6" ht="15" hidden="1" customHeight="1" x14ac:dyDescent="0.3">
      <c r="A1806" s="182"/>
      <c r="B1806" s="27" t="s">
        <v>273</v>
      </c>
      <c r="C1806" s="1110"/>
      <c r="D1806" s="1367" t="s">
        <v>3487</v>
      </c>
      <c r="E1806" s="1117"/>
      <c r="F1806"/>
    </row>
    <row r="1807" spans="1:6" ht="15.75" hidden="1" customHeight="1" x14ac:dyDescent="0.3">
      <c r="A1807" s="182"/>
      <c r="B1807" s="4"/>
      <c r="C1807" s="27"/>
      <c r="D1807" s="1367"/>
      <c r="E1807" s="1119"/>
      <c r="F1807"/>
    </row>
    <row r="1808" spans="1:6" ht="18.600000000000001" hidden="1" thickTop="1" x14ac:dyDescent="0.35">
      <c r="A1808" s="14" t="s">
        <v>3488</v>
      </c>
      <c r="B1808" s="23"/>
      <c r="C1808" s="23"/>
      <c r="D1808" s="87"/>
      <c r="E1808" s="594"/>
      <c r="F1808"/>
    </row>
    <row r="1809" spans="1:6" ht="15" hidden="1" customHeight="1" x14ac:dyDescent="0.3">
      <c r="A1809" s="268">
        <v>904</v>
      </c>
      <c r="B1809" s="140"/>
      <c r="C1809" s="140"/>
      <c r="D1809" s="1313" t="s">
        <v>3489</v>
      </c>
      <c r="E1809" s="1117"/>
      <c r="F1809"/>
    </row>
    <row r="1810" spans="1:6" ht="15.6" hidden="1" thickTop="1" thickBot="1" x14ac:dyDescent="0.35">
      <c r="A1810" s="577"/>
      <c r="B1810" s="270"/>
      <c r="C1810" s="270"/>
      <c r="D1810" s="1332"/>
      <c r="E1810" s="1120"/>
      <c r="F1810"/>
    </row>
    <row r="1811" spans="1:6" ht="15.75" hidden="1" customHeight="1" thickTop="1" x14ac:dyDescent="0.3">
      <c r="A1811" s="575">
        <v>904.1</v>
      </c>
      <c r="B1811" s="201"/>
      <c r="C1811" s="201"/>
      <c r="D1811" s="1331" t="s">
        <v>3490</v>
      </c>
      <c r="E1811" s="1336">
        <f>'Verification Report'!O1811</f>
        <v>0</v>
      </c>
      <c r="F1811"/>
    </row>
    <row r="1812" spans="1:6" ht="15.75" hidden="1" customHeight="1" x14ac:dyDescent="0.3">
      <c r="A1812" s="576"/>
      <c r="B1812" s="140"/>
      <c r="C1812" s="140"/>
      <c r="D1812" s="1313"/>
      <c r="E1812" s="1308">
        <f>'Verification Report'!O1812</f>
        <v>0</v>
      </c>
      <c r="F1812"/>
    </row>
    <row r="1813" spans="1:6" ht="15.75" hidden="1" customHeight="1" x14ac:dyDescent="0.3">
      <c r="A1813" s="576"/>
      <c r="B1813" s="140"/>
      <c r="C1813" s="140"/>
      <c r="D1813" s="1313"/>
      <c r="E1813" s="1308">
        <f>'Verification Report'!O1813</f>
        <v>0</v>
      </c>
      <c r="F1813"/>
    </row>
    <row r="1814" spans="1:6" ht="15.75" hidden="1" customHeight="1" x14ac:dyDescent="0.3">
      <c r="A1814" s="576"/>
      <c r="B1814" s="140"/>
      <c r="C1814" s="140"/>
      <c r="D1814" s="1313"/>
      <c r="E1814" s="1308">
        <f>'Verification Report'!O1814</f>
        <v>0</v>
      </c>
      <c r="F1814"/>
    </row>
    <row r="1815" spans="1:6" ht="16.5" hidden="1" customHeight="1" thickBot="1" x14ac:dyDescent="0.35">
      <c r="A1815" s="577"/>
      <c r="B1815" s="270"/>
      <c r="C1815" s="270"/>
      <c r="D1815" s="1332"/>
      <c r="E1815" s="1315">
        <f>'Verification Report'!O1815</f>
        <v>0</v>
      </c>
      <c r="F1815"/>
    </row>
    <row r="1816" spans="1:6" ht="15.75" hidden="1" customHeight="1" thickTop="1" x14ac:dyDescent="0.3">
      <c r="A1816" s="66">
        <v>904.2</v>
      </c>
      <c r="B1816" s="4"/>
      <c r="C1816" s="4"/>
      <c r="D1816" s="1292" t="s">
        <v>3491</v>
      </c>
      <c r="E1816" s="1310">
        <f>'Verification Report'!O1816</f>
        <v>0</v>
      </c>
      <c r="F1816"/>
    </row>
    <row r="1817" spans="1:6" ht="15.75" hidden="1" customHeight="1" x14ac:dyDescent="0.3">
      <c r="A1817" s="182"/>
      <c r="B1817" s="4"/>
      <c r="C1817" s="4"/>
      <c r="D1817" s="1292"/>
      <c r="E1817" s="1310">
        <f>'Verification Report'!O1817</f>
        <v>0</v>
      </c>
      <c r="F1817"/>
    </row>
    <row r="1818" spans="1:6" ht="15.75" hidden="1" customHeight="1" x14ac:dyDescent="0.3">
      <c r="A1818" s="182"/>
      <c r="B1818" s="4"/>
      <c r="C1818" s="4"/>
      <c r="D1818" s="1292"/>
      <c r="E1818" s="1310">
        <f>'Verification Report'!O1818</f>
        <v>0</v>
      </c>
      <c r="F1818"/>
    </row>
    <row r="1819" spans="1:6" ht="18.600000000000001" hidden="1" thickTop="1" x14ac:dyDescent="0.35">
      <c r="A1819" s="14" t="s">
        <v>3492</v>
      </c>
      <c r="B1819" s="23"/>
      <c r="C1819" s="23"/>
      <c r="D1819" s="87"/>
      <c r="E1819" s="594"/>
      <c r="F1819"/>
    </row>
    <row r="1820" spans="1:6" ht="15" hidden="1" customHeight="1" x14ac:dyDescent="0.3">
      <c r="A1820" s="141">
        <v>905.1</v>
      </c>
      <c r="B1820" s="140"/>
      <c r="C1820" s="140"/>
      <c r="D1820" s="1313" t="s">
        <v>3493</v>
      </c>
      <c r="E1820" s="1308">
        <f>'Verification Report'!O1820</f>
        <v>0</v>
      </c>
      <c r="F1820"/>
    </row>
    <row r="1821" spans="1:6" ht="15.75" hidden="1" customHeight="1" x14ac:dyDescent="0.3">
      <c r="A1821" s="576"/>
      <c r="B1821" s="140"/>
      <c r="C1821" s="140"/>
      <c r="D1821" s="1313"/>
      <c r="E1821" s="1308">
        <f>'Verification Report'!O1821</f>
        <v>0</v>
      </c>
      <c r="F1821"/>
    </row>
    <row r="1822" spans="1:6" ht="15.75" hidden="1" customHeight="1" x14ac:dyDescent="0.3">
      <c r="A1822" s="576"/>
      <c r="B1822" s="140"/>
      <c r="C1822" s="140"/>
      <c r="D1822" s="1313"/>
      <c r="E1822" s="1308">
        <f>'Verification Report'!O1822</f>
        <v>0</v>
      </c>
      <c r="F1822"/>
    </row>
    <row r="1823" spans="1:6" ht="15.75" hidden="1" customHeight="1" x14ac:dyDescent="0.3">
      <c r="A1823" s="576"/>
      <c r="B1823" s="140"/>
      <c r="C1823" s="140"/>
      <c r="D1823" s="1313"/>
      <c r="E1823" s="1308">
        <f>'Verification Report'!O1823</f>
        <v>0</v>
      </c>
      <c r="F1823"/>
    </row>
    <row r="1824" spans="1:6" ht="16.5" hidden="1" customHeight="1" thickBot="1" x14ac:dyDescent="0.35">
      <c r="A1824" s="577"/>
      <c r="B1824" s="270"/>
      <c r="C1824" s="270"/>
      <c r="D1824" s="1332"/>
      <c r="E1824" s="1315">
        <f>'Verification Report'!O1824</f>
        <v>0</v>
      </c>
      <c r="F1824"/>
    </row>
    <row r="1825" spans="1:7" ht="15.75" hidden="1" customHeight="1" thickTop="1" x14ac:dyDescent="0.3">
      <c r="A1825" s="66">
        <v>905.2</v>
      </c>
      <c r="B1825" s="4"/>
      <c r="C1825" s="4"/>
      <c r="D1825" s="1292" t="s">
        <v>3494</v>
      </c>
      <c r="E1825" s="1310">
        <f>'Verification Report'!O1825</f>
        <v>0</v>
      </c>
      <c r="F1825"/>
    </row>
    <row r="1826" spans="1:7" ht="15.75" hidden="1" customHeight="1" x14ac:dyDescent="0.3">
      <c r="A1826" s="182"/>
      <c r="B1826" s="4"/>
      <c r="C1826" s="4"/>
      <c r="D1826" s="1292"/>
      <c r="E1826" s="1310">
        <f>'Verification Report'!O1826</f>
        <v>0</v>
      </c>
      <c r="F1826"/>
    </row>
    <row r="1827" spans="1:7" ht="18.600000000000001" hidden="1" thickTop="1" x14ac:dyDescent="0.35">
      <c r="A1827" s="22" t="s">
        <v>3590</v>
      </c>
      <c r="B1827" s="22"/>
      <c r="C1827" s="22"/>
      <c r="D1827" s="23"/>
      <c r="E1827" s="24"/>
      <c r="F1827"/>
      <c r="G1827"/>
    </row>
    <row r="1828" spans="1:7" ht="15" hidden="1" customHeight="1" x14ac:dyDescent="0.3">
      <c r="A1828" s="268">
        <v>1001</v>
      </c>
      <c r="B1828" s="140"/>
      <c r="C1828" s="140"/>
      <c r="D1828" s="1313" t="s">
        <v>3495</v>
      </c>
      <c r="E1828" s="97"/>
      <c r="F1828"/>
      <c r="G1828"/>
    </row>
    <row r="1829" spans="1:7" ht="15.6" hidden="1" thickTop="1" thickBot="1" x14ac:dyDescent="0.35">
      <c r="A1829" s="270"/>
      <c r="B1829" s="270"/>
      <c r="C1829" s="270"/>
      <c r="D1829" s="1332"/>
      <c r="E1829" s="104"/>
      <c r="F1829"/>
      <c r="G1829"/>
    </row>
    <row r="1830" spans="1:7" ht="15.75" hidden="1" customHeight="1" thickTop="1" x14ac:dyDescent="0.3">
      <c r="A1830" s="152">
        <v>1001.1</v>
      </c>
      <c r="B1830" s="4"/>
      <c r="C1830" s="4"/>
      <c r="D1830" s="1292" t="s">
        <v>3496</v>
      </c>
      <c r="E1830" s="1310"/>
      <c r="F1830"/>
      <c r="G1830"/>
    </row>
    <row r="1831" spans="1:7" ht="15" hidden="1" thickTop="1" x14ac:dyDescent="0.3">
      <c r="A1831" s="4"/>
      <c r="B1831" s="4"/>
      <c r="C1831" s="4"/>
      <c r="D1831" s="1292"/>
      <c r="E1831" s="1310"/>
      <c r="F1831"/>
      <c r="G1831"/>
    </row>
    <row r="1832" spans="1:7" ht="15" hidden="1" thickTop="1" x14ac:dyDescent="0.3">
      <c r="A1832" s="4"/>
      <c r="B1832" s="4"/>
      <c r="C1832" s="4"/>
      <c r="D1832" s="253" t="s">
        <v>3589</v>
      </c>
      <c r="E1832" s="1310"/>
      <c r="F1832"/>
      <c r="G1832"/>
    </row>
    <row r="1833" spans="1:7" ht="15" hidden="1" thickTop="1" x14ac:dyDescent="0.3">
      <c r="A1833" s="4"/>
      <c r="B1833" s="231" t="s">
        <v>271</v>
      </c>
      <c r="C1833" s="238"/>
      <c r="D1833" s="1113" t="s">
        <v>3497</v>
      </c>
      <c r="E1833" s="1119"/>
      <c r="F1833"/>
      <c r="G1833"/>
    </row>
    <row r="1834" spans="1:7" ht="15" hidden="1" thickTop="1" x14ac:dyDescent="0.3">
      <c r="A1834" s="4"/>
      <c r="B1834" s="233" t="s">
        <v>273</v>
      </c>
      <c r="C1834" s="274"/>
      <c r="D1834" s="365" t="s">
        <v>3498</v>
      </c>
      <c r="E1834" s="1119"/>
      <c r="F1834"/>
      <c r="G1834"/>
    </row>
    <row r="1835" spans="1:7" ht="15" hidden="1" customHeight="1" x14ac:dyDescent="0.3">
      <c r="A1835" s="4"/>
      <c r="B1835" s="237" t="s">
        <v>275</v>
      </c>
      <c r="C1835" s="216"/>
      <c r="D1835" s="1356" t="s">
        <v>3499</v>
      </c>
      <c r="E1835" s="1119"/>
      <c r="F1835"/>
      <c r="G1835"/>
    </row>
    <row r="1836" spans="1:7" ht="15.75" hidden="1" customHeight="1" x14ac:dyDescent="0.3">
      <c r="A1836" s="4"/>
      <c r="B1836" s="203"/>
      <c r="C1836" s="140"/>
      <c r="D1836" s="1305"/>
      <c r="E1836" s="1119"/>
      <c r="F1836"/>
      <c r="G1836"/>
    </row>
    <row r="1837" spans="1:7" ht="15.75" hidden="1" customHeight="1" x14ac:dyDescent="0.3">
      <c r="A1837" s="4"/>
      <c r="B1837" s="203"/>
      <c r="C1837" s="140"/>
      <c r="D1837" s="1305"/>
      <c r="E1837" s="1119"/>
      <c r="F1837"/>
      <c r="G1837"/>
    </row>
    <row r="1838" spans="1:7" ht="15.75" hidden="1" customHeight="1" x14ac:dyDescent="0.3">
      <c r="A1838" s="4"/>
      <c r="B1838" s="231"/>
      <c r="C1838" s="238"/>
      <c r="D1838" s="1306"/>
      <c r="E1838" s="1119"/>
      <c r="F1838"/>
      <c r="G1838"/>
    </row>
    <row r="1839" spans="1:7" ht="15" hidden="1" thickTop="1" x14ac:dyDescent="0.3">
      <c r="A1839" s="4"/>
      <c r="B1839" s="233" t="s">
        <v>285</v>
      </c>
      <c r="C1839" s="274"/>
      <c r="D1839" s="365" t="s">
        <v>3500</v>
      </c>
      <c r="E1839" s="1119"/>
      <c r="F1839"/>
      <c r="G1839"/>
    </row>
    <row r="1840" spans="1:7" ht="15" hidden="1" thickTop="1" x14ac:dyDescent="0.3">
      <c r="A1840" s="4"/>
      <c r="B1840" s="233" t="s">
        <v>291</v>
      </c>
      <c r="C1840" s="274"/>
      <c r="D1840" s="365" t="s">
        <v>3501</v>
      </c>
      <c r="E1840" s="1119"/>
      <c r="F1840"/>
      <c r="G1840"/>
    </row>
    <row r="1841" spans="1:7" ht="15" hidden="1" customHeight="1" x14ac:dyDescent="0.3">
      <c r="A1841" s="4"/>
      <c r="B1841" s="237" t="s">
        <v>293</v>
      </c>
      <c r="C1841" s="216"/>
      <c r="D1841" s="1356" t="s">
        <v>3502</v>
      </c>
      <c r="E1841" s="1119"/>
      <c r="F1841"/>
      <c r="G1841"/>
    </row>
    <row r="1842" spans="1:7" ht="15.75" hidden="1" customHeight="1" x14ac:dyDescent="0.3">
      <c r="A1842" s="4"/>
      <c r="B1842" s="231"/>
      <c r="C1842" s="238"/>
      <c r="D1842" s="1306"/>
      <c r="E1842" s="1119"/>
      <c r="F1842"/>
      <c r="G1842"/>
    </row>
    <row r="1843" spans="1:7" ht="15" hidden="1" customHeight="1" x14ac:dyDescent="0.3">
      <c r="A1843" s="4"/>
      <c r="B1843" s="237" t="s">
        <v>405</v>
      </c>
      <c r="C1843" s="216"/>
      <c r="D1843" s="1356" t="s">
        <v>3503</v>
      </c>
      <c r="E1843" s="1119"/>
      <c r="F1843"/>
      <c r="G1843"/>
    </row>
    <row r="1844" spans="1:7" ht="15.75" hidden="1" customHeight="1" x14ac:dyDescent="0.3">
      <c r="A1844" s="4"/>
      <c r="B1844" s="231"/>
      <c r="C1844" s="238"/>
      <c r="D1844" s="1306"/>
      <c r="E1844" s="1119"/>
      <c r="F1844"/>
      <c r="G1844"/>
    </row>
    <row r="1845" spans="1:7" ht="15" hidden="1" thickTop="1" x14ac:dyDescent="0.3">
      <c r="A1845" s="4"/>
      <c r="B1845" s="233" t="s">
        <v>456</v>
      </c>
      <c r="C1845" s="274"/>
      <c r="D1845" s="365" t="s">
        <v>3504</v>
      </c>
      <c r="E1845" s="1119"/>
      <c r="F1845"/>
      <c r="G1845"/>
    </row>
    <row r="1846" spans="1:7" ht="15" hidden="1" customHeight="1" x14ac:dyDescent="0.3">
      <c r="A1846" s="4"/>
      <c r="B1846" s="27" t="s">
        <v>458</v>
      </c>
      <c r="C1846" s="4"/>
      <c r="D1846" s="1355" t="s">
        <v>3505</v>
      </c>
      <c r="E1846" s="1119"/>
      <c r="F1846"/>
      <c r="G1846"/>
    </row>
    <row r="1847" spans="1:7" ht="15.75" hidden="1" customHeight="1" x14ac:dyDescent="0.3">
      <c r="A1847" s="4"/>
      <c r="B1847" s="27"/>
      <c r="C1847" s="4"/>
      <c r="D1847" s="1294"/>
      <c r="E1847" s="1119"/>
      <c r="F1847"/>
      <c r="G1847"/>
    </row>
    <row r="1848" spans="1:7" ht="15" hidden="1" thickTop="1" x14ac:dyDescent="0.3">
      <c r="A1848" s="4"/>
      <c r="B1848" s="233" t="s">
        <v>460</v>
      </c>
      <c r="C1848" s="274"/>
      <c r="D1848" s="365" t="s">
        <v>3506</v>
      </c>
      <c r="E1848" s="1119"/>
      <c r="F1848"/>
      <c r="G1848"/>
    </row>
    <row r="1849" spans="1:7" ht="15" hidden="1" thickTop="1" x14ac:dyDescent="0.3">
      <c r="A1849" s="4"/>
      <c r="B1849" s="27" t="s">
        <v>462</v>
      </c>
      <c r="C1849" s="4"/>
      <c r="D1849" s="1131" t="s">
        <v>3507</v>
      </c>
      <c r="E1849" s="1119"/>
      <c r="F1849"/>
      <c r="G1849"/>
    </row>
    <row r="1850" spans="1:7" ht="15" hidden="1" customHeight="1" x14ac:dyDescent="0.3">
      <c r="A1850" s="4"/>
      <c r="B1850" s="237" t="s">
        <v>464</v>
      </c>
      <c r="C1850" s="216"/>
      <c r="D1850" s="1356" t="s">
        <v>3508</v>
      </c>
      <c r="E1850" s="1119"/>
      <c r="F1850"/>
      <c r="G1850"/>
    </row>
    <row r="1851" spans="1:7" ht="15.75" hidden="1" customHeight="1" x14ac:dyDescent="0.3">
      <c r="A1851" s="4"/>
      <c r="B1851" s="140"/>
      <c r="C1851" s="140"/>
      <c r="D1851" s="1305"/>
      <c r="E1851" s="1119"/>
      <c r="F1851"/>
      <c r="G1851"/>
    </row>
    <row r="1852" spans="1:7" ht="15.75" hidden="1" customHeight="1" x14ac:dyDescent="0.3">
      <c r="A1852" s="4"/>
      <c r="B1852" s="140"/>
      <c r="C1852" s="203" t="s">
        <v>121</v>
      </c>
      <c r="D1852" s="1112" t="s">
        <v>3509</v>
      </c>
      <c r="E1852" s="1119"/>
      <c r="F1852"/>
      <c r="G1852"/>
    </row>
    <row r="1853" spans="1:7" ht="15.75" hidden="1" customHeight="1" x14ac:dyDescent="0.3">
      <c r="A1853" s="4"/>
      <c r="B1853" s="140"/>
      <c r="C1853" s="203" t="s">
        <v>122</v>
      </c>
      <c r="D1853" s="1112" t="s">
        <v>3510</v>
      </c>
      <c r="E1853" s="1119"/>
      <c r="F1853"/>
      <c r="G1853"/>
    </row>
    <row r="1854" spans="1:7" ht="15" hidden="1" customHeight="1" x14ac:dyDescent="0.3">
      <c r="A1854" s="4"/>
      <c r="B1854" s="140"/>
      <c r="C1854" s="203" t="s">
        <v>123</v>
      </c>
      <c r="D1854" s="1305" t="s">
        <v>3511</v>
      </c>
      <c r="E1854" s="1119"/>
      <c r="F1854"/>
      <c r="G1854"/>
    </row>
    <row r="1855" spans="1:7" ht="15.75" hidden="1" customHeight="1" x14ac:dyDescent="0.3">
      <c r="A1855" s="4"/>
      <c r="B1855" s="238"/>
      <c r="C1855" s="238"/>
      <c r="D1855" s="1306"/>
      <c r="E1855" s="1119"/>
      <c r="F1855"/>
      <c r="G1855"/>
    </row>
    <row r="1856" spans="1:7" ht="15" hidden="1" customHeight="1" x14ac:dyDescent="0.3">
      <c r="A1856" s="4"/>
      <c r="B1856" s="237" t="s">
        <v>3512</v>
      </c>
      <c r="C1856" s="216"/>
      <c r="D1856" s="1356" t="s">
        <v>3513</v>
      </c>
      <c r="E1856" s="1119"/>
      <c r="F1856"/>
      <c r="G1856"/>
    </row>
    <row r="1857" spans="1:7" ht="15.75" hidden="1" customHeight="1" x14ac:dyDescent="0.3">
      <c r="A1857" s="4"/>
      <c r="B1857" s="140"/>
      <c r="C1857" s="140"/>
      <c r="D1857" s="1305"/>
      <c r="E1857" s="1119"/>
      <c r="F1857"/>
      <c r="G1857"/>
    </row>
    <row r="1858" spans="1:7" ht="15.75" hidden="1" customHeight="1" x14ac:dyDescent="0.3">
      <c r="A1858" s="4"/>
      <c r="B1858" s="140"/>
      <c r="C1858" s="140"/>
      <c r="D1858" s="1305"/>
      <c r="E1858" s="1119"/>
      <c r="F1858"/>
      <c r="G1858"/>
    </row>
    <row r="1859" spans="1:7" ht="15.75" hidden="1" customHeight="1" x14ac:dyDescent="0.3">
      <c r="A1859" s="4"/>
      <c r="B1859" s="238"/>
      <c r="C1859" s="238"/>
      <c r="D1859" s="1306"/>
      <c r="E1859" s="1119"/>
      <c r="F1859"/>
      <c r="G1859"/>
    </row>
    <row r="1860" spans="1:7" ht="15" hidden="1" customHeight="1" x14ac:dyDescent="0.3">
      <c r="A1860" s="4"/>
      <c r="B1860" s="237" t="s">
        <v>3514</v>
      </c>
      <c r="C1860" s="216"/>
      <c r="D1860" s="1356" t="s">
        <v>3515</v>
      </c>
      <c r="E1860" s="1119"/>
      <c r="F1860"/>
      <c r="G1860"/>
    </row>
    <row r="1861" spans="1:7" ht="15.75" hidden="1" customHeight="1" x14ac:dyDescent="0.3">
      <c r="A1861" s="4"/>
      <c r="B1861" s="238"/>
      <c r="C1861" s="238"/>
      <c r="D1861" s="1306"/>
      <c r="E1861" s="1119"/>
      <c r="F1861"/>
      <c r="G1861"/>
    </row>
    <row r="1862" spans="1:7" ht="15" hidden="1" customHeight="1" x14ac:dyDescent="0.3">
      <c r="A1862" s="4"/>
      <c r="B1862" s="237" t="s">
        <v>3516</v>
      </c>
      <c r="C1862" s="216"/>
      <c r="D1862" s="1356" t="s">
        <v>3517</v>
      </c>
      <c r="E1862" s="1119"/>
      <c r="F1862"/>
      <c r="G1862"/>
    </row>
    <row r="1863" spans="1:7" ht="15.75" hidden="1" customHeight="1" x14ac:dyDescent="0.3">
      <c r="A1863" s="4"/>
      <c r="B1863" s="238"/>
      <c r="C1863" s="238"/>
      <c r="D1863" s="1306"/>
      <c r="E1863" s="1119"/>
      <c r="F1863"/>
      <c r="G1863"/>
    </row>
    <row r="1864" spans="1:7" ht="15" hidden="1" thickTop="1" x14ac:dyDescent="0.3">
      <c r="A1864" s="4"/>
      <c r="B1864" s="233" t="s">
        <v>3518</v>
      </c>
      <c r="C1864" s="274"/>
      <c r="D1864" s="365" t="s">
        <v>3519</v>
      </c>
      <c r="E1864" s="1119"/>
      <c r="F1864"/>
      <c r="G1864"/>
    </row>
    <row r="1865" spans="1:7" ht="15" hidden="1" customHeight="1" x14ac:dyDescent="0.3">
      <c r="A1865" s="4"/>
      <c r="B1865" s="237" t="s">
        <v>3520</v>
      </c>
      <c r="C1865" s="216"/>
      <c r="D1865" s="1355" t="s">
        <v>3521</v>
      </c>
      <c r="E1865" s="1119"/>
      <c r="F1865"/>
      <c r="G1865"/>
    </row>
    <row r="1866" spans="1:7" ht="15.75" hidden="1" customHeight="1" x14ac:dyDescent="0.3">
      <c r="A1866" s="4"/>
      <c r="B1866" s="231"/>
      <c r="C1866" s="238"/>
      <c r="D1866" s="1294"/>
      <c r="E1866" s="1119"/>
      <c r="F1866"/>
      <c r="G1866"/>
    </row>
    <row r="1867" spans="1:7" ht="15" hidden="1" customHeight="1" x14ac:dyDescent="0.3">
      <c r="A1867" s="4"/>
      <c r="B1867" s="237" t="s">
        <v>3522</v>
      </c>
      <c r="C1867" s="216"/>
      <c r="D1867" s="1356" t="s">
        <v>3523</v>
      </c>
      <c r="E1867" s="1119"/>
      <c r="F1867"/>
      <c r="G1867"/>
    </row>
    <row r="1868" spans="1:7" ht="15.75" hidden="1" customHeight="1" x14ac:dyDescent="0.3">
      <c r="A1868" s="4"/>
      <c r="B1868" s="238"/>
      <c r="C1868" s="238"/>
      <c r="D1868" s="1306"/>
      <c r="E1868" s="1119"/>
      <c r="F1868"/>
      <c r="G1868"/>
    </row>
    <row r="1869" spans="1:7" ht="15" hidden="1" thickTop="1" x14ac:dyDescent="0.3">
      <c r="A1869" s="4"/>
      <c r="B1869" s="233" t="s">
        <v>3524</v>
      </c>
      <c r="C1869" s="274"/>
      <c r="D1869" s="365" t="s">
        <v>3525</v>
      </c>
      <c r="E1869" s="1119"/>
      <c r="F1869"/>
      <c r="G1869"/>
    </row>
    <row r="1870" spans="1:7" ht="15" hidden="1" customHeight="1" x14ac:dyDescent="0.3">
      <c r="A1870" s="4"/>
      <c r="B1870" s="237" t="s">
        <v>3526</v>
      </c>
      <c r="C1870" s="216"/>
      <c r="D1870" s="1356" t="s">
        <v>3527</v>
      </c>
      <c r="E1870" s="1119"/>
      <c r="F1870"/>
      <c r="G1870"/>
    </row>
    <row r="1871" spans="1:7" ht="15.75" hidden="1" customHeight="1" x14ac:dyDescent="0.3">
      <c r="A1871" s="4"/>
      <c r="B1871" s="238"/>
      <c r="C1871" s="238"/>
      <c r="D1871" s="1306"/>
      <c r="E1871" s="1119"/>
      <c r="F1871"/>
      <c r="G1871"/>
    </row>
    <row r="1872" spans="1:7" ht="15" hidden="1" customHeight="1" x14ac:dyDescent="0.3">
      <c r="A1872" s="4"/>
      <c r="B1872" s="237" t="s">
        <v>3528</v>
      </c>
      <c r="C1872" s="216"/>
      <c r="D1872" s="1356" t="s">
        <v>3529</v>
      </c>
      <c r="E1872" s="1119"/>
      <c r="F1872"/>
      <c r="G1872"/>
    </row>
    <row r="1873" spans="1:7" ht="15.75" hidden="1" customHeight="1" x14ac:dyDescent="0.3">
      <c r="A1873" s="4"/>
      <c r="B1873" s="238"/>
      <c r="C1873" s="238"/>
      <c r="D1873" s="1306"/>
      <c r="E1873" s="1119"/>
      <c r="F1873"/>
      <c r="G1873"/>
    </row>
    <row r="1874" spans="1:7" ht="15" hidden="1" customHeight="1" x14ac:dyDescent="0.3">
      <c r="A1874" s="4"/>
      <c r="B1874" s="237" t="s">
        <v>3530</v>
      </c>
      <c r="C1874" s="216"/>
      <c r="D1874" s="1356" t="s">
        <v>3531</v>
      </c>
      <c r="E1874" s="1119"/>
      <c r="F1874"/>
      <c r="G1874"/>
    </row>
    <row r="1875" spans="1:7" ht="15.75" hidden="1" customHeight="1" x14ac:dyDescent="0.3">
      <c r="A1875" s="4"/>
      <c r="B1875" s="238"/>
      <c r="C1875" s="238"/>
      <c r="D1875" s="1306"/>
      <c r="E1875" s="1119"/>
      <c r="F1875"/>
      <c r="G1875"/>
    </row>
    <row r="1876" spans="1:7" ht="15" hidden="1" thickTop="1" x14ac:dyDescent="0.3">
      <c r="A1876" s="4"/>
      <c r="B1876" s="233" t="s">
        <v>3532</v>
      </c>
      <c r="C1876" s="274"/>
      <c r="D1876" s="365" t="s">
        <v>3533</v>
      </c>
      <c r="E1876" s="1119"/>
      <c r="F1876"/>
      <c r="G1876"/>
    </row>
    <row r="1877" spans="1:7" ht="15.6" hidden="1" thickTop="1" thickBot="1" x14ac:dyDescent="0.35">
      <c r="A1877" s="270"/>
      <c r="B1877" s="213" t="s">
        <v>3534</v>
      </c>
      <c r="C1877" s="270"/>
      <c r="D1877" s="1127" t="s">
        <v>3535</v>
      </c>
      <c r="E1877" s="1120"/>
      <c r="F1877"/>
      <c r="G1877"/>
    </row>
    <row r="1878" spans="1:7" ht="15.75" hidden="1" customHeight="1" thickTop="1" x14ac:dyDescent="0.3">
      <c r="A1878" s="66">
        <v>1001.2</v>
      </c>
      <c r="B1878" s="4"/>
      <c r="C1878" s="4"/>
      <c r="D1878" s="1292" t="s">
        <v>3536</v>
      </c>
      <c r="E1878" s="1119"/>
      <c r="F1878"/>
      <c r="G1878"/>
    </row>
    <row r="1879" spans="1:7" ht="15.75" hidden="1" customHeight="1" x14ac:dyDescent="0.3">
      <c r="A1879" s="4"/>
      <c r="B1879" s="4"/>
      <c r="C1879" s="4"/>
      <c r="D1879" s="1292"/>
      <c r="E1879" s="1119"/>
      <c r="F1879"/>
      <c r="G1879"/>
    </row>
    <row r="1880" spans="1:7" ht="15.75" hidden="1" customHeight="1" x14ac:dyDescent="0.3">
      <c r="A1880" s="4"/>
      <c r="B1880" s="4"/>
      <c r="C1880" s="4"/>
      <c r="D1880" s="1292"/>
      <c r="E1880" s="1119"/>
      <c r="F1880"/>
      <c r="G1880"/>
    </row>
    <row r="1881" spans="1:7" ht="15.75" hidden="1" customHeight="1" x14ac:dyDescent="0.3">
      <c r="A1881" s="4"/>
      <c r="B1881" s="4"/>
      <c r="C1881" s="4"/>
      <c r="D1881" s="1292"/>
      <c r="E1881" s="1119"/>
      <c r="F1881"/>
      <c r="G1881"/>
    </row>
    <row r="1882" spans="1:7" ht="15.75" hidden="1" customHeight="1" x14ac:dyDescent="0.3">
      <c r="A1882" s="4"/>
      <c r="B1882" s="203" t="s">
        <v>271</v>
      </c>
      <c r="C1882" s="140"/>
      <c r="D1882" s="1153" t="s">
        <v>3537</v>
      </c>
      <c r="E1882" s="1119"/>
      <c r="F1882"/>
      <c r="G1882"/>
    </row>
    <row r="1883" spans="1:7" ht="15.75" hidden="1" customHeight="1" x14ac:dyDescent="0.3">
      <c r="A1883" s="4"/>
      <c r="B1883" s="203" t="s">
        <v>273</v>
      </c>
      <c r="C1883" s="140"/>
      <c r="D1883" s="1153" t="s">
        <v>3538</v>
      </c>
      <c r="E1883" s="1119"/>
      <c r="F1883"/>
      <c r="G1883"/>
    </row>
    <row r="1884" spans="1:7" ht="15.75" hidden="1" customHeight="1" x14ac:dyDescent="0.3">
      <c r="A1884" s="4"/>
      <c r="B1884" s="203" t="s">
        <v>275</v>
      </c>
      <c r="C1884" s="140"/>
      <c r="D1884" s="1153" t="s">
        <v>3539</v>
      </c>
      <c r="E1884" s="1119"/>
      <c r="F1884"/>
      <c r="G1884"/>
    </row>
    <row r="1885" spans="1:7" ht="15.75" hidden="1" customHeight="1" x14ac:dyDescent="0.3">
      <c r="A1885" s="4"/>
      <c r="B1885" s="203" t="s">
        <v>285</v>
      </c>
      <c r="C1885" s="140"/>
      <c r="D1885" s="1153" t="s">
        <v>3540</v>
      </c>
      <c r="E1885" s="1119"/>
      <c r="F1885"/>
      <c r="G1885"/>
    </row>
    <row r="1886" spans="1:7" ht="15.75" hidden="1" customHeight="1" x14ac:dyDescent="0.3">
      <c r="A1886" s="4"/>
      <c r="B1886" s="203" t="s">
        <v>291</v>
      </c>
      <c r="C1886" s="140"/>
      <c r="D1886" s="1153" t="s">
        <v>3541</v>
      </c>
      <c r="E1886" s="1119"/>
      <c r="F1886"/>
      <c r="G1886"/>
    </row>
    <row r="1887" spans="1:7" ht="15.75" hidden="1" customHeight="1" x14ac:dyDescent="0.3">
      <c r="A1887" s="4"/>
      <c r="B1887" s="203" t="s">
        <v>293</v>
      </c>
      <c r="C1887" s="140"/>
      <c r="D1887" s="1153" t="s">
        <v>3542</v>
      </c>
      <c r="E1887" s="1119"/>
      <c r="F1887"/>
      <c r="G1887"/>
    </row>
    <row r="1888" spans="1:7" ht="15.75" hidden="1" customHeight="1" x14ac:dyDescent="0.3">
      <c r="A1888" s="4"/>
      <c r="B1888" s="27" t="s">
        <v>405</v>
      </c>
      <c r="C1888" s="4"/>
      <c r="D1888" s="1152" t="s">
        <v>3543</v>
      </c>
      <c r="E1888" s="1119"/>
      <c r="F1888"/>
      <c r="G1888"/>
    </row>
    <row r="1889" spans="1:7" ht="18.600000000000001" hidden="1" thickTop="1" x14ac:dyDescent="0.35">
      <c r="A1889" s="14" t="s">
        <v>3544</v>
      </c>
      <c r="B1889" s="23"/>
      <c r="C1889" s="23"/>
      <c r="D1889" s="258"/>
      <c r="E1889" s="594"/>
      <c r="F1889"/>
      <c r="G1889"/>
    </row>
    <row r="1890" spans="1:7" ht="15" hidden="1" customHeight="1" x14ac:dyDescent="0.3">
      <c r="A1890" s="268">
        <v>1002</v>
      </c>
      <c r="B1890" s="140"/>
      <c r="C1890" s="140"/>
      <c r="D1890" s="1313" t="s">
        <v>3545</v>
      </c>
      <c r="E1890" s="1117"/>
      <c r="F1890"/>
      <c r="G1890"/>
    </row>
    <row r="1891" spans="1:7" ht="15" hidden="1" thickTop="1" x14ac:dyDescent="0.3">
      <c r="A1891" s="140"/>
      <c r="B1891" s="140"/>
      <c r="C1891" s="140"/>
      <c r="D1891" s="1313"/>
      <c r="E1891" s="1117"/>
      <c r="F1891"/>
      <c r="G1891"/>
    </row>
    <row r="1892" spans="1:7" ht="15" hidden="1" thickTop="1" x14ac:dyDescent="0.3">
      <c r="A1892" s="140"/>
      <c r="B1892" s="140"/>
      <c r="C1892" s="140"/>
      <c r="D1892" s="1313"/>
      <c r="E1892" s="1117"/>
      <c r="F1892"/>
      <c r="G1892"/>
    </row>
    <row r="1893" spans="1:7" ht="15" hidden="1" thickTop="1" x14ac:dyDescent="0.3">
      <c r="A1893" s="140"/>
      <c r="B1893" s="140"/>
      <c r="C1893" s="140"/>
      <c r="D1893" s="1313"/>
      <c r="E1893" s="1117"/>
      <c r="F1893"/>
      <c r="G1893"/>
    </row>
    <row r="1894" spans="1:7" ht="15" hidden="1" thickTop="1" x14ac:dyDescent="0.3">
      <c r="A1894" s="140"/>
      <c r="B1894" s="140"/>
      <c r="C1894" s="140"/>
      <c r="D1894" s="1313"/>
      <c r="E1894" s="1117"/>
      <c r="F1894"/>
      <c r="G1894"/>
    </row>
    <row r="1895" spans="1:7" ht="15.6" hidden="1" thickTop="1" thickBot="1" x14ac:dyDescent="0.35">
      <c r="A1895" s="270"/>
      <c r="B1895" s="270"/>
      <c r="C1895" s="270"/>
      <c r="D1895" s="1332"/>
      <c r="E1895" s="1120"/>
      <c r="F1895"/>
      <c r="G1895"/>
    </row>
    <row r="1896" spans="1:7" ht="15.75" hidden="1" customHeight="1" thickTop="1" x14ac:dyDescent="0.3">
      <c r="A1896" s="66">
        <v>1002.1</v>
      </c>
      <c r="B1896" s="4"/>
      <c r="C1896" s="4"/>
      <c r="D1896" s="1292" t="s">
        <v>3593</v>
      </c>
      <c r="E1896" s="1436"/>
      <c r="F1896"/>
      <c r="G1896"/>
    </row>
    <row r="1897" spans="1:7" ht="15" hidden="1" thickTop="1" x14ac:dyDescent="0.3">
      <c r="A1897" s="4"/>
      <c r="B1897" s="4"/>
      <c r="C1897" s="4"/>
      <c r="D1897" s="1292"/>
      <c r="E1897" s="1436"/>
      <c r="F1897"/>
      <c r="G1897"/>
    </row>
    <row r="1898" spans="1:7" ht="15" hidden="1" thickTop="1" x14ac:dyDescent="0.3">
      <c r="A1898" s="4"/>
      <c r="B1898" s="4"/>
      <c r="C1898" s="4"/>
      <c r="D1898" s="255" t="s">
        <v>3591</v>
      </c>
      <c r="E1898" s="1436"/>
      <c r="F1898"/>
      <c r="G1898"/>
    </row>
    <row r="1899" spans="1:7" ht="15" hidden="1" customHeight="1" x14ac:dyDescent="0.3">
      <c r="A1899" s="4"/>
      <c r="B1899" s="27" t="s">
        <v>271</v>
      </c>
      <c r="C1899" s="4"/>
      <c r="D1899" s="1329" t="s">
        <v>3546</v>
      </c>
      <c r="E1899" s="1119"/>
      <c r="F1899"/>
      <c r="G1899"/>
    </row>
    <row r="1900" spans="1:7" ht="15.75" hidden="1" customHeight="1" x14ac:dyDescent="0.3">
      <c r="A1900" s="4"/>
      <c r="B1900" s="27"/>
      <c r="C1900" s="4"/>
      <c r="D1900" s="1329"/>
      <c r="E1900" s="1119"/>
      <c r="F1900"/>
      <c r="G1900"/>
    </row>
    <row r="1901" spans="1:7" ht="15.75" hidden="1" customHeight="1" x14ac:dyDescent="0.3">
      <c r="A1901" s="4"/>
      <c r="B1901" s="27"/>
      <c r="C1901" s="4"/>
      <c r="D1901" s="1329"/>
      <c r="E1901" s="1119"/>
      <c r="F1901"/>
      <c r="G1901"/>
    </row>
    <row r="1902" spans="1:7" ht="15" hidden="1" customHeight="1" x14ac:dyDescent="0.3">
      <c r="A1902" s="4"/>
      <c r="B1902" s="237" t="s">
        <v>273</v>
      </c>
      <c r="C1902" s="216"/>
      <c r="D1902" s="1356" t="s">
        <v>3547</v>
      </c>
      <c r="E1902" s="1119"/>
      <c r="F1902"/>
      <c r="G1902"/>
    </row>
    <row r="1903" spans="1:7" ht="15.75" hidden="1" customHeight="1" x14ac:dyDescent="0.3">
      <c r="A1903" s="4"/>
      <c r="B1903" s="203"/>
      <c r="C1903" s="140"/>
      <c r="D1903" s="1305"/>
      <c r="E1903" s="1119"/>
      <c r="F1903"/>
      <c r="G1903"/>
    </row>
    <row r="1904" spans="1:7" ht="15.75" hidden="1" customHeight="1" x14ac:dyDescent="0.3">
      <c r="A1904" s="4"/>
      <c r="B1904" s="231"/>
      <c r="C1904" s="238"/>
      <c r="D1904" s="1306"/>
      <c r="E1904" s="1119"/>
      <c r="F1904"/>
      <c r="G1904"/>
    </row>
    <row r="1905" spans="1:7" ht="15" hidden="1" customHeight="1" x14ac:dyDescent="0.3">
      <c r="A1905" s="4"/>
      <c r="B1905" s="27" t="s">
        <v>275</v>
      </c>
      <c r="C1905" s="4"/>
      <c r="D1905" s="1329" t="s">
        <v>3548</v>
      </c>
      <c r="E1905" s="1119"/>
      <c r="F1905"/>
      <c r="G1905"/>
    </row>
    <row r="1906" spans="1:7" ht="15.75" hidden="1" customHeight="1" x14ac:dyDescent="0.3">
      <c r="A1906" s="4"/>
      <c r="B1906" s="27"/>
      <c r="C1906" s="4"/>
      <c r="D1906" s="1329"/>
      <c r="E1906" s="1119"/>
      <c r="F1906"/>
      <c r="G1906"/>
    </row>
    <row r="1907" spans="1:7" ht="15" hidden="1" thickTop="1" x14ac:dyDescent="0.3">
      <c r="A1907" s="4"/>
      <c r="B1907" s="233" t="s">
        <v>285</v>
      </c>
      <c r="C1907" s="274"/>
      <c r="D1907" s="365" t="s">
        <v>3549</v>
      </c>
      <c r="E1907" s="1119"/>
      <c r="F1907"/>
      <c r="G1907"/>
    </row>
    <row r="1908" spans="1:7" ht="15" hidden="1" customHeight="1" x14ac:dyDescent="0.3">
      <c r="A1908" s="4"/>
      <c r="B1908" s="27" t="s">
        <v>291</v>
      </c>
      <c r="C1908" s="4"/>
      <c r="D1908" s="1329" t="s">
        <v>3550</v>
      </c>
      <c r="E1908" s="1119"/>
      <c r="F1908"/>
      <c r="G1908"/>
    </row>
    <row r="1909" spans="1:7" ht="15.75" hidden="1" customHeight="1" x14ac:dyDescent="0.3">
      <c r="A1909" s="4"/>
      <c r="B1909" s="27"/>
      <c r="C1909" s="4"/>
      <c r="D1909" s="1329"/>
      <c r="E1909" s="1119"/>
      <c r="F1909"/>
      <c r="G1909"/>
    </row>
    <row r="1910" spans="1:7" ht="15" hidden="1" thickTop="1" x14ac:dyDescent="0.3">
      <c r="A1910" s="4"/>
      <c r="B1910" s="233" t="s">
        <v>293</v>
      </c>
      <c r="C1910" s="274"/>
      <c r="D1910" s="365" t="s">
        <v>3507</v>
      </c>
      <c r="E1910" s="1119"/>
      <c r="F1910"/>
      <c r="G1910"/>
    </row>
    <row r="1911" spans="1:7" ht="15" hidden="1" thickTop="1" x14ac:dyDescent="0.3">
      <c r="A1911" s="4"/>
      <c r="B1911" s="233" t="s">
        <v>405</v>
      </c>
      <c r="C1911" s="274"/>
      <c r="D1911" s="365" t="s">
        <v>3551</v>
      </c>
      <c r="E1911" s="1119"/>
      <c r="F1911"/>
      <c r="G1911"/>
    </row>
    <row r="1912" spans="1:7" ht="15" hidden="1" customHeight="1" x14ac:dyDescent="0.3">
      <c r="A1912" s="140"/>
      <c r="B1912" s="203" t="s">
        <v>456</v>
      </c>
      <c r="C1912" s="140"/>
      <c r="D1912" s="1305" t="s">
        <v>3552</v>
      </c>
      <c r="E1912" s="1117"/>
      <c r="F1912"/>
      <c r="G1912"/>
    </row>
    <row r="1913" spans="1:7" ht="16.5" hidden="1" customHeight="1" thickBot="1" x14ac:dyDescent="0.35">
      <c r="A1913" s="270"/>
      <c r="B1913" s="270"/>
      <c r="C1913" s="270"/>
      <c r="D1913" s="1330"/>
      <c r="E1913" s="1120"/>
      <c r="F1913"/>
      <c r="G1913"/>
    </row>
    <row r="1914" spans="1:7" ht="15.75" hidden="1" customHeight="1" thickTop="1" x14ac:dyDescent="0.3">
      <c r="A1914" s="152">
        <v>1002.2</v>
      </c>
      <c r="B1914" s="4"/>
      <c r="C1914" s="4"/>
      <c r="D1914" s="1292" t="s">
        <v>3594</v>
      </c>
      <c r="E1914" s="1436"/>
      <c r="F1914"/>
      <c r="G1914"/>
    </row>
    <row r="1915" spans="1:7" ht="15" hidden="1" thickTop="1" x14ac:dyDescent="0.3">
      <c r="A1915" s="4"/>
      <c r="B1915" s="4"/>
      <c r="C1915" s="4"/>
      <c r="D1915" s="1292"/>
      <c r="E1915" s="1436"/>
      <c r="F1915"/>
      <c r="G1915"/>
    </row>
    <row r="1916" spans="1:7" ht="15" hidden="1" thickTop="1" x14ac:dyDescent="0.3">
      <c r="A1916" s="4"/>
      <c r="B1916" s="4"/>
      <c r="C1916" s="4"/>
      <c r="D1916" s="1292"/>
      <c r="E1916" s="1436"/>
      <c r="F1916"/>
      <c r="G1916"/>
    </row>
    <row r="1917" spans="1:7" ht="15" hidden="1" thickTop="1" x14ac:dyDescent="0.3">
      <c r="A1917" s="4"/>
      <c r="B1917" s="4"/>
      <c r="C1917" s="4"/>
      <c r="D1917" s="256" t="s">
        <v>3591</v>
      </c>
      <c r="E1917" s="1436"/>
      <c r="F1917"/>
      <c r="G1917"/>
    </row>
    <row r="1918" spans="1:7" ht="15" hidden="1" customHeight="1" x14ac:dyDescent="0.3">
      <c r="A1918" s="4"/>
      <c r="B1918" s="203" t="s">
        <v>271</v>
      </c>
      <c r="C1918" s="140"/>
      <c r="D1918" s="1305" t="s">
        <v>3553</v>
      </c>
      <c r="E1918" s="1119"/>
      <c r="F1918"/>
      <c r="G1918"/>
    </row>
    <row r="1919" spans="1:7" ht="15.75" hidden="1" customHeight="1" x14ac:dyDescent="0.3">
      <c r="A1919" s="4"/>
      <c r="B1919" s="231"/>
      <c r="C1919" s="238"/>
      <c r="D1919" s="1306"/>
      <c r="E1919" s="1119"/>
      <c r="F1919"/>
      <c r="G1919"/>
    </row>
    <row r="1920" spans="1:7" ht="15" hidden="1" customHeight="1" x14ac:dyDescent="0.3">
      <c r="A1920" s="4"/>
      <c r="B1920" s="237" t="s">
        <v>273</v>
      </c>
      <c r="C1920" s="216"/>
      <c r="D1920" s="1356" t="s">
        <v>3554</v>
      </c>
      <c r="E1920" s="1119"/>
      <c r="F1920"/>
      <c r="G1920"/>
    </row>
    <row r="1921" spans="1:7" ht="15.75" hidden="1" customHeight="1" x14ac:dyDescent="0.3">
      <c r="A1921" s="4"/>
      <c r="B1921" s="203"/>
      <c r="C1921" s="140"/>
      <c r="D1921" s="1305"/>
      <c r="E1921" s="1119"/>
      <c r="F1921"/>
      <c r="G1921"/>
    </row>
    <row r="1922" spans="1:7" ht="15.75" hidden="1" customHeight="1" x14ac:dyDescent="0.3">
      <c r="A1922" s="4"/>
      <c r="B1922" s="231"/>
      <c r="C1922" s="238"/>
      <c r="D1922" s="1306"/>
      <c r="E1922" s="1119"/>
      <c r="F1922"/>
      <c r="G1922"/>
    </row>
    <row r="1923" spans="1:7" ht="15" hidden="1" customHeight="1" x14ac:dyDescent="0.3">
      <c r="A1923" s="4"/>
      <c r="B1923" s="237" t="s">
        <v>275</v>
      </c>
      <c r="C1923" s="216"/>
      <c r="D1923" s="1356" t="s">
        <v>3523</v>
      </c>
      <c r="E1923" s="1119"/>
      <c r="F1923"/>
      <c r="G1923"/>
    </row>
    <row r="1924" spans="1:7" ht="15.75" hidden="1" customHeight="1" x14ac:dyDescent="0.3">
      <c r="A1924" s="4"/>
      <c r="B1924" s="238"/>
      <c r="C1924" s="238"/>
      <c r="D1924" s="1306"/>
      <c r="E1924" s="1119"/>
      <c r="F1924"/>
      <c r="G1924"/>
    </row>
    <row r="1925" spans="1:7" ht="15" hidden="1" customHeight="1" x14ac:dyDescent="0.3">
      <c r="A1925" s="4"/>
      <c r="B1925" s="27" t="s">
        <v>285</v>
      </c>
      <c r="C1925" s="4"/>
      <c r="D1925" s="1329" t="s">
        <v>3555</v>
      </c>
      <c r="E1925" s="1119"/>
      <c r="F1925"/>
      <c r="G1925"/>
    </row>
    <row r="1926" spans="1:7" ht="15.75" hidden="1" customHeight="1" x14ac:dyDescent="0.3">
      <c r="A1926" s="4"/>
      <c r="B1926" s="4"/>
      <c r="C1926" s="4"/>
      <c r="D1926" s="1329"/>
      <c r="E1926" s="1119"/>
      <c r="F1926"/>
      <c r="G1926"/>
    </row>
    <row r="1927" spans="1:7" ht="15.75" hidden="1" customHeight="1" x14ac:dyDescent="0.3">
      <c r="A1927" s="4"/>
      <c r="B1927" s="4"/>
      <c r="C1927" s="4"/>
      <c r="D1927" s="1329"/>
      <c r="E1927" s="1119"/>
      <c r="F1927"/>
      <c r="G1927"/>
    </row>
    <row r="1928" spans="1:7" ht="15" hidden="1" customHeight="1" x14ac:dyDescent="0.3">
      <c r="A1928" s="4"/>
      <c r="B1928" s="237" t="s">
        <v>291</v>
      </c>
      <c r="C1928" s="216"/>
      <c r="D1928" s="1356" t="s">
        <v>3556</v>
      </c>
      <c r="E1928" s="1119"/>
      <c r="F1928"/>
      <c r="G1928"/>
    </row>
    <row r="1929" spans="1:7" ht="15.75" hidden="1" customHeight="1" x14ac:dyDescent="0.3">
      <c r="A1929" s="4"/>
      <c r="B1929" s="231"/>
      <c r="C1929" s="238"/>
      <c r="D1929" s="1306"/>
      <c r="E1929" s="1119"/>
      <c r="F1929"/>
      <c r="G1929"/>
    </row>
    <row r="1930" spans="1:7" ht="15" hidden="1" thickTop="1" x14ac:dyDescent="0.3">
      <c r="A1930" s="4"/>
      <c r="B1930" s="27" t="s">
        <v>293</v>
      </c>
      <c r="C1930" s="4"/>
      <c r="D1930" s="1131" t="s">
        <v>3506</v>
      </c>
      <c r="E1930" s="1119"/>
      <c r="F1930"/>
      <c r="G1930"/>
    </row>
    <row r="1931" spans="1:7" ht="15" hidden="1" customHeight="1" x14ac:dyDescent="0.3">
      <c r="A1931" s="4"/>
      <c r="B1931" s="237" t="s">
        <v>405</v>
      </c>
      <c r="C1931" s="216"/>
      <c r="D1931" s="1356" t="s">
        <v>3557</v>
      </c>
      <c r="E1931" s="1119"/>
      <c r="F1931"/>
      <c r="G1931"/>
    </row>
    <row r="1932" spans="1:7" ht="15.75" hidden="1" customHeight="1" x14ac:dyDescent="0.3">
      <c r="A1932" s="4"/>
      <c r="B1932" s="238"/>
      <c r="C1932" s="238"/>
      <c r="D1932" s="1306"/>
      <c r="E1932" s="1119"/>
      <c r="F1932"/>
      <c r="G1932"/>
    </row>
    <row r="1933" spans="1:7" ht="15" hidden="1" customHeight="1" x14ac:dyDescent="0.3">
      <c r="A1933" s="4"/>
      <c r="B1933" s="27" t="s">
        <v>456</v>
      </c>
      <c r="C1933" s="4"/>
      <c r="D1933" s="1367" t="s">
        <v>3521</v>
      </c>
      <c r="E1933" s="1119"/>
      <c r="F1933"/>
      <c r="G1933"/>
    </row>
    <row r="1934" spans="1:7" ht="15.75" hidden="1" customHeight="1" x14ac:dyDescent="0.3">
      <c r="A1934" s="4"/>
      <c r="B1934" s="27"/>
      <c r="C1934" s="4"/>
      <c r="D1934" s="1367"/>
      <c r="E1934" s="1119"/>
      <c r="F1934"/>
      <c r="G1934"/>
    </row>
    <row r="1935" spans="1:7" ht="15" hidden="1" thickTop="1" x14ac:dyDescent="0.3">
      <c r="A1935" s="4"/>
      <c r="B1935" s="237" t="s">
        <v>458</v>
      </c>
      <c r="C1935" s="216"/>
      <c r="D1935" s="1128" t="s">
        <v>3558</v>
      </c>
      <c r="E1935" s="1119"/>
      <c r="F1935"/>
      <c r="G1935"/>
    </row>
    <row r="1936" spans="1:7" ht="15" hidden="1" customHeight="1" x14ac:dyDescent="0.3">
      <c r="A1936" s="4"/>
      <c r="B1936" s="237" t="s">
        <v>460</v>
      </c>
      <c r="C1936" s="216"/>
      <c r="D1936" s="1356" t="s">
        <v>3559</v>
      </c>
      <c r="E1936" s="1119"/>
      <c r="F1936"/>
      <c r="G1936"/>
    </row>
    <row r="1937" spans="1:7" ht="15.75" hidden="1" customHeight="1" x14ac:dyDescent="0.3">
      <c r="A1937" s="4"/>
      <c r="B1937" s="203"/>
      <c r="C1937" s="140"/>
      <c r="D1937" s="1305"/>
      <c r="E1937" s="1119"/>
      <c r="F1937"/>
      <c r="G1937"/>
    </row>
    <row r="1938" spans="1:7" ht="15.75" hidden="1" customHeight="1" x14ac:dyDescent="0.3">
      <c r="A1938" s="4"/>
      <c r="B1938" s="231"/>
      <c r="C1938" s="238"/>
      <c r="D1938" s="1306"/>
      <c r="E1938" s="1119"/>
      <c r="F1938"/>
      <c r="G1938"/>
    </row>
    <row r="1939" spans="1:7" ht="15" hidden="1" customHeight="1" x14ac:dyDescent="0.3">
      <c r="A1939" s="140"/>
      <c r="B1939" s="203" t="s">
        <v>462</v>
      </c>
      <c r="C1939" s="140"/>
      <c r="D1939" s="1293" t="s">
        <v>3560</v>
      </c>
      <c r="E1939" s="1117"/>
      <c r="F1939"/>
      <c r="G1939"/>
    </row>
    <row r="1940" spans="1:7" ht="16.5" hidden="1" customHeight="1" thickBot="1" x14ac:dyDescent="0.35">
      <c r="A1940" s="270"/>
      <c r="B1940" s="213"/>
      <c r="C1940" s="270"/>
      <c r="D1940" s="1348"/>
      <c r="E1940" s="1120"/>
      <c r="F1940"/>
      <c r="G1940"/>
    </row>
    <row r="1941" spans="1:7" ht="15.75" hidden="1" customHeight="1" thickTop="1" x14ac:dyDescent="0.3">
      <c r="A1941" s="152">
        <v>1002.3</v>
      </c>
      <c r="B1941" s="4"/>
      <c r="C1941" s="4"/>
      <c r="D1941" s="1292" t="s">
        <v>3595</v>
      </c>
      <c r="E1941" s="1436"/>
      <c r="F1941"/>
      <c r="G1941"/>
    </row>
    <row r="1942" spans="1:7" ht="15" hidden="1" thickTop="1" x14ac:dyDescent="0.3">
      <c r="A1942" s="4"/>
      <c r="B1942" s="4"/>
      <c r="C1942" s="4"/>
      <c r="D1942" s="1292"/>
      <c r="E1942" s="1436"/>
      <c r="F1942"/>
      <c r="G1942"/>
    </row>
    <row r="1943" spans="1:7" ht="15" hidden="1" thickTop="1" x14ac:dyDescent="0.3">
      <c r="A1943" s="4"/>
      <c r="B1943" s="4"/>
      <c r="C1943" s="4"/>
      <c r="D1943" s="1292"/>
      <c r="E1943" s="1436"/>
      <c r="F1943"/>
      <c r="G1943"/>
    </row>
    <row r="1944" spans="1:7" ht="15" hidden="1" thickTop="1" x14ac:dyDescent="0.3">
      <c r="A1944" s="4"/>
      <c r="B1944" s="4"/>
      <c r="C1944" s="4"/>
      <c r="D1944" s="256" t="s">
        <v>3591</v>
      </c>
      <c r="E1944" s="1436"/>
      <c r="F1944"/>
      <c r="G1944"/>
    </row>
    <row r="1945" spans="1:7" ht="15" hidden="1" customHeight="1" x14ac:dyDescent="0.3">
      <c r="A1945" s="4"/>
      <c r="B1945" s="203" t="s">
        <v>271</v>
      </c>
      <c r="C1945" s="140"/>
      <c r="D1945" s="1305" t="s">
        <v>3561</v>
      </c>
      <c r="E1945" s="1119"/>
      <c r="F1945"/>
      <c r="G1945"/>
    </row>
    <row r="1946" spans="1:7" ht="15.75" hidden="1" customHeight="1" x14ac:dyDescent="0.3">
      <c r="A1946" s="4"/>
      <c r="B1946" s="231"/>
      <c r="C1946" s="238"/>
      <c r="D1946" s="1306"/>
      <c r="E1946" s="1119"/>
      <c r="F1946"/>
      <c r="G1946"/>
    </row>
    <row r="1947" spans="1:7" ht="15" hidden="1" customHeight="1" x14ac:dyDescent="0.3">
      <c r="A1947" s="4"/>
      <c r="B1947" s="237" t="s">
        <v>273</v>
      </c>
      <c r="C1947" s="216"/>
      <c r="D1947" s="1356" t="s">
        <v>3513</v>
      </c>
      <c r="E1947" s="1119"/>
      <c r="F1947"/>
      <c r="G1947"/>
    </row>
    <row r="1948" spans="1:7" ht="15.75" hidden="1" customHeight="1" x14ac:dyDescent="0.3">
      <c r="A1948" s="4"/>
      <c r="B1948" s="140"/>
      <c r="C1948" s="140"/>
      <c r="D1948" s="1305"/>
      <c r="E1948" s="1119"/>
      <c r="F1948"/>
      <c r="G1948"/>
    </row>
    <row r="1949" spans="1:7" ht="15.75" hidden="1" customHeight="1" x14ac:dyDescent="0.3">
      <c r="A1949" s="4"/>
      <c r="B1949" s="140"/>
      <c r="C1949" s="140"/>
      <c r="D1949" s="1305"/>
      <c r="E1949" s="1119"/>
      <c r="F1949"/>
      <c r="G1949"/>
    </row>
    <row r="1950" spans="1:7" ht="15.75" hidden="1" customHeight="1" x14ac:dyDescent="0.3">
      <c r="A1950" s="4"/>
      <c r="B1950" s="238"/>
      <c r="C1950" s="238"/>
      <c r="D1950" s="1306"/>
      <c r="E1950" s="1119"/>
      <c r="F1950"/>
      <c r="G1950"/>
    </row>
    <row r="1951" spans="1:7" ht="15.75" hidden="1" customHeight="1" x14ac:dyDescent="0.3">
      <c r="A1951" s="4"/>
      <c r="B1951" s="237" t="s">
        <v>275</v>
      </c>
      <c r="C1951" s="216"/>
      <c r="D1951" s="1155" t="s">
        <v>3562</v>
      </c>
      <c r="E1951" s="1119"/>
      <c r="F1951"/>
      <c r="G1951"/>
    </row>
    <row r="1952" spans="1:7" ht="15.75" hidden="1" customHeight="1" x14ac:dyDescent="0.3">
      <c r="A1952" s="4"/>
      <c r="B1952" s="140"/>
      <c r="C1952" s="203" t="s">
        <v>121</v>
      </c>
      <c r="D1952" s="1153" t="s">
        <v>3563</v>
      </c>
      <c r="E1952" s="1119"/>
      <c r="F1952"/>
      <c r="G1952"/>
    </row>
    <row r="1953" spans="1:7" ht="15.75" hidden="1" customHeight="1" x14ac:dyDescent="0.3">
      <c r="A1953" s="4"/>
      <c r="B1953" s="140"/>
      <c r="C1953" s="203" t="s">
        <v>122</v>
      </c>
      <c r="D1953" s="1153" t="s">
        <v>3564</v>
      </c>
      <c r="E1953" s="1119"/>
      <c r="F1953"/>
      <c r="G1953"/>
    </row>
    <row r="1954" spans="1:7" ht="15.75" hidden="1" customHeight="1" x14ac:dyDescent="0.3">
      <c r="A1954" s="4"/>
      <c r="B1954" s="140"/>
      <c r="C1954" s="203" t="s">
        <v>123</v>
      </c>
      <c r="D1954" s="1153" t="s">
        <v>3565</v>
      </c>
      <c r="E1954" s="1119"/>
      <c r="F1954"/>
      <c r="G1954"/>
    </row>
    <row r="1955" spans="1:7" ht="15.75" hidden="1" customHeight="1" x14ac:dyDescent="0.3">
      <c r="A1955" s="4"/>
      <c r="B1955" s="140"/>
      <c r="C1955" s="203" t="s">
        <v>423</v>
      </c>
      <c r="D1955" s="1153" t="s">
        <v>3566</v>
      </c>
      <c r="E1955" s="1119"/>
      <c r="F1955"/>
      <c r="G1955"/>
    </row>
    <row r="1956" spans="1:7" ht="15.75" hidden="1" customHeight="1" x14ac:dyDescent="0.3">
      <c r="A1956" s="4"/>
      <c r="B1956" s="140"/>
      <c r="C1956" s="203" t="s">
        <v>578</v>
      </c>
      <c r="D1956" s="1153" t="s">
        <v>3567</v>
      </c>
      <c r="E1956" s="1119"/>
      <c r="F1956"/>
      <c r="G1956"/>
    </row>
    <row r="1957" spans="1:7" ht="15.75" hidden="1" customHeight="1" x14ac:dyDescent="0.3">
      <c r="A1957" s="4"/>
      <c r="B1957" s="238"/>
      <c r="C1957" s="231" t="s">
        <v>645</v>
      </c>
      <c r="D1957" s="1156" t="s">
        <v>3568</v>
      </c>
      <c r="E1957" s="1119"/>
      <c r="F1957"/>
      <c r="G1957"/>
    </row>
    <row r="1958" spans="1:7" ht="15" hidden="1" customHeight="1" x14ac:dyDescent="0.3">
      <c r="A1958" s="4"/>
      <c r="B1958" s="27" t="s">
        <v>285</v>
      </c>
      <c r="C1958" s="4"/>
      <c r="D1958" s="1329" t="s">
        <v>3517</v>
      </c>
      <c r="E1958" s="1119"/>
      <c r="F1958"/>
      <c r="G1958"/>
    </row>
    <row r="1959" spans="1:7" ht="15.75" hidden="1" customHeight="1" x14ac:dyDescent="0.3">
      <c r="A1959" s="4"/>
      <c r="B1959" s="4"/>
      <c r="C1959" s="4"/>
      <c r="D1959" s="1329"/>
      <c r="E1959" s="1119"/>
      <c r="F1959"/>
      <c r="G1959"/>
    </row>
    <row r="1960" spans="1:7" ht="15" hidden="1" thickTop="1" x14ac:dyDescent="0.3">
      <c r="A1960" s="4"/>
      <c r="B1960" s="233" t="s">
        <v>291</v>
      </c>
      <c r="C1960" s="274"/>
      <c r="D1960" s="275" t="s">
        <v>3519</v>
      </c>
      <c r="E1960" s="1119"/>
      <c r="F1960"/>
      <c r="G1960"/>
    </row>
    <row r="1961" spans="1:7" ht="15" hidden="1" customHeight="1" x14ac:dyDescent="0.3">
      <c r="A1961" s="4"/>
      <c r="B1961" s="27" t="s">
        <v>293</v>
      </c>
      <c r="C1961" s="4"/>
      <c r="D1961" s="1329" t="s">
        <v>3569</v>
      </c>
      <c r="E1961" s="1119"/>
      <c r="F1961"/>
      <c r="G1961"/>
    </row>
    <row r="1962" spans="1:7" ht="15.75" hidden="1" customHeight="1" x14ac:dyDescent="0.3">
      <c r="A1962" s="4"/>
      <c r="B1962" s="27"/>
      <c r="C1962" s="4"/>
      <c r="D1962" s="1329"/>
      <c r="E1962" s="1119"/>
      <c r="F1962"/>
      <c r="G1962"/>
    </row>
    <row r="1963" spans="1:7" ht="15" hidden="1" thickTop="1" x14ac:dyDescent="0.3">
      <c r="A1963" s="4"/>
      <c r="B1963" s="233" t="s">
        <v>405</v>
      </c>
      <c r="C1963" s="274"/>
      <c r="D1963" s="275" t="s">
        <v>3525</v>
      </c>
      <c r="E1963" s="1119"/>
      <c r="F1963"/>
      <c r="G1963"/>
    </row>
    <row r="1964" spans="1:7" ht="15" hidden="1" thickTop="1" x14ac:dyDescent="0.3">
      <c r="A1964" s="4"/>
      <c r="B1964" s="27" t="s">
        <v>456</v>
      </c>
      <c r="C1964" s="4"/>
      <c r="D1964" s="1152" t="s">
        <v>3570</v>
      </c>
      <c r="E1964" s="1119"/>
      <c r="F1964"/>
      <c r="G1964"/>
    </row>
    <row r="1965" spans="1:7" ht="15" hidden="1" thickTop="1" x14ac:dyDescent="0.3">
      <c r="A1965" s="4"/>
      <c r="B1965" s="233" t="s">
        <v>458</v>
      </c>
      <c r="C1965" s="274"/>
      <c r="D1965" s="275" t="s">
        <v>3571</v>
      </c>
      <c r="E1965" s="1119"/>
      <c r="F1965"/>
      <c r="G1965"/>
    </row>
    <row r="1966" spans="1:7" ht="15.6" hidden="1" thickTop="1" thickBot="1" x14ac:dyDescent="0.35">
      <c r="A1966" s="270"/>
      <c r="B1966" s="213" t="s">
        <v>460</v>
      </c>
      <c r="C1966" s="270"/>
      <c r="D1966" s="1154" t="s">
        <v>3572</v>
      </c>
      <c r="E1966" s="1120"/>
      <c r="F1966"/>
      <c r="G1966"/>
    </row>
    <row r="1967" spans="1:7" ht="15.75" hidden="1" customHeight="1" thickTop="1" x14ac:dyDescent="0.3">
      <c r="A1967" s="152">
        <v>1002.4</v>
      </c>
      <c r="B1967" s="4"/>
      <c r="C1967" s="4"/>
      <c r="D1967" s="1292" t="s">
        <v>3573</v>
      </c>
      <c r="E1967" s="1119"/>
      <c r="F1967"/>
      <c r="G1967"/>
    </row>
    <row r="1968" spans="1:7" ht="15.75" hidden="1" customHeight="1" x14ac:dyDescent="0.3">
      <c r="A1968" s="4"/>
      <c r="B1968" s="4"/>
      <c r="C1968" s="4"/>
      <c r="D1968" s="1292"/>
      <c r="E1968" s="1119"/>
      <c r="F1968"/>
      <c r="G1968"/>
    </row>
    <row r="1969" spans="1:7" ht="15.75" hidden="1" customHeight="1" x14ac:dyDescent="0.3">
      <c r="A1969" s="4"/>
      <c r="B1969" s="4"/>
      <c r="C1969" s="4"/>
      <c r="D1969" s="1292"/>
      <c r="E1969" s="1119"/>
      <c r="F1969"/>
      <c r="G1969"/>
    </row>
    <row r="1970" spans="1:7" ht="15.75" hidden="1" customHeight="1" x14ac:dyDescent="0.3">
      <c r="A1970" s="4"/>
      <c r="B1970" s="4"/>
      <c r="C1970" s="4"/>
      <c r="D1970" s="1292"/>
      <c r="E1970" s="1119"/>
      <c r="F1970"/>
      <c r="G1970"/>
    </row>
    <row r="1971" spans="1:7" ht="15.75" hidden="1" customHeight="1" x14ac:dyDescent="0.3">
      <c r="A1971" s="4"/>
      <c r="B1971" s="4"/>
      <c r="C1971" s="4"/>
      <c r="D1971" s="1292"/>
      <c r="E1971" s="1119"/>
      <c r="F1971"/>
      <c r="G1971"/>
    </row>
    <row r="1972" spans="1:7" ht="15.75" hidden="1" customHeight="1" x14ac:dyDescent="0.3">
      <c r="A1972" s="4"/>
      <c r="B1972" s="27" t="s">
        <v>271</v>
      </c>
      <c r="C1972" s="4"/>
      <c r="D1972" s="1152" t="s">
        <v>3563</v>
      </c>
      <c r="E1972" s="1119"/>
      <c r="F1972"/>
      <c r="G1972"/>
    </row>
    <row r="1973" spans="1:7" ht="15.75" hidden="1" customHeight="1" x14ac:dyDescent="0.3">
      <c r="A1973" s="4"/>
      <c r="B1973" s="27" t="s">
        <v>273</v>
      </c>
      <c r="C1973" s="4"/>
      <c r="D1973" s="1152" t="s">
        <v>3564</v>
      </c>
      <c r="E1973" s="1119"/>
      <c r="F1973"/>
      <c r="G1973"/>
    </row>
    <row r="1974" spans="1:7" ht="15.75" hidden="1" customHeight="1" x14ac:dyDescent="0.3">
      <c r="A1974" s="4"/>
      <c r="B1974" s="27" t="s">
        <v>275</v>
      </c>
      <c r="C1974" s="4"/>
      <c r="D1974" s="1152" t="s">
        <v>3565</v>
      </c>
      <c r="E1974" s="1119"/>
      <c r="F1974"/>
      <c r="G1974"/>
    </row>
    <row r="1975" spans="1:7" ht="15.75" hidden="1" customHeight="1" x14ac:dyDescent="0.3">
      <c r="A1975" s="4"/>
      <c r="B1975" s="27" t="s">
        <v>285</v>
      </c>
      <c r="C1975" s="4"/>
      <c r="D1975" s="1152" t="s">
        <v>3574</v>
      </c>
      <c r="E1975" s="1119"/>
      <c r="F1975"/>
      <c r="G1975"/>
    </row>
    <row r="1976" spans="1:7" ht="15.75" hidden="1" customHeight="1" x14ac:dyDescent="0.3">
      <c r="A1976" s="4"/>
      <c r="B1976" s="27" t="s">
        <v>291</v>
      </c>
      <c r="C1976" s="4"/>
      <c r="D1976" s="1152" t="s">
        <v>3575</v>
      </c>
      <c r="E1976" s="1119"/>
      <c r="F1976"/>
      <c r="G1976"/>
    </row>
    <row r="1977" spans="1:7" ht="15.75" hidden="1" customHeight="1" x14ac:dyDescent="0.3">
      <c r="A1977" s="4"/>
      <c r="B1977" s="27" t="s">
        <v>293</v>
      </c>
      <c r="C1977" s="4"/>
      <c r="D1977" s="1152" t="s">
        <v>3568</v>
      </c>
      <c r="E1977" s="1119"/>
      <c r="F1977"/>
      <c r="G1977"/>
    </row>
    <row r="1978" spans="1:7" ht="15.75" hidden="1" customHeight="1" x14ac:dyDescent="0.3">
      <c r="A1978" s="4"/>
      <c r="B1978" s="27" t="s">
        <v>405</v>
      </c>
      <c r="C1978" s="4"/>
      <c r="D1978" s="1152" t="s">
        <v>3576</v>
      </c>
      <c r="E1978" s="1119"/>
      <c r="F1978"/>
      <c r="G1978"/>
    </row>
    <row r="1979" spans="1:7" ht="18.600000000000001" hidden="1" thickTop="1" x14ac:dyDescent="0.35">
      <c r="A1979" s="72" t="s">
        <v>3577</v>
      </c>
      <c r="B1979" s="23"/>
      <c r="C1979" s="23"/>
      <c r="D1979" s="258"/>
      <c r="E1979" s="594"/>
      <c r="F1979"/>
      <c r="G1979"/>
    </row>
    <row r="1980" spans="1:7" ht="15" hidden="1" customHeight="1" x14ac:dyDescent="0.3">
      <c r="A1980" s="926" t="s">
        <v>4438</v>
      </c>
      <c r="B1980" s="140"/>
      <c r="C1980" s="140"/>
      <c r="D1980" s="1313" t="s">
        <v>3578</v>
      </c>
      <c r="E1980" s="1117"/>
      <c r="F1980"/>
      <c r="G1980"/>
    </row>
    <row r="1981" spans="1:7" ht="15" hidden="1" thickTop="1" x14ac:dyDescent="0.3">
      <c r="A1981" s="1165"/>
      <c r="B1981" s="140"/>
      <c r="C1981" s="140"/>
      <c r="D1981" s="1313"/>
      <c r="E1981" s="1117"/>
      <c r="F1981"/>
      <c r="G1981"/>
    </row>
    <row r="1982" spans="1:7" ht="15.6" hidden="1" thickTop="1" thickBot="1" x14ac:dyDescent="0.35">
      <c r="A1982" s="903"/>
      <c r="B1982" s="270"/>
      <c r="C1982" s="270"/>
      <c r="D1982" s="1332"/>
      <c r="E1982" s="1120"/>
      <c r="F1982"/>
      <c r="G1982"/>
    </row>
    <row r="1983" spans="1:7" ht="15" hidden="1" thickTop="1" x14ac:dyDescent="0.3">
      <c r="A1983" s="152">
        <v>1003.1</v>
      </c>
      <c r="B1983" s="4"/>
      <c r="C1983" s="4"/>
      <c r="D1983" s="257" t="s">
        <v>3579</v>
      </c>
      <c r="E1983" s="1119"/>
      <c r="F1983"/>
      <c r="G1983"/>
    </row>
    <row r="1984" spans="1:7" ht="15" hidden="1" customHeight="1" x14ac:dyDescent="0.3">
      <c r="A1984" s="1164"/>
      <c r="B1984" s="203" t="s">
        <v>271</v>
      </c>
      <c r="C1984" s="140"/>
      <c r="D1984" s="1313" t="s">
        <v>3581</v>
      </c>
      <c r="E1984" s="1119"/>
      <c r="F1984"/>
      <c r="G1984"/>
    </row>
    <row r="1985" spans="1:7" ht="15.75" hidden="1" customHeight="1" x14ac:dyDescent="0.3">
      <c r="A1985" s="1164"/>
      <c r="B1985" s="231"/>
      <c r="C1985" s="238"/>
      <c r="D1985" s="1350"/>
      <c r="E1985" s="1119"/>
      <c r="F1985"/>
      <c r="G1985"/>
    </row>
    <row r="1986" spans="1:7" ht="15" hidden="1" customHeight="1" x14ac:dyDescent="0.3">
      <c r="A1986" s="1164"/>
      <c r="B1986" s="237" t="s">
        <v>273</v>
      </c>
      <c r="C1986" s="216"/>
      <c r="D1986" s="1364" t="s">
        <v>3582</v>
      </c>
      <c r="E1986" s="1119"/>
      <c r="F1986"/>
      <c r="G1986"/>
    </row>
    <row r="1987" spans="1:7" ht="15.75" hidden="1" customHeight="1" x14ac:dyDescent="0.3">
      <c r="A1987" s="1164"/>
      <c r="B1987" s="203"/>
      <c r="C1987" s="140"/>
      <c r="D1987" s="1313"/>
      <c r="E1987" s="1119"/>
      <c r="F1987"/>
      <c r="G1987"/>
    </row>
    <row r="1988" spans="1:7" ht="15.75" hidden="1" customHeight="1" x14ac:dyDescent="0.3">
      <c r="A1988" s="1164"/>
      <c r="B1988" s="231"/>
      <c r="C1988" s="238"/>
      <c r="D1988" s="1350"/>
      <c r="E1988" s="1119"/>
      <c r="F1988"/>
      <c r="G1988"/>
    </row>
    <row r="1989" spans="1:7" ht="15" hidden="1" customHeight="1" x14ac:dyDescent="0.3">
      <c r="A1989" s="1164"/>
      <c r="B1989" s="27" t="s">
        <v>275</v>
      </c>
      <c r="C1989" s="4"/>
      <c r="D1989" s="1292" t="s">
        <v>3583</v>
      </c>
      <c r="E1989" s="1119"/>
      <c r="F1989"/>
      <c r="G1989"/>
    </row>
    <row r="1990" spans="1:7" ht="15.75" hidden="1" customHeight="1" x14ac:dyDescent="0.3">
      <c r="A1990" s="1164"/>
      <c r="B1990" s="4"/>
      <c r="C1990" s="4"/>
      <c r="D1990" s="1292"/>
      <c r="E1990" s="1119"/>
      <c r="F1990"/>
      <c r="G1990"/>
    </row>
    <row r="1991" spans="1:7" ht="15.75" hidden="1" customHeight="1" x14ac:dyDescent="0.3">
      <c r="A1991" s="1164"/>
      <c r="B1991" s="4"/>
      <c r="C1991" s="4"/>
      <c r="D1991" s="1292"/>
      <c r="E1991" s="1119"/>
      <c r="F1991"/>
      <c r="G1991"/>
    </row>
    <row r="1992" spans="1:7" ht="18.600000000000001" hidden="1" thickTop="1" x14ac:dyDescent="0.35">
      <c r="A1992" s="72" t="s">
        <v>3584</v>
      </c>
      <c r="B1992" s="23"/>
      <c r="C1992" s="23"/>
      <c r="D1992" s="258"/>
      <c r="E1992" s="594"/>
      <c r="F1992"/>
      <c r="G1992"/>
    </row>
    <row r="1993" spans="1:7" ht="15" hidden="1" customHeight="1" x14ac:dyDescent="0.3">
      <c r="A1993" s="926" t="s">
        <v>4439</v>
      </c>
      <c r="B1993" s="140"/>
      <c r="C1993" s="140"/>
      <c r="D1993" s="1313" t="s">
        <v>3585</v>
      </c>
      <c r="E1993" s="1117"/>
      <c r="F1993"/>
      <c r="G1993"/>
    </row>
    <row r="1994" spans="1:7" ht="15" hidden="1" thickTop="1" x14ac:dyDescent="0.3">
      <c r="A1994" s="1165"/>
      <c r="B1994" s="140"/>
      <c r="C1994" s="140"/>
      <c r="D1994" s="1313"/>
      <c r="E1994" s="1117"/>
      <c r="F1994"/>
      <c r="G1994"/>
    </row>
    <row r="1995" spans="1:7" ht="15" hidden="1" thickTop="1" x14ac:dyDescent="0.3">
      <c r="A1995" s="1165"/>
      <c r="B1995" s="140"/>
      <c r="C1995" s="140"/>
      <c r="D1995" s="1313"/>
      <c r="E1995" s="1117"/>
      <c r="F1995"/>
      <c r="G1995"/>
    </row>
    <row r="1996" spans="1:7" ht="15.6" hidden="1" thickTop="1" thickBot="1" x14ac:dyDescent="0.35">
      <c r="A1996" s="903"/>
      <c r="B1996" s="270"/>
      <c r="C1996" s="270"/>
      <c r="D1996" s="1332"/>
      <c r="E1996" s="1120"/>
      <c r="F1996"/>
      <c r="G1996"/>
    </row>
    <row r="1997" spans="1:7" ht="15.75" hidden="1" customHeight="1" thickTop="1" x14ac:dyDescent="0.3">
      <c r="A1997" s="152">
        <v>1004.1</v>
      </c>
      <c r="B1997" s="4"/>
      <c r="C1997" s="4"/>
      <c r="D1997" s="1292" t="s">
        <v>3586</v>
      </c>
      <c r="E1997" s="1119"/>
      <c r="F1997"/>
      <c r="G1997"/>
    </row>
    <row r="1998" spans="1:7" hidden="1" x14ac:dyDescent="0.3">
      <c r="A1998" s="4"/>
      <c r="B1998" s="4"/>
      <c r="C1998" s="4"/>
      <c r="D1998" s="1292"/>
      <c r="E1998" s="1119"/>
      <c r="F1998"/>
      <c r="G1998"/>
    </row>
    <row r="1999" spans="1:7" hidden="1" x14ac:dyDescent="0.3">
      <c r="A1999" s="4"/>
      <c r="B1999" s="4"/>
      <c r="C1999" s="4"/>
      <c r="D1999" s="1292"/>
      <c r="E1999" s="1119"/>
      <c r="F1999"/>
      <c r="G1999"/>
    </row>
    <row r="2000" spans="1:7" hidden="1" x14ac:dyDescent="0.3">
      <c r="A2000" s="4"/>
      <c r="B2000" s="4"/>
      <c r="C2000" s="4"/>
      <c r="D2000" s="1292"/>
      <c r="E2000" s="1119"/>
      <c r="F2000"/>
      <c r="G2000"/>
    </row>
    <row r="2001" spans="1:7" hidden="1" x14ac:dyDescent="0.3">
      <c r="A2001" s="4"/>
      <c r="B2001" s="4"/>
      <c r="C2001" s="4"/>
      <c r="D2001" s="1292"/>
      <c r="E2001" s="1119"/>
      <c r="F2001"/>
      <c r="G2001"/>
    </row>
    <row r="2002" spans="1:7" ht="15" hidden="1" customHeight="1" x14ac:dyDescent="0.3">
      <c r="A2002" s="4"/>
      <c r="B2002" s="203" t="s">
        <v>271</v>
      </c>
      <c r="C2002" s="140"/>
      <c r="D2002" s="1305" t="s">
        <v>4365</v>
      </c>
      <c r="E2002" s="1308"/>
      <c r="F2002"/>
      <c r="G2002"/>
    </row>
    <row r="2003" spans="1:7" ht="15.75" hidden="1" customHeight="1" x14ac:dyDescent="0.3">
      <c r="A2003" s="4"/>
      <c r="B2003" s="231"/>
      <c r="C2003" s="238"/>
      <c r="D2003" s="1306"/>
      <c r="E2003" s="1309"/>
      <c r="F2003"/>
      <c r="G2003"/>
    </row>
    <row r="2004" spans="1:7" ht="15" hidden="1" customHeight="1" x14ac:dyDescent="0.3">
      <c r="A2004" s="4"/>
      <c r="B2004" s="237" t="s">
        <v>273</v>
      </c>
      <c r="C2004" s="216"/>
      <c r="D2004" s="1356" t="s">
        <v>3588</v>
      </c>
      <c r="E2004" s="1324"/>
      <c r="F2004"/>
      <c r="G2004"/>
    </row>
    <row r="2005" spans="1:7" ht="15.75" hidden="1" customHeight="1" x14ac:dyDescent="0.3">
      <c r="A2005" s="4"/>
      <c r="B2005" s="238"/>
      <c r="C2005" s="238"/>
      <c r="D2005" s="1306"/>
      <c r="E2005" s="1309"/>
      <c r="F2005"/>
      <c r="G2005"/>
    </row>
    <row r="2006" spans="1:7" hidden="1" x14ac:dyDescent="0.3">
      <c r="F2006"/>
      <c r="G2006"/>
    </row>
    <row r="2007" spans="1:7" ht="15" thickTop="1" x14ac:dyDescent="0.3"/>
  </sheetData>
  <sheetProtection algorithmName="SHA-512" hashValue="eHnxw2QQ83n6yriOg6pVUna+r25C2M1Hcwk7s6SaJbEa5Msx4HCvT86YhhNqCtS8rgpv8KAHnGlo3HQ4yc+2LA==" saltValue="fGi5czvL0UF8HDRd/FCt7g==" spinCount="100000" sheet="1" objects="1" scenarios="1" selectLockedCells="1"/>
  <autoFilter ref="G7:G2006" xr:uid="{00000000-0009-0000-0000-000010000000}">
    <filterColumn colId="0">
      <customFilters>
        <customFilter operator="notEqual" val=" "/>
      </customFilters>
    </filterColumn>
  </autoFilter>
  <mergeCells count="748">
    <mergeCell ref="D4:D5"/>
    <mergeCell ref="D18:D19"/>
    <mergeCell ref="D20:D21"/>
    <mergeCell ref="D9:D11"/>
    <mergeCell ref="D13:D14"/>
    <mergeCell ref="A6:C7"/>
    <mergeCell ref="D6:D7"/>
    <mergeCell ref="D49:D52"/>
    <mergeCell ref="A54:D54"/>
    <mergeCell ref="D56:D57"/>
    <mergeCell ref="D44:D47"/>
    <mergeCell ref="D38:D39"/>
    <mergeCell ref="D35:D37"/>
    <mergeCell ref="D26:D29"/>
    <mergeCell ref="D24:D25"/>
    <mergeCell ref="D22:D23"/>
    <mergeCell ref="D79:D80"/>
    <mergeCell ref="D82:D83"/>
    <mergeCell ref="D84:D85"/>
    <mergeCell ref="D71:D72"/>
    <mergeCell ref="D76:D77"/>
    <mergeCell ref="D64:D65"/>
    <mergeCell ref="D69:D70"/>
    <mergeCell ref="D58:D59"/>
    <mergeCell ref="D62:D63"/>
    <mergeCell ref="D118:D119"/>
    <mergeCell ref="D120:D121"/>
    <mergeCell ref="D122:D123"/>
    <mergeCell ref="D106:D109"/>
    <mergeCell ref="D113:D114"/>
    <mergeCell ref="D102:D105"/>
    <mergeCell ref="D99:D101"/>
    <mergeCell ref="D87:D88"/>
    <mergeCell ref="D92:D95"/>
    <mergeCell ref="D96:D98"/>
    <mergeCell ref="D154:D155"/>
    <mergeCell ref="D152:D153"/>
    <mergeCell ref="D150:D151"/>
    <mergeCell ref="D147:D149"/>
    <mergeCell ref="D145:D146"/>
    <mergeCell ref="D140:D144"/>
    <mergeCell ref="D132:D133"/>
    <mergeCell ref="D130:D131"/>
    <mergeCell ref="D128:D129"/>
    <mergeCell ref="D172:D173"/>
    <mergeCell ref="D175:D176"/>
    <mergeCell ref="D177:D180"/>
    <mergeCell ref="D169:D171"/>
    <mergeCell ref="D163:D164"/>
    <mergeCell ref="D165:D166"/>
    <mergeCell ref="D167:D168"/>
    <mergeCell ref="D156:D157"/>
    <mergeCell ref="D160:D161"/>
    <mergeCell ref="D217:D219"/>
    <mergeCell ref="D203:D205"/>
    <mergeCell ref="D199:D202"/>
    <mergeCell ref="D197:D198"/>
    <mergeCell ref="D195:D196"/>
    <mergeCell ref="D189:D191"/>
    <mergeCell ref="D192:D193"/>
    <mergeCell ref="D182:D183"/>
    <mergeCell ref="D185:D186"/>
    <mergeCell ref="D187:D188"/>
    <mergeCell ref="D257:D262"/>
    <mergeCell ref="D255:D256"/>
    <mergeCell ref="D245:D247"/>
    <mergeCell ref="D235:D236"/>
    <mergeCell ref="D237:D239"/>
    <mergeCell ref="D240:D243"/>
    <mergeCell ref="D229:D230"/>
    <mergeCell ref="D220:D221"/>
    <mergeCell ref="D222:D223"/>
    <mergeCell ref="D301:D303"/>
    <mergeCell ref="D309:D311"/>
    <mergeCell ref="E298:E300"/>
    <mergeCell ref="D290:D292"/>
    <mergeCell ref="D298:D300"/>
    <mergeCell ref="D286:D288"/>
    <mergeCell ref="D281:D282"/>
    <mergeCell ref="D283:D285"/>
    <mergeCell ref="D264:D266"/>
    <mergeCell ref="D267:D270"/>
    <mergeCell ref="D277:D278"/>
    <mergeCell ref="D279:D280"/>
    <mergeCell ref="D347:D348"/>
    <mergeCell ref="D351:D353"/>
    <mergeCell ref="D354:D355"/>
    <mergeCell ref="D337:D339"/>
    <mergeCell ref="D340:D342"/>
    <mergeCell ref="D343:D345"/>
    <mergeCell ref="D330:D331"/>
    <mergeCell ref="D332:D336"/>
    <mergeCell ref="D314:D315"/>
    <mergeCell ref="D319:D320"/>
    <mergeCell ref="D323:D324"/>
    <mergeCell ref="D325:D326"/>
    <mergeCell ref="D328:D329"/>
    <mergeCell ref="D377:D378"/>
    <mergeCell ref="D381:D382"/>
    <mergeCell ref="D372:D374"/>
    <mergeCell ref="D375:D376"/>
    <mergeCell ref="D366:D368"/>
    <mergeCell ref="D369:D370"/>
    <mergeCell ref="D361:D362"/>
    <mergeCell ref="D363:D364"/>
    <mergeCell ref="D356:D357"/>
    <mergeCell ref="D411:D414"/>
    <mergeCell ref="D409:D410"/>
    <mergeCell ref="D407:D408"/>
    <mergeCell ref="D404:D405"/>
    <mergeCell ref="D402:D403"/>
    <mergeCell ref="D393:D396"/>
    <mergeCell ref="D397:D399"/>
    <mergeCell ref="D383:D385"/>
    <mergeCell ref="D386:D387"/>
    <mergeCell ref="D389:D392"/>
    <mergeCell ref="D450:D455"/>
    <mergeCell ref="D461:D462"/>
    <mergeCell ref="D447:D448"/>
    <mergeCell ref="D442:D444"/>
    <mergeCell ref="D445:D446"/>
    <mergeCell ref="D437:D440"/>
    <mergeCell ref="D433:D435"/>
    <mergeCell ref="D415:D416"/>
    <mergeCell ref="D418:D422"/>
    <mergeCell ref="D427:D428"/>
    <mergeCell ref="D478:D481"/>
    <mergeCell ref="D482:D483"/>
    <mergeCell ref="E474:E475"/>
    <mergeCell ref="E478:E481"/>
    <mergeCell ref="D468:D471"/>
    <mergeCell ref="D472:D473"/>
    <mergeCell ref="D474:D475"/>
    <mergeCell ref="D463:D464"/>
    <mergeCell ref="D465:D466"/>
    <mergeCell ref="D506:D508"/>
    <mergeCell ref="D509:D511"/>
    <mergeCell ref="D513:D515"/>
    <mergeCell ref="D501:D502"/>
    <mergeCell ref="D503:D504"/>
    <mergeCell ref="D492:D496"/>
    <mergeCell ref="D497:D498"/>
    <mergeCell ref="D485:D487"/>
    <mergeCell ref="D488:D490"/>
    <mergeCell ref="D538:D541"/>
    <mergeCell ref="D543:D544"/>
    <mergeCell ref="D545:D546"/>
    <mergeCell ref="D547:D548"/>
    <mergeCell ref="D529:D530"/>
    <mergeCell ref="D532:D537"/>
    <mergeCell ref="D520:D521"/>
    <mergeCell ref="D524:D525"/>
    <mergeCell ref="D516:D517"/>
    <mergeCell ref="D603:D604"/>
    <mergeCell ref="D589:D590"/>
    <mergeCell ref="D592:D593"/>
    <mergeCell ref="D600:D601"/>
    <mergeCell ref="D580:D581"/>
    <mergeCell ref="D583:D584"/>
    <mergeCell ref="D585:D586"/>
    <mergeCell ref="D587:D588"/>
    <mergeCell ref="D549:D551"/>
    <mergeCell ref="D553:D555"/>
    <mergeCell ref="D556:D557"/>
    <mergeCell ref="D630:D631"/>
    <mergeCell ref="D632:D634"/>
    <mergeCell ref="D635:D636"/>
    <mergeCell ref="D621:D623"/>
    <mergeCell ref="D624:D625"/>
    <mergeCell ref="D618:D619"/>
    <mergeCell ref="D613:D614"/>
    <mergeCell ref="D615:D616"/>
    <mergeCell ref="D606:D609"/>
    <mergeCell ref="D664:D667"/>
    <mergeCell ref="D668:D670"/>
    <mergeCell ref="D677:D679"/>
    <mergeCell ref="D680:D681"/>
    <mergeCell ref="D662:D663"/>
    <mergeCell ref="D655:D661"/>
    <mergeCell ref="E655:E661"/>
    <mergeCell ref="D638:D643"/>
    <mergeCell ref="D644:D645"/>
    <mergeCell ref="D646:D648"/>
    <mergeCell ref="E662:E663"/>
    <mergeCell ref="E664:E667"/>
    <mergeCell ref="D726:D727"/>
    <mergeCell ref="D715:D717"/>
    <mergeCell ref="D724:D725"/>
    <mergeCell ref="D702:D703"/>
    <mergeCell ref="D704:D705"/>
    <mergeCell ref="D707:D711"/>
    <mergeCell ref="D713:D714"/>
    <mergeCell ref="D682:D689"/>
    <mergeCell ref="D694:D695"/>
    <mergeCell ref="D756:D763"/>
    <mergeCell ref="D765:D770"/>
    <mergeCell ref="D749:D750"/>
    <mergeCell ref="D751:D755"/>
    <mergeCell ref="D743:D746"/>
    <mergeCell ref="D747:D748"/>
    <mergeCell ref="D737:D738"/>
    <mergeCell ref="D739:D740"/>
    <mergeCell ref="D728:D732"/>
    <mergeCell ref="D733:D736"/>
    <mergeCell ref="D793:D794"/>
    <mergeCell ref="D795:D796"/>
    <mergeCell ref="D800:D802"/>
    <mergeCell ref="D785:D792"/>
    <mergeCell ref="E785:E792"/>
    <mergeCell ref="D773:D776"/>
    <mergeCell ref="D777:D778"/>
    <mergeCell ref="D779:D781"/>
    <mergeCell ref="D782:D784"/>
    <mergeCell ref="D849:D850"/>
    <mergeCell ref="D851:D852"/>
    <mergeCell ref="D841:D842"/>
    <mergeCell ref="D844:D845"/>
    <mergeCell ref="D832:D834"/>
    <mergeCell ref="D835:D839"/>
    <mergeCell ref="D813:D814"/>
    <mergeCell ref="D816:D819"/>
    <mergeCell ref="D803:D807"/>
    <mergeCell ref="D809:D811"/>
    <mergeCell ref="D881:D886"/>
    <mergeCell ref="D887:D892"/>
    <mergeCell ref="D875:D877"/>
    <mergeCell ref="D878:D880"/>
    <mergeCell ref="D868:D869"/>
    <mergeCell ref="D872:D874"/>
    <mergeCell ref="D863:D864"/>
    <mergeCell ref="D865:D867"/>
    <mergeCell ref="D856:D857"/>
    <mergeCell ref="D859:D862"/>
    <mergeCell ref="D920:D921"/>
    <mergeCell ref="D923:D928"/>
    <mergeCell ref="D929:D932"/>
    <mergeCell ref="D913:D915"/>
    <mergeCell ref="D916:D917"/>
    <mergeCell ref="E907:E911"/>
    <mergeCell ref="D903:D906"/>
    <mergeCell ref="D907:D911"/>
    <mergeCell ref="D893:D894"/>
    <mergeCell ref="D895:D896"/>
    <mergeCell ref="D900:D901"/>
    <mergeCell ref="D970:D974"/>
    <mergeCell ref="D955:D960"/>
    <mergeCell ref="D962:D969"/>
    <mergeCell ref="D951:D953"/>
    <mergeCell ref="D948:D950"/>
    <mergeCell ref="D946:D947"/>
    <mergeCell ref="D939:D944"/>
    <mergeCell ref="D933:D934"/>
    <mergeCell ref="D936:D937"/>
    <mergeCell ref="D1043:D1045"/>
    <mergeCell ref="D1040:D1041"/>
    <mergeCell ref="E1040:E1041"/>
    <mergeCell ref="D1023:D1025"/>
    <mergeCell ref="D1032:D1034"/>
    <mergeCell ref="D1000:D1004"/>
    <mergeCell ref="D978:D985"/>
    <mergeCell ref="D987:D994"/>
    <mergeCell ref="D995:D996"/>
    <mergeCell ref="E1043:E1046"/>
    <mergeCell ref="D1109:D1111"/>
    <mergeCell ref="D1092:D1093"/>
    <mergeCell ref="D1104:D1105"/>
    <mergeCell ref="D1072:D1073"/>
    <mergeCell ref="D1076:D1080"/>
    <mergeCell ref="D1060:D1061"/>
    <mergeCell ref="D1063:D1064"/>
    <mergeCell ref="D1047:D1049"/>
    <mergeCell ref="D1055:D1058"/>
    <mergeCell ref="D1138:D1139"/>
    <mergeCell ref="D1140:D1141"/>
    <mergeCell ref="D1134:D1135"/>
    <mergeCell ref="D1136:D1137"/>
    <mergeCell ref="D1132:D1133"/>
    <mergeCell ref="E1132:E1133"/>
    <mergeCell ref="D1124:D1125"/>
    <mergeCell ref="D1122:D1123"/>
    <mergeCell ref="D1118:D1119"/>
    <mergeCell ref="D1120:D1121"/>
    <mergeCell ref="D1162:D1163"/>
    <mergeCell ref="D1166:D1167"/>
    <mergeCell ref="D1168:D1169"/>
    <mergeCell ref="D1155:D1159"/>
    <mergeCell ref="D1160:D1161"/>
    <mergeCell ref="D1148:D1149"/>
    <mergeCell ref="D1150:D1151"/>
    <mergeCell ref="D1142:D1143"/>
    <mergeCell ref="D1145:D1146"/>
    <mergeCell ref="D1189:D1190"/>
    <mergeCell ref="D1192:D1193"/>
    <mergeCell ref="D1185:D1186"/>
    <mergeCell ref="D1187:D1188"/>
    <mergeCell ref="D1178:D1179"/>
    <mergeCell ref="D1180:D1182"/>
    <mergeCell ref="D1183:D1184"/>
    <mergeCell ref="D1172:D1173"/>
    <mergeCell ref="D1174:D1175"/>
    <mergeCell ref="D1230:D1231"/>
    <mergeCell ref="D1224:D1225"/>
    <mergeCell ref="D1226:D1227"/>
    <mergeCell ref="D1213:D1216"/>
    <mergeCell ref="D1217:D1219"/>
    <mergeCell ref="D1205:D1206"/>
    <mergeCell ref="D1207:D1209"/>
    <mergeCell ref="D1210:D1211"/>
    <mergeCell ref="D1194:D1195"/>
    <mergeCell ref="D1196:D1198"/>
    <mergeCell ref="D1199:D1200"/>
    <mergeCell ref="D1201:D1202"/>
    <mergeCell ref="D1203:D1204"/>
    <mergeCell ref="D1274:D1279"/>
    <mergeCell ref="D1265:D1266"/>
    <mergeCell ref="D1260:D1264"/>
    <mergeCell ref="D1256:D1258"/>
    <mergeCell ref="D1252:D1254"/>
    <mergeCell ref="D1250:D1251"/>
    <mergeCell ref="D1242:D1244"/>
    <mergeCell ref="D1247:D1248"/>
    <mergeCell ref="D1233:D1234"/>
    <mergeCell ref="D1237:D1239"/>
    <mergeCell ref="D1317:D1318"/>
    <mergeCell ref="D1305:D1306"/>
    <mergeCell ref="D1314:D1315"/>
    <mergeCell ref="D1303:D1304"/>
    <mergeCell ref="D1291:D1293"/>
    <mergeCell ref="D1294:D1295"/>
    <mergeCell ref="D1297:D1298"/>
    <mergeCell ref="D1281:D1283"/>
    <mergeCell ref="D1284:D1285"/>
    <mergeCell ref="D1289:D1290"/>
    <mergeCell ref="D1339:D1341"/>
    <mergeCell ref="D1342:D1343"/>
    <mergeCell ref="D1344:D1345"/>
    <mergeCell ref="D1334:D1335"/>
    <mergeCell ref="D1336:D1338"/>
    <mergeCell ref="D1326:D1327"/>
    <mergeCell ref="D1331:D1332"/>
    <mergeCell ref="D1321:D1324"/>
    <mergeCell ref="D1319:D1320"/>
    <mergeCell ref="D1379:D1380"/>
    <mergeCell ref="D1370:D1373"/>
    <mergeCell ref="D1374:D1376"/>
    <mergeCell ref="D1377:D1378"/>
    <mergeCell ref="D1368:D1369"/>
    <mergeCell ref="D1366:D1367"/>
    <mergeCell ref="D1364:D1365"/>
    <mergeCell ref="D1346:D1347"/>
    <mergeCell ref="D1350:D1351"/>
    <mergeCell ref="D1352:D1353"/>
    <mergeCell ref="D1397:D1401"/>
    <mergeCell ref="D1402:D1404"/>
    <mergeCell ref="D1405:D1407"/>
    <mergeCell ref="D1411:D1412"/>
    <mergeCell ref="D1390:D1392"/>
    <mergeCell ref="D1393:D1394"/>
    <mergeCell ref="D1381:D1382"/>
    <mergeCell ref="D1385:D1386"/>
    <mergeCell ref="D1387:D1389"/>
    <mergeCell ref="D1449:D1450"/>
    <mergeCell ref="D1440:D1445"/>
    <mergeCell ref="D1446:D1448"/>
    <mergeCell ref="D1430:D1431"/>
    <mergeCell ref="D1435:D1436"/>
    <mergeCell ref="D1437:D1438"/>
    <mergeCell ref="D1422:D1426"/>
    <mergeCell ref="D1427:D1429"/>
    <mergeCell ref="D1413:D1414"/>
    <mergeCell ref="D1415:D1416"/>
    <mergeCell ref="D1417:D1419"/>
    <mergeCell ref="D1420:D1421"/>
    <mergeCell ref="D1474:D1476"/>
    <mergeCell ref="D1478:D1479"/>
    <mergeCell ref="D1481:D1483"/>
    <mergeCell ref="E1480:E1483"/>
    <mergeCell ref="D1467:D1468"/>
    <mergeCell ref="D1469:D1470"/>
    <mergeCell ref="D1471:D1473"/>
    <mergeCell ref="D1464:D1465"/>
    <mergeCell ref="D1457:D1458"/>
    <mergeCell ref="D1460:D1462"/>
    <mergeCell ref="D1509:D1510"/>
    <mergeCell ref="D1505:D1506"/>
    <mergeCell ref="D1507:D1508"/>
    <mergeCell ref="D1496:D1498"/>
    <mergeCell ref="D1499:D1500"/>
    <mergeCell ref="D1502:D1503"/>
    <mergeCell ref="D1494:D1495"/>
    <mergeCell ref="D1488:D1490"/>
    <mergeCell ref="D1484:D1485"/>
    <mergeCell ref="D1543:D1545"/>
    <mergeCell ref="D1548:D1550"/>
    <mergeCell ref="D1540:D1542"/>
    <mergeCell ref="D1533:D1534"/>
    <mergeCell ref="D1530:D1531"/>
    <mergeCell ref="D1524:D1526"/>
    <mergeCell ref="D1511:D1512"/>
    <mergeCell ref="D1515:D1516"/>
    <mergeCell ref="D1519:D1520"/>
    <mergeCell ref="D1521:D1523"/>
    <mergeCell ref="D1580:D1582"/>
    <mergeCell ref="D1568:D1569"/>
    <mergeCell ref="D1576:D1579"/>
    <mergeCell ref="D1565:D1566"/>
    <mergeCell ref="D1559:D1562"/>
    <mergeCell ref="D1563:D1564"/>
    <mergeCell ref="D1553:D1554"/>
    <mergeCell ref="D1551:D1552"/>
    <mergeCell ref="E1551:E1552"/>
    <mergeCell ref="E1553:E1555"/>
    <mergeCell ref="E1559:E1564"/>
    <mergeCell ref="E1565:E1566"/>
    <mergeCell ref="E1580:E1582"/>
    <mergeCell ref="D1599:D1600"/>
    <mergeCell ref="D1604:D1605"/>
    <mergeCell ref="D1597:D1598"/>
    <mergeCell ref="E1594:E1596"/>
    <mergeCell ref="E1597:E1598"/>
    <mergeCell ref="D1592:D1593"/>
    <mergeCell ref="D1594:D1596"/>
    <mergeCell ref="D1587:D1588"/>
    <mergeCell ref="D1589:D1591"/>
    <mergeCell ref="E1599:E1600"/>
    <mergeCell ref="E1604:E1605"/>
    <mergeCell ref="E1589:E1591"/>
    <mergeCell ref="E1592:E1593"/>
    <mergeCell ref="E1639:E1641"/>
    <mergeCell ref="D1634:D1635"/>
    <mergeCell ref="D1637:D1638"/>
    <mergeCell ref="D1627:D1628"/>
    <mergeCell ref="D1631:D1632"/>
    <mergeCell ref="D1615:D1617"/>
    <mergeCell ref="D1618:D1621"/>
    <mergeCell ref="D1606:D1607"/>
    <mergeCell ref="D1608:D1613"/>
    <mergeCell ref="E1606:E1607"/>
    <mergeCell ref="E1608:E1613"/>
    <mergeCell ref="E1615:E1617"/>
    <mergeCell ref="E1637:E1638"/>
    <mergeCell ref="D1671:D1673"/>
    <mergeCell ref="D1674:D1675"/>
    <mergeCell ref="D1665:D1670"/>
    <mergeCell ref="D1651:D1654"/>
    <mergeCell ref="D1663:D1664"/>
    <mergeCell ref="D1642:D1643"/>
    <mergeCell ref="D1644:D1648"/>
    <mergeCell ref="D1649:D1650"/>
    <mergeCell ref="D1639:D1641"/>
    <mergeCell ref="D1710:D1711"/>
    <mergeCell ref="D1712:D1713"/>
    <mergeCell ref="D1701:D1703"/>
    <mergeCell ref="D1705:D1709"/>
    <mergeCell ref="D1692:D1694"/>
    <mergeCell ref="D1695:D1699"/>
    <mergeCell ref="D1683:D1684"/>
    <mergeCell ref="D1686:D1691"/>
    <mergeCell ref="D1676:D1677"/>
    <mergeCell ref="D1681:D1682"/>
    <mergeCell ref="D1748:D1749"/>
    <mergeCell ref="D1739:D1740"/>
    <mergeCell ref="D1735:D1736"/>
    <mergeCell ref="D1730:D1731"/>
    <mergeCell ref="D1732:D1734"/>
    <mergeCell ref="D1726:D1727"/>
    <mergeCell ref="D1728:D1729"/>
    <mergeCell ref="D1720:D1721"/>
    <mergeCell ref="D1716:D1717"/>
    <mergeCell ref="D1718:D1719"/>
    <mergeCell ref="D1772:D1774"/>
    <mergeCell ref="D1769:D1771"/>
    <mergeCell ref="D1763:D1764"/>
    <mergeCell ref="D1767:D1768"/>
    <mergeCell ref="D1754:D1756"/>
    <mergeCell ref="D1758:D1760"/>
    <mergeCell ref="D1761:D1762"/>
    <mergeCell ref="D1750:D1751"/>
    <mergeCell ref="D1752:D1753"/>
    <mergeCell ref="D1801:D1802"/>
    <mergeCell ref="D1803:D1804"/>
    <mergeCell ref="D1791:D1792"/>
    <mergeCell ref="D1796:D1797"/>
    <mergeCell ref="D1789:D1790"/>
    <mergeCell ref="D1784:D1785"/>
    <mergeCell ref="D1786:D1788"/>
    <mergeCell ref="D1775:D1776"/>
    <mergeCell ref="D1782:D1783"/>
    <mergeCell ref="D1828:D1829"/>
    <mergeCell ref="D1830:D1831"/>
    <mergeCell ref="D1835:D1838"/>
    <mergeCell ref="D1825:D1826"/>
    <mergeCell ref="D1820:D1824"/>
    <mergeCell ref="D1816:D1818"/>
    <mergeCell ref="D1806:D1807"/>
    <mergeCell ref="D1809:D1810"/>
    <mergeCell ref="D1811:D1815"/>
    <mergeCell ref="D1862:D1863"/>
    <mergeCell ref="D1865:D1866"/>
    <mergeCell ref="D1856:D1859"/>
    <mergeCell ref="D1860:D1861"/>
    <mergeCell ref="D1846:D1847"/>
    <mergeCell ref="D1850:D1851"/>
    <mergeCell ref="D1854:D1855"/>
    <mergeCell ref="D1841:D1842"/>
    <mergeCell ref="D1843:D1844"/>
    <mergeCell ref="D1899:D1901"/>
    <mergeCell ref="D1902:D1904"/>
    <mergeCell ref="D1878:D1881"/>
    <mergeCell ref="D1890:D1895"/>
    <mergeCell ref="D1896:D1897"/>
    <mergeCell ref="D1872:D1873"/>
    <mergeCell ref="D1874:D1875"/>
    <mergeCell ref="D1867:D1868"/>
    <mergeCell ref="D1870:D1871"/>
    <mergeCell ref="D1931:D1932"/>
    <mergeCell ref="D1923:D1924"/>
    <mergeCell ref="D1925:D1927"/>
    <mergeCell ref="D1918:D1919"/>
    <mergeCell ref="D1920:D1922"/>
    <mergeCell ref="D1912:D1913"/>
    <mergeCell ref="D1914:D1916"/>
    <mergeCell ref="D1905:D1906"/>
    <mergeCell ref="D1908:D1909"/>
    <mergeCell ref="E6:E7"/>
    <mergeCell ref="E13:E14"/>
    <mergeCell ref="E18:E19"/>
    <mergeCell ref="E20:E21"/>
    <mergeCell ref="E22:E23"/>
    <mergeCell ref="E24:E25"/>
    <mergeCell ref="D2004:D2005"/>
    <mergeCell ref="D1993:D1996"/>
    <mergeCell ref="D1997:D2001"/>
    <mergeCell ref="D2002:D2003"/>
    <mergeCell ref="D1986:D1988"/>
    <mergeCell ref="D1989:D1991"/>
    <mergeCell ref="D1967:D1971"/>
    <mergeCell ref="D1980:D1982"/>
    <mergeCell ref="D1984:D1985"/>
    <mergeCell ref="D1958:D1959"/>
    <mergeCell ref="D1961:D1962"/>
    <mergeCell ref="D1945:D1946"/>
    <mergeCell ref="D1947:D1950"/>
    <mergeCell ref="D1939:D1940"/>
    <mergeCell ref="D1941:D1943"/>
    <mergeCell ref="D1933:D1934"/>
    <mergeCell ref="D1936:D1938"/>
    <mergeCell ref="D1928:D1929"/>
    <mergeCell ref="E26:E34"/>
    <mergeCell ref="E35:E37"/>
    <mergeCell ref="E38:E39"/>
    <mergeCell ref="E44:E47"/>
    <mergeCell ref="E56:E57"/>
    <mergeCell ref="E58:E59"/>
    <mergeCell ref="E130:E131"/>
    <mergeCell ref="E132:E133"/>
    <mergeCell ref="E140:E144"/>
    <mergeCell ref="E84:E90"/>
    <mergeCell ref="E62:E63"/>
    <mergeCell ref="E64:E65"/>
    <mergeCell ref="E69:E70"/>
    <mergeCell ref="E71:E72"/>
    <mergeCell ref="E76:E77"/>
    <mergeCell ref="E82:E83"/>
    <mergeCell ref="E145:E146"/>
    <mergeCell ref="E147:E149"/>
    <mergeCell ref="E150:E151"/>
    <mergeCell ref="E99:E101"/>
    <mergeCell ref="E102:E105"/>
    <mergeCell ref="E106:E109"/>
    <mergeCell ref="E113:E114"/>
    <mergeCell ref="E122:E123"/>
    <mergeCell ref="E128:E129"/>
    <mergeCell ref="E177:E181"/>
    <mergeCell ref="E185:E186"/>
    <mergeCell ref="E187:E188"/>
    <mergeCell ref="E192:E193"/>
    <mergeCell ref="E195:E196"/>
    <mergeCell ref="E197:E198"/>
    <mergeCell ref="E152:E153"/>
    <mergeCell ref="E154:E155"/>
    <mergeCell ref="E156:E157"/>
    <mergeCell ref="E165:E166"/>
    <mergeCell ref="E167:E168"/>
    <mergeCell ref="E169:E171"/>
    <mergeCell ref="E245:E247"/>
    <mergeCell ref="E255:E256"/>
    <mergeCell ref="E257:E262"/>
    <mergeCell ref="E267:E270"/>
    <mergeCell ref="E283:E285"/>
    <mergeCell ref="E286:E288"/>
    <mergeCell ref="E199:E202"/>
    <mergeCell ref="E203:E205"/>
    <mergeCell ref="E207:E214"/>
    <mergeCell ref="E222:E223"/>
    <mergeCell ref="E229:E230"/>
    <mergeCell ref="E235:E236"/>
    <mergeCell ref="E363:E364"/>
    <mergeCell ref="E369:E370"/>
    <mergeCell ref="E375:E376"/>
    <mergeCell ref="E381:E382"/>
    <mergeCell ref="E383:E385"/>
    <mergeCell ref="E389:E392"/>
    <mergeCell ref="E309:E311"/>
    <mergeCell ref="E314:E315"/>
    <mergeCell ref="E332:E339"/>
    <mergeCell ref="E340:E345"/>
    <mergeCell ref="E354:E355"/>
    <mergeCell ref="E356:E359"/>
    <mergeCell ref="E411:E414"/>
    <mergeCell ref="E433:E435"/>
    <mergeCell ref="E437:E440"/>
    <mergeCell ref="E447:E448"/>
    <mergeCell ref="E450:E462"/>
    <mergeCell ref="E465:E467"/>
    <mergeCell ref="E393:E396"/>
    <mergeCell ref="E397:E399"/>
    <mergeCell ref="E402:E403"/>
    <mergeCell ref="E404:E406"/>
    <mergeCell ref="E407:E408"/>
    <mergeCell ref="E409:E410"/>
    <mergeCell ref="E532:E546"/>
    <mergeCell ref="E547:E548"/>
    <mergeCell ref="E556:E557"/>
    <mergeCell ref="E572:E581"/>
    <mergeCell ref="E600:E602"/>
    <mergeCell ref="E603:E605"/>
    <mergeCell ref="E488:E490"/>
    <mergeCell ref="E497:E498"/>
    <mergeCell ref="E503:E508"/>
    <mergeCell ref="E509:E515"/>
    <mergeCell ref="E516:E518"/>
    <mergeCell ref="E520:E527"/>
    <mergeCell ref="E707:E714"/>
    <mergeCell ref="E715:E717"/>
    <mergeCell ref="E726:E727"/>
    <mergeCell ref="E751:E755"/>
    <mergeCell ref="E606:E611"/>
    <mergeCell ref="E615:E616"/>
    <mergeCell ref="E618:E619"/>
    <mergeCell ref="E621:E628"/>
    <mergeCell ref="E630:E636"/>
    <mergeCell ref="E646:E654"/>
    <mergeCell ref="E1047:E1049"/>
    <mergeCell ref="E1060:E1061"/>
    <mergeCell ref="E1066:E1067"/>
    <mergeCell ref="E1068:E1069"/>
    <mergeCell ref="E1076:E1080"/>
    <mergeCell ref="E939:E944"/>
    <mergeCell ref="E946:E947"/>
    <mergeCell ref="E948:E950"/>
    <mergeCell ref="E951:E953"/>
    <mergeCell ref="E970:E974"/>
    <mergeCell ref="E1000:E1004"/>
    <mergeCell ref="E1160:E1161"/>
    <mergeCell ref="E1162:E1163"/>
    <mergeCell ref="E1189:E1190"/>
    <mergeCell ref="E1213:E1220"/>
    <mergeCell ref="E1226:E1227"/>
    <mergeCell ref="E1230:E1231"/>
    <mergeCell ref="E1092:E1093"/>
    <mergeCell ref="E1104:E1105"/>
    <mergeCell ref="E1109:E1111"/>
    <mergeCell ref="E1120:E1121"/>
    <mergeCell ref="E1122:E1123"/>
    <mergeCell ref="E1124:E1125"/>
    <mergeCell ref="E1256:E1258"/>
    <mergeCell ref="E1260:E1264"/>
    <mergeCell ref="E1265:E1266"/>
    <mergeCell ref="E1274:E1279"/>
    <mergeCell ref="E1291:E1293"/>
    <mergeCell ref="E1299:E1301"/>
    <mergeCell ref="E1233:E1234"/>
    <mergeCell ref="E1237:E1239"/>
    <mergeCell ref="E1242:E1244"/>
    <mergeCell ref="E1247:E1248"/>
    <mergeCell ref="E1250:E1251"/>
    <mergeCell ref="E1252:E1254"/>
    <mergeCell ref="E1339:E1341"/>
    <mergeCell ref="E1346:E1347"/>
    <mergeCell ref="E1364:E1365"/>
    <mergeCell ref="E1366:E1367"/>
    <mergeCell ref="E1368:E1369"/>
    <mergeCell ref="E1370:E1373"/>
    <mergeCell ref="E1305:E1306"/>
    <mergeCell ref="E1317:E1318"/>
    <mergeCell ref="E1319:E1320"/>
    <mergeCell ref="E1321:E1324"/>
    <mergeCell ref="E1326:E1327"/>
    <mergeCell ref="E1336:E1338"/>
    <mergeCell ref="E1440:E1445"/>
    <mergeCell ref="E1449:E1450"/>
    <mergeCell ref="E1454:E1455"/>
    <mergeCell ref="E1459:E1462"/>
    <mergeCell ref="E1464:E1466"/>
    <mergeCell ref="E1471:E1473"/>
    <mergeCell ref="E1379:E1380"/>
    <mergeCell ref="E1387:E1389"/>
    <mergeCell ref="E1390:E1392"/>
    <mergeCell ref="E1397:E1401"/>
    <mergeCell ref="E1427:E1429"/>
    <mergeCell ref="E1433:E1434"/>
    <mergeCell ref="E1524:E1526"/>
    <mergeCell ref="E1530:E1531"/>
    <mergeCell ref="E1533:E1535"/>
    <mergeCell ref="E1540:E1542"/>
    <mergeCell ref="E1543:E1545"/>
    <mergeCell ref="E1548:E1550"/>
    <mergeCell ref="E1484:E1485"/>
    <mergeCell ref="E1488:E1490"/>
    <mergeCell ref="E1494:E1495"/>
    <mergeCell ref="E1502:E1504"/>
    <mergeCell ref="E1505:E1506"/>
    <mergeCell ref="E1509:E1510"/>
    <mergeCell ref="E1718:E1719"/>
    <mergeCell ref="E1720:E1721"/>
    <mergeCell ref="E1728:E1729"/>
    <mergeCell ref="E1732:E1734"/>
    <mergeCell ref="E1644:E1650"/>
    <mergeCell ref="E1665:E1670"/>
    <mergeCell ref="E1674:E1675"/>
    <mergeCell ref="E1681:E1684"/>
    <mergeCell ref="E1686:E1691"/>
    <mergeCell ref="E1692:E1694"/>
    <mergeCell ref="D1:D3"/>
    <mergeCell ref="F6:F7"/>
    <mergeCell ref="E2002:E2003"/>
    <mergeCell ref="E2004:E2005"/>
    <mergeCell ref="E1820:E1824"/>
    <mergeCell ref="E1825:E1826"/>
    <mergeCell ref="E1830:E1832"/>
    <mergeCell ref="E1896:E1898"/>
    <mergeCell ref="E1914:E1917"/>
    <mergeCell ref="E1941:E1944"/>
    <mergeCell ref="E1772:E1774"/>
    <mergeCell ref="E1782:E1783"/>
    <mergeCell ref="E1789:E1790"/>
    <mergeCell ref="E1803:E1804"/>
    <mergeCell ref="E1811:E1815"/>
    <mergeCell ref="E1816:E1818"/>
    <mergeCell ref="E1735:E1736"/>
    <mergeCell ref="E1739:E1740"/>
    <mergeCell ref="E1748:E1749"/>
    <mergeCell ref="E1758:E1760"/>
    <mergeCell ref="E1767:E1768"/>
    <mergeCell ref="E1769:E1771"/>
    <mergeCell ref="E1705:E1709"/>
    <mergeCell ref="E1712:E1713"/>
  </mergeCells>
  <conditionalFormatting sqref="E1941:E1944">
    <cfRule type="cellIs" dxfId="49" priority="2241" operator="greaterThan">
      <formula>0</formula>
    </cfRule>
  </conditionalFormatting>
  <conditionalFormatting sqref="E1914:E1917">
    <cfRule type="cellIs" dxfId="48" priority="2240" operator="greaterThan">
      <formula>0</formula>
    </cfRule>
  </conditionalFormatting>
  <conditionalFormatting sqref="E1896:E1898">
    <cfRule type="cellIs" dxfId="47" priority="2239" operator="greaterThan">
      <formula>0</formula>
    </cfRule>
  </conditionalFormatting>
  <conditionalFormatting sqref="F15">
    <cfRule type="notContainsBlanks" dxfId="46" priority="31">
      <formula>LEN(TRIM(F15))&gt;0</formula>
    </cfRule>
  </conditionalFormatting>
  <conditionalFormatting sqref="E13 E24 E113 E128 E134 E139 E140 E192 E194 E195 E222 E235 E245 E248 E267 E309 E314 E450 E465 E474 E476 E477 E488 E497 E499 E726 E1589 E1592 E1594 E1597 E1599 E1601 E1604 E1606 E1608 E1614">
    <cfRule type="cellIs" dxfId="45" priority="30" operator="greaterThan">
      <formula>0</formula>
    </cfRule>
  </conditionalFormatting>
  <conditionalFormatting sqref="F728">
    <cfRule type="notContainsBlanks" dxfId="44" priority="19">
      <formula>LEN(TRIM(F728))&gt;0</formula>
    </cfRule>
  </conditionalFormatting>
  <conditionalFormatting sqref="F67">
    <cfRule type="notContainsBlanks" dxfId="43" priority="28">
      <formula>LEN(TRIM(F67))&gt;0</formula>
    </cfRule>
  </conditionalFormatting>
  <conditionalFormatting sqref="F237">
    <cfRule type="notContainsBlanks" dxfId="42" priority="27">
      <formula>LEN(TRIM(F237))&gt;0</formula>
    </cfRule>
  </conditionalFormatting>
  <conditionalFormatting sqref="F240">
    <cfRule type="notContainsBlanks" dxfId="41" priority="26">
      <formula>LEN(TRIM(F240))&gt;0</formula>
    </cfRule>
  </conditionalFormatting>
  <conditionalFormatting sqref="F318:F319">
    <cfRule type="notContainsBlanks" dxfId="40" priority="25">
      <formula>LEN(TRIM(F318))&gt;0</formula>
    </cfRule>
  </conditionalFormatting>
  <conditionalFormatting sqref="F325">
    <cfRule type="notContainsBlanks" dxfId="39" priority="23">
      <formula>LEN(TRIM(F325))&gt;0</formula>
    </cfRule>
  </conditionalFormatting>
  <conditionalFormatting sqref="F415">
    <cfRule type="notContainsBlanks" dxfId="38" priority="22">
      <formula>LEN(TRIM(F415))&gt;0</formula>
    </cfRule>
  </conditionalFormatting>
  <conditionalFormatting sqref="F451">
    <cfRule type="notContainsBlanks" dxfId="37" priority="21">
      <formula>LEN(TRIM(F451))&gt;0</formula>
    </cfRule>
  </conditionalFormatting>
  <conditionalFormatting sqref="F492">
    <cfRule type="notContainsBlanks" dxfId="36" priority="20">
      <formula>LEN(TRIM(F492))&gt;0</formula>
    </cfRule>
  </conditionalFormatting>
  <conditionalFormatting sqref="H15 H24 H66 H113 H128 H134 H139:H140 H192 H194:H195 H222 H237 H240 H245 H248 H267 H309 H318:H319 H325 H415 H450 H465 H474 H476:H477 H488 H492 H497 H499 H728 H1587 H1601 H1603 H1614">
    <cfRule type="cellIs" dxfId="35" priority="9939" operator="equal">
      <formula>$H$9</formula>
    </cfRule>
    <cfRule type="cellIs" dxfId="34" priority="9940" operator="equal">
      <formula>$H$11</formula>
    </cfRule>
    <cfRule type="cellIs" dxfId="33" priority="9941" operator="equal">
      <formula>$H$10</formula>
    </cfRule>
  </conditionalFormatting>
  <dataValidations count="1">
    <dataValidation type="list" allowBlank="1" showInputMessage="1" showErrorMessage="1" sqref="H15 H499 H1601 H1603 H24 H66 H113 H128 H134 H139:H140 H192 H194:H195 H222 H237 H240 H245 H248 H267 H318:H319 H325 H415 H450 H465 H474 H476:H477 H488 H492 H497 H309 H1614 H1587 H728" xr:uid="{00000000-0002-0000-1000-000000000000}">
      <formula1>photoRevList</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M145"/>
  <sheetViews>
    <sheetView showGridLines="0" zoomScaleNormal="100" workbookViewId="0">
      <selection activeCell="C38" sqref="C38:D39"/>
    </sheetView>
  </sheetViews>
  <sheetFormatPr defaultColWidth="9.109375" defaultRowHeight="14.4" x14ac:dyDescent="0.3"/>
  <cols>
    <col min="1" max="2" width="10.6640625" style="665" customWidth="1"/>
    <col min="3" max="3" width="43.33203125" style="665" customWidth="1"/>
    <col min="4" max="9" width="15.6640625" style="665" customWidth="1"/>
    <col min="10" max="11" width="15.6640625" style="665" hidden="1" customWidth="1"/>
    <col min="12" max="13" width="30.6640625" style="665" hidden="1" customWidth="1"/>
    <col min="14" max="16384" width="9.109375" style="665"/>
  </cols>
  <sheetData>
    <row r="1" spans="1:13" x14ac:dyDescent="0.3">
      <c r="D1" s="1463" t="s">
        <v>4722</v>
      </c>
      <c r="E1" s="1463"/>
      <c r="F1" s="1463"/>
      <c r="G1" s="1463"/>
      <c r="H1" s="1463"/>
      <c r="I1" s="1463"/>
      <c r="J1" s="422"/>
      <c r="K1" s="422"/>
    </row>
    <row r="2" spans="1:13" x14ac:dyDescent="0.3">
      <c r="D2" s="1463"/>
      <c r="E2" s="1463"/>
      <c r="F2" s="1463"/>
      <c r="G2" s="1463"/>
      <c r="H2" s="1463"/>
      <c r="I2" s="1463"/>
      <c r="J2" s="422"/>
      <c r="K2" s="422"/>
    </row>
    <row r="3" spans="1:13" x14ac:dyDescent="0.3">
      <c r="D3" s="1463"/>
      <c r="E3" s="1463"/>
      <c r="F3" s="1463"/>
      <c r="G3" s="1463"/>
      <c r="H3" s="1463"/>
      <c r="I3" s="1463"/>
      <c r="J3" s="422"/>
      <c r="K3" s="422"/>
    </row>
    <row r="4" spans="1:13" s="777" customFormat="1" x14ac:dyDescent="0.3">
      <c r="D4" s="1463"/>
      <c r="E4" s="1463"/>
      <c r="F4" s="1463"/>
      <c r="G4" s="1463"/>
      <c r="H4" s="1463"/>
      <c r="I4" s="1463"/>
      <c r="J4" s="422"/>
      <c r="K4" s="422"/>
    </row>
    <row r="5" spans="1:13" x14ac:dyDescent="0.3">
      <c r="D5" s="1463"/>
      <c r="E5" s="1463"/>
      <c r="F5" s="1463"/>
      <c r="G5" s="1463"/>
      <c r="H5" s="1463"/>
      <c r="I5" s="1463"/>
      <c r="J5" s="422"/>
      <c r="K5" s="422"/>
    </row>
    <row r="6" spans="1:13" ht="18" x14ac:dyDescent="0.35">
      <c r="A6" s="991"/>
      <c r="B6" s="991"/>
      <c r="C6" s="14" t="s">
        <v>4109</v>
      </c>
      <c r="D6" s="991"/>
      <c r="E6" s="991"/>
      <c r="F6" s="991"/>
      <c r="G6" s="991"/>
      <c r="H6" s="991"/>
      <c r="I6" s="991"/>
      <c r="J6" s="992" t="s">
        <v>260</v>
      </c>
      <c r="K6" s="992" t="s">
        <v>260</v>
      </c>
      <c r="L6" s="984" t="s">
        <v>260</v>
      </c>
      <c r="M6" s="984" t="s">
        <v>260</v>
      </c>
    </row>
    <row r="7" spans="1:13" x14ac:dyDescent="0.3">
      <c r="J7" s="422"/>
      <c r="K7" s="422"/>
    </row>
    <row r="8" spans="1:13" x14ac:dyDescent="0.3">
      <c r="A8" s="1628" t="s">
        <v>4110</v>
      </c>
      <c r="B8" s="1628"/>
      <c r="C8" s="1606" t="str">
        <f>IF('Overview (Verification)'!P60="","None entered on ""Overview (Verification)"" Sheet",'Overview (Verification)'!P60)</f>
        <v>None entered on "Overview (Verification)" Sheet</v>
      </c>
      <c r="D8" s="1606"/>
      <c r="F8" s="978" t="s">
        <v>4111</v>
      </c>
      <c r="G8" s="1605" t="str">
        <f ca="1">Points!R22</f>
        <v>Bronze</v>
      </c>
      <c r="H8" s="1605"/>
      <c r="I8" s="1605"/>
      <c r="J8" s="422"/>
      <c r="K8" s="422"/>
    </row>
    <row r="9" spans="1:13" ht="3" customHeight="1" x14ac:dyDescent="0.3">
      <c r="A9" s="1052"/>
      <c r="B9" s="1052"/>
      <c r="C9" s="779"/>
      <c r="D9" s="779"/>
      <c r="E9" s="724"/>
      <c r="F9" s="744"/>
      <c r="G9" s="724"/>
      <c r="H9" s="724"/>
      <c r="I9" s="724"/>
      <c r="J9" s="724"/>
      <c r="K9" s="422"/>
    </row>
    <row r="10" spans="1:13" x14ac:dyDescent="0.3">
      <c r="A10" s="1628" t="s">
        <v>4112</v>
      </c>
      <c r="B10" s="1628"/>
      <c r="C10" s="1606" t="str">
        <f>IF('Overview (Verification)'!P8="","None entered on ""Overview (Verification)"" Sheet",'Overview (Verification)'!P8)</f>
        <v>None entered on "Overview (Verification)" Sheet</v>
      </c>
      <c r="D10" s="1606"/>
      <c r="F10" s="978" t="s">
        <v>4113</v>
      </c>
      <c r="G10" s="1238" t="str">
        <f>'Overview (Verification)'!P16</f>
        <v/>
      </c>
      <c r="H10" s="1238"/>
      <c r="I10" s="1238"/>
      <c r="J10" s="422"/>
      <c r="K10" s="422"/>
    </row>
    <row r="11" spans="1:13" ht="3" customHeight="1" x14ac:dyDescent="0.3">
      <c r="A11" s="1053"/>
      <c r="B11" s="1053"/>
      <c r="C11" s="779"/>
      <c r="D11" s="780"/>
      <c r="E11" s="724"/>
      <c r="F11" s="744"/>
      <c r="G11" s="726"/>
      <c r="H11" s="726"/>
      <c r="I11" s="726"/>
      <c r="J11" s="724"/>
      <c r="K11" s="422"/>
    </row>
    <row r="12" spans="1:13" x14ac:dyDescent="0.3">
      <c r="A12" s="1628" t="s">
        <v>4444</v>
      </c>
      <c r="B12" s="1628"/>
      <c r="C12" s="1606" t="str">
        <f>IF('Overview (Verification)'!P11="","None entered on ""Overview (Verification)"" Sheet",'Overview (Verification)'!P9&amp;", "&amp;'Overview (Verification)'!P11&amp;", "&amp;'Overview (Verification)'!P12&amp;"  "&amp;'Overview (Verification)'!P14)</f>
        <v>None entered on "Overview (Verification)" Sheet</v>
      </c>
      <c r="D12" s="1606"/>
      <c r="F12" s="978" t="s">
        <v>159</v>
      </c>
      <c r="G12" s="1604">
        <f>IF('Overview (Verification)'!P17&lt;&gt;"",'Overview (Verification)'!P17,1)</f>
        <v>1</v>
      </c>
      <c r="H12" s="1604"/>
      <c r="I12" s="1604"/>
      <c r="J12" s="422"/>
      <c r="K12" s="422"/>
    </row>
    <row r="13" spans="1:13" ht="3" customHeight="1" x14ac:dyDescent="0.3">
      <c r="A13" s="1053"/>
      <c r="B13" s="1053"/>
      <c r="C13" s="779"/>
      <c r="D13" s="780"/>
      <c r="E13" s="724"/>
      <c r="F13" s="744"/>
      <c r="G13" s="726"/>
      <c r="H13" s="726"/>
      <c r="I13" s="726"/>
      <c r="J13" s="724"/>
      <c r="K13" s="422"/>
    </row>
    <row r="14" spans="1:13" x14ac:dyDescent="0.3">
      <c r="A14" s="1628" t="s">
        <v>130</v>
      </c>
      <c r="B14" s="1628"/>
      <c r="C14" s="1606" t="str">
        <f>IF('Overview (Verification)'!P10="","None entered on ""Overview (Verification)"" Sheet",'Overview (Verification)'!P10)</f>
        <v>None entered on "Overview (Verification)" Sheet</v>
      </c>
      <c r="D14" s="1606"/>
      <c r="F14" s="978" t="s">
        <v>4688</v>
      </c>
      <c r="G14" s="1238" t="str">
        <f>'Overview (Verification)'!P21</f>
        <v/>
      </c>
      <c r="H14" s="1238"/>
      <c r="I14" s="1238"/>
      <c r="J14" s="422"/>
      <c r="K14" s="422"/>
    </row>
    <row r="15" spans="1:13" ht="3" customHeight="1" x14ac:dyDescent="0.3">
      <c r="A15" s="1053"/>
      <c r="B15" s="1053"/>
      <c r="C15" s="779"/>
      <c r="D15" s="780"/>
      <c r="E15" s="724"/>
      <c r="F15" s="744"/>
      <c r="G15" s="726"/>
      <c r="H15" s="726"/>
      <c r="I15" s="726"/>
      <c r="J15" s="724"/>
      <c r="K15" s="422"/>
    </row>
    <row r="16" spans="1:13" x14ac:dyDescent="0.3">
      <c r="A16" s="1628" t="s">
        <v>3866</v>
      </c>
      <c r="B16" s="1628"/>
      <c r="C16" s="1634" t="str">
        <f>'Overview (Verification)'!U9&amp;" "&amp;'Overview (Verification)'!V9&amp;" "&amp;'Overview (Verification)'!W9&amp;" "&amp;'Overview (Verification)'!Y9</f>
        <v>!! !! !! !!</v>
      </c>
      <c r="D16" s="1634"/>
      <c r="E16" s="422"/>
      <c r="F16" s="978" t="s">
        <v>4114</v>
      </c>
      <c r="G16" s="1238" t="str">
        <f>'Overview (Verification)'!P24</f>
        <v/>
      </c>
      <c r="H16" s="1238"/>
      <c r="I16" s="1238"/>
      <c r="J16" s="422"/>
      <c r="K16" s="422"/>
    </row>
    <row r="17" spans="1:11" s="777" customFormat="1" ht="3" customHeight="1" x14ac:dyDescent="0.3">
      <c r="A17" s="724"/>
      <c r="B17" s="724"/>
      <c r="C17" s="418"/>
      <c r="D17" s="725"/>
      <c r="E17" s="724"/>
      <c r="F17" s="744"/>
      <c r="G17" s="726"/>
      <c r="H17" s="726"/>
      <c r="I17" s="726"/>
      <c r="J17" s="724"/>
      <c r="K17" s="422"/>
    </row>
    <row r="18" spans="1:11" ht="14.4" customHeight="1" x14ac:dyDescent="0.3">
      <c r="A18" s="422"/>
      <c r="B18" s="422"/>
      <c r="C18" s="1630" t="s">
        <v>4454</v>
      </c>
      <c r="D18" s="1631"/>
      <c r="E18"/>
      <c r="F18" s="1630" t="s">
        <v>4455</v>
      </c>
      <c r="G18" s="1631"/>
      <c r="H18" s="1631"/>
      <c r="I18" s="1631"/>
      <c r="J18" s="422" t="b">
        <f>OR(J73:J113)</f>
        <v>1</v>
      </c>
      <c r="K18" s="422"/>
    </row>
    <row r="19" spans="1:11" x14ac:dyDescent="0.3">
      <c r="A19" s="727"/>
      <c r="B19" s="727"/>
      <c r="C19" s="727"/>
      <c r="D19" s="727"/>
      <c r="E19" s="727"/>
      <c r="F19" s="727"/>
      <c r="G19" s="727"/>
      <c r="H19" s="727"/>
      <c r="I19" s="727"/>
      <c r="J19" s="422"/>
      <c r="K19" s="422"/>
    </row>
    <row r="20" spans="1:11" x14ac:dyDescent="0.3">
      <c r="A20" s="727"/>
      <c r="B20" s="727"/>
      <c r="C20" s="727"/>
      <c r="D20" s="727"/>
      <c r="E20" s="1632" t="str">
        <f>IF('Verification Report'!L5="Rough","Rough Points claimed by","NO LONGER VALID")</f>
        <v>NO LONGER VALID</v>
      </c>
      <c r="F20" s="727"/>
      <c r="G20" s="727"/>
      <c r="H20" s="727"/>
      <c r="I20" s="727"/>
      <c r="J20" s="422"/>
      <c r="K20" s="422"/>
    </row>
    <row r="21" spans="1:11" x14ac:dyDescent="0.3">
      <c r="A21" s="727"/>
      <c r="B21" s="727"/>
      <c r="C21" s="727"/>
      <c r="E21" s="1633"/>
      <c r="F21" s="727"/>
      <c r="G21" s="727"/>
      <c r="H21" s="727"/>
      <c r="I21" s="727"/>
      <c r="J21" s="422"/>
      <c r="K21" s="422"/>
    </row>
    <row r="22" spans="1:11" ht="15" customHeight="1" x14ac:dyDescent="0.3">
      <c r="A22" s="727"/>
      <c r="B22" s="727"/>
      <c r="C22" s="673" t="s">
        <v>4115</v>
      </c>
      <c r="D22" s="728" t="s">
        <v>4116</v>
      </c>
      <c r="E22" s="728" t="s">
        <v>3768</v>
      </c>
      <c r="F22" s="673" t="s">
        <v>4117</v>
      </c>
      <c r="G22" s="673" t="s">
        <v>4118</v>
      </c>
      <c r="H22" s="673" t="s">
        <v>4119</v>
      </c>
      <c r="I22" s="673" t="s">
        <v>4120</v>
      </c>
      <c r="J22" s="422"/>
      <c r="K22" s="422"/>
    </row>
    <row r="23" spans="1:11" s="97" customFormat="1" ht="3" customHeight="1" x14ac:dyDescent="0.3">
      <c r="A23" s="729"/>
      <c r="B23" s="729"/>
      <c r="C23" s="730"/>
      <c r="D23" s="708"/>
      <c r="E23" s="710"/>
      <c r="J23" s="724"/>
      <c r="K23" s="724"/>
    </row>
    <row r="24" spans="1:11" ht="15" customHeight="1" x14ac:dyDescent="0.3">
      <c r="A24" s="727"/>
      <c r="B24" s="727"/>
      <c r="C24" s="731" t="s">
        <v>4121</v>
      </c>
      <c r="D24" s="732">
        <f ca="1">'Design Summ.'!I13</f>
        <v>54</v>
      </c>
      <c r="E24" s="733">
        <f ca="1">Ch5PointsFinal</f>
        <v>0</v>
      </c>
      <c r="F24" s="733">
        <v>50</v>
      </c>
      <c r="G24" s="733">
        <v>64</v>
      </c>
      <c r="H24" s="733">
        <v>93</v>
      </c>
      <c r="I24" s="733">
        <v>121</v>
      </c>
      <c r="J24" s="422"/>
      <c r="K24" s="422"/>
    </row>
    <row r="25" spans="1:11" ht="15" customHeight="1" x14ac:dyDescent="0.3">
      <c r="A25" s="727"/>
      <c r="B25" s="727"/>
      <c r="C25" s="734" t="s">
        <v>4122</v>
      </c>
      <c r="D25" s="735">
        <f ca="1">'Design Summ.'!I14</f>
        <v>76</v>
      </c>
      <c r="E25" s="736">
        <f ca="1">Ch6PointsFinal</f>
        <v>0</v>
      </c>
      <c r="F25" s="736">
        <v>43</v>
      </c>
      <c r="G25" s="736">
        <v>59</v>
      </c>
      <c r="H25" s="736">
        <v>89</v>
      </c>
      <c r="I25" s="736">
        <v>119</v>
      </c>
      <c r="J25" s="422"/>
      <c r="K25" s="422"/>
    </row>
    <row r="26" spans="1:11" ht="15" customHeight="1" x14ac:dyDescent="0.3">
      <c r="A26" s="727"/>
      <c r="B26" s="727"/>
      <c r="C26" s="734" t="s">
        <v>4123</v>
      </c>
      <c r="D26" s="735">
        <f ca="1">'Design Summ.'!I15</f>
        <v>33</v>
      </c>
      <c r="E26" s="736">
        <f ca="1">Ch7PointsFinal</f>
        <v>0</v>
      </c>
      <c r="F26" s="736">
        <v>30</v>
      </c>
      <c r="G26" s="736">
        <v>45</v>
      </c>
      <c r="H26" s="736">
        <v>60</v>
      </c>
      <c r="I26" s="736">
        <v>70</v>
      </c>
      <c r="J26" s="422"/>
      <c r="K26" s="422"/>
    </row>
    <row r="27" spans="1:11" ht="15" customHeight="1" x14ac:dyDescent="0.3">
      <c r="A27" s="727"/>
      <c r="B27" s="727"/>
      <c r="C27" s="734" t="s">
        <v>4124</v>
      </c>
      <c r="D27" s="735">
        <f ca="1">'Design Summ.'!I16</f>
        <v>49</v>
      </c>
      <c r="E27" s="736">
        <f ca="1">Ch8PointsFinal</f>
        <v>0</v>
      </c>
      <c r="F27" s="736">
        <v>25</v>
      </c>
      <c r="G27" s="736">
        <v>39</v>
      </c>
      <c r="H27" s="736">
        <v>67</v>
      </c>
      <c r="I27" s="736">
        <v>92</v>
      </c>
      <c r="J27" s="422"/>
      <c r="K27" s="422"/>
    </row>
    <row r="28" spans="1:11" ht="15" customHeight="1" x14ac:dyDescent="0.3">
      <c r="A28" s="727"/>
      <c r="B28" s="727"/>
      <c r="C28" s="734" t="s">
        <v>4125</v>
      </c>
      <c r="D28" s="735">
        <f ca="1">'Design Summ.'!I17</f>
        <v>89</v>
      </c>
      <c r="E28" s="736">
        <f ca="1">Ch9PointsFinal</f>
        <v>0</v>
      </c>
      <c r="F28" s="736">
        <v>25</v>
      </c>
      <c r="G28" s="736">
        <v>42</v>
      </c>
      <c r="H28" s="736">
        <v>69</v>
      </c>
      <c r="I28" s="736">
        <v>97</v>
      </c>
      <c r="J28" s="422"/>
      <c r="K28" s="422"/>
    </row>
    <row r="29" spans="1:11" ht="15" customHeight="1" x14ac:dyDescent="0.3">
      <c r="A29" s="727"/>
      <c r="B29" s="727"/>
      <c r="C29" s="737" t="s">
        <v>4126</v>
      </c>
      <c r="D29" s="738">
        <f>'Design Summ.'!I18</f>
        <v>9</v>
      </c>
      <c r="E29" s="738">
        <f>Ch10PointsFinal</f>
        <v>0</v>
      </c>
      <c r="F29" s="739">
        <v>8</v>
      </c>
      <c r="G29" s="739">
        <v>10</v>
      </c>
      <c r="H29" s="739">
        <v>11</v>
      </c>
      <c r="I29" s="739">
        <v>12</v>
      </c>
      <c r="J29" s="422"/>
      <c r="K29" s="422"/>
    </row>
    <row r="30" spans="1:11" s="97" customFormat="1" ht="3" customHeight="1" x14ac:dyDescent="0.3">
      <c r="A30" s="729"/>
      <c r="B30" s="729"/>
      <c r="C30" s="740"/>
      <c r="D30" s="741"/>
      <c r="E30" s="729"/>
      <c r="F30" s="729"/>
      <c r="G30" s="729"/>
      <c r="H30" s="729"/>
      <c r="I30" s="729"/>
      <c r="J30" s="724"/>
      <c r="K30" s="724"/>
    </row>
    <row r="31" spans="1:11" s="97" customFormat="1" ht="3" customHeight="1" x14ac:dyDescent="0.3">
      <c r="A31" s="729"/>
      <c r="B31" s="729"/>
      <c r="C31" s="729"/>
      <c r="D31" s="741"/>
      <c r="E31" s="729"/>
      <c r="F31" s="729"/>
      <c r="G31" s="729"/>
      <c r="H31" s="729"/>
      <c r="I31" s="729"/>
      <c r="J31" s="724"/>
      <c r="K31" s="724"/>
    </row>
    <row r="32" spans="1:11" ht="15" customHeight="1" x14ac:dyDescent="0.3">
      <c r="A32" s="727"/>
      <c r="B32" s="727"/>
      <c r="C32" s="672" t="s">
        <v>4127</v>
      </c>
      <c r="D32" s="28">
        <f ca="1">'Design Summ.'!I21</f>
        <v>310</v>
      </c>
      <c r="E32" s="28">
        <f ca="1">SUM(E24:E29)</f>
        <v>0</v>
      </c>
      <c r="F32" s="28">
        <f>SUM(F24:F29)+Points!C22</f>
        <v>231</v>
      </c>
      <c r="G32" s="28">
        <f>SUM(G24:G29)+Points!D22</f>
        <v>334</v>
      </c>
      <c r="H32" s="28">
        <f>SUM(H24:H29)+Points!E22</f>
        <v>489</v>
      </c>
      <c r="I32" s="28">
        <f>SUM(I24:I29)+Points!F22</f>
        <v>611</v>
      </c>
      <c r="J32" s="422"/>
      <c r="K32" s="422"/>
    </row>
    <row r="33" spans="1:11" ht="15" customHeight="1" x14ac:dyDescent="0.3">
      <c r="A33" s="727"/>
      <c r="B33" s="727"/>
      <c r="C33" s="727"/>
      <c r="D33" s="727"/>
      <c r="E33" s="727"/>
      <c r="F33" s="727"/>
      <c r="G33" s="727"/>
      <c r="H33" s="727"/>
      <c r="I33" s="727"/>
      <c r="J33" s="422"/>
      <c r="K33" s="422"/>
    </row>
    <row r="34" spans="1:11" ht="15" customHeight="1" x14ac:dyDescent="0.3">
      <c r="J34" s="422"/>
      <c r="K34" s="422"/>
    </row>
    <row r="35" spans="1:11" s="977" customFormat="1" ht="18" customHeight="1" x14ac:dyDescent="0.3">
      <c r="C35" s="1598" t="s">
        <v>4445</v>
      </c>
      <c r="D35" s="1598"/>
      <c r="E35" s="1598"/>
      <c r="F35" s="1598"/>
      <c r="G35" s="1598"/>
      <c r="H35" s="1598"/>
      <c r="I35" s="1598"/>
      <c r="J35" s="422"/>
      <c r="K35" s="422"/>
    </row>
    <row r="36" spans="1:11" s="977" customFormat="1" ht="20.100000000000001" customHeight="1" x14ac:dyDescent="0.3">
      <c r="C36" s="1598"/>
      <c r="D36" s="1598"/>
      <c r="E36" s="1598"/>
      <c r="F36" s="1598"/>
      <c r="G36" s="1598"/>
      <c r="H36" s="1598"/>
      <c r="I36" s="1598"/>
      <c r="J36" s="422"/>
      <c r="K36" s="422"/>
    </row>
    <row r="37" spans="1:11" s="977" customFormat="1" ht="15" customHeight="1" x14ac:dyDescent="0.3">
      <c r="J37" s="422"/>
      <c r="K37" s="422"/>
    </row>
    <row r="38" spans="1:11" s="977" customFormat="1" ht="15" customHeight="1" x14ac:dyDescent="0.3">
      <c r="A38" s="1622" t="s">
        <v>4447</v>
      </c>
      <c r="B38" s="1623"/>
      <c r="C38" s="1629"/>
      <c r="D38" s="1629"/>
      <c r="E38" s="1247" t="s">
        <v>4128</v>
      </c>
      <c r="F38" s="1471"/>
      <c r="G38" s="25"/>
      <c r="J38" s="422"/>
      <c r="K38" s="422"/>
    </row>
    <row r="39" spans="1:11" s="977" customFormat="1" x14ac:dyDescent="0.3">
      <c r="A39" s="1623"/>
      <c r="B39" s="1623"/>
      <c r="C39" s="1629"/>
      <c r="D39" s="1629" t="b">
        <v>1</v>
      </c>
      <c r="J39" s="422"/>
      <c r="K39" s="422"/>
    </row>
    <row r="40" spans="1:11" s="977" customFormat="1" ht="3" customHeight="1" x14ac:dyDescent="0.3">
      <c r="A40" s="980"/>
      <c r="B40" s="980"/>
      <c r="C40" s="748"/>
      <c r="D40" s="748"/>
      <c r="J40" s="422"/>
      <c r="K40" s="422"/>
    </row>
    <row r="41" spans="1:11" s="977" customFormat="1" x14ac:dyDescent="0.3">
      <c r="A41" s="1247" t="s">
        <v>4449</v>
      </c>
      <c r="B41" s="1247"/>
      <c r="C41" s="1629"/>
      <c r="D41" s="1629"/>
      <c r="E41" s="1629"/>
      <c r="F41" s="1629"/>
      <c r="G41" s="1629"/>
      <c r="H41" s="1629"/>
      <c r="I41" s="1629"/>
      <c r="J41" s="422"/>
      <c r="K41" s="422"/>
    </row>
    <row r="42" spans="1:11" s="977" customFormat="1" x14ac:dyDescent="0.3">
      <c r="A42" s="1247"/>
      <c r="B42" s="1247"/>
      <c r="C42" s="1629"/>
      <c r="D42" s="1629"/>
      <c r="E42" s="1629"/>
      <c r="F42" s="1629"/>
      <c r="G42" s="1629"/>
      <c r="H42" s="1629"/>
      <c r="I42" s="1629"/>
      <c r="J42" s="422"/>
      <c r="K42" s="422"/>
    </row>
    <row r="43" spans="1:11" s="977" customFormat="1" x14ac:dyDescent="0.3">
      <c r="A43" s="1247"/>
      <c r="B43" s="1247"/>
      <c r="C43" s="1629"/>
      <c r="D43" s="1629"/>
      <c r="E43" s="1629"/>
      <c r="F43" s="1629"/>
      <c r="G43" s="1629"/>
      <c r="H43" s="1629"/>
      <c r="I43" s="1629"/>
      <c r="J43" s="422"/>
      <c r="K43" s="422"/>
    </row>
    <row r="44" spans="1:11" ht="3" customHeight="1" x14ac:dyDescent="0.3">
      <c r="A44" s="423"/>
      <c r="B44" s="423"/>
      <c r="C44" s="97"/>
      <c r="J44" s="422"/>
      <c r="K44" s="422"/>
    </row>
    <row r="45" spans="1:11" ht="15" customHeight="1" x14ac:dyDescent="0.3">
      <c r="A45" s="423"/>
      <c r="B45" s="743" t="s">
        <v>4129</v>
      </c>
      <c r="C45" s="1612"/>
      <c r="D45" s="1612"/>
      <c r="J45" s="422"/>
      <c r="K45" s="422"/>
    </row>
    <row r="46" spans="1:11" ht="3" customHeight="1" x14ac:dyDescent="0.3">
      <c r="A46" s="423"/>
      <c r="B46" s="743"/>
      <c r="J46" s="422"/>
      <c r="K46" s="422"/>
    </row>
    <row r="47" spans="1:11" x14ac:dyDescent="0.3">
      <c r="A47" s="423"/>
      <c r="B47" s="743" t="s">
        <v>4130</v>
      </c>
      <c r="C47" s="1612"/>
      <c r="D47" s="1612"/>
      <c r="J47" s="422"/>
      <c r="K47" s="422"/>
    </row>
    <row r="48" spans="1:11" ht="3" customHeight="1" x14ac:dyDescent="0.3">
      <c r="A48" s="423"/>
      <c r="B48" s="743"/>
      <c r="J48" s="422"/>
      <c r="K48" s="422"/>
    </row>
    <row r="49" spans="1:11" x14ac:dyDescent="0.3">
      <c r="A49" s="423"/>
      <c r="B49" s="743" t="s">
        <v>4131</v>
      </c>
      <c r="C49" s="1612"/>
      <c r="D49" s="1612"/>
      <c r="J49" s="422"/>
      <c r="K49" s="422"/>
    </row>
    <row r="50" spans="1:11" ht="3" customHeight="1" x14ac:dyDescent="0.3">
      <c r="A50" s="423"/>
      <c r="B50" s="743"/>
      <c r="J50" s="422"/>
      <c r="K50" s="422"/>
    </row>
    <row r="51" spans="1:11" x14ac:dyDescent="0.3">
      <c r="A51" s="423"/>
      <c r="B51" s="744" t="s">
        <v>4132</v>
      </c>
      <c r="C51" s="1612"/>
      <c r="D51" s="1612"/>
      <c r="J51" s="422"/>
      <c r="K51" s="422"/>
    </row>
    <row r="52" spans="1:11" x14ac:dyDescent="0.3">
      <c r="A52" s="745"/>
      <c r="B52" s="97"/>
      <c r="J52" s="422"/>
      <c r="K52" s="422"/>
    </row>
    <row r="53" spans="1:11" x14ac:dyDescent="0.3">
      <c r="A53" s="746"/>
      <c r="B53" s="746"/>
      <c r="J53" s="422"/>
      <c r="K53" s="422"/>
    </row>
    <row r="54" spans="1:11" x14ac:dyDescent="0.3">
      <c r="C54" s="1602" t="s">
        <v>4133</v>
      </c>
      <c r="D54" s="1602"/>
      <c r="J54" s="422"/>
      <c r="K54" s="422"/>
    </row>
    <row r="55" spans="1:11" ht="3" customHeight="1" x14ac:dyDescent="0.3">
      <c r="C55" s="663"/>
      <c r="D55" s="663"/>
      <c r="J55" s="422"/>
      <c r="K55" s="422"/>
    </row>
    <row r="56" spans="1:11" x14ac:dyDescent="0.3">
      <c r="C56" s="1603" t="s">
        <v>4134</v>
      </c>
      <c r="D56" s="1603"/>
      <c r="E56" s="1603"/>
      <c r="F56" s="1603"/>
      <c r="G56" s="1603"/>
      <c r="H56" s="1603"/>
      <c r="I56" s="1603"/>
      <c r="J56" s="422"/>
      <c r="K56" s="422"/>
    </row>
    <row r="57" spans="1:11" ht="18" customHeight="1" x14ac:dyDescent="0.3">
      <c r="C57" s="1603"/>
      <c r="D57" s="1603"/>
      <c r="E57" s="1603"/>
      <c r="F57" s="1603"/>
      <c r="G57" s="1603"/>
      <c r="H57" s="1603"/>
      <c r="I57" s="1603"/>
      <c r="J57" s="422"/>
      <c r="K57" s="422"/>
    </row>
    <row r="58" spans="1:11" x14ac:dyDescent="0.3">
      <c r="A58" s="69"/>
      <c r="B58" s="747"/>
      <c r="C58" s="746"/>
      <c r="D58" s="746"/>
      <c r="E58" s="746"/>
      <c r="F58" s="746"/>
      <c r="G58" s="746"/>
      <c r="H58" s="746"/>
      <c r="I58" s="746"/>
      <c r="J58" s="422"/>
      <c r="K58" s="422"/>
    </row>
    <row r="59" spans="1:11" s="777" customFormat="1" x14ac:dyDescent="0.3">
      <c r="A59" s="69"/>
      <c r="B59" s="747"/>
      <c r="C59" s="746"/>
      <c r="D59" s="746"/>
      <c r="E59" s="746"/>
      <c r="F59" s="746"/>
      <c r="G59" s="746"/>
      <c r="H59" s="746"/>
      <c r="I59" s="746"/>
      <c r="J59" s="422"/>
      <c r="K59" s="422"/>
    </row>
    <row r="60" spans="1:11" s="777" customFormat="1" x14ac:dyDescent="0.3">
      <c r="A60" s="69"/>
      <c r="B60" s="747"/>
      <c r="C60" s="746"/>
      <c r="D60" s="746"/>
      <c r="E60" s="746"/>
      <c r="F60" s="746"/>
      <c r="G60" s="746"/>
      <c r="H60" s="746"/>
      <c r="I60" s="746"/>
      <c r="J60" s="422"/>
      <c r="K60" s="422"/>
    </row>
    <row r="61" spans="1:11" s="777" customFormat="1" x14ac:dyDescent="0.3">
      <c r="A61" s="69"/>
      <c r="B61" s="747"/>
      <c r="C61" s="746"/>
      <c r="D61" s="746"/>
      <c r="E61" s="746"/>
      <c r="F61" s="746"/>
      <c r="G61" s="746"/>
      <c r="H61" s="746"/>
      <c r="I61" s="746"/>
      <c r="J61" s="422"/>
      <c r="K61" s="422"/>
    </row>
    <row r="62" spans="1:11" s="777" customFormat="1" x14ac:dyDescent="0.3">
      <c r="A62" s="69"/>
      <c r="B62" s="747"/>
      <c r="C62" s="746"/>
      <c r="D62" s="746"/>
      <c r="E62" s="746"/>
      <c r="F62" s="746"/>
      <c r="G62" s="746"/>
      <c r="H62" s="746"/>
      <c r="I62" s="746"/>
      <c r="J62" s="422"/>
      <c r="K62" s="422"/>
    </row>
    <row r="63" spans="1:11" s="777" customFormat="1" x14ac:dyDescent="0.3">
      <c r="A63" s="69"/>
      <c r="B63" s="747"/>
      <c r="C63" s="746"/>
      <c r="D63" s="746"/>
      <c r="E63" s="746"/>
      <c r="F63" s="746"/>
      <c r="G63" s="746"/>
      <c r="H63" s="746"/>
      <c r="I63" s="746"/>
      <c r="J63" s="422"/>
      <c r="K63" s="422"/>
    </row>
    <row r="64" spans="1:11" s="777" customFormat="1" x14ac:dyDescent="0.3">
      <c r="A64" s="69"/>
      <c r="B64" s="747"/>
      <c r="C64" s="746"/>
      <c r="D64" s="746"/>
      <c r="E64" s="746"/>
      <c r="F64" s="746"/>
      <c r="G64" s="746"/>
      <c r="H64" s="746"/>
      <c r="I64" s="746"/>
      <c r="J64" s="422"/>
      <c r="K64" s="422"/>
    </row>
    <row r="65" spans="1:11" s="777" customFormat="1" x14ac:dyDescent="0.3">
      <c r="A65" s="69"/>
      <c r="B65" s="747"/>
      <c r="C65" s="746"/>
      <c r="D65" s="746"/>
      <c r="E65" s="746"/>
      <c r="F65" s="746"/>
      <c r="G65" s="746"/>
      <c r="H65" s="746"/>
      <c r="I65" s="746"/>
      <c r="J65" s="422"/>
      <c r="K65" s="422"/>
    </row>
    <row r="66" spans="1:11" x14ac:dyDescent="0.3">
      <c r="A66" s="1622" t="s">
        <v>4136</v>
      </c>
      <c r="B66" s="1623"/>
      <c r="C66" s="1624"/>
      <c r="D66" s="1625"/>
      <c r="E66"/>
      <c r="F66"/>
      <c r="G66"/>
      <c r="H66"/>
      <c r="I66"/>
      <c r="J66" s="422"/>
      <c r="K66" s="422"/>
    </row>
    <row r="67" spans="1:11" x14ac:dyDescent="0.3">
      <c r="A67" s="1623"/>
      <c r="B67" s="1623"/>
      <c r="C67" s="1626"/>
      <c r="D67" s="1627"/>
      <c r="E67"/>
      <c r="F67"/>
      <c r="G67"/>
      <c r="H67"/>
      <c r="I67"/>
      <c r="J67" s="422"/>
      <c r="K67" s="422"/>
    </row>
    <row r="68" spans="1:11" ht="3" customHeight="1" x14ac:dyDescent="0.3">
      <c r="A68" s="423"/>
      <c r="B68" s="423"/>
      <c r="C68" s="748"/>
      <c r="D68" s="748"/>
      <c r="E68"/>
      <c r="F68"/>
      <c r="G68"/>
      <c r="H68"/>
      <c r="I68"/>
      <c r="J68" s="422"/>
      <c r="K68" s="422"/>
    </row>
    <row r="69" spans="1:11" s="977" customFormat="1" x14ac:dyDescent="0.3">
      <c r="A69" s="1247" t="s">
        <v>4135</v>
      </c>
      <c r="B69" s="1247"/>
      <c r="C69" s="1613"/>
      <c r="D69" s="1614"/>
      <c r="E69" s="1614"/>
      <c r="F69" s="1614"/>
      <c r="G69" s="1614"/>
      <c r="H69" s="1614"/>
      <c r="I69" s="1615"/>
      <c r="J69" s="422"/>
      <c r="K69" s="422"/>
    </row>
    <row r="70" spans="1:11" s="977" customFormat="1" x14ac:dyDescent="0.3">
      <c r="A70" s="1247"/>
      <c r="B70" s="1247"/>
      <c r="C70" s="1616"/>
      <c r="D70" s="1617"/>
      <c r="E70" s="1617"/>
      <c r="F70" s="1617"/>
      <c r="G70" s="1617"/>
      <c r="H70" s="1617"/>
      <c r="I70" s="1618"/>
      <c r="J70" s="422"/>
      <c r="K70" s="422"/>
    </row>
    <row r="71" spans="1:11" x14ac:dyDescent="0.3">
      <c r="A71" s="1247"/>
      <c r="B71" s="1247"/>
      <c r="C71" s="1619"/>
      <c r="D71" s="1620"/>
      <c r="E71" s="1620"/>
      <c r="F71" s="1620"/>
      <c r="G71" s="1620"/>
      <c r="H71" s="1620"/>
      <c r="I71" s="1621"/>
      <c r="J71" s="422"/>
      <c r="K71" s="422"/>
    </row>
    <row r="72" spans="1:11" ht="3" customHeight="1" x14ac:dyDescent="0.3">
      <c r="A72" s="423"/>
      <c r="B72" s="423"/>
      <c r="J72" s="422"/>
      <c r="K72" s="422"/>
    </row>
    <row r="73" spans="1:11" x14ac:dyDescent="0.3">
      <c r="A73" s="1247" t="s">
        <v>4129</v>
      </c>
      <c r="B73" s="1247"/>
      <c r="C73" s="1051"/>
      <c r="J73" s="422" t="b">
        <f>ISBLANK(C73)</f>
        <v>1</v>
      </c>
      <c r="K73" s="422"/>
    </row>
    <row r="74" spans="1:11" ht="3" customHeight="1" x14ac:dyDescent="0.3">
      <c r="A74" s="743"/>
      <c r="B74" s="743"/>
      <c r="J74" s="422"/>
      <c r="K74" s="422"/>
    </row>
    <row r="75" spans="1:11" x14ac:dyDescent="0.3">
      <c r="A75" s="1247" t="s">
        <v>4130</v>
      </c>
      <c r="B75" s="1247"/>
      <c r="C75" s="1051"/>
      <c r="J75" s="422" t="b">
        <f>ISBLANK(C75)</f>
        <v>1</v>
      </c>
      <c r="K75" s="422"/>
    </row>
    <row r="76" spans="1:11" ht="3" customHeight="1" x14ac:dyDescent="0.3">
      <c r="A76" s="743"/>
      <c r="B76" s="743"/>
      <c r="J76" s="422"/>
      <c r="K76" s="422"/>
    </row>
    <row r="77" spans="1:11" x14ac:dyDescent="0.3">
      <c r="A77" s="1247" t="s">
        <v>4131</v>
      </c>
      <c r="B77" s="1247"/>
      <c r="C77" s="1051"/>
      <c r="J77" s="422" t="b">
        <f>ISBLANK(C77)</f>
        <v>1</v>
      </c>
      <c r="K77" s="422"/>
    </row>
    <row r="78" spans="1:11" ht="3" customHeight="1" x14ac:dyDescent="0.3">
      <c r="A78" s="743"/>
      <c r="B78" s="743"/>
      <c r="J78" s="422"/>
      <c r="K78" s="422"/>
    </row>
    <row r="79" spans="1:11" x14ac:dyDescent="0.3">
      <c r="A79" s="1247" t="s">
        <v>4137</v>
      </c>
      <c r="B79" s="1247"/>
      <c r="C79" s="1051"/>
      <c r="D79" s="1607" t="s">
        <v>4707</v>
      </c>
      <c r="J79" s="422" t="b">
        <f>ISBLANK(C79)</f>
        <v>1</v>
      </c>
      <c r="K79" s="422"/>
    </row>
    <row r="80" spans="1:11" ht="3" customHeight="1" x14ac:dyDescent="0.3">
      <c r="A80" s="743"/>
      <c r="B80" s="743"/>
      <c r="D80" s="1607"/>
      <c r="J80" s="422"/>
      <c r="K80" s="422"/>
    </row>
    <row r="81" spans="1:11" x14ac:dyDescent="0.3">
      <c r="A81" s="1247" t="s">
        <v>4138</v>
      </c>
      <c r="B81" s="1247"/>
      <c r="C81" s="1051"/>
      <c r="D81" s="1607"/>
      <c r="J81" s="422" t="b">
        <f>ISBLANK(C81)</f>
        <v>1</v>
      </c>
      <c r="K81" s="422"/>
    </row>
    <row r="82" spans="1:11" ht="3" customHeight="1" x14ac:dyDescent="0.3">
      <c r="A82" s="743"/>
      <c r="B82" s="743"/>
      <c r="J82" s="422"/>
      <c r="K82" s="422"/>
    </row>
    <row r="83" spans="1:11" x14ac:dyDescent="0.3">
      <c r="A83" s="1247" t="s">
        <v>4132</v>
      </c>
      <c r="B83" s="1247"/>
      <c r="C83" s="1051"/>
      <c r="D83" s="750" t="s">
        <v>4139</v>
      </c>
      <c r="J83" s="422" t="b">
        <f>ISBLANK(C83)</f>
        <v>1</v>
      </c>
      <c r="K83" s="422"/>
    </row>
    <row r="84" spans="1:11" x14ac:dyDescent="0.3">
      <c r="D84" s="751"/>
      <c r="J84" s="422"/>
      <c r="K84" s="422"/>
    </row>
    <row r="85" spans="1:11" x14ac:dyDescent="0.3">
      <c r="J85" s="422"/>
      <c r="K85" s="422"/>
    </row>
    <row r="86" spans="1:11" s="777" customFormat="1" x14ac:dyDescent="0.3">
      <c r="J86" s="422"/>
      <c r="K86" s="422"/>
    </row>
    <row r="87" spans="1:11" s="777" customFormat="1" x14ac:dyDescent="0.3">
      <c r="J87" s="422"/>
      <c r="K87" s="422"/>
    </row>
    <row r="88" spans="1:11" x14ac:dyDescent="0.3">
      <c r="C88" s="423" t="s">
        <v>4140</v>
      </c>
      <c r="J88" s="422"/>
      <c r="K88" s="422"/>
    </row>
    <row r="89" spans="1:11" x14ac:dyDescent="0.3">
      <c r="C89" s="1607" t="s">
        <v>4141</v>
      </c>
      <c r="D89" s="1607"/>
      <c r="E89" s="1607"/>
      <c r="F89" s="1607"/>
      <c r="G89" s="1607"/>
      <c r="H89" s="1607"/>
      <c r="I89" s="1607"/>
      <c r="J89" s="422"/>
      <c r="K89" s="422"/>
    </row>
    <row r="90" spans="1:11" x14ac:dyDescent="0.3">
      <c r="J90" s="422"/>
      <c r="K90" s="422"/>
    </row>
    <row r="91" spans="1:11" x14ac:dyDescent="0.3">
      <c r="C91" s="752" t="s">
        <v>4142</v>
      </c>
      <c r="D91" s="752" t="s">
        <v>4143</v>
      </c>
      <c r="E91" s="1609" t="s">
        <v>4144</v>
      </c>
      <c r="F91" s="1609"/>
      <c r="G91" s="1234" t="s">
        <v>4708</v>
      </c>
      <c r="H91" s="1234"/>
      <c r="J91" s="422"/>
      <c r="K91" s="422"/>
    </row>
    <row r="92" spans="1:11" x14ac:dyDescent="0.3">
      <c r="B92" s="664">
        <v>1</v>
      </c>
      <c r="C92" s="994"/>
      <c r="D92" s="994"/>
      <c r="E92" s="1597"/>
      <c r="F92" s="1597"/>
      <c r="G92" s="1597"/>
      <c r="H92" s="1597"/>
      <c r="J92" s="665" t="b">
        <f>AND(OR(LEN(C92)=0,LEN(D92)=0,LEN(E92)=0,LEN(G92)=0),K92)</f>
        <v>0</v>
      </c>
      <c r="K92" s="755" t="b">
        <f>OR(NOT(LEN(C92)=0),NOT(LEN(D92)=0),NOT(LEN(E92)=0),NOT(LEN(G92)=0))</f>
        <v>0</v>
      </c>
    </row>
    <row r="93" spans="1:11" x14ac:dyDescent="0.3">
      <c r="B93" s="664">
        <v>2</v>
      </c>
      <c r="C93" s="994"/>
      <c r="D93" s="994"/>
      <c r="E93" s="1597"/>
      <c r="F93" s="1597"/>
      <c r="G93" s="1597"/>
      <c r="H93" s="1597"/>
      <c r="J93" s="1185" t="b">
        <f t="shared" ref="J93:J96" si="0">AND(OR(LEN(C93)=0,LEN(D93)=0,LEN(E93)=0,LEN(G93)=0),K93)</f>
        <v>0</v>
      </c>
      <c r="K93" s="755" t="b">
        <f t="shared" ref="K93:K96" si="1">OR(NOT(LEN(C93)=0),NOT(LEN(D93)=0),NOT(LEN(E93)=0),NOT(LEN(G93)=0))</f>
        <v>0</v>
      </c>
    </row>
    <row r="94" spans="1:11" x14ac:dyDescent="0.3">
      <c r="B94" s="664">
        <v>3</v>
      </c>
      <c r="C94" s="994"/>
      <c r="D94" s="994"/>
      <c r="E94" s="1597"/>
      <c r="F94" s="1597"/>
      <c r="G94" s="1597"/>
      <c r="H94" s="1597"/>
      <c r="J94" s="1185" t="b">
        <f t="shared" si="0"/>
        <v>0</v>
      </c>
      <c r="K94" s="755" t="b">
        <f t="shared" si="1"/>
        <v>0</v>
      </c>
    </row>
    <row r="95" spans="1:11" x14ac:dyDescent="0.3">
      <c r="B95" s="664">
        <v>4</v>
      </c>
      <c r="C95" s="994"/>
      <c r="D95" s="994"/>
      <c r="E95" s="1597"/>
      <c r="F95" s="1597"/>
      <c r="G95" s="1597"/>
      <c r="H95" s="1597"/>
      <c r="J95" s="1185" t="b">
        <f t="shared" si="0"/>
        <v>0</v>
      </c>
      <c r="K95" s="755" t="b">
        <f t="shared" si="1"/>
        <v>0</v>
      </c>
    </row>
    <row r="96" spans="1:11" x14ac:dyDescent="0.3">
      <c r="B96" s="664">
        <v>5</v>
      </c>
      <c r="C96" s="994"/>
      <c r="D96" s="994"/>
      <c r="E96" s="1597"/>
      <c r="F96" s="1597"/>
      <c r="G96" s="1597"/>
      <c r="H96" s="1597"/>
      <c r="J96" s="1185" t="b">
        <f t="shared" si="0"/>
        <v>0</v>
      </c>
      <c r="K96" s="755" t="b">
        <f t="shared" si="1"/>
        <v>0</v>
      </c>
    </row>
    <row r="97" spans="2:11" x14ac:dyDescent="0.3">
      <c r="K97" s="422"/>
    </row>
    <row r="98" spans="2:11" x14ac:dyDescent="0.3">
      <c r="K98" s="422"/>
    </row>
    <row r="99" spans="2:11" x14ac:dyDescent="0.3">
      <c r="K99" s="422"/>
    </row>
    <row r="100" spans="2:11" x14ac:dyDescent="0.3">
      <c r="C100" s="423" t="s">
        <v>4145</v>
      </c>
      <c r="K100" s="422"/>
    </row>
    <row r="101" spans="2:11" x14ac:dyDescent="0.3">
      <c r="C101" s="751"/>
      <c r="K101" s="422"/>
    </row>
    <row r="102" spans="2:11" x14ac:dyDescent="0.3">
      <c r="K102" s="422"/>
    </row>
    <row r="103" spans="2:11" ht="25.8" x14ac:dyDescent="0.3">
      <c r="C103" s="1465" t="s">
        <v>4147</v>
      </c>
      <c r="D103" s="1465"/>
      <c r="E103" s="1610" t="s">
        <v>4148</v>
      </c>
      <c r="F103" s="1611"/>
      <c r="G103" s="674" t="s">
        <v>4149</v>
      </c>
      <c r="H103" s="753" t="s">
        <v>4150</v>
      </c>
      <c r="I103" s="754"/>
      <c r="K103" s="754"/>
    </row>
    <row r="104" spans="2:11" x14ac:dyDescent="0.3">
      <c r="B104" s="979">
        <v>1</v>
      </c>
      <c r="C104" s="1597"/>
      <c r="D104" s="1597"/>
      <c r="E104" s="1599" t="str">
        <f>'Overview (Verification)'!P11&amp;", "&amp;'Overview (Verification)'!P12&amp;" "&amp;'Overview (Verification)'!P14</f>
        <v xml:space="preserve">,  </v>
      </c>
      <c r="F104" s="1599"/>
      <c r="G104" s="1103"/>
      <c r="H104" s="995"/>
      <c r="I104" s="755"/>
      <c r="J104" s="985" t="b">
        <f>AND(OR(LEN(C104)=0,LEN(G104)=0,LEN(H104)=0),K104)</f>
        <v>0</v>
      </c>
      <c r="K104" s="755" t="b">
        <f>OR(NOT(LEN(C104)=0),NOT(LEN(G104)=0),NOT(LEN(H104)=0))</f>
        <v>0</v>
      </c>
    </row>
    <row r="105" spans="2:11" x14ac:dyDescent="0.3">
      <c r="B105" s="979">
        <v>2</v>
      </c>
      <c r="C105" s="1597"/>
      <c r="D105" s="1597"/>
      <c r="E105" s="1599"/>
      <c r="F105" s="1599"/>
      <c r="G105" s="1103"/>
      <c r="H105" s="995"/>
      <c r="I105" s="755"/>
      <c r="J105" s="1185" t="b">
        <f t="shared" ref="J105:J113" si="2">AND(OR(LEN(C105)=0,LEN(G105)=0,LEN(H105)=0),K105)</f>
        <v>0</v>
      </c>
      <c r="K105" s="755" t="b">
        <f t="shared" ref="K105:K113" si="3">OR(NOT(LEN(C105)=0),NOT(LEN(G105)=0),NOT(LEN(H105)=0))</f>
        <v>0</v>
      </c>
    </row>
    <row r="106" spans="2:11" x14ac:dyDescent="0.3">
      <c r="B106" s="979">
        <v>3</v>
      </c>
      <c r="C106" s="1597"/>
      <c r="D106" s="1597"/>
      <c r="E106" s="1599"/>
      <c r="F106" s="1599"/>
      <c r="G106" s="1103"/>
      <c r="H106" s="995"/>
      <c r="I106" s="755"/>
      <c r="J106" s="1185" t="b">
        <f t="shared" si="2"/>
        <v>0</v>
      </c>
      <c r="K106" s="755" t="b">
        <f t="shared" si="3"/>
        <v>0</v>
      </c>
    </row>
    <row r="107" spans="2:11" x14ac:dyDescent="0.3">
      <c r="B107" s="979">
        <v>4</v>
      </c>
      <c r="C107" s="1597"/>
      <c r="D107" s="1597"/>
      <c r="E107" s="1599"/>
      <c r="F107" s="1599"/>
      <c r="G107" s="1103"/>
      <c r="H107" s="995"/>
      <c r="I107" s="755"/>
      <c r="J107" s="1185" t="b">
        <f t="shared" si="2"/>
        <v>0</v>
      </c>
      <c r="K107" s="755" t="b">
        <f t="shared" si="3"/>
        <v>0</v>
      </c>
    </row>
    <row r="108" spans="2:11" x14ac:dyDescent="0.3">
      <c r="B108" s="979">
        <v>5</v>
      </c>
      <c r="C108" s="1597"/>
      <c r="D108" s="1597"/>
      <c r="E108" s="1599"/>
      <c r="F108" s="1599"/>
      <c r="G108" s="1103"/>
      <c r="H108" s="995"/>
      <c r="I108" s="755"/>
      <c r="J108" s="1185" t="b">
        <f t="shared" si="2"/>
        <v>0</v>
      </c>
      <c r="K108" s="755" t="b">
        <f t="shared" si="3"/>
        <v>0</v>
      </c>
    </row>
    <row r="109" spans="2:11" x14ac:dyDescent="0.3">
      <c r="B109" s="979">
        <v>6</v>
      </c>
      <c r="C109" s="1597"/>
      <c r="D109" s="1597"/>
      <c r="E109" s="1599"/>
      <c r="F109" s="1599"/>
      <c r="G109" s="1103"/>
      <c r="H109" s="995"/>
      <c r="I109" s="755"/>
      <c r="J109" s="1185" t="b">
        <f t="shared" si="2"/>
        <v>0</v>
      </c>
      <c r="K109" s="755" t="b">
        <f t="shared" si="3"/>
        <v>0</v>
      </c>
    </row>
    <row r="110" spans="2:11" x14ac:dyDescent="0.3">
      <c r="B110" s="979">
        <v>7</v>
      </c>
      <c r="C110" s="1597"/>
      <c r="D110" s="1597"/>
      <c r="E110" s="1599"/>
      <c r="F110" s="1599"/>
      <c r="G110" s="1103"/>
      <c r="H110" s="995"/>
      <c r="I110" s="755"/>
      <c r="J110" s="1185" t="b">
        <f t="shared" si="2"/>
        <v>0</v>
      </c>
      <c r="K110" s="755" t="b">
        <f t="shared" si="3"/>
        <v>0</v>
      </c>
    </row>
    <row r="111" spans="2:11" x14ac:dyDescent="0.3">
      <c r="B111" s="979">
        <v>8</v>
      </c>
      <c r="C111" s="1597"/>
      <c r="D111" s="1597"/>
      <c r="E111" s="1599"/>
      <c r="F111" s="1599"/>
      <c r="G111" s="1103"/>
      <c r="H111" s="995"/>
      <c r="I111" s="755"/>
      <c r="J111" s="1185" t="b">
        <f t="shared" si="2"/>
        <v>0</v>
      </c>
      <c r="K111" s="755" t="b">
        <f t="shared" si="3"/>
        <v>0</v>
      </c>
    </row>
    <row r="112" spans="2:11" x14ac:dyDescent="0.3">
      <c r="B112" s="979">
        <v>9</v>
      </c>
      <c r="C112" s="1597"/>
      <c r="D112" s="1597"/>
      <c r="E112" s="1599"/>
      <c r="F112" s="1599"/>
      <c r="G112" s="1103"/>
      <c r="H112" s="995"/>
      <c r="I112" s="755"/>
      <c r="J112" s="1185" t="b">
        <f t="shared" si="2"/>
        <v>0</v>
      </c>
      <c r="K112" s="755" t="b">
        <f t="shared" si="3"/>
        <v>0</v>
      </c>
    </row>
    <row r="113" spans="2:12" x14ac:dyDescent="0.3">
      <c r="B113" s="979">
        <v>10</v>
      </c>
      <c r="C113" s="1597"/>
      <c r="D113" s="1597"/>
      <c r="E113" s="1599"/>
      <c r="F113" s="1599"/>
      <c r="G113" s="1103"/>
      <c r="H113" s="995"/>
      <c r="I113" s="755"/>
      <c r="J113" s="1185" t="b">
        <f t="shared" si="2"/>
        <v>0</v>
      </c>
      <c r="K113" s="755" t="b">
        <f t="shared" si="3"/>
        <v>0</v>
      </c>
    </row>
    <row r="114" spans="2:12" x14ac:dyDescent="0.3">
      <c r="J114" s="724"/>
      <c r="K114" s="724"/>
      <c r="L114" s="422"/>
    </row>
    <row r="115" spans="2:12" x14ac:dyDescent="0.3">
      <c r="B115" s="727"/>
      <c r="C115" s="727"/>
      <c r="D115" s="727"/>
      <c r="E115" s="727"/>
      <c r="F115" s="727"/>
      <c r="G115" s="727"/>
      <c r="H115" s="727"/>
      <c r="I115" s="727"/>
      <c r="J115" s="422"/>
      <c r="K115" s="422"/>
      <c r="L115" s="422"/>
    </row>
    <row r="116" spans="2:12" x14ac:dyDescent="0.3">
      <c r="B116" s="727"/>
      <c r="C116" s="756" t="s">
        <v>4151</v>
      </c>
      <c r="D116" s="727"/>
      <c r="E116" s="727"/>
      <c r="F116" s="727"/>
      <c r="G116" s="727"/>
      <c r="H116" s="727"/>
      <c r="I116" s="727"/>
      <c r="J116" s="422"/>
      <c r="K116" s="422"/>
      <c r="L116" s="422"/>
    </row>
    <row r="117" spans="2:12" ht="3" customHeight="1" x14ac:dyDescent="0.3">
      <c r="B117" s="727"/>
      <c r="C117" s="756"/>
      <c r="D117" s="727"/>
      <c r="E117" s="727"/>
      <c r="F117" s="727"/>
      <c r="G117" s="727"/>
      <c r="H117" s="727"/>
      <c r="I117" s="727"/>
      <c r="J117" s="422"/>
      <c r="K117" s="422"/>
      <c r="L117" s="422"/>
    </row>
    <row r="118" spans="2:12" x14ac:dyDescent="0.3">
      <c r="B118" s="727"/>
      <c r="C118" s="757" t="s">
        <v>4152</v>
      </c>
      <c r="D118" s="729"/>
      <c r="E118" s="729"/>
      <c r="F118" s="729"/>
      <c r="G118" s="729"/>
      <c r="H118" s="727"/>
      <c r="I118" s="727"/>
      <c r="J118" s="422"/>
      <c r="K118" s="422"/>
      <c r="L118" s="422"/>
    </row>
    <row r="119" spans="2:12" ht="3" customHeight="1" x14ac:dyDescent="0.3">
      <c r="B119" s="727"/>
      <c r="C119" s="757"/>
      <c r="D119" s="729"/>
      <c r="E119" s="729"/>
      <c r="F119" s="729"/>
      <c r="G119" s="729"/>
      <c r="H119" s="727"/>
      <c r="I119" s="727"/>
      <c r="J119" s="422"/>
      <c r="K119" s="422"/>
      <c r="L119" s="422"/>
    </row>
    <row r="120" spans="2:12" x14ac:dyDescent="0.3">
      <c r="B120" s="727"/>
      <c r="C120" s="757" t="s">
        <v>4153</v>
      </c>
      <c r="D120" s="729"/>
      <c r="E120" s="729"/>
      <c r="F120" s="729"/>
      <c r="G120" s="729"/>
      <c r="H120" s="727"/>
      <c r="I120" s="727"/>
      <c r="J120" s="422"/>
      <c r="K120" s="422"/>
      <c r="L120" s="422"/>
    </row>
    <row r="121" spans="2:12" ht="3" customHeight="1" x14ac:dyDescent="0.3">
      <c r="B121" s="727"/>
      <c r="C121" s="757"/>
      <c r="D121" s="729"/>
      <c r="E121" s="729"/>
      <c r="F121" s="729"/>
      <c r="G121" s="729"/>
      <c r="H121" s="727"/>
      <c r="I121" s="727"/>
      <c r="J121" s="422"/>
      <c r="K121" s="422"/>
      <c r="L121" s="422"/>
    </row>
    <row r="122" spans="2:12" x14ac:dyDescent="0.3">
      <c r="B122" s="727"/>
      <c r="C122" s="757" t="s">
        <v>4154</v>
      </c>
      <c r="D122" s="729"/>
      <c r="E122" s="729"/>
      <c r="F122" s="729"/>
      <c r="G122" s="729"/>
      <c r="H122" s="727"/>
      <c r="I122" s="727"/>
      <c r="J122" s="422"/>
      <c r="K122" s="422"/>
      <c r="L122" s="422"/>
    </row>
    <row r="123" spans="2:12" ht="3" customHeight="1" x14ac:dyDescent="0.3">
      <c r="B123" s="727"/>
      <c r="C123" s="757"/>
      <c r="D123" s="729"/>
      <c r="E123" s="729"/>
      <c r="F123" s="729"/>
      <c r="G123" s="729"/>
      <c r="H123" s="727"/>
      <c r="I123" s="727"/>
      <c r="J123" s="422"/>
      <c r="K123" s="422"/>
      <c r="L123" s="422"/>
    </row>
    <row r="124" spans="2:12" x14ac:dyDescent="0.3">
      <c r="B124" s="727"/>
      <c r="C124" s="757" t="s">
        <v>4155</v>
      </c>
      <c r="D124" s="729"/>
      <c r="E124" s="729"/>
      <c r="F124" s="729"/>
      <c r="G124" s="729"/>
      <c r="H124" s="727"/>
      <c r="I124" s="727"/>
      <c r="J124" s="422"/>
      <c r="K124" s="422"/>
      <c r="L124" s="422"/>
    </row>
    <row r="125" spans="2:12" ht="3" customHeight="1" x14ac:dyDescent="0.3">
      <c r="B125" s="727"/>
      <c r="C125" s="757"/>
      <c r="D125" s="729"/>
      <c r="E125" s="729"/>
      <c r="F125" s="729"/>
      <c r="G125" s="729"/>
      <c r="H125" s="727"/>
      <c r="I125" s="727"/>
      <c r="J125" s="422"/>
      <c r="K125" s="422"/>
      <c r="L125" s="422"/>
    </row>
    <row r="126" spans="2:12" ht="29.25" customHeight="1" x14ac:dyDescent="0.3">
      <c r="B126" s="727"/>
      <c r="C126" s="1600" t="s">
        <v>4156</v>
      </c>
      <c r="D126" s="1600"/>
      <c r="E126" s="1600"/>
      <c r="F126" s="1600"/>
      <c r="G126" s="1600"/>
      <c r="H126" s="1600"/>
      <c r="I126" s="1600"/>
      <c r="J126" s="758"/>
      <c r="K126" s="758"/>
      <c r="L126" s="422"/>
    </row>
    <row r="127" spans="2:12" ht="3" customHeight="1" x14ac:dyDescent="0.3">
      <c r="B127" s="727"/>
      <c r="C127" s="757"/>
      <c r="D127" s="729"/>
      <c r="E127" s="729"/>
      <c r="F127" s="729"/>
      <c r="G127" s="729"/>
      <c r="H127" s="727"/>
      <c r="I127" s="727"/>
      <c r="J127" s="422"/>
      <c r="K127" s="422"/>
      <c r="L127" s="422"/>
    </row>
    <row r="128" spans="2:12" x14ac:dyDescent="0.3">
      <c r="B128" s="727"/>
      <c r="C128" s="757" t="s">
        <v>4157</v>
      </c>
      <c r="D128" s="729"/>
      <c r="E128" s="729"/>
      <c r="F128" s="729"/>
      <c r="G128" s="729"/>
      <c r="H128" s="727"/>
      <c r="I128" s="727"/>
      <c r="J128" s="422"/>
      <c r="K128" s="422"/>
      <c r="L128" s="422"/>
    </row>
    <row r="129" spans="2:12" ht="3" customHeight="1" x14ac:dyDescent="0.3">
      <c r="B129" s="727"/>
      <c r="C129" s="757"/>
      <c r="D129" s="729"/>
      <c r="E129" s="729"/>
      <c r="F129" s="729"/>
      <c r="G129" s="729"/>
      <c r="H129" s="727"/>
      <c r="I129" s="727"/>
      <c r="J129" s="422"/>
      <c r="K129" s="422"/>
      <c r="L129" s="422"/>
    </row>
    <row r="130" spans="2:12" x14ac:dyDescent="0.3">
      <c r="B130" s="727"/>
      <c r="C130" s="757" t="s">
        <v>4158</v>
      </c>
      <c r="D130" s="729"/>
      <c r="E130" s="729"/>
      <c r="F130" s="729"/>
      <c r="G130" s="729"/>
      <c r="H130" s="727"/>
      <c r="I130" s="727"/>
      <c r="J130" s="422"/>
      <c r="K130" s="422"/>
      <c r="L130" s="422"/>
    </row>
    <row r="131" spans="2:12" ht="3" customHeight="1" x14ac:dyDescent="0.3">
      <c r="B131" s="727"/>
      <c r="C131" s="757"/>
      <c r="D131" s="729"/>
      <c r="E131" s="729"/>
      <c r="F131" s="729"/>
      <c r="G131" s="729"/>
      <c r="H131" s="727"/>
      <c r="I131" s="727"/>
      <c r="J131" s="422"/>
      <c r="K131" s="422"/>
      <c r="L131" s="422"/>
    </row>
    <row r="132" spans="2:12" x14ac:dyDescent="0.3">
      <c r="B132" s="727"/>
      <c r="C132" s="757" t="s">
        <v>4159</v>
      </c>
      <c r="D132" s="729"/>
      <c r="E132" s="729"/>
      <c r="F132" s="729"/>
      <c r="G132" s="729"/>
      <c r="H132" s="727"/>
      <c r="I132" s="727"/>
      <c r="J132" s="422"/>
      <c r="K132" s="422"/>
      <c r="L132" s="422"/>
    </row>
    <row r="133" spans="2:12" ht="3" customHeight="1" x14ac:dyDescent="0.3">
      <c r="B133" s="727"/>
      <c r="C133" s="757"/>
      <c r="D133" s="729"/>
      <c r="E133" s="729"/>
      <c r="F133" s="729"/>
      <c r="G133" s="729"/>
      <c r="H133" s="727"/>
      <c r="I133" s="727"/>
      <c r="J133" s="422"/>
      <c r="K133" s="422"/>
      <c r="L133" s="422"/>
    </row>
    <row r="134" spans="2:12" ht="41.25" customHeight="1" x14ac:dyDescent="0.3">
      <c r="B134" s="727"/>
      <c r="C134" s="1601" t="s">
        <v>4659</v>
      </c>
      <c r="D134" s="1601"/>
      <c r="E134" s="1601"/>
      <c r="F134" s="1601"/>
      <c r="G134" s="1601"/>
      <c r="H134" s="1601"/>
      <c r="I134" s="1601"/>
      <c r="J134" s="759"/>
      <c r="K134" s="759"/>
      <c r="L134" s="758"/>
    </row>
    <row r="135" spans="2:12" ht="3" customHeight="1" x14ac:dyDescent="0.3">
      <c r="B135" s="727"/>
      <c r="C135" s="757"/>
      <c r="D135" s="729"/>
      <c r="E135" s="729"/>
      <c r="F135" s="729"/>
      <c r="G135" s="729"/>
      <c r="H135" s="727"/>
      <c r="I135" s="727"/>
      <c r="J135" s="422"/>
      <c r="K135" s="422"/>
      <c r="L135" s="422"/>
    </row>
    <row r="136" spans="2:12" x14ac:dyDescent="0.3">
      <c r="B136" s="727"/>
      <c r="C136" s="757" t="s">
        <v>4160</v>
      </c>
      <c r="D136" s="729"/>
      <c r="E136" s="729"/>
      <c r="F136" s="729"/>
      <c r="G136" s="729"/>
      <c r="H136" s="727"/>
      <c r="I136" s="727"/>
      <c r="J136" s="422"/>
      <c r="K136" s="422"/>
      <c r="L136" s="422"/>
    </row>
    <row r="137" spans="2:12" x14ac:dyDescent="0.3">
      <c r="B137" s="422"/>
      <c r="C137" s="422"/>
      <c r="D137" s="422"/>
      <c r="E137" s="422"/>
      <c r="F137" s="422"/>
      <c r="G137" s="422"/>
      <c r="H137" s="422"/>
      <c r="I137" s="422"/>
      <c r="J137" s="422"/>
      <c r="K137" s="422"/>
      <c r="L137" s="422"/>
    </row>
    <row r="138" spans="2:12" x14ac:dyDescent="0.3">
      <c r="B138" s="422"/>
      <c r="C138" s="422"/>
      <c r="D138" s="422"/>
      <c r="E138" s="422"/>
      <c r="F138" s="422"/>
      <c r="G138" s="422"/>
      <c r="H138" s="422"/>
      <c r="I138" s="422"/>
      <c r="J138" s="422"/>
      <c r="K138" s="422"/>
      <c r="L138" s="422"/>
    </row>
    <row r="139" spans="2:12" x14ac:dyDescent="0.3">
      <c r="B139" s="422"/>
      <c r="C139" s="422"/>
      <c r="D139" s="422"/>
      <c r="E139" s="422"/>
      <c r="F139" s="422"/>
      <c r="G139" s="422"/>
      <c r="H139" s="422"/>
      <c r="I139" s="422"/>
      <c r="J139" s="422"/>
      <c r="K139" s="422"/>
      <c r="L139" s="422"/>
    </row>
    <row r="140" spans="2:12" x14ac:dyDescent="0.3">
      <c r="B140" s="422"/>
      <c r="C140" s="760" t="s">
        <v>4161</v>
      </c>
      <c r="D140" s="422"/>
      <c r="E140" s="422"/>
      <c r="F140" s="422"/>
      <c r="G140" s="422"/>
      <c r="H140" s="422"/>
      <c r="I140" s="422"/>
      <c r="J140" s="422"/>
      <c r="K140" s="422"/>
      <c r="L140" s="422"/>
    </row>
    <row r="141" spans="2:12" ht="3" customHeight="1" x14ac:dyDescent="0.3">
      <c r="B141" s="422"/>
      <c r="C141" s="422"/>
      <c r="D141" s="422"/>
      <c r="E141" s="422"/>
      <c r="F141" s="422"/>
      <c r="G141" s="422"/>
      <c r="H141" s="422"/>
      <c r="I141" s="422"/>
      <c r="J141" s="422"/>
      <c r="K141" s="422"/>
      <c r="L141" s="422"/>
    </row>
    <row r="142" spans="2:12" x14ac:dyDescent="0.3">
      <c r="C142" s="1608" t="s">
        <v>4162</v>
      </c>
      <c r="D142" s="1608"/>
      <c r="E142" s="1608"/>
      <c r="F142" s="1608"/>
      <c r="G142" s="1608"/>
      <c r="H142" s="1608"/>
      <c r="I142" s="1608"/>
      <c r="J142" s="761"/>
      <c r="K142" s="761"/>
    </row>
    <row r="143" spans="2:12" ht="3" customHeight="1" x14ac:dyDescent="0.3">
      <c r="C143" s="762"/>
      <c r="D143" s="762"/>
      <c r="E143" s="762"/>
      <c r="F143" s="762"/>
      <c r="G143" s="762"/>
      <c r="H143" s="762"/>
      <c r="I143" s="762"/>
      <c r="J143" s="763"/>
      <c r="K143" s="763"/>
    </row>
    <row r="144" spans="2:12" x14ac:dyDescent="0.3">
      <c r="C144" s="1608" t="s">
        <v>4163</v>
      </c>
      <c r="D144" s="1608"/>
      <c r="E144" s="1608"/>
      <c r="F144" s="1608"/>
      <c r="G144" s="1608"/>
      <c r="H144" s="1608"/>
      <c r="I144" s="1608"/>
      <c r="J144" s="761"/>
      <c r="K144" s="761"/>
    </row>
    <row r="145" spans="10:11" x14ac:dyDescent="0.3">
      <c r="J145" s="422"/>
      <c r="K145" s="422"/>
    </row>
  </sheetData>
  <sheetProtection algorithmName="SHA-512" hashValue="fsuDAUfD4WLYY3xIlNea3ev2f5FFDaD9OEmQf2nBcw2BTZzus+OCFBg57d3hdSfg9MTFWWpbb74Pi+a8pU0/wg==" saltValue="zOYqQmvfD785vxE6ZLPJuA==" spinCount="100000" sheet="1" objects="1" scenarios="1" selectLockedCells="1"/>
  <mergeCells count="76">
    <mergeCell ref="G10:I10"/>
    <mergeCell ref="C45:D45"/>
    <mergeCell ref="C47:D47"/>
    <mergeCell ref="C49:D49"/>
    <mergeCell ref="C12:D12"/>
    <mergeCell ref="C38:D39"/>
    <mergeCell ref="E38:F38"/>
    <mergeCell ref="C41:I43"/>
    <mergeCell ref="G16:I16"/>
    <mergeCell ref="F18:I18"/>
    <mergeCell ref="E20:E21"/>
    <mergeCell ref="C14:D14"/>
    <mergeCell ref="C16:D16"/>
    <mergeCell ref="C18:D18"/>
    <mergeCell ref="A38:B39"/>
    <mergeCell ref="A41:B41"/>
    <mergeCell ref="A42:B42"/>
    <mergeCell ref="A43:B43"/>
    <mergeCell ref="C8:D8"/>
    <mergeCell ref="A8:B8"/>
    <mergeCell ref="A10:B10"/>
    <mergeCell ref="A12:B12"/>
    <mergeCell ref="A14:B14"/>
    <mergeCell ref="A16:B16"/>
    <mergeCell ref="A71:B71"/>
    <mergeCell ref="C51:D51"/>
    <mergeCell ref="A73:B73"/>
    <mergeCell ref="A75:B75"/>
    <mergeCell ref="A77:B77"/>
    <mergeCell ref="A69:B69"/>
    <mergeCell ref="A70:B70"/>
    <mergeCell ref="C69:I71"/>
    <mergeCell ref="A66:B67"/>
    <mergeCell ref="C66:D67"/>
    <mergeCell ref="A79:B79"/>
    <mergeCell ref="D79:D81"/>
    <mergeCell ref="A81:B81"/>
    <mergeCell ref="C142:I142"/>
    <mergeCell ref="C144:I144"/>
    <mergeCell ref="A83:B83"/>
    <mergeCell ref="C89:I89"/>
    <mergeCell ref="E91:F91"/>
    <mergeCell ref="G91:H91"/>
    <mergeCell ref="C103:D103"/>
    <mergeCell ref="E103:F103"/>
    <mergeCell ref="G92:H92"/>
    <mergeCell ref="G93:H93"/>
    <mergeCell ref="G94:H94"/>
    <mergeCell ref="G95:H95"/>
    <mergeCell ref="G96:H96"/>
    <mergeCell ref="D1:I5"/>
    <mergeCell ref="C35:I36"/>
    <mergeCell ref="E104:F113"/>
    <mergeCell ref="C126:I126"/>
    <mergeCell ref="C134:I134"/>
    <mergeCell ref="C54:D54"/>
    <mergeCell ref="C56:I57"/>
    <mergeCell ref="G12:I12"/>
    <mergeCell ref="G14:I14"/>
    <mergeCell ref="G8:I8"/>
    <mergeCell ref="C10:D10"/>
    <mergeCell ref="E92:F92"/>
    <mergeCell ref="E93:F93"/>
    <mergeCell ref="E94:F94"/>
    <mergeCell ref="E95:F95"/>
    <mergeCell ref="E96:F96"/>
    <mergeCell ref="C104:D104"/>
    <mergeCell ref="C105:D105"/>
    <mergeCell ref="C106:D106"/>
    <mergeCell ref="C107:D107"/>
    <mergeCell ref="C108:D108"/>
    <mergeCell ref="C109:D109"/>
    <mergeCell ref="C110:D110"/>
    <mergeCell ref="C111:D111"/>
    <mergeCell ref="C112:D112"/>
    <mergeCell ref="C113:D113"/>
  </mergeCells>
  <conditionalFormatting sqref="F24:I29">
    <cfRule type="cellIs" dxfId="32" priority="15" operator="lessThanOrEqual">
      <formula>$E24</formula>
    </cfRule>
  </conditionalFormatting>
  <conditionalFormatting sqref="G38">
    <cfRule type="expression" dxfId="31" priority="12">
      <formula>$G$38=TRUE</formula>
    </cfRule>
  </conditionalFormatting>
  <conditionalFormatting sqref="F32:I32">
    <cfRule type="cellIs" dxfId="30" priority="11" operator="lessThanOrEqual">
      <formula>$E32</formula>
    </cfRule>
  </conditionalFormatting>
  <conditionalFormatting sqref="G8">
    <cfRule type="expression" dxfId="29" priority="5">
      <formula>G8="Gold"</formula>
    </cfRule>
    <cfRule type="expression" dxfId="28" priority="6">
      <formula>G8="Silver"</formula>
    </cfRule>
    <cfRule type="expression" dxfId="27" priority="7">
      <formula>G8="Bronze"</formula>
    </cfRule>
    <cfRule type="expression" dxfId="26" priority="8">
      <formula>G8="Emerald"</formula>
    </cfRule>
  </conditionalFormatting>
  <conditionalFormatting sqref="F18:I18">
    <cfRule type="expression" dxfId="25" priority="3">
      <formula>$J$18</formula>
    </cfRule>
  </conditionalFormatting>
  <conditionalFormatting sqref="C41 C45 C47 C49 C51 C69 C73 C75 C77 C79 C81 C83 C92:H96 C104:H113">
    <cfRule type="notContainsBlanks" dxfId="24" priority="1">
      <formula>LEN(TRIM(C41))&gt;0</formula>
    </cfRule>
  </conditionalFormatting>
  <conditionalFormatting sqref="C92:H96 C104:D113 G104:H113">
    <cfRule type="expression" dxfId="23" priority="4740">
      <formula>$K92</formula>
    </cfRule>
  </conditionalFormatting>
  <dataValidations disablePrompts="1" count="1">
    <dataValidation type="list" allowBlank="1" showDropDown="1" showInputMessage="1" showErrorMessage="1" error="Use Checkbox" prompt="Use Checkbox" sqref="G38" xr:uid="{00000000-0002-0000-1100-000000000000}">
      <formula1>TorF</formula1>
    </dataValidation>
  </dataValidations>
  <pageMargins left="0.7" right="0.7" top="0.75" bottom="0.75" header="0.3" footer="0.3"/>
  <pageSetup paperSize="185" scale="77" fitToHeight="0" orientation="landscape" r:id="rId1"/>
  <rowBreaks count="3" manualBreakCount="3">
    <brk id="52" max="8" man="1"/>
    <brk id="87" max="16383" man="1"/>
    <brk id="114"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29700" r:id="rId4" name="Check Box 4">
              <controlPr locked="0" defaultSize="0" autoFill="0" autoLine="0" autoPict="0">
                <anchor moveWithCells="1">
                  <from>
                    <xdr:col>6</xdr:col>
                    <xdr:colOff>0</xdr:colOff>
                    <xdr:row>37</xdr:row>
                    <xdr:rowOff>0</xdr:rowOff>
                  </from>
                  <to>
                    <xdr:col>6</xdr:col>
                    <xdr:colOff>182880</xdr:colOff>
                    <xdr:row>37</xdr:row>
                    <xdr:rowOff>182880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4" stopIfTrue="1" id="{DDABF1C9-C1A1-4C38-A492-5D0883D9EF43}">
            <xm:f>Points!$Y10&lt;3</xm:f>
            <x14:dxf>
              <fill>
                <patternFill patternType="lightGray"/>
              </fill>
            </x14:dxf>
          </x14:cfRule>
          <xm:sqref>H26:H27</xm:sqref>
        </x14:conditionalFormatting>
        <x14:conditionalFormatting xmlns:xm="http://schemas.microsoft.com/office/excel/2006/main">
          <x14:cfRule type="expression" priority="13" stopIfTrue="1" id="{D71DE272-16BC-4289-8D4F-146DEF81DDC7}">
            <xm:f>Points!$Y10&lt;4</xm:f>
            <x14:dxf>
              <fill>
                <patternFill patternType="lightGray"/>
              </fill>
            </x14:dxf>
          </x14:cfRule>
          <xm:sqref>I26:I27</xm:sqref>
        </x14:conditionalFormatting>
        <x14:conditionalFormatting xmlns:xm="http://schemas.microsoft.com/office/excel/2006/main">
          <x14:cfRule type="expression" priority="10" stopIfTrue="1" id="{F8739ABB-6B55-48D6-B2F0-82315F2C898B}">
            <xm:f>MIN(Points!$Y$10:$Y$11)&lt;3</xm:f>
            <x14:dxf>
              <fill>
                <patternFill patternType="lightGray"/>
              </fill>
            </x14:dxf>
          </x14:cfRule>
          <xm:sqref>H32</xm:sqref>
        </x14:conditionalFormatting>
        <x14:conditionalFormatting xmlns:xm="http://schemas.microsoft.com/office/excel/2006/main">
          <x14:cfRule type="expression" priority="9" id="{8C727C8C-E261-4E43-A18E-EEBDB77E3D7F}">
            <xm:f>MIN(Points!$Y$10:$Y$11)&lt;4</xm:f>
            <x14:dxf>
              <fill>
                <patternFill patternType="lightGray"/>
              </fill>
            </x14:dxf>
          </x14:cfRule>
          <xm:sqref>I32</xm:sqref>
        </x14:conditionalFormatting>
        <x14:conditionalFormatting xmlns:xm="http://schemas.microsoft.com/office/excel/2006/main">
          <x14:cfRule type="expression" priority="4" id="{128E1DF5-B51E-4D75-80EB-08F9971F1789}">
            <xm:f>OR('Verification Report'!$AI$3,'Verification Report'!$AG$3)</xm:f>
            <x14:dxf>
              <font>
                <b/>
                <i val="0"/>
                <color theme="1"/>
              </font>
              <fill>
                <patternFill>
                  <bgColor rgb="FFFF0000"/>
                </patternFill>
              </fill>
            </x14:dxf>
          </x14:cfRule>
          <xm:sqref>C18:D18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M183"/>
  <sheetViews>
    <sheetView showGridLines="0" topLeftCell="A19" zoomScaleNormal="100" workbookViewId="0">
      <selection activeCell="C38" sqref="C38:D39"/>
    </sheetView>
  </sheetViews>
  <sheetFormatPr defaultColWidth="9.109375" defaultRowHeight="14.4" x14ac:dyDescent="0.3"/>
  <cols>
    <col min="1" max="2" width="10.6640625" style="665" customWidth="1"/>
    <col min="3" max="3" width="43.33203125" style="665" customWidth="1"/>
    <col min="4" max="9" width="15.6640625" style="665" customWidth="1"/>
    <col min="10" max="11" width="15.6640625" style="665" hidden="1" customWidth="1"/>
    <col min="12" max="12" width="16.6640625" style="665" hidden="1" customWidth="1"/>
    <col min="13" max="13" width="30.6640625" style="665" hidden="1" customWidth="1"/>
    <col min="14" max="16384" width="9.109375" style="665"/>
  </cols>
  <sheetData>
    <row r="1" spans="1:13" x14ac:dyDescent="0.3">
      <c r="A1" s="777"/>
      <c r="B1" s="777"/>
      <c r="C1" s="777"/>
      <c r="D1" s="1463" t="s">
        <v>4722</v>
      </c>
      <c r="E1" s="1463"/>
      <c r="F1" s="1463"/>
      <c r="G1" s="1463"/>
      <c r="H1" s="1463"/>
      <c r="I1" s="1463"/>
      <c r="J1" s="422"/>
      <c r="K1" s="422"/>
    </row>
    <row r="2" spans="1:13" x14ac:dyDescent="0.3">
      <c r="A2" s="777"/>
      <c r="B2" s="777"/>
      <c r="C2" s="777"/>
      <c r="D2" s="1463"/>
      <c r="E2" s="1463"/>
      <c r="F2" s="1463"/>
      <c r="G2" s="1463"/>
      <c r="H2" s="1463"/>
      <c r="I2" s="1463"/>
      <c r="J2" s="422"/>
      <c r="K2" s="422"/>
    </row>
    <row r="3" spans="1:13" x14ac:dyDescent="0.3">
      <c r="A3" s="777"/>
      <c r="B3" s="777"/>
      <c r="C3" s="777"/>
      <c r="D3" s="1463"/>
      <c r="E3" s="1463"/>
      <c r="F3" s="1463"/>
      <c r="G3" s="1463"/>
      <c r="H3" s="1463"/>
      <c r="I3" s="1463"/>
      <c r="J3" s="422"/>
      <c r="K3" s="422"/>
    </row>
    <row r="4" spans="1:13" s="777" customFormat="1" x14ac:dyDescent="0.3">
      <c r="D4" s="1463"/>
      <c r="E4" s="1463"/>
      <c r="F4" s="1463"/>
      <c r="G4" s="1463"/>
      <c r="H4" s="1463"/>
      <c r="I4" s="1463"/>
      <c r="J4" s="422"/>
      <c r="K4" s="422"/>
    </row>
    <row r="5" spans="1:13" x14ac:dyDescent="0.3">
      <c r="A5" s="777"/>
      <c r="B5" s="777"/>
      <c r="C5" s="777"/>
      <c r="D5" s="1463"/>
      <c r="E5" s="1463"/>
      <c r="F5" s="1463"/>
      <c r="G5" s="1463"/>
      <c r="H5" s="1463"/>
      <c r="I5" s="1463"/>
      <c r="J5" s="422"/>
      <c r="K5" s="422"/>
    </row>
    <row r="6" spans="1:13" ht="18" x14ac:dyDescent="0.35">
      <c r="A6" s="991"/>
      <c r="B6" s="991"/>
      <c r="C6" s="14" t="s">
        <v>4164</v>
      </c>
      <c r="D6" s="991"/>
      <c r="E6" s="991"/>
      <c r="F6" s="991"/>
      <c r="G6" s="991"/>
      <c r="H6" s="991"/>
      <c r="I6" s="991"/>
      <c r="J6" s="992" t="s">
        <v>260</v>
      </c>
      <c r="K6" s="992" t="s">
        <v>260</v>
      </c>
      <c r="L6" s="984" t="s">
        <v>260</v>
      </c>
      <c r="M6" s="984" t="s">
        <v>260</v>
      </c>
    </row>
    <row r="7" spans="1:13" x14ac:dyDescent="0.3">
      <c r="J7" s="422"/>
      <c r="K7" s="422"/>
    </row>
    <row r="8" spans="1:13" x14ac:dyDescent="0.3">
      <c r="A8" s="1650" t="s">
        <v>4110</v>
      </c>
      <c r="B8" s="1650"/>
      <c r="C8" s="982" t="str">
        <f>IF('Overview (Verification)'!P60="","None entered on ""Overview (Verification)"" Sheet",'Overview (Verification)'!P60)</f>
        <v>None entered on "Overview (Verification)" Sheet</v>
      </c>
      <c r="D8" s="778"/>
      <c r="E8" s="980"/>
      <c r="F8" s="978" t="s">
        <v>4448</v>
      </c>
      <c r="G8" s="1664" t="str">
        <f ca="1">Points!AC22</f>
        <v>None</v>
      </c>
      <c r="H8" s="1664"/>
      <c r="I8" s="1664"/>
      <c r="J8" s="422"/>
      <c r="K8" s="422"/>
    </row>
    <row r="9" spans="1:13" ht="3" customHeight="1" x14ac:dyDescent="0.3">
      <c r="A9" s="724"/>
      <c r="B9" s="724"/>
      <c r="C9" s="779"/>
      <c r="D9" s="779"/>
      <c r="E9" s="990"/>
      <c r="F9" s="744"/>
      <c r="G9" s="779"/>
      <c r="H9" s="779"/>
      <c r="I9" s="779"/>
      <c r="J9" s="724"/>
      <c r="K9" s="422"/>
    </row>
    <row r="10" spans="1:13" x14ac:dyDescent="0.3">
      <c r="A10" s="1650" t="s">
        <v>4112</v>
      </c>
      <c r="B10" s="1650"/>
      <c r="C10" s="1238" t="str">
        <f>IF('Overview (Verification)'!P8="","None entered on ""Overview (Verification)"" Sheet",'Overview (Verification)'!P8)</f>
        <v>None entered on "Overview (Verification)" Sheet</v>
      </c>
      <c r="D10" s="1238"/>
      <c r="E10" s="980"/>
      <c r="F10" s="978" t="s">
        <v>4113</v>
      </c>
      <c r="G10" s="1238" t="str">
        <f>'Overview (Verification)'!P16</f>
        <v/>
      </c>
      <c r="H10" s="1238"/>
      <c r="I10" s="1238"/>
      <c r="J10" s="422"/>
      <c r="K10" s="422"/>
    </row>
    <row r="11" spans="1:13" ht="3" customHeight="1" x14ac:dyDescent="0.3">
      <c r="A11" s="990"/>
      <c r="B11" s="990"/>
      <c r="C11" s="779"/>
      <c r="D11" s="780"/>
      <c r="E11" s="990"/>
      <c r="F11" s="744"/>
      <c r="G11" s="726"/>
      <c r="H11" s="726"/>
      <c r="I11" s="726"/>
      <c r="J11" s="724"/>
      <c r="K11" s="422"/>
    </row>
    <row r="12" spans="1:13" x14ac:dyDescent="0.3">
      <c r="A12" s="1650" t="s">
        <v>4444</v>
      </c>
      <c r="B12" s="1650"/>
      <c r="C12" s="1606" t="str">
        <f>IF('Overview (Verification)'!P11="","None entered on ""Overview (Verification)"" Sheet",'Overview (Verification)'!P9&amp;", "&amp;'Overview (Verification)'!P11&amp;", "&amp;'Overview (Verification)'!P12&amp;"  "&amp;'Overview (Verification)'!P14)</f>
        <v>None entered on "Overview (Verification)" Sheet</v>
      </c>
      <c r="D12" s="1606"/>
      <c r="E12" s="980"/>
      <c r="F12" s="978" t="s">
        <v>159</v>
      </c>
      <c r="G12" s="1604">
        <f>IF('Overview (Verification)'!P17&lt;&gt;"",'Overview (Verification)'!P17,1)</f>
        <v>1</v>
      </c>
      <c r="H12" s="1604"/>
      <c r="I12" s="1604"/>
      <c r="J12" s="422"/>
      <c r="K12" s="422"/>
    </row>
    <row r="13" spans="1:13" ht="3" customHeight="1" x14ac:dyDescent="0.3">
      <c r="A13" s="990"/>
      <c r="B13" s="990"/>
      <c r="C13" s="779"/>
      <c r="D13" s="780"/>
      <c r="E13" s="990"/>
      <c r="F13" s="744"/>
      <c r="G13" s="726"/>
      <c r="H13" s="726"/>
      <c r="I13" s="726"/>
      <c r="J13" s="724"/>
      <c r="K13" s="422"/>
    </row>
    <row r="14" spans="1:13" x14ac:dyDescent="0.3">
      <c r="A14" s="1650" t="s">
        <v>130</v>
      </c>
      <c r="B14" s="1650"/>
      <c r="C14" s="1606" t="str">
        <f>IF('Overview (Verification)'!P10="","None entered on ""Overview (Verification)"" Sheet",'Overview (Verification)'!P10)</f>
        <v>None entered on "Overview (Verification)" Sheet</v>
      </c>
      <c r="D14" s="1606"/>
      <c r="E14" s="980"/>
      <c r="F14" s="978" t="s">
        <v>4688</v>
      </c>
      <c r="G14" s="1238" t="str">
        <f>'Overview (Verification)'!P21</f>
        <v/>
      </c>
      <c r="H14" s="1238"/>
      <c r="I14" s="1238"/>
      <c r="J14" s="422"/>
      <c r="K14" s="422"/>
    </row>
    <row r="15" spans="1:13" ht="3" customHeight="1" x14ac:dyDescent="0.3">
      <c r="A15" s="990"/>
      <c r="B15" s="990"/>
      <c r="C15" s="779"/>
      <c r="D15" s="780"/>
      <c r="E15" s="990"/>
      <c r="F15" s="744"/>
      <c r="G15" s="726"/>
      <c r="H15" s="726"/>
      <c r="I15" s="726"/>
      <c r="J15" s="724"/>
      <c r="K15" s="422"/>
    </row>
    <row r="16" spans="1:13" x14ac:dyDescent="0.3">
      <c r="A16" s="1650" t="s">
        <v>3866</v>
      </c>
      <c r="B16" s="1650"/>
      <c r="C16" s="1634" t="str">
        <f>'Overview (Verification)'!U9&amp;" "&amp;'Overview (Verification)'!V9&amp;" "&amp;'Overview (Verification)'!W9&amp;" "&amp;'Overview (Verification)'!Y9</f>
        <v>!! !! !! !!</v>
      </c>
      <c r="D16" s="1634"/>
      <c r="E16" s="760"/>
      <c r="F16" s="978" t="s">
        <v>4114</v>
      </c>
      <c r="G16" s="1238" t="str">
        <f>'Overview (Verification)'!P24</f>
        <v/>
      </c>
      <c r="H16" s="1238"/>
      <c r="I16" s="1238"/>
      <c r="J16" s="422"/>
      <c r="K16" s="422"/>
    </row>
    <row r="17" spans="1:11" ht="3" customHeight="1" x14ac:dyDescent="0.3">
      <c r="A17" s="168"/>
      <c r="B17" s="168"/>
      <c r="C17" s="764"/>
      <c r="D17" s="764"/>
      <c r="E17" s="760"/>
      <c r="F17" s="978"/>
      <c r="J17" s="422"/>
      <c r="K17" s="422"/>
    </row>
    <row r="18" spans="1:11" ht="14.4" customHeight="1" x14ac:dyDescent="0.3">
      <c r="A18" s="422"/>
      <c r="C18" s="1630" t="s">
        <v>4454</v>
      </c>
      <c r="D18" s="1631"/>
      <c r="E18" s="985"/>
      <c r="F18" s="1630" t="s">
        <v>4455</v>
      </c>
      <c r="G18" s="1631"/>
      <c r="H18" s="1631"/>
      <c r="I18" s="1631"/>
      <c r="J18" s="422" t="b">
        <f>OR(J45:J113)</f>
        <v>1</v>
      </c>
      <c r="K18" s="422"/>
    </row>
    <row r="19" spans="1:11" x14ac:dyDescent="0.3">
      <c r="A19" s="422"/>
      <c r="B19" s="422"/>
      <c r="C19" s="422"/>
      <c r="I19" s="422"/>
      <c r="J19" s="422"/>
      <c r="K19" s="422"/>
    </row>
    <row r="20" spans="1:11" x14ac:dyDescent="0.3">
      <c r="A20" s="727"/>
      <c r="B20" s="727"/>
      <c r="C20" s="727"/>
      <c r="D20" s="727"/>
      <c r="E20" s="1632" t="str">
        <f>IF('Verification Report'!L5="Final","Final Points claimed by","NOT YET FINAL PHASE")</f>
        <v>NOT YET FINAL PHASE</v>
      </c>
      <c r="F20" s="727"/>
      <c r="G20" s="727"/>
      <c r="H20" s="727"/>
      <c r="I20" s="727"/>
      <c r="J20" s="422"/>
      <c r="K20" s="422"/>
    </row>
    <row r="21" spans="1:11" x14ac:dyDescent="0.3">
      <c r="A21" s="727"/>
      <c r="B21" s="727"/>
      <c r="C21" s="727"/>
      <c r="E21" s="1633"/>
      <c r="F21" s="727"/>
      <c r="G21" s="727"/>
      <c r="H21" s="727"/>
      <c r="I21" s="727"/>
      <c r="J21" s="422"/>
      <c r="K21" s="422"/>
    </row>
    <row r="22" spans="1:11" ht="15" customHeight="1" x14ac:dyDescent="0.3">
      <c r="A22" s="727"/>
      <c r="B22" s="727"/>
      <c r="C22" s="673" t="s">
        <v>4115</v>
      </c>
      <c r="D22" s="728" t="s">
        <v>4116</v>
      </c>
      <c r="E22" s="728" t="s">
        <v>3768</v>
      </c>
      <c r="F22" s="673" t="s">
        <v>4117</v>
      </c>
      <c r="G22" s="673" t="s">
        <v>4118</v>
      </c>
      <c r="H22" s="673" t="s">
        <v>4119</v>
      </c>
      <c r="I22" s="673" t="s">
        <v>4120</v>
      </c>
      <c r="J22" s="422"/>
      <c r="K22" s="422"/>
    </row>
    <row r="23" spans="1:11" s="97" customFormat="1" ht="3" customHeight="1" x14ac:dyDescent="0.3">
      <c r="A23" s="729"/>
      <c r="B23" s="729"/>
      <c r="C23" s="730"/>
      <c r="D23" s="708"/>
      <c r="E23" s="710"/>
      <c r="J23" s="724"/>
      <c r="K23" s="724"/>
    </row>
    <row r="24" spans="1:11" ht="15" customHeight="1" x14ac:dyDescent="0.3">
      <c r="A24" s="727"/>
      <c r="B24" s="727"/>
      <c r="C24" s="731" t="s">
        <v>4121</v>
      </c>
      <c r="D24" s="732">
        <f ca="1">'Design Summ.'!I13</f>
        <v>54</v>
      </c>
      <c r="E24" s="733">
        <f ca="1">Ch5PointsFinal</f>
        <v>0</v>
      </c>
      <c r="F24" s="733">
        <v>50</v>
      </c>
      <c r="G24" s="733">
        <v>64</v>
      </c>
      <c r="H24" s="733">
        <v>93</v>
      </c>
      <c r="I24" s="733">
        <v>121</v>
      </c>
      <c r="J24" s="422"/>
      <c r="K24" s="422"/>
    </row>
    <row r="25" spans="1:11" ht="15" customHeight="1" x14ac:dyDescent="0.3">
      <c r="A25" s="727"/>
      <c r="B25" s="727"/>
      <c r="C25" s="734" t="s">
        <v>4122</v>
      </c>
      <c r="D25" s="735">
        <f ca="1">'Design Summ.'!I14</f>
        <v>76</v>
      </c>
      <c r="E25" s="736">
        <f ca="1">Ch6PointsFinal</f>
        <v>0</v>
      </c>
      <c r="F25" s="736">
        <v>43</v>
      </c>
      <c r="G25" s="736">
        <v>59</v>
      </c>
      <c r="H25" s="736">
        <v>89</v>
      </c>
      <c r="I25" s="736">
        <v>119</v>
      </c>
      <c r="J25" s="422"/>
      <c r="K25" s="422"/>
    </row>
    <row r="26" spans="1:11" ht="15" customHeight="1" x14ac:dyDescent="0.3">
      <c r="A26" s="727"/>
      <c r="B26" s="727"/>
      <c r="C26" s="734" t="s">
        <v>4123</v>
      </c>
      <c r="D26" s="735">
        <f ca="1">'Design Summ.'!I15</f>
        <v>33</v>
      </c>
      <c r="E26" s="736">
        <f ca="1">Ch7PointsFinal</f>
        <v>0</v>
      </c>
      <c r="F26" s="736">
        <v>30</v>
      </c>
      <c r="G26" s="736">
        <v>45</v>
      </c>
      <c r="H26" s="736">
        <v>60</v>
      </c>
      <c r="I26" s="736">
        <v>70</v>
      </c>
      <c r="J26" s="422"/>
      <c r="K26" s="422"/>
    </row>
    <row r="27" spans="1:11" ht="15" customHeight="1" x14ac:dyDescent="0.3">
      <c r="A27" s="727"/>
      <c r="B27" s="727"/>
      <c r="C27" s="734" t="s">
        <v>4124</v>
      </c>
      <c r="D27" s="735">
        <f ca="1">'Design Summ.'!I16</f>
        <v>49</v>
      </c>
      <c r="E27" s="736">
        <f ca="1">Ch8PointsFinal</f>
        <v>0</v>
      </c>
      <c r="F27" s="736">
        <v>25</v>
      </c>
      <c r="G27" s="736">
        <v>39</v>
      </c>
      <c r="H27" s="736">
        <v>67</v>
      </c>
      <c r="I27" s="736">
        <v>92</v>
      </c>
      <c r="J27" s="422"/>
      <c r="K27" s="422"/>
    </row>
    <row r="28" spans="1:11" ht="15" customHeight="1" x14ac:dyDescent="0.3">
      <c r="A28" s="727"/>
      <c r="B28" s="727"/>
      <c r="C28" s="734" t="s">
        <v>4125</v>
      </c>
      <c r="D28" s="735">
        <f ca="1">'Design Summ.'!I17</f>
        <v>89</v>
      </c>
      <c r="E28" s="736">
        <f ca="1">Ch9PointsFinal</f>
        <v>0</v>
      </c>
      <c r="F28" s="736">
        <v>25</v>
      </c>
      <c r="G28" s="736">
        <v>42</v>
      </c>
      <c r="H28" s="736">
        <v>69</v>
      </c>
      <c r="I28" s="736">
        <v>97</v>
      </c>
      <c r="J28" s="422"/>
      <c r="K28" s="422"/>
    </row>
    <row r="29" spans="1:11" ht="15" customHeight="1" x14ac:dyDescent="0.3">
      <c r="A29" s="727"/>
      <c r="B29" s="727"/>
      <c r="C29" s="737" t="s">
        <v>4126</v>
      </c>
      <c r="D29" s="738">
        <f>'Design Summ.'!I18</f>
        <v>9</v>
      </c>
      <c r="E29" s="738">
        <f>Ch10PointsFinal</f>
        <v>0</v>
      </c>
      <c r="F29" s="739">
        <v>8</v>
      </c>
      <c r="G29" s="739">
        <v>10</v>
      </c>
      <c r="H29" s="739">
        <v>11</v>
      </c>
      <c r="I29" s="739">
        <v>12</v>
      </c>
      <c r="J29" s="422"/>
      <c r="K29" s="422"/>
    </row>
    <row r="30" spans="1:11" s="97" customFormat="1" ht="3" customHeight="1" x14ac:dyDescent="0.3">
      <c r="A30" s="729"/>
      <c r="B30" s="729"/>
      <c r="C30" s="740"/>
      <c r="D30" s="741"/>
      <c r="E30" s="729"/>
      <c r="F30" s="729"/>
      <c r="G30" s="729"/>
      <c r="H30" s="729"/>
      <c r="I30" s="729"/>
      <c r="J30" s="724"/>
      <c r="K30" s="724"/>
    </row>
    <row r="31" spans="1:11" s="97" customFormat="1" ht="3" customHeight="1" x14ac:dyDescent="0.3">
      <c r="A31" s="729"/>
      <c r="B31" s="729"/>
      <c r="C31" s="729"/>
      <c r="D31" s="741"/>
      <c r="E31" s="729"/>
      <c r="F31" s="729"/>
      <c r="G31" s="729"/>
      <c r="H31" s="729"/>
      <c r="I31" s="729"/>
      <c r="J31" s="724"/>
      <c r="K31" s="724"/>
    </row>
    <row r="32" spans="1:11" ht="15" customHeight="1" x14ac:dyDescent="0.3">
      <c r="A32" s="727"/>
      <c r="B32" s="727"/>
      <c r="C32" s="672" t="s">
        <v>4127</v>
      </c>
      <c r="D32" s="28">
        <f ca="1">'Design Summ.'!I21</f>
        <v>310</v>
      </c>
      <c r="E32" s="28">
        <f ca="1">SUM(E24:E29)</f>
        <v>0</v>
      </c>
      <c r="F32" s="28">
        <f>SUM(F24:F29)+Points!C22</f>
        <v>231</v>
      </c>
      <c r="G32" s="28">
        <f>SUM(G24:G29)+Points!D22</f>
        <v>334</v>
      </c>
      <c r="H32" s="28">
        <f>SUM(H24:H29)+Points!E22</f>
        <v>489</v>
      </c>
      <c r="I32" s="28">
        <f>SUM(I24:I29)+Points!F22</f>
        <v>611</v>
      </c>
      <c r="J32" s="422"/>
      <c r="K32" s="422"/>
    </row>
    <row r="33" spans="1:11" ht="15" customHeight="1" x14ac:dyDescent="0.3">
      <c r="A33" s="727"/>
      <c r="B33" s="727"/>
      <c r="C33" s="727"/>
      <c r="D33" s="727"/>
      <c r="E33" s="727"/>
      <c r="F33" s="727"/>
      <c r="G33" s="727"/>
      <c r="H33" s="727"/>
      <c r="I33" s="727"/>
      <c r="J33" s="422"/>
      <c r="K33" s="422"/>
    </row>
    <row r="34" spans="1:11" ht="15" customHeight="1" x14ac:dyDescent="0.3">
      <c r="A34" s="727"/>
      <c r="B34" s="727"/>
      <c r="C34" s="727"/>
      <c r="D34" s="727"/>
      <c r="E34" s="727"/>
      <c r="F34" s="727"/>
      <c r="G34" s="727"/>
      <c r="H34" s="727"/>
      <c r="I34" s="727"/>
      <c r="J34" s="422"/>
      <c r="K34" s="422"/>
    </row>
    <row r="35" spans="1:11" ht="18" customHeight="1" x14ac:dyDescent="0.3">
      <c r="C35" s="1598" t="s">
        <v>4445</v>
      </c>
      <c r="D35" s="1598"/>
      <c r="E35" s="1598"/>
      <c r="F35" s="1598"/>
      <c r="G35" s="1598"/>
      <c r="H35" s="1598"/>
      <c r="I35" s="1598"/>
      <c r="J35" s="422"/>
      <c r="K35" s="422"/>
    </row>
    <row r="36" spans="1:11" ht="20.100000000000001" customHeight="1" x14ac:dyDescent="0.3">
      <c r="C36" s="1598"/>
      <c r="D36" s="1598"/>
      <c r="E36" s="1598"/>
      <c r="F36" s="1598"/>
      <c r="G36" s="1598"/>
      <c r="H36" s="1598"/>
      <c r="I36" s="1598"/>
      <c r="J36" s="422"/>
      <c r="K36" s="422"/>
    </row>
    <row r="37" spans="1:11" ht="15" customHeight="1" x14ac:dyDescent="0.3">
      <c r="J37" s="422"/>
      <c r="K37" s="422"/>
    </row>
    <row r="38" spans="1:11" s="977" customFormat="1" ht="15" customHeight="1" x14ac:dyDescent="0.3">
      <c r="A38" s="1622" t="s">
        <v>4446</v>
      </c>
      <c r="B38" s="1665"/>
      <c r="C38" s="1651"/>
      <c r="D38" s="1652"/>
      <c r="E38" s="1247" t="s">
        <v>4128</v>
      </c>
      <c r="F38" s="1471"/>
      <c r="G38" s="25"/>
      <c r="J38" s="422"/>
      <c r="K38" s="422"/>
    </row>
    <row r="39" spans="1:11" s="977" customFormat="1" x14ac:dyDescent="0.3">
      <c r="A39" s="981"/>
      <c r="B39" s="981"/>
      <c r="C39" s="1653"/>
      <c r="D39" s="1654"/>
      <c r="J39" s="422"/>
      <c r="K39" s="422"/>
    </row>
    <row r="40" spans="1:11" s="977" customFormat="1" ht="3" customHeight="1" x14ac:dyDescent="0.3">
      <c r="A40" s="980"/>
      <c r="B40" s="980"/>
      <c r="C40" s="748"/>
      <c r="D40" s="748"/>
      <c r="J40" s="422"/>
      <c r="K40" s="422"/>
    </row>
    <row r="41" spans="1:11" s="977" customFormat="1" x14ac:dyDescent="0.3">
      <c r="A41" s="1247" t="s">
        <v>4449</v>
      </c>
      <c r="B41" s="1247"/>
      <c r="C41" s="1655"/>
      <c r="D41" s="1656"/>
      <c r="E41" s="1656"/>
      <c r="F41" s="1656"/>
      <c r="G41" s="1656"/>
      <c r="H41" s="1656"/>
      <c r="I41" s="1657"/>
      <c r="J41" s="422"/>
      <c r="K41" s="422"/>
    </row>
    <row r="42" spans="1:11" s="977" customFormat="1" x14ac:dyDescent="0.3">
      <c r="A42" s="1247"/>
      <c r="B42" s="1247"/>
      <c r="C42" s="1658"/>
      <c r="D42" s="1659"/>
      <c r="E42" s="1659"/>
      <c r="F42" s="1659"/>
      <c r="G42" s="1659"/>
      <c r="H42" s="1659"/>
      <c r="I42" s="1660"/>
      <c r="J42" s="422"/>
      <c r="K42" s="422"/>
    </row>
    <row r="43" spans="1:11" s="977" customFormat="1" x14ac:dyDescent="0.3">
      <c r="A43" s="1247"/>
      <c r="B43" s="1247"/>
      <c r="C43" s="1661"/>
      <c r="D43" s="1662"/>
      <c r="E43" s="1662"/>
      <c r="F43" s="1662"/>
      <c r="G43" s="1662"/>
      <c r="H43" s="1662"/>
      <c r="I43" s="1663"/>
      <c r="J43" s="422"/>
      <c r="K43" s="422"/>
    </row>
    <row r="44" spans="1:11" s="977" customFormat="1" ht="3" customHeight="1" x14ac:dyDescent="0.3">
      <c r="A44" s="980"/>
      <c r="B44" s="980"/>
      <c r="J44" s="422"/>
      <c r="K44" s="422"/>
    </row>
    <row r="45" spans="1:11" ht="15" customHeight="1" x14ac:dyDescent="0.3">
      <c r="A45" s="423"/>
      <c r="B45" s="743" t="s">
        <v>4129</v>
      </c>
      <c r="C45" s="1637"/>
      <c r="D45" s="1637"/>
      <c r="E45" s="1635" t="s">
        <v>4165</v>
      </c>
      <c r="F45" s="1635"/>
      <c r="G45" s="985"/>
      <c r="J45" s="422" t="b">
        <f>ISBLANK(C45)</f>
        <v>1</v>
      </c>
      <c r="K45" s="422"/>
    </row>
    <row r="46" spans="1:11" ht="3" customHeight="1" x14ac:dyDescent="0.3">
      <c r="A46" s="423"/>
      <c r="B46" s="743"/>
      <c r="E46" s="1635"/>
      <c r="F46" s="1635"/>
      <c r="J46" s="422"/>
      <c r="K46" s="422"/>
    </row>
    <row r="47" spans="1:11" ht="15" customHeight="1" x14ac:dyDescent="0.3">
      <c r="A47" s="423"/>
      <c r="B47" s="743" t="s">
        <v>4130</v>
      </c>
      <c r="C47" s="1637"/>
      <c r="D47" s="1637"/>
      <c r="E47" s="1635"/>
      <c r="F47" s="1635"/>
      <c r="G47" s="749"/>
      <c r="J47" s="422" t="b">
        <f>ISBLANK(C47)</f>
        <v>1</v>
      </c>
      <c r="K47" s="422"/>
    </row>
    <row r="48" spans="1:11" ht="3" customHeight="1" x14ac:dyDescent="0.3">
      <c r="A48" s="423"/>
      <c r="B48" s="743"/>
      <c r="J48" s="422"/>
      <c r="K48" s="422"/>
    </row>
    <row r="49" spans="1:11" x14ac:dyDescent="0.3">
      <c r="A49" s="423"/>
      <c r="B49" s="743" t="s">
        <v>4131</v>
      </c>
      <c r="C49" s="1637"/>
      <c r="D49" s="1637"/>
      <c r="E49" s="1636" t="s">
        <v>4166</v>
      </c>
      <c r="F49" s="1636"/>
      <c r="J49" s="422" t="b">
        <f>ISBLANK(C49)</f>
        <v>1</v>
      </c>
      <c r="K49" s="422"/>
    </row>
    <row r="50" spans="1:11" ht="3" customHeight="1" x14ac:dyDescent="0.3">
      <c r="A50" s="423"/>
      <c r="B50" s="743"/>
      <c r="E50" s="1636"/>
      <c r="F50" s="1636"/>
      <c r="G50" s="765"/>
      <c r="J50" s="422"/>
      <c r="K50" s="422"/>
    </row>
    <row r="51" spans="1:11" x14ac:dyDescent="0.3">
      <c r="A51" s="423"/>
      <c r="B51" s="744" t="s">
        <v>4132</v>
      </c>
      <c r="C51" s="1637"/>
      <c r="D51" s="1637"/>
      <c r="E51" s="1636"/>
      <c r="F51" s="1636"/>
      <c r="G51" s="1466"/>
      <c r="H51" s="1466"/>
      <c r="I51" s="1466"/>
      <c r="J51" s="422" t="b">
        <f>ISBLANK(C51)</f>
        <v>1</v>
      </c>
      <c r="K51" s="422"/>
    </row>
    <row r="52" spans="1:11" x14ac:dyDescent="0.3">
      <c r="A52" s="423"/>
      <c r="E52" s="1648" t="s">
        <v>4700</v>
      </c>
      <c r="F52" s="1648"/>
      <c r="G52" s="1648"/>
      <c r="J52" s="1" t="b">
        <f>ISBLANK(G47)</f>
        <v>1</v>
      </c>
      <c r="K52" s="422"/>
    </row>
    <row r="53" spans="1:11" x14ac:dyDescent="0.3">
      <c r="D53" s="765"/>
      <c r="E53" s="766"/>
      <c r="J53" s="1" t="b">
        <f>ISBLANK(G51)</f>
        <v>1</v>
      </c>
      <c r="K53" s="422"/>
    </row>
    <row r="54" spans="1:11" x14ac:dyDescent="0.3">
      <c r="C54" s="1602" t="s">
        <v>4133</v>
      </c>
      <c r="D54" s="1602"/>
      <c r="J54" s="422"/>
      <c r="K54" s="422"/>
    </row>
    <row r="55" spans="1:11" ht="3" customHeight="1" x14ac:dyDescent="0.3">
      <c r="C55" s="663"/>
      <c r="D55" s="663"/>
      <c r="J55" s="422"/>
      <c r="K55" s="422"/>
    </row>
    <row r="56" spans="1:11" x14ac:dyDescent="0.3">
      <c r="C56" s="1603" t="s">
        <v>4167</v>
      </c>
      <c r="D56" s="1603"/>
      <c r="E56" s="1603"/>
      <c r="F56" s="1603"/>
      <c r="G56" s="1603"/>
      <c r="H56" s="1603"/>
      <c r="I56" s="1603"/>
      <c r="J56" s="422"/>
      <c r="K56" s="422"/>
    </row>
    <row r="57" spans="1:11" ht="18" customHeight="1" x14ac:dyDescent="0.3">
      <c r="C57" s="1603"/>
      <c r="D57" s="1603"/>
      <c r="E57" s="1603"/>
      <c r="F57" s="1603"/>
      <c r="G57" s="1603"/>
      <c r="H57" s="1603"/>
      <c r="I57" s="1603"/>
      <c r="J57" s="422"/>
      <c r="K57" s="422"/>
    </row>
    <row r="58" spans="1:11" ht="15" customHeight="1" x14ac:dyDescent="0.3">
      <c r="A58" s="1649" t="s">
        <v>4168</v>
      </c>
      <c r="B58" s="1649"/>
      <c r="C58" s="767"/>
      <c r="D58" s="767"/>
      <c r="E58" s="767"/>
      <c r="F58" s="767"/>
      <c r="G58" s="767"/>
      <c r="H58" s="767"/>
      <c r="I58" s="767"/>
      <c r="J58" s="422"/>
      <c r="K58" s="422"/>
    </row>
    <row r="59" spans="1:11" ht="15" customHeight="1" x14ac:dyDescent="0.3">
      <c r="A59" s="1649"/>
      <c r="B59" s="1649"/>
      <c r="C59" s="767"/>
      <c r="D59" s="767"/>
      <c r="E59" s="1638" t="s">
        <v>4169</v>
      </c>
      <c r="F59" s="1639"/>
      <c r="G59" s="1640"/>
      <c r="H59" s="1640"/>
      <c r="I59" s="1641"/>
      <c r="J59" s="422"/>
      <c r="K59" s="422"/>
    </row>
    <row r="60" spans="1:11" ht="15" customHeight="1" x14ac:dyDescent="0.3">
      <c r="A60" s="1649"/>
      <c r="B60" s="1649"/>
      <c r="C60" s="768"/>
      <c r="D60" s="767"/>
      <c r="E60" s="1638"/>
      <c r="F60" s="1642"/>
      <c r="G60" s="1643"/>
      <c r="H60" s="1643"/>
      <c r="I60" s="1644"/>
      <c r="J60" s="422" t="b">
        <f>ISBLANK(C60)</f>
        <v>1</v>
      </c>
      <c r="K60" s="422"/>
    </row>
    <row r="61" spans="1:11" ht="15" customHeight="1" x14ac:dyDescent="0.3">
      <c r="A61" s="1649"/>
      <c r="B61" s="1649"/>
      <c r="C61" s="767"/>
      <c r="D61" s="767"/>
      <c r="E61" s="1638"/>
      <c r="F61" s="1645"/>
      <c r="G61" s="1646"/>
      <c r="H61" s="1646"/>
      <c r="I61" s="1647"/>
      <c r="J61" s="1" t="b">
        <f>AND(C60=K183,ISBLANK(F59))</f>
        <v>0</v>
      </c>
      <c r="K61" s="422"/>
    </row>
    <row r="62" spans="1:11" ht="15" customHeight="1" x14ac:dyDescent="0.3">
      <c r="A62" s="1649"/>
      <c r="B62" s="1649"/>
      <c r="C62" s="767"/>
      <c r="D62" s="767"/>
      <c r="E62" s="767"/>
      <c r="F62" s="767"/>
      <c r="G62" s="767"/>
      <c r="H62" s="767"/>
      <c r="I62" s="767"/>
      <c r="J62" s="422"/>
      <c r="K62" s="422"/>
    </row>
    <row r="63" spans="1:11" ht="15" customHeight="1" x14ac:dyDescent="0.3">
      <c r="A63" s="1247" t="s">
        <v>4170</v>
      </c>
      <c r="B63" s="1247"/>
      <c r="C63" s="768"/>
      <c r="D63" s="767"/>
      <c r="E63" s="767"/>
      <c r="F63" s="767"/>
      <c r="G63" s="767"/>
      <c r="H63" s="767"/>
      <c r="I63" s="767"/>
      <c r="J63" s="422" t="b">
        <f>ISBLANK(C63)</f>
        <v>1</v>
      </c>
      <c r="K63" s="422"/>
    </row>
    <row r="64" spans="1:11" ht="15" customHeight="1" x14ac:dyDescent="0.3">
      <c r="C64" s="767"/>
      <c r="D64" s="767"/>
      <c r="E64" s="767"/>
      <c r="F64" s="767"/>
      <c r="G64" s="767"/>
      <c r="H64" s="767"/>
      <c r="I64" s="767"/>
      <c r="J64" s="422"/>
      <c r="K64" s="422"/>
    </row>
    <row r="65" spans="1:11" ht="15" customHeight="1" x14ac:dyDescent="0.3">
      <c r="A65" s="69"/>
      <c r="B65" s="747"/>
      <c r="C65" s="746"/>
      <c r="D65" s="746"/>
      <c r="E65" s="746"/>
      <c r="F65" s="746"/>
      <c r="G65" s="746"/>
      <c r="H65" s="746"/>
      <c r="I65" s="746"/>
      <c r="J65" s="422"/>
      <c r="K65" s="422"/>
    </row>
    <row r="66" spans="1:11" ht="15" customHeight="1" x14ac:dyDescent="0.3">
      <c r="A66" s="1622" t="s">
        <v>4136</v>
      </c>
      <c r="B66" s="1623"/>
      <c r="C66" s="1651"/>
      <c r="D66" s="1652"/>
      <c r="E66" s="977"/>
      <c r="F66" s="977"/>
      <c r="G66" s="977"/>
      <c r="H66" s="977"/>
      <c r="I66" s="977"/>
      <c r="J66" s="422"/>
      <c r="K66" s="422"/>
    </row>
    <row r="67" spans="1:11" x14ac:dyDescent="0.3">
      <c r="A67" s="1623"/>
      <c r="B67" s="1623"/>
      <c r="C67" s="1653"/>
      <c r="D67" s="1654"/>
      <c r="E67" s="977"/>
      <c r="F67" s="977"/>
      <c r="G67" s="977"/>
      <c r="H67" s="977"/>
      <c r="I67" s="977"/>
      <c r="J67" s="422"/>
      <c r="K67" s="422"/>
    </row>
    <row r="68" spans="1:11" ht="3" customHeight="1" x14ac:dyDescent="0.3">
      <c r="A68" s="980"/>
      <c r="B68" s="980"/>
      <c r="C68" s="748"/>
      <c r="D68" s="748"/>
      <c r="E68" s="977"/>
      <c r="F68" s="977"/>
      <c r="G68" s="977"/>
      <c r="H68" s="977"/>
      <c r="I68" s="977"/>
      <c r="J68" s="422"/>
      <c r="K68" s="422"/>
    </row>
    <row r="69" spans="1:11" x14ac:dyDescent="0.3">
      <c r="A69" s="1247" t="s">
        <v>4135</v>
      </c>
      <c r="B69" s="1247"/>
      <c r="C69" s="1655"/>
      <c r="D69" s="1656"/>
      <c r="E69" s="1656"/>
      <c r="F69" s="1656"/>
      <c r="G69" s="1656"/>
      <c r="H69" s="1656"/>
      <c r="I69" s="1657"/>
      <c r="J69" s="422"/>
      <c r="K69" s="422"/>
    </row>
    <row r="70" spans="1:11" s="977" customFormat="1" x14ac:dyDescent="0.3">
      <c r="A70" s="1247"/>
      <c r="B70" s="1247"/>
      <c r="C70" s="1658"/>
      <c r="D70" s="1659"/>
      <c r="E70" s="1659"/>
      <c r="F70" s="1659"/>
      <c r="G70" s="1659"/>
      <c r="H70" s="1659"/>
      <c r="I70" s="1660"/>
      <c r="J70" s="422"/>
      <c r="K70" s="422"/>
    </row>
    <row r="71" spans="1:11" s="977" customFormat="1" x14ac:dyDescent="0.3">
      <c r="A71" s="1247"/>
      <c r="B71" s="1247"/>
      <c r="C71" s="1661"/>
      <c r="D71" s="1662"/>
      <c r="E71" s="1662"/>
      <c r="F71" s="1662"/>
      <c r="G71" s="1662"/>
      <c r="H71" s="1662"/>
      <c r="I71" s="1663"/>
      <c r="J71" s="422"/>
      <c r="K71" s="422"/>
    </row>
    <row r="72" spans="1:11" ht="3" customHeight="1" x14ac:dyDescent="0.3">
      <c r="A72" s="423"/>
      <c r="B72" s="423"/>
      <c r="J72" s="422"/>
      <c r="K72" s="422"/>
    </row>
    <row r="73" spans="1:11" x14ac:dyDescent="0.3">
      <c r="A73" s="1247" t="s">
        <v>4129</v>
      </c>
      <c r="B73" s="1247"/>
      <c r="C73" s="993"/>
      <c r="J73" s="422" t="b">
        <f>ISBLANK(C73)</f>
        <v>1</v>
      </c>
      <c r="K73" s="422"/>
    </row>
    <row r="74" spans="1:11" ht="3" customHeight="1" x14ac:dyDescent="0.3">
      <c r="A74" s="743"/>
      <c r="B74" s="743"/>
      <c r="J74" s="422"/>
      <c r="K74" s="422"/>
    </row>
    <row r="75" spans="1:11" x14ac:dyDescent="0.3">
      <c r="A75" s="1247" t="s">
        <v>4130</v>
      </c>
      <c r="B75" s="1247"/>
      <c r="C75" s="993"/>
      <c r="J75" s="422" t="b">
        <f>ISBLANK(C75)</f>
        <v>1</v>
      </c>
      <c r="K75" s="422"/>
    </row>
    <row r="76" spans="1:11" ht="3" customHeight="1" x14ac:dyDescent="0.3">
      <c r="A76" s="743"/>
      <c r="B76" s="743"/>
      <c r="J76" s="422"/>
      <c r="K76" s="422"/>
    </row>
    <row r="77" spans="1:11" x14ac:dyDescent="0.3">
      <c r="A77" s="1247" t="s">
        <v>4131</v>
      </c>
      <c r="B77" s="1247"/>
      <c r="C77" s="993"/>
      <c r="J77" s="422" t="b">
        <f>ISBLANK(C77)</f>
        <v>1</v>
      </c>
      <c r="K77" s="422"/>
    </row>
    <row r="78" spans="1:11" ht="3" customHeight="1" x14ac:dyDescent="0.3">
      <c r="A78" s="743"/>
      <c r="B78" s="743"/>
      <c r="J78" s="422"/>
      <c r="K78" s="422"/>
    </row>
    <row r="79" spans="1:11" x14ac:dyDescent="0.3">
      <c r="A79" s="1247" t="s">
        <v>4137</v>
      </c>
      <c r="B79" s="1247"/>
      <c r="C79" s="993"/>
      <c r="D79" s="1607" t="s">
        <v>4707</v>
      </c>
      <c r="J79" s="422" t="b">
        <f>ISBLANK(C79)</f>
        <v>1</v>
      </c>
      <c r="K79" s="422"/>
    </row>
    <row r="80" spans="1:11" ht="3" customHeight="1" x14ac:dyDescent="0.3">
      <c r="A80" s="743"/>
      <c r="B80" s="743"/>
      <c r="D80" s="1607"/>
      <c r="J80" s="422"/>
      <c r="K80" s="422"/>
    </row>
    <row r="81" spans="1:11" x14ac:dyDescent="0.3">
      <c r="A81" s="1247" t="s">
        <v>4138</v>
      </c>
      <c r="B81" s="1247"/>
      <c r="C81" s="993"/>
      <c r="D81" s="1607"/>
      <c r="J81" s="422" t="b">
        <f>ISBLANK(C81)</f>
        <v>1</v>
      </c>
      <c r="K81" s="422"/>
    </row>
    <row r="82" spans="1:11" ht="3" customHeight="1" x14ac:dyDescent="0.3">
      <c r="A82" s="743"/>
      <c r="B82" s="743"/>
      <c r="J82" s="422"/>
      <c r="K82" s="422"/>
    </row>
    <row r="83" spans="1:11" x14ac:dyDescent="0.3">
      <c r="A83" s="1247" t="s">
        <v>4132</v>
      </c>
      <c r="B83" s="1247"/>
      <c r="C83" s="993"/>
      <c r="D83" s="750" t="s">
        <v>4139</v>
      </c>
      <c r="E83" s="1234"/>
      <c r="F83" s="1234"/>
      <c r="G83" s="1234"/>
      <c r="H83" s="1234"/>
      <c r="I83" s="1234"/>
      <c r="J83" s="422" t="b">
        <f>ISBLANK(C83)</f>
        <v>1</v>
      </c>
      <c r="K83" s="422"/>
    </row>
    <row r="84" spans="1:11" x14ac:dyDescent="0.3">
      <c r="D84" s="751"/>
      <c r="J84" s="422"/>
      <c r="K84" s="422"/>
    </row>
    <row r="85" spans="1:11" ht="15" customHeight="1" x14ac:dyDescent="0.3">
      <c r="A85" s="1623" t="s">
        <v>4171</v>
      </c>
      <c r="B85" s="1623"/>
      <c r="C85" s="1328" t="s">
        <v>4656</v>
      </c>
      <c r="D85" s="1328"/>
      <c r="E85" s="1328"/>
      <c r="F85" s="1328"/>
      <c r="G85" s="1328"/>
      <c r="H85" s="1328"/>
      <c r="I85" s="1328"/>
      <c r="J85" s="422"/>
      <c r="K85" s="422"/>
    </row>
    <row r="86" spans="1:11" x14ac:dyDescent="0.3">
      <c r="C86" s="1328"/>
      <c r="D86" s="1328"/>
      <c r="E86" s="1328"/>
      <c r="F86" s="1328"/>
      <c r="G86" s="1328"/>
      <c r="H86" s="1328"/>
      <c r="I86" s="1328"/>
      <c r="J86" s="422"/>
      <c r="K86" s="422"/>
    </row>
    <row r="87" spans="1:11" x14ac:dyDescent="0.3">
      <c r="J87" s="422"/>
      <c r="K87" s="422"/>
    </row>
    <row r="88" spans="1:11" x14ac:dyDescent="0.3">
      <c r="C88" s="423" t="s">
        <v>4140</v>
      </c>
      <c r="J88" s="422"/>
      <c r="K88" s="422"/>
    </row>
    <row r="89" spans="1:11" x14ac:dyDescent="0.3">
      <c r="C89" s="1607" t="s">
        <v>4141</v>
      </c>
      <c r="D89" s="1607"/>
      <c r="E89" s="1607"/>
      <c r="F89" s="1607"/>
      <c r="G89" s="1607"/>
      <c r="H89" s="1607"/>
      <c r="I89" s="1607"/>
      <c r="J89" s="422"/>
      <c r="K89" s="422"/>
    </row>
    <row r="90" spans="1:11" x14ac:dyDescent="0.3">
      <c r="J90" s="422"/>
      <c r="K90" s="422"/>
    </row>
    <row r="91" spans="1:11" x14ac:dyDescent="0.3">
      <c r="C91" s="752" t="s">
        <v>4142</v>
      </c>
      <c r="D91" s="752" t="s">
        <v>4143</v>
      </c>
      <c r="E91" s="1609" t="s">
        <v>4144</v>
      </c>
      <c r="F91" s="1609"/>
      <c r="G91" s="1234" t="s">
        <v>4708</v>
      </c>
      <c r="H91" s="1234"/>
      <c r="J91" s="422"/>
      <c r="K91" s="422"/>
    </row>
    <row r="92" spans="1:11" x14ac:dyDescent="0.3">
      <c r="B92" s="664">
        <v>1</v>
      </c>
      <c r="C92" s="994"/>
      <c r="D92" s="994"/>
      <c r="E92" s="1597"/>
      <c r="F92" s="1597"/>
      <c r="G92" s="1597"/>
      <c r="H92" s="1597"/>
      <c r="J92" s="985" t="b">
        <f>AND(OR(LEN(C92)=0,LEN(D92)=0,LEN(E92)=0,LEN(G92)=0),K92)</f>
        <v>0</v>
      </c>
      <c r="K92" s="755" t="b">
        <f>OR(NOT(LEN(C92)=0),NOT(LEN(D92)=0),NOT(LEN(E92)=0),NOT(LEN(G92)=0))</f>
        <v>0</v>
      </c>
    </row>
    <row r="93" spans="1:11" x14ac:dyDescent="0.3">
      <c r="B93" s="664">
        <v>2</v>
      </c>
      <c r="C93" s="994"/>
      <c r="D93" s="994"/>
      <c r="E93" s="1597"/>
      <c r="F93" s="1597"/>
      <c r="G93" s="1597"/>
      <c r="H93" s="1597"/>
      <c r="J93" s="1185" t="b">
        <f t="shared" ref="J93:J96" si="0">AND(OR(LEN(C93)=0,LEN(D93)=0,LEN(E93)=0,LEN(G93)=0),K93)</f>
        <v>0</v>
      </c>
      <c r="K93" s="755" t="b">
        <f t="shared" ref="K93:K96" si="1">OR(NOT(LEN(C93)=0),NOT(LEN(D93)=0),NOT(LEN(E93)=0),NOT(LEN(G93)=0))</f>
        <v>0</v>
      </c>
    </row>
    <row r="94" spans="1:11" x14ac:dyDescent="0.3">
      <c r="B94" s="664">
        <v>3</v>
      </c>
      <c r="C94" s="994"/>
      <c r="D94" s="994"/>
      <c r="E94" s="1597"/>
      <c r="F94" s="1597"/>
      <c r="G94" s="1597"/>
      <c r="H94" s="1597"/>
      <c r="J94" s="1185" t="b">
        <f t="shared" si="0"/>
        <v>0</v>
      </c>
      <c r="K94" s="755" t="b">
        <f t="shared" si="1"/>
        <v>0</v>
      </c>
    </row>
    <row r="95" spans="1:11" x14ac:dyDescent="0.3">
      <c r="B95" s="664">
        <v>4</v>
      </c>
      <c r="C95" s="994"/>
      <c r="D95" s="994"/>
      <c r="E95" s="1597"/>
      <c r="F95" s="1597"/>
      <c r="G95" s="1597"/>
      <c r="H95" s="1597"/>
      <c r="J95" s="1185" t="b">
        <f t="shared" si="0"/>
        <v>0</v>
      </c>
      <c r="K95" s="755" t="b">
        <f t="shared" si="1"/>
        <v>0</v>
      </c>
    </row>
    <row r="96" spans="1:11" x14ac:dyDescent="0.3">
      <c r="B96" s="664">
        <v>5</v>
      </c>
      <c r="C96" s="994"/>
      <c r="D96" s="994"/>
      <c r="E96" s="1597"/>
      <c r="F96" s="1597"/>
      <c r="G96" s="1597"/>
      <c r="H96" s="1597"/>
      <c r="J96" s="1185" t="b">
        <f t="shared" si="0"/>
        <v>0</v>
      </c>
      <c r="K96" s="755" t="b">
        <f t="shared" si="1"/>
        <v>0</v>
      </c>
    </row>
    <row r="97" spans="1:13" x14ac:dyDescent="0.3">
      <c r="J97" s="985"/>
      <c r="K97" s="422"/>
    </row>
    <row r="98" spans="1:13" x14ac:dyDescent="0.3">
      <c r="J98" s="985"/>
      <c r="K98" s="422"/>
    </row>
    <row r="99" spans="1:13" x14ac:dyDescent="0.3">
      <c r="J99" s="985"/>
      <c r="K99" s="422"/>
    </row>
    <row r="100" spans="1:13" x14ac:dyDescent="0.3">
      <c r="C100" s="423" t="s">
        <v>4145</v>
      </c>
      <c r="D100" s="986" t="s">
        <v>4451</v>
      </c>
      <c r="E100" s="1597"/>
      <c r="F100" s="1597"/>
      <c r="J100" s="985"/>
      <c r="K100" s="422"/>
    </row>
    <row r="101" spans="1:13" x14ac:dyDescent="0.3">
      <c r="C101" s="751" t="s">
        <v>4710</v>
      </c>
      <c r="J101" s="985"/>
      <c r="K101" s="422"/>
    </row>
    <row r="102" spans="1:13" x14ac:dyDescent="0.3">
      <c r="J102" s="985"/>
      <c r="K102" s="422"/>
    </row>
    <row r="103" spans="1:13" ht="25.8" x14ac:dyDescent="0.3">
      <c r="C103" s="674" t="s">
        <v>4146</v>
      </c>
      <c r="D103" s="1465" t="s">
        <v>4147</v>
      </c>
      <c r="E103" s="1465"/>
      <c r="F103" s="1610" t="s">
        <v>4148</v>
      </c>
      <c r="G103" s="1611"/>
      <c r="H103" s="674" t="s">
        <v>4149</v>
      </c>
      <c r="I103" s="753" t="s">
        <v>4150</v>
      </c>
      <c r="J103" s="985"/>
      <c r="K103" s="754"/>
    </row>
    <row r="104" spans="1:13" x14ac:dyDescent="0.3">
      <c r="A104" s="987" t="s">
        <v>4452</v>
      </c>
      <c r="B104" s="979">
        <v>1</v>
      </c>
      <c r="C104" s="994"/>
      <c r="D104" s="1317" t="str">
        <f>IF('Rough Sig.'!C104="","",'Rough Sig.'!C104)</f>
        <v/>
      </c>
      <c r="E104" s="1317"/>
      <c r="F104" s="1231" t="str">
        <f>IF('Rough Sig.'!E104="","",'Rough Sig.'!E104)</f>
        <v xml:space="preserve">,  </v>
      </c>
      <c r="G104" s="1231"/>
      <c r="H104" s="988" t="str">
        <f>IF('Rough Sig.'!G104="","",'Rough Sig.'!G104)</f>
        <v/>
      </c>
      <c r="I104" s="995"/>
      <c r="J104" s="985" t="b">
        <f>AND(OR(ISBLANK(C104),ISBLANK(I104)),K104,NOT(M104))</f>
        <v>0</v>
      </c>
      <c r="K104" s="755" t="b">
        <f>OR(NOT(D104=""),NOT(H104=""))</f>
        <v>0</v>
      </c>
      <c r="L104" s="665" t="b">
        <f>OR(M104,'Rough Sig.'!K104=FALSE)</f>
        <v>1</v>
      </c>
      <c r="M104" s="1055" t="b">
        <v>0</v>
      </c>
    </row>
    <row r="105" spans="1:13" x14ac:dyDescent="0.3">
      <c r="A105" s="987" t="s">
        <v>4452</v>
      </c>
      <c r="B105" s="979">
        <v>2</v>
      </c>
      <c r="C105" s="994"/>
      <c r="D105" s="1317" t="str">
        <f>IF('Rough Sig.'!C105="","",'Rough Sig.'!C105)</f>
        <v/>
      </c>
      <c r="E105" s="1317"/>
      <c r="F105" s="1231"/>
      <c r="G105" s="1231"/>
      <c r="H105" s="988" t="str">
        <f>IF('Rough Sig.'!G105="","",'Rough Sig.'!G105)</f>
        <v/>
      </c>
      <c r="I105" s="995"/>
      <c r="J105" s="985" t="b">
        <f t="shared" ref="J105:J113" si="2">AND(OR(ISBLANK(C105),ISBLANK(I105)),K105,NOT(M105))</f>
        <v>0</v>
      </c>
      <c r="K105" s="755" t="b">
        <f t="shared" ref="K105:K113" si="3">OR(NOT(ISBLANK(C105)),NOT(D105=""),NOT(H105=""),NOT(ISBLANK(I105)))</f>
        <v>0</v>
      </c>
      <c r="L105" s="985" t="b">
        <f>OR(M105,'Rough Sig.'!K105=FALSE)</f>
        <v>1</v>
      </c>
      <c r="M105" s="1055" t="b">
        <v>0</v>
      </c>
    </row>
    <row r="106" spans="1:13" x14ac:dyDescent="0.3">
      <c r="A106" s="987" t="s">
        <v>4452</v>
      </c>
      <c r="B106" s="979">
        <v>3</v>
      </c>
      <c r="C106" s="994"/>
      <c r="D106" s="1317" t="str">
        <f>IF('Rough Sig.'!C106="","",'Rough Sig.'!C106)</f>
        <v/>
      </c>
      <c r="E106" s="1317"/>
      <c r="F106" s="1231"/>
      <c r="G106" s="1231"/>
      <c r="H106" s="988" t="str">
        <f>IF('Rough Sig.'!G106="","",'Rough Sig.'!G106)</f>
        <v/>
      </c>
      <c r="I106" s="995"/>
      <c r="J106" s="985" t="b">
        <f t="shared" si="2"/>
        <v>0</v>
      </c>
      <c r="K106" s="755" t="b">
        <f t="shared" si="3"/>
        <v>0</v>
      </c>
      <c r="L106" s="985" t="b">
        <f>OR(M106,'Rough Sig.'!K106=FALSE)</f>
        <v>1</v>
      </c>
      <c r="M106" s="1055" t="b">
        <v>0</v>
      </c>
    </row>
    <row r="107" spans="1:13" x14ac:dyDescent="0.3">
      <c r="A107" s="987" t="s">
        <v>4452</v>
      </c>
      <c r="B107" s="979">
        <v>4</v>
      </c>
      <c r="C107" s="994"/>
      <c r="D107" s="1317" t="str">
        <f>IF('Rough Sig.'!C107="","",'Rough Sig.'!C107)</f>
        <v/>
      </c>
      <c r="E107" s="1317"/>
      <c r="F107" s="1231"/>
      <c r="G107" s="1231"/>
      <c r="H107" s="988" t="str">
        <f>IF('Rough Sig.'!G107="","",'Rough Sig.'!G107)</f>
        <v/>
      </c>
      <c r="I107" s="995"/>
      <c r="J107" s="985" t="b">
        <f t="shared" si="2"/>
        <v>0</v>
      </c>
      <c r="K107" s="755" t="b">
        <f t="shared" si="3"/>
        <v>0</v>
      </c>
      <c r="L107" s="985" t="b">
        <f>OR(M107,'Rough Sig.'!K107=FALSE)</f>
        <v>1</v>
      </c>
      <c r="M107" s="1055" t="b">
        <v>0</v>
      </c>
    </row>
    <row r="108" spans="1:13" x14ac:dyDescent="0.3">
      <c r="A108" s="987" t="s">
        <v>4452</v>
      </c>
      <c r="B108" s="979">
        <v>5</v>
      </c>
      <c r="C108" s="994"/>
      <c r="D108" s="1317" t="str">
        <f>IF('Rough Sig.'!C108="","",'Rough Sig.'!C108)</f>
        <v/>
      </c>
      <c r="E108" s="1317"/>
      <c r="F108" s="1231"/>
      <c r="G108" s="1231"/>
      <c r="H108" s="988" t="str">
        <f>IF('Rough Sig.'!G108="","",'Rough Sig.'!G108)</f>
        <v/>
      </c>
      <c r="I108" s="995"/>
      <c r="J108" s="985" t="b">
        <f t="shared" si="2"/>
        <v>0</v>
      </c>
      <c r="K108" s="755" t="b">
        <f t="shared" si="3"/>
        <v>0</v>
      </c>
      <c r="L108" s="985" t="b">
        <f>OR(M108,'Rough Sig.'!K108=FALSE)</f>
        <v>1</v>
      </c>
      <c r="M108" s="1055" t="b">
        <v>0</v>
      </c>
    </row>
    <row r="109" spans="1:13" x14ac:dyDescent="0.3">
      <c r="A109" s="987" t="s">
        <v>4452</v>
      </c>
      <c r="B109" s="979">
        <v>6</v>
      </c>
      <c r="C109" s="994"/>
      <c r="D109" s="1317" t="str">
        <f>IF('Rough Sig.'!C109="","",'Rough Sig.'!C109)</f>
        <v/>
      </c>
      <c r="E109" s="1317"/>
      <c r="F109" s="1231"/>
      <c r="G109" s="1231"/>
      <c r="H109" s="988" t="str">
        <f>IF('Rough Sig.'!G109="","",'Rough Sig.'!G109)</f>
        <v/>
      </c>
      <c r="I109" s="995"/>
      <c r="J109" s="985" t="b">
        <f t="shared" si="2"/>
        <v>0</v>
      </c>
      <c r="K109" s="755" t="b">
        <f t="shared" si="3"/>
        <v>0</v>
      </c>
      <c r="L109" s="985" t="b">
        <f>OR(M109,'Rough Sig.'!K109=FALSE)</f>
        <v>1</v>
      </c>
      <c r="M109" s="1055" t="b">
        <v>0</v>
      </c>
    </row>
    <row r="110" spans="1:13" x14ac:dyDescent="0.3">
      <c r="A110" s="987" t="s">
        <v>4452</v>
      </c>
      <c r="B110" s="979">
        <v>7</v>
      </c>
      <c r="C110" s="994"/>
      <c r="D110" s="1317" t="str">
        <f>IF('Rough Sig.'!C110="","",'Rough Sig.'!C110)</f>
        <v/>
      </c>
      <c r="E110" s="1317"/>
      <c r="F110" s="1231"/>
      <c r="G110" s="1231"/>
      <c r="H110" s="988" t="str">
        <f>IF('Rough Sig.'!G110="","",'Rough Sig.'!G110)</f>
        <v/>
      </c>
      <c r="I110" s="995"/>
      <c r="J110" s="985" t="b">
        <f t="shared" si="2"/>
        <v>0</v>
      </c>
      <c r="K110" s="755" t="b">
        <f t="shared" si="3"/>
        <v>0</v>
      </c>
      <c r="L110" s="985" t="b">
        <f>OR(M110,'Rough Sig.'!K110=FALSE)</f>
        <v>1</v>
      </c>
      <c r="M110" s="1055" t="b">
        <v>0</v>
      </c>
    </row>
    <row r="111" spans="1:13" x14ac:dyDescent="0.3">
      <c r="A111" s="987" t="s">
        <v>4452</v>
      </c>
      <c r="B111" s="979">
        <v>8</v>
      </c>
      <c r="C111" s="994"/>
      <c r="D111" s="1317" t="str">
        <f>IF('Rough Sig.'!C111="","",'Rough Sig.'!C111)</f>
        <v/>
      </c>
      <c r="E111" s="1317"/>
      <c r="F111" s="1231"/>
      <c r="G111" s="1231"/>
      <c r="H111" s="988" t="str">
        <f>IF('Rough Sig.'!G111="","",'Rough Sig.'!G111)</f>
        <v/>
      </c>
      <c r="I111" s="995"/>
      <c r="J111" s="985" t="b">
        <f t="shared" si="2"/>
        <v>0</v>
      </c>
      <c r="K111" s="755" t="b">
        <f t="shared" si="3"/>
        <v>0</v>
      </c>
      <c r="L111" s="985" t="b">
        <f>OR(M111,'Rough Sig.'!K111=FALSE)</f>
        <v>1</v>
      </c>
      <c r="M111" s="1055" t="b">
        <v>0</v>
      </c>
    </row>
    <row r="112" spans="1:13" x14ac:dyDescent="0.3">
      <c r="A112" s="987" t="s">
        <v>4452</v>
      </c>
      <c r="B112" s="979">
        <v>9</v>
      </c>
      <c r="C112" s="994"/>
      <c r="D112" s="1317" t="str">
        <f>IF('Rough Sig.'!C112="","",'Rough Sig.'!C112)</f>
        <v/>
      </c>
      <c r="E112" s="1317"/>
      <c r="F112" s="1231"/>
      <c r="G112" s="1231"/>
      <c r="H112" s="988" t="str">
        <f>IF('Rough Sig.'!G112="","",'Rough Sig.'!G112)</f>
        <v/>
      </c>
      <c r="I112" s="995"/>
      <c r="J112" s="985" t="b">
        <f t="shared" si="2"/>
        <v>0</v>
      </c>
      <c r="K112" s="755" t="b">
        <f t="shared" si="3"/>
        <v>0</v>
      </c>
      <c r="L112" s="985" t="b">
        <f>OR(M112,'Rough Sig.'!K112=FALSE)</f>
        <v>1</v>
      </c>
      <c r="M112" s="1055" t="b">
        <v>0</v>
      </c>
    </row>
    <row r="113" spans="1:13" x14ac:dyDescent="0.3">
      <c r="A113" s="987" t="s">
        <v>4452</v>
      </c>
      <c r="B113" s="979">
        <v>10</v>
      </c>
      <c r="C113" s="994"/>
      <c r="D113" s="1317" t="str">
        <f>IF('Rough Sig.'!C113="","",'Rough Sig.'!C113)</f>
        <v/>
      </c>
      <c r="E113" s="1317"/>
      <c r="F113" s="1231"/>
      <c r="G113" s="1231"/>
      <c r="H113" s="988" t="str">
        <f>IF('Rough Sig.'!G113="","",'Rough Sig.'!G113)</f>
        <v/>
      </c>
      <c r="I113" s="995"/>
      <c r="J113" s="985" t="b">
        <f t="shared" si="2"/>
        <v>0</v>
      </c>
      <c r="K113" s="755" t="b">
        <f t="shared" si="3"/>
        <v>0</v>
      </c>
      <c r="L113" s="985" t="b">
        <f>OR(M113,'Rough Sig.'!K113=FALSE)</f>
        <v>1</v>
      </c>
      <c r="M113" s="1055" t="b">
        <v>0</v>
      </c>
    </row>
    <row r="114" spans="1:13" x14ac:dyDescent="0.3">
      <c r="J114" s="724"/>
      <c r="K114" s="724"/>
      <c r="L114" s="422"/>
    </row>
    <row r="115" spans="1:13" x14ac:dyDescent="0.3">
      <c r="B115" s="727"/>
      <c r="C115" s="727"/>
      <c r="D115" s="727"/>
      <c r="E115" s="727"/>
      <c r="F115" s="727"/>
      <c r="G115" s="727"/>
      <c r="H115" s="727"/>
      <c r="I115" s="727"/>
      <c r="J115" s="422"/>
      <c r="K115" s="422"/>
      <c r="L115" s="422"/>
    </row>
    <row r="116" spans="1:13" x14ac:dyDescent="0.3">
      <c r="B116" s="727"/>
      <c r="C116" s="756" t="s">
        <v>4151</v>
      </c>
      <c r="D116" s="727"/>
      <c r="E116" s="727"/>
      <c r="F116" s="727"/>
      <c r="G116" s="727"/>
      <c r="H116" s="727"/>
      <c r="I116" s="727"/>
      <c r="J116" s="422"/>
      <c r="K116" s="422"/>
      <c r="L116" s="422"/>
    </row>
    <row r="117" spans="1:13" ht="3" customHeight="1" x14ac:dyDescent="0.3">
      <c r="B117" s="727"/>
      <c r="C117" s="756"/>
      <c r="D117" s="727"/>
      <c r="E117" s="727"/>
      <c r="F117" s="727"/>
      <c r="G117" s="727"/>
      <c r="H117" s="727"/>
      <c r="I117" s="727"/>
      <c r="J117" s="422"/>
      <c r="K117" s="422"/>
      <c r="L117" s="422"/>
    </row>
    <row r="118" spans="1:13" x14ac:dyDescent="0.3">
      <c r="B118" s="727"/>
      <c r="C118" s="757" t="s">
        <v>4152</v>
      </c>
      <c r="D118" s="729"/>
      <c r="E118" s="729"/>
      <c r="F118" s="729"/>
      <c r="G118" s="729"/>
      <c r="H118" s="727"/>
      <c r="I118" s="727"/>
      <c r="J118" s="422"/>
      <c r="K118" s="422"/>
      <c r="L118" s="422"/>
    </row>
    <row r="119" spans="1:13" ht="3" customHeight="1" x14ac:dyDescent="0.3">
      <c r="B119" s="727"/>
      <c r="C119" s="757"/>
      <c r="D119" s="729"/>
      <c r="E119" s="729"/>
      <c r="F119" s="729"/>
      <c r="G119" s="729"/>
      <c r="H119" s="727"/>
      <c r="I119" s="727"/>
      <c r="J119" s="422"/>
      <c r="K119" s="422"/>
      <c r="L119" s="422"/>
    </row>
    <row r="120" spans="1:13" x14ac:dyDescent="0.3">
      <c r="B120" s="727"/>
      <c r="C120" s="757" t="s">
        <v>4153</v>
      </c>
      <c r="D120" s="729"/>
      <c r="E120" s="729"/>
      <c r="F120" s="729"/>
      <c r="G120" s="729"/>
      <c r="H120" s="727"/>
      <c r="I120" s="727"/>
      <c r="J120" s="422"/>
      <c r="K120" s="422"/>
      <c r="L120" s="422"/>
    </row>
    <row r="121" spans="1:13" ht="3" customHeight="1" x14ac:dyDescent="0.3">
      <c r="B121" s="727"/>
      <c r="C121" s="757"/>
      <c r="D121" s="729"/>
      <c r="E121" s="729"/>
      <c r="F121" s="729"/>
      <c r="G121" s="729"/>
      <c r="H121" s="727"/>
      <c r="I121" s="727"/>
      <c r="J121" s="422"/>
      <c r="K121" s="422"/>
      <c r="L121" s="422"/>
    </row>
    <row r="122" spans="1:13" x14ac:dyDescent="0.3">
      <c r="B122" s="727"/>
      <c r="C122" s="757" t="s">
        <v>4154</v>
      </c>
      <c r="D122" s="729"/>
      <c r="E122" s="729"/>
      <c r="F122" s="729"/>
      <c r="G122" s="729"/>
      <c r="H122" s="727"/>
      <c r="I122" s="727"/>
      <c r="J122" s="422"/>
      <c r="K122" s="422"/>
      <c r="L122" s="422"/>
    </row>
    <row r="123" spans="1:13" ht="3" customHeight="1" x14ac:dyDescent="0.3">
      <c r="B123" s="727"/>
      <c r="C123" s="757"/>
      <c r="D123" s="729"/>
      <c r="E123" s="729"/>
      <c r="F123" s="729"/>
      <c r="G123" s="729"/>
      <c r="H123" s="727"/>
      <c r="I123" s="727"/>
      <c r="J123" s="422"/>
      <c r="K123" s="422"/>
      <c r="L123" s="422"/>
    </row>
    <row r="124" spans="1:13" x14ac:dyDescent="0.3">
      <c r="B124" s="727"/>
      <c r="C124" s="757" t="s">
        <v>4155</v>
      </c>
      <c r="D124" s="729"/>
      <c r="E124" s="729"/>
      <c r="F124" s="729"/>
      <c r="G124" s="729"/>
      <c r="H124" s="727"/>
      <c r="I124" s="727"/>
      <c r="J124" s="422"/>
      <c r="K124" s="422"/>
      <c r="L124" s="422"/>
    </row>
    <row r="125" spans="1:13" ht="3" customHeight="1" x14ac:dyDescent="0.3">
      <c r="B125" s="727"/>
      <c r="C125" s="757"/>
      <c r="D125" s="729"/>
      <c r="E125" s="729"/>
      <c r="F125" s="729"/>
      <c r="G125" s="729"/>
      <c r="H125" s="727"/>
      <c r="I125" s="727"/>
      <c r="J125" s="422"/>
      <c r="K125" s="422"/>
      <c r="L125" s="422"/>
    </row>
    <row r="126" spans="1:13" ht="29.25" customHeight="1" x14ac:dyDescent="0.3">
      <c r="B126" s="727"/>
      <c r="C126" s="1600" t="s">
        <v>4156</v>
      </c>
      <c r="D126" s="1600"/>
      <c r="E126" s="1600"/>
      <c r="F126" s="1600"/>
      <c r="G126" s="1600"/>
      <c r="H126" s="1600"/>
      <c r="I126" s="1600"/>
      <c r="J126" s="758"/>
      <c r="K126" s="758"/>
      <c r="L126" s="422"/>
    </row>
    <row r="127" spans="1:13" ht="3" customHeight="1" x14ac:dyDescent="0.3">
      <c r="B127" s="727"/>
      <c r="C127" s="757"/>
      <c r="D127" s="729"/>
      <c r="E127" s="729"/>
      <c r="F127" s="729"/>
      <c r="G127" s="729"/>
      <c r="H127" s="727"/>
      <c r="I127" s="727"/>
      <c r="J127" s="422"/>
      <c r="K127" s="422"/>
      <c r="L127" s="422"/>
    </row>
    <row r="128" spans="1:13" x14ac:dyDescent="0.3">
      <c r="B128" s="727"/>
      <c r="C128" s="757" t="s">
        <v>4157</v>
      </c>
      <c r="D128" s="729"/>
      <c r="E128" s="729"/>
      <c r="F128" s="729"/>
      <c r="G128" s="729"/>
      <c r="H128" s="727"/>
      <c r="I128" s="727"/>
      <c r="J128" s="422"/>
      <c r="K128" s="422"/>
      <c r="L128" s="422"/>
    </row>
    <row r="129" spans="2:12" ht="3" customHeight="1" x14ac:dyDescent="0.3">
      <c r="B129" s="727"/>
      <c r="C129" s="757"/>
      <c r="D129" s="729"/>
      <c r="E129" s="729"/>
      <c r="F129" s="729"/>
      <c r="G129" s="729"/>
      <c r="H129" s="727"/>
      <c r="I129" s="727"/>
      <c r="J129" s="422"/>
      <c r="K129" s="422"/>
      <c r="L129" s="422"/>
    </row>
    <row r="130" spans="2:12" x14ac:dyDescent="0.3">
      <c r="B130" s="727"/>
      <c r="C130" s="757" t="s">
        <v>4158</v>
      </c>
      <c r="D130" s="729"/>
      <c r="E130" s="729"/>
      <c r="F130" s="729"/>
      <c r="G130" s="729"/>
      <c r="H130" s="727"/>
      <c r="I130" s="727"/>
      <c r="J130" s="422"/>
      <c r="K130" s="422"/>
      <c r="L130" s="422"/>
    </row>
    <row r="131" spans="2:12" ht="3" customHeight="1" x14ac:dyDescent="0.3">
      <c r="B131" s="727"/>
      <c r="C131" s="757"/>
      <c r="D131" s="729"/>
      <c r="E131" s="729"/>
      <c r="F131" s="729"/>
      <c r="G131" s="729"/>
      <c r="H131" s="727"/>
      <c r="I131" s="727"/>
      <c r="J131" s="422"/>
      <c r="K131" s="422"/>
      <c r="L131" s="422"/>
    </row>
    <row r="132" spans="2:12" x14ac:dyDescent="0.3">
      <c r="B132" s="727"/>
      <c r="C132" s="757" t="s">
        <v>4159</v>
      </c>
      <c r="D132" s="729"/>
      <c r="E132" s="729"/>
      <c r="F132" s="729"/>
      <c r="G132" s="729"/>
      <c r="H132" s="727"/>
      <c r="I132" s="727"/>
      <c r="J132" s="422"/>
      <c r="K132" s="422"/>
      <c r="L132" s="422"/>
    </row>
    <row r="133" spans="2:12" ht="3" customHeight="1" x14ac:dyDescent="0.3">
      <c r="B133" s="727"/>
      <c r="C133" s="757"/>
      <c r="D133" s="729"/>
      <c r="E133" s="729"/>
      <c r="F133" s="729"/>
      <c r="G133" s="729"/>
      <c r="H133" s="727"/>
      <c r="I133" s="727"/>
      <c r="J133" s="422"/>
      <c r="K133" s="422"/>
      <c r="L133" s="422"/>
    </row>
    <row r="134" spans="2:12" ht="41.25" customHeight="1" x14ac:dyDescent="0.3">
      <c r="B134" s="727"/>
      <c r="C134" s="1601" t="s">
        <v>4659</v>
      </c>
      <c r="D134" s="1601"/>
      <c r="E134" s="1601"/>
      <c r="F134" s="1601"/>
      <c r="G134" s="1601"/>
      <c r="H134" s="1601"/>
      <c r="I134" s="1601"/>
      <c r="J134" s="759"/>
      <c r="K134" s="759"/>
      <c r="L134" s="758"/>
    </row>
    <row r="135" spans="2:12" ht="3" customHeight="1" x14ac:dyDescent="0.3">
      <c r="B135" s="727"/>
      <c r="C135" s="757"/>
      <c r="D135" s="729"/>
      <c r="E135" s="729"/>
      <c r="F135" s="729"/>
      <c r="G135" s="729"/>
      <c r="H135" s="727"/>
      <c r="I135" s="727"/>
      <c r="J135" s="422"/>
      <c r="K135" s="422"/>
      <c r="L135" s="422"/>
    </row>
    <row r="136" spans="2:12" x14ac:dyDescent="0.3">
      <c r="B136" s="727"/>
      <c r="C136" s="757" t="s">
        <v>4160</v>
      </c>
      <c r="D136" s="729"/>
      <c r="E136" s="729"/>
      <c r="F136" s="729"/>
      <c r="G136" s="729"/>
      <c r="H136" s="727"/>
      <c r="I136" s="727"/>
      <c r="J136" s="422"/>
      <c r="K136" s="422"/>
      <c r="L136" s="422"/>
    </row>
    <row r="137" spans="2:12" x14ac:dyDescent="0.3">
      <c r="B137" s="422"/>
      <c r="C137" s="422"/>
      <c r="D137" s="422"/>
      <c r="E137" s="422"/>
      <c r="F137" s="422"/>
      <c r="G137" s="422"/>
      <c r="H137" s="422"/>
      <c r="I137" s="422"/>
      <c r="J137" s="422"/>
      <c r="K137" s="422"/>
      <c r="L137" s="422"/>
    </row>
    <row r="138" spans="2:12" x14ac:dyDescent="0.3">
      <c r="B138" s="422"/>
      <c r="C138" s="422"/>
      <c r="D138" s="422"/>
      <c r="E138" s="422"/>
      <c r="F138" s="422"/>
      <c r="G138" s="422"/>
      <c r="H138" s="422"/>
      <c r="I138" s="422"/>
      <c r="J138" s="422"/>
      <c r="K138" s="422"/>
      <c r="L138" s="422"/>
    </row>
    <row r="139" spans="2:12" x14ac:dyDescent="0.3">
      <c r="B139" s="422"/>
      <c r="C139" s="422"/>
      <c r="D139" s="422"/>
      <c r="E139" s="422"/>
      <c r="F139" s="422"/>
      <c r="G139" s="422"/>
      <c r="H139" s="422"/>
      <c r="I139" s="422"/>
      <c r="J139" s="422"/>
      <c r="K139" s="422"/>
      <c r="L139" s="422"/>
    </row>
    <row r="140" spans="2:12" x14ac:dyDescent="0.3">
      <c r="B140" s="422"/>
      <c r="C140" s="760" t="s">
        <v>4161</v>
      </c>
      <c r="D140" s="422"/>
      <c r="E140" s="422"/>
      <c r="F140" s="422"/>
      <c r="G140" s="422"/>
      <c r="H140" s="422"/>
      <c r="I140" s="422"/>
      <c r="J140" s="422"/>
      <c r="K140" s="422"/>
      <c r="L140" s="422"/>
    </row>
    <row r="141" spans="2:12" ht="3" customHeight="1" x14ac:dyDescent="0.3">
      <c r="B141" s="422"/>
      <c r="C141" s="422"/>
      <c r="D141" s="422"/>
      <c r="E141" s="422"/>
      <c r="F141" s="422"/>
      <c r="G141" s="422"/>
      <c r="H141" s="422"/>
      <c r="I141" s="422"/>
      <c r="J141" s="422"/>
      <c r="K141" s="422"/>
      <c r="L141" s="422"/>
    </row>
    <row r="142" spans="2:12" x14ac:dyDescent="0.3">
      <c r="C142" s="1608" t="s">
        <v>4162</v>
      </c>
      <c r="D142" s="1608"/>
      <c r="E142" s="1608"/>
      <c r="F142" s="1608"/>
      <c r="G142" s="1608"/>
      <c r="H142" s="1608"/>
      <c r="I142" s="1608"/>
      <c r="J142" s="761"/>
      <c r="K142" s="761"/>
    </row>
    <row r="143" spans="2:12" ht="3" customHeight="1" x14ac:dyDescent="0.3">
      <c r="C143" s="762"/>
      <c r="D143" s="762"/>
      <c r="E143" s="762"/>
      <c r="F143" s="762"/>
      <c r="G143" s="762"/>
      <c r="H143" s="762"/>
      <c r="I143" s="762"/>
      <c r="J143" s="763"/>
      <c r="K143" s="763"/>
    </row>
    <row r="144" spans="2:12" x14ac:dyDescent="0.3">
      <c r="C144" s="1608" t="s">
        <v>4163</v>
      </c>
      <c r="D144" s="1608"/>
      <c r="E144" s="1608"/>
      <c r="F144" s="1608"/>
      <c r="G144" s="1608"/>
      <c r="H144" s="1608"/>
      <c r="I144" s="1608"/>
      <c r="J144" s="761"/>
      <c r="K144" s="761"/>
    </row>
    <row r="145" spans="10:11" x14ac:dyDescent="0.3">
      <c r="J145" s="422"/>
      <c r="K145" s="422"/>
    </row>
    <row r="171" spans="11:13" x14ac:dyDescent="0.3">
      <c r="K171" s="665" t="s">
        <v>4172</v>
      </c>
      <c r="L171" s="665" t="s">
        <v>4173</v>
      </c>
      <c r="M171" s="665" t="s">
        <v>4166</v>
      </c>
    </row>
    <row r="173" spans="11:13" x14ac:dyDescent="0.3">
      <c r="K173" s="742" t="s">
        <v>4174</v>
      </c>
      <c r="L173" s="742" t="s">
        <v>312</v>
      </c>
      <c r="M173" s="742" t="s">
        <v>4175</v>
      </c>
    </row>
    <row r="174" spans="11:13" x14ac:dyDescent="0.3">
      <c r="K174" s="742" t="s">
        <v>4450</v>
      </c>
      <c r="L174" s="742" t="s">
        <v>313</v>
      </c>
      <c r="M174" s="742" t="s">
        <v>4176</v>
      </c>
    </row>
    <row r="175" spans="11:13" x14ac:dyDescent="0.3">
      <c r="L175" s="742" t="s">
        <v>314</v>
      </c>
    </row>
    <row r="176" spans="11:13" x14ac:dyDescent="0.3">
      <c r="L176" s="742" t="s">
        <v>310</v>
      </c>
    </row>
    <row r="180" spans="11:12" x14ac:dyDescent="0.3">
      <c r="K180" s="665" t="s">
        <v>4177</v>
      </c>
    </row>
    <row r="182" spans="11:12" x14ac:dyDescent="0.3">
      <c r="K182" s="8" t="s">
        <v>4178</v>
      </c>
      <c r="L182" s="8"/>
    </row>
    <row r="183" spans="11:12" x14ac:dyDescent="0.3">
      <c r="K183" s="8" t="s">
        <v>4179</v>
      </c>
      <c r="L183" s="8"/>
    </row>
  </sheetData>
  <sheetProtection algorithmName="SHA-512" hashValue="uEHi3EV9TuNyIWQ7ij12Pfj4hT1074+kxLuCsG+Ks3ecIYFqRRGreQ7rOwdIvU0NbMtcR7k3mttHFt0v8bQ98g==" saltValue="qUaobhG/6SNLVE5hsf083w==" spinCount="100000" sheet="1" objects="1" scenarios="1" selectLockedCells="1"/>
  <mergeCells count="87">
    <mergeCell ref="E38:F38"/>
    <mergeCell ref="C38:D39"/>
    <mergeCell ref="A41:B41"/>
    <mergeCell ref="C41:I43"/>
    <mergeCell ref="A42:B42"/>
    <mergeCell ref="A43:B43"/>
    <mergeCell ref="A38:B38"/>
    <mergeCell ref="A12:B12"/>
    <mergeCell ref="C12:D12"/>
    <mergeCell ref="G12:I12"/>
    <mergeCell ref="A14:B14"/>
    <mergeCell ref="C14:D14"/>
    <mergeCell ref="G14:I14"/>
    <mergeCell ref="A8:B8"/>
    <mergeCell ref="G8:I8"/>
    <mergeCell ref="A10:B10"/>
    <mergeCell ref="C10:D10"/>
    <mergeCell ref="G10:I10"/>
    <mergeCell ref="C16:D16"/>
    <mergeCell ref="G16:I16"/>
    <mergeCell ref="A85:B85"/>
    <mergeCell ref="E83:I83"/>
    <mergeCell ref="A69:B69"/>
    <mergeCell ref="A73:B73"/>
    <mergeCell ref="A75:B75"/>
    <mergeCell ref="A77:B77"/>
    <mergeCell ref="A58:B62"/>
    <mergeCell ref="C45:D45"/>
    <mergeCell ref="A16:B16"/>
    <mergeCell ref="E20:E21"/>
    <mergeCell ref="C66:D67"/>
    <mergeCell ref="C69:I71"/>
    <mergeCell ref="A70:B70"/>
    <mergeCell ref="A71:B71"/>
    <mergeCell ref="C89:I89"/>
    <mergeCell ref="A66:B67"/>
    <mergeCell ref="C49:D49"/>
    <mergeCell ref="C51:D51"/>
    <mergeCell ref="C54:D54"/>
    <mergeCell ref="C56:I57"/>
    <mergeCell ref="E59:E61"/>
    <mergeCell ref="F59:I61"/>
    <mergeCell ref="A63:B63"/>
    <mergeCell ref="A79:B79"/>
    <mergeCell ref="D79:D81"/>
    <mergeCell ref="A81:B81"/>
    <mergeCell ref="A83:B83"/>
    <mergeCell ref="E52:G52"/>
    <mergeCell ref="D1:I5"/>
    <mergeCell ref="C85:I86"/>
    <mergeCell ref="C144:I144"/>
    <mergeCell ref="D103:E103"/>
    <mergeCell ref="F103:G103"/>
    <mergeCell ref="F104:G113"/>
    <mergeCell ref="C126:I126"/>
    <mergeCell ref="C134:I134"/>
    <mergeCell ref="C142:I142"/>
    <mergeCell ref="E91:F91"/>
    <mergeCell ref="G91:H91"/>
    <mergeCell ref="C47:D47"/>
    <mergeCell ref="C35:I36"/>
    <mergeCell ref="E92:F92"/>
    <mergeCell ref="E93:F93"/>
    <mergeCell ref="E94:F94"/>
    <mergeCell ref="E95:F95"/>
    <mergeCell ref="E96:F96"/>
    <mergeCell ref="G92:H92"/>
    <mergeCell ref="G93:H93"/>
    <mergeCell ref="G94:H94"/>
    <mergeCell ref="G95:H95"/>
    <mergeCell ref="G96:H96"/>
    <mergeCell ref="D113:E113"/>
    <mergeCell ref="C18:D18"/>
    <mergeCell ref="F18:I18"/>
    <mergeCell ref="E45:F47"/>
    <mergeCell ref="E49:F51"/>
    <mergeCell ref="G51:I51"/>
    <mergeCell ref="D108:E108"/>
    <mergeCell ref="D109:E109"/>
    <mergeCell ref="D110:E110"/>
    <mergeCell ref="D111:E111"/>
    <mergeCell ref="D112:E112"/>
    <mergeCell ref="E100:F100"/>
    <mergeCell ref="D104:E104"/>
    <mergeCell ref="D105:E105"/>
    <mergeCell ref="D106:E106"/>
    <mergeCell ref="D107:E107"/>
  </mergeCells>
  <conditionalFormatting sqref="F24:I29 F32:I32">
    <cfRule type="cellIs" dxfId="17" priority="62" operator="lessThanOrEqual">
      <formula>$E24</formula>
    </cfRule>
  </conditionalFormatting>
  <conditionalFormatting sqref="G38">
    <cfRule type="expression" dxfId="16" priority="59">
      <formula>$G$38=TRUE</formula>
    </cfRule>
  </conditionalFormatting>
  <conditionalFormatting sqref="C41 C45 C47 C49 C51 G47 G51 C60 C63 F59 C69 C73 C75 C77 C79 C81 C83 E100 C104:D113 F104:I113">
    <cfRule type="notContainsBlanks" dxfId="15" priority="4835">
      <formula>LEN(TRIM(C41))&gt;0</formula>
    </cfRule>
  </conditionalFormatting>
  <conditionalFormatting sqref="G8">
    <cfRule type="expression" dxfId="14" priority="7">
      <formula>G8="Gold"</formula>
    </cfRule>
    <cfRule type="expression" dxfId="13" priority="8">
      <formula>G8="Silver"</formula>
    </cfRule>
    <cfRule type="expression" dxfId="12" priority="9">
      <formula>G8="Bronze"</formula>
    </cfRule>
    <cfRule type="expression" dxfId="11" priority="10">
      <formula>G8="Emerald"</formula>
    </cfRule>
  </conditionalFormatting>
  <conditionalFormatting sqref="F18:I18">
    <cfRule type="expression" dxfId="10" priority="5">
      <formula>$J$18</formula>
    </cfRule>
  </conditionalFormatting>
  <conditionalFormatting sqref="F59:I61">
    <cfRule type="expression" dxfId="9" priority="56">
      <formula>$C$60=$K$183</formula>
    </cfRule>
  </conditionalFormatting>
  <conditionalFormatting sqref="C92:H96">
    <cfRule type="notContainsBlanks" dxfId="8" priority="2">
      <formula>LEN(TRIM(C92))&gt;0</formula>
    </cfRule>
  </conditionalFormatting>
  <conditionalFormatting sqref="C92:H96 C104:C113 I104:I113">
    <cfRule type="expression" dxfId="7" priority="4837">
      <formula>$K92</formula>
    </cfRule>
  </conditionalFormatting>
  <conditionalFormatting sqref="C104:E113 H104:I113">
    <cfRule type="expression" dxfId="6" priority="3">
      <formula>$L104=TRUE</formula>
    </cfRule>
  </conditionalFormatting>
  <conditionalFormatting sqref="C104:C113 I104:I113">
    <cfRule type="expression" dxfId="5" priority="1">
      <formula>AND($M104,NOT(ISBLANK(C104)))</formula>
    </cfRule>
  </conditionalFormatting>
  <dataValidations disablePrompts="1" count="5">
    <dataValidation type="list" allowBlank="1" showInputMessage="1" showErrorMessage="1" sqref="C60" xr:uid="{00000000-0002-0000-1200-000000000000}">
      <formula1>$K$182:$K$183</formula1>
    </dataValidation>
    <dataValidation type="list" allowBlank="1" showInputMessage="1" showErrorMessage="1" sqref="G51" xr:uid="{00000000-0002-0000-1200-000001000000}">
      <formula1>$M$173:$M$174</formula1>
    </dataValidation>
    <dataValidation type="list" allowBlank="1" showInputMessage="1" showErrorMessage="1" sqref="C63" xr:uid="{00000000-0002-0000-1200-000002000000}">
      <formula1>$L$173:$L$176</formula1>
    </dataValidation>
    <dataValidation type="list" allowBlank="1" showInputMessage="1" showErrorMessage="1" errorTitle="Delivery Method" error="Please Select" promptTitle="Certificate Delivery Method" prompt="Please select US Mail or Overnight delivery for $50.00" sqref="G47" xr:uid="{00000000-0002-0000-1200-000003000000}">
      <formula1>$K$173:$K$174</formula1>
    </dataValidation>
    <dataValidation type="list" allowBlank="1" showDropDown="1" showInputMessage="1" showErrorMessage="1" error="Use Checkbox" prompt="Use Checkbox" sqref="G38 M104:M113" xr:uid="{00000000-0002-0000-1200-000004000000}">
      <formula1>TorF</formula1>
    </dataValidation>
  </dataValidations>
  <pageMargins left="0.7" right="0.7" top="0.75" bottom="0.75" header="0.3" footer="0.3"/>
  <pageSetup scale="77" fitToHeight="0" orientation="landscape" r:id="rId1"/>
  <rowBreaks count="3" manualBreakCount="3">
    <brk id="52" max="8" man="1"/>
    <brk id="87" max="16383" man="1"/>
    <brk id="114"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30722" r:id="rId4" name="Check Box 2">
              <controlPr locked="0" defaultSize="0" autoFill="0" autoLine="0" autoPict="0">
                <anchor moveWithCells="1">
                  <from>
                    <xdr:col>6</xdr:col>
                    <xdr:colOff>0</xdr:colOff>
                    <xdr:row>37</xdr:row>
                    <xdr:rowOff>0</xdr:rowOff>
                  </from>
                  <to>
                    <xdr:col>6</xdr:col>
                    <xdr:colOff>182880</xdr:colOff>
                    <xdr:row>37</xdr:row>
                    <xdr:rowOff>182880</xdr:rowOff>
                  </to>
                </anchor>
              </controlPr>
            </control>
          </mc:Choice>
        </mc:AlternateContent>
        <mc:AlternateContent xmlns:mc="http://schemas.openxmlformats.org/markup-compatibility/2006">
          <mc:Choice Requires="x14">
            <control shapeId="30726" r:id="rId5" name="Check Box 6">
              <controlPr locked="0" defaultSize="0" autoFill="0" autoLine="0" autoPict="0">
                <anchor moveWithCells="1">
                  <from>
                    <xdr:col>1</xdr:col>
                    <xdr:colOff>22860</xdr:colOff>
                    <xdr:row>104</xdr:row>
                    <xdr:rowOff>0</xdr:rowOff>
                  </from>
                  <to>
                    <xdr:col>1</xdr:col>
                    <xdr:colOff>198120</xdr:colOff>
                    <xdr:row>105</xdr:row>
                    <xdr:rowOff>0</xdr:rowOff>
                  </to>
                </anchor>
              </controlPr>
            </control>
          </mc:Choice>
        </mc:AlternateContent>
        <mc:AlternateContent xmlns:mc="http://schemas.openxmlformats.org/markup-compatibility/2006">
          <mc:Choice Requires="x14">
            <control shapeId="30727" r:id="rId6" name="Check Box 7">
              <controlPr locked="0" defaultSize="0" autoFill="0" autoLine="0" autoPict="0">
                <anchor moveWithCells="1">
                  <from>
                    <xdr:col>1</xdr:col>
                    <xdr:colOff>22860</xdr:colOff>
                    <xdr:row>105</xdr:row>
                    <xdr:rowOff>0</xdr:rowOff>
                  </from>
                  <to>
                    <xdr:col>1</xdr:col>
                    <xdr:colOff>198120</xdr:colOff>
                    <xdr:row>106</xdr:row>
                    <xdr:rowOff>0</xdr:rowOff>
                  </to>
                </anchor>
              </controlPr>
            </control>
          </mc:Choice>
        </mc:AlternateContent>
        <mc:AlternateContent xmlns:mc="http://schemas.openxmlformats.org/markup-compatibility/2006">
          <mc:Choice Requires="x14">
            <control shapeId="30728" r:id="rId7" name="Check Box 8">
              <controlPr locked="0" defaultSize="0" autoFill="0" autoLine="0" autoPict="0">
                <anchor moveWithCells="1">
                  <from>
                    <xdr:col>1</xdr:col>
                    <xdr:colOff>22860</xdr:colOff>
                    <xdr:row>106</xdr:row>
                    <xdr:rowOff>0</xdr:rowOff>
                  </from>
                  <to>
                    <xdr:col>1</xdr:col>
                    <xdr:colOff>198120</xdr:colOff>
                    <xdr:row>107</xdr:row>
                    <xdr:rowOff>0</xdr:rowOff>
                  </to>
                </anchor>
              </controlPr>
            </control>
          </mc:Choice>
        </mc:AlternateContent>
        <mc:AlternateContent xmlns:mc="http://schemas.openxmlformats.org/markup-compatibility/2006">
          <mc:Choice Requires="x14">
            <control shapeId="30729" r:id="rId8" name="Check Box 9">
              <controlPr locked="0" defaultSize="0" autoFill="0" autoLine="0" autoPict="0">
                <anchor moveWithCells="1">
                  <from>
                    <xdr:col>1</xdr:col>
                    <xdr:colOff>22860</xdr:colOff>
                    <xdr:row>107</xdr:row>
                    <xdr:rowOff>0</xdr:rowOff>
                  </from>
                  <to>
                    <xdr:col>1</xdr:col>
                    <xdr:colOff>198120</xdr:colOff>
                    <xdr:row>108</xdr:row>
                    <xdr:rowOff>0</xdr:rowOff>
                  </to>
                </anchor>
              </controlPr>
            </control>
          </mc:Choice>
        </mc:AlternateContent>
        <mc:AlternateContent xmlns:mc="http://schemas.openxmlformats.org/markup-compatibility/2006">
          <mc:Choice Requires="x14">
            <control shapeId="30730" r:id="rId9" name="Check Box 10">
              <controlPr locked="0" defaultSize="0" autoFill="0" autoLine="0" autoPict="0">
                <anchor moveWithCells="1">
                  <from>
                    <xdr:col>1</xdr:col>
                    <xdr:colOff>22860</xdr:colOff>
                    <xdr:row>108</xdr:row>
                    <xdr:rowOff>0</xdr:rowOff>
                  </from>
                  <to>
                    <xdr:col>1</xdr:col>
                    <xdr:colOff>198120</xdr:colOff>
                    <xdr:row>109</xdr:row>
                    <xdr:rowOff>0</xdr:rowOff>
                  </to>
                </anchor>
              </controlPr>
            </control>
          </mc:Choice>
        </mc:AlternateContent>
        <mc:AlternateContent xmlns:mc="http://schemas.openxmlformats.org/markup-compatibility/2006">
          <mc:Choice Requires="x14">
            <control shapeId="30731" r:id="rId10" name="Check Box 11">
              <controlPr locked="0" defaultSize="0" autoFill="0" autoLine="0" autoPict="0">
                <anchor moveWithCells="1">
                  <from>
                    <xdr:col>1</xdr:col>
                    <xdr:colOff>22860</xdr:colOff>
                    <xdr:row>109</xdr:row>
                    <xdr:rowOff>0</xdr:rowOff>
                  </from>
                  <to>
                    <xdr:col>1</xdr:col>
                    <xdr:colOff>198120</xdr:colOff>
                    <xdr:row>110</xdr:row>
                    <xdr:rowOff>0</xdr:rowOff>
                  </to>
                </anchor>
              </controlPr>
            </control>
          </mc:Choice>
        </mc:AlternateContent>
        <mc:AlternateContent xmlns:mc="http://schemas.openxmlformats.org/markup-compatibility/2006">
          <mc:Choice Requires="x14">
            <control shapeId="30732" r:id="rId11" name="Check Box 12">
              <controlPr locked="0" defaultSize="0" autoFill="0" autoLine="0" autoPict="0">
                <anchor moveWithCells="1">
                  <from>
                    <xdr:col>1</xdr:col>
                    <xdr:colOff>22860</xdr:colOff>
                    <xdr:row>110</xdr:row>
                    <xdr:rowOff>0</xdr:rowOff>
                  </from>
                  <to>
                    <xdr:col>1</xdr:col>
                    <xdr:colOff>198120</xdr:colOff>
                    <xdr:row>111</xdr:row>
                    <xdr:rowOff>0</xdr:rowOff>
                  </to>
                </anchor>
              </controlPr>
            </control>
          </mc:Choice>
        </mc:AlternateContent>
        <mc:AlternateContent xmlns:mc="http://schemas.openxmlformats.org/markup-compatibility/2006">
          <mc:Choice Requires="x14">
            <control shapeId="30733" r:id="rId12" name="Check Box 13">
              <controlPr locked="0" defaultSize="0" autoFill="0" autoLine="0" autoPict="0">
                <anchor moveWithCells="1">
                  <from>
                    <xdr:col>1</xdr:col>
                    <xdr:colOff>22860</xdr:colOff>
                    <xdr:row>111</xdr:row>
                    <xdr:rowOff>0</xdr:rowOff>
                  </from>
                  <to>
                    <xdr:col>1</xdr:col>
                    <xdr:colOff>198120</xdr:colOff>
                    <xdr:row>112</xdr:row>
                    <xdr:rowOff>0</xdr:rowOff>
                  </to>
                </anchor>
              </controlPr>
            </control>
          </mc:Choice>
        </mc:AlternateContent>
        <mc:AlternateContent xmlns:mc="http://schemas.openxmlformats.org/markup-compatibility/2006">
          <mc:Choice Requires="x14">
            <control shapeId="30734" r:id="rId13" name="Check Box 14">
              <controlPr locked="0" defaultSize="0" autoFill="0" autoLine="0" autoPict="0">
                <anchor moveWithCells="1">
                  <from>
                    <xdr:col>1</xdr:col>
                    <xdr:colOff>22860</xdr:colOff>
                    <xdr:row>112</xdr:row>
                    <xdr:rowOff>0</xdr:rowOff>
                  </from>
                  <to>
                    <xdr:col>1</xdr:col>
                    <xdr:colOff>198120</xdr:colOff>
                    <xdr:row>113</xdr:row>
                    <xdr:rowOff>0</xdr:rowOff>
                  </to>
                </anchor>
              </controlPr>
            </control>
          </mc:Choice>
        </mc:AlternateContent>
        <mc:AlternateContent xmlns:mc="http://schemas.openxmlformats.org/markup-compatibility/2006">
          <mc:Choice Requires="x14">
            <control shapeId="30735" r:id="rId14" name="Check Box 15">
              <controlPr locked="0" defaultSize="0" autoFill="0" autoLine="0" autoPict="0">
                <anchor moveWithCells="1">
                  <from>
                    <xdr:col>1</xdr:col>
                    <xdr:colOff>22860</xdr:colOff>
                    <xdr:row>103</xdr:row>
                    <xdr:rowOff>0</xdr:rowOff>
                  </from>
                  <to>
                    <xdr:col>1</xdr:col>
                    <xdr:colOff>198120</xdr:colOff>
                    <xdr:row>104</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1" stopIfTrue="1" id="{08A68B61-7D14-4FFB-8A40-95825A95933B}">
            <xm:f>Points!$Y10&lt;3</xm:f>
            <x14:dxf>
              <fill>
                <patternFill patternType="lightGray"/>
              </fill>
            </x14:dxf>
          </x14:cfRule>
          <xm:sqref>H26:H27</xm:sqref>
        </x14:conditionalFormatting>
        <x14:conditionalFormatting xmlns:xm="http://schemas.microsoft.com/office/excel/2006/main">
          <x14:cfRule type="expression" priority="60" stopIfTrue="1" id="{A2EC195A-93B7-440D-B4EA-6F78072ED82D}">
            <xm:f>Points!$Y10&lt;4</xm:f>
            <x14:dxf>
              <fill>
                <patternFill patternType="lightGray"/>
              </fill>
            </x14:dxf>
          </x14:cfRule>
          <xm:sqref>I26:I27</xm:sqref>
        </x14:conditionalFormatting>
        <x14:conditionalFormatting xmlns:xm="http://schemas.microsoft.com/office/excel/2006/main">
          <x14:cfRule type="expression" priority="58" stopIfTrue="1" id="{B4057145-EB82-42DB-B8E6-47B010E15B78}">
            <xm:f>MIN(Points!$Y$10:$Y$11)&lt;3</xm:f>
            <x14:dxf>
              <fill>
                <patternFill patternType="lightGray"/>
              </fill>
            </x14:dxf>
          </x14:cfRule>
          <xm:sqref>H32</xm:sqref>
        </x14:conditionalFormatting>
        <x14:conditionalFormatting xmlns:xm="http://schemas.microsoft.com/office/excel/2006/main">
          <x14:cfRule type="expression" priority="57" id="{26B4958A-7349-44B2-8E4C-C51891382655}">
            <xm:f>MIN(Points!$Y$10:$Y$11)&lt;4</xm:f>
            <x14:dxf>
              <fill>
                <patternFill patternType="lightGray"/>
              </fill>
            </x14:dxf>
          </x14:cfRule>
          <xm:sqref>I32</xm:sqref>
        </x14:conditionalFormatting>
        <x14:conditionalFormatting xmlns:xm="http://schemas.microsoft.com/office/excel/2006/main">
          <x14:cfRule type="expression" priority="6" id="{262860F8-EFFF-465D-9491-0793F5EC5685}">
            <xm:f>OR('Verification Report'!$AI$3,'Verification Report'!$AG$3)</xm:f>
            <x14:dxf>
              <font>
                <b/>
                <i val="0"/>
                <color theme="1"/>
              </font>
              <fill>
                <patternFill>
                  <bgColor rgb="FFFF0000"/>
                </patternFill>
              </fill>
            </x14:dxf>
          </x14:cfRule>
          <xm:sqref>C18:D18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U62"/>
  <sheetViews>
    <sheetView showGridLines="0" workbookViewId="0">
      <pane ySplit="6" topLeftCell="A40" activePane="bottomLeft" state="frozen"/>
      <selection pane="bottomLeft" activeCell="G58" sqref="G58:H58"/>
    </sheetView>
  </sheetViews>
  <sheetFormatPr defaultRowHeight="14.4" x14ac:dyDescent="0.3"/>
  <cols>
    <col min="5" max="5" width="16.88671875" hidden="1" customWidth="1"/>
    <col min="6" max="6" width="17.44140625" hidden="1" customWidth="1"/>
  </cols>
  <sheetData>
    <row r="1" spans="1:21" x14ac:dyDescent="0.3">
      <c r="A1" s="1231"/>
      <c r="B1" s="1231"/>
      <c r="C1" s="1231"/>
      <c r="D1" s="1231" t="s">
        <v>4722</v>
      </c>
      <c r="E1" s="1231"/>
      <c r="F1" s="1231"/>
      <c r="G1" s="1231"/>
      <c r="H1" s="1231"/>
      <c r="I1" s="1231"/>
      <c r="J1" s="1231"/>
      <c r="K1" s="1231"/>
      <c r="L1" s="1231"/>
      <c r="M1" s="1231"/>
      <c r="N1" s="1231"/>
      <c r="O1" s="1231"/>
      <c r="P1" s="1231"/>
      <c r="Q1" s="1231"/>
      <c r="R1" s="1231"/>
      <c r="S1" s="1231"/>
      <c r="T1" s="1231"/>
      <c r="U1" s="1231"/>
    </row>
    <row r="2" spans="1:21" s="58" customFormat="1" x14ac:dyDescent="0.3">
      <c r="A2" s="1231"/>
      <c r="B2" s="1231"/>
      <c r="C2" s="1231"/>
      <c r="D2" s="1231"/>
      <c r="E2" s="1231"/>
      <c r="F2" s="1231"/>
      <c r="G2" s="1231"/>
      <c r="H2" s="1231"/>
      <c r="I2" s="1231"/>
      <c r="J2" s="1231"/>
      <c r="K2" s="1231"/>
      <c r="L2" s="1231"/>
      <c r="M2" s="1231"/>
      <c r="N2" s="1231"/>
      <c r="O2" s="1231"/>
      <c r="P2" s="1231"/>
      <c r="Q2" s="1231"/>
      <c r="R2" s="1231"/>
      <c r="S2" s="1231"/>
      <c r="T2" s="1231"/>
      <c r="U2" s="1231"/>
    </row>
    <row r="3" spans="1:21" s="58" customFormat="1" x14ac:dyDescent="0.3">
      <c r="A3" s="1231"/>
      <c r="B3" s="1231"/>
      <c r="C3" s="1231"/>
      <c r="D3" s="1231"/>
      <c r="E3" s="1231"/>
      <c r="F3" s="1231"/>
      <c r="G3" s="1231"/>
      <c r="H3" s="1231"/>
      <c r="I3" s="1231"/>
      <c r="J3" s="1231"/>
      <c r="K3" s="1231"/>
      <c r="L3" s="1231"/>
      <c r="M3" s="1231"/>
      <c r="N3" s="1231"/>
      <c r="O3" s="1231"/>
      <c r="P3" s="1231"/>
      <c r="Q3" s="1231"/>
      <c r="R3" s="1231"/>
      <c r="S3" s="1231"/>
      <c r="T3" s="1231"/>
      <c r="U3" s="1231"/>
    </row>
    <row r="4" spans="1:21" s="58" customFormat="1" x14ac:dyDescent="0.3">
      <c r="A4" s="1231"/>
      <c r="B4" s="1231"/>
      <c r="C4" s="1231"/>
      <c r="D4" s="1231"/>
      <c r="E4" s="1231"/>
      <c r="F4" s="1231"/>
      <c r="G4" s="1231"/>
      <c r="H4" s="1231"/>
      <c r="I4" s="1231"/>
      <c r="J4" s="1231"/>
      <c r="K4" s="1231"/>
      <c r="L4" s="1231"/>
      <c r="M4" s="1231"/>
      <c r="N4" s="1231"/>
      <c r="O4" s="1231"/>
      <c r="P4" s="1231"/>
      <c r="Q4" s="1231"/>
      <c r="R4" s="1231"/>
      <c r="S4" s="1231"/>
      <c r="T4" s="1231"/>
      <c r="U4" s="1231"/>
    </row>
    <row r="5" spans="1:21" s="58" customFormat="1" x14ac:dyDescent="0.3">
      <c r="A5" s="1231"/>
      <c r="B5" s="1231"/>
      <c r="C5" s="1231"/>
      <c r="D5" s="1231"/>
      <c r="E5" s="1231"/>
      <c r="F5" s="1231"/>
      <c r="G5" s="1231"/>
      <c r="H5" s="1231"/>
      <c r="I5" s="1231"/>
      <c r="J5" s="1231"/>
      <c r="K5" s="1231"/>
      <c r="L5" s="1231"/>
      <c r="M5" s="1231"/>
      <c r="N5" s="1231"/>
      <c r="O5" s="1231"/>
      <c r="P5" s="1231"/>
      <c r="Q5" s="1231"/>
      <c r="R5" s="1231"/>
      <c r="S5" s="1231"/>
      <c r="T5" s="1231"/>
      <c r="U5" s="1231"/>
    </row>
    <row r="6" spans="1:21" s="16" customFormat="1" ht="18" x14ac:dyDescent="0.35">
      <c r="A6" s="15" t="s">
        <v>4366</v>
      </c>
      <c r="B6" s="15"/>
      <c r="C6" s="15"/>
      <c r="D6" s="15"/>
      <c r="E6" s="17" t="s">
        <v>260</v>
      </c>
      <c r="F6" s="17" t="s">
        <v>260</v>
      </c>
      <c r="G6" s="15"/>
      <c r="H6" s="15"/>
      <c r="I6" s="15"/>
      <c r="J6" s="15"/>
      <c r="K6" s="15"/>
      <c r="L6" s="15"/>
      <c r="M6" s="15"/>
      <c r="N6" s="15"/>
      <c r="O6" s="15"/>
      <c r="P6" s="15"/>
      <c r="Q6" s="15"/>
      <c r="R6" s="15"/>
      <c r="S6" s="15"/>
      <c r="T6" s="15"/>
      <c r="U6" s="15"/>
    </row>
    <row r="7" spans="1:21" x14ac:dyDescent="0.3">
      <c r="E7" t="s">
        <v>246</v>
      </c>
      <c r="F7" t="s">
        <v>247</v>
      </c>
    </row>
    <row r="8" spans="1:21" x14ac:dyDescent="0.3">
      <c r="A8" s="1247" t="s">
        <v>124</v>
      </c>
      <c r="B8" s="1247"/>
      <c r="C8" s="1247"/>
      <c r="D8" s="1247"/>
      <c r="E8" s="2"/>
      <c r="F8" s="2" t="s">
        <v>151</v>
      </c>
      <c r="G8" s="1245" t="s">
        <v>4777</v>
      </c>
      <c r="H8" s="1245"/>
      <c r="I8" s="1245"/>
      <c r="J8" s="1245"/>
      <c r="L8" s="1283" t="s">
        <v>3866</v>
      </c>
      <c r="M8" s="1284"/>
      <c r="N8" s="781"/>
      <c r="O8" s="423"/>
      <c r="P8" s="423"/>
    </row>
    <row r="9" spans="1:21" x14ac:dyDescent="0.3">
      <c r="A9" s="1247" t="s">
        <v>125</v>
      </c>
      <c r="B9" s="1247"/>
      <c r="C9" s="1247"/>
      <c r="D9" s="1247"/>
      <c r="E9" s="2"/>
      <c r="F9" s="2" t="s">
        <v>152</v>
      </c>
      <c r="G9" s="1245" t="s">
        <v>4778</v>
      </c>
      <c r="H9" s="1245"/>
      <c r="I9" s="1245"/>
      <c r="J9" s="1245"/>
      <c r="L9" s="784">
        <f>N13</f>
        <v>4</v>
      </c>
      <c r="M9" s="785" t="str">
        <f>O13</f>
        <v>Moist</v>
      </c>
      <c r="N9" s="785" t="str">
        <f>P13</f>
        <v xml:space="preserve"> </v>
      </c>
      <c r="O9" s="785"/>
      <c r="P9" s="786" t="str">
        <f>Q13</f>
        <v xml:space="preserve"> </v>
      </c>
    </row>
    <row r="10" spans="1:21" x14ac:dyDescent="0.3">
      <c r="A10" s="1247" t="s">
        <v>130</v>
      </c>
      <c r="B10" s="1247"/>
      <c r="C10" s="1247"/>
      <c r="D10" s="1247"/>
      <c r="E10" s="2"/>
      <c r="F10" s="2" t="s">
        <v>153</v>
      </c>
      <c r="G10" s="1245" t="s">
        <v>4779</v>
      </c>
      <c r="H10" s="1245"/>
      <c r="I10" s="1245"/>
      <c r="J10" s="1245"/>
    </row>
    <row r="11" spans="1:21" x14ac:dyDescent="0.3">
      <c r="A11" s="1247" t="s">
        <v>126</v>
      </c>
      <c r="B11" s="1247"/>
      <c r="C11" s="1247"/>
      <c r="D11" s="1247"/>
      <c r="E11" s="2"/>
      <c r="F11" s="2" t="s">
        <v>154</v>
      </c>
      <c r="G11" s="1245" t="s">
        <v>4780</v>
      </c>
      <c r="H11" s="1245"/>
      <c r="I11" s="1245"/>
      <c r="J11" s="1245"/>
      <c r="N11" s="462"/>
    </row>
    <row r="12" spans="1:21" x14ac:dyDescent="0.3">
      <c r="A12" s="1247" t="s">
        <v>128</v>
      </c>
      <c r="B12" s="1247"/>
      <c r="C12" s="1247"/>
      <c r="D12" s="1247"/>
      <c r="E12" s="6" t="s">
        <v>180</v>
      </c>
      <c r="F12" s="2" t="s">
        <v>155</v>
      </c>
      <c r="G12" s="1267" t="s">
        <v>38</v>
      </c>
      <c r="H12" s="1268"/>
      <c r="I12" s="1268"/>
      <c r="J12" s="1269"/>
      <c r="K12" s="1191" t="s">
        <v>2</v>
      </c>
      <c r="L12" s="1191" t="s">
        <v>4</v>
      </c>
      <c r="M12" s="720" t="str">
        <f>Geography!D1</f>
        <v>Radon</v>
      </c>
      <c r="N12" s="1191" t="str">
        <f>Geography!E1</f>
        <v>Climate</v>
      </c>
      <c r="O12" s="1191" t="str">
        <f>Geography!F1</f>
        <v>Moist</v>
      </c>
      <c r="P12" s="1191" t="str">
        <f>Geography!G1</f>
        <v>WarmHumid</v>
      </c>
      <c r="Q12" s="1191" t="str">
        <f>Geography!H1</f>
        <v>Tropical</v>
      </c>
    </row>
    <row r="13" spans="1:21" x14ac:dyDescent="0.3">
      <c r="A13" s="1247" t="s">
        <v>127</v>
      </c>
      <c r="B13" s="1247"/>
      <c r="C13" s="1247"/>
      <c r="D13" s="1247"/>
      <c r="E13" s="6" t="s">
        <v>181</v>
      </c>
      <c r="F13" s="2" t="s">
        <v>156</v>
      </c>
      <c r="G13" s="1267" t="s">
        <v>1675</v>
      </c>
      <c r="H13" s="1268"/>
      <c r="I13" s="1268"/>
      <c r="J13" s="1269"/>
      <c r="K13" s="1192" t="str">
        <f>G12</f>
        <v>North Carolina</v>
      </c>
      <c r="L13" s="1192" t="str">
        <f>IF(LEN(G13)=0,"",G13)</f>
        <v xml:space="preserve">Chatham  </v>
      </c>
      <c r="M13" s="720">
        <f>IFERROR(DGET(dbState,M12,$K$12:$L$13),"!!")</f>
        <v>3</v>
      </c>
      <c r="N13" s="1191">
        <f>IFERROR(DGET(dbState,N12,$K$12:$L$13),"!!")</f>
        <v>4</v>
      </c>
      <c r="O13" s="1191" t="str">
        <f>IFERROR(DGET(dbState,O12,$K$12:$L$13),"!!")</f>
        <v>Moist</v>
      </c>
      <c r="P13" s="1191" t="str">
        <f>IFERROR(DGET(dbState,P12,$K$12:$L$13),"!!")</f>
        <v xml:space="preserve"> </v>
      </c>
      <c r="Q13" s="1191" t="str">
        <f>IFERROR(DGET(dbState,Q12,$K$12:$L$13),"!!")</f>
        <v xml:space="preserve"> </v>
      </c>
    </row>
    <row r="14" spans="1:21" x14ac:dyDescent="0.3">
      <c r="A14" s="1247" t="s">
        <v>129</v>
      </c>
      <c r="B14" s="1247"/>
      <c r="C14" s="1247"/>
      <c r="D14" s="1247"/>
      <c r="E14" s="2"/>
      <c r="F14" s="2" t="s">
        <v>157</v>
      </c>
      <c r="G14" s="408" t="s">
        <v>4781</v>
      </c>
      <c r="H14" s="2"/>
      <c r="I14" s="2"/>
      <c r="J14" s="2"/>
    </row>
    <row r="15" spans="1:21" x14ac:dyDescent="0.3">
      <c r="A15" s="1251"/>
      <c r="B15" s="1251"/>
      <c r="C15" s="1251"/>
      <c r="D15" s="1251"/>
      <c r="E15" s="2"/>
      <c r="F15" s="2"/>
      <c r="G15" s="2"/>
      <c r="H15" s="2"/>
      <c r="I15" s="2"/>
      <c r="J15" s="2"/>
    </row>
    <row r="16" spans="1:21" x14ac:dyDescent="0.3">
      <c r="A16" s="1247" t="s">
        <v>382</v>
      </c>
      <c r="B16" s="1247"/>
      <c r="C16" s="1247"/>
      <c r="D16" s="1247"/>
      <c r="E16" s="2" t="s">
        <v>182</v>
      </c>
      <c r="F16" s="2" t="s">
        <v>158</v>
      </c>
      <c r="G16" s="1281" t="s">
        <v>197</v>
      </c>
      <c r="H16" s="1282"/>
      <c r="I16" s="2"/>
      <c r="J16" s="2"/>
    </row>
    <row r="17" spans="1:21" x14ac:dyDescent="0.3">
      <c r="A17" s="1258" t="s">
        <v>159</v>
      </c>
      <c r="B17" s="1259"/>
      <c r="C17" s="1259"/>
      <c r="D17" s="1259"/>
      <c r="E17" s="2"/>
      <c r="F17" s="2" t="s">
        <v>161</v>
      </c>
      <c r="G17" s="11"/>
      <c r="H17" s="2"/>
      <c r="I17" s="2"/>
      <c r="J17" s="2"/>
    </row>
    <row r="18" spans="1:21" x14ac:dyDescent="0.3">
      <c r="A18" s="1258" t="s">
        <v>160</v>
      </c>
      <c r="B18" s="1259"/>
      <c r="C18" s="1259"/>
      <c r="D18" s="1259"/>
      <c r="E18" s="2"/>
      <c r="F18" s="2" t="s">
        <v>162</v>
      </c>
      <c r="G18" s="1245"/>
      <c r="H18" s="1245"/>
      <c r="I18" s="1245"/>
      <c r="J18" s="1245"/>
    </row>
    <row r="19" spans="1:21" x14ac:dyDescent="0.3">
      <c r="A19" s="1260"/>
      <c r="B19" s="1260"/>
      <c r="C19" s="1260"/>
      <c r="D19" s="1260"/>
      <c r="E19" s="2"/>
      <c r="F19" s="2"/>
    </row>
    <row r="20" spans="1:21" x14ac:dyDescent="0.3">
      <c r="A20" s="1247" t="s">
        <v>131</v>
      </c>
      <c r="B20" s="1247"/>
      <c r="C20" s="1247"/>
      <c r="D20" s="1247"/>
      <c r="E20" s="2"/>
      <c r="F20" s="2" t="s">
        <v>163</v>
      </c>
      <c r="G20" s="10">
        <v>2650</v>
      </c>
      <c r="H20" s="3" t="s">
        <v>149</v>
      </c>
      <c r="I20" s="1261" t="s">
        <v>383</v>
      </c>
      <c r="J20" s="1262"/>
      <c r="K20" s="1262"/>
      <c r="L20" s="1262"/>
      <c r="M20" s="1262"/>
      <c r="N20" s="1263"/>
      <c r="O20" s="45"/>
      <c r="P20" s="45"/>
      <c r="Q20" s="45"/>
      <c r="R20" s="45"/>
      <c r="S20" s="45"/>
      <c r="T20" s="45"/>
      <c r="U20" s="45"/>
    </row>
    <row r="21" spans="1:21" x14ac:dyDescent="0.3">
      <c r="A21" s="1247" t="s">
        <v>132</v>
      </c>
      <c r="B21" s="1247"/>
      <c r="C21" s="1247"/>
      <c r="D21" s="1247"/>
      <c r="E21" s="2"/>
      <c r="F21" s="2" t="s">
        <v>164</v>
      </c>
      <c r="G21" s="411">
        <v>2650</v>
      </c>
      <c r="H21" s="3" t="s">
        <v>150</v>
      </c>
      <c r="I21" s="1264"/>
      <c r="J21" s="1265"/>
      <c r="K21" s="1265"/>
      <c r="L21" s="1265"/>
      <c r="M21" s="1265"/>
      <c r="N21" s="1266"/>
    </row>
    <row r="22" spans="1:21" s="358" customFormat="1" x14ac:dyDescent="0.3">
      <c r="A22" s="1247" t="s">
        <v>3747</v>
      </c>
      <c r="B22" s="1247"/>
      <c r="C22" s="1247"/>
      <c r="D22" s="1247"/>
      <c r="E22" s="357"/>
      <c r="F22" s="357" t="s">
        <v>3724</v>
      </c>
      <c r="G22" s="359">
        <v>2</v>
      </c>
      <c r="H22" s="3"/>
      <c r="I22" s="360"/>
      <c r="J22" s="360"/>
      <c r="K22" s="360"/>
      <c r="L22" s="360"/>
      <c r="M22" s="360"/>
      <c r="N22" s="360"/>
    </row>
    <row r="23" spans="1:21" x14ac:dyDescent="0.3">
      <c r="A23" s="1249"/>
      <c r="B23" s="1249"/>
      <c r="C23" s="1249"/>
      <c r="D23" s="1249"/>
      <c r="E23" s="2"/>
      <c r="F23" s="2"/>
    </row>
    <row r="24" spans="1:21" x14ac:dyDescent="0.3">
      <c r="A24" s="1247" t="s">
        <v>133</v>
      </c>
      <c r="B24" s="1247"/>
      <c r="C24" s="1247"/>
      <c r="D24" s="1247"/>
      <c r="E24" s="2"/>
      <c r="F24" s="2" t="s">
        <v>165</v>
      </c>
      <c r="G24" s="1252"/>
      <c r="H24" s="1253"/>
      <c r="I24" s="1253"/>
      <c r="J24" s="1253"/>
      <c r="K24" s="1253"/>
      <c r="L24" s="1253"/>
      <c r="M24" s="1253"/>
      <c r="N24" s="1254"/>
      <c r="O24" s="47"/>
      <c r="P24" s="47"/>
      <c r="Q24" s="47"/>
      <c r="R24" s="47"/>
      <c r="S24" s="47"/>
      <c r="T24" s="47"/>
      <c r="U24" s="47"/>
    </row>
    <row r="25" spans="1:21" s="47" customFormat="1" x14ac:dyDescent="0.3">
      <c r="A25" s="781"/>
      <c r="B25" s="781"/>
      <c r="C25" s="781"/>
      <c r="D25" s="781"/>
      <c r="E25" s="45"/>
      <c r="F25" s="45"/>
      <c r="G25" s="1255"/>
      <c r="H25" s="1256"/>
      <c r="I25" s="1256"/>
      <c r="J25" s="1256"/>
      <c r="K25" s="1256"/>
      <c r="L25" s="1256"/>
      <c r="M25" s="1256"/>
      <c r="N25" s="1257"/>
    </row>
    <row r="26" spans="1:21" x14ac:dyDescent="0.3">
      <c r="A26" s="1247" t="s">
        <v>134</v>
      </c>
      <c r="B26" s="1247"/>
      <c r="C26" s="1247"/>
      <c r="D26" s="1247"/>
      <c r="E26" s="2"/>
      <c r="F26" s="2" t="s">
        <v>166</v>
      </c>
      <c r="G26" s="11"/>
    </row>
    <row r="27" spans="1:21" x14ac:dyDescent="0.3">
      <c r="A27" s="1247" t="s">
        <v>135</v>
      </c>
      <c r="B27" s="1247"/>
      <c r="C27" s="1247"/>
      <c r="D27" s="1247"/>
      <c r="E27" s="2" t="s">
        <v>183</v>
      </c>
      <c r="F27" s="2" t="s">
        <v>167</v>
      </c>
      <c r="G27" s="1246" t="s">
        <v>200</v>
      </c>
      <c r="H27" s="1246"/>
      <c r="I27" s="1246"/>
      <c r="J27" s="1246"/>
    </row>
    <row r="28" spans="1:21" x14ac:dyDescent="0.3">
      <c r="A28" s="423"/>
      <c r="B28" s="423"/>
      <c r="C28" s="423"/>
      <c r="D28" s="423"/>
    </row>
    <row r="29" spans="1:21" x14ac:dyDescent="0.3">
      <c r="A29" s="1247" t="s">
        <v>3605</v>
      </c>
      <c r="B29" s="1247"/>
      <c r="C29" s="1247"/>
      <c r="D29" s="1247"/>
      <c r="E29" s="2" t="s">
        <v>3609</v>
      </c>
      <c r="F29" s="2" t="s">
        <v>3606</v>
      </c>
      <c r="G29" s="1246" t="s">
        <v>206</v>
      </c>
      <c r="H29" s="1246"/>
      <c r="I29" s="1246"/>
    </row>
    <row r="30" spans="1:21" x14ac:dyDescent="0.3">
      <c r="A30" s="1247" t="s">
        <v>3612</v>
      </c>
      <c r="B30" s="1247"/>
      <c r="C30" s="1247"/>
      <c r="D30" s="1247"/>
      <c r="E30" s="335" t="s">
        <v>3610</v>
      </c>
      <c r="F30" s="335" t="s">
        <v>3607</v>
      </c>
      <c r="G30" s="1245"/>
      <c r="H30" s="1245"/>
      <c r="I30" s="1245"/>
    </row>
    <row r="31" spans="1:21" x14ac:dyDescent="0.3">
      <c r="A31" s="1247" t="s">
        <v>3613</v>
      </c>
      <c r="B31" s="1247"/>
      <c r="C31" s="1247"/>
      <c r="D31" s="1247"/>
      <c r="E31" s="335" t="s">
        <v>3611</v>
      </c>
      <c r="F31" s="335" t="s">
        <v>3608</v>
      </c>
      <c r="G31" s="1245"/>
      <c r="H31" s="1245"/>
      <c r="I31" s="1245"/>
    </row>
    <row r="32" spans="1:21" s="338" customFormat="1" x14ac:dyDescent="0.3">
      <c r="A32" s="1247" t="s">
        <v>136</v>
      </c>
      <c r="B32" s="1247"/>
      <c r="C32" s="1247"/>
      <c r="D32" s="1247"/>
      <c r="E32" s="2" t="s">
        <v>184</v>
      </c>
      <c r="F32" s="2" t="s">
        <v>168</v>
      </c>
      <c r="G32" s="1270"/>
      <c r="H32" s="1271"/>
      <c r="I32" s="1272"/>
    </row>
    <row r="33" spans="1:11" s="338" customFormat="1" x14ac:dyDescent="0.3">
      <c r="A33" s="1247" t="s">
        <v>3623</v>
      </c>
      <c r="B33" s="1247"/>
      <c r="C33" s="1247"/>
      <c r="D33" s="1247"/>
      <c r="E33" s="337" t="s">
        <v>3624</v>
      </c>
      <c r="F33" s="337" t="s">
        <v>3625</v>
      </c>
      <c r="G33" s="1246" t="s">
        <v>3629</v>
      </c>
      <c r="H33" s="1246"/>
      <c r="I33" s="1246"/>
      <c r="K33" s="412"/>
    </row>
    <row r="34" spans="1:11" s="336" customFormat="1" x14ac:dyDescent="0.3">
      <c r="A34" s="1247" t="s">
        <v>3614</v>
      </c>
      <c r="B34" s="1247"/>
      <c r="C34" s="1247"/>
      <c r="D34" s="1247"/>
      <c r="E34" s="335" t="s">
        <v>3617</v>
      </c>
      <c r="F34" s="335" t="s">
        <v>3618</v>
      </c>
      <c r="G34" s="1246" t="s">
        <v>3633</v>
      </c>
      <c r="H34" s="1246"/>
      <c r="I34" s="1246"/>
    </row>
    <row r="35" spans="1:11" s="336" customFormat="1" x14ac:dyDescent="0.3">
      <c r="A35" s="1247" t="s">
        <v>3615</v>
      </c>
      <c r="B35" s="1247"/>
      <c r="C35" s="1247"/>
      <c r="D35" s="1247"/>
      <c r="E35" s="335" t="s">
        <v>3619</v>
      </c>
      <c r="F35" s="335" t="s">
        <v>3620</v>
      </c>
      <c r="G35" s="1270"/>
      <c r="H35" s="1271"/>
      <c r="I35" s="1272"/>
    </row>
    <row r="36" spans="1:11" s="336" customFormat="1" x14ac:dyDescent="0.3">
      <c r="A36" s="1247" t="s">
        <v>3616</v>
      </c>
      <c r="B36" s="1247"/>
      <c r="C36" s="1247"/>
      <c r="D36" s="1247"/>
      <c r="E36" s="335" t="s">
        <v>3621</v>
      </c>
      <c r="F36" s="335" t="s">
        <v>3622</v>
      </c>
      <c r="G36" s="1270"/>
      <c r="H36" s="1271"/>
      <c r="I36" s="1272"/>
    </row>
    <row r="37" spans="1:11" x14ac:dyDescent="0.3">
      <c r="A37" s="1247" t="s">
        <v>3626</v>
      </c>
      <c r="B37" s="1247"/>
      <c r="C37" s="1247"/>
      <c r="D37" s="1247"/>
      <c r="E37" s="337" t="s">
        <v>3627</v>
      </c>
      <c r="F37" s="337" t="s">
        <v>3628</v>
      </c>
      <c r="G37" s="1273" t="s">
        <v>3629</v>
      </c>
      <c r="H37" s="1273"/>
    </row>
    <row r="38" spans="1:11" x14ac:dyDescent="0.3">
      <c r="A38" s="423"/>
      <c r="B38" s="423"/>
      <c r="C38" s="423"/>
      <c r="D38" s="423"/>
    </row>
    <row r="39" spans="1:11" s="412" customFormat="1" x14ac:dyDescent="0.3">
      <c r="A39" s="1247" t="s">
        <v>3752</v>
      </c>
      <c r="B39" s="1247"/>
      <c r="C39" s="1247"/>
      <c r="D39" s="1247"/>
      <c r="F39" s="418" t="s">
        <v>3754</v>
      </c>
      <c r="G39" s="411">
        <v>0.22</v>
      </c>
      <c r="H39" s="1274" t="s">
        <v>3756</v>
      </c>
      <c r="I39" s="1275"/>
    </row>
    <row r="40" spans="1:11" s="412" customFormat="1" x14ac:dyDescent="0.3">
      <c r="A40" s="1247" t="s">
        <v>3748</v>
      </c>
      <c r="B40" s="1247"/>
      <c r="C40" s="1247"/>
      <c r="D40" s="1247"/>
      <c r="F40" s="418" t="s">
        <v>3750</v>
      </c>
      <c r="G40" s="658"/>
      <c r="H40" s="1276"/>
      <c r="I40" s="1277"/>
    </row>
    <row r="41" spans="1:11" s="412" customFormat="1" x14ac:dyDescent="0.3">
      <c r="A41" s="1247" t="s">
        <v>3753</v>
      </c>
      <c r="B41" s="1247"/>
      <c r="C41" s="1247"/>
      <c r="D41" s="1247"/>
      <c r="F41" s="418" t="s">
        <v>3755</v>
      </c>
      <c r="G41" s="411">
        <v>0.32</v>
      </c>
      <c r="H41" s="1276"/>
      <c r="I41" s="1277"/>
    </row>
    <row r="42" spans="1:11" s="412" customFormat="1" x14ac:dyDescent="0.3">
      <c r="A42" s="1247" t="s">
        <v>3749</v>
      </c>
      <c r="B42" s="1247"/>
      <c r="C42" s="1247"/>
      <c r="D42" s="1247"/>
      <c r="F42" s="418" t="s">
        <v>3751</v>
      </c>
      <c r="G42" s="658"/>
      <c r="H42" s="1278"/>
      <c r="I42" s="1279"/>
    </row>
    <row r="43" spans="1:11" x14ac:dyDescent="0.3">
      <c r="A43" s="1247" t="s">
        <v>137</v>
      </c>
      <c r="B43" s="1247"/>
      <c r="C43" s="1247"/>
      <c r="D43" s="1247"/>
      <c r="E43" s="2" t="s">
        <v>185</v>
      </c>
      <c r="F43" s="2" t="s">
        <v>169</v>
      </c>
      <c r="G43" s="1245"/>
      <c r="H43" s="1280"/>
      <c r="I43" s="17"/>
    </row>
    <row r="44" spans="1:11" x14ac:dyDescent="0.3">
      <c r="A44" s="1247" t="s">
        <v>138</v>
      </c>
      <c r="B44" s="1247"/>
      <c r="C44" s="1247"/>
      <c r="D44" s="1247"/>
      <c r="E44" s="2" t="s">
        <v>186</v>
      </c>
      <c r="F44" s="2" t="s">
        <v>170</v>
      </c>
      <c r="G44" s="1245"/>
      <c r="H44" s="1245"/>
      <c r="I44" s="1245"/>
    </row>
    <row r="45" spans="1:11" x14ac:dyDescent="0.3">
      <c r="A45" s="1247" t="s">
        <v>139</v>
      </c>
      <c r="B45" s="1247"/>
      <c r="C45" s="1247"/>
      <c r="D45" s="1247"/>
      <c r="E45" s="2" t="s">
        <v>187</v>
      </c>
      <c r="F45" s="2" t="s">
        <v>171</v>
      </c>
      <c r="G45" s="1246" t="s">
        <v>229</v>
      </c>
      <c r="H45" s="1246"/>
      <c r="I45" s="17"/>
    </row>
    <row r="46" spans="1:11" x14ac:dyDescent="0.3">
      <c r="A46" s="1247" t="s">
        <v>140</v>
      </c>
      <c r="B46" s="1247"/>
      <c r="C46" s="1247"/>
      <c r="D46" s="1247"/>
      <c r="E46" s="2" t="s">
        <v>188</v>
      </c>
      <c r="F46" s="2" t="s">
        <v>172</v>
      </c>
      <c r="G46" s="11" t="s">
        <v>231</v>
      </c>
    </row>
    <row r="47" spans="1:11" x14ac:dyDescent="0.3">
      <c r="A47" s="1247" t="s">
        <v>141</v>
      </c>
      <c r="B47" s="1247"/>
      <c r="C47" s="1247"/>
      <c r="D47" s="1247"/>
      <c r="E47" s="2" t="s">
        <v>189</v>
      </c>
      <c r="F47" s="2" t="s">
        <v>173</v>
      </c>
      <c r="G47" s="11"/>
    </row>
    <row r="48" spans="1:11" x14ac:dyDescent="0.3">
      <c r="A48" s="1249"/>
      <c r="B48" s="1249"/>
      <c r="C48" s="1249"/>
      <c r="D48" s="1249"/>
      <c r="E48" s="2"/>
      <c r="F48" s="2"/>
      <c r="G48" s="5"/>
    </row>
    <row r="49" spans="1:21" x14ac:dyDescent="0.3">
      <c r="A49" s="1247" t="s">
        <v>142</v>
      </c>
      <c r="B49" s="1247"/>
      <c r="C49" s="1247"/>
      <c r="D49" s="783"/>
      <c r="E49" s="2"/>
      <c r="F49" s="2"/>
      <c r="G49" s="5"/>
    </row>
    <row r="50" spans="1:21" x14ac:dyDescent="0.3">
      <c r="A50" s="1247" t="s">
        <v>143</v>
      </c>
      <c r="B50" s="1247"/>
      <c r="C50" s="1247"/>
      <c r="D50" s="1247"/>
      <c r="E50" s="2" t="s">
        <v>190</v>
      </c>
      <c r="F50" s="2" t="s">
        <v>174</v>
      </c>
      <c r="G50" s="12" t="s">
        <v>232</v>
      </c>
    </row>
    <row r="51" spans="1:21" x14ac:dyDescent="0.3">
      <c r="A51" s="1247" t="s">
        <v>144</v>
      </c>
      <c r="B51" s="1247"/>
      <c r="C51" s="1247"/>
      <c r="D51" s="1247"/>
      <c r="E51" s="2" t="s">
        <v>191</v>
      </c>
      <c r="F51" s="2" t="s">
        <v>175</v>
      </c>
      <c r="G51" s="11" t="s">
        <v>232</v>
      </c>
    </row>
    <row r="52" spans="1:21" x14ac:dyDescent="0.3">
      <c r="A52" s="1247" t="s">
        <v>145</v>
      </c>
      <c r="B52" s="1247"/>
      <c r="C52" s="1247"/>
      <c r="D52" s="1247"/>
      <c r="E52" s="2" t="s">
        <v>192</v>
      </c>
      <c r="F52" s="2" t="s">
        <v>177</v>
      </c>
      <c r="G52" s="11" t="s">
        <v>232</v>
      </c>
    </row>
    <row r="53" spans="1:21" s="9" customFormat="1" x14ac:dyDescent="0.3">
      <c r="A53" s="1247" t="s">
        <v>146</v>
      </c>
      <c r="B53" s="1247"/>
      <c r="C53" s="1247"/>
      <c r="D53" s="1247"/>
      <c r="E53" s="5" t="s">
        <v>193</v>
      </c>
      <c r="F53" s="5" t="s">
        <v>176</v>
      </c>
      <c r="G53" s="11" t="s">
        <v>232</v>
      </c>
    </row>
    <row r="54" spans="1:21" s="9" customFormat="1" x14ac:dyDescent="0.3">
      <c r="A54" s="1248" t="s">
        <v>248</v>
      </c>
      <c r="B54" s="1248"/>
      <c r="C54" s="1248"/>
      <c r="D54" s="1248"/>
      <c r="E54" s="5" t="s">
        <v>252</v>
      </c>
      <c r="F54" s="5" t="s">
        <v>250</v>
      </c>
      <c r="G54" s="11" t="s">
        <v>232</v>
      </c>
    </row>
    <row r="55" spans="1:21" ht="14.4" customHeight="1" x14ac:dyDescent="0.3">
      <c r="A55" s="1250" t="s">
        <v>249</v>
      </c>
      <c r="B55" s="1250"/>
      <c r="C55" s="1250"/>
      <c r="D55" s="1250"/>
      <c r="E55" s="2" t="s">
        <v>253</v>
      </c>
      <c r="F55" s="2" t="s">
        <v>251</v>
      </c>
      <c r="G55" s="11" t="s">
        <v>232</v>
      </c>
    </row>
    <row r="56" spans="1:21" x14ac:dyDescent="0.3">
      <c r="A56" s="1249"/>
      <c r="B56" s="1249"/>
      <c r="C56" s="1249"/>
      <c r="D56" s="1249"/>
      <c r="E56" s="2"/>
      <c r="F56" s="2"/>
      <c r="G56" s="5"/>
    </row>
    <row r="57" spans="1:21" x14ac:dyDescent="0.3">
      <c r="A57" s="1247" t="s">
        <v>147</v>
      </c>
      <c r="B57" s="1247"/>
      <c r="C57" s="1247"/>
      <c r="D57" s="1247"/>
      <c r="E57" s="2" t="s">
        <v>194</v>
      </c>
      <c r="F57" s="2" t="s">
        <v>178</v>
      </c>
      <c r="G57" s="1245" t="s">
        <v>205</v>
      </c>
      <c r="H57" s="1245"/>
    </row>
    <row r="58" spans="1:21" x14ac:dyDescent="0.3">
      <c r="A58" s="1247" t="s">
        <v>148</v>
      </c>
      <c r="B58" s="1247"/>
      <c r="C58" s="1247"/>
      <c r="D58" s="1247"/>
      <c r="E58" s="2" t="s">
        <v>195</v>
      </c>
      <c r="F58" s="2" t="s">
        <v>179</v>
      </c>
      <c r="G58" s="1245" t="s">
        <v>205</v>
      </c>
      <c r="H58" s="1245"/>
    </row>
    <row r="59" spans="1:21" s="410" customFormat="1" x14ac:dyDescent="0.3">
      <c r="A59" s="781"/>
      <c r="B59" s="781"/>
      <c r="C59" s="781"/>
      <c r="D59" s="781"/>
      <c r="E59" s="409"/>
      <c r="F59" s="409"/>
      <c r="G59"/>
      <c r="H59"/>
    </row>
    <row r="60" spans="1:21" s="410" customFormat="1" x14ac:dyDescent="0.3">
      <c r="A60" s="1247" t="s">
        <v>4368</v>
      </c>
      <c r="B60" s="1247"/>
      <c r="C60" s="1247"/>
      <c r="D60" s="1247"/>
      <c r="E60" s="409"/>
      <c r="F60" s="1098" t="s">
        <v>4703</v>
      </c>
      <c r="G60" s="1245" t="s">
        <v>4782</v>
      </c>
      <c r="H60" s="1245"/>
      <c r="I60" s="1245"/>
      <c r="J60" s="1245"/>
    </row>
    <row r="62" spans="1:21" ht="18" x14ac:dyDescent="0.35">
      <c r="A62" s="1240" t="s">
        <v>4650</v>
      </c>
      <c r="B62" s="1240"/>
      <c r="C62" s="1240"/>
      <c r="D62" s="1240"/>
      <c r="E62" s="1240"/>
      <c r="F62" s="1240"/>
      <c r="G62" s="1240"/>
      <c r="H62" s="1240"/>
      <c r="I62" s="1240"/>
      <c r="J62" s="1240"/>
      <c r="K62" s="1240"/>
      <c r="L62" s="1240"/>
      <c r="M62" s="1240"/>
      <c r="N62" s="1240"/>
      <c r="O62" s="1240"/>
      <c r="P62" s="1240"/>
      <c r="Q62" s="1240"/>
      <c r="R62" s="1240"/>
      <c r="S62" s="1240"/>
      <c r="T62" s="1240"/>
      <c r="U62" s="1240"/>
    </row>
  </sheetData>
  <sheetProtection algorithmName="SHA-512" hashValue="tGDKsFlm8pyYGA1fpXcnAaLm3dRPWD+eb7QGnGk6A84FsFuC1hi0VQUbvJFFXN518moWNythn5JBz1R2bXQ6SA==" saltValue="prNj04jMrkLIDTEjBUQtWg==" spinCount="100000" sheet="1" objects="1" scenarios="1" selectLockedCells="1"/>
  <mergeCells count="80">
    <mergeCell ref="A62:U62"/>
    <mergeCell ref="A1:C5"/>
    <mergeCell ref="D1:U5"/>
    <mergeCell ref="A17:D17"/>
    <mergeCell ref="G9:J9"/>
    <mergeCell ref="G16:H16"/>
    <mergeCell ref="A8:D8"/>
    <mergeCell ref="A9:D9"/>
    <mergeCell ref="A10:D10"/>
    <mergeCell ref="A11:D11"/>
    <mergeCell ref="A12:D12"/>
    <mergeCell ref="A13:D13"/>
    <mergeCell ref="A14:D14"/>
    <mergeCell ref="L8:M8"/>
    <mergeCell ref="A33:D33"/>
    <mergeCell ref="A37:D37"/>
    <mergeCell ref="G60:J60"/>
    <mergeCell ref="A60:D60"/>
    <mergeCell ref="A22:D22"/>
    <mergeCell ref="A45:D45"/>
    <mergeCell ref="G35:I35"/>
    <mergeCell ref="G36:I36"/>
    <mergeCell ref="G37:H37"/>
    <mergeCell ref="G27:J27"/>
    <mergeCell ref="G29:I29"/>
    <mergeCell ref="G30:I30"/>
    <mergeCell ref="G31:I31"/>
    <mergeCell ref="G32:I32"/>
    <mergeCell ref="G44:I44"/>
    <mergeCell ref="G57:H57"/>
    <mergeCell ref="H39:I42"/>
    <mergeCell ref="G43:H43"/>
    <mergeCell ref="A21:D21"/>
    <mergeCell ref="A29:D29"/>
    <mergeCell ref="A30:D30"/>
    <mergeCell ref="A31:D31"/>
    <mergeCell ref="A32:D32"/>
    <mergeCell ref="I20:N21"/>
    <mergeCell ref="G8:J8"/>
    <mergeCell ref="G10:J10"/>
    <mergeCell ref="G11:J11"/>
    <mergeCell ref="G12:J12"/>
    <mergeCell ref="G13:J13"/>
    <mergeCell ref="A43:D43"/>
    <mergeCell ref="A44:D44"/>
    <mergeCell ref="A39:D39"/>
    <mergeCell ref="A40:D40"/>
    <mergeCell ref="A41:D41"/>
    <mergeCell ref="A42:D42"/>
    <mergeCell ref="G33:I33"/>
    <mergeCell ref="A35:D35"/>
    <mergeCell ref="A36:D36"/>
    <mergeCell ref="G34:I34"/>
    <mergeCell ref="A15:D15"/>
    <mergeCell ref="G24:N25"/>
    <mergeCell ref="A34:D34"/>
    <mergeCell ref="G18:J18"/>
    <mergeCell ref="A16:D16"/>
    <mergeCell ref="A24:D24"/>
    <mergeCell ref="A26:D26"/>
    <mergeCell ref="A27:D27"/>
    <mergeCell ref="A18:D18"/>
    <mergeCell ref="A20:D20"/>
    <mergeCell ref="A23:D23"/>
    <mergeCell ref="A19:D19"/>
    <mergeCell ref="G58:H58"/>
    <mergeCell ref="G45:H45"/>
    <mergeCell ref="A53:D53"/>
    <mergeCell ref="A54:D54"/>
    <mergeCell ref="A58:D58"/>
    <mergeCell ref="A56:D56"/>
    <mergeCell ref="A48:D48"/>
    <mergeCell ref="A52:D52"/>
    <mergeCell ref="A55:D55"/>
    <mergeCell ref="A57:D57"/>
    <mergeCell ref="A49:C49"/>
    <mergeCell ref="A50:D50"/>
    <mergeCell ref="A51:D51"/>
    <mergeCell ref="A46:D46"/>
    <mergeCell ref="A47:D47"/>
  </mergeCells>
  <conditionalFormatting sqref="G16:H16">
    <cfRule type="expression" dxfId="4409" priority="42">
      <formula>LEN(TRIM($G$16:$H$16))&gt;0</formula>
    </cfRule>
  </conditionalFormatting>
  <conditionalFormatting sqref="G27">
    <cfRule type="expression" dxfId="4408" priority="41">
      <formula>LEN(TRIM($G$27:$I$27))&gt;0</formula>
    </cfRule>
  </conditionalFormatting>
  <conditionalFormatting sqref="G29">
    <cfRule type="expression" dxfId="4407" priority="40">
      <formula>LEN(TRIM($G$29:$H$29))&gt;0</formula>
    </cfRule>
  </conditionalFormatting>
  <conditionalFormatting sqref="G30">
    <cfRule type="expression" dxfId="4406" priority="39">
      <formula>LEN(TRIM($G$30:$H$30))&gt;0</formula>
    </cfRule>
  </conditionalFormatting>
  <conditionalFormatting sqref="G27:J27">
    <cfRule type="expression" dxfId="4405" priority="38">
      <formula>LEN(TRIM($G$27:$J$27))&gt;0</formula>
    </cfRule>
  </conditionalFormatting>
  <conditionalFormatting sqref="G29:I29">
    <cfRule type="expression" dxfId="4404" priority="37">
      <formula>LEN(TRIM($G$29:$I$29))&gt;0</formula>
    </cfRule>
  </conditionalFormatting>
  <conditionalFormatting sqref="G30:I30">
    <cfRule type="expression" dxfId="4403" priority="36">
      <formula>LEN(TRIM($G$30:$I$30))&gt;0</formula>
    </cfRule>
  </conditionalFormatting>
  <conditionalFormatting sqref="G31:I31">
    <cfRule type="expression" dxfId="4402" priority="35">
      <formula>LEN(TRIM($G$31:$I$31))&gt;0</formula>
    </cfRule>
  </conditionalFormatting>
  <conditionalFormatting sqref="G32:H32">
    <cfRule type="expression" dxfId="4401" priority="34">
      <formula>LEN(TRIM($G$32:$H$32))&gt;0</formula>
    </cfRule>
  </conditionalFormatting>
  <conditionalFormatting sqref="G43:H43">
    <cfRule type="expression" dxfId="4400" priority="33">
      <formula>LEN(TRIM($G$43:$H$43))&gt;0</formula>
    </cfRule>
  </conditionalFormatting>
  <conditionalFormatting sqref="G44">
    <cfRule type="expression" dxfId="4399" priority="32">
      <formula>LEN(TRIM($G$44:$H$44))&gt;0</formula>
    </cfRule>
  </conditionalFormatting>
  <conditionalFormatting sqref="G44:I44">
    <cfRule type="expression" dxfId="4398" priority="31">
      <formula>LEN(TRIM($G$44:$I$44))&gt;0</formula>
    </cfRule>
  </conditionalFormatting>
  <conditionalFormatting sqref="G45:H45">
    <cfRule type="expression" dxfId="4397" priority="30">
      <formula>LEN(TRIM($G$45:$H$45))&gt;0</formula>
    </cfRule>
  </conditionalFormatting>
  <conditionalFormatting sqref="G46">
    <cfRule type="expression" dxfId="4396" priority="29">
      <formula>LEN(TRIM($G$46))&gt;0</formula>
    </cfRule>
  </conditionalFormatting>
  <conditionalFormatting sqref="G47">
    <cfRule type="expression" dxfId="4395" priority="28">
      <formula>LEN(TRIM($G$47))&gt;0</formula>
    </cfRule>
  </conditionalFormatting>
  <conditionalFormatting sqref="G51">
    <cfRule type="expression" dxfId="4394" priority="26">
      <formula>LEN(TRIM($G$51))&gt;0</formula>
    </cfRule>
  </conditionalFormatting>
  <conditionalFormatting sqref="G52">
    <cfRule type="expression" dxfId="4393" priority="25">
      <formula>LEN(TRIM($G$52))&gt;0</formula>
    </cfRule>
  </conditionalFormatting>
  <conditionalFormatting sqref="G53">
    <cfRule type="expression" dxfId="4392" priority="24">
      <formula>LEN(TRIM($G$53))&gt;0</formula>
    </cfRule>
  </conditionalFormatting>
  <conditionalFormatting sqref="G54">
    <cfRule type="expression" dxfId="4391" priority="23">
      <formula>LEN(TRIM($G$54))&gt;0</formula>
    </cfRule>
  </conditionalFormatting>
  <conditionalFormatting sqref="G55">
    <cfRule type="expression" dxfId="4390" priority="22">
      <formula>LEN(TRIM($G$55))&gt;0</formula>
    </cfRule>
  </conditionalFormatting>
  <conditionalFormatting sqref="G57:H57">
    <cfRule type="expression" dxfId="4389" priority="21">
      <formula>LEN(TRIM($G$57:$H$57))&gt;0</formula>
    </cfRule>
  </conditionalFormatting>
  <conditionalFormatting sqref="G58:H58">
    <cfRule type="expression" dxfId="4388" priority="20">
      <formula>LEN(TRIM($G$58:$H$58))&gt;0</formula>
    </cfRule>
  </conditionalFormatting>
  <conditionalFormatting sqref="G58:H58">
    <cfRule type="expression" dxfId="4387" priority="19">
      <formula>LEN(TRIM($G$58:$H$58))&gt;0</formula>
    </cfRule>
  </conditionalFormatting>
  <conditionalFormatting sqref="G50">
    <cfRule type="expression" dxfId="4386" priority="18">
      <formula>LEN(TRIM($G$50))&gt;0</formula>
    </cfRule>
  </conditionalFormatting>
  <conditionalFormatting sqref="G17">
    <cfRule type="expression" dxfId="4385" priority="12">
      <formula>AND($G$16&lt;&gt;INDEX(INDIRECT($E$16),2),LEN(TRIM($G$17))&gt;0)</formula>
    </cfRule>
  </conditionalFormatting>
  <conditionalFormatting sqref="G14 G16:G18 G20:G22 G24 G50:G55 G57:G58 G8:J11 G43:G47 G26:G27 G29:G36">
    <cfRule type="notContainsBlanks" dxfId="4384" priority="16">
      <formula>LEN(TRIM(G8))&gt;0</formula>
    </cfRule>
  </conditionalFormatting>
  <conditionalFormatting sqref="G18:J18">
    <cfRule type="expression" dxfId="4383" priority="15">
      <formula>AND($G$16&lt;&gt;INDEX(INDIRECT($E$16),2),LEN(TRIM($G$18))&gt;0)</formula>
    </cfRule>
  </conditionalFormatting>
  <conditionalFormatting sqref="G13:J13">
    <cfRule type="expression" dxfId="4382" priority="14">
      <formula>$M$13&lt;&gt;"!!"</formula>
    </cfRule>
  </conditionalFormatting>
  <conditionalFormatting sqref="G60:J60">
    <cfRule type="notContainsBlanks" dxfId="4381" priority="11">
      <formula>LEN(TRIM(G60))&gt;0</formula>
    </cfRule>
  </conditionalFormatting>
  <conditionalFormatting sqref="G37">
    <cfRule type="expression" dxfId="4380" priority="10">
      <formula>LEN(TRIM($G$32:$H$32))&gt;0</formula>
    </cfRule>
  </conditionalFormatting>
  <conditionalFormatting sqref="G37">
    <cfRule type="notContainsBlanks" dxfId="4379" priority="9">
      <formula>LEN(TRIM(G37))&gt;0</formula>
    </cfRule>
  </conditionalFormatting>
  <conditionalFormatting sqref="G37:H37">
    <cfRule type="expression" dxfId="4378" priority="8">
      <formula>OR(AND(G37=INDEX(INDIRECT(E37),3),OR(AND(NOT(ISBLANK(G34)),NOT(G34=INDEX(INDIRECT(E34),6))),AND(NOT(ISBLANK(G35)),NOT(G35=INDEX(INDIRECT(E35),6))),AND(NOT(ISBLANK(G36)),NOT(G36=INDEX(INDIRECT(E36),6))))),AND(OR(G37=INDEX(INDIRECT(E37),1),G37=INDEX(INDIRECT(E37),2)),AND(OR(ISBLANK(G34),G34=INDEX(INDIRECT(E34),6)),OR(ISBLANK(G35),G35=INDEX(INDIRECT(E35),6)),OR(ISBLANK(G36),G36=INDEX(INDIRECT(E36),6)))))</formula>
    </cfRule>
  </conditionalFormatting>
  <conditionalFormatting sqref="G33:I33">
    <cfRule type="expression" dxfId="4377" priority="7">
      <formula>OR(AND(G33=INDEX(INDIRECT(E33),3),OR(AND(NOT(ISBLANK(G29)),NOT(G29=INDEX(INDIRECT(E29),8))),AND(NOT(ISBLANK(G30)),NOT(G30=INDEX(INDIRECT(E30),8))),AND(NOT(ISBLANK(G31)),NOT(G31=INDEX(INDIRECT(E31),8))))),AND(OR(G33=INDEX(INDIRECT(E33),1),G33=INDEX(INDIRECT(E33),2)),AND(OR(ISBLANK(G29),G29=INDEX(INDIRECT(E29),8)),OR(ISBLANK(G30),G30=INDEX(INDIRECT(E30),8)),OR(ISBLANK(G31),G31=INDEX(INDIRECT(E31),8)))))</formula>
    </cfRule>
  </conditionalFormatting>
  <conditionalFormatting sqref="G39">
    <cfRule type="notContainsBlanks" dxfId="4376" priority="6">
      <formula>LEN(TRIM(G39))&gt;0</formula>
    </cfRule>
  </conditionalFormatting>
  <conditionalFormatting sqref="G40">
    <cfRule type="notContainsBlanks" dxfId="4375" priority="5">
      <formula>LEN(TRIM(G40))&gt;0</formula>
    </cfRule>
  </conditionalFormatting>
  <conditionalFormatting sqref="G41">
    <cfRule type="notContainsBlanks" dxfId="4374" priority="4">
      <formula>LEN(TRIM(G41))&gt;0</formula>
    </cfRule>
  </conditionalFormatting>
  <conditionalFormatting sqref="G42">
    <cfRule type="notContainsBlanks" dxfId="4373" priority="2">
      <formula>LEN(TRIM(G42))&gt;0</formula>
    </cfRule>
  </conditionalFormatting>
  <conditionalFormatting sqref="G17 G18">
    <cfRule type="expression" dxfId="4372" priority="17">
      <formula>IF($G$16=INDEX(ddSingleOrMulti,2),TRUE,FALSE)</formula>
    </cfRule>
  </conditionalFormatting>
  <conditionalFormatting sqref="A17:D17">
    <cfRule type="expression" dxfId="4371" priority="60">
      <formula>IF($G$16=INDEX(ddSingleOrMulti,2),TRUE,FALSE)</formula>
    </cfRule>
  </conditionalFormatting>
  <conditionalFormatting sqref="A18:D18">
    <cfRule type="expression" dxfId="4370" priority="59">
      <formula>IF($G$16=INDEX(ddSingleOrMulti,2),TRUE,FALSE)</formula>
    </cfRule>
  </conditionalFormatting>
  <conditionalFormatting sqref="G17">
    <cfRule type="expression" dxfId="4369" priority="57">
      <formula>NOT($G$16=INDEX(ddSingleOrMulti,2))</formula>
    </cfRule>
  </conditionalFormatting>
  <conditionalFormatting sqref="G18">
    <cfRule type="expression" dxfId="4368" priority="56">
      <formula>NOT($G$16=INDEX(ddSingleOrMulti,2))</formula>
    </cfRule>
  </conditionalFormatting>
  <dataValidations count="27">
    <dataValidation type="list" allowBlank="1" showInputMessage="1" showErrorMessage="1" error="Please use the dropdown." sqref="G16:H16" xr:uid="{00000000-0002-0000-0100-000000000000}">
      <formula1>INDIRECT($E$16)</formula1>
    </dataValidation>
    <dataValidation type="list" allowBlank="1" showInputMessage="1" showErrorMessage="1" error="Please use the dropdown." sqref="G27:J27" xr:uid="{00000000-0002-0000-0100-000001000000}">
      <formula1>INDIRECT($E$27)</formula1>
    </dataValidation>
    <dataValidation type="list" allowBlank="1" showInputMessage="1" showErrorMessage="1" error="Please use the dropdown." sqref="G29:I29" xr:uid="{00000000-0002-0000-0100-000002000000}">
      <formula1>INDIRECT($E$29)</formula1>
    </dataValidation>
    <dataValidation type="list" allowBlank="1" showInputMessage="1" showErrorMessage="1" error="Please use the dropdown." sqref="G30:I30" xr:uid="{00000000-0002-0000-0100-000003000000}">
      <formula1>INDIRECT($E$30)</formula1>
    </dataValidation>
    <dataValidation type="list" allowBlank="1" showInputMessage="1" showErrorMessage="1" error="Please use the dropdown." sqref="G31:I31" xr:uid="{00000000-0002-0000-0100-000004000000}">
      <formula1>INDIRECT($E$31)</formula1>
    </dataValidation>
    <dataValidation type="list" allowBlank="1" showInputMessage="1" showErrorMessage="1" error="Please use the dropdown." sqref="G32:I32" xr:uid="{00000000-0002-0000-0100-000005000000}">
      <formula1>INDIRECT($E$32)</formula1>
    </dataValidation>
    <dataValidation type="list" allowBlank="1" showInputMessage="1" showErrorMessage="1" error="Please use the dropdown." sqref="G43:H43" xr:uid="{00000000-0002-0000-0100-000006000000}">
      <formula1>INDIRECT($E$43)</formula1>
    </dataValidation>
    <dataValidation type="list" allowBlank="1" showInputMessage="1" showErrorMessage="1" error="Please use the dropdown." sqref="G44:I44" xr:uid="{00000000-0002-0000-0100-000007000000}">
      <formula1>INDIRECT($E$44)</formula1>
    </dataValidation>
    <dataValidation type="list" allowBlank="1" showInputMessage="1" showErrorMessage="1" error="Please use the dropdown." sqref="G45:H45" xr:uid="{00000000-0002-0000-0100-000008000000}">
      <formula1>INDIRECT($E$45)</formula1>
    </dataValidation>
    <dataValidation type="list" allowBlank="1" showInputMessage="1" showErrorMessage="1" error="Please use the dropdown." sqref="G46" xr:uid="{00000000-0002-0000-0100-000009000000}">
      <formula1>INDIRECT($E$46)</formula1>
    </dataValidation>
    <dataValidation type="list" allowBlank="1" showInputMessage="1" showErrorMessage="1" error="Please use the dropdown." sqref="G47" xr:uid="{00000000-0002-0000-0100-00000A000000}">
      <formula1>INDIRECT($E$47)</formula1>
    </dataValidation>
    <dataValidation type="list" allowBlank="1" showInputMessage="1" showErrorMessage="1" error="Please use the dropdown." sqref="G51" xr:uid="{00000000-0002-0000-0100-00000B000000}">
      <formula1>INDIRECT($E$51)</formula1>
    </dataValidation>
    <dataValidation type="list" allowBlank="1" showInputMessage="1" showErrorMessage="1" error="Please use the dropdown." sqref="G52" xr:uid="{00000000-0002-0000-0100-00000C000000}">
      <formula1>INDIRECT($E$52)</formula1>
    </dataValidation>
    <dataValidation type="list" allowBlank="1" showInputMessage="1" showErrorMessage="1" error="Please use the dropdown." sqref="G53" xr:uid="{00000000-0002-0000-0100-00000D000000}">
      <formula1>INDIRECT($E$53)</formula1>
    </dataValidation>
    <dataValidation type="list" allowBlank="1" showInputMessage="1" showErrorMessage="1" error="Please use the dropdown." sqref="G54" xr:uid="{00000000-0002-0000-0100-00000E000000}">
      <formula1>INDIRECT($E$54)</formula1>
    </dataValidation>
    <dataValidation type="list" allowBlank="1" showInputMessage="1" showErrorMessage="1" error="Please use the dropdown." sqref="G55" xr:uid="{00000000-0002-0000-0100-00000F000000}">
      <formula1>INDIRECT($E$55)</formula1>
    </dataValidation>
    <dataValidation type="list" allowBlank="1" showInputMessage="1" showErrorMessage="1" error="Please use the dropdown." sqref="G57:H57" xr:uid="{00000000-0002-0000-0100-000010000000}">
      <formula1>INDIRECT($E$57)</formula1>
    </dataValidation>
    <dataValidation type="list" allowBlank="1" showInputMessage="1" showErrorMessage="1" error="Please use the dropdown." sqref="G58:H58" xr:uid="{00000000-0002-0000-0100-000011000000}">
      <formula1>INDIRECT($E$58)</formula1>
    </dataValidation>
    <dataValidation type="list" allowBlank="1" showInputMessage="1" showErrorMessage="1" error="Please use the dropdown." sqref="G50" xr:uid="{00000000-0002-0000-0100-000012000000}">
      <formula1>INDIRECT($E$50)</formula1>
    </dataValidation>
    <dataValidation type="whole" allowBlank="1" showInputMessage="1" showErrorMessage="1" error="Must enter a whole number." sqref="G17" xr:uid="{00000000-0002-0000-0100-000013000000}">
      <formula1>0</formula1>
      <formula2>100000000000</formula2>
    </dataValidation>
    <dataValidation type="whole" allowBlank="1" showInputMessage="1" showErrorMessage="1" error="Enter a whole number between 1 and 1000." prompt="Enter the number of stories above grade." sqref="G22" xr:uid="{00000000-0002-0000-0100-000014000000}">
      <formula1>1</formula1>
      <formula2>1000</formula2>
    </dataValidation>
    <dataValidation type="list" allowBlank="1" showInputMessage="1" showErrorMessage="1" error="Please use the dropdown." sqref="G33:I33 G37:H37" xr:uid="{00000000-0002-0000-0100-000015000000}">
      <formula1>INDIRECT(E33)</formula1>
    </dataValidation>
    <dataValidation type="decimal" allowBlank="1" showInputMessage="1" showErrorMessage="1" error="Enter a decimal between 0 and 1." prompt="Enter the SHGC value." sqref="G39:G40" xr:uid="{00000000-0002-0000-0100-000016000000}">
      <formula1>0</formula1>
      <formula2>1</formula2>
    </dataValidation>
    <dataValidation type="decimal" allowBlank="1" showInputMessage="1" showErrorMessage="1" error="Enter a decimal between 0 and 1." prompt="Enter the U-value." sqref="G41:G42" xr:uid="{00000000-0002-0000-0100-000017000000}">
      <formula1>0</formula1>
      <formula2>1</formula2>
    </dataValidation>
    <dataValidation type="list" allowBlank="1" showInputMessage="1" showErrorMessage="1" error="Please use the dropdown." sqref="G34:I34" xr:uid="{00000000-0002-0000-0100-000018000000}">
      <formula1>INDIRECT($E$34)</formula1>
    </dataValidation>
    <dataValidation type="list" allowBlank="1" showInputMessage="1" showErrorMessage="1" error="Please use the dropdown." sqref="G35:I35" xr:uid="{00000000-0002-0000-0100-000019000000}">
      <formula1>INDIRECT($E$35)</formula1>
    </dataValidation>
    <dataValidation type="list" allowBlank="1" showInputMessage="1" showErrorMessage="1" error="Please use the dropdown." sqref="G36:I36" xr:uid="{00000000-0002-0000-0100-00001A000000}">
      <formula1>INDIRECT($E$36)</formula1>
    </dataValidation>
  </dataValidations>
  <hyperlinks>
    <hyperlink ref="A62:G62" location="'Ch5'!A1" display="CLICK TO PROCEED TO CHAPTER 5 &gt;&gt;" xr:uid="{00000000-0004-0000-0100-000000000000}"/>
  </hyperlinks>
  <pageMargins left="0.7" right="0.7" top="0.75" bottom="0.75" header="0.3" footer="0.3"/>
  <pageSetup scale="7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BF6E4F97-0E9D-4B17-BFCE-97D9EE33CD91}">
            <xm:f>NOT(ISERROR(MATCH(G12,Geography!$J$2:$J$57,0)))</xm:f>
            <x14:dxf>
              <fill>
                <patternFill>
                  <bgColor rgb="FF92D050"/>
                </patternFill>
              </fill>
            </x14:dxf>
          </x14:cfRule>
          <xm:sqref>G12:J12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B000000}">
          <x14:formula1>
            <xm:f>Geography!$J$2:$J$57</xm:f>
          </x14:formula1>
          <xm:sqref>G12:J12</xm:sqref>
        </x14:dataValidation>
        <x14:dataValidation type="list" allowBlank="1" showInputMessage="1" showErrorMessage="1" xr:uid="{00000000-0002-0000-0100-00001C000000}">
          <x14:formula1>
            <xm:f>OFFSET(Geography!$C$2,MATCH($G$12,Geography!$A$2:$A$3146,0)-1,0,COUNTIF(Geography!$A$2:$A$3146,$G$12),1)</xm:f>
          </x14:formula1>
          <xm:sqref>G13:J13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2:L44"/>
  <sheetViews>
    <sheetView showGridLines="0" workbookViewId="0"/>
  </sheetViews>
  <sheetFormatPr defaultColWidth="9.109375" defaultRowHeight="14.4" x14ac:dyDescent="0.3"/>
  <cols>
    <col min="1" max="16384" width="9.109375" style="1013"/>
  </cols>
  <sheetData>
    <row r="2" spans="2:12" ht="15.6" x14ac:dyDescent="0.3">
      <c r="B2" s="1028" t="s">
        <v>4496</v>
      </c>
      <c r="C2" s="1028"/>
      <c r="D2" s="1027"/>
    </row>
    <row r="3" spans="2:12" x14ac:dyDescent="0.3">
      <c r="B3" s="1015"/>
      <c r="C3" s="1015"/>
      <c r="D3" s="1015"/>
    </row>
    <row r="4" spans="2:12" ht="21" x14ac:dyDescent="0.3">
      <c r="B4" s="1026" t="s">
        <v>4495</v>
      </c>
      <c r="C4" s="1026"/>
      <c r="D4" s="1026"/>
    </row>
    <row r="5" spans="2:12" x14ac:dyDescent="0.3">
      <c r="B5" s="1025"/>
      <c r="C5" s="1025"/>
      <c r="D5" s="1025"/>
    </row>
    <row r="6" spans="2:12" x14ac:dyDescent="0.3">
      <c r="B6" s="1671" t="s">
        <v>4494</v>
      </c>
      <c r="C6" s="1672"/>
      <c r="D6" s="1672"/>
      <c r="E6" s="1672"/>
      <c r="F6" s="1672"/>
      <c r="G6" s="1672"/>
      <c r="H6" s="1672"/>
      <c r="I6" s="1672"/>
      <c r="J6" s="1672"/>
      <c r="K6" s="1672"/>
      <c r="L6" s="1672"/>
    </row>
    <row r="7" spans="2:12" x14ac:dyDescent="0.3">
      <c r="B7" s="1671" t="s">
        <v>4493</v>
      </c>
      <c r="C7" s="1672"/>
      <c r="D7" s="1672"/>
      <c r="E7" s="1672"/>
      <c r="F7" s="1672"/>
      <c r="G7" s="1672"/>
      <c r="H7" s="1672"/>
      <c r="I7" s="1672"/>
      <c r="J7" s="1672"/>
      <c r="K7" s="1672"/>
      <c r="L7" s="1672"/>
    </row>
    <row r="8" spans="2:12" x14ac:dyDescent="0.3">
      <c r="B8" s="1676"/>
      <c r="C8" s="1676"/>
      <c r="D8" s="1676"/>
      <c r="E8" s="1676"/>
      <c r="F8" s="1676"/>
      <c r="G8" s="1676"/>
      <c r="H8" s="1676"/>
      <c r="I8" s="1676"/>
      <c r="J8" s="1676"/>
      <c r="K8" s="1676"/>
      <c r="L8" s="1676"/>
    </row>
    <row r="9" spans="2:12" x14ac:dyDescent="0.3">
      <c r="B9" s="1670" t="s">
        <v>4492</v>
      </c>
      <c r="C9" s="1670"/>
      <c r="D9" s="1670"/>
      <c r="E9" s="1670"/>
      <c r="F9" s="1670"/>
      <c r="G9" s="1670"/>
      <c r="H9" s="1670"/>
      <c r="I9" s="1670"/>
      <c r="J9" s="1670"/>
      <c r="K9" s="1670"/>
      <c r="L9" s="1670"/>
    </row>
    <row r="10" spans="2:12" x14ac:dyDescent="0.3">
      <c r="B10" s="1024"/>
      <c r="C10" s="1024"/>
      <c r="D10" s="1024"/>
      <c r="E10" s="1024"/>
      <c r="F10" s="1024"/>
      <c r="G10" s="1024"/>
      <c r="H10" s="1024"/>
      <c r="I10" s="1024"/>
      <c r="J10" s="1024"/>
      <c r="K10" s="1024"/>
      <c r="L10" s="1024"/>
    </row>
    <row r="11" spans="2:12" x14ac:dyDescent="0.3">
      <c r="B11" s="1670" t="s">
        <v>4491</v>
      </c>
      <c r="C11" s="1670"/>
      <c r="D11" s="1670"/>
      <c r="E11" s="1670"/>
      <c r="F11" s="1670"/>
      <c r="G11" s="1670"/>
      <c r="H11" s="1670"/>
      <c r="I11" s="1670"/>
      <c r="J11" s="1670"/>
      <c r="K11" s="1670"/>
      <c r="L11" s="1670"/>
    </row>
    <row r="12" spans="2:12" x14ac:dyDescent="0.3">
      <c r="B12" s="1670"/>
      <c r="C12" s="1670"/>
      <c r="D12" s="1670"/>
      <c r="E12" s="1670"/>
      <c r="F12" s="1670"/>
      <c r="G12" s="1670"/>
      <c r="H12" s="1670"/>
      <c r="I12" s="1670"/>
      <c r="J12" s="1670"/>
      <c r="K12" s="1670"/>
      <c r="L12" s="1670"/>
    </row>
    <row r="13" spans="2:12" x14ac:dyDescent="0.3">
      <c r="B13" s="1670"/>
      <c r="C13" s="1670"/>
      <c r="D13" s="1670"/>
      <c r="E13" s="1670"/>
      <c r="F13" s="1670"/>
      <c r="G13" s="1670"/>
      <c r="H13" s="1670"/>
      <c r="I13" s="1670"/>
      <c r="J13" s="1670"/>
      <c r="K13" s="1670"/>
      <c r="L13" s="1670"/>
    </row>
    <row r="14" spans="2:12" x14ac:dyDescent="0.3">
      <c r="B14" s="1670"/>
      <c r="C14" s="1670"/>
      <c r="D14" s="1670"/>
      <c r="E14" s="1670"/>
      <c r="F14" s="1670"/>
      <c r="G14" s="1670"/>
      <c r="H14" s="1670"/>
      <c r="I14" s="1670"/>
      <c r="J14" s="1670"/>
      <c r="K14" s="1670"/>
      <c r="L14" s="1670"/>
    </row>
    <row r="15" spans="2:12" x14ac:dyDescent="0.3">
      <c r="B15" s="1024"/>
      <c r="C15" s="1024"/>
      <c r="D15" s="1024"/>
      <c r="E15" s="1024"/>
      <c r="F15" s="1024"/>
      <c r="G15" s="1024"/>
      <c r="H15" s="1024"/>
      <c r="I15" s="1024"/>
      <c r="J15" s="1024"/>
      <c r="K15" s="1024"/>
      <c r="L15" s="1024"/>
    </row>
    <row r="16" spans="2:12" x14ac:dyDescent="0.3">
      <c r="B16" s="1670" t="s">
        <v>4490</v>
      </c>
      <c r="C16" s="1670"/>
      <c r="D16" s="1670"/>
      <c r="E16" s="1670"/>
      <c r="F16" s="1670"/>
      <c r="G16" s="1670"/>
      <c r="H16" s="1670"/>
      <c r="I16" s="1670"/>
      <c r="J16" s="1670"/>
      <c r="K16" s="1670"/>
      <c r="L16" s="1670"/>
    </row>
    <row r="17" spans="2:12" x14ac:dyDescent="0.3">
      <c r="B17" s="1670"/>
      <c r="C17" s="1670"/>
      <c r="D17" s="1670"/>
      <c r="E17" s="1670"/>
      <c r="F17" s="1670"/>
      <c r="G17" s="1670"/>
      <c r="H17" s="1670"/>
      <c r="I17" s="1670"/>
      <c r="J17" s="1670"/>
      <c r="K17" s="1670"/>
      <c r="L17" s="1670"/>
    </row>
    <row r="18" spans="2:12" x14ac:dyDescent="0.3">
      <c r="B18" s="1670"/>
      <c r="C18" s="1670"/>
      <c r="D18" s="1670"/>
      <c r="E18" s="1670"/>
      <c r="F18" s="1670"/>
      <c r="G18" s="1670"/>
      <c r="H18" s="1670"/>
      <c r="I18" s="1670"/>
      <c r="J18" s="1670"/>
      <c r="K18" s="1670"/>
      <c r="L18" s="1670"/>
    </row>
    <row r="19" spans="2:12" x14ac:dyDescent="0.3">
      <c r="B19" s="1670"/>
      <c r="C19" s="1670"/>
      <c r="D19" s="1670"/>
      <c r="E19" s="1670"/>
      <c r="F19" s="1670"/>
      <c r="G19" s="1670"/>
      <c r="H19" s="1670"/>
      <c r="I19" s="1670"/>
      <c r="J19" s="1670"/>
      <c r="K19" s="1670"/>
      <c r="L19" s="1670"/>
    </row>
    <row r="20" spans="2:12" x14ac:dyDescent="0.3">
      <c r="B20" s="1670"/>
      <c r="C20" s="1670"/>
      <c r="D20" s="1670"/>
      <c r="E20" s="1670"/>
      <c r="F20" s="1670"/>
      <c r="G20" s="1670"/>
      <c r="H20" s="1670"/>
      <c r="I20" s="1670"/>
      <c r="J20" s="1670"/>
      <c r="K20" s="1670"/>
      <c r="L20" s="1670"/>
    </row>
    <row r="21" spans="2:12" x14ac:dyDescent="0.3">
      <c r="B21" s="1023"/>
      <c r="C21" s="1023"/>
      <c r="D21" s="1023"/>
      <c r="E21" s="1023"/>
      <c r="F21" s="1023"/>
      <c r="G21" s="1023"/>
      <c r="H21" s="1023"/>
      <c r="I21" s="1023"/>
      <c r="J21" s="1023"/>
      <c r="K21" s="1023"/>
      <c r="L21" s="1023"/>
    </row>
    <row r="22" spans="2:12" x14ac:dyDescent="0.3">
      <c r="B22" s="1671" t="s">
        <v>4489</v>
      </c>
      <c r="C22" s="1672"/>
      <c r="D22" s="1672"/>
      <c r="E22" s="1672"/>
      <c r="F22" s="1672"/>
      <c r="G22" s="1672"/>
      <c r="H22" s="1672"/>
      <c r="I22" s="1672"/>
      <c r="J22" s="1672"/>
      <c r="K22" s="1672"/>
      <c r="L22" s="1672"/>
    </row>
    <row r="23" spans="2:12" x14ac:dyDescent="0.3">
      <c r="B23" s="1671" t="s">
        <v>4488</v>
      </c>
      <c r="C23" s="1672"/>
      <c r="D23" s="1672"/>
      <c r="E23" s="1672"/>
      <c r="F23" s="1672"/>
      <c r="G23" s="1672"/>
      <c r="H23" s="1672"/>
      <c r="I23" s="1672"/>
      <c r="J23" s="1672"/>
      <c r="K23" s="1672"/>
      <c r="L23" s="1672"/>
    </row>
    <row r="24" spans="2:12" x14ac:dyDescent="0.3">
      <c r="B24" s="1673"/>
      <c r="C24" s="1673"/>
      <c r="D24" s="1673"/>
      <c r="E24" s="1673"/>
      <c r="F24" s="1673"/>
      <c r="G24" s="1673"/>
      <c r="H24" s="1673"/>
      <c r="I24" s="1673"/>
      <c r="J24" s="1673"/>
      <c r="K24" s="1673"/>
      <c r="L24" s="1673"/>
    </row>
    <row r="25" spans="2:12" x14ac:dyDescent="0.3">
      <c r="B25" s="1670" t="s">
        <v>4487</v>
      </c>
      <c r="C25" s="1670"/>
      <c r="D25" s="1670"/>
      <c r="E25" s="1670"/>
      <c r="F25" s="1670"/>
      <c r="G25" s="1670"/>
      <c r="H25" s="1670"/>
      <c r="I25" s="1670"/>
      <c r="J25" s="1670"/>
      <c r="K25" s="1670"/>
      <c r="L25" s="1670"/>
    </row>
    <row r="26" spans="2:12" x14ac:dyDescent="0.3">
      <c r="B26" s="1670"/>
      <c r="C26" s="1670"/>
      <c r="D26" s="1670"/>
      <c r="E26" s="1670"/>
      <c r="F26" s="1670"/>
      <c r="G26" s="1670"/>
      <c r="H26" s="1670"/>
      <c r="I26" s="1670"/>
      <c r="J26" s="1670"/>
      <c r="K26" s="1670"/>
      <c r="L26" s="1670"/>
    </row>
    <row r="27" spans="2:12" x14ac:dyDescent="0.3">
      <c r="B27" s="1670"/>
      <c r="C27" s="1670"/>
      <c r="D27" s="1670"/>
      <c r="E27" s="1670"/>
      <c r="F27" s="1670"/>
      <c r="G27" s="1670"/>
      <c r="H27" s="1670"/>
      <c r="I27" s="1670"/>
      <c r="J27" s="1670"/>
      <c r="K27" s="1670"/>
      <c r="L27" s="1670"/>
    </row>
    <row r="28" spans="2:12" x14ac:dyDescent="0.3">
      <c r="B28" s="1670"/>
      <c r="C28" s="1670"/>
      <c r="D28" s="1670"/>
      <c r="E28" s="1670"/>
      <c r="F28" s="1670"/>
      <c r="G28" s="1670"/>
      <c r="H28" s="1670"/>
      <c r="I28" s="1670"/>
      <c r="J28" s="1670"/>
      <c r="K28" s="1670"/>
      <c r="L28" s="1670"/>
    </row>
    <row r="29" spans="2:12" x14ac:dyDescent="0.3">
      <c r="B29" s="1022"/>
      <c r="C29" s="1022"/>
      <c r="D29" s="1022"/>
      <c r="E29" s="1022"/>
      <c r="F29" s="1022"/>
      <c r="G29" s="1022"/>
      <c r="H29" s="1022"/>
      <c r="I29" s="1022"/>
      <c r="J29" s="1022"/>
      <c r="K29" s="1022"/>
      <c r="L29" s="1022"/>
    </row>
    <row r="30" spans="2:12" x14ac:dyDescent="0.3">
      <c r="B30" s="1674" t="s">
        <v>4486</v>
      </c>
      <c r="C30" s="1674"/>
      <c r="D30" s="1674"/>
      <c r="E30" s="1674"/>
      <c r="F30" s="1674"/>
      <c r="G30" s="1674"/>
      <c r="H30" s="1674"/>
      <c r="I30" s="1674"/>
      <c r="J30" s="1674"/>
      <c r="K30" s="1674"/>
      <c r="L30" s="1674"/>
    </row>
    <row r="31" spans="2:12" ht="15" thickBot="1" x14ac:dyDescent="0.35">
      <c r="B31" s="1675" t="s">
        <v>4485</v>
      </c>
      <c r="C31" s="1675"/>
      <c r="D31" s="1675"/>
      <c r="E31" s="1675"/>
      <c r="F31" s="1675"/>
      <c r="G31" s="1675"/>
      <c r="H31" s="1675"/>
      <c r="I31" s="1675"/>
      <c r="J31" s="1675"/>
      <c r="K31" s="1675"/>
      <c r="L31" s="1675"/>
    </row>
    <row r="32" spans="2:12" ht="15" thickBot="1" x14ac:dyDescent="0.35">
      <c r="B32" s="1668"/>
      <c r="C32" s="1669"/>
      <c r="D32" s="1669"/>
      <c r="E32" s="1666" t="s">
        <v>4484</v>
      </c>
      <c r="F32" s="1666"/>
      <c r="G32" s="1666"/>
      <c r="H32" s="1666"/>
      <c r="I32" s="1666"/>
      <c r="J32" s="1666"/>
      <c r="K32" s="1666"/>
      <c r="L32" s="1667"/>
    </row>
    <row r="33" spans="2:12" ht="15" thickTop="1" x14ac:dyDescent="0.3">
      <c r="B33" s="1680" t="s">
        <v>4483</v>
      </c>
      <c r="C33" s="1681"/>
      <c r="D33" s="1681"/>
      <c r="E33" s="1681" t="s">
        <v>4482</v>
      </c>
      <c r="F33" s="1681"/>
      <c r="G33" s="1681"/>
      <c r="H33" s="1681"/>
      <c r="I33" s="1681" t="s">
        <v>4481</v>
      </c>
      <c r="J33" s="1681"/>
      <c r="K33" s="1681"/>
      <c r="L33" s="1687"/>
    </row>
    <row r="34" spans="2:12" x14ac:dyDescent="0.3">
      <c r="B34" s="1682" t="s">
        <v>4480</v>
      </c>
      <c r="C34" s="1683"/>
      <c r="D34" s="1683"/>
      <c r="E34" s="1019">
        <v>50</v>
      </c>
      <c r="F34" s="1019">
        <v>80</v>
      </c>
      <c r="G34" s="1019">
        <v>100</v>
      </c>
      <c r="H34" s="1019">
        <v>125</v>
      </c>
      <c r="I34" s="1019">
        <v>50</v>
      </c>
      <c r="J34" s="1019">
        <v>80</v>
      </c>
      <c r="K34" s="1019">
        <v>100</v>
      </c>
      <c r="L34" s="1018">
        <v>125</v>
      </c>
    </row>
    <row r="35" spans="2:12" ht="15" thickBot="1" x14ac:dyDescent="0.35">
      <c r="B35" s="1677" t="s">
        <v>4479</v>
      </c>
      <c r="C35" s="1678"/>
      <c r="D35" s="1678"/>
      <c r="E35" s="1017">
        <v>-25</v>
      </c>
      <c r="F35" s="1017">
        <v>-40</v>
      </c>
      <c r="G35" s="1017">
        <v>-50</v>
      </c>
      <c r="H35" s="1017">
        <v>-65</v>
      </c>
      <c r="I35" s="1017">
        <v>-25</v>
      </c>
      <c r="J35" s="1017">
        <v>-40</v>
      </c>
      <c r="K35" s="1017">
        <v>-50</v>
      </c>
      <c r="L35" s="1016">
        <v>-65</v>
      </c>
    </row>
    <row r="36" spans="2:12" ht="15" thickBot="1" x14ac:dyDescent="0.35">
      <c r="B36" s="1684" t="s">
        <v>4478</v>
      </c>
      <c r="C36" s="1666"/>
      <c r="D36" s="1666"/>
      <c r="E36" s="1666" t="s">
        <v>4477</v>
      </c>
      <c r="F36" s="1666"/>
      <c r="G36" s="1666"/>
      <c r="H36" s="1666"/>
      <c r="I36" s="1666"/>
      <c r="J36" s="1666"/>
      <c r="K36" s="1666"/>
      <c r="L36" s="1667"/>
    </row>
    <row r="37" spans="2:12" ht="15" thickTop="1" x14ac:dyDescent="0.3">
      <c r="B37" s="1685" t="s">
        <v>4476</v>
      </c>
      <c r="C37" s="1686"/>
      <c r="D37" s="1686"/>
      <c r="E37" s="1021" t="s">
        <v>260</v>
      </c>
      <c r="F37" s="1021" t="s">
        <v>260</v>
      </c>
      <c r="G37" s="1021" t="s">
        <v>260</v>
      </c>
      <c r="H37" s="1021" t="s">
        <v>260</v>
      </c>
      <c r="I37" s="1021" t="s">
        <v>4472</v>
      </c>
      <c r="J37" s="1021" t="s">
        <v>260</v>
      </c>
      <c r="K37" s="1021" t="s">
        <v>260</v>
      </c>
      <c r="L37" s="1020" t="s">
        <v>260</v>
      </c>
    </row>
    <row r="38" spans="2:12" x14ac:dyDescent="0.3">
      <c r="B38" s="1682" t="s">
        <v>4475</v>
      </c>
      <c r="C38" s="1683"/>
      <c r="D38" s="1683"/>
      <c r="E38" s="1019" t="s">
        <v>4470</v>
      </c>
      <c r="F38" s="1019" t="s">
        <v>4474</v>
      </c>
      <c r="G38" s="1019" t="s">
        <v>260</v>
      </c>
      <c r="H38" s="1019" t="s">
        <v>260</v>
      </c>
      <c r="I38" s="1019" t="s">
        <v>4473</v>
      </c>
      <c r="J38" s="1019" t="s">
        <v>4469</v>
      </c>
      <c r="K38" s="1019" t="s">
        <v>4472</v>
      </c>
      <c r="L38" s="1018" t="s">
        <v>260</v>
      </c>
    </row>
    <row r="39" spans="2:12" x14ac:dyDescent="0.3">
      <c r="B39" s="1682" t="s">
        <v>4471</v>
      </c>
      <c r="C39" s="1683"/>
      <c r="D39" s="1683"/>
      <c r="E39" s="1019" t="s">
        <v>4459</v>
      </c>
      <c r="F39" s="1019" t="s">
        <v>4470</v>
      </c>
      <c r="G39" s="1019" t="s">
        <v>4469</v>
      </c>
      <c r="H39" s="1019" t="s">
        <v>4468</v>
      </c>
      <c r="I39" s="1019" t="s">
        <v>4459</v>
      </c>
      <c r="J39" s="1019" t="s">
        <v>4467</v>
      </c>
      <c r="K39" s="1019" t="s">
        <v>4466</v>
      </c>
      <c r="L39" s="1018" t="s">
        <v>4465</v>
      </c>
    </row>
    <row r="40" spans="2:12" x14ac:dyDescent="0.3">
      <c r="B40" s="1682" t="s">
        <v>4464</v>
      </c>
      <c r="C40" s="1683"/>
      <c r="D40" s="1683"/>
      <c r="E40" s="1019" t="s">
        <v>4459</v>
      </c>
      <c r="F40" s="1019" t="s">
        <v>4459</v>
      </c>
      <c r="G40" s="1019" t="s">
        <v>4463</v>
      </c>
      <c r="H40" s="1019" t="s">
        <v>4462</v>
      </c>
      <c r="I40" s="1019" t="s">
        <v>4459</v>
      </c>
      <c r="J40" s="1019" t="s">
        <v>4459</v>
      </c>
      <c r="K40" s="1019" t="s">
        <v>4459</v>
      </c>
      <c r="L40" s="1018" t="s">
        <v>4461</v>
      </c>
    </row>
    <row r="41" spans="2:12" ht="15" thickBot="1" x14ac:dyDescent="0.35">
      <c r="B41" s="1677" t="s">
        <v>4460</v>
      </c>
      <c r="C41" s="1678"/>
      <c r="D41" s="1678"/>
      <c r="E41" s="1017" t="s">
        <v>4459</v>
      </c>
      <c r="F41" s="1017" t="s">
        <v>4459</v>
      </c>
      <c r="G41" s="1017" t="s">
        <v>4459</v>
      </c>
      <c r="H41" s="1017" t="s">
        <v>4459</v>
      </c>
      <c r="I41" s="1017" t="s">
        <v>4459</v>
      </c>
      <c r="J41" s="1017" t="s">
        <v>4459</v>
      </c>
      <c r="K41" s="1017" t="s">
        <v>4459</v>
      </c>
      <c r="L41" s="1016" t="s">
        <v>4459</v>
      </c>
    </row>
    <row r="42" spans="2:12" x14ac:dyDescent="0.3">
      <c r="B42" s="1688" t="s">
        <v>4458</v>
      </c>
      <c r="C42" s="1688"/>
      <c r="D42" s="1688"/>
      <c r="E42" s="1688"/>
      <c r="F42" s="1688"/>
      <c r="G42" s="1688"/>
      <c r="H42" s="1688"/>
      <c r="I42" s="1688"/>
      <c r="J42" s="1688"/>
      <c r="K42" s="1688"/>
      <c r="L42" s="1688"/>
    </row>
    <row r="43" spans="2:12" x14ac:dyDescent="0.3">
      <c r="B43" s="1679" t="s">
        <v>4457</v>
      </c>
      <c r="C43" s="1679"/>
      <c r="D43" s="1679"/>
      <c r="E43" s="1679"/>
      <c r="F43" s="1679"/>
      <c r="G43" s="1679"/>
      <c r="H43" s="1679"/>
      <c r="I43" s="1679"/>
      <c r="J43" s="1679"/>
      <c r="K43" s="1679"/>
      <c r="L43" s="1679"/>
    </row>
    <row r="44" spans="2:12" x14ac:dyDescent="0.3">
      <c r="B44" s="1679" t="s">
        <v>4456</v>
      </c>
      <c r="C44" s="1679"/>
      <c r="D44" s="1679"/>
      <c r="E44" s="1679"/>
      <c r="F44" s="1679"/>
      <c r="G44" s="1679"/>
      <c r="H44" s="1679"/>
      <c r="I44" s="1679"/>
      <c r="J44" s="1679"/>
      <c r="K44" s="1679"/>
      <c r="L44" s="1679"/>
    </row>
  </sheetData>
  <sheetProtection algorithmName="SHA-512" hashValue="yI3u5KcFnrC1PQ1QLbzLagHTEuTubfPVGgOihczqnVk/1I/bWCPfFIoaimS3+dAkKYs0iTmxNUITSIabRG/OCg==" saltValue="yiFja5AxZcTO9WRfhfy0ow==" spinCount="100000" sheet="1" objects="1" scenarios="1" selectLockedCells="1" selectUnlockedCells="1"/>
  <mergeCells count="29">
    <mergeCell ref="B41:D41"/>
    <mergeCell ref="B44:L44"/>
    <mergeCell ref="B33:D33"/>
    <mergeCell ref="B34:D34"/>
    <mergeCell ref="B35:D35"/>
    <mergeCell ref="B36:D36"/>
    <mergeCell ref="B37:D37"/>
    <mergeCell ref="B38:D38"/>
    <mergeCell ref="B39:D39"/>
    <mergeCell ref="B40:D40"/>
    <mergeCell ref="B43:L43"/>
    <mergeCell ref="E36:L36"/>
    <mergeCell ref="E33:H33"/>
    <mergeCell ref="I33:L33"/>
    <mergeCell ref="B42:L42"/>
    <mergeCell ref="E32:L32"/>
    <mergeCell ref="B32:D32"/>
    <mergeCell ref="B25:L28"/>
    <mergeCell ref="B6:L6"/>
    <mergeCell ref="B7:L7"/>
    <mergeCell ref="B24:L24"/>
    <mergeCell ref="B30:L30"/>
    <mergeCell ref="B31:L31"/>
    <mergeCell ref="B11:L14"/>
    <mergeCell ref="B16:L20"/>
    <mergeCell ref="B22:L22"/>
    <mergeCell ref="B8:L8"/>
    <mergeCell ref="B9:L9"/>
    <mergeCell ref="B23:L2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7"/>
  <dimension ref="B2:L164"/>
  <sheetViews>
    <sheetView showGridLines="0" workbookViewId="0"/>
  </sheetViews>
  <sheetFormatPr defaultColWidth="9.109375" defaultRowHeight="14.4" x14ac:dyDescent="0.3"/>
  <cols>
    <col min="1" max="1" width="9.109375" style="1013"/>
    <col min="2" max="11" width="9.109375" style="89"/>
    <col min="12" max="16384" width="9.109375" style="1013"/>
  </cols>
  <sheetData>
    <row r="2" spans="2:12" ht="15.6" x14ac:dyDescent="0.3">
      <c r="B2" s="1048" t="s">
        <v>4574</v>
      </c>
    </row>
    <row r="3" spans="2:12" x14ac:dyDescent="0.3">
      <c r="B3" s="1047"/>
    </row>
    <row r="4" spans="2:12" ht="21" x14ac:dyDescent="0.3">
      <c r="B4" s="1703" t="s">
        <v>4573</v>
      </c>
      <c r="C4" s="1703"/>
      <c r="D4" s="1703"/>
      <c r="E4" s="1703"/>
      <c r="F4" s="1703"/>
      <c r="G4" s="1703"/>
      <c r="H4" s="1703"/>
      <c r="I4" s="1703"/>
      <c r="J4" s="1703"/>
      <c r="K4" s="1703"/>
    </row>
    <row r="5" spans="2:12" x14ac:dyDescent="0.3">
      <c r="B5" s="1046"/>
    </row>
    <row r="6" spans="2:12" ht="15" customHeight="1" x14ac:dyDescent="0.3">
      <c r="B6" s="1671" t="s">
        <v>4572</v>
      </c>
      <c r="C6" s="1672"/>
      <c r="D6" s="1672"/>
      <c r="E6" s="1672"/>
      <c r="F6" s="1672"/>
      <c r="G6" s="1672"/>
      <c r="H6" s="1672"/>
      <c r="I6" s="1672"/>
      <c r="J6" s="1672"/>
      <c r="K6" s="1672"/>
      <c r="L6" s="1672"/>
    </row>
    <row r="7" spans="2:12" ht="15.75" customHeight="1" x14ac:dyDescent="0.3">
      <c r="B7" s="1671" t="s">
        <v>4493</v>
      </c>
      <c r="C7" s="1672"/>
      <c r="D7" s="1672"/>
      <c r="E7" s="1672"/>
      <c r="F7" s="1672"/>
      <c r="G7" s="1672"/>
      <c r="H7" s="1672"/>
      <c r="I7" s="1672"/>
      <c r="J7" s="1672"/>
      <c r="K7" s="1672"/>
      <c r="L7" s="1672"/>
    </row>
    <row r="8" spans="2:12" ht="15.6" x14ac:dyDescent="0.3">
      <c r="B8" s="1690"/>
      <c r="C8" s="1690"/>
      <c r="D8" s="1690"/>
      <c r="E8" s="1690"/>
      <c r="F8" s="1690"/>
      <c r="G8" s="1690"/>
      <c r="H8" s="1029"/>
    </row>
    <row r="9" spans="2:12" x14ac:dyDescent="0.3">
      <c r="B9" s="1698" t="s">
        <v>4571</v>
      </c>
      <c r="C9" s="1698"/>
      <c r="D9" s="1698"/>
      <c r="E9" s="1698"/>
      <c r="F9" s="1698"/>
      <c r="G9" s="1698"/>
      <c r="H9" s="1698"/>
      <c r="I9" s="1698"/>
      <c r="J9" s="1698"/>
      <c r="K9" s="1698"/>
      <c r="L9" s="1698"/>
    </row>
    <row r="10" spans="2:12" ht="15.6" x14ac:dyDescent="0.3">
      <c r="B10" s="1698"/>
      <c r="C10" s="1698"/>
      <c r="D10" s="1698"/>
      <c r="E10" s="1698"/>
      <c r="F10" s="1698"/>
      <c r="G10" s="1698"/>
      <c r="H10" s="1029"/>
    </row>
    <row r="11" spans="2:12" x14ac:dyDescent="0.3">
      <c r="B11" s="1698" t="s">
        <v>4570</v>
      </c>
      <c r="C11" s="1698"/>
      <c r="D11" s="1698"/>
      <c r="E11" s="1698"/>
      <c r="F11" s="1698"/>
      <c r="G11" s="1698"/>
      <c r="H11" s="1698"/>
      <c r="I11" s="1698"/>
      <c r="J11" s="1698"/>
      <c r="K11" s="1698"/>
      <c r="L11" s="1698"/>
    </row>
    <row r="12" spans="2:12" ht="15.75" customHeight="1" x14ac:dyDescent="0.3">
      <c r="B12" s="1698"/>
      <c r="C12" s="1698"/>
      <c r="D12" s="1698"/>
      <c r="E12" s="1698"/>
      <c r="F12" s="1698"/>
      <c r="G12" s="1698"/>
      <c r="H12" s="1698"/>
      <c r="I12" s="1698"/>
      <c r="J12" s="1698"/>
      <c r="K12" s="1698"/>
      <c r="L12" s="1698"/>
    </row>
    <row r="13" spans="2:12" ht="15.75" customHeight="1" x14ac:dyDescent="0.3">
      <c r="B13" s="1698"/>
      <c r="C13" s="1698"/>
      <c r="D13" s="1698"/>
      <c r="E13" s="1698"/>
      <c r="F13" s="1698"/>
      <c r="G13" s="1698"/>
      <c r="H13" s="1698"/>
      <c r="I13" s="1698"/>
      <c r="J13" s="1698"/>
      <c r="K13" s="1698"/>
      <c r="L13" s="1698"/>
    </row>
    <row r="14" spans="2:12" ht="15.6" x14ac:dyDescent="0.3">
      <c r="B14" s="1024"/>
      <c r="C14" s="1024"/>
      <c r="D14" s="1024"/>
      <c r="E14" s="1024"/>
      <c r="F14" s="1024"/>
      <c r="G14" s="1024"/>
      <c r="H14" s="1029"/>
    </row>
    <row r="15" spans="2:12" x14ac:dyDescent="0.3">
      <c r="B15" s="1698" t="s">
        <v>4569</v>
      </c>
      <c r="C15" s="1698"/>
      <c r="D15" s="1698"/>
      <c r="E15" s="1698"/>
      <c r="F15" s="1698"/>
      <c r="G15" s="1698"/>
      <c r="H15" s="1698"/>
      <c r="I15" s="1698"/>
      <c r="J15" s="1698"/>
      <c r="K15" s="1698"/>
      <c r="L15" s="1698"/>
    </row>
    <row r="16" spans="2:12" ht="15.75" customHeight="1" x14ac:dyDescent="0.3">
      <c r="B16" s="1698"/>
      <c r="C16" s="1698"/>
      <c r="D16" s="1698"/>
      <c r="E16" s="1698"/>
      <c r="F16" s="1698"/>
      <c r="G16" s="1698"/>
      <c r="H16" s="1698"/>
      <c r="I16" s="1698"/>
      <c r="J16" s="1698"/>
      <c r="K16" s="1698"/>
      <c r="L16" s="1698"/>
    </row>
    <row r="17" spans="2:12" ht="15.75" customHeight="1" x14ac:dyDescent="0.3">
      <c r="B17" s="1698"/>
      <c r="C17" s="1698"/>
      <c r="D17" s="1698"/>
      <c r="E17" s="1698"/>
      <c r="F17" s="1698"/>
      <c r="G17" s="1698"/>
      <c r="H17" s="1698"/>
      <c r="I17" s="1698"/>
      <c r="J17" s="1698"/>
      <c r="K17" s="1698"/>
      <c r="L17" s="1698"/>
    </row>
    <row r="18" spans="2:12" ht="15.75" customHeight="1" x14ac:dyDescent="0.3">
      <c r="B18" s="1698"/>
      <c r="C18" s="1698"/>
      <c r="D18" s="1698"/>
      <c r="E18" s="1698"/>
      <c r="F18" s="1698"/>
      <c r="G18" s="1698"/>
      <c r="H18" s="1698"/>
      <c r="I18" s="1698"/>
      <c r="J18" s="1698"/>
      <c r="K18" s="1698"/>
      <c r="L18" s="1698"/>
    </row>
    <row r="19" spans="2:12" ht="15.75" customHeight="1" x14ac:dyDescent="0.3">
      <c r="B19" s="1698"/>
      <c r="C19" s="1698"/>
      <c r="D19" s="1698"/>
      <c r="E19" s="1698"/>
      <c r="F19" s="1698"/>
      <c r="G19" s="1698"/>
      <c r="H19" s="1698"/>
      <c r="I19" s="1698"/>
      <c r="J19" s="1698"/>
      <c r="K19" s="1698"/>
      <c r="L19" s="1698"/>
    </row>
    <row r="20" spans="2:12" ht="15.6" x14ac:dyDescent="0.3">
      <c r="B20" s="1024"/>
      <c r="C20" s="1024"/>
      <c r="D20" s="1024"/>
      <c r="E20" s="1024"/>
      <c r="F20" s="1024"/>
      <c r="G20" s="1024"/>
      <c r="H20" s="1029"/>
    </row>
    <row r="21" spans="2:12" ht="15" customHeight="1" x14ac:dyDescent="0.3">
      <c r="B21" s="1671" t="s">
        <v>4568</v>
      </c>
      <c r="C21" s="1672"/>
      <c r="D21" s="1672"/>
      <c r="E21" s="1672"/>
      <c r="F21" s="1672"/>
      <c r="G21" s="1672"/>
      <c r="H21" s="1672"/>
      <c r="I21" s="1672"/>
      <c r="J21" s="1672"/>
      <c r="K21" s="1672"/>
      <c r="L21" s="1672"/>
    </row>
    <row r="22" spans="2:12" ht="15.75" customHeight="1" x14ac:dyDescent="0.3">
      <c r="B22" s="1671" t="s">
        <v>4567</v>
      </c>
      <c r="C22" s="1672"/>
      <c r="D22" s="1672"/>
      <c r="E22" s="1672"/>
      <c r="F22" s="1672"/>
      <c r="G22" s="1672"/>
      <c r="H22" s="1672"/>
      <c r="I22" s="1672"/>
      <c r="J22" s="1672"/>
      <c r="K22" s="1672"/>
      <c r="L22" s="1672"/>
    </row>
    <row r="23" spans="2:12" ht="15.6" x14ac:dyDescent="0.3">
      <c r="B23" s="1698"/>
      <c r="C23" s="1698"/>
      <c r="D23" s="1698"/>
      <c r="E23" s="1698"/>
      <c r="F23" s="1698"/>
      <c r="G23" s="1704"/>
      <c r="H23" s="1704"/>
    </row>
    <row r="24" spans="2:12" x14ac:dyDescent="0.3">
      <c r="B24" s="1698" t="s">
        <v>4566</v>
      </c>
      <c r="C24" s="1698"/>
      <c r="D24" s="1698"/>
      <c r="E24" s="1698"/>
      <c r="F24" s="1698"/>
      <c r="G24" s="1698"/>
      <c r="H24" s="1698"/>
      <c r="I24" s="1698"/>
      <c r="J24" s="1698"/>
      <c r="K24" s="1698"/>
      <c r="L24" s="1698"/>
    </row>
    <row r="25" spans="2:12" ht="15.75" customHeight="1" x14ac:dyDescent="0.3">
      <c r="B25" s="1698"/>
      <c r="C25" s="1698"/>
      <c r="D25" s="1698"/>
      <c r="E25" s="1698"/>
      <c r="F25" s="1698"/>
      <c r="G25" s="1698"/>
      <c r="H25" s="1698"/>
      <c r="I25" s="1698"/>
      <c r="J25" s="1698"/>
      <c r="K25" s="1698"/>
      <c r="L25" s="1698"/>
    </row>
    <row r="26" spans="2:12" ht="15.75" customHeight="1" x14ac:dyDescent="0.3">
      <c r="B26" s="1698"/>
      <c r="C26" s="1698"/>
      <c r="D26" s="1698"/>
      <c r="E26" s="1698"/>
      <c r="F26" s="1698"/>
      <c r="G26" s="1698"/>
      <c r="H26" s="1698"/>
      <c r="I26" s="1698"/>
      <c r="J26" s="1698"/>
      <c r="K26" s="1698"/>
      <c r="L26" s="1698"/>
    </row>
    <row r="27" spans="2:12" ht="15.75" customHeight="1" x14ac:dyDescent="0.3">
      <c r="B27" s="1698"/>
      <c r="C27" s="1698"/>
      <c r="D27" s="1698"/>
      <c r="E27" s="1698"/>
      <c r="F27" s="1698"/>
      <c r="G27" s="1698"/>
      <c r="H27" s="1698"/>
      <c r="I27" s="1698"/>
      <c r="J27" s="1698"/>
      <c r="K27" s="1698"/>
      <c r="L27" s="1698"/>
    </row>
    <row r="28" spans="2:12" ht="15.6" x14ac:dyDescent="0.3">
      <c r="B28" s="1022"/>
      <c r="C28" s="1022"/>
      <c r="D28" s="1022"/>
      <c r="E28" s="1022"/>
      <c r="F28" s="1022"/>
      <c r="G28" s="1029"/>
      <c r="H28" s="1029"/>
    </row>
    <row r="29" spans="2:12" x14ac:dyDescent="0.3">
      <c r="B29" s="1024"/>
      <c r="C29" s="1698" t="s">
        <v>4565</v>
      </c>
      <c r="D29" s="1698"/>
      <c r="E29" s="1698"/>
      <c r="F29" s="1698"/>
      <c r="G29" s="1698"/>
      <c r="H29" s="1698"/>
      <c r="I29" s="1698"/>
      <c r="J29" s="1698"/>
      <c r="K29" s="1698"/>
      <c r="L29" s="1698"/>
    </row>
    <row r="30" spans="2:12" ht="15.75" customHeight="1" x14ac:dyDescent="0.3">
      <c r="B30" s="1022"/>
      <c r="C30" s="1698"/>
      <c r="D30" s="1698"/>
      <c r="E30" s="1698"/>
      <c r="F30" s="1698"/>
      <c r="G30" s="1698"/>
      <c r="H30" s="1698"/>
      <c r="I30" s="1698"/>
      <c r="J30" s="1698"/>
      <c r="K30" s="1698"/>
      <c r="L30" s="1698"/>
    </row>
    <row r="31" spans="2:12" ht="15.6" x14ac:dyDescent="0.3">
      <c r="B31" s="1022"/>
      <c r="C31" s="1022"/>
      <c r="D31" s="1024"/>
      <c r="E31" s="1024"/>
      <c r="F31" s="1024"/>
      <c r="G31" s="1024"/>
      <c r="H31" s="1029"/>
    </row>
    <row r="32" spans="2:12" x14ac:dyDescent="0.3">
      <c r="B32" s="1022"/>
      <c r="C32" s="1024" t="s">
        <v>4564</v>
      </c>
      <c r="D32" s="1690" t="s">
        <v>4563</v>
      </c>
      <c r="E32" s="1690"/>
      <c r="F32" s="1690"/>
      <c r="G32" s="1690"/>
      <c r="H32" s="1690"/>
      <c r="I32" s="1690"/>
      <c r="J32" s="1690"/>
      <c r="K32" s="1690"/>
      <c r="L32" s="1690"/>
    </row>
    <row r="33" spans="2:12" x14ac:dyDescent="0.3">
      <c r="B33" s="1022"/>
      <c r="C33" s="1024"/>
      <c r="D33" s="1690"/>
      <c r="E33" s="1690"/>
      <c r="F33" s="1690"/>
      <c r="G33" s="1690"/>
      <c r="H33" s="1690"/>
      <c r="I33" s="1690"/>
      <c r="J33" s="1690"/>
      <c r="K33" s="1690"/>
      <c r="L33" s="1690"/>
    </row>
    <row r="34" spans="2:12" x14ac:dyDescent="0.3">
      <c r="B34" s="1022"/>
      <c r="C34" s="1024" t="s">
        <v>4562</v>
      </c>
      <c r="D34" s="1690" t="s">
        <v>4561</v>
      </c>
      <c r="E34" s="1690"/>
      <c r="F34" s="1690"/>
      <c r="G34" s="1690"/>
      <c r="H34" s="1690"/>
      <c r="I34" s="1690"/>
      <c r="J34" s="1690"/>
      <c r="K34" s="1690"/>
      <c r="L34" s="1690"/>
    </row>
    <row r="35" spans="2:12" ht="15.75" customHeight="1" x14ac:dyDescent="0.3">
      <c r="B35" s="1022"/>
      <c r="C35" s="1022"/>
      <c r="D35" s="1690"/>
      <c r="E35" s="1690"/>
      <c r="F35" s="1690"/>
      <c r="G35" s="1690"/>
      <c r="H35" s="1690"/>
      <c r="I35" s="1690"/>
      <c r="J35" s="1690"/>
      <c r="K35" s="1690"/>
      <c r="L35" s="1690"/>
    </row>
    <row r="36" spans="2:12" ht="15.6" x14ac:dyDescent="0.3">
      <c r="B36" s="1022"/>
      <c r="C36" s="1022"/>
      <c r="D36" s="1024"/>
      <c r="E36" s="1024"/>
      <c r="F36" s="1024"/>
      <c r="G36" s="1024"/>
      <c r="H36" s="1029"/>
    </row>
    <row r="37" spans="2:12" x14ac:dyDescent="0.3">
      <c r="B37" s="1024"/>
      <c r="C37" s="1705" t="s">
        <v>4560</v>
      </c>
      <c r="D37" s="1705"/>
      <c r="E37" s="1705"/>
      <c r="F37" s="1705"/>
      <c r="G37" s="1705"/>
      <c r="H37" s="1705"/>
      <c r="I37" s="1705"/>
      <c r="J37" s="1705"/>
      <c r="K37" s="1705"/>
      <c r="L37" s="1705"/>
    </row>
    <row r="38" spans="2:12" ht="15.75" customHeight="1" x14ac:dyDescent="0.3">
      <c r="B38" s="1022"/>
      <c r="C38" s="1705"/>
      <c r="D38" s="1705"/>
      <c r="E38" s="1705"/>
      <c r="F38" s="1705"/>
      <c r="G38" s="1705"/>
      <c r="H38" s="1705"/>
      <c r="I38" s="1705"/>
      <c r="J38" s="1705"/>
      <c r="K38" s="1705"/>
      <c r="L38" s="1705"/>
    </row>
    <row r="39" spans="2:12" ht="15.6" x14ac:dyDescent="0.3">
      <c r="B39" s="1022"/>
      <c r="C39" s="1022"/>
      <c r="D39" s="1022"/>
      <c r="E39" s="1022"/>
      <c r="F39" s="1022"/>
      <c r="G39" s="1029"/>
      <c r="H39" s="1029"/>
    </row>
    <row r="40" spans="2:12" x14ac:dyDescent="0.3">
      <c r="B40" s="1698" t="s">
        <v>4559</v>
      </c>
      <c r="C40" s="1698"/>
      <c r="D40" s="1698"/>
      <c r="E40" s="1698"/>
      <c r="F40" s="1698"/>
      <c r="G40" s="1698"/>
      <c r="H40" s="1698"/>
      <c r="I40" s="1698"/>
      <c r="J40" s="1698"/>
      <c r="K40" s="1698"/>
      <c r="L40" s="1698"/>
    </row>
    <row r="41" spans="2:12" ht="15.75" customHeight="1" x14ac:dyDescent="0.3">
      <c r="B41" s="1698"/>
      <c r="C41" s="1698"/>
      <c r="D41" s="1698"/>
      <c r="E41" s="1698"/>
      <c r="F41" s="1698"/>
      <c r="G41" s="1698"/>
      <c r="H41" s="1698"/>
      <c r="I41" s="1698"/>
      <c r="J41" s="1698"/>
      <c r="K41" s="1698"/>
      <c r="L41" s="1698"/>
    </row>
    <row r="42" spans="2:12" ht="15.75" customHeight="1" x14ac:dyDescent="0.3">
      <c r="B42" s="1698"/>
      <c r="C42" s="1698"/>
      <c r="D42" s="1698"/>
      <c r="E42" s="1698"/>
      <c r="F42" s="1698"/>
      <c r="G42" s="1698"/>
      <c r="H42" s="1698"/>
      <c r="I42" s="1698"/>
      <c r="J42" s="1698"/>
      <c r="K42" s="1698"/>
      <c r="L42" s="1698"/>
    </row>
    <row r="43" spans="2:12" ht="15.75" customHeight="1" x14ac:dyDescent="0.3">
      <c r="B43" s="1698"/>
      <c r="C43" s="1698"/>
      <c r="D43" s="1698"/>
      <c r="E43" s="1698"/>
      <c r="F43" s="1698"/>
      <c r="G43" s="1698"/>
      <c r="H43" s="1698"/>
      <c r="I43" s="1698"/>
      <c r="J43" s="1698"/>
      <c r="K43" s="1698"/>
      <c r="L43" s="1698"/>
    </row>
    <row r="44" spans="2:12" ht="15.6" x14ac:dyDescent="0.3">
      <c r="B44" s="1022"/>
      <c r="C44" s="1022"/>
      <c r="D44" s="1022"/>
      <c r="E44" s="1022"/>
      <c r="F44" s="1022"/>
      <c r="G44" s="1029"/>
      <c r="H44" s="1029"/>
    </row>
    <row r="45" spans="2:12" x14ac:dyDescent="0.3">
      <c r="B45" s="1698" t="s">
        <v>4558</v>
      </c>
      <c r="C45" s="1698"/>
      <c r="D45" s="1698"/>
      <c r="E45" s="1698"/>
      <c r="F45" s="1698"/>
      <c r="G45" s="1698"/>
      <c r="H45" s="1698"/>
      <c r="I45" s="1698"/>
      <c r="J45" s="1698"/>
      <c r="K45" s="1698"/>
      <c r="L45" s="1698"/>
    </row>
    <row r="46" spans="2:12" ht="15.75" customHeight="1" x14ac:dyDescent="0.3">
      <c r="B46" s="1698"/>
      <c r="C46" s="1698"/>
      <c r="D46" s="1698"/>
      <c r="E46" s="1698"/>
      <c r="F46" s="1698"/>
      <c r="G46" s="1698"/>
      <c r="H46" s="1698"/>
      <c r="I46" s="1698"/>
      <c r="J46" s="1698"/>
      <c r="K46" s="1698"/>
      <c r="L46" s="1698"/>
    </row>
    <row r="47" spans="2:12" ht="15.6" x14ac:dyDescent="0.3">
      <c r="B47" s="1022"/>
      <c r="C47" s="1022"/>
      <c r="D47" s="1022"/>
      <c r="E47" s="1022"/>
      <c r="F47" s="1022"/>
      <c r="G47" s="1029"/>
      <c r="H47" s="1029"/>
    </row>
    <row r="48" spans="2:12" x14ac:dyDescent="0.3">
      <c r="B48" s="1706" t="s">
        <v>4557</v>
      </c>
      <c r="C48" s="1706"/>
      <c r="D48" s="1706"/>
      <c r="E48" s="1706"/>
      <c r="F48" s="1706"/>
      <c r="G48" s="1706"/>
      <c r="H48" s="1706"/>
      <c r="I48" s="1706"/>
      <c r="J48" s="1706"/>
      <c r="K48" s="1706"/>
      <c r="L48" s="1706"/>
    </row>
    <row r="49" spans="2:12" ht="15" customHeight="1" x14ac:dyDescent="0.3">
      <c r="B49" s="1706"/>
      <c r="C49" s="1706"/>
      <c r="D49" s="1706"/>
      <c r="E49" s="1706"/>
      <c r="F49" s="1706"/>
      <c r="G49" s="1706"/>
      <c r="H49" s="1706"/>
      <c r="I49" s="1706"/>
      <c r="J49" s="1706"/>
      <c r="K49" s="1706"/>
      <c r="L49" s="1706"/>
    </row>
    <row r="50" spans="2:12" ht="15" customHeight="1" x14ac:dyDescent="0.3">
      <c r="B50" s="1706"/>
      <c r="C50" s="1706"/>
      <c r="D50" s="1706"/>
      <c r="E50" s="1706"/>
      <c r="F50" s="1706"/>
      <c r="G50" s="1706"/>
      <c r="H50" s="1706"/>
      <c r="I50" s="1706"/>
      <c r="J50" s="1706"/>
      <c r="K50" s="1706"/>
      <c r="L50" s="1706"/>
    </row>
    <row r="51" spans="2:12" ht="15" customHeight="1" x14ac:dyDescent="0.3">
      <c r="B51" s="1706"/>
      <c r="C51" s="1706"/>
      <c r="D51" s="1706"/>
      <c r="E51" s="1706"/>
      <c r="F51" s="1706"/>
      <c r="G51" s="1706"/>
      <c r="H51" s="1706"/>
      <c r="I51" s="1706"/>
      <c r="J51" s="1706"/>
      <c r="K51" s="1706"/>
      <c r="L51" s="1706"/>
    </row>
    <row r="52" spans="2:12" ht="15" customHeight="1" x14ac:dyDescent="0.3">
      <c r="B52" s="1706"/>
      <c r="C52" s="1706"/>
      <c r="D52" s="1706"/>
      <c r="E52" s="1706"/>
      <c r="F52" s="1706"/>
      <c r="G52" s="1706"/>
      <c r="H52" s="1706"/>
      <c r="I52" s="1706"/>
      <c r="J52" s="1706"/>
      <c r="K52" s="1706"/>
      <c r="L52" s="1706"/>
    </row>
    <row r="53" spans="2:12" ht="15" customHeight="1" x14ac:dyDescent="0.3">
      <c r="B53" s="1706"/>
      <c r="C53" s="1706"/>
      <c r="D53" s="1706"/>
      <c r="E53" s="1706"/>
      <c r="F53" s="1706"/>
      <c r="G53" s="1706"/>
      <c r="H53" s="1706"/>
      <c r="I53" s="1706"/>
      <c r="J53" s="1706"/>
      <c r="K53" s="1706"/>
      <c r="L53" s="1706"/>
    </row>
    <row r="54" spans="2:12" ht="15" customHeight="1" x14ac:dyDescent="0.3">
      <c r="B54" s="1045"/>
      <c r="C54" s="1045"/>
      <c r="D54" s="1045"/>
      <c r="E54" s="1045"/>
      <c r="F54" s="1045"/>
      <c r="G54" s="1045"/>
      <c r="H54" s="1029"/>
    </row>
    <row r="55" spans="2:12" ht="15" customHeight="1" x14ac:dyDescent="0.3">
      <c r="E55" s="1674" t="s">
        <v>4556</v>
      </c>
      <c r="F55" s="1674"/>
      <c r="G55" s="1674"/>
      <c r="H55" s="1029"/>
    </row>
    <row r="56" spans="2:12" ht="15.6" x14ac:dyDescent="0.3">
      <c r="E56" s="1689"/>
      <c r="F56" s="1689"/>
      <c r="G56" s="1689"/>
      <c r="H56" s="1029"/>
    </row>
    <row r="57" spans="2:12" ht="15.6" x14ac:dyDescent="0.3">
      <c r="E57" s="1690" t="s">
        <v>4516</v>
      </c>
      <c r="F57" s="1690"/>
      <c r="G57" s="1690"/>
      <c r="H57" s="1029"/>
    </row>
    <row r="58" spans="2:12" x14ac:dyDescent="0.3">
      <c r="E58" s="1035"/>
      <c r="F58" s="1035"/>
      <c r="G58" s="1690" t="s">
        <v>4555</v>
      </c>
      <c r="H58" s="1690"/>
      <c r="I58" s="1690"/>
      <c r="J58" s="1690"/>
      <c r="K58" s="1690"/>
    </row>
    <row r="59" spans="2:12" x14ac:dyDescent="0.3">
      <c r="E59" s="1035"/>
      <c r="F59" s="1035"/>
      <c r="G59" s="1690" t="s">
        <v>4554</v>
      </c>
      <c r="H59" s="1690"/>
      <c r="I59" s="1690"/>
      <c r="J59" s="1690"/>
      <c r="K59" s="1690"/>
    </row>
    <row r="60" spans="2:12" x14ac:dyDescent="0.3">
      <c r="E60" s="1035"/>
      <c r="F60" s="1035"/>
      <c r="G60" s="1690" t="s">
        <v>4550</v>
      </c>
      <c r="H60" s="1690"/>
      <c r="I60" s="1690"/>
      <c r="J60" s="1690"/>
      <c r="K60" s="1690"/>
    </row>
    <row r="61" spans="2:12" ht="15.6" x14ac:dyDescent="0.3">
      <c r="E61" s="1044"/>
      <c r="F61" s="1044"/>
      <c r="G61" s="1044"/>
      <c r="H61" s="1029"/>
    </row>
    <row r="62" spans="2:12" ht="15.6" x14ac:dyDescent="0.3">
      <c r="E62" s="1674" t="s">
        <v>4553</v>
      </c>
      <c r="F62" s="1674"/>
      <c r="G62" s="1674"/>
      <c r="H62" s="1029"/>
    </row>
    <row r="63" spans="2:12" ht="15.6" x14ac:dyDescent="0.3">
      <c r="E63" s="1689"/>
      <c r="F63" s="1689"/>
      <c r="G63" s="1689"/>
      <c r="H63" s="1029"/>
    </row>
    <row r="64" spans="2:12" ht="15.6" x14ac:dyDescent="0.3">
      <c r="E64" s="1690" t="s">
        <v>4516</v>
      </c>
      <c r="F64" s="1690"/>
      <c r="G64" s="1690"/>
      <c r="H64" s="1029"/>
    </row>
    <row r="65" spans="2:11" x14ac:dyDescent="0.3">
      <c r="E65" s="1035"/>
      <c r="F65" s="1035"/>
      <c r="G65" s="1690" t="s">
        <v>4552</v>
      </c>
      <c r="H65" s="1690"/>
      <c r="I65" s="1690"/>
      <c r="J65" s="1690"/>
      <c r="K65" s="1690"/>
    </row>
    <row r="66" spans="2:11" x14ac:dyDescent="0.3">
      <c r="E66" s="1035"/>
      <c r="F66" s="1035"/>
      <c r="G66" s="1690" t="s">
        <v>4551</v>
      </c>
      <c r="H66" s="1690"/>
      <c r="I66" s="1690"/>
      <c r="J66" s="1690"/>
      <c r="K66" s="1690"/>
    </row>
    <row r="67" spans="2:11" x14ac:dyDescent="0.3">
      <c r="E67" s="1035"/>
      <c r="F67" s="1035"/>
      <c r="G67" s="1690" t="s">
        <v>4550</v>
      </c>
      <c r="H67" s="1690"/>
      <c r="I67" s="1690"/>
      <c r="J67" s="1690"/>
      <c r="K67" s="1690"/>
    </row>
    <row r="68" spans="2:11" ht="15" customHeight="1" x14ac:dyDescent="0.3">
      <c r="B68" s="1044"/>
      <c r="C68" s="1044"/>
      <c r="D68" s="1044"/>
      <c r="E68" s="1044"/>
      <c r="F68" s="1044"/>
      <c r="G68" s="1044"/>
      <c r="H68" s="1029"/>
    </row>
    <row r="69" spans="2:11" ht="15" customHeight="1" x14ac:dyDescent="0.3">
      <c r="D69" s="1674" t="s">
        <v>4549</v>
      </c>
      <c r="E69" s="1674"/>
      <c r="F69" s="1674"/>
      <c r="G69" s="1674"/>
      <c r="H69" s="1674"/>
      <c r="I69" s="1674"/>
      <c r="J69" s="1674"/>
    </row>
    <row r="70" spans="2:11" ht="15.75" customHeight="1" thickBot="1" x14ac:dyDescent="0.35">
      <c r="D70" s="1702" t="s">
        <v>4548</v>
      </c>
      <c r="E70" s="1702"/>
      <c r="F70" s="1702"/>
      <c r="G70" s="1702"/>
      <c r="H70" s="1702"/>
      <c r="I70" s="1702"/>
      <c r="J70" s="1702"/>
    </row>
    <row r="71" spans="2:11" x14ac:dyDescent="0.3">
      <c r="D71" s="1699" t="s">
        <v>4538</v>
      </c>
      <c r="E71" s="1691"/>
      <c r="F71" s="1691" t="s">
        <v>4537</v>
      </c>
      <c r="G71" s="1691"/>
      <c r="H71" s="1691"/>
      <c r="I71" s="1691"/>
      <c r="J71" s="1692"/>
    </row>
    <row r="72" spans="2:11" ht="15.75" customHeight="1" thickBot="1" x14ac:dyDescent="0.35">
      <c r="D72" s="1700" t="s">
        <v>4547</v>
      </c>
      <c r="E72" s="1701"/>
      <c r="F72" s="1040" t="s">
        <v>4535</v>
      </c>
      <c r="G72" s="1040" t="s">
        <v>4534</v>
      </c>
      <c r="H72" s="1040" t="s">
        <v>4533</v>
      </c>
      <c r="I72" s="1040" t="s">
        <v>4532</v>
      </c>
      <c r="J72" s="1039" t="s">
        <v>4531</v>
      </c>
    </row>
    <row r="73" spans="2:11" ht="15.75" customHeight="1" thickTop="1" x14ac:dyDescent="0.3">
      <c r="D73" s="1043" t="s">
        <v>4546</v>
      </c>
      <c r="E73" s="1033"/>
      <c r="F73" s="1033">
        <v>30</v>
      </c>
      <c r="G73" s="1033">
        <v>45</v>
      </c>
      <c r="H73" s="1033">
        <v>60</v>
      </c>
      <c r="I73" s="1033">
        <v>75</v>
      </c>
      <c r="J73" s="1032">
        <v>90</v>
      </c>
    </row>
    <row r="74" spans="2:11" ht="15" customHeight="1" x14ac:dyDescent="0.3">
      <c r="D74" s="1043" t="s">
        <v>4545</v>
      </c>
      <c r="E74" s="1033"/>
      <c r="F74" s="1033">
        <v>45</v>
      </c>
      <c r="G74" s="1033">
        <v>60</v>
      </c>
      <c r="H74" s="1033">
        <v>75</v>
      </c>
      <c r="I74" s="1033">
        <v>90</v>
      </c>
      <c r="J74" s="1032">
        <v>105</v>
      </c>
    </row>
    <row r="75" spans="2:11" ht="15" customHeight="1" x14ac:dyDescent="0.3">
      <c r="D75" s="1043" t="s">
        <v>4544</v>
      </c>
      <c r="E75" s="1033"/>
      <c r="F75" s="1033">
        <v>60</v>
      </c>
      <c r="G75" s="1033">
        <v>75</v>
      </c>
      <c r="H75" s="1033">
        <v>90</v>
      </c>
      <c r="I75" s="1033">
        <v>105</v>
      </c>
      <c r="J75" s="1032">
        <v>120</v>
      </c>
    </row>
    <row r="76" spans="2:11" ht="15" customHeight="1" x14ac:dyDescent="0.3">
      <c r="D76" s="1043" t="s">
        <v>4543</v>
      </c>
      <c r="E76" s="1033"/>
      <c r="F76" s="1033">
        <v>75</v>
      </c>
      <c r="G76" s="1033">
        <v>90</v>
      </c>
      <c r="H76" s="1033">
        <v>105</v>
      </c>
      <c r="I76" s="1033">
        <v>120</v>
      </c>
      <c r="J76" s="1032">
        <v>135</v>
      </c>
    </row>
    <row r="77" spans="2:11" ht="15" customHeight="1" x14ac:dyDescent="0.3">
      <c r="D77" s="1043" t="s">
        <v>4542</v>
      </c>
      <c r="E77" s="1033"/>
      <c r="F77" s="1033">
        <v>90</v>
      </c>
      <c r="G77" s="1033">
        <v>105</v>
      </c>
      <c r="H77" s="1033">
        <v>120</v>
      </c>
      <c r="I77" s="1033">
        <v>135</v>
      </c>
      <c r="J77" s="1032">
        <v>150</v>
      </c>
    </row>
    <row r="78" spans="2:11" ht="15.75" customHeight="1" thickBot="1" x14ac:dyDescent="0.35">
      <c r="D78" s="1042" t="s">
        <v>4541</v>
      </c>
      <c r="E78" s="1031"/>
      <c r="F78" s="1031">
        <v>105</v>
      </c>
      <c r="G78" s="1031">
        <v>120</v>
      </c>
      <c r="H78" s="1031">
        <v>135</v>
      </c>
      <c r="I78" s="1031">
        <v>150</v>
      </c>
      <c r="J78" s="1030">
        <v>165</v>
      </c>
    </row>
    <row r="79" spans="2:11" ht="15.75" customHeight="1" x14ac:dyDescent="0.3">
      <c r="D79" s="1041"/>
      <c r="E79" s="1033"/>
      <c r="F79" s="1033"/>
      <c r="G79" s="1033"/>
      <c r="H79" s="1033"/>
      <c r="I79" s="1033"/>
      <c r="J79" s="1033"/>
    </row>
    <row r="80" spans="2:11" ht="15.75" customHeight="1" x14ac:dyDescent="0.3">
      <c r="D80" s="1675" t="s">
        <v>4540</v>
      </c>
      <c r="E80" s="1675"/>
      <c r="F80" s="1675"/>
      <c r="G80" s="1675"/>
      <c r="H80" s="1675"/>
      <c r="I80" s="1675"/>
      <c r="J80" s="1675"/>
    </row>
    <row r="81" spans="2:12" ht="15.75" customHeight="1" thickBot="1" x14ac:dyDescent="0.35">
      <c r="D81" s="1702" t="s">
        <v>4539</v>
      </c>
      <c r="E81" s="1702"/>
      <c r="F81" s="1702"/>
      <c r="G81" s="1702"/>
      <c r="H81" s="1702"/>
      <c r="I81" s="1702"/>
      <c r="J81" s="1702"/>
    </row>
    <row r="82" spans="2:12" x14ac:dyDescent="0.3">
      <c r="D82" s="1699" t="s">
        <v>4538</v>
      </c>
      <c r="E82" s="1691"/>
      <c r="F82" s="1691" t="s">
        <v>4537</v>
      </c>
      <c r="G82" s="1691"/>
      <c r="H82" s="1691"/>
      <c r="I82" s="1691"/>
      <c r="J82" s="1692"/>
    </row>
    <row r="83" spans="2:12" ht="15.75" customHeight="1" thickBot="1" x14ac:dyDescent="0.35">
      <c r="D83" s="1700" t="s">
        <v>4536</v>
      </c>
      <c r="E83" s="1701"/>
      <c r="F83" s="1040" t="s">
        <v>4535</v>
      </c>
      <c r="G83" s="1040" t="s">
        <v>4534</v>
      </c>
      <c r="H83" s="1040" t="s">
        <v>4533</v>
      </c>
      <c r="I83" s="1040" t="s">
        <v>4532</v>
      </c>
      <c r="J83" s="1039" t="s">
        <v>4531</v>
      </c>
    </row>
    <row r="84" spans="2:12" ht="15.75" customHeight="1" thickTop="1" x14ac:dyDescent="0.3">
      <c r="D84" s="1694" t="s">
        <v>4530</v>
      </c>
      <c r="E84" s="1695"/>
      <c r="F84" s="1033">
        <v>14</v>
      </c>
      <c r="G84" s="1033">
        <v>21</v>
      </c>
      <c r="H84" s="1033">
        <v>28</v>
      </c>
      <c r="I84" s="1033">
        <v>35</v>
      </c>
      <c r="J84" s="1032">
        <v>42</v>
      </c>
    </row>
    <row r="85" spans="2:12" x14ac:dyDescent="0.3">
      <c r="D85" s="1694" t="s">
        <v>4529</v>
      </c>
      <c r="E85" s="1695"/>
      <c r="F85" s="1033">
        <v>21</v>
      </c>
      <c r="G85" s="1033">
        <v>28</v>
      </c>
      <c r="H85" s="1033">
        <v>35</v>
      </c>
      <c r="I85" s="1033">
        <v>42</v>
      </c>
      <c r="J85" s="1032">
        <v>50</v>
      </c>
    </row>
    <row r="86" spans="2:12" x14ac:dyDescent="0.3">
      <c r="D86" s="1694" t="s">
        <v>4528</v>
      </c>
      <c r="E86" s="1695"/>
      <c r="F86" s="1033">
        <v>28</v>
      </c>
      <c r="G86" s="1033">
        <v>35</v>
      </c>
      <c r="H86" s="1033">
        <v>42</v>
      </c>
      <c r="I86" s="1033">
        <v>50</v>
      </c>
      <c r="J86" s="1032">
        <v>57</v>
      </c>
    </row>
    <row r="87" spans="2:12" x14ac:dyDescent="0.3">
      <c r="D87" s="1694" t="s">
        <v>4527</v>
      </c>
      <c r="E87" s="1695"/>
      <c r="F87" s="1033">
        <v>35</v>
      </c>
      <c r="G87" s="1033">
        <v>42</v>
      </c>
      <c r="H87" s="1033">
        <v>50</v>
      </c>
      <c r="I87" s="1033">
        <v>57</v>
      </c>
      <c r="J87" s="1032">
        <v>64</v>
      </c>
    </row>
    <row r="88" spans="2:12" x14ac:dyDescent="0.3">
      <c r="D88" s="1694" t="s">
        <v>4526</v>
      </c>
      <c r="E88" s="1695"/>
      <c r="F88" s="1033">
        <v>42</v>
      </c>
      <c r="G88" s="1033">
        <v>50</v>
      </c>
      <c r="H88" s="1033">
        <v>57</v>
      </c>
      <c r="I88" s="1033">
        <v>64</v>
      </c>
      <c r="J88" s="1032">
        <v>71</v>
      </c>
    </row>
    <row r="89" spans="2:12" ht="15.75" customHeight="1" thickBot="1" x14ac:dyDescent="0.35">
      <c r="D89" s="1696" t="s">
        <v>4525</v>
      </c>
      <c r="E89" s="1697"/>
      <c r="F89" s="1031">
        <v>50</v>
      </c>
      <c r="G89" s="1031">
        <v>57</v>
      </c>
      <c r="H89" s="1031">
        <v>64</v>
      </c>
      <c r="I89" s="1031">
        <v>71</v>
      </c>
      <c r="J89" s="1030">
        <v>78</v>
      </c>
    </row>
    <row r="90" spans="2:12" ht="15.75" customHeight="1" x14ac:dyDescent="0.3">
      <c r="B90" s="1038"/>
      <c r="C90" s="1033"/>
      <c r="D90" s="1033"/>
      <c r="E90" s="1033"/>
      <c r="F90" s="1033"/>
      <c r="G90" s="1033"/>
      <c r="H90" s="1029"/>
    </row>
    <row r="91" spans="2:12" ht="15.75" customHeight="1" x14ac:dyDescent="0.3">
      <c r="B91" s="1693" t="s">
        <v>4524</v>
      </c>
      <c r="C91" s="1693"/>
      <c r="D91" s="1693"/>
      <c r="E91" s="1693"/>
      <c r="F91" s="1693"/>
      <c r="G91" s="1693"/>
      <c r="H91" s="1693"/>
      <c r="I91" s="1693"/>
      <c r="J91" s="1693"/>
      <c r="K91" s="1693"/>
      <c r="L91" s="1693"/>
    </row>
    <row r="92" spans="2:12" ht="15.75" customHeight="1" x14ac:dyDescent="0.3">
      <c r="B92" s="1693"/>
      <c r="C92" s="1693"/>
      <c r="D92" s="1693"/>
      <c r="E92" s="1693"/>
      <c r="F92" s="1693"/>
      <c r="G92" s="1693"/>
      <c r="H92" s="1693"/>
      <c r="I92" s="1693"/>
      <c r="J92" s="1693"/>
      <c r="K92" s="1693"/>
      <c r="L92" s="1693"/>
    </row>
    <row r="93" spans="2:12" ht="15.75" customHeight="1" x14ac:dyDescent="0.3">
      <c r="B93" s="1037"/>
      <c r="C93" s="1013"/>
      <c r="D93" s="1013"/>
      <c r="E93" s="1013"/>
      <c r="F93" s="1013"/>
      <c r="G93" s="1013"/>
      <c r="H93" s="1029"/>
    </row>
    <row r="94" spans="2:12" x14ac:dyDescent="0.3">
      <c r="B94" s="1670" t="s">
        <v>4523</v>
      </c>
      <c r="C94" s="1670"/>
      <c r="D94" s="1670"/>
      <c r="E94" s="1670"/>
      <c r="F94" s="1670"/>
      <c r="G94" s="1670"/>
      <c r="H94" s="1670"/>
      <c r="I94" s="1670"/>
      <c r="J94" s="1670"/>
      <c r="K94" s="1670"/>
      <c r="L94" s="1670"/>
    </row>
    <row r="95" spans="2:12" ht="15.75" customHeight="1" x14ac:dyDescent="0.3">
      <c r="B95" s="1670"/>
      <c r="C95" s="1670"/>
      <c r="D95" s="1670"/>
      <c r="E95" s="1670"/>
      <c r="F95" s="1670"/>
      <c r="G95" s="1670"/>
      <c r="H95" s="1670"/>
      <c r="I95" s="1670"/>
      <c r="J95" s="1670"/>
      <c r="K95" s="1670"/>
      <c r="L95" s="1670"/>
    </row>
    <row r="96" spans="2:12" ht="15.75" customHeight="1" x14ac:dyDescent="0.3">
      <c r="B96" s="1670"/>
      <c r="C96" s="1670"/>
      <c r="D96" s="1670"/>
      <c r="E96" s="1670"/>
      <c r="F96" s="1670"/>
      <c r="G96" s="1670"/>
      <c r="H96" s="1670"/>
      <c r="I96" s="1670"/>
      <c r="J96" s="1670"/>
      <c r="K96" s="1670"/>
      <c r="L96" s="1670"/>
    </row>
    <row r="97" spans="2:12" ht="15.75" customHeight="1" x14ac:dyDescent="0.3">
      <c r="B97" s="1670"/>
      <c r="C97" s="1670"/>
      <c r="D97" s="1670"/>
      <c r="E97" s="1670"/>
      <c r="F97" s="1670"/>
      <c r="G97" s="1670"/>
      <c r="H97" s="1670"/>
      <c r="I97" s="1670"/>
      <c r="J97" s="1670"/>
      <c r="K97" s="1670"/>
      <c r="L97" s="1670"/>
    </row>
    <row r="98" spans="2:12" ht="15.6" x14ac:dyDescent="0.3">
      <c r="B98" s="1022"/>
      <c r="C98" s="1022"/>
      <c r="D98" s="1022"/>
      <c r="E98" s="1022"/>
      <c r="F98" s="1022"/>
      <c r="G98" s="1029"/>
      <c r="H98" s="1029"/>
    </row>
    <row r="99" spans="2:12" x14ac:dyDescent="0.3">
      <c r="B99" s="1698" t="s">
        <v>4522</v>
      </c>
      <c r="C99" s="1698"/>
      <c r="D99" s="1698"/>
      <c r="E99" s="1698"/>
      <c r="F99" s="1698"/>
      <c r="G99" s="1698"/>
      <c r="H99" s="1698"/>
      <c r="I99" s="1698"/>
      <c r="J99" s="1698"/>
      <c r="K99" s="1698"/>
      <c r="L99" s="1698"/>
    </row>
    <row r="100" spans="2:12" ht="15.75" customHeight="1" x14ac:dyDescent="0.3">
      <c r="B100" s="1698"/>
      <c r="C100" s="1698"/>
      <c r="D100" s="1698"/>
      <c r="E100" s="1698"/>
      <c r="F100" s="1698"/>
      <c r="G100" s="1698"/>
      <c r="H100" s="1698"/>
      <c r="I100" s="1698"/>
      <c r="J100" s="1698"/>
      <c r="K100" s="1698"/>
      <c r="L100" s="1698"/>
    </row>
    <row r="101" spans="2:12" ht="15.75" customHeight="1" x14ac:dyDescent="0.3">
      <c r="B101" s="1698"/>
      <c r="C101" s="1698"/>
      <c r="D101" s="1698"/>
      <c r="E101" s="1698"/>
      <c r="F101" s="1698"/>
      <c r="G101" s="1698"/>
      <c r="H101" s="1698"/>
      <c r="I101" s="1698"/>
      <c r="J101" s="1698"/>
      <c r="K101" s="1698"/>
      <c r="L101" s="1698"/>
    </row>
    <row r="102" spans="2:12" ht="15.75" customHeight="1" x14ac:dyDescent="0.3">
      <c r="B102" s="1698"/>
      <c r="C102" s="1698"/>
      <c r="D102" s="1698"/>
      <c r="E102" s="1698"/>
      <c r="F102" s="1698"/>
      <c r="G102" s="1698"/>
      <c r="H102" s="1698"/>
      <c r="I102" s="1698"/>
      <c r="J102" s="1698"/>
      <c r="K102" s="1698"/>
      <c r="L102" s="1698"/>
    </row>
    <row r="103" spans="2:12" ht="15.6" x14ac:dyDescent="0.3">
      <c r="B103" s="1022"/>
      <c r="C103" s="1022"/>
      <c r="D103" s="1022"/>
      <c r="E103" s="1022"/>
      <c r="F103" s="1022"/>
      <c r="G103" s="1029"/>
      <c r="H103" s="1029"/>
    </row>
    <row r="104" spans="2:12" x14ac:dyDescent="0.3">
      <c r="B104" s="1698" t="s">
        <v>4521</v>
      </c>
      <c r="C104" s="1698"/>
      <c r="D104" s="1698"/>
      <c r="E104" s="1698"/>
      <c r="F104" s="1698"/>
      <c r="G104" s="1698"/>
      <c r="H104" s="1698"/>
      <c r="I104" s="1698"/>
      <c r="J104" s="1698"/>
      <c r="K104" s="1698"/>
      <c r="L104" s="1698"/>
    </row>
    <row r="105" spans="2:12" ht="15.75" customHeight="1" x14ac:dyDescent="0.3">
      <c r="B105" s="1698"/>
      <c r="C105" s="1698"/>
      <c r="D105" s="1698"/>
      <c r="E105" s="1698"/>
      <c r="F105" s="1698"/>
      <c r="G105" s="1698"/>
      <c r="H105" s="1698"/>
      <c r="I105" s="1698"/>
      <c r="J105" s="1698"/>
      <c r="K105" s="1698"/>
      <c r="L105" s="1698"/>
    </row>
    <row r="106" spans="2:12" ht="15.75" customHeight="1" x14ac:dyDescent="0.3">
      <c r="B106" s="1698"/>
      <c r="C106" s="1698"/>
      <c r="D106" s="1698"/>
      <c r="E106" s="1698"/>
      <c r="F106" s="1698"/>
      <c r="G106" s="1698"/>
      <c r="H106" s="1698"/>
      <c r="I106" s="1698"/>
      <c r="J106" s="1698"/>
      <c r="K106" s="1698"/>
      <c r="L106" s="1698"/>
    </row>
    <row r="107" spans="2:12" ht="15.75" customHeight="1" x14ac:dyDescent="0.3">
      <c r="B107" s="1698"/>
      <c r="C107" s="1698"/>
      <c r="D107" s="1698"/>
      <c r="E107" s="1698"/>
      <c r="F107" s="1698"/>
      <c r="G107" s="1698"/>
      <c r="H107" s="1698"/>
      <c r="I107" s="1698"/>
      <c r="J107" s="1698"/>
      <c r="K107" s="1698"/>
      <c r="L107" s="1698"/>
    </row>
    <row r="108" spans="2:12" ht="15.75" customHeight="1" x14ac:dyDescent="0.3">
      <c r="B108" s="1698"/>
      <c r="C108" s="1698"/>
      <c r="D108" s="1698"/>
      <c r="E108" s="1698"/>
      <c r="F108" s="1698"/>
      <c r="G108" s="1698"/>
      <c r="H108" s="1698"/>
      <c r="I108" s="1698"/>
      <c r="J108" s="1698"/>
      <c r="K108" s="1698"/>
      <c r="L108" s="1698"/>
    </row>
    <row r="109" spans="2:12" ht="15.6" x14ac:dyDescent="0.3">
      <c r="B109" s="1022"/>
      <c r="C109" s="1022"/>
      <c r="D109" s="1022"/>
      <c r="E109" s="1022"/>
      <c r="F109" s="1022"/>
      <c r="G109" s="1022"/>
      <c r="H109" s="1029"/>
    </row>
    <row r="110" spans="2:12" x14ac:dyDescent="0.3">
      <c r="B110" s="1022"/>
      <c r="C110" s="1698" t="s">
        <v>4520</v>
      </c>
      <c r="D110" s="1698"/>
      <c r="E110" s="1698"/>
      <c r="F110" s="1698"/>
      <c r="G110" s="1698"/>
      <c r="H110" s="1698"/>
      <c r="I110" s="1698"/>
      <c r="J110" s="1698"/>
      <c r="K110" s="1698"/>
      <c r="L110" s="1698"/>
    </row>
    <row r="111" spans="2:12" ht="15.75" customHeight="1" x14ac:dyDescent="0.3">
      <c r="B111" s="1022"/>
      <c r="C111" s="1698"/>
      <c r="D111" s="1698"/>
      <c r="E111" s="1698"/>
      <c r="F111" s="1698"/>
      <c r="G111" s="1698"/>
      <c r="H111" s="1698"/>
      <c r="I111" s="1698"/>
      <c r="J111" s="1698"/>
      <c r="K111" s="1698"/>
      <c r="L111" s="1698"/>
    </row>
    <row r="112" spans="2:12" ht="15.75" customHeight="1" x14ac:dyDescent="0.3">
      <c r="B112" s="1022"/>
      <c r="C112" s="1698"/>
      <c r="D112" s="1698"/>
      <c r="E112" s="1698"/>
      <c r="F112" s="1698"/>
      <c r="G112" s="1698"/>
      <c r="H112" s="1698"/>
      <c r="I112" s="1698"/>
      <c r="J112" s="1698"/>
      <c r="K112" s="1698"/>
      <c r="L112" s="1698"/>
    </row>
    <row r="113" spans="2:12" ht="15.75" customHeight="1" x14ac:dyDescent="0.3">
      <c r="B113" s="1022"/>
      <c r="C113" s="1698"/>
      <c r="D113" s="1698"/>
      <c r="E113" s="1698"/>
      <c r="F113" s="1698"/>
      <c r="G113" s="1698"/>
      <c r="H113" s="1698"/>
      <c r="I113" s="1698"/>
      <c r="J113" s="1698"/>
      <c r="K113" s="1698"/>
      <c r="L113" s="1698"/>
    </row>
    <row r="114" spans="2:12" ht="15.6" x14ac:dyDescent="0.3">
      <c r="B114" s="1022"/>
      <c r="C114" s="1022"/>
      <c r="D114" s="1022"/>
      <c r="E114" s="1022"/>
      <c r="F114" s="1022"/>
      <c r="G114" s="1022"/>
      <c r="H114" s="1029"/>
    </row>
    <row r="115" spans="2:12" x14ac:dyDescent="0.3">
      <c r="B115" s="1698" t="s">
        <v>4519</v>
      </c>
      <c r="C115" s="1698"/>
      <c r="D115" s="1698"/>
      <c r="E115" s="1698"/>
      <c r="F115" s="1698"/>
      <c r="G115" s="1698"/>
      <c r="H115" s="1698"/>
      <c r="I115" s="1698"/>
      <c r="J115" s="1698"/>
      <c r="K115" s="1698"/>
      <c r="L115" s="1698"/>
    </row>
    <row r="116" spans="2:12" ht="15.75" customHeight="1" x14ac:dyDescent="0.3">
      <c r="B116" s="1698"/>
      <c r="C116" s="1698"/>
      <c r="D116" s="1698"/>
      <c r="E116" s="1698"/>
      <c r="F116" s="1698"/>
      <c r="G116" s="1698"/>
      <c r="H116" s="1698"/>
      <c r="I116" s="1698"/>
      <c r="J116" s="1698"/>
      <c r="K116" s="1698"/>
      <c r="L116" s="1698"/>
    </row>
    <row r="117" spans="2:12" ht="15.6" x14ac:dyDescent="0.3">
      <c r="B117" s="1022"/>
      <c r="C117" s="1022"/>
      <c r="D117" s="1022"/>
      <c r="E117" s="1022"/>
      <c r="F117" s="1022"/>
      <c r="G117" s="1022"/>
      <c r="H117" s="1029"/>
    </row>
    <row r="118" spans="2:12" x14ac:dyDescent="0.3">
      <c r="B118" s="1022"/>
      <c r="C118" s="1698" t="s">
        <v>4518</v>
      </c>
      <c r="D118" s="1698"/>
      <c r="E118" s="1698"/>
      <c r="F118" s="1698"/>
      <c r="G118" s="1698"/>
      <c r="H118" s="1698"/>
      <c r="I118" s="1698"/>
      <c r="J118" s="1698"/>
      <c r="K118" s="1698"/>
      <c r="L118" s="1698"/>
    </row>
    <row r="119" spans="2:12" ht="15" customHeight="1" x14ac:dyDescent="0.3">
      <c r="B119" s="1022"/>
      <c r="C119" s="1698"/>
      <c r="D119" s="1698"/>
      <c r="E119" s="1698"/>
      <c r="F119" s="1698"/>
      <c r="G119" s="1698"/>
      <c r="H119" s="1698"/>
      <c r="I119" s="1698"/>
      <c r="J119" s="1698"/>
      <c r="K119" s="1698"/>
      <c r="L119" s="1698"/>
    </row>
    <row r="120" spans="2:12" ht="15" customHeight="1" x14ac:dyDescent="0.3">
      <c r="B120" s="1022"/>
      <c r="C120" s="1698"/>
      <c r="D120" s="1698"/>
      <c r="E120" s="1698"/>
      <c r="F120" s="1698"/>
      <c r="G120" s="1698"/>
      <c r="H120" s="1698"/>
      <c r="I120" s="1698"/>
      <c r="J120" s="1698"/>
      <c r="K120" s="1698"/>
      <c r="L120" s="1698"/>
    </row>
    <row r="121" spans="2:12" ht="15" customHeight="1" x14ac:dyDescent="0.3">
      <c r="B121" s="1022"/>
      <c r="C121" s="1698"/>
      <c r="D121" s="1698"/>
      <c r="E121" s="1698"/>
      <c r="F121" s="1698"/>
      <c r="G121" s="1698"/>
      <c r="H121" s="1698"/>
      <c r="I121" s="1698"/>
      <c r="J121" s="1698"/>
      <c r="K121" s="1698"/>
      <c r="L121" s="1698"/>
    </row>
    <row r="122" spans="2:12" ht="15" customHeight="1" x14ac:dyDescent="0.3">
      <c r="B122" s="1022"/>
      <c r="C122" s="1022"/>
      <c r="D122" s="1022"/>
      <c r="E122" s="1022"/>
      <c r="F122" s="1022"/>
      <c r="G122" s="1022"/>
      <c r="H122" s="1029"/>
    </row>
    <row r="123" spans="2:12" ht="15" customHeight="1" x14ac:dyDescent="0.3">
      <c r="C123" s="1674" t="s">
        <v>4517</v>
      </c>
      <c r="D123" s="1674"/>
      <c r="E123" s="1674"/>
    </row>
    <row r="124" spans="2:12" ht="15" customHeight="1" x14ac:dyDescent="0.3">
      <c r="C124" s="1689"/>
      <c r="D124" s="1689"/>
      <c r="E124" s="1689"/>
    </row>
    <row r="125" spans="2:12" ht="15" customHeight="1" x14ac:dyDescent="0.3">
      <c r="C125" s="1690" t="s">
        <v>4516</v>
      </c>
      <c r="D125" s="1690"/>
      <c r="E125" s="1690"/>
    </row>
    <row r="126" spans="2:12" ht="15" customHeight="1" x14ac:dyDescent="0.3">
      <c r="C126" s="1035"/>
      <c r="D126" s="1022" t="s">
        <v>4510</v>
      </c>
      <c r="E126" s="1690" t="s">
        <v>4515</v>
      </c>
      <c r="F126" s="1690"/>
      <c r="G126" s="1690"/>
      <c r="H126" s="1690"/>
      <c r="I126" s="1690"/>
      <c r="J126" s="1690"/>
      <c r="K126" s="1690"/>
      <c r="L126" s="1022"/>
    </row>
    <row r="127" spans="2:12" ht="15" customHeight="1" x14ac:dyDescent="0.3">
      <c r="C127" s="1035"/>
      <c r="D127" s="1022" t="s">
        <v>4510</v>
      </c>
      <c r="E127" s="1690" t="s">
        <v>4514</v>
      </c>
      <c r="F127" s="1690"/>
      <c r="G127" s="1690"/>
      <c r="H127" s="1690"/>
      <c r="I127" s="1690"/>
      <c r="J127" s="1690"/>
      <c r="K127" s="1690"/>
      <c r="L127" s="1022"/>
    </row>
    <row r="128" spans="2:12" ht="15" customHeight="1" x14ac:dyDescent="0.3">
      <c r="C128" s="1036" t="s">
        <v>4513</v>
      </c>
      <c r="D128" s="1022" t="s">
        <v>4510</v>
      </c>
      <c r="E128" s="1690" t="s">
        <v>4512</v>
      </c>
      <c r="F128" s="1690"/>
      <c r="G128" s="1690"/>
      <c r="H128" s="1690"/>
      <c r="I128" s="1690"/>
      <c r="J128" s="1690"/>
      <c r="K128" s="1690"/>
      <c r="L128" s="1022"/>
    </row>
    <row r="129" spans="2:12" ht="15" customHeight="1" x14ac:dyDescent="0.3">
      <c r="C129" s="1036"/>
      <c r="D129" s="1022"/>
      <c r="E129" s="1690"/>
      <c r="F129" s="1690"/>
      <c r="G129" s="1690"/>
      <c r="H129" s="1690"/>
      <c r="I129" s="1690"/>
      <c r="J129" s="1690"/>
      <c r="K129" s="1690"/>
      <c r="L129" s="1022"/>
    </row>
    <row r="130" spans="2:12" ht="15" customHeight="1" x14ac:dyDescent="0.3">
      <c r="C130" s="1035"/>
      <c r="D130" s="1022" t="s">
        <v>4510</v>
      </c>
      <c r="E130" s="1690" t="s">
        <v>4511</v>
      </c>
      <c r="F130" s="1690"/>
      <c r="G130" s="1690"/>
      <c r="H130" s="1690"/>
      <c r="I130" s="1690"/>
      <c r="J130" s="1690"/>
      <c r="K130" s="1690"/>
      <c r="L130" s="1022"/>
    </row>
    <row r="131" spans="2:12" ht="15" customHeight="1" x14ac:dyDescent="0.3">
      <c r="C131" s="1035"/>
      <c r="D131" s="1022" t="s">
        <v>4510</v>
      </c>
      <c r="E131" s="1690" t="s">
        <v>4509</v>
      </c>
      <c r="F131" s="1690"/>
      <c r="G131" s="1690"/>
      <c r="H131" s="1690"/>
      <c r="I131" s="1690"/>
      <c r="J131" s="1690"/>
      <c r="K131" s="1690"/>
      <c r="L131" s="1022"/>
    </row>
    <row r="132" spans="2:12" ht="15" customHeight="1" x14ac:dyDescent="0.3">
      <c r="B132" s="1022"/>
      <c r="C132" s="1022"/>
      <c r="D132" s="1022"/>
      <c r="H132" s="1029"/>
    </row>
    <row r="133" spans="2:12" ht="15" customHeight="1" x14ac:dyDescent="0.3">
      <c r="B133" s="1022"/>
      <c r="C133" s="1022"/>
      <c r="D133" s="1022"/>
      <c r="E133" s="1022"/>
      <c r="F133" s="1022"/>
      <c r="G133" s="1022"/>
      <c r="H133" s="1029"/>
    </row>
    <row r="134" spans="2:12" ht="15" customHeight="1" x14ac:dyDescent="0.3">
      <c r="D134" s="1674" t="s">
        <v>4508</v>
      </c>
      <c r="E134" s="1674"/>
      <c r="F134" s="1674"/>
      <c r="G134" s="1674"/>
      <c r="H134" s="1674"/>
      <c r="I134" s="1674"/>
    </row>
    <row r="135" spans="2:12" ht="15.75" customHeight="1" thickBot="1" x14ac:dyDescent="0.35">
      <c r="D135" s="1702" t="s">
        <v>4507</v>
      </c>
      <c r="E135" s="1702"/>
      <c r="F135" s="1702"/>
      <c r="G135" s="1702"/>
      <c r="H135" s="1702"/>
      <c r="I135" s="1702"/>
    </row>
    <row r="136" spans="2:12" ht="15" thickBot="1" x14ac:dyDescent="0.35">
      <c r="D136" s="1709" t="s">
        <v>4506</v>
      </c>
      <c r="E136" s="1710"/>
      <c r="F136" s="1713" t="s">
        <v>4505</v>
      </c>
      <c r="G136" s="1714"/>
      <c r="H136" s="1714"/>
      <c r="I136" s="1715"/>
    </row>
    <row r="137" spans="2:12" ht="15.75" customHeight="1" thickBot="1" x14ac:dyDescent="0.35">
      <c r="D137" s="1711"/>
      <c r="E137" s="1712"/>
      <c r="F137" s="1034" t="s">
        <v>4504</v>
      </c>
      <c r="G137" s="1034">
        <v>8</v>
      </c>
      <c r="H137" s="1034">
        <v>12</v>
      </c>
      <c r="I137" s="1034">
        <v>24</v>
      </c>
    </row>
    <row r="138" spans="2:12" ht="15.75" customHeight="1" thickTop="1" x14ac:dyDescent="0.3">
      <c r="D138" s="1707">
        <v>0.1</v>
      </c>
      <c r="E138" s="1708"/>
      <c r="F138" s="1033">
        <v>1</v>
      </c>
      <c r="G138" s="1033">
        <v>0.79</v>
      </c>
      <c r="H138" s="1033" t="s">
        <v>4503</v>
      </c>
      <c r="I138" s="1032" t="s">
        <v>4503</v>
      </c>
    </row>
    <row r="139" spans="2:12" ht="15" customHeight="1" x14ac:dyDescent="0.3">
      <c r="D139" s="1707">
        <v>0.2</v>
      </c>
      <c r="E139" s="1708"/>
      <c r="F139" s="1033">
        <v>1</v>
      </c>
      <c r="G139" s="1033">
        <v>0.84</v>
      </c>
      <c r="H139" s="1033">
        <v>0.56000000000000005</v>
      </c>
      <c r="I139" s="1032" t="s">
        <v>4503</v>
      </c>
    </row>
    <row r="140" spans="2:12" ht="15" customHeight="1" x14ac:dyDescent="0.3">
      <c r="D140" s="1707">
        <v>0.3</v>
      </c>
      <c r="E140" s="1708"/>
      <c r="F140" s="1033">
        <v>1</v>
      </c>
      <c r="G140" s="1033">
        <v>0.89</v>
      </c>
      <c r="H140" s="1033">
        <v>0.71</v>
      </c>
      <c r="I140" s="1032" t="s">
        <v>4503</v>
      </c>
    </row>
    <row r="141" spans="2:12" ht="15" customHeight="1" x14ac:dyDescent="0.3">
      <c r="D141" s="1707">
        <v>0.4</v>
      </c>
      <c r="E141" s="1708"/>
      <c r="F141" s="1033">
        <v>1</v>
      </c>
      <c r="G141" s="1033">
        <v>0.92</v>
      </c>
      <c r="H141" s="1033">
        <v>0.81</v>
      </c>
      <c r="I141" s="1032">
        <v>0.2</v>
      </c>
    </row>
    <row r="142" spans="2:12" ht="15" customHeight="1" x14ac:dyDescent="0.3">
      <c r="D142" s="1707">
        <v>0.5</v>
      </c>
      <c r="E142" s="1708"/>
      <c r="F142" s="1033">
        <v>1</v>
      </c>
      <c r="G142" s="1033">
        <v>0.94</v>
      </c>
      <c r="H142" s="1033">
        <v>0.87</v>
      </c>
      <c r="I142" s="1032">
        <v>0.52</v>
      </c>
    </row>
    <row r="143" spans="2:12" ht="15" customHeight="1" x14ac:dyDescent="0.3">
      <c r="D143" s="1707">
        <v>0.6</v>
      </c>
      <c r="E143" s="1708"/>
      <c r="F143" s="1033">
        <v>1</v>
      </c>
      <c r="G143" s="1033">
        <v>0.97</v>
      </c>
      <c r="H143" s="1033">
        <v>0.92</v>
      </c>
      <c r="I143" s="1032">
        <v>0.73</v>
      </c>
    </row>
    <row r="144" spans="2:12" ht="15" customHeight="1" x14ac:dyDescent="0.3">
      <c r="D144" s="1707">
        <v>0.7</v>
      </c>
      <c r="E144" s="1708"/>
      <c r="F144" s="1033">
        <v>1</v>
      </c>
      <c r="G144" s="1033">
        <v>0.98</v>
      </c>
      <c r="H144" s="1033">
        <v>0.96</v>
      </c>
      <c r="I144" s="1032">
        <v>0.86</v>
      </c>
    </row>
    <row r="145" spans="2:12" ht="15" customHeight="1" x14ac:dyDescent="0.3">
      <c r="D145" s="1707">
        <v>0.8</v>
      </c>
      <c r="E145" s="1708"/>
      <c r="F145" s="1033">
        <v>1</v>
      </c>
      <c r="G145" s="1033">
        <v>0.99</v>
      </c>
      <c r="H145" s="1033">
        <v>0.98</v>
      </c>
      <c r="I145" s="1032">
        <v>0.94</v>
      </c>
    </row>
    <row r="146" spans="2:12" ht="15" customHeight="1" x14ac:dyDescent="0.3">
      <c r="D146" s="1707">
        <v>0.9</v>
      </c>
      <c r="E146" s="1708"/>
      <c r="F146" s="1033">
        <v>1</v>
      </c>
      <c r="G146" s="1033">
        <v>1</v>
      </c>
      <c r="H146" s="1033">
        <v>1</v>
      </c>
      <c r="I146" s="1032">
        <v>0.99</v>
      </c>
    </row>
    <row r="147" spans="2:12" ht="15.75" customHeight="1" thickBot="1" x14ac:dyDescent="0.35">
      <c r="D147" s="1716">
        <v>1</v>
      </c>
      <c r="E147" s="1717"/>
      <c r="F147" s="1031">
        <v>1</v>
      </c>
      <c r="G147" s="1031">
        <v>1</v>
      </c>
      <c r="H147" s="1031">
        <v>1</v>
      </c>
      <c r="I147" s="1030">
        <v>1</v>
      </c>
    </row>
    <row r="148" spans="2:12" ht="15.6" x14ac:dyDescent="0.3">
      <c r="B148" s="1022"/>
      <c r="C148" s="1022"/>
      <c r="D148" s="1022"/>
      <c r="E148" s="1022"/>
      <c r="F148" s="1022"/>
      <c r="G148" s="1022"/>
      <c r="H148" s="1029"/>
    </row>
    <row r="149" spans="2:12" ht="15" customHeight="1" x14ac:dyDescent="0.3">
      <c r="B149" s="1690" t="s">
        <v>4502</v>
      </c>
      <c r="C149" s="1690"/>
      <c r="D149" s="1690"/>
      <c r="E149" s="1690"/>
      <c r="F149" s="1690"/>
      <c r="G149" s="1690"/>
      <c r="H149" s="1690"/>
      <c r="I149" s="1690"/>
      <c r="J149" s="1690"/>
      <c r="K149" s="1690"/>
      <c r="L149" s="1690"/>
    </row>
    <row r="150" spans="2:12" ht="15" customHeight="1" x14ac:dyDescent="0.3">
      <c r="B150" s="1022"/>
      <c r="C150" s="1022"/>
      <c r="D150" s="1022"/>
      <c r="E150" s="1022"/>
      <c r="F150" s="1022"/>
      <c r="G150" s="1022"/>
      <c r="H150" s="1029"/>
    </row>
    <row r="151" spans="2:12" x14ac:dyDescent="0.3">
      <c r="B151" s="1690" t="s">
        <v>4501</v>
      </c>
      <c r="C151" s="1690"/>
      <c r="D151" s="1690"/>
      <c r="E151" s="1690"/>
      <c r="F151" s="1690"/>
      <c r="G151" s="1690"/>
      <c r="H151" s="1690"/>
      <c r="I151" s="1690"/>
      <c r="J151" s="1690"/>
      <c r="K151" s="1690"/>
      <c r="L151" s="1690"/>
    </row>
    <row r="152" spans="2:12" ht="15.75" customHeight="1" x14ac:dyDescent="0.3">
      <c r="B152" s="1690"/>
      <c r="C152" s="1690"/>
      <c r="D152" s="1690"/>
      <c r="E152" s="1690"/>
      <c r="F152" s="1690"/>
      <c r="G152" s="1690"/>
      <c r="H152" s="1690"/>
      <c r="I152" s="1690"/>
      <c r="J152" s="1690"/>
      <c r="K152" s="1690"/>
      <c r="L152" s="1690"/>
    </row>
    <row r="153" spans="2:12" ht="15.75" customHeight="1" x14ac:dyDescent="0.3">
      <c r="B153" s="1690"/>
      <c r="C153" s="1690"/>
      <c r="D153" s="1690"/>
      <c r="E153" s="1690"/>
      <c r="F153" s="1690"/>
      <c r="G153" s="1690"/>
      <c r="H153" s="1690"/>
      <c r="I153" s="1690"/>
      <c r="J153" s="1690"/>
      <c r="K153" s="1690"/>
      <c r="L153" s="1690"/>
    </row>
    <row r="154" spans="2:12" ht="15.6" x14ac:dyDescent="0.3">
      <c r="B154" s="1022"/>
      <c r="C154" s="1022"/>
      <c r="D154" s="1022"/>
      <c r="E154" s="1022"/>
      <c r="F154" s="1022"/>
      <c r="G154" s="1022"/>
      <c r="H154" s="1029"/>
    </row>
    <row r="155" spans="2:12" x14ac:dyDescent="0.3">
      <c r="B155" s="1698" t="s">
        <v>4500</v>
      </c>
      <c r="C155" s="1698"/>
      <c r="D155" s="1698"/>
      <c r="E155" s="1698"/>
      <c r="F155" s="1698"/>
      <c r="G155" s="1698"/>
      <c r="H155" s="1698"/>
      <c r="I155" s="1698"/>
      <c r="J155" s="1698"/>
      <c r="K155" s="1698"/>
      <c r="L155" s="1698"/>
    </row>
    <row r="156" spans="2:12" ht="15.6" x14ac:dyDescent="0.3">
      <c r="B156" s="1022"/>
      <c r="C156" s="1022"/>
      <c r="D156" s="1022"/>
      <c r="E156" s="1022"/>
      <c r="F156" s="1022"/>
      <c r="G156" s="1022"/>
      <c r="H156" s="1029"/>
    </row>
    <row r="157" spans="2:12" x14ac:dyDescent="0.3">
      <c r="B157" s="1698" t="s">
        <v>4499</v>
      </c>
      <c r="C157" s="1698"/>
      <c r="D157" s="1698"/>
      <c r="E157" s="1698"/>
      <c r="F157" s="1698"/>
      <c r="G157" s="1698"/>
      <c r="H157" s="1698"/>
      <c r="I157" s="1698"/>
      <c r="J157" s="1698"/>
      <c r="K157" s="1698"/>
      <c r="L157" s="1698"/>
    </row>
    <row r="158" spans="2:12" ht="15.75" customHeight="1" x14ac:dyDescent="0.3">
      <c r="B158" s="1698"/>
      <c r="C158" s="1698"/>
      <c r="D158" s="1698"/>
      <c r="E158" s="1698"/>
      <c r="F158" s="1698"/>
      <c r="G158" s="1698"/>
      <c r="H158" s="1698"/>
      <c r="I158" s="1698"/>
      <c r="J158" s="1698"/>
      <c r="K158" s="1698"/>
      <c r="L158" s="1698"/>
    </row>
    <row r="159" spans="2:12" ht="15.6" x14ac:dyDescent="0.3">
      <c r="B159" s="1022"/>
      <c r="C159" s="1022"/>
      <c r="D159" s="1022"/>
      <c r="E159" s="1022"/>
      <c r="F159" s="1022"/>
      <c r="G159" s="1022"/>
      <c r="H159" s="1029"/>
    </row>
    <row r="160" spans="2:12" x14ac:dyDescent="0.3">
      <c r="B160" s="1698" t="s">
        <v>4498</v>
      </c>
      <c r="C160" s="1698"/>
      <c r="D160" s="1698"/>
      <c r="E160" s="1698"/>
      <c r="F160" s="1698"/>
      <c r="G160" s="1698"/>
      <c r="H160" s="1698"/>
      <c r="I160" s="1698"/>
      <c r="J160" s="1698"/>
      <c r="K160" s="1698"/>
      <c r="L160" s="1698"/>
    </row>
    <row r="161" spans="2:12" ht="15.75" customHeight="1" x14ac:dyDescent="0.3">
      <c r="B161" s="1698"/>
      <c r="C161" s="1698"/>
      <c r="D161" s="1698"/>
      <c r="E161" s="1698"/>
      <c r="F161" s="1698"/>
      <c r="G161" s="1698"/>
      <c r="H161" s="1698"/>
      <c r="I161" s="1698"/>
      <c r="J161" s="1698"/>
      <c r="K161" s="1698"/>
      <c r="L161" s="1698"/>
    </row>
    <row r="162" spans="2:12" ht="15.6" x14ac:dyDescent="0.3">
      <c r="B162" s="1022"/>
      <c r="C162" s="1022"/>
      <c r="D162" s="1022"/>
      <c r="E162" s="1022"/>
      <c r="F162" s="1022"/>
      <c r="G162" s="1022"/>
      <c r="H162" s="1029"/>
    </row>
    <row r="163" spans="2:12" x14ac:dyDescent="0.3">
      <c r="B163" s="1022"/>
      <c r="C163" s="1698" t="s">
        <v>4497</v>
      </c>
      <c r="D163" s="1698"/>
      <c r="E163" s="1698"/>
      <c r="F163" s="1698"/>
      <c r="G163" s="1698"/>
      <c r="H163" s="1698"/>
      <c r="I163" s="1698"/>
      <c r="J163" s="1698"/>
      <c r="K163" s="1698"/>
      <c r="L163" s="1698"/>
    </row>
    <row r="164" spans="2:12" x14ac:dyDescent="0.3">
      <c r="C164" s="1698"/>
      <c r="D164" s="1698"/>
      <c r="E164" s="1698"/>
      <c r="F164" s="1698"/>
      <c r="G164" s="1698"/>
      <c r="H164" s="1698"/>
      <c r="I164" s="1698"/>
      <c r="J164" s="1698"/>
      <c r="K164" s="1698"/>
      <c r="L164" s="1698"/>
    </row>
  </sheetData>
  <sheetProtection algorithmName="SHA-512" hashValue="XEmeq16Hb69rBwMjLFds20ZDw3GPPt6XenSXU17P8udvAq/Q6/NX/wclcOozZvSkOsta/xPe5eczDg3/yZgOtQ==" saltValue="Z8InKtxUmytTV4kOv38KvQ==" spinCount="100000" sheet="1" objects="1" scenarios="1" selectLockedCells="1" selectUnlockedCells="1"/>
  <mergeCells count="83">
    <mergeCell ref="C163:L164"/>
    <mergeCell ref="B151:L153"/>
    <mergeCell ref="B157:L158"/>
    <mergeCell ref="B160:L161"/>
    <mergeCell ref="D147:E147"/>
    <mergeCell ref="D134:I134"/>
    <mergeCell ref="B149:L149"/>
    <mergeCell ref="B155:L155"/>
    <mergeCell ref="D141:E141"/>
    <mergeCell ref="D142:E142"/>
    <mergeCell ref="D143:E143"/>
    <mergeCell ref="D144:E144"/>
    <mergeCell ref="D145:E145"/>
    <mergeCell ref="D146:E146"/>
    <mergeCell ref="D138:E138"/>
    <mergeCell ref="D135:I135"/>
    <mergeCell ref="D139:E139"/>
    <mergeCell ref="D140:E140"/>
    <mergeCell ref="D136:E137"/>
    <mergeCell ref="F136:I136"/>
    <mergeCell ref="E126:K126"/>
    <mergeCell ref="E127:K127"/>
    <mergeCell ref="E128:K129"/>
    <mergeCell ref="E130:K130"/>
    <mergeCell ref="E131:K131"/>
    <mergeCell ref="D34:L35"/>
    <mergeCell ref="C37:L38"/>
    <mergeCell ref="D69:J69"/>
    <mergeCell ref="D70:J70"/>
    <mergeCell ref="E56:G56"/>
    <mergeCell ref="E57:G57"/>
    <mergeCell ref="E62:G62"/>
    <mergeCell ref="B40:L43"/>
    <mergeCell ref="B45:L46"/>
    <mergeCell ref="B48:L53"/>
    <mergeCell ref="E55:G55"/>
    <mergeCell ref="E63:G63"/>
    <mergeCell ref="E64:G64"/>
    <mergeCell ref="G58:K58"/>
    <mergeCell ref="G59:K59"/>
    <mergeCell ref="G60:K60"/>
    <mergeCell ref="B4:K4"/>
    <mergeCell ref="B8:G8"/>
    <mergeCell ref="B10:G10"/>
    <mergeCell ref="C29:L30"/>
    <mergeCell ref="D32:L33"/>
    <mergeCell ref="B6:L6"/>
    <mergeCell ref="B7:L7"/>
    <mergeCell ref="B9:L9"/>
    <mergeCell ref="B11:L13"/>
    <mergeCell ref="B15:L19"/>
    <mergeCell ref="B21:L21"/>
    <mergeCell ref="B24:L27"/>
    <mergeCell ref="B22:L22"/>
    <mergeCell ref="B23:F23"/>
    <mergeCell ref="G23:H23"/>
    <mergeCell ref="D85:E85"/>
    <mergeCell ref="D86:E86"/>
    <mergeCell ref="G65:K65"/>
    <mergeCell ref="G66:K66"/>
    <mergeCell ref="G67:K67"/>
    <mergeCell ref="D71:E71"/>
    <mergeCell ref="D72:E72"/>
    <mergeCell ref="D81:J81"/>
    <mergeCell ref="D82:E82"/>
    <mergeCell ref="D83:E83"/>
    <mergeCell ref="D84:E84"/>
    <mergeCell ref="C123:E123"/>
    <mergeCell ref="C124:E124"/>
    <mergeCell ref="C125:E125"/>
    <mergeCell ref="F71:J71"/>
    <mergeCell ref="F82:J82"/>
    <mergeCell ref="B91:L92"/>
    <mergeCell ref="D87:E87"/>
    <mergeCell ref="D88:E88"/>
    <mergeCell ref="D89:E89"/>
    <mergeCell ref="C118:L121"/>
    <mergeCell ref="B94:L97"/>
    <mergeCell ref="B99:L102"/>
    <mergeCell ref="B104:L108"/>
    <mergeCell ref="C110:L113"/>
    <mergeCell ref="B115:L116"/>
    <mergeCell ref="D80:J80"/>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8"/>
  <dimension ref="B2:L79"/>
  <sheetViews>
    <sheetView showGridLines="0" workbookViewId="0"/>
  </sheetViews>
  <sheetFormatPr defaultColWidth="9.109375" defaultRowHeight="14.4" x14ac:dyDescent="0.3"/>
  <cols>
    <col min="1" max="16384" width="9.109375" style="1013"/>
  </cols>
  <sheetData>
    <row r="2" spans="2:12" ht="15.6" x14ac:dyDescent="0.3">
      <c r="B2" s="1028" t="s">
        <v>4641</v>
      </c>
    </row>
    <row r="3" spans="2:12" ht="15.6" x14ac:dyDescent="0.3">
      <c r="B3" s="1027"/>
    </row>
    <row r="4" spans="2:12" x14ac:dyDescent="0.3">
      <c r="B4" s="1746" t="s">
        <v>4640</v>
      </c>
      <c r="C4" s="1746"/>
      <c r="D4" s="1746"/>
      <c r="E4" s="1746"/>
      <c r="F4" s="1746"/>
      <c r="G4" s="1746"/>
      <c r="H4" s="1746"/>
      <c r="I4" s="1746"/>
    </row>
    <row r="5" spans="2:12" x14ac:dyDescent="0.3">
      <c r="B5" s="1746"/>
      <c r="C5" s="1746"/>
      <c r="D5" s="1746"/>
      <c r="E5" s="1746"/>
      <c r="F5" s="1746"/>
      <c r="G5" s="1746"/>
      <c r="H5" s="1746"/>
      <c r="I5" s="1746"/>
    </row>
    <row r="6" spans="2:12" x14ac:dyDescent="0.3">
      <c r="B6" s="1746"/>
      <c r="C6" s="1746"/>
      <c r="D6" s="1746"/>
      <c r="E6" s="1746"/>
      <c r="F6" s="1746"/>
      <c r="G6" s="1746"/>
      <c r="H6" s="1746"/>
      <c r="I6" s="1746"/>
    </row>
    <row r="7" spans="2:12" x14ac:dyDescent="0.3">
      <c r="B7" s="1025"/>
    </row>
    <row r="8" spans="2:12" x14ac:dyDescent="0.3">
      <c r="B8" s="1671" t="s">
        <v>4639</v>
      </c>
      <c r="C8" s="1672"/>
      <c r="D8" s="1672"/>
      <c r="E8" s="1672"/>
      <c r="F8" s="1672"/>
      <c r="G8" s="1672"/>
      <c r="H8" s="1672"/>
      <c r="I8" s="1672"/>
      <c r="J8" s="1672"/>
      <c r="K8" s="1672"/>
      <c r="L8" s="1672"/>
    </row>
    <row r="9" spans="2:12" x14ac:dyDescent="0.3">
      <c r="B9" s="1671" t="s">
        <v>4493</v>
      </c>
      <c r="C9" s="1672"/>
      <c r="D9" s="1672"/>
      <c r="E9" s="1672"/>
      <c r="F9" s="1672"/>
      <c r="G9" s="1672"/>
      <c r="H9" s="1672"/>
      <c r="I9" s="1672"/>
      <c r="J9" s="1672"/>
      <c r="K9" s="1672"/>
      <c r="L9" s="1672"/>
    </row>
    <row r="10" spans="2:12" x14ac:dyDescent="0.3">
      <c r="B10" s="1728"/>
      <c r="C10" s="1728"/>
      <c r="D10" s="1728"/>
      <c r="E10" s="1728"/>
    </row>
    <row r="11" spans="2:12" x14ac:dyDescent="0.3">
      <c r="B11" s="1726" t="s">
        <v>4638</v>
      </c>
      <c r="C11" s="1726"/>
      <c r="D11" s="1726"/>
      <c r="E11" s="1726"/>
      <c r="F11" s="1726"/>
      <c r="G11" s="1726"/>
      <c r="H11" s="1726"/>
      <c r="I11" s="1726"/>
      <c r="J11" s="1726"/>
      <c r="K11" s="1726"/>
      <c r="L11" s="1726"/>
    </row>
    <row r="12" spans="2:12" x14ac:dyDescent="0.3">
      <c r="B12" s="1726"/>
      <c r="C12" s="1726"/>
      <c r="D12" s="1726"/>
      <c r="E12" s="1726"/>
    </row>
    <row r="13" spans="2:12" x14ac:dyDescent="0.3">
      <c r="B13" s="1670" t="s">
        <v>4637</v>
      </c>
      <c r="C13" s="1670"/>
      <c r="D13" s="1670"/>
      <c r="E13" s="1670"/>
      <c r="F13" s="1670"/>
      <c r="G13" s="1670"/>
      <c r="H13" s="1670"/>
      <c r="I13" s="1670"/>
      <c r="J13" s="1670"/>
      <c r="K13" s="1670"/>
      <c r="L13" s="1670"/>
    </row>
    <row r="14" spans="2:12" x14ac:dyDescent="0.3">
      <c r="B14" s="1670"/>
      <c r="C14" s="1670"/>
      <c r="D14" s="1670"/>
      <c r="E14" s="1670"/>
      <c r="F14" s="1670"/>
      <c r="G14" s="1670"/>
      <c r="H14" s="1670"/>
      <c r="I14" s="1670"/>
      <c r="J14" s="1670"/>
      <c r="K14" s="1670"/>
      <c r="L14" s="1670"/>
    </row>
    <row r="15" spans="2:12" x14ac:dyDescent="0.3">
      <c r="B15" s="1726"/>
      <c r="C15" s="1726"/>
      <c r="D15" s="1726"/>
      <c r="E15" s="1726"/>
    </row>
    <row r="16" spans="2:12" x14ac:dyDescent="0.3">
      <c r="B16" s="1671" t="s">
        <v>4636</v>
      </c>
      <c r="C16" s="1672"/>
      <c r="D16" s="1672"/>
      <c r="E16" s="1672"/>
      <c r="F16" s="1672"/>
      <c r="G16" s="1672"/>
      <c r="H16" s="1672"/>
      <c r="I16" s="1672"/>
      <c r="J16" s="1672"/>
      <c r="K16" s="1672"/>
      <c r="L16" s="1672"/>
    </row>
    <row r="17" spans="2:12" x14ac:dyDescent="0.3">
      <c r="B17" s="1671" t="s">
        <v>4635</v>
      </c>
      <c r="C17" s="1672"/>
      <c r="D17" s="1672"/>
      <c r="E17" s="1672"/>
      <c r="F17" s="1672"/>
      <c r="G17" s="1672"/>
      <c r="H17" s="1672"/>
      <c r="I17" s="1672"/>
      <c r="J17" s="1672"/>
      <c r="K17" s="1672"/>
      <c r="L17" s="1672"/>
    </row>
    <row r="18" spans="2:12" x14ac:dyDescent="0.3">
      <c r="B18" s="1726"/>
      <c r="C18" s="1726"/>
      <c r="D18" s="1726"/>
      <c r="E18" s="1726"/>
    </row>
    <row r="19" spans="2:12" x14ac:dyDescent="0.3">
      <c r="B19" s="1720" t="s">
        <v>4634</v>
      </c>
      <c r="C19" s="1720"/>
      <c r="D19" s="1720"/>
      <c r="E19" s="1720"/>
      <c r="F19" s="1720"/>
      <c r="G19" s="1720"/>
      <c r="H19" s="1720"/>
      <c r="I19" s="1720"/>
      <c r="J19" s="1720"/>
      <c r="K19" s="1720"/>
      <c r="L19" s="1720"/>
    </row>
    <row r="20" spans="2:12" ht="15" thickBot="1" x14ac:dyDescent="0.35">
      <c r="B20" s="1727" t="s">
        <v>4633</v>
      </c>
      <c r="C20" s="1727"/>
      <c r="D20" s="1727"/>
      <c r="E20" s="1727"/>
      <c r="F20" s="1727"/>
      <c r="G20" s="1727"/>
      <c r="H20" s="1727"/>
      <c r="I20" s="1727"/>
      <c r="J20" s="1727"/>
      <c r="K20" s="1727"/>
      <c r="L20" s="1727"/>
    </row>
    <row r="21" spans="2:12" ht="15" customHeight="1" x14ac:dyDescent="0.3">
      <c r="B21" s="1729" t="s">
        <v>4632</v>
      </c>
      <c r="C21" s="1730"/>
      <c r="D21" s="1731"/>
      <c r="E21" s="1729" t="s">
        <v>4631</v>
      </c>
      <c r="F21" s="1730"/>
      <c r="G21" s="1730"/>
      <c r="H21" s="1730"/>
      <c r="I21" s="1730"/>
      <c r="J21" s="1730"/>
      <c r="K21" s="1730"/>
      <c r="L21" s="1731"/>
    </row>
    <row r="22" spans="2:12" ht="15" customHeight="1" thickBot="1" x14ac:dyDescent="0.35">
      <c r="B22" s="1732"/>
      <c r="C22" s="1727"/>
      <c r="D22" s="1733"/>
      <c r="E22" s="1732"/>
      <c r="F22" s="1727"/>
      <c r="G22" s="1727"/>
      <c r="H22" s="1727"/>
      <c r="I22" s="1727"/>
      <c r="J22" s="1727"/>
      <c r="K22" s="1727"/>
      <c r="L22" s="1733"/>
    </row>
    <row r="23" spans="2:12" ht="15" customHeight="1" x14ac:dyDescent="0.3">
      <c r="B23" s="1755" t="s">
        <v>4630</v>
      </c>
      <c r="C23" s="1722"/>
      <c r="D23" s="1722"/>
      <c r="E23" s="1722" t="s">
        <v>4629</v>
      </c>
      <c r="F23" s="1722"/>
      <c r="G23" s="1722"/>
      <c r="H23" s="1722"/>
      <c r="I23" s="1722"/>
      <c r="J23" s="1722"/>
      <c r="K23" s="1722"/>
      <c r="L23" s="1723"/>
    </row>
    <row r="24" spans="2:12" ht="15" customHeight="1" x14ac:dyDescent="0.3">
      <c r="B24" s="1718"/>
      <c r="C24" s="1719"/>
      <c r="D24" s="1719"/>
      <c r="E24" s="1719"/>
      <c r="F24" s="1719"/>
      <c r="G24" s="1719"/>
      <c r="H24" s="1719"/>
      <c r="I24" s="1719"/>
      <c r="J24" s="1719"/>
      <c r="K24" s="1719"/>
      <c r="L24" s="1721"/>
    </row>
    <row r="25" spans="2:12" ht="15" customHeight="1" x14ac:dyDescent="0.3">
      <c r="B25" s="1718" t="s">
        <v>4628</v>
      </c>
      <c r="C25" s="1719"/>
      <c r="D25" s="1719"/>
      <c r="E25" s="1719" t="s">
        <v>4607</v>
      </c>
      <c r="F25" s="1719"/>
      <c r="G25" s="1719"/>
      <c r="H25" s="1719"/>
      <c r="I25" s="1719"/>
      <c r="J25" s="1719"/>
      <c r="K25" s="1719"/>
      <c r="L25" s="1721"/>
    </row>
    <row r="26" spans="2:12" ht="15" customHeight="1" x14ac:dyDescent="0.3">
      <c r="B26" s="1718" t="s">
        <v>4627</v>
      </c>
      <c r="C26" s="1719"/>
      <c r="D26" s="1719"/>
      <c r="E26" s="1719" t="s">
        <v>4626</v>
      </c>
      <c r="F26" s="1719"/>
      <c r="G26" s="1719"/>
      <c r="H26" s="1719"/>
      <c r="I26" s="1719"/>
      <c r="J26" s="1719"/>
      <c r="K26" s="1719"/>
      <c r="L26" s="1721"/>
    </row>
    <row r="27" spans="2:12" ht="15" customHeight="1" x14ac:dyDescent="0.3">
      <c r="B27" s="1718"/>
      <c r="C27" s="1719"/>
      <c r="D27" s="1719"/>
      <c r="E27" s="1719"/>
      <c r="F27" s="1719"/>
      <c r="G27" s="1719"/>
      <c r="H27" s="1719"/>
      <c r="I27" s="1719"/>
      <c r="J27" s="1719"/>
      <c r="K27" s="1719"/>
      <c r="L27" s="1721"/>
    </row>
    <row r="28" spans="2:12" ht="15" customHeight="1" x14ac:dyDescent="0.3">
      <c r="B28" s="1718" t="s">
        <v>4625</v>
      </c>
      <c r="C28" s="1719"/>
      <c r="D28" s="1719"/>
      <c r="E28" s="1719" t="s">
        <v>4600</v>
      </c>
      <c r="F28" s="1719"/>
      <c r="G28" s="1719"/>
      <c r="H28" s="1719"/>
      <c r="I28" s="1719"/>
      <c r="J28" s="1719"/>
      <c r="K28" s="1719"/>
      <c r="L28" s="1721"/>
    </row>
    <row r="29" spans="2:12" ht="15" customHeight="1" x14ac:dyDescent="0.3">
      <c r="B29" s="1718"/>
      <c r="C29" s="1719"/>
      <c r="D29" s="1719"/>
      <c r="E29" s="1719" t="s">
        <v>4592</v>
      </c>
      <c r="F29" s="1719"/>
      <c r="G29" s="1719"/>
      <c r="H29" s="1719"/>
      <c r="I29" s="1719"/>
      <c r="J29" s="1719"/>
      <c r="K29" s="1719"/>
      <c r="L29" s="1721"/>
    </row>
    <row r="30" spans="2:12" ht="15" customHeight="1" x14ac:dyDescent="0.3">
      <c r="B30" s="1718" t="s">
        <v>4624</v>
      </c>
      <c r="C30" s="1719"/>
      <c r="D30" s="1719"/>
      <c r="E30" s="1719" t="s">
        <v>4600</v>
      </c>
      <c r="F30" s="1719"/>
      <c r="G30" s="1719"/>
      <c r="H30" s="1719"/>
      <c r="I30" s="1719"/>
      <c r="J30" s="1719"/>
      <c r="K30" s="1719"/>
      <c r="L30" s="1721"/>
    </row>
    <row r="31" spans="2:12" ht="15" customHeight="1" x14ac:dyDescent="0.3">
      <c r="B31" s="1718"/>
      <c r="C31" s="1719"/>
      <c r="D31" s="1719"/>
      <c r="E31" s="1719" t="s">
        <v>4592</v>
      </c>
      <c r="F31" s="1719"/>
      <c r="G31" s="1719"/>
      <c r="H31" s="1719"/>
      <c r="I31" s="1719"/>
      <c r="J31" s="1719"/>
      <c r="K31" s="1719"/>
      <c r="L31" s="1721"/>
    </row>
    <row r="32" spans="2:12" ht="15" customHeight="1" x14ac:dyDescent="0.3">
      <c r="B32" s="1718"/>
      <c r="C32" s="1719"/>
      <c r="D32" s="1719"/>
      <c r="E32" s="1719" t="s">
        <v>4586</v>
      </c>
      <c r="F32" s="1719"/>
      <c r="G32" s="1719"/>
      <c r="H32" s="1719"/>
      <c r="I32" s="1719"/>
      <c r="J32" s="1719"/>
      <c r="K32" s="1719"/>
      <c r="L32" s="1721"/>
    </row>
    <row r="33" spans="2:12" x14ac:dyDescent="0.3">
      <c r="B33" s="1718"/>
      <c r="C33" s="1719"/>
      <c r="D33" s="1719"/>
      <c r="E33" s="1719" t="s">
        <v>4580</v>
      </c>
      <c r="F33" s="1719"/>
      <c r="G33" s="1719"/>
      <c r="H33" s="1719"/>
      <c r="I33" s="1719"/>
      <c r="J33" s="1719"/>
      <c r="K33" s="1719"/>
      <c r="L33" s="1721"/>
    </row>
    <row r="34" spans="2:12" ht="15" customHeight="1" x14ac:dyDescent="0.3">
      <c r="B34" s="1718" t="s">
        <v>4623</v>
      </c>
      <c r="C34" s="1719"/>
      <c r="D34" s="1719"/>
      <c r="E34" s="1719" t="s">
        <v>4622</v>
      </c>
      <c r="F34" s="1719"/>
      <c r="G34" s="1719"/>
      <c r="H34" s="1719"/>
      <c r="I34" s="1719"/>
      <c r="J34" s="1719"/>
      <c r="K34" s="1719"/>
      <c r="L34" s="1721"/>
    </row>
    <row r="35" spans="2:12" ht="15" customHeight="1" x14ac:dyDescent="0.3">
      <c r="B35" s="1718"/>
      <c r="C35" s="1719"/>
      <c r="D35" s="1719"/>
      <c r="E35" s="1719" t="s">
        <v>4621</v>
      </c>
      <c r="F35" s="1719"/>
      <c r="G35" s="1719"/>
      <c r="H35" s="1719"/>
      <c r="I35" s="1719"/>
      <c r="J35" s="1719"/>
      <c r="K35" s="1719"/>
      <c r="L35" s="1721"/>
    </row>
    <row r="36" spans="2:12" ht="15" customHeight="1" x14ac:dyDescent="0.3">
      <c r="B36" s="1718"/>
      <c r="C36" s="1719"/>
      <c r="D36" s="1719"/>
      <c r="E36" s="1719" t="s">
        <v>4607</v>
      </c>
      <c r="F36" s="1719"/>
      <c r="G36" s="1719"/>
      <c r="H36" s="1719"/>
      <c r="I36" s="1719"/>
      <c r="J36" s="1719"/>
      <c r="K36" s="1719"/>
      <c r="L36" s="1721"/>
    </row>
    <row r="37" spans="2:12" ht="15" customHeight="1" x14ac:dyDescent="0.3">
      <c r="B37" s="1718"/>
      <c r="C37" s="1719"/>
      <c r="D37" s="1719"/>
      <c r="E37" s="1719" t="s">
        <v>4597</v>
      </c>
      <c r="F37" s="1719"/>
      <c r="G37" s="1719"/>
      <c r="H37" s="1719"/>
      <c r="I37" s="1719"/>
      <c r="J37" s="1719"/>
      <c r="K37" s="1719"/>
      <c r="L37" s="1721"/>
    </row>
    <row r="38" spans="2:12" ht="15" customHeight="1" x14ac:dyDescent="0.3">
      <c r="B38" s="1718"/>
      <c r="C38" s="1719"/>
      <c r="D38" s="1719"/>
      <c r="E38" s="1719" t="s">
        <v>4620</v>
      </c>
      <c r="F38" s="1719"/>
      <c r="G38" s="1719"/>
      <c r="H38" s="1719"/>
      <c r="I38" s="1719"/>
      <c r="J38" s="1719"/>
      <c r="K38" s="1719"/>
      <c r="L38" s="1721"/>
    </row>
    <row r="39" spans="2:12" ht="15.75" customHeight="1" x14ac:dyDescent="0.3">
      <c r="B39" s="1718" t="s">
        <v>4619</v>
      </c>
      <c r="C39" s="1719"/>
      <c r="D39" s="1719"/>
      <c r="E39" s="1719" t="s">
        <v>4618</v>
      </c>
      <c r="F39" s="1719"/>
      <c r="G39" s="1719"/>
      <c r="H39" s="1719"/>
      <c r="I39" s="1719"/>
      <c r="J39" s="1719"/>
      <c r="K39" s="1719"/>
      <c r="L39" s="1721"/>
    </row>
    <row r="40" spans="2:12" ht="15.75" customHeight="1" thickBot="1" x14ac:dyDescent="0.35">
      <c r="B40" s="1739"/>
      <c r="C40" s="1724"/>
      <c r="D40" s="1724"/>
      <c r="E40" s="1724"/>
      <c r="F40" s="1724"/>
      <c r="G40" s="1724"/>
      <c r="H40" s="1724"/>
      <c r="I40" s="1724"/>
      <c r="J40" s="1724"/>
      <c r="K40" s="1724"/>
      <c r="L40" s="1725"/>
    </row>
    <row r="43" spans="2:12" x14ac:dyDescent="0.3">
      <c r="B43" s="1749" t="s">
        <v>4617</v>
      </c>
      <c r="C43" s="1750"/>
      <c r="D43" s="1750"/>
      <c r="E43" s="1750"/>
      <c r="F43" s="1750"/>
      <c r="G43" s="1750"/>
      <c r="H43" s="1750"/>
      <c r="I43" s="1750"/>
      <c r="J43" s="1750"/>
      <c r="K43" s="1750"/>
      <c r="L43" s="1751"/>
    </row>
    <row r="44" spans="2:12" ht="15" thickBot="1" x14ac:dyDescent="0.35">
      <c r="B44" s="1752" t="s">
        <v>4616</v>
      </c>
      <c r="C44" s="1753"/>
      <c r="D44" s="1753"/>
      <c r="E44" s="1753"/>
      <c r="F44" s="1753"/>
      <c r="G44" s="1753"/>
      <c r="H44" s="1753"/>
      <c r="I44" s="1753"/>
      <c r="J44" s="1753"/>
      <c r="K44" s="1753"/>
      <c r="L44" s="1754"/>
    </row>
    <row r="45" spans="2:12" ht="15" thickBot="1" x14ac:dyDescent="0.35">
      <c r="B45" s="1734" t="s">
        <v>4615</v>
      </c>
      <c r="C45" s="1735"/>
      <c r="D45" s="1735"/>
      <c r="E45" s="1735"/>
      <c r="F45" s="1736"/>
      <c r="G45" s="1734" t="s">
        <v>4614</v>
      </c>
      <c r="H45" s="1735"/>
      <c r="I45" s="1735"/>
      <c r="J45" s="1735"/>
      <c r="K45" s="1735"/>
      <c r="L45" s="1736"/>
    </row>
    <row r="46" spans="2:12" x14ac:dyDescent="0.3">
      <c r="B46" s="1737" t="s">
        <v>4613</v>
      </c>
      <c r="C46" s="1738"/>
      <c r="D46" s="1738"/>
      <c r="E46" s="1738"/>
      <c r="F46" s="1738"/>
      <c r="G46" s="1744" t="s">
        <v>4612</v>
      </c>
      <c r="H46" s="1744"/>
      <c r="I46" s="1744"/>
      <c r="J46" s="1744"/>
      <c r="K46" s="1744"/>
      <c r="L46" s="1745"/>
    </row>
    <row r="47" spans="2:12" x14ac:dyDescent="0.3">
      <c r="B47" s="1718"/>
      <c r="C47" s="1719"/>
      <c r="D47" s="1719"/>
      <c r="E47" s="1719"/>
      <c r="F47" s="1719"/>
      <c r="G47" s="1740" t="s">
        <v>4611</v>
      </c>
      <c r="H47" s="1740"/>
      <c r="I47" s="1740"/>
      <c r="J47" s="1740"/>
      <c r="K47" s="1740"/>
      <c r="L47" s="1741"/>
    </row>
    <row r="48" spans="2:12" x14ac:dyDescent="0.3">
      <c r="B48" s="1718"/>
      <c r="C48" s="1719"/>
      <c r="D48" s="1719"/>
      <c r="E48" s="1719"/>
      <c r="F48" s="1719"/>
      <c r="G48" s="1740" t="s">
        <v>4610</v>
      </c>
      <c r="H48" s="1740"/>
      <c r="I48" s="1740"/>
      <c r="J48" s="1740"/>
      <c r="K48" s="1740"/>
      <c r="L48" s="1741"/>
    </row>
    <row r="49" spans="2:12" x14ac:dyDescent="0.3">
      <c r="B49" s="1718"/>
      <c r="C49" s="1719"/>
      <c r="D49" s="1719"/>
      <c r="E49" s="1719"/>
      <c r="F49" s="1719"/>
      <c r="G49" s="1742" t="s">
        <v>4609</v>
      </c>
      <c r="H49" s="1742"/>
      <c r="I49" s="1742"/>
      <c r="J49" s="1742"/>
      <c r="K49" s="1742"/>
      <c r="L49" s="1743"/>
    </row>
    <row r="50" spans="2:12" x14ac:dyDescent="0.3">
      <c r="B50" s="1718"/>
      <c r="C50" s="1719"/>
      <c r="D50" s="1719"/>
      <c r="E50" s="1719"/>
      <c r="F50" s="1719"/>
      <c r="G50" s="1740" t="s">
        <v>4608</v>
      </c>
      <c r="H50" s="1740"/>
      <c r="I50" s="1740"/>
      <c r="J50" s="1740"/>
      <c r="K50" s="1740"/>
      <c r="L50" s="1741"/>
    </row>
    <row r="51" spans="2:12" x14ac:dyDescent="0.3">
      <c r="B51" s="1718" t="s">
        <v>4607</v>
      </c>
      <c r="C51" s="1719"/>
      <c r="D51" s="1719"/>
      <c r="E51" s="1719"/>
      <c r="F51" s="1719"/>
      <c r="G51" s="1740" t="s">
        <v>4606</v>
      </c>
      <c r="H51" s="1740"/>
      <c r="I51" s="1740"/>
      <c r="J51" s="1740"/>
      <c r="K51" s="1740"/>
      <c r="L51" s="1741"/>
    </row>
    <row r="52" spans="2:12" x14ac:dyDescent="0.3">
      <c r="B52" s="1718"/>
      <c r="C52" s="1719"/>
      <c r="D52" s="1719"/>
      <c r="E52" s="1719"/>
      <c r="F52" s="1719"/>
      <c r="G52" s="1740" t="s">
        <v>4605</v>
      </c>
      <c r="H52" s="1740"/>
      <c r="I52" s="1740"/>
      <c r="J52" s="1740"/>
      <c r="K52" s="1740"/>
      <c r="L52" s="1741"/>
    </row>
    <row r="53" spans="2:12" x14ac:dyDescent="0.3">
      <c r="B53" s="1718"/>
      <c r="C53" s="1719"/>
      <c r="D53" s="1719"/>
      <c r="E53" s="1719"/>
      <c r="F53" s="1719"/>
      <c r="G53" s="1740" t="s">
        <v>4604</v>
      </c>
      <c r="H53" s="1740"/>
      <c r="I53" s="1740"/>
      <c r="J53" s="1740"/>
      <c r="K53" s="1740"/>
      <c r="L53" s="1741"/>
    </row>
    <row r="54" spans="2:12" x14ac:dyDescent="0.3">
      <c r="B54" s="1718"/>
      <c r="C54" s="1719"/>
      <c r="D54" s="1719"/>
      <c r="E54" s="1719"/>
      <c r="F54" s="1719"/>
      <c r="G54" s="1740" t="s">
        <v>4603</v>
      </c>
      <c r="H54" s="1740"/>
      <c r="I54" s="1740"/>
      <c r="J54" s="1740"/>
      <c r="K54" s="1740"/>
      <c r="L54" s="1741"/>
    </row>
    <row r="55" spans="2:12" x14ac:dyDescent="0.3">
      <c r="B55" s="1718"/>
      <c r="C55" s="1719"/>
      <c r="D55" s="1719"/>
      <c r="E55" s="1719"/>
      <c r="F55" s="1719"/>
      <c r="G55" s="1742" t="s">
        <v>4602</v>
      </c>
      <c r="H55" s="1742"/>
      <c r="I55" s="1742"/>
      <c r="J55" s="1742"/>
      <c r="K55" s="1742"/>
      <c r="L55" s="1743"/>
    </row>
    <row r="56" spans="2:12" x14ac:dyDescent="0.3">
      <c r="B56" s="1718"/>
      <c r="C56" s="1719"/>
      <c r="D56" s="1719"/>
      <c r="E56" s="1719"/>
      <c r="F56" s="1719"/>
      <c r="G56" s="1740" t="s">
        <v>4601</v>
      </c>
      <c r="H56" s="1740"/>
      <c r="I56" s="1740"/>
      <c r="J56" s="1740"/>
      <c r="K56" s="1740"/>
      <c r="L56" s="1741"/>
    </row>
    <row r="57" spans="2:12" x14ac:dyDescent="0.3">
      <c r="B57" s="1718" t="s">
        <v>4600</v>
      </c>
      <c r="C57" s="1719"/>
      <c r="D57" s="1719"/>
      <c r="E57" s="1719"/>
      <c r="F57" s="1719"/>
      <c r="G57" s="1740" t="s">
        <v>4599</v>
      </c>
      <c r="H57" s="1740"/>
      <c r="I57" s="1740"/>
      <c r="J57" s="1740"/>
      <c r="K57" s="1740"/>
      <c r="L57" s="1741"/>
    </row>
    <row r="58" spans="2:12" x14ac:dyDescent="0.3">
      <c r="B58" s="1718"/>
      <c r="C58" s="1719"/>
      <c r="D58" s="1719"/>
      <c r="E58" s="1719"/>
      <c r="F58" s="1719"/>
      <c r="G58" s="1740"/>
      <c r="H58" s="1740"/>
      <c r="I58" s="1740"/>
      <c r="J58" s="1740"/>
      <c r="K58" s="1740"/>
      <c r="L58" s="1741"/>
    </row>
    <row r="59" spans="2:12" x14ac:dyDescent="0.3">
      <c r="B59" s="1718"/>
      <c r="C59" s="1719"/>
      <c r="D59" s="1719"/>
      <c r="E59" s="1719"/>
      <c r="F59" s="1719"/>
      <c r="G59" s="1742" t="s">
        <v>4598</v>
      </c>
      <c r="H59" s="1742"/>
      <c r="I59" s="1742"/>
      <c r="J59" s="1742"/>
      <c r="K59" s="1742"/>
      <c r="L59" s="1743"/>
    </row>
    <row r="60" spans="2:12" x14ac:dyDescent="0.3">
      <c r="B60" s="1718"/>
      <c r="C60" s="1719"/>
      <c r="D60" s="1719"/>
      <c r="E60" s="1719"/>
      <c r="F60" s="1719"/>
      <c r="G60" s="1740" t="s">
        <v>4575</v>
      </c>
      <c r="H60" s="1740"/>
      <c r="I60" s="1740"/>
      <c r="J60" s="1740"/>
      <c r="K60" s="1740"/>
      <c r="L60" s="1741"/>
    </row>
    <row r="61" spans="2:12" x14ac:dyDescent="0.3">
      <c r="B61" s="1718" t="s">
        <v>4597</v>
      </c>
      <c r="C61" s="1719"/>
      <c r="D61" s="1719"/>
      <c r="E61" s="1719"/>
      <c r="F61" s="1719"/>
      <c r="G61" s="1740" t="s">
        <v>4596</v>
      </c>
      <c r="H61" s="1740"/>
      <c r="I61" s="1740"/>
      <c r="J61" s="1740"/>
      <c r="K61" s="1740"/>
      <c r="L61" s="1741"/>
    </row>
    <row r="62" spans="2:12" x14ac:dyDescent="0.3">
      <c r="B62" s="1718"/>
      <c r="C62" s="1719"/>
      <c r="D62" s="1719"/>
      <c r="E62" s="1719"/>
      <c r="F62" s="1719"/>
      <c r="G62" s="1740" t="s">
        <v>4595</v>
      </c>
      <c r="H62" s="1740"/>
      <c r="I62" s="1740"/>
      <c r="J62" s="1740"/>
      <c r="K62" s="1740"/>
      <c r="L62" s="1741"/>
    </row>
    <row r="63" spans="2:12" x14ac:dyDescent="0.3">
      <c r="B63" s="1718"/>
      <c r="C63" s="1719"/>
      <c r="D63" s="1719"/>
      <c r="E63" s="1719"/>
      <c r="F63" s="1719"/>
      <c r="G63" s="1740" t="s">
        <v>4594</v>
      </c>
      <c r="H63" s="1740"/>
      <c r="I63" s="1740"/>
      <c r="J63" s="1740"/>
      <c r="K63" s="1740"/>
      <c r="L63" s="1741"/>
    </row>
    <row r="64" spans="2:12" x14ac:dyDescent="0.3">
      <c r="B64" s="1718"/>
      <c r="C64" s="1719"/>
      <c r="D64" s="1719"/>
      <c r="E64" s="1719"/>
      <c r="F64" s="1719"/>
      <c r="G64" s="1742" t="s">
        <v>4593</v>
      </c>
      <c r="H64" s="1742"/>
      <c r="I64" s="1742"/>
      <c r="J64" s="1742"/>
      <c r="K64" s="1742"/>
      <c r="L64" s="1743"/>
    </row>
    <row r="65" spans="2:12" x14ac:dyDescent="0.3">
      <c r="B65" s="1718" t="s">
        <v>4592</v>
      </c>
      <c r="C65" s="1719"/>
      <c r="D65" s="1719"/>
      <c r="E65" s="1719"/>
      <c r="F65" s="1719"/>
      <c r="G65" s="1740" t="s">
        <v>4591</v>
      </c>
      <c r="H65" s="1740"/>
      <c r="I65" s="1740"/>
      <c r="J65" s="1740"/>
      <c r="K65" s="1740"/>
      <c r="L65" s="1741"/>
    </row>
    <row r="66" spans="2:12" x14ac:dyDescent="0.3">
      <c r="B66" s="1718"/>
      <c r="C66" s="1719"/>
      <c r="D66" s="1719"/>
      <c r="E66" s="1719"/>
      <c r="F66" s="1719"/>
      <c r="G66" s="1740" t="s">
        <v>4590</v>
      </c>
      <c r="H66" s="1740"/>
      <c r="I66" s="1740"/>
      <c r="J66" s="1740"/>
      <c r="K66" s="1740"/>
      <c r="L66" s="1741"/>
    </row>
    <row r="67" spans="2:12" x14ac:dyDescent="0.3">
      <c r="B67" s="1718"/>
      <c r="C67" s="1719"/>
      <c r="D67" s="1719"/>
      <c r="E67" s="1719"/>
      <c r="F67" s="1719"/>
      <c r="G67" s="1740" t="s">
        <v>4589</v>
      </c>
      <c r="H67" s="1740"/>
      <c r="I67" s="1740"/>
      <c r="J67" s="1740"/>
      <c r="K67" s="1740"/>
      <c r="L67" s="1741"/>
    </row>
    <row r="68" spans="2:12" x14ac:dyDescent="0.3">
      <c r="B68" s="1718"/>
      <c r="C68" s="1719"/>
      <c r="D68" s="1719"/>
      <c r="E68" s="1719"/>
      <c r="F68" s="1719"/>
      <c r="G68" s="1742" t="s">
        <v>4588</v>
      </c>
      <c r="H68" s="1742"/>
      <c r="I68" s="1742"/>
      <c r="J68" s="1742"/>
      <c r="K68" s="1742"/>
      <c r="L68" s="1743"/>
    </row>
    <row r="69" spans="2:12" x14ac:dyDescent="0.3">
      <c r="B69" s="1718"/>
      <c r="C69" s="1719"/>
      <c r="D69" s="1719"/>
      <c r="E69" s="1719"/>
      <c r="F69" s="1719"/>
      <c r="G69" s="1740" t="s">
        <v>4587</v>
      </c>
      <c r="H69" s="1740"/>
      <c r="I69" s="1740"/>
      <c r="J69" s="1740"/>
      <c r="K69" s="1740"/>
      <c r="L69" s="1741"/>
    </row>
    <row r="70" spans="2:12" x14ac:dyDescent="0.3">
      <c r="B70" s="1718" t="s">
        <v>4586</v>
      </c>
      <c r="C70" s="1719"/>
      <c r="D70" s="1719"/>
      <c r="E70" s="1719"/>
      <c r="F70" s="1719"/>
      <c r="G70" s="1740" t="s">
        <v>4585</v>
      </c>
      <c r="H70" s="1740"/>
      <c r="I70" s="1740"/>
      <c r="J70" s="1740"/>
      <c r="K70" s="1740"/>
      <c r="L70" s="1741"/>
    </row>
    <row r="71" spans="2:12" x14ac:dyDescent="0.3">
      <c r="B71" s="1718"/>
      <c r="C71" s="1719"/>
      <c r="D71" s="1719"/>
      <c r="E71" s="1719"/>
      <c r="F71" s="1719"/>
      <c r="G71" s="1740" t="s">
        <v>4584</v>
      </c>
      <c r="H71" s="1740"/>
      <c r="I71" s="1740"/>
      <c r="J71" s="1740"/>
      <c r="K71" s="1740"/>
      <c r="L71" s="1741"/>
    </row>
    <row r="72" spans="2:12" x14ac:dyDescent="0.3">
      <c r="B72" s="1718"/>
      <c r="C72" s="1719"/>
      <c r="D72" s="1719"/>
      <c r="E72" s="1719"/>
      <c r="F72" s="1719"/>
      <c r="G72" s="1740" t="s">
        <v>4583</v>
      </c>
      <c r="H72" s="1740"/>
      <c r="I72" s="1740"/>
      <c r="J72" s="1740"/>
      <c r="K72" s="1740"/>
      <c r="L72" s="1741"/>
    </row>
    <row r="73" spans="2:12" x14ac:dyDescent="0.3">
      <c r="B73" s="1718"/>
      <c r="C73" s="1719"/>
      <c r="D73" s="1719"/>
      <c r="E73" s="1719"/>
      <c r="F73" s="1719"/>
      <c r="G73" s="1742" t="s">
        <v>4582</v>
      </c>
      <c r="H73" s="1742"/>
      <c r="I73" s="1742"/>
      <c r="J73" s="1742"/>
      <c r="K73" s="1742"/>
      <c r="L73" s="1743"/>
    </row>
    <row r="74" spans="2:12" x14ac:dyDescent="0.3">
      <c r="B74" s="1718"/>
      <c r="C74" s="1719"/>
      <c r="D74" s="1719"/>
      <c r="E74" s="1719"/>
      <c r="F74" s="1719"/>
      <c r="G74" s="1740" t="s">
        <v>4581</v>
      </c>
      <c r="H74" s="1740"/>
      <c r="I74" s="1740"/>
      <c r="J74" s="1740"/>
      <c r="K74" s="1740"/>
      <c r="L74" s="1741"/>
    </row>
    <row r="75" spans="2:12" x14ac:dyDescent="0.3">
      <c r="B75" s="1718" t="s">
        <v>4580</v>
      </c>
      <c r="C75" s="1719"/>
      <c r="D75" s="1719"/>
      <c r="E75" s="1719"/>
      <c r="F75" s="1719"/>
      <c r="G75" s="1740" t="s">
        <v>4579</v>
      </c>
      <c r="H75" s="1740"/>
      <c r="I75" s="1740"/>
      <c r="J75" s="1740"/>
      <c r="K75" s="1740"/>
      <c r="L75" s="1741"/>
    </row>
    <row r="76" spans="2:12" x14ac:dyDescent="0.3">
      <c r="B76" s="1718"/>
      <c r="C76" s="1719"/>
      <c r="D76" s="1719"/>
      <c r="E76" s="1719"/>
      <c r="F76" s="1719"/>
      <c r="G76" s="1740" t="s">
        <v>4578</v>
      </c>
      <c r="H76" s="1740"/>
      <c r="I76" s="1740"/>
      <c r="J76" s="1740"/>
      <c r="K76" s="1740"/>
      <c r="L76" s="1741"/>
    </row>
    <row r="77" spans="2:12" x14ac:dyDescent="0.3">
      <c r="B77" s="1718"/>
      <c r="C77" s="1719"/>
      <c r="D77" s="1719"/>
      <c r="E77" s="1719"/>
      <c r="F77" s="1719"/>
      <c r="G77" s="1740" t="s">
        <v>4577</v>
      </c>
      <c r="H77" s="1740"/>
      <c r="I77" s="1740"/>
      <c r="J77" s="1740"/>
      <c r="K77" s="1740"/>
      <c r="L77" s="1741"/>
    </row>
    <row r="78" spans="2:12" x14ac:dyDescent="0.3">
      <c r="B78" s="1718"/>
      <c r="C78" s="1719"/>
      <c r="D78" s="1719"/>
      <c r="E78" s="1719"/>
      <c r="F78" s="1719"/>
      <c r="G78" s="1742" t="s">
        <v>4576</v>
      </c>
      <c r="H78" s="1742"/>
      <c r="I78" s="1742"/>
      <c r="J78" s="1742"/>
      <c r="K78" s="1742"/>
      <c r="L78" s="1743"/>
    </row>
    <row r="79" spans="2:12" ht="15" thickBot="1" x14ac:dyDescent="0.35">
      <c r="B79" s="1739"/>
      <c r="C79" s="1724"/>
      <c r="D79" s="1724"/>
      <c r="E79" s="1724"/>
      <c r="F79" s="1724"/>
      <c r="G79" s="1747" t="s">
        <v>4575</v>
      </c>
      <c r="H79" s="1747"/>
      <c r="I79" s="1747"/>
      <c r="J79" s="1747"/>
      <c r="K79" s="1747"/>
      <c r="L79" s="1748"/>
    </row>
  </sheetData>
  <sheetProtection algorithmName="SHA-512" hashValue="zND5ufEUvjPfyED7ACpcFTGf45NOCbCbN0kpbi3uI+Le6fM8LeV5jLi0DK6s0wz7Ou5OZcNK0vjKX60IdnatGw==" saltValue="7TF3Ik/nvJGtsADx5mxYdA==" spinCount="100000" sheet="1" objects="1" scenarios="1" selectLockedCells="1" selectUnlockedCells="1"/>
  <mergeCells count="81">
    <mergeCell ref="B4:I6"/>
    <mergeCell ref="G77:L77"/>
    <mergeCell ref="G78:L78"/>
    <mergeCell ref="G79:L79"/>
    <mergeCell ref="B43:L43"/>
    <mergeCell ref="B44:L44"/>
    <mergeCell ref="B23:D24"/>
    <mergeCell ref="B26:D27"/>
    <mergeCell ref="G57:L58"/>
    <mergeCell ref="G71:L71"/>
    <mergeCell ref="G76:L76"/>
    <mergeCell ref="G65:L65"/>
    <mergeCell ref="G66:L66"/>
    <mergeCell ref="G67:L67"/>
    <mergeCell ref="G68:L68"/>
    <mergeCell ref="G69:L69"/>
    <mergeCell ref="G64:L64"/>
    <mergeCell ref="G72:L72"/>
    <mergeCell ref="G73:L73"/>
    <mergeCell ref="G74:L74"/>
    <mergeCell ref="G75:L75"/>
    <mergeCell ref="B75:F79"/>
    <mergeCell ref="G45:L45"/>
    <mergeCell ref="G46:L46"/>
    <mergeCell ref="G47:L47"/>
    <mergeCell ref="G48:L48"/>
    <mergeCell ref="G49:L49"/>
    <mergeCell ref="G50:L50"/>
    <mergeCell ref="G51:L51"/>
    <mergeCell ref="G52:L52"/>
    <mergeCell ref="G53:L53"/>
    <mergeCell ref="G70:L70"/>
    <mergeCell ref="G59:L59"/>
    <mergeCell ref="G60:L60"/>
    <mergeCell ref="G61:L61"/>
    <mergeCell ref="G62:L62"/>
    <mergeCell ref="G63:L63"/>
    <mergeCell ref="B51:F56"/>
    <mergeCell ref="B57:F60"/>
    <mergeCell ref="G54:L54"/>
    <mergeCell ref="G55:L55"/>
    <mergeCell ref="G56:L56"/>
    <mergeCell ref="B25:D25"/>
    <mergeCell ref="B21:D22"/>
    <mergeCell ref="E21:L22"/>
    <mergeCell ref="B45:F45"/>
    <mergeCell ref="B46:F50"/>
    <mergeCell ref="E38:L38"/>
    <mergeCell ref="B39:D40"/>
    <mergeCell ref="E28:L28"/>
    <mergeCell ref="E29:L29"/>
    <mergeCell ref="E30:L30"/>
    <mergeCell ref="E31:L31"/>
    <mergeCell ref="E32:L32"/>
    <mergeCell ref="B18:E18"/>
    <mergeCell ref="B20:L20"/>
    <mergeCell ref="B11:L11"/>
    <mergeCell ref="B13:L14"/>
    <mergeCell ref="B8:L8"/>
    <mergeCell ref="B9:L9"/>
    <mergeCell ref="B16:L16"/>
    <mergeCell ref="B17:L17"/>
    <mergeCell ref="B10:E10"/>
    <mergeCell ref="B12:E12"/>
    <mergeCell ref="B15:E15"/>
    <mergeCell ref="B65:F69"/>
    <mergeCell ref="B70:F74"/>
    <mergeCell ref="B61:F64"/>
    <mergeCell ref="B19:L19"/>
    <mergeCell ref="B34:D38"/>
    <mergeCell ref="B28:D29"/>
    <mergeCell ref="B30:D33"/>
    <mergeCell ref="E25:L25"/>
    <mergeCell ref="E34:L34"/>
    <mergeCell ref="E35:L35"/>
    <mergeCell ref="E36:L36"/>
    <mergeCell ref="E37:L37"/>
    <mergeCell ref="E33:L33"/>
    <mergeCell ref="E23:L24"/>
    <mergeCell ref="E26:L27"/>
    <mergeCell ref="E39:L40"/>
  </mergeCells>
  <hyperlinks>
    <hyperlink ref="G49" r:id="rId1" display="http://www.kcma.org/" xr:uid="{00000000-0004-0000-1500-000000000000}"/>
    <hyperlink ref="G55" r:id="rId2" display="http://www.carpet-rug.org/" xr:uid="{00000000-0004-0000-1500-000001000000}"/>
    <hyperlink ref="G59" r:id="rId3" display="http://www.ul.com/" xr:uid="{00000000-0004-0000-1500-000002000000}"/>
    <hyperlink ref="G64" r:id="rId4" display="http://www.rfci.com/" xr:uid="{00000000-0004-0000-1500-000003000000}"/>
    <hyperlink ref="G68" r:id="rId5" display="http://www.scscertified.com/" xr:uid="{00000000-0004-0000-1500-000004000000}"/>
    <hyperlink ref="G73" r:id="rId6" display="http://www.greenseal.org/" xr:uid="{00000000-0004-0000-1500-000005000000}"/>
    <hyperlink ref="G78" r:id="rId7" display="http://www.ul.com/" xr:uid="{00000000-0004-0000-1500-000006000000}"/>
  </hyperlinks>
  <pageMargins left="0.7" right="0.7" top="0.75" bottom="0.75" header="0.3" footer="0.3"/>
  <pageSetup paperSize="185" orientation="portrait" r:id="rId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dimension ref="B2:H12"/>
  <sheetViews>
    <sheetView showGridLines="0" zoomScaleNormal="100" workbookViewId="0">
      <selection activeCell="F2" sqref="F2:H2"/>
    </sheetView>
  </sheetViews>
  <sheetFormatPr defaultColWidth="9.109375" defaultRowHeight="14.4" x14ac:dyDescent="0.3"/>
  <cols>
    <col min="1" max="7" width="9.109375" style="150"/>
    <col min="8" max="8" width="10.109375" style="150" customWidth="1"/>
    <col min="9" max="16384" width="9.109375" style="150"/>
  </cols>
  <sheetData>
    <row r="2" spans="2:8" s="153" customFormat="1" x14ac:dyDescent="0.3">
      <c r="B2" s="1761" t="s">
        <v>3238</v>
      </c>
      <c r="C2" s="1761"/>
      <c r="F2" s="1756" t="s">
        <v>4657</v>
      </c>
      <c r="G2" s="1757"/>
      <c r="H2" s="1758"/>
    </row>
    <row r="4" spans="2:8" x14ac:dyDescent="0.3">
      <c r="C4" s="1763" t="s">
        <v>3211</v>
      </c>
      <c r="D4" s="1763"/>
      <c r="E4" s="1763"/>
      <c r="F4" s="1763"/>
      <c r="G4" s="1763"/>
      <c r="H4" s="1763"/>
    </row>
    <row r="5" spans="2:8" ht="15" customHeight="1" x14ac:dyDescent="0.3">
      <c r="B5" s="97"/>
      <c r="C5" s="1768" t="s">
        <v>3210</v>
      </c>
      <c r="D5" s="1768"/>
      <c r="E5" s="1768"/>
      <c r="F5" s="1768"/>
      <c r="G5" s="1768"/>
      <c r="H5" s="1768"/>
    </row>
    <row r="6" spans="2:8" ht="25.5" customHeight="1" x14ac:dyDescent="0.3">
      <c r="C6" s="1764" t="s">
        <v>3209</v>
      </c>
      <c r="D6" s="1765"/>
      <c r="E6" s="1764" t="s">
        <v>3208</v>
      </c>
      <c r="F6" s="1765"/>
      <c r="G6" s="1766" t="s">
        <v>3207</v>
      </c>
      <c r="H6" s="1766"/>
    </row>
    <row r="7" spans="2:8" x14ac:dyDescent="0.3">
      <c r="C7" s="1759" t="s">
        <v>3206</v>
      </c>
      <c r="D7" s="1760"/>
      <c r="E7" s="1759">
        <v>12</v>
      </c>
      <c r="F7" s="1760"/>
      <c r="G7" s="1767">
        <v>12</v>
      </c>
      <c r="H7" s="1767"/>
    </row>
    <row r="8" spans="2:8" x14ac:dyDescent="0.3">
      <c r="C8" s="1759" t="s">
        <v>3205</v>
      </c>
      <c r="D8" s="1760"/>
      <c r="E8" s="1759">
        <v>18</v>
      </c>
      <c r="F8" s="1760"/>
      <c r="G8" s="1767">
        <v>12</v>
      </c>
      <c r="H8" s="1767"/>
    </row>
    <row r="9" spans="2:8" x14ac:dyDescent="0.3">
      <c r="C9" s="1759" t="s">
        <v>3204</v>
      </c>
      <c r="D9" s="1760"/>
      <c r="E9" s="1759">
        <v>24</v>
      </c>
      <c r="F9" s="1760"/>
      <c r="G9" s="1767">
        <v>12</v>
      </c>
      <c r="H9" s="1767"/>
    </row>
    <row r="10" spans="2:8" ht="15" customHeight="1" x14ac:dyDescent="0.3">
      <c r="C10" s="1506" t="s">
        <v>3241</v>
      </c>
      <c r="D10" s="1506"/>
      <c r="E10" s="1506"/>
      <c r="F10" s="1506"/>
      <c r="G10" s="1506"/>
      <c r="H10" s="1506"/>
    </row>
    <row r="11" spans="2:8" x14ac:dyDescent="0.3">
      <c r="C11" s="1769" t="s">
        <v>3240</v>
      </c>
      <c r="D11" s="1769"/>
      <c r="E11" s="1769"/>
      <c r="F11" s="1769"/>
      <c r="G11" s="1769"/>
      <c r="H11" s="1769"/>
    </row>
    <row r="12" spans="2:8" x14ac:dyDescent="0.3">
      <c r="C12" s="1762" t="s">
        <v>3203</v>
      </c>
      <c r="D12" s="1762"/>
      <c r="E12" s="1762"/>
    </row>
  </sheetData>
  <sheetProtection algorithmName="SHA-512" hashValue="LnjFmGbPZ08N7W9SDri4h6MZjoJ/yF5ZmLUBjI4yhoak7nGECkRX44LEvrzyn22zwFXyfeqp0/14VwEaS9JyIw==" saltValue="qWKLvMjbNLmJLWo+9ZRDhw==" spinCount="100000" sheet="1" objects="1" scenarios="1" selectLockedCells="1"/>
  <mergeCells count="19">
    <mergeCell ref="C12:E12"/>
    <mergeCell ref="C4:H4"/>
    <mergeCell ref="C6:D6"/>
    <mergeCell ref="C8:D8"/>
    <mergeCell ref="C7:D7"/>
    <mergeCell ref="C9:D9"/>
    <mergeCell ref="E6:F6"/>
    <mergeCell ref="G6:H6"/>
    <mergeCell ref="G7:H7"/>
    <mergeCell ref="G8:H8"/>
    <mergeCell ref="G9:H9"/>
    <mergeCell ref="C5:H5"/>
    <mergeCell ref="C10:H10"/>
    <mergeCell ref="C11:H11"/>
    <mergeCell ref="F2:H2"/>
    <mergeCell ref="E7:F7"/>
    <mergeCell ref="E8:F8"/>
    <mergeCell ref="E9:F9"/>
    <mergeCell ref="B2:C2"/>
  </mergeCells>
  <hyperlinks>
    <hyperlink ref="C11:H11" location="'Figure 6(2)'!A1" display="Figure 6(2)" xr:uid="{00000000-0004-0000-1600-000000000000}"/>
    <hyperlink ref="B2:C2" location="hyptarg3" display="back to 602.1.12" xr:uid="{00000000-0004-0000-1600-000001000000}"/>
    <hyperlink ref="F2:G2" location="'Verification Report'!A1" display="back to Verification Report" xr:uid="{00000000-0004-0000-1600-000002000000}"/>
    <hyperlink ref="F2:H2" location="'Verification Report'!A1" display="back to Verification Report" xr:uid="{00000000-0004-0000-1600-000003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1"/>
  <dimension ref="B1:H9"/>
  <sheetViews>
    <sheetView showGridLines="0" zoomScaleNormal="100" workbookViewId="0">
      <selection activeCell="B2" sqref="B2:C2"/>
    </sheetView>
  </sheetViews>
  <sheetFormatPr defaultColWidth="9.109375" defaultRowHeight="14.4" x14ac:dyDescent="0.3"/>
  <cols>
    <col min="1" max="1" width="9.109375" style="150"/>
    <col min="2" max="2" width="9.109375" style="150" customWidth="1"/>
    <col min="3" max="3" width="9.109375" style="150"/>
    <col min="4" max="4" width="11.5546875" style="150" customWidth="1"/>
    <col min="5" max="5" width="9.109375" style="150"/>
    <col min="6" max="6" width="10.5546875" style="150" customWidth="1"/>
    <col min="7" max="7" width="9.109375" style="150"/>
    <col min="8" max="8" width="11.33203125" style="150" customWidth="1"/>
    <col min="9" max="16384" width="9.109375" style="150"/>
  </cols>
  <sheetData>
    <row r="1" spans="2:8" s="170" customFormat="1" x14ac:dyDescent="0.3"/>
    <row r="2" spans="2:8" x14ac:dyDescent="0.3">
      <c r="B2" s="1761" t="s">
        <v>3268</v>
      </c>
      <c r="C2" s="1761"/>
      <c r="F2" s="1756" t="s">
        <v>4657</v>
      </c>
      <c r="G2" s="1757"/>
      <c r="H2" s="1758"/>
    </row>
    <row r="4" spans="2:8" x14ac:dyDescent="0.3">
      <c r="C4" s="1763" t="s">
        <v>3218</v>
      </c>
      <c r="D4" s="1763"/>
      <c r="E4" s="1763"/>
      <c r="F4" s="1763"/>
      <c r="G4" s="1763"/>
      <c r="H4" s="1763"/>
    </row>
    <row r="5" spans="2:8" x14ac:dyDescent="0.3">
      <c r="C5" s="1768" t="s">
        <v>3217</v>
      </c>
      <c r="D5" s="1768"/>
      <c r="E5" s="1768"/>
      <c r="F5" s="1768"/>
      <c r="G5" s="1768"/>
      <c r="H5" s="1768"/>
    </row>
    <row r="6" spans="2:8" ht="24.75" customHeight="1" x14ac:dyDescent="0.3">
      <c r="C6" s="1764" t="s">
        <v>3261</v>
      </c>
      <c r="D6" s="1765"/>
      <c r="E6" s="1764" t="s">
        <v>3216</v>
      </c>
      <c r="F6" s="1765"/>
      <c r="G6" s="1766" t="s">
        <v>3215</v>
      </c>
      <c r="H6" s="1766"/>
    </row>
    <row r="7" spans="2:8" x14ac:dyDescent="0.3">
      <c r="C7" s="1759" t="s">
        <v>3214</v>
      </c>
      <c r="D7" s="1760"/>
      <c r="E7" s="1770">
        <v>1</v>
      </c>
      <c r="F7" s="1771"/>
      <c r="G7" s="1766">
        <v>2</v>
      </c>
      <c r="H7" s="1766"/>
    </row>
    <row r="8" spans="2:8" x14ac:dyDescent="0.3">
      <c r="C8" s="1759" t="s">
        <v>3213</v>
      </c>
      <c r="D8" s="1760"/>
      <c r="E8" s="1770">
        <v>2</v>
      </c>
      <c r="F8" s="1771"/>
      <c r="G8" s="1766">
        <v>4</v>
      </c>
      <c r="H8" s="1766"/>
    </row>
    <row r="9" spans="2:8" x14ac:dyDescent="0.3">
      <c r="C9" s="1759" t="s">
        <v>3212</v>
      </c>
      <c r="D9" s="1760"/>
      <c r="E9" s="1770">
        <v>3</v>
      </c>
      <c r="F9" s="1771"/>
      <c r="G9" s="1766">
        <v>6</v>
      </c>
      <c r="H9" s="1766"/>
    </row>
  </sheetData>
  <sheetProtection algorithmName="SHA-512" hashValue="7mOePq9WI0LOF43ZI7UNUNKyZgDT5KC4b7tOkAGiOhWtn1HC3cCkLw6n2BKl/VkHLWxrcsWM2iHKXjZXUp5KsA==" saltValue="+N1FRU84f2lTzSuRpI+pcw==" spinCount="100000" sheet="1" objects="1" scenarios="1" selectLockedCells="1"/>
  <mergeCells count="16">
    <mergeCell ref="C9:D9"/>
    <mergeCell ref="E9:F9"/>
    <mergeCell ref="G9:H9"/>
    <mergeCell ref="C7:D7"/>
    <mergeCell ref="E7:F7"/>
    <mergeCell ref="G7:H7"/>
    <mergeCell ref="F2:H2"/>
    <mergeCell ref="B2:C2"/>
    <mergeCell ref="C8:D8"/>
    <mergeCell ref="E8:F8"/>
    <mergeCell ref="G8:H8"/>
    <mergeCell ref="C4:H4"/>
    <mergeCell ref="C5:H5"/>
    <mergeCell ref="C6:D6"/>
    <mergeCell ref="E6:F6"/>
    <mergeCell ref="G6:H6"/>
  </mergeCells>
  <hyperlinks>
    <hyperlink ref="B2:C2" location="hyptarg4" display="back to 604.1" xr:uid="{00000000-0004-0000-1700-000000000000}"/>
    <hyperlink ref="F2:G2" location="'Verification Report'!A1" display="back to Verification Report" xr:uid="{00000000-0004-0000-1700-000001000000}"/>
    <hyperlink ref="F2:H2" location="'Verification Report'!A1" display="back to Verification Report" xr:uid="{00000000-0004-0000-1700-000002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dimension ref="B2:G8"/>
  <sheetViews>
    <sheetView showGridLines="0" zoomScaleNormal="100" workbookViewId="0">
      <selection activeCell="B2" sqref="B2:C2"/>
    </sheetView>
  </sheetViews>
  <sheetFormatPr defaultColWidth="9.109375" defaultRowHeight="14.4" x14ac:dyDescent="0.3"/>
  <cols>
    <col min="1" max="3" width="9.109375" style="150"/>
    <col min="4" max="4" width="15.5546875" style="150" customWidth="1"/>
    <col min="5" max="5" width="9.109375" style="150"/>
    <col min="6" max="6" width="18.5546875" style="150" customWidth="1"/>
    <col min="7" max="16384" width="9.109375" style="150"/>
  </cols>
  <sheetData>
    <row r="2" spans="2:7" x14ac:dyDescent="0.3">
      <c r="B2" s="1761" t="s">
        <v>3328</v>
      </c>
      <c r="C2" s="1761"/>
      <c r="E2" s="1756" t="s">
        <v>4657</v>
      </c>
      <c r="F2" s="1757"/>
      <c r="G2" s="1758"/>
    </row>
    <row r="4" spans="2:7" x14ac:dyDescent="0.3">
      <c r="C4" s="1763" t="s">
        <v>3223</v>
      </c>
      <c r="D4" s="1763"/>
      <c r="E4" s="1763"/>
      <c r="F4" s="1763"/>
    </row>
    <row r="5" spans="2:7" x14ac:dyDescent="0.3">
      <c r="C5" s="1768" t="s">
        <v>3222</v>
      </c>
      <c r="D5" s="1768"/>
      <c r="E5" s="1768"/>
      <c r="F5" s="1768"/>
    </row>
    <row r="6" spans="2:7" x14ac:dyDescent="0.3">
      <c r="C6" s="1764" t="s">
        <v>3221</v>
      </c>
      <c r="D6" s="1765"/>
      <c r="E6" s="1764" t="s">
        <v>3220</v>
      </c>
      <c r="F6" s="1765"/>
    </row>
    <row r="7" spans="2:7" x14ac:dyDescent="0.3">
      <c r="C7" s="1772" t="s">
        <v>3219</v>
      </c>
      <c r="D7" s="1773"/>
      <c r="E7" s="1773"/>
      <c r="F7" s="1774"/>
    </row>
    <row r="8" spans="2:7" x14ac:dyDescent="0.3">
      <c r="C8" s="1770">
        <v>2</v>
      </c>
      <c r="D8" s="1771"/>
      <c r="E8" s="1770">
        <v>3</v>
      </c>
      <c r="F8" s="1771"/>
    </row>
  </sheetData>
  <sheetProtection algorithmName="SHA-512" hashValue="vPMhtBsk9VT4IH6YOYpR/RWRzmlLqg5NZnwl8JCT45kRbE4BS52HqQmDaINDpcTthiYvgWs+geTrKVWciVT55A==" saltValue="u3Nj3wHOB/lU5PXsMyHwyw==" spinCount="100000" sheet="1" objects="1" scenarios="1" selectLockedCells="1"/>
  <mergeCells count="9">
    <mergeCell ref="B2:C2"/>
    <mergeCell ref="C8:D8"/>
    <mergeCell ref="E8:F8"/>
    <mergeCell ref="C7:F7"/>
    <mergeCell ref="C4:F4"/>
    <mergeCell ref="C5:F5"/>
    <mergeCell ref="C6:D6"/>
    <mergeCell ref="E6:F6"/>
    <mergeCell ref="E2:G2"/>
  </mergeCells>
  <hyperlinks>
    <hyperlink ref="B2:C2" location="hyptarg5" display="back to 610.1.2.1" xr:uid="{00000000-0004-0000-1800-000000000000}"/>
    <hyperlink ref="E2:F2" location="'Verification Report'!A1" display="back to Verification Report" xr:uid="{00000000-0004-0000-1800-000001000000}"/>
    <hyperlink ref="E2:G2" location="'Verification Report'!A1" display="back to Verification Report" xr:uid="{00000000-0004-0000-1800-000002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dimension ref="B2:G10"/>
  <sheetViews>
    <sheetView showGridLines="0" zoomScaleNormal="100" workbookViewId="0">
      <selection activeCell="B2" sqref="B2:C2"/>
    </sheetView>
  </sheetViews>
  <sheetFormatPr defaultColWidth="9.109375" defaultRowHeight="14.4" x14ac:dyDescent="0.3"/>
  <cols>
    <col min="1" max="2" width="9.109375" style="150"/>
    <col min="3" max="3" width="16.5546875" style="150" bestFit="1" customWidth="1"/>
    <col min="4" max="5" width="15.88671875" style="150" bestFit="1" customWidth="1"/>
    <col min="6" max="16384" width="9.109375" style="150"/>
  </cols>
  <sheetData>
    <row r="2" spans="2:7" x14ac:dyDescent="0.3">
      <c r="B2" s="1761" t="s">
        <v>3329</v>
      </c>
      <c r="C2" s="1761"/>
      <c r="E2" s="1756" t="s">
        <v>4657</v>
      </c>
      <c r="F2" s="1757"/>
      <c r="G2" s="1758"/>
    </row>
    <row r="4" spans="2:7" x14ac:dyDescent="0.3">
      <c r="C4" s="1763" t="s">
        <v>3228</v>
      </c>
      <c r="D4" s="1763"/>
      <c r="E4" s="1763"/>
    </row>
    <row r="5" spans="2:7" x14ac:dyDescent="0.3">
      <c r="C5" s="1372" t="s">
        <v>3227</v>
      </c>
      <c r="D5" s="1768"/>
      <c r="E5" s="1768"/>
    </row>
    <row r="6" spans="2:7" ht="15" customHeight="1" x14ac:dyDescent="0.3">
      <c r="C6" s="1776" t="s">
        <v>3912</v>
      </c>
      <c r="D6" s="157" t="s">
        <v>3221</v>
      </c>
      <c r="E6" s="159" t="s">
        <v>3220</v>
      </c>
    </row>
    <row r="7" spans="2:7" ht="12.75" customHeight="1" x14ac:dyDescent="0.3">
      <c r="C7" s="1777"/>
      <c r="D7" s="1775" t="s">
        <v>3219</v>
      </c>
      <c r="E7" s="1775"/>
    </row>
    <row r="8" spans="2:7" x14ac:dyDescent="0.3">
      <c r="C8" s="155" t="s">
        <v>3226</v>
      </c>
      <c r="D8" s="158">
        <v>3</v>
      </c>
      <c r="E8" s="159">
        <v>6</v>
      </c>
    </row>
    <row r="9" spans="2:7" x14ac:dyDescent="0.3">
      <c r="C9" s="156" t="s">
        <v>3225</v>
      </c>
      <c r="D9" s="158">
        <v>4</v>
      </c>
      <c r="E9" s="159">
        <v>8</v>
      </c>
    </row>
    <row r="10" spans="2:7" x14ac:dyDescent="0.3">
      <c r="C10" s="156" t="s">
        <v>3224</v>
      </c>
      <c r="D10" s="158">
        <v>5</v>
      </c>
      <c r="E10" s="159">
        <v>10</v>
      </c>
    </row>
  </sheetData>
  <sheetProtection algorithmName="SHA-512" hashValue="EgQeVHQmLSARm30KTOssqUs/v9KcpoXrobBvDJRA+RhOxOXm4aY89aWAPt6buSWDODXxs8po7qujku7CnTYUgw==" saltValue="QQXMWd5Uk3ZmT2mNOgUyYA==" spinCount="100000" sheet="1" objects="1" scenarios="1" selectLockedCells="1"/>
  <mergeCells count="6">
    <mergeCell ref="C4:E4"/>
    <mergeCell ref="C5:E5"/>
    <mergeCell ref="D7:E7"/>
    <mergeCell ref="B2:C2"/>
    <mergeCell ref="C6:C7"/>
    <mergeCell ref="E2:G2"/>
  </mergeCells>
  <hyperlinks>
    <hyperlink ref="B2:C2" location="hyptarg6" display="back to 610.1.2.2" xr:uid="{00000000-0004-0000-1900-000000000000}"/>
    <hyperlink ref="E2:F2" location="'Verification Report'!A1" display="back to Verification Report" xr:uid="{00000000-0004-0000-1900-000001000000}"/>
    <hyperlink ref="E2:G2" location="'Verification Report'!A1" display="back to Verification Report" xr:uid="{00000000-0004-0000-1900-000002000000}"/>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dimension ref="A1:R37"/>
  <sheetViews>
    <sheetView showGridLines="0" workbookViewId="0">
      <selection activeCell="B3" sqref="B3:C3"/>
    </sheetView>
  </sheetViews>
  <sheetFormatPr defaultRowHeight="14.4" x14ac:dyDescent="0.3"/>
  <sheetData>
    <row r="1" spans="1:18" ht="18.600000000000001" thickTop="1" x14ac:dyDescent="0.3">
      <c r="A1" s="160" t="s">
        <v>3229</v>
      </c>
      <c r="B1" s="161"/>
      <c r="C1" s="161"/>
      <c r="D1" s="161"/>
      <c r="E1" s="161"/>
      <c r="F1" s="161"/>
      <c r="G1" s="161"/>
      <c r="H1" s="161"/>
      <c r="I1" s="161"/>
      <c r="J1" s="161"/>
      <c r="K1" s="161"/>
      <c r="L1" s="161"/>
      <c r="M1" s="161"/>
      <c r="N1" s="161"/>
      <c r="O1" s="161"/>
      <c r="P1" s="161"/>
      <c r="Q1" s="161"/>
      <c r="R1" s="162"/>
    </row>
    <row r="2" spans="1:18" x14ac:dyDescent="0.3">
      <c r="A2" s="163"/>
      <c r="B2" s="97"/>
      <c r="C2" s="97"/>
      <c r="D2" s="97"/>
      <c r="E2" s="97"/>
      <c r="F2" s="97"/>
      <c r="G2" s="97"/>
      <c r="H2" s="97"/>
      <c r="I2" s="97"/>
      <c r="J2" s="97"/>
      <c r="K2" s="97"/>
      <c r="L2" s="97"/>
      <c r="M2" s="97"/>
      <c r="N2" s="97"/>
      <c r="O2" s="97"/>
      <c r="P2" s="97"/>
      <c r="Q2" s="97"/>
      <c r="R2" s="164"/>
    </row>
    <row r="3" spans="1:18" ht="15" customHeight="1" x14ac:dyDescent="0.3">
      <c r="A3" s="163"/>
      <c r="B3" s="1778" t="s">
        <v>3238</v>
      </c>
      <c r="C3" s="1778"/>
      <c r="D3" s="1778" t="s">
        <v>3255</v>
      </c>
      <c r="E3" s="1778"/>
      <c r="F3" s="1778"/>
      <c r="G3" s="97"/>
      <c r="H3" s="1756" t="s">
        <v>4657</v>
      </c>
      <c r="I3" s="1757"/>
      <c r="J3" s="1758"/>
      <c r="K3" s="97"/>
      <c r="L3" s="97"/>
      <c r="M3" s="97"/>
      <c r="N3" s="97"/>
      <c r="O3" s="97"/>
      <c r="P3" s="97"/>
      <c r="Q3" s="97"/>
      <c r="R3" s="164"/>
    </row>
    <row r="4" spans="1:18" x14ac:dyDescent="0.3">
      <c r="A4" s="163"/>
      <c r="B4" s="97"/>
      <c r="C4" s="97"/>
      <c r="D4" s="97"/>
      <c r="E4" s="97"/>
      <c r="F4" s="97"/>
      <c r="G4" s="97"/>
      <c r="H4" s="97"/>
      <c r="I4" s="97"/>
      <c r="J4" s="97"/>
      <c r="K4" s="97"/>
      <c r="L4" s="97"/>
      <c r="M4" s="97"/>
      <c r="N4" s="97"/>
      <c r="O4" s="97"/>
      <c r="P4" s="97"/>
      <c r="Q4" s="97"/>
      <c r="R4" s="164"/>
    </row>
    <row r="5" spans="1:18" x14ac:dyDescent="0.3">
      <c r="A5" s="163"/>
      <c r="B5" s="97"/>
      <c r="C5" s="97"/>
      <c r="D5" s="97"/>
      <c r="E5" s="97"/>
      <c r="F5" s="97"/>
      <c r="G5" s="97"/>
      <c r="H5" s="97"/>
      <c r="I5" s="97"/>
      <c r="J5" s="97"/>
      <c r="K5" s="97"/>
      <c r="L5" s="97"/>
      <c r="M5" s="97"/>
      <c r="N5" s="97"/>
      <c r="O5" s="97"/>
      <c r="P5" s="97"/>
      <c r="Q5" s="97"/>
      <c r="R5" s="164"/>
    </row>
    <row r="6" spans="1:18" x14ac:dyDescent="0.3">
      <c r="A6" s="163"/>
      <c r="B6" s="97"/>
      <c r="C6" s="97"/>
      <c r="D6" s="97"/>
      <c r="E6" s="97"/>
      <c r="F6" s="97"/>
      <c r="G6" s="97"/>
      <c r="H6" s="97"/>
      <c r="I6" s="97"/>
      <c r="J6" s="97"/>
      <c r="K6" s="97"/>
      <c r="L6" s="97"/>
      <c r="M6" s="97"/>
      <c r="N6" s="97"/>
      <c r="O6" s="97"/>
      <c r="P6" s="97"/>
      <c r="Q6" s="97"/>
      <c r="R6" s="164"/>
    </row>
    <row r="7" spans="1:18" x14ac:dyDescent="0.3">
      <c r="A7" s="163"/>
      <c r="B7" s="97"/>
      <c r="C7" s="97"/>
      <c r="D7" s="97"/>
      <c r="E7" s="97"/>
      <c r="F7" s="97"/>
      <c r="G7" s="97"/>
      <c r="H7" s="97"/>
      <c r="I7" s="97"/>
      <c r="J7" s="97"/>
      <c r="K7" s="97"/>
      <c r="L7" s="97"/>
      <c r="M7" s="97"/>
      <c r="N7" s="97"/>
      <c r="O7" s="97"/>
      <c r="P7" s="97"/>
      <c r="Q7" s="97"/>
      <c r="R7" s="164"/>
    </row>
    <row r="8" spans="1:18" x14ac:dyDescent="0.3">
      <c r="A8" s="163"/>
      <c r="B8" s="97"/>
      <c r="C8" s="97"/>
      <c r="D8" s="97"/>
      <c r="E8" s="97"/>
      <c r="F8" s="97"/>
      <c r="G8" s="97"/>
      <c r="H8" s="97"/>
      <c r="I8" s="97"/>
      <c r="J8" s="97"/>
      <c r="K8" s="97"/>
      <c r="L8" s="97"/>
      <c r="M8" s="97"/>
      <c r="N8" s="97"/>
      <c r="O8" s="97"/>
      <c r="P8" s="97"/>
      <c r="Q8" s="97"/>
      <c r="R8" s="164"/>
    </row>
    <row r="9" spans="1:18" x14ac:dyDescent="0.3">
      <c r="A9" s="163"/>
      <c r="B9" s="97"/>
      <c r="C9" s="97"/>
      <c r="D9" s="97"/>
      <c r="E9" s="97"/>
      <c r="F9" s="97"/>
      <c r="G9" s="97"/>
      <c r="H9" s="97"/>
      <c r="I9" s="97"/>
      <c r="J9" s="97"/>
      <c r="K9" s="97"/>
      <c r="L9" s="97"/>
      <c r="M9" s="97"/>
      <c r="N9" s="97"/>
      <c r="O9" s="97"/>
      <c r="P9" s="97"/>
      <c r="Q9" s="97"/>
      <c r="R9" s="164"/>
    </row>
    <row r="10" spans="1:18" x14ac:dyDescent="0.3">
      <c r="A10" s="163"/>
      <c r="B10" s="97"/>
      <c r="C10" s="97"/>
      <c r="D10" s="97"/>
      <c r="E10" s="97"/>
      <c r="F10" s="97"/>
      <c r="G10" s="97"/>
      <c r="H10" s="97"/>
      <c r="I10" s="97"/>
      <c r="J10" s="97"/>
      <c r="K10" s="97"/>
      <c r="L10" s="97"/>
      <c r="M10" s="97"/>
      <c r="N10" s="97"/>
      <c r="O10" s="97"/>
      <c r="P10" s="97"/>
      <c r="Q10" s="97"/>
      <c r="R10" s="164"/>
    </row>
    <row r="11" spans="1:18" x14ac:dyDescent="0.3">
      <c r="A11" s="163"/>
      <c r="B11" s="97"/>
      <c r="C11" s="97"/>
      <c r="D11" s="97"/>
      <c r="E11" s="97"/>
      <c r="F11" s="97"/>
      <c r="G11" s="97"/>
      <c r="H11" s="97"/>
      <c r="I11" s="97"/>
      <c r="J11" s="97"/>
      <c r="K11" s="97"/>
      <c r="L11" s="97"/>
      <c r="M11" s="97"/>
      <c r="N11" s="97"/>
      <c r="O11" s="97"/>
      <c r="P11" s="97"/>
      <c r="Q11" s="97"/>
      <c r="R11" s="164"/>
    </row>
    <row r="12" spans="1:18" x14ac:dyDescent="0.3">
      <c r="A12" s="163"/>
      <c r="B12" s="97"/>
      <c r="C12" s="97"/>
      <c r="D12" s="97"/>
      <c r="E12" s="97"/>
      <c r="F12" s="97"/>
      <c r="G12" s="97"/>
      <c r="H12" s="97"/>
      <c r="I12" s="97"/>
      <c r="J12" s="97"/>
      <c r="K12" s="97"/>
      <c r="L12" s="97"/>
      <c r="M12" s="97"/>
      <c r="N12" s="97"/>
      <c r="O12" s="97"/>
      <c r="P12" s="97"/>
      <c r="Q12" s="97"/>
      <c r="R12" s="164"/>
    </row>
    <row r="13" spans="1:18" x14ac:dyDescent="0.3">
      <c r="A13" s="163"/>
      <c r="B13" s="97"/>
      <c r="C13" s="97"/>
      <c r="D13" s="97"/>
      <c r="E13" s="97"/>
      <c r="F13" s="97"/>
      <c r="G13" s="97"/>
      <c r="H13" s="97"/>
      <c r="I13" s="97"/>
      <c r="J13" s="97"/>
      <c r="K13" s="97"/>
      <c r="L13" s="97"/>
      <c r="M13" s="97"/>
      <c r="N13" s="97"/>
      <c r="O13" s="97"/>
      <c r="P13" s="97"/>
      <c r="Q13" s="97"/>
      <c r="R13" s="164"/>
    </row>
    <row r="14" spans="1:18" x14ac:dyDescent="0.3">
      <c r="A14" s="163"/>
      <c r="B14" s="97"/>
      <c r="C14" s="97"/>
      <c r="D14" s="97"/>
      <c r="E14" s="97"/>
      <c r="F14" s="97"/>
      <c r="G14" s="97"/>
      <c r="H14" s="97"/>
      <c r="I14" s="97"/>
      <c r="J14" s="97"/>
      <c r="K14" s="97"/>
      <c r="L14" s="97"/>
      <c r="M14" s="97"/>
      <c r="N14" s="97"/>
      <c r="O14" s="97"/>
      <c r="P14" s="97"/>
      <c r="Q14" s="97"/>
      <c r="R14" s="164"/>
    </row>
    <row r="15" spans="1:18" x14ac:dyDescent="0.3">
      <c r="A15" s="163"/>
      <c r="B15" s="97"/>
      <c r="C15" s="97"/>
      <c r="D15" s="97"/>
      <c r="E15" s="97"/>
      <c r="F15" s="97"/>
      <c r="G15" s="97"/>
      <c r="H15" s="97"/>
      <c r="I15" s="97"/>
      <c r="J15" s="97"/>
      <c r="K15" s="97"/>
      <c r="L15" s="97"/>
      <c r="M15" s="97"/>
      <c r="N15" s="97"/>
      <c r="O15" s="97"/>
      <c r="P15" s="97"/>
      <c r="Q15" s="97"/>
      <c r="R15" s="164"/>
    </row>
    <row r="16" spans="1:18" x14ac:dyDescent="0.3">
      <c r="A16" s="163"/>
      <c r="B16" s="97"/>
      <c r="C16" s="97"/>
      <c r="D16" s="97"/>
      <c r="E16" s="97"/>
      <c r="F16" s="97"/>
      <c r="G16" s="97"/>
      <c r="H16" s="97"/>
      <c r="I16" s="97"/>
      <c r="J16" s="97"/>
      <c r="K16" s="97"/>
      <c r="L16" s="97"/>
      <c r="M16" s="97"/>
      <c r="N16" s="97"/>
      <c r="O16" s="97"/>
      <c r="P16" s="97"/>
      <c r="Q16" s="97"/>
      <c r="R16" s="164"/>
    </row>
    <row r="17" spans="1:18" x14ac:dyDescent="0.3">
      <c r="A17" s="163"/>
      <c r="B17" s="97"/>
      <c r="C17" s="97"/>
      <c r="D17" s="97"/>
      <c r="E17" s="97"/>
      <c r="F17" s="97"/>
      <c r="G17" s="97"/>
      <c r="H17" s="97"/>
      <c r="I17" s="97"/>
      <c r="J17" s="97"/>
      <c r="K17" s="97"/>
      <c r="L17" s="97"/>
      <c r="M17" s="97"/>
      <c r="N17" s="97"/>
      <c r="O17" s="97"/>
      <c r="P17" s="97"/>
      <c r="Q17" s="97"/>
      <c r="R17" s="164"/>
    </row>
    <row r="18" spans="1:18" x14ac:dyDescent="0.3">
      <c r="A18" s="163"/>
      <c r="B18" s="97"/>
      <c r="C18" s="97"/>
      <c r="D18" s="97"/>
      <c r="E18" s="97"/>
      <c r="F18" s="97"/>
      <c r="G18" s="97"/>
      <c r="H18" s="97"/>
      <c r="I18" s="97"/>
      <c r="J18" s="97"/>
      <c r="K18" s="97"/>
      <c r="L18" s="97"/>
      <c r="M18" s="97"/>
      <c r="N18" s="97"/>
      <c r="O18" s="97"/>
      <c r="P18" s="97"/>
      <c r="Q18" s="97"/>
      <c r="R18" s="164"/>
    </row>
    <row r="19" spans="1:18" x14ac:dyDescent="0.3">
      <c r="A19" s="163"/>
      <c r="B19" s="97"/>
      <c r="C19" s="97"/>
      <c r="D19" s="97"/>
      <c r="E19" s="97"/>
      <c r="F19" s="97"/>
      <c r="G19" s="97"/>
      <c r="H19" s="97"/>
      <c r="I19" s="97"/>
      <c r="J19" s="97"/>
      <c r="K19" s="97"/>
      <c r="L19" s="97"/>
      <c r="M19" s="97"/>
      <c r="N19" s="97"/>
      <c r="O19" s="97"/>
      <c r="P19" s="97"/>
      <c r="Q19" s="97"/>
      <c r="R19" s="164"/>
    </row>
    <row r="20" spans="1:18" x14ac:dyDescent="0.3">
      <c r="A20" s="163"/>
      <c r="B20" s="97"/>
      <c r="C20" s="97"/>
      <c r="D20" s="97"/>
      <c r="E20" s="97"/>
      <c r="F20" s="97"/>
      <c r="G20" s="97"/>
      <c r="H20" s="97"/>
      <c r="I20" s="97"/>
      <c r="J20" s="97"/>
      <c r="K20" s="97"/>
      <c r="L20" s="97"/>
      <c r="M20" s="97"/>
      <c r="N20" s="97"/>
      <c r="O20" s="97"/>
      <c r="P20" s="97"/>
      <c r="Q20" s="97"/>
      <c r="R20" s="164"/>
    </row>
    <row r="21" spans="1:18" x14ac:dyDescent="0.3">
      <c r="A21" s="163"/>
      <c r="B21" s="97"/>
      <c r="C21" s="97"/>
      <c r="D21" s="97"/>
      <c r="E21" s="97"/>
      <c r="F21" s="97"/>
      <c r="G21" s="97"/>
      <c r="H21" s="97"/>
      <c r="I21" s="97"/>
      <c r="J21" s="97"/>
      <c r="K21" s="97"/>
      <c r="L21" s="97"/>
      <c r="M21" s="97"/>
      <c r="N21" s="97"/>
      <c r="O21" s="97"/>
      <c r="P21" s="97"/>
      <c r="Q21" s="97"/>
      <c r="R21" s="164"/>
    </row>
    <row r="22" spans="1:18" x14ac:dyDescent="0.3">
      <c r="A22" s="163"/>
      <c r="B22" s="97"/>
      <c r="C22" s="97"/>
      <c r="D22" s="97"/>
      <c r="E22" s="97"/>
      <c r="F22" s="97"/>
      <c r="G22" s="97"/>
      <c r="H22" s="97"/>
      <c r="I22" s="97"/>
      <c r="J22" s="97"/>
      <c r="K22" s="97"/>
      <c r="L22" s="97"/>
      <c r="M22" s="97"/>
      <c r="N22" s="97"/>
      <c r="O22" s="97"/>
      <c r="P22" s="97"/>
      <c r="Q22" s="97"/>
      <c r="R22" s="164"/>
    </row>
    <row r="23" spans="1:18" x14ac:dyDescent="0.3">
      <c r="A23" s="163"/>
      <c r="B23" s="97"/>
      <c r="C23" s="97"/>
      <c r="D23" s="97"/>
      <c r="E23" s="97"/>
      <c r="F23" s="97"/>
      <c r="G23" s="97"/>
      <c r="H23" s="97"/>
      <c r="I23" s="97"/>
      <c r="J23" s="97"/>
      <c r="K23" s="97"/>
      <c r="L23" s="97"/>
      <c r="M23" s="97"/>
      <c r="N23" s="97"/>
      <c r="O23" s="97"/>
      <c r="P23" s="97"/>
      <c r="Q23" s="97"/>
      <c r="R23" s="164"/>
    </row>
    <row r="24" spans="1:18" x14ac:dyDescent="0.3">
      <c r="A24" s="163"/>
      <c r="B24" s="97"/>
      <c r="C24" s="97"/>
      <c r="D24" s="97"/>
      <c r="E24" s="97"/>
      <c r="F24" s="97"/>
      <c r="G24" s="97"/>
      <c r="H24" s="97"/>
      <c r="I24" s="97"/>
      <c r="J24" s="97"/>
      <c r="K24" s="97"/>
      <c r="L24" s="97"/>
      <c r="M24" s="97"/>
      <c r="N24" s="97"/>
      <c r="O24" s="97"/>
      <c r="P24" s="97"/>
      <c r="Q24" s="97"/>
      <c r="R24" s="164"/>
    </row>
    <row r="25" spans="1:18" x14ac:dyDescent="0.3">
      <c r="A25" s="163"/>
      <c r="B25" s="97"/>
      <c r="C25" s="97"/>
      <c r="D25" s="97"/>
      <c r="E25" s="97"/>
      <c r="F25" s="97"/>
      <c r="G25" s="97"/>
      <c r="H25" s="97"/>
      <c r="I25" s="97"/>
      <c r="J25" s="97"/>
      <c r="K25" s="97"/>
      <c r="L25" s="97"/>
      <c r="M25" s="97"/>
      <c r="N25" s="97"/>
      <c r="O25" s="97"/>
      <c r="P25" s="97"/>
      <c r="Q25" s="97"/>
      <c r="R25" s="164"/>
    </row>
    <row r="26" spans="1:18" x14ac:dyDescent="0.3">
      <c r="A26" s="163"/>
      <c r="B26" s="97"/>
      <c r="C26" s="97"/>
      <c r="D26" s="97"/>
      <c r="E26" s="97"/>
      <c r="F26" s="97"/>
      <c r="G26" s="97"/>
      <c r="H26" s="97"/>
      <c r="I26" s="97"/>
      <c r="J26" s="97"/>
      <c r="K26" s="97"/>
      <c r="L26" s="97"/>
      <c r="M26" s="97"/>
      <c r="N26" s="97"/>
      <c r="O26" s="97"/>
      <c r="P26" s="97"/>
      <c r="Q26" s="97"/>
      <c r="R26" s="164"/>
    </row>
    <row r="27" spans="1:18" x14ac:dyDescent="0.3">
      <c r="A27" s="163"/>
      <c r="B27" s="97"/>
      <c r="C27" s="97"/>
      <c r="D27" s="97"/>
      <c r="E27" s="97"/>
      <c r="F27" s="97"/>
      <c r="G27" s="97"/>
      <c r="H27" s="97"/>
      <c r="I27" s="97"/>
      <c r="J27" s="97"/>
      <c r="K27" s="97"/>
      <c r="L27" s="97"/>
      <c r="M27" s="97"/>
      <c r="N27" s="97"/>
      <c r="O27" s="97"/>
      <c r="P27" s="97"/>
      <c r="Q27" s="97"/>
      <c r="R27" s="164"/>
    </row>
    <row r="28" spans="1:18" x14ac:dyDescent="0.3">
      <c r="A28" s="163"/>
      <c r="B28" s="97"/>
      <c r="C28" s="97"/>
      <c r="D28" s="97"/>
      <c r="E28" s="97"/>
      <c r="F28" s="97"/>
      <c r="G28" s="97"/>
      <c r="H28" s="97"/>
      <c r="I28" s="97"/>
      <c r="J28" s="97"/>
      <c r="K28" s="97"/>
      <c r="L28" s="97"/>
      <c r="M28" s="97"/>
      <c r="N28" s="97"/>
      <c r="O28" s="97"/>
      <c r="P28" s="97"/>
      <c r="Q28" s="97"/>
      <c r="R28" s="164"/>
    </row>
    <row r="29" spans="1:18" x14ac:dyDescent="0.3">
      <c r="A29" s="163"/>
      <c r="B29" s="97"/>
      <c r="C29" s="97"/>
      <c r="D29" s="97"/>
      <c r="E29" s="97"/>
      <c r="F29" s="97"/>
      <c r="G29" s="97"/>
      <c r="H29" s="97"/>
      <c r="I29" s="97"/>
      <c r="J29" s="97"/>
      <c r="K29" s="97"/>
      <c r="L29" s="97"/>
      <c r="M29" s="97"/>
      <c r="N29" s="97"/>
      <c r="O29" s="97"/>
      <c r="P29" s="97"/>
      <c r="Q29" s="97"/>
      <c r="R29" s="164"/>
    </row>
    <row r="30" spans="1:18" x14ac:dyDescent="0.3">
      <c r="A30" s="163"/>
      <c r="B30" s="97"/>
      <c r="C30" s="97"/>
      <c r="D30" s="97"/>
      <c r="E30" s="97"/>
      <c r="F30" s="97"/>
      <c r="G30" s="97"/>
      <c r="H30" s="97"/>
      <c r="I30" s="97"/>
      <c r="J30" s="97"/>
      <c r="K30" s="97"/>
      <c r="L30" s="97"/>
      <c r="M30" s="97"/>
      <c r="N30" s="97"/>
      <c r="O30" s="97"/>
      <c r="P30" s="97"/>
      <c r="Q30" s="97"/>
      <c r="R30" s="164"/>
    </row>
    <row r="31" spans="1:18" x14ac:dyDescent="0.3">
      <c r="A31" s="163"/>
      <c r="B31" s="97"/>
      <c r="C31" s="97"/>
      <c r="D31" s="97"/>
      <c r="E31" s="97"/>
      <c r="F31" s="97"/>
      <c r="G31" s="97"/>
      <c r="H31" s="97"/>
      <c r="I31" s="97"/>
      <c r="J31" s="97"/>
      <c r="K31" s="97"/>
      <c r="L31" s="97"/>
      <c r="M31" s="97"/>
      <c r="N31" s="97"/>
      <c r="O31" s="97"/>
      <c r="P31" s="97"/>
      <c r="Q31" s="97"/>
      <c r="R31" s="164"/>
    </row>
    <row r="32" spans="1:18" s="150" customFormat="1" x14ac:dyDescent="0.3">
      <c r="A32" s="163"/>
      <c r="B32" s="97"/>
      <c r="C32" s="97"/>
      <c r="D32" s="97"/>
      <c r="E32" s="97"/>
      <c r="F32" s="97"/>
      <c r="G32" s="97"/>
      <c r="H32" s="97"/>
      <c r="I32" s="97"/>
      <c r="J32" s="97"/>
      <c r="K32" s="97"/>
      <c r="L32" s="97"/>
      <c r="M32" s="97"/>
      <c r="N32" s="97"/>
      <c r="O32" s="97"/>
      <c r="P32" s="97"/>
      <c r="Q32" s="97"/>
      <c r="R32" s="164"/>
    </row>
    <row r="33" spans="1:18" s="150" customFormat="1" x14ac:dyDescent="0.3">
      <c r="A33" s="163"/>
      <c r="B33" s="97"/>
      <c r="C33" s="97"/>
      <c r="D33" s="97"/>
      <c r="E33" s="97"/>
      <c r="F33" s="97"/>
      <c r="G33" s="97"/>
      <c r="H33" s="97"/>
      <c r="I33" s="97"/>
      <c r="J33" s="97"/>
      <c r="K33" s="97"/>
      <c r="L33" s="97"/>
      <c r="M33" s="97"/>
      <c r="N33" s="97"/>
      <c r="O33" s="97"/>
      <c r="P33" s="97"/>
      <c r="Q33" s="97"/>
      <c r="R33" s="164"/>
    </row>
    <row r="34" spans="1:18" x14ac:dyDescent="0.3">
      <c r="A34" s="163"/>
      <c r="B34" s="97"/>
      <c r="C34" s="97"/>
      <c r="D34" s="97"/>
      <c r="E34" s="97"/>
      <c r="F34" s="97"/>
      <c r="G34" s="97"/>
      <c r="H34" s="97"/>
      <c r="I34" s="97"/>
      <c r="J34" s="97"/>
      <c r="K34" s="97"/>
      <c r="L34" s="97"/>
      <c r="M34" s="97"/>
      <c r="N34" s="97"/>
      <c r="O34" s="97"/>
      <c r="P34" s="97"/>
      <c r="Q34" s="97"/>
      <c r="R34" s="164"/>
    </row>
    <row r="35" spans="1:18" x14ac:dyDescent="0.3">
      <c r="A35" s="163"/>
      <c r="B35" s="168" t="s">
        <v>3230</v>
      </c>
      <c r="C35" s="330" t="s">
        <v>3231</v>
      </c>
      <c r="D35" s="97"/>
      <c r="E35" s="97"/>
      <c r="F35" s="97"/>
      <c r="G35" s="97"/>
      <c r="H35" s="97"/>
      <c r="I35" s="97"/>
      <c r="J35" s="97"/>
      <c r="K35" s="97"/>
      <c r="L35" s="97"/>
      <c r="M35" s="97"/>
      <c r="N35" s="97"/>
      <c r="O35" s="97"/>
      <c r="P35" s="97"/>
      <c r="Q35" s="97"/>
      <c r="R35" s="164"/>
    </row>
    <row r="36" spans="1:18" ht="15" thickBot="1" x14ac:dyDescent="0.35">
      <c r="A36" s="165"/>
      <c r="B36" s="166"/>
      <c r="C36" s="166"/>
      <c r="D36" s="166"/>
      <c r="E36" s="166"/>
      <c r="F36" s="166"/>
      <c r="G36" s="166"/>
      <c r="H36" s="166"/>
      <c r="I36" s="166"/>
      <c r="J36" s="166"/>
      <c r="K36" s="166"/>
      <c r="L36" s="166"/>
      <c r="M36" s="166"/>
      <c r="N36" s="166"/>
      <c r="O36" s="166"/>
      <c r="P36" s="166"/>
      <c r="Q36" s="166"/>
      <c r="R36" s="167"/>
    </row>
    <row r="37" spans="1:18" ht="15" thickTop="1" x14ac:dyDescent="0.3"/>
  </sheetData>
  <sheetProtection algorithmName="SHA-512" hashValue="Nwv8MXWAlxIXA2YbBGXbkpfp2a/v4W1HuzcSIxqgfCMpWjM77b+JQrw3aFQCR2hxzOCMw7lrWhS8N2xkvLXhZQ==" saltValue="fybqDyo62lt5HargVpgC1w==" spinCount="100000" sheet="1" objects="1" scenarios="1" selectLockedCells="1"/>
  <mergeCells count="3">
    <mergeCell ref="B3:C3"/>
    <mergeCell ref="D3:F3"/>
    <mergeCell ref="H3:J3"/>
  </mergeCells>
  <hyperlinks>
    <hyperlink ref="C35" r:id="rId1" xr:uid="{00000000-0004-0000-1A00-000000000000}"/>
    <hyperlink ref="B3:C3" location="hyptarg3" display="back to 602.1.12" xr:uid="{00000000-0004-0000-1A00-000001000000}"/>
    <hyperlink ref="D3" location="'Table 602.1.12'!A1" display="See Table 602.1.12" xr:uid="{00000000-0004-0000-1A00-000002000000}"/>
    <hyperlink ref="H3:I3" location="'Verification Report'!A1" display="back to Verification Report" xr:uid="{00000000-0004-0000-1A00-000003000000}"/>
    <hyperlink ref="H3:J3" location="'Verification Report'!A1" display="back to Verification Report" xr:uid="{00000000-0004-0000-1A00-000004000000}"/>
  </hyperlinks>
  <pageMargins left="0.7" right="0.7" top="0.75" bottom="0.75" header="0.3" footer="0.3"/>
  <pageSetup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dimension ref="A1:R35"/>
  <sheetViews>
    <sheetView showGridLines="0" workbookViewId="0">
      <selection activeCell="H3" sqref="H3:J3"/>
    </sheetView>
  </sheetViews>
  <sheetFormatPr defaultColWidth="9.109375" defaultRowHeight="14.4" x14ac:dyDescent="0.3"/>
  <cols>
    <col min="1" max="16384" width="9.109375" style="150"/>
  </cols>
  <sheetData>
    <row r="1" spans="1:18" ht="18.600000000000001" thickTop="1" x14ac:dyDescent="0.3">
      <c r="A1" s="1781" t="s">
        <v>3234</v>
      </c>
      <c r="B1" s="1782"/>
      <c r="C1" s="1782"/>
      <c r="D1" s="1782"/>
      <c r="E1" s="1782"/>
      <c r="F1" s="1782"/>
      <c r="G1" s="1782"/>
      <c r="H1" s="1782"/>
      <c r="I1" s="1782"/>
      <c r="J1" s="1782"/>
      <c r="K1" s="1782"/>
      <c r="L1" s="1782"/>
      <c r="M1" s="1782"/>
      <c r="N1" s="1782"/>
      <c r="O1" s="1782"/>
      <c r="P1" s="1782"/>
      <c r="Q1" s="1782"/>
      <c r="R1" s="1783"/>
    </row>
    <row r="2" spans="1:18" x14ac:dyDescent="0.3">
      <c r="A2" s="1779"/>
      <c r="B2" s="1780"/>
      <c r="C2" s="1780"/>
      <c r="D2" s="1780"/>
      <c r="E2" s="97"/>
      <c r="F2" s="97"/>
      <c r="G2" s="97"/>
      <c r="H2" s="97"/>
      <c r="I2" s="97"/>
      <c r="J2" s="97"/>
      <c r="K2" s="97"/>
      <c r="L2" s="97"/>
      <c r="M2" s="97"/>
      <c r="N2" s="97"/>
      <c r="O2" s="97"/>
      <c r="P2" s="97"/>
      <c r="Q2" s="97"/>
      <c r="R2" s="164"/>
    </row>
    <row r="3" spans="1:18" x14ac:dyDescent="0.3">
      <c r="A3" s="163"/>
      <c r="B3" s="1761" t="s">
        <v>3235</v>
      </c>
      <c r="C3" s="1761"/>
      <c r="E3" s="1761" t="s">
        <v>3236</v>
      </c>
      <c r="F3" s="1761"/>
      <c r="H3" s="1756" t="s">
        <v>4657</v>
      </c>
      <c r="I3" s="1757"/>
      <c r="J3" s="1758"/>
      <c r="K3" s="97"/>
      <c r="L3" s="97"/>
      <c r="M3" s="97"/>
      <c r="N3" s="97"/>
      <c r="O3" s="97"/>
      <c r="P3" s="97"/>
      <c r="Q3" s="97"/>
      <c r="R3" s="164"/>
    </row>
    <row r="4" spans="1:18" x14ac:dyDescent="0.3">
      <c r="A4" s="163"/>
      <c r="B4" s="97"/>
      <c r="C4" s="97"/>
      <c r="D4" s="97"/>
      <c r="E4" s="97"/>
      <c r="F4" s="97"/>
      <c r="G4" s="97"/>
      <c r="H4" s="97"/>
      <c r="I4" s="97"/>
      <c r="J4" s="97"/>
      <c r="K4" s="97"/>
      <c r="L4" s="97"/>
      <c r="M4" s="97"/>
      <c r="N4" s="97"/>
      <c r="O4" s="97"/>
      <c r="P4" s="97"/>
      <c r="Q4" s="97"/>
      <c r="R4" s="164"/>
    </row>
    <row r="5" spans="1:18" x14ac:dyDescent="0.3">
      <c r="A5" s="163"/>
      <c r="B5" s="97"/>
      <c r="C5" s="97"/>
      <c r="D5" s="97"/>
      <c r="E5" s="97"/>
      <c r="F5" s="97"/>
      <c r="G5" s="97"/>
      <c r="H5" s="97"/>
      <c r="I5" s="97"/>
      <c r="J5" s="97"/>
      <c r="K5" s="97"/>
      <c r="L5" s="97"/>
      <c r="M5" s="97"/>
      <c r="N5" s="97"/>
      <c r="O5" s="97"/>
      <c r="P5" s="97"/>
      <c r="Q5" s="97"/>
      <c r="R5" s="164"/>
    </row>
    <row r="6" spans="1:18" x14ac:dyDescent="0.3">
      <c r="A6" s="163"/>
      <c r="B6" s="97"/>
      <c r="C6" s="97"/>
      <c r="D6" s="97"/>
      <c r="E6" s="97"/>
      <c r="F6" s="97"/>
      <c r="G6" s="97"/>
      <c r="H6" s="97"/>
      <c r="I6" s="97"/>
      <c r="J6" s="97"/>
      <c r="K6" s="97"/>
      <c r="L6" s="97"/>
      <c r="M6" s="97"/>
      <c r="N6" s="97"/>
      <c r="O6" s="97"/>
      <c r="P6" s="97"/>
      <c r="Q6" s="97"/>
      <c r="R6" s="164"/>
    </row>
    <row r="7" spans="1:18" x14ac:dyDescent="0.3">
      <c r="A7" s="163"/>
      <c r="B7" s="97"/>
      <c r="C7" s="97"/>
      <c r="D7" s="97"/>
      <c r="E7" s="97"/>
      <c r="F7" s="97"/>
      <c r="G7" s="97"/>
      <c r="H7" s="97"/>
      <c r="I7" s="97"/>
      <c r="J7" s="97"/>
      <c r="K7" s="97"/>
      <c r="L7" s="97"/>
      <c r="M7" s="97"/>
      <c r="N7" s="97"/>
      <c r="O7" s="97"/>
      <c r="P7" s="97"/>
      <c r="Q7" s="97"/>
      <c r="R7" s="164"/>
    </row>
    <row r="8" spans="1:18" x14ac:dyDescent="0.3">
      <c r="A8" s="163"/>
      <c r="B8" s="97"/>
      <c r="C8" s="97"/>
      <c r="D8" s="97"/>
      <c r="E8" s="97"/>
      <c r="F8" s="97"/>
      <c r="G8" s="97"/>
      <c r="H8" s="97"/>
      <c r="I8" s="97"/>
      <c r="J8" s="97"/>
      <c r="K8" s="97"/>
      <c r="L8" s="97"/>
      <c r="M8" s="97"/>
      <c r="N8" s="97"/>
      <c r="O8" s="97"/>
      <c r="P8" s="97"/>
      <c r="Q8" s="97"/>
      <c r="R8" s="164"/>
    </row>
    <row r="9" spans="1:18" x14ac:dyDescent="0.3">
      <c r="A9" s="163"/>
      <c r="B9" s="97"/>
      <c r="C9" s="97"/>
      <c r="D9" s="97"/>
      <c r="E9" s="97"/>
      <c r="F9" s="97"/>
      <c r="G9" s="97"/>
      <c r="H9" s="97"/>
      <c r="I9" s="97"/>
      <c r="J9" s="97"/>
      <c r="K9" s="97"/>
      <c r="L9" s="97"/>
      <c r="M9" s="97"/>
      <c r="N9" s="97"/>
      <c r="O9" s="97"/>
      <c r="P9" s="97"/>
      <c r="Q9" s="97"/>
      <c r="R9" s="164"/>
    </row>
    <row r="10" spans="1:18" x14ac:dyDescent="0.3">
      <c r="A10" s="163"/>
      <c r="B10" s="97"/>
      <c r="C10" s="97"/>
      <c r="D10" s="97"/>
      <c r="E10" s="97"/>
      <c r="F10" s="97"/>
      <c r="G10" s="97"/>
      <c r="H10" s="97"/>
      <c r="I10" s="97"/>
      <c r="J10" s="97"/>
      <c r="K10" s="97"/>
      <c r="L10" s="97"/>
      <c r="M10" s="97"/>
      <c r="N10" s="97"/>
      <c r="O10" s="97"/>
      <c r="P10" s="97"/>
      <c r="Q10" s="97"/>
      <c r="R10" s="164"/>
    </row>
    <row r="11" spans="1:18" x14ac:dyDescent="0.3">
      <c r="A11" s="163"/>
      <c r="B11" s="97"/>
      <c r="C11" s="97"/>
      <c r="D11" s="97"/>
      <c r="E11" s="97"/>
      <c r="F11" s="97"/>
      <c r="G11" s="97"/>
      <c r="H11" s="97"/>
      <c r="I11" s="97"/>
      <c r="J11" s="97"/>
      <c r="K11" s="97"/>
      <c r="L11" s="97"/>
      <c r="M11" s="97"/>
      <c r="N11" s="97"/>
      <c r="O11" s="97"/>
      <c r="P11" s="97"/>
      <c r="Q11" s="97"/>
      <c r="R11" s="164"/>
    </row>
    <row r="12" spans="1:18" x14ac:dyDescent="0.3">
      <c r="A12" s="163"/>
      <c r="B12" s="97"/>
      <c r="C12" s="97"/>
      <c r="D12" s="97"/>
      <c r="E12" s="97"/>
      <c r="F12" s="97"/>
      <c r="G12" s="97"/>
      <c r="H12" s="97"/>
      <c r="I12" s="97"/>
      <c r="J12" s="97"/>
      <c r="K12" s="97"/>
      <c r="L12" s="97"/>
      <c r="M12" s="97"/>
      <c r="N12" s="97"/>
      <c r="O12" s="97"/>
      <c r="P12" s="97"/>
      <c r="Q12" s="97"/>
      <c r="R12" s="164"/>
    </row>
    <row r="13" spans="1:18" x14ac:dyDescent="0.3">
      <c r="A13" s="163"/>
      <c r="B13" s="97"/>
      <c r="C13" s="97"/>
      <c r="D13" s="97"/>
      <c r="E13" s="97"/>
      <c r="F13" s="97"/>
      <c r="G13" s="97"/>
      <c r="H13" s="97"/>
      <c r="I13" s="97"/>
      <c r="J13" s="97"/>
      <c r="K13" s="97"/>
      <c r="L13" s="97"/>
      <c r="M13" s="97"/>
      <c r="N13" s="97"/>
      <c r="O13" s="97"/>
      <c r="P13" s="97"/>
      <c r="Q13" s="97"/>
      <c r="R13" s="164"/>
    </row>
    <row r="14" spans="1:18" x14ac:dyDescent="0.3">
      <c r="A14" s="163"/>
      <c r="B14" s="97"/>
      <c r="C14" s="97"/>
      <c r="D14" s="97"/>
      <c r="E14" s="97"/>
      <c r="F14" s="97"/>
      <c r="G14" s="97"/>
      <c r="H14" s="97"/>
      <c r="I14" s="97"/>
      <c r="J14" s="97"/>
      <c r="K14" s="97"/>
      <c r="L14" s="97"/>
      <c r="M14" s="97"/>
      <c r="N14" s="97"/>
      <c r="O14" s="97"/>
      <c r="P14" s="97"/>
      <c r="Q14" s="97"/>
      <c r="R14" s="164"/>
    </row>
    <row r="15" spans="1:18" x14ac:dyDescent="0.3">
      <c r="A15" s="163"/>
      <c r="B15" s="97"/>
      <c r="C15" s="97"/>
      <c r="D15" s="97"/>
      <c r="E15" s="97"/>
      <c r="F15" s="97"/>
      <c r="G15" s="97"/>
      <c r="H15" s="97"/>
      <c r="I15" s="97"/>
      <c r="J15" s="97"/>
      <c r="K15" s="97"/>
      <c r="L15" s="97"/>
      <c r="M15" s="97"/>
      <c r="N15" s="97"/>
      <c r="O15" s="97"/>
      <c r="P15" s="97"/>
      <c r="Q15" s="97"/>
      <c r="R15" s="164"/>
    </row>
    <row r="16" spans="1:18" x14ac:dyDescent="0.3">
      <c r="A16" s="163"/>
      <c r="B16" s="97"/>
      <c r="C16" s="97"/>
      <c r="D16" s="97"/>
      <c r="E16" s="97"/>
      <c r="F16" s="97"/>
      <c r="G16" s="97"/>
      <c r="H16" s="97"/>
      <c r="I16" s="97"/>
      <c r="J16" s="97"/>
      <c r="K16" s="97"/>
      <c r="L16" s="97"/>
      <c r="M16" s="97"/>
      <c r="N16" s="97"/>
      <c r="O16" s="97"/>
      <c r="P16" s="97"/>
      <c r="Q16" s="97"/>
      <c r="R16" s="164"/>
    </row>
    <row r="17" spans="1:18" x14ac:dyDescent="0.3">
      <c r="A17" s="163"/>
      <c r="B17" s="97"/>
      <c r="C17" s="97"/>
      <c r="D17" s="97"/>
      <c r="E17" s="97"/>
      <c r="F17" s="97"/>
      <c r="G17" s="97"/>
      <c r="H17" s="97"/>
      <c r="I17" s="97"/>
      <c r="J17" s="97"/>
      <c r="K17" s="97"/>
      <c r="L17" s="97"/>
      <c r="M17" s="97"/>
      <c r="N17" s="97"/>
      <c r="O17" s="97"/>
      <c r="P17" s="97"/>
      <c r="Q17" s="97"/>
      <c r="R17" s="164"/>
    </row>
    <row r="18" spans="1:18" x14ac:dyDescent="0.3">
      <c r="A18" s="163"/>
      <c r="B18" s="97"/>
      <c r="C18" s="97"/>
      <c r="D18" s="97"/>
      <c r="E18" s="97"/>
      <c r="F18" s="97"/>
      <c r="G18" s="97"/>
      <c r="H18" s="97"/>
      <c r="I18" s="97"/>
      <c r="J18" s="97"/>
      <c r="K18" s="97"/>
      <c r="L18" s="97"/>
      <c r="M18" s="97"/>
      <c r="N18" s="97"/>
      <c r="O18" s="97"/>
      <c r="P18" s="97"/>
      <c r="Q18" s="97"/>
      <c r="R18" s="164"/>
    </row>
    <row r="19" spans="1:18" x14ac:dyDescent="0.3">
      <c r="A19" s="163"/>
      <c r="B19" s="97"/>
      <c r="C19" s="97"/>
      <c r="D19" s="97"/>
      <c r="E19" s="97"/>
      <c r="F19" s="97"/>
      <c r="G19" s="97"/>
      <c r="H19" s="97"/>
      <c r="I19" s="97"/>
      <c r="J19" s="97"/>
      <c r="K19" s="97"/>
      <c r="L19" s="97"/>
      <c r="M19" s="97"/>
      <c r="N19" s="97"/>
      <c r="O19" s="97"/>
      <c r="P19" s="97"/>
      <c r="Q19" s="97"/>
      <c r="R19" s="164"/>
    </row>
    <row r="20" spans="1:18" x14ac:dyDescent="0.3">
      <c r="A20" s="163"/>
      <c r="B20" s="97"/>
      <c r="C20" s="97"/>
      <c r="D20" s="97"/>
      <c r="E20" s="97"/>
      <c r="F20" s="97"/>
      <c r="G20" s="97"/>
      <c r="H20" s="97"/>
      <c r="I20" s="97"/>
      <c r="J20" s="97"/>
      <c r="K20" s="97"/>
      <c r="L20" s="97"/>
      <c r="M20" s="97"/>
      <c r="N20" s="97"/>
      <c r="O20" s="97"/>
      <c r="P20" s="97"/>
      <c r="Q20" s="97"/>
      <c r="R20" s="164"/>
    </row>
    <row r="21" spans="1:18" x14ac:dyDescent="0.3">
      <c r="A21" s="163"/>
      <c r="B21" s="97"/>
      <c r="C21" s="97"/>
      <c r="D21" s="97"/>
      <c r="E21" s="97"/>
      <c r="F21" s="97"/>
      <c r="G21" s="97"/>
      <c r="H21" s="97"/>
      <c r="I21" s="97"/>
      <c r="J21" s="97"/>
      <c r="K21" s="97"/>
      <c r="L21" s="97"/>
      <c r="M21" s="97"/>
      <c r="N21" s="97"/>
      <c r="O21" s="97"/>
      <c r="P21" s="97"/>
      <c r="Q21" s="97"/>
      <c r="R21" s="164"/>
    </row>
    <row r="22" spans="1:18" x14ac:dyDescent="0.3">
      <c r="A22" s="163"/>
      <c r="B22" s="97"/>
      <c r="C22" s="97"/>
      <c r="D22" s="97"/>
      <c r="E22" s="97"/>
      <c r="F22" s="97"/>
      <c r="G22" s="97"/>
      <c r="H22" s="97"/>
      <c r="I22" s="97"/>
      <c r="J22" s="97"/>
      <c r="K22" s="97"/>
      <c r="L22" s="97"/>
      <c r="M22" s="97"/>
      <c r="N22" s="97"/>
      <c r="O22" s="97"/>
      <c r="P22" s="97"/>
      <c r="Q22" s="97"/>
      <c r="R22" s="164"/>
    </row>
    <row r="23" spans="1:18" x14ac:dyDescent="0.3">
      <c r="A23" s="163"/>
      <c r="B23" s="97"/>
      <c r="C23" s="97"/>
      <c r="D23" s="97"/>
      <c r="E23" s="97"/>
      <c r="F23" s="97"/>
      <c r="G23" s="97"/>
      <c r="H23" s="97"/>
      <c r="I23" s="97"/>
      <c r="J23" s="97"/>
      <c r="K23" s="97"/>
      <c r="L23" s="97"/>
      <c r="M23" s="97"/>
      <c r="N23" s="97"/>
      <c r="O23" s="97"/>
      <c r="P23" s="97"/>
      <c r="Q23" s="97"/>
      <c r="R23" s="164"/>
    </row>
    <row r="24" spans="1:18" x14ac:dyDescent="0.3">
      <c r="A24" s="163"/>
      <c r="B24" s="97"/>
      <c r="C24" s="97"/>
      <c r="D24" s="97"/>
      <c r="E24" s="97"/>
      <c r="F24" s="97"/>
      <c r="G24" s="97"/>
      <c r="H24" s="97"/>
      <c r="I24" s="97"/>
      <c r="J24" s="97"/>
      <c r="K24" s="97"/>
      <c r="L24" s="97"/>
      <c r="M24" s="97"/>
      <c r="N24" s="97"/>
      <c r="O24" s="97"/>
      <c r="P24" s="97"/>
      <c r="Q24" s="97"/>
      <c r="R24" s="164"/>
    </row>
    <row r="25" spans="1:18" x14ac:dyDescent="0.3">
      <c r="A25" s="163"/>
      <c r="B25" s="97"/>
      <c r="C25" s="97"/>
      <c r="D25" s="97"/>
      <c r="E25" s="97"/>
      <c r="F25" s="97"/>
      <c r="G25" s="97"/>
      <c r="H25" s="97"/>
      <c r="I25" s="97"/>
      <c r="J25" s="97"/>
      <c r="K25" s="97"/>
      <c r="L25" s="97"/>
      <c r="M25" s="97"/>
      <c r="N25" s="97"/>
      <c r="O25" s="97"/>
      <c r="P25" s="97"/>
      <c r="Q25" s="97"/>
      <c r="R25" s="164"/>
    </row>
    <row r="26" spans="1:18" x14ac:dyDescent="0.3">
      <c r="A26" s="163"/>
      <c r="B26" s="97"/>
      <c r="C26" s="97"/>
      <c r="D26" s="97"/>
      <c r="E26" s="97"/>
      <c r="F26" s="97"/>
      <c r="G26" s="97"/>
      <c r="H26" s="97"/>
      <c r="I26" s="97"/>
      <c r="J26" s="97"/>
      <c r="K26" s="97"/>
      <c r="L26" s="97"/>
      <c r="M26" s="97"/>
      <c r="N26" s="97"/>
      <c r="O26" s="97"/>
      <c r="P26" s="97"/>
      <c r="Q26" s="97"/>
      <c r="R26" s="164"/>
    </row>
    <row r="27" spans="1:18" x14ac:dyDescent="0.3">
      <c r="A27" s="163"/>
      <c r="B27" s="97"/>
      <c r="C27" s="97"/>
      <c r="D27" s="97"/>
      <c r="E27" s="97"/>
      <c r="F27" s="97"/>
      <c r="G27" s="97"/>
      <c r="H27" s="97"/>
      <c r="I27" s="97"/>
      <c r="J27" s="97"/>
      <c r="K27" s="97"/>
      <c r="L27" s="97"/>
      <c r="M27" s="97"/>
      <c r="N27" s="97"/>
      <c r="O27" s="97"/>
      <c r="P27" s="97"/>
      <c r="Q27" s="97"/>
      <c r="R27" s="164"/>
    </row>
    <row r="28" spans="1:18" x14ac:dyDescent="0.3">
      <c r="A28" s="163"/>
      <c r="B28" s="97"/>
      <c r="C28" s="97"/>
      <c r="D28" s="97"/>
      <c r="E28" s="97"/>
      <c r="F28" s="97"/>
      <c r="G28" s="97"/>
      <c r="H28" s="97"/>
      <c r="I28" s="97"/>
      <c r="J28" s="97"/>
      <c r="K28" s="97"/>
      <c r="L28" s="97"/>
      <c r="M28" s="97"/>
      <c r="N28" s="97"/>
      <c r="O28" s="97"/>
      <c r="P28" s="97"/>
      <c r="Q28" s="97"/>
      <c r="R28" s="164"/>
    </row>
    <row r="29" spans="1:18" x14ac:dyDescent="0.3">
      <c r="A29" s="163"/>
      <c r="B29" s="97"/>
      <c r="C29" s="97"/>
      <c r="D29" s="97"/>
      <c r="E29" s="97"/>
      <c r="F29" s="97"/>
      <c r="G29" s="97"/>
      <c r="H29" s="97"/>
      <c r="I29" s="97"/>
      <c r="J29" s="97"/>
      <c r="K29" s="97"/>
      <c r="L29" s="97"/>
      <c r="M29" s="97"/>
      <c r="N29" s="97"/>
      <c r="O29" s="97"/>
      <c r="P29" s="97"/>
      <c r="Q29" s="97"/>
      <c r="R29" s="164"/>
    </row>
    <row r="30" spans="1:18" x14ac:dyDescent="0.3">
      <c r="A30" s="163"/>
      <c r="B30" s="97"/>
      <c r="C30" s="97"/>
      <c r="D30" s="97"/>
      <c r="E30" s="97"/>
      <c r="F30" s="97"/>
      <c r="G30" s="97"/>
      <c r="H30" s="97"/>
      <c r="I30" s="97"/>
      <c r="J30" s="97"/>
      <c r="K30" s="97"/>
      <c r="L30" s="97"/>
      <c r="M30" s="97"/>
      <c r="N30" s="97"/>
      <c r="O30" s="97"/>
      <c r="P30" s="97"/>
      <c r="Q30" s="97"/>
      <c r="R30" s="164"/>
    </row>
    <row r="31" spans="1:18" x14ac:dyDescent="0.3">
      <c r="A31" s="163"/>
      <c r="B31" s="97"/>
      <c r="C31" s="97"/>
      <c r="D31" s="97"/>
      <c r="E31" s="97"/>
      <c r="F31" s="97"/>
      <c r="G31" s="97"/>
      <c r="H31" s="97"/>
      <c r="I31" s="97"/>
      <c r="J31" s="97"/>
      <c r="K31" s="97"/>
      <c r="L31" s="97"/>
      <c r="M31" s="97"/>
      <c r="N31" s="97"/>
      <c r="O31" s="97"/>
      <c r="P31" s="97"/>
      <c r="Q31" s="97"/>
      <c r="R31" s="164"/>
    </row>
    <row r="32" spans="1:18" x14ac:dyDescent="0.3">
      <c r="A32" s="163"/>
      <c r="B32" s="97"/>
      <c r="C32" s="97"/>
      <c r="D32" s="97"/>
      <c r="E32" s="97"/>
      <c r="F32" s="97"/>
      <c r="G32" s="97"/>
      <c r="H32" s="97"/>
      <c r="I32" s="97"/>
      <c r="J32" s="97"/>
      <c r="K32" s="97"/>
      <c r="L32" s="97"/>
      <c r="M32" s="97"/>
      <c r="N32" s="97"/>
      <c r="O32" s="97"/>
      <c r="P32" s="97"/>
      <c r="Q32" s="97"/>
      <c r="R32" s="164"/>
    </row>
    <row r="33" spans="1:18" x14ac:dyDescent="0.3">
      <c r="A33" s="163"/>
      <c r="B33" s="168"/>
      <c r="C33" s="169"/>
      <c r="D33" s="97"/>
      <c r="E33" s="97"/>
      <c r="F33" s="97"/>
      <c r="G33" s="97"/>
      <c r="H33" s="97"/>
      <c r="I33" s="97"/>
      <c r="J33" s="97"/>
      <c r="K33" s="97"/>
      <c r="L33" s="97"/>
      <c r="M33" s="97"/>
      <c r="N33" s="97"/>
      <c r="O33" s="168" t="s">
        <v>3232</v>
      </c>
      <c r="P33" s="330" t="s">
        <v>3233</v>
      </c>
      <c r="Q33" s="97"/>
      <c r="R33" s="164"/>
    </row>
    <row r="34" spans="1:18" ht="15" thickBot="1" x14ac:dyDescent="0.35">
      <c r="A34" s="165"/>
      <c r="B34" s="166"/>
      <c r="C34" s="166"/>
      <c r="D34" s="166"/>
      <c r="E34" s="166"/>
      <c r="F34" s="166"/>
      <c r="G34" s="166"/>
      <c r="H34" s="166"/>
      <c r="I34" s="166"/>
      <c r="J34" s="166"/>
      <c r="K34" s="166"/>
      <c r="L34" s="166"/>
      <c r="M34" s="166"/>
      <c r="N34" s="166"/>
      <c r="O34" s="166"/>
      <c r="P34" s="166"/>
      <c r="Q34" s="166"/>
      <c r="R34" s="167"/>
    </row>
    <row r="35" spans="1:18" ht="15" thickTop="1" x14ac:dyDescent="0.3"/>
  </sheetData>
  <sheetProtection algorithmName="SHA-512" hashValue="7NUnpuBTwcEUdurAm4Ryk0gqK/5VM/6OT4ZR8x0UqTJPXGiFVihyiJ5xttQaJ4ifqcYky1P4I3/UR9YxiYtIjQ==" saltValue="Wa4XFBRYFEiyTEjFak+FdA==" spinCount="100000" sheet="1" objects="1" scenarios="1" selectLockedCells="1"/>
  <mergeCells count="6">
    <mergeCell ref="A2:B2"/>
    <mergeCell ref="C2:D2"/>
    <mergeCell ref="A1:R1"/>
    <mergeCell ref="B3:C3"/>
    <mergeCell ref="E3:F3"/>
    <mergeCell ref="H3:J3"/>
  </mergeCells>
  <hyperlinks>
    <hyperlink ref="P33" r:id="rId1" xr:uid="{00000000-0004-0000-1B00-000000000000}"/>
    <hyperlink ref="B3:C3" location="hyptarg1" display="back to 602.1.5" xr:uid="{00000000-0004-0000-1B00-000001000000}"/>
    <hyperlink ref="E3:F3" location="hyptarg2" display="back to 602.1.6" xr:uid="{00000000-0004-0000-1B00-000002000000}"/>
    <hyperlink ref="H3:I3" location="'Verification Report'!A1" display="back to Verification Report" xr:uid="{00000000-0004-0000-1B00-000003000000}"/>
    <hyperlink ref="H3:J3" location="'Verification Report'!A1" display="back to Verification Report" xr:uid="{00000000-0004-0000-1B00-000004000000}"/>
  </hyperlinks>
  <pageMargins left="0.7" right="0.7" top="0.75" bottom="0.75" header="0.3" footer="0.3"/>
  <pageSetup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B1:I6"/>
  <sheetViews>
    <sheetView showGridLines="0" zoomScaleNormal="100" workbookViewId="0">
      <selection activeCell="B2" sqref="B2:C2"/>
    </sheetView>
  </sheetViews>
  <sheetFormatPr defaultColWidth="9.109375" defaultRowHeight="14.4" x14ac:dyDescent="0.3"/>
  <cols>
    <col min="1" max="16384" width="9.109375" style="358"/>
  </cols>
  <sheetData>
    <row r="1" spans="2:9" s="417" customFormat="1" x14ac:dyDescent="0.3"/>
    <row r="2" spans="2:9" s="417" customFormat="1" x14ac:dyDescent="0.3">
      <c r="B2" s="1761" t="s">
        <v>3757</v>
      </c>
      <c r="C2" s="1761"/>
      <c r="F2" s="1756" t="s">
        <v>4657</v>
      </c>
      <c r="G2" s="1757"/>
      <c r="H2" s="1758"/>
    </row>
    <row r="5" spans="2:9" x14ac:dyDescent="0.3">
      <c r="D5" s="1763" t="s">
        <v>3656</v>
      </c>
      <c r="E5" s="1763"/>
      <c r="F5" s="1763"/>
      <c r="G5" s="1763"/>
      <c r="H5" s="1763"/>
      <c r="I5" s="1763"/>
    </row>
    <row r="6" spans="2:9" x14ac:dyDescent="0.3">
      <c r="D6" s="1372" t="s">
        <v>3655</v>
      </c>
      <c r="E6" s="1372"/>
      <c r="F6" s="1372"/>
      <c r="G6" s="1372"/>
      <c r="H6" s="1372"/>
      <c r="I6" s="1372"/>
    </row>
  </sheetData>
  <sheetProtection algorithmName="SHA-512" hashValue="G1Njbz5xhnSXAJgCrCzPNCjPRhh3VKbWvnktPB7fi1HAAqLlNJiBJ2ed0dSEIapEGhu65GRY2neUNPM06+R+Aw==" saltValue="bfPMKuAUdtbub1/J55UAsg==" spinCount="100000" sheet="1" objects="1" scenarios="1" selectLockedCells="1"/>
  <mergeCells count="4">
    <mergeCell ref="D5:I5"/>
    <mergeCell ref="D6:I6"/>
    <mergeCell ref="B2:C2"/>
    <mergeCell ref="F2:H2"/>
  </mergeCells>
  <hyperlinks>
    <hyperlink ref="B2:C2" location="hyptarg7.1" display="back to 701.4.3.2(2)" xr:uid="{00000000-0004-0000-1C00-000000000000}"/>
    <hyperlink ref="F2:G2" location="'Verification Report'!A1" display="back to Verification Report" xr:uid="{00000000-0004-0000-1C00-000001000000}"/>
    <hyperlink ref="F2:H2" location="'Verification Report'!A1" display="back to Verification Report" xr:uid="{00000000-0004-0000-1C00-000002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1"/>
  </sheetPr>
  <dimension ref="A1:J3146"/>
  <sheetViews>
    <sheetView topLeftCell="K1" workbookViewId="0">
      <selection activeCell="J52" sqref="J2:J52"/>
    </sheetView>
  </sheetViews>
  <sheetFormatPr defaultRowHeight="14.4" x14ac:dyDescent="0.3"/>
  <cols>
    <col min="1" max="2" width="0" hidden="1" customWidth="1"/>
    <col min="3" max="3" width="23.33203125" hidden="1" customWidth="1"/>
    <col min="4" max="7" width="0" hidden="1" customWidth="1"/>
    <col min="8" max="8" width="0" style="358" hidden="1" customWidth="1"/>
    <col min="9" max="10" width="0" hidden="1" customWidth="1"/>
    <col min="13" max="13" width="18.6640625" customWidth="1"/>
    <col min="14" max="14" width="19" bestFit="1" customWidth="1"/>
  </cols>
  <sheetData>
    <row r="1" spans="1:10" x14ac:dyDescent="0.3">
      <c r="A1" t="s">
        <v>2</v>
      </c>
      <c r="B1" t="s">
        <v>3</v>
      </c>
      <c r="C1" t="s">
        <v>4</v>
      </c>
      <c r="D1" t="s">
        <v>5</v>
      </c>
      <c r="E1" t="s">
        <v>6</v>
      </c>
      <c r="F1" t="s">
        <v>7</v>
      </c>
      <c r="G1" t="s">
        <v>8</v>
      </c>
      <c r="H1" s="358" t="s">
        <v>3678</v>
      </c>
      <c r="J1" t="s">
        <v>2</v>
      </c>
    </row>
    <row r="2" spans="1:10" x14ac:dyDescent="0.3">
      <c r="A2" t="s">
        <v>12</v>
      </c>
      <c r="B2" t="s">
        <v>114</v>
      </c>
      <c r="C2" t="s">
        <v>1315</v>
      </c>
      <c r="D2">
        <v>2</v>
      </c>
      <c r="E2" s="358">
        <v>3</v>
      </c>
      <c r="F2" s="358" t="s">
        <v>7</v>
      </c>
      <c r="G2" s="358" t="s">
        <v>115</v>
      </c>
      <c r="H2" s="358" t="s">
        <v>11</v>
      </c>
      <c r="J2" t="s">
        <v>12</v>
      </c>
    </row>
    <row r="3" spans="1:10" x14ac:dyDescent="0.3">
      <c r="A3" t="s">
        <v>12</v>
      </c>
      <c r="B3" t="s">
        <v>114</v>
      </c>
      <c r="C3" t="s">
        <v>1316</v>
      </c>
      <c r="D3">
        <v>3</v>
      </c>
      <c r="E3" s="358">
        <v>2</v>
      </c>
      <c r="F3" s="358" t="s">
        <v>7</v>
      </c>
      <c r="G3" s="358" t="s">
        <v>115</v>
      </c>
      <c r="H3" s="358" t="s">
        <v>11</v>
      </c>
      <c r="J3" t="s">
        <v>9</v>
      </c>
    </row>
    <row r="4" spans="1:10" x14ac:dyDescent="0.3">
      <c r="A4" t="s">
        <v>12</v>
      </c>
      <c r="B4" t="s">
        <v>114</v>
      </c>
      <c r="C4" t="s">
        <v>1317</v>
      </c>
      <c r="D4">
        <v>2</v>
      </c>
      <c r="E4" s="358">
        <v>3</v>
      </c>
      <c r="F4" s="358" t="s">
        <v>7</v>
      </c>
      <c r="G4" s="358" t="s">
        <v>115</v>
      </c>
      <c r="H4" s="358" t="s">
        <v>11</v>
      </c>
      <c r="J4" t="s">
        <v>14</v>
      </c>
    </row>
    <row r="5" spans="1:10" x14ac:dyDescent="0.3">
      <c r="A5" t="s">
        <v>12</v>
      </c>
      <c r="B5" t="s">
        <v>114</v>
      </c>
      <c r="C5" t="s">
        <v>1318</v>
      </c>
      <c r="D5">
        <v>2</v>
      </c>
      <c r="E5" s="358">
        <v>3</v>
      </c>
      <c r="F5" s="358" t="s">
        <v>7</v>
      </c>
      <c r="G5" s="358" t="s">
        <v>11</v>
      </c>
      <c r="H5" s="358" t="s">
        <v>11</v>
      </c>
      <c r="J5" t="s">
        <v>13</v>
      </c>
    </row>
    <row r="6" spans="1:10" x14ac:dyDescent="0.3">
      <c r="A6" t="s">
        <v>12</v>
      </c>
      <c r="B6" t="s">
        <v>114</v>
      </c>
      <c r="C6" t="s">
        <v>1319</v>
      </c>
      <c r="D6">
        <v>2</v>
      </c>
      <c r="E6" s="358">
        <v>3</v>
      </c>
      <c r="F6" s="358" t="s">
        <v>7</v>
      </c>
      <c r="G6" s="358" t="s">
        <v>11</v>
      </c>
      <c r="H6" s="358" t="s">
        <v>11</v>
      </c>
      <c r="J6" t="s">
        <v>15</v>
      </c>
    </row>
    <row r="7" spans="1:10" x14ac:dyDescent="0.3">
      <c r="A7" t="s">
        <v>12</v>
      </c>
      <c r="B7" t="s">
        <v>114</v>
      </c>
      <c r="C7" t="s">
        <v>1320</v>
      </c>
      <c r="D7">
        <v>2</v>
      </c>
      <c r="E7" s="358">
        <v>3</v>
      </c>
      <c r="F7" s="358" t="s">
        <v>7</v>
      </c>
      <c r="G7" s="358" t="s">
        <v>115</v>
      </c>
      <c r="H7" s="358" t="s">
        <v>11</v>
      </c>
      <c r="J7" t="s">
        <v>16</v>
      </c>
    </row>
    <row r="8" spans="1:10" x14ac:dyDescent="0.3">
      <c r="A8" t="s">
        <v>12</v>
      </c>
      <c r="B8" t="s">
        <v>114</v>
      </c>
      <c r="C8" t="s">
        <v>1321</v>
      </c>
      <c r="D8">
        <v>3</v>
      </c>
      <c r="E8" s="358">
        <v>3</v>
      </c>
      <c r="F8" s="358" t="s">
        <v>7</v>
      </c>
      <c r="G8" s="358" t="s">
        <v>115</v>
      </c>
      <c r="H8" s="358" t="s">
        <v>11</v>
      </c>
      <c r="J8" t="s">
        <v>17</v>
      </c>
    </row>
    <row r="9" spans="1:10" x14ac:dyDescent="0.3">
      <c r="A9" t="s">
        <v>12</v>
      </c>
      <c r="B9" t="s">
        <v>114</v>
      </c>
      <c r="C9" t="s">
        <v>1322</v>
      </c>
      <c r="D9">
        <v>1</v>
      </c>
      <c r="E9" s="358">
        <v>3</v>
      </c>
      <c r="F9" s="358" t="s">
        <v>7</v>
      </c>
      <c r="G9" s="358" t="s">
        <v>11</v>
      </c>
      <c r="H9" s="358" t="s">
        <v>11</v>
      </c>
      <c r="J9" t="s">
        <v>19</v>
      </c>
    </row>
    <row r="10" spans="1:10" x14ac:dyDescent="0.3">
      <c r="A10" t="s">
        <v>12</v>
      </c>
      <c r="B10" t="s">
        <v>114</v>
      </c>
      <c r="C10" t="s">
        <v>1323</v>
      </c>
      <c r="D10">
        <v>3</v>
      </c>
      <c r="E10" s="358">
        <v>3</v>
      </c>
      <c r="F10" s="358" t="s">
        <v>7</v>
      </c>
      <c r="G10" s="358" t="s">
        <v>11</v>
      </c>
      <c r="H10" s="358" t="s">
        <v>11</v>
      </c>
      <c r="J10" t="s">
        <v>18</v>
      </c>
    </row>
    <row r="11" spans="1:10" x14ac:dyDescent="0.3">
      <c r="A11" t="s">
        <v>12</v>
      </c>
      <c r="B11" t="s">
        <v>114</v>
      </c>
      <c r="C11" t="s">
        <v>1324</v>
      </c>
      <c r="D11">
        <v>2</v>
      </c>
      <c r="E11" s="358">
        <v>3</v>
      </c>
      <c r="F11" s="358" t="s">
        <v>7</v>
      </c>
      <c r="G11" s="358" t="s">
        <v>11</v>
      </c>
      <c r="H11" s="358" t="s">
        <v>11</v>
      </c>
      <c r="J11" t="s">
        <v>20</v>
      </c>
    </row>
    <row r="12" spans="1:10" x14ac:dyDescent="0.3">
      <c r="A12" t="s">
        <v>12</v>
      </c>
      <c r="B12" t="s">
        <v>114</v>
      </c>
      <c r="C12" t="s">
        <v>1325</v>
      </c>
      <c r="D12">
        <v>2</v>
      </c>
      <c r="E12" s="358">
        <v>3</v>
      </c>
      <c r="F12" s="358" t="s">
        <v>7</v>
      </c>
      <c r="G12" s="358" t="s">
        <v>11</v>
      </c>
      <c r="H12" s="358" t="s">
        <v>11</v>
      </c>
      <c r="J12" t="s">
        <v>21</v>
      </c>
    </row>
    <row r="13" spans="1:10" x14ac:dyDescent="0.3">
      <c r="A13" t="s">
        <v>12</v>
      </c>
      <c r="B13" t="s">
        <v>114</v>
      </c>
      <c r="C13" t="s">
        <v>1326</v>
      </c>
      <c r="D13">
        <v>3</v>
      </c>
      <c r="E13" s="358">
        <v>3</v>
      </c>
      <c r="F13" s="358" t="s">
        <v>7</v>
      </c>
      <c r="G13" s="358" t="s">
        <v>115</v>
      </c>
      <c r="H13" s="358" t="s">
        <v>11</v>
      </c>
      <c r="J13" t="s">
        <v>22</v>
      </c>
    </row>
    <row r="14" spans="1:10" x14ac:dyDescent="0.3">
      <c r="A14" t="s">
        <v>12</v>
      </c>
      <c r="B14" t="s">
        <v>114</v>
      </c>
      <c r="C14" t="s">
        <v>1327</v>
      </c>
      <c r="D14">
        <v>3</v>
      </c>
      <c r="E14" s="358">
        <v>3</v>
      </c>
      <c r="F14" s="358" t="s">
        <v>7</v>
      </c>
      <c r="G14" s="358" t="s">
        <v>115</v>
      </c>
      <c r="H14" s="358" t="s">
        <v>11</v>
      </c>
      <c r="J14" t="s">
        <v>24</v>
      </c>
    </row>
    <row r="15" spans="1:10" x14ac:dyDescent="0.3">
      <c r="A15" t="s">
        <v>12</v>
      </c>
      <c r="B15" t="s">
        <v>114</v>
      </c>
      <c r="C15" t="s">
        <v>1328</v>
      </c>
      <c r="D15">
        <v>1</v>
      </c>
      <c r="E15" s="358">
        <v>3</v>
      </c>
      <c r="F15" s="358" t="s">
        <v>7</v>
      </c>
      <c r="G15" s="358" t="s">
        <v>11</v>
      </c>
      <c r="H15" s="358" t="s">
        <v>11</v>
      </c>
      <c r="J15" t="s">
        <v>25</v>
      </c>
    </row>
    <row r="16" spans="1:10" x14ac:dyDescent="0.3">
      <c r="A16" t="s">
        <v>12</v>
      </c>
      <c r="B16" t="s">
        <v>114</v>
      </c>
      <c r="C16" t="s">
        <v>1329</v>
      </c>
      <c r="D16">
        <v>1</v>
      </c>
      <c r="E16" s="358">
        <v>3</v>
      </c>
      <c r="F16" s="358" t="s">
        <v>7</v>
      </c>
      <c r="G16" s="358" t="s">
        <v>11</v>
      </c>
      <c r="H16" s="358" t="s">
        <v>11</v>
      </c>
      <c r="J16" t="s">
        <v>26</v>
      </c>
    </row>
    <row r="17" spans="1:10" x14ac:dyDescent="0.3">
      <c r="A17" t="s">
        <v>12</v>
      </c>
      <c r="B17" t="s">
        <v>114</v>
      </c>
      <c r="C17" t="s">
        <v>1330</v>
      </c>
      <c r="D17">
        <v>3</v>
      </c>
      <c r="E17" s="358">
        <v>3</v>
      </c>
      <c r="F17" s="358" t="s">
        <v>7</v>
      </c>
      <c r="G17" s="358" t="s">
        <v>115</v>
      </c>
      <c r="H17" s="358" t="s">
        <v>11</v>
      </c>
      <c r="J17" t="s">
        <v>23</v>
      </c>
    </row>
    <row r="18" spans="1:10" x14ac:dyDescent="0.3">
      <c r="A18" t="s">
        <v>12</v>
      </c>
      <c r="B18" t="s">
        <v>114</v>
      </c>
      <c r="C18" t="s">
        <v>1331</v>
      </c>
      <c r="D18">
        <v>1</v>
      </c>
      <c r="E18" s="358">
        <v>3</v>
      </c>
      <c r="F18" s="358" t="s">
        <v>7</v>
      </c>
      <c r="G18" s="358" t="s">
        <v>11</v>
      </c>
      <c r="H18" s="358" t="s">
        <v>11</v>
      </c>
      <c r="J18" t="s">
        <v>27</v>
      </c>
    </row>
    <row r="19" spans="1:10" x14ac:dyDescent="0.3">
      <c r="A19" t="s">
        <v>12</v>
      </c>
      <c r="B19" t="s">
        <v>114</v>
      </c>
      <c r="C19" t="s">
        <v>1332</v>
      </c>
      <c r="D19">
        <v>3</v>
      </c>
      <c r="E19" s="358">
        <v>3</v>
      </c>
      <c r="F19" s="358" t="s">
        <v>7</v>
      </c>
      <c r="G19" s="358" t="s">
        <v>115</v>
      </c>
      <c r="H19" s="358" t="s">
        <v>11</v>
      </c>
      <c r="J19" t="s">
        <v>28</v>
      </c>
    </row>
    <row r="20" spans="1:10" x14ac:dyDescent="0.3">
      <c r="A20" t="s">
        <v>12</v>
      </c>
      <c r="B20" t="s">
        <v>114</v>
      </c>
      <c r="C20" t="s">
        <v>1333</v>
      </c>
      <c r="D20">
        <v>1</v>
      </c>
      <c r="E20" s="358">
        <v>3</v>
      </c>
      <c r="F20" s="358" t="s">
        <v>7</v>
      </c>
      <c r="G20" s="358" t="s">
        <v>11</v>
      </c>
      <c r="H20" s="358" t="s">
        <v>11</v>
      </c>
      <c r="J20" t="s">
        <v>29</v>
      </c>
    </row>
    <row r="21" spans="1:10" x14ac:dyDescent="0.3">
      <c r="A21" t="s">
        <v>12</v>
      </c>
      <c r="B21" t="s">
        <v>114</v>
      </c>
      <c r="C21" t="s">
        <v>1334</v>
      </c>
      <c r="D21">
        <v>3</v>
      </c>
      <c r="E21" s="358">
        <v>3</v>
      </c>
      <c r="F21" s="358" t="s">
        <v>7</v>
      </c>
      <c r="G21" s="358" t="s">
        <v>115</v>
      </c>
      <c r="H21" s="358" t="s">
        <v>11</v>
      </c>
      <c r="J21" t="s">
        <v>32</v>
      </c>
    </row>
    <row r="22" spans="1:10" x14ac:dyDescent="0.3">
      <c r="A22" t="s">
        <v>12</v>
      </c>
      <c r="B22" t="s">
        <v>114</v>
      </c>
      <c r="C22" t="s">
        <v>1335</v>
      </c>
      <c r="D22">
        <v>3</v>
      </c>
      <c r="E22" s="358">
        <v>3</v>
      </c>
      <c r="F22" s="358" t="s">
        <v>7</v>
      </c>
      <c r="G22" s="358" t="s">
        <v>115</v>
      </c>
      <c r="H22" s="358" t="s">
        <v>11</v>
      </c>
      <c r="J22" t="s">
        <v>31</v>
      </c>
    </row>
    <row r="23" spans="1:10" x14ac:dyDescent="0.3">
      <c r="A23" t="s">
        <v>12</v>
      </c>
      <c r="B23" t="s">
        <v>114</v>
      </c>
      <c r="C23" t="s">
        <v>1336</v>
      </c>
      <c r="D23">
        <v>2</v>
      </c>
      <c r="E23" s="358">
        <v>3</v>
      </c>
      <c r="F23" s="358" t="s">
        <v>7</v>
      </c>
      <c r="G23" s="358" t="s">
        <v>11</v>
      </c>
      <c r="H23" s="358" t="s">
        <v>11</v>
      </c>
      <c r="J23" t="s">
        <v>30</v>
      </c>
    </row>
    <row r="24" spans="1:10" x14ac:dyDescent="0.3">
      <c r="A24" t="s">
        <v>12</v>
      </c>
      <c r="B24" t="s">
        <v>114</v>
      </c>
      <c r="C24" t="s">
        <v>1337</v>
      </c>
      <c r="D24">
        <v>3</v>
      </c>
      <c r="E24" s="358">
        <v>3</v>
      </c>
      <c r="F24" s="358" t="s">
        <v>7</v>
      </c>
      <c r="G24" s="358" t="s">
        <v>115</v>
      </c>
      <c r="H24" s="358" t="s">
        <v>11</v>
      </c>
      <c r="J24" t="s">
        <v>33</v>
      </c>
    </row>
    <row r="25" spans="1:10" x14ac:dyDescent="0.3">
      <c r="A25" t="s">
        <v>12</v>
      </c>
      <c r="B25" t="s">
        <v>114</v>
      </c>
      <c r="C25" t="s">
        <v>1338</v>
      </c>
      <c r="D25">
        <v>2</v>
      </c>
      <c r="E25" s="358">
        <v>3</v>
      </c>
      <c r="F25" s="358" t="s">
        <v>7</v>
      </c>
      <c r="G25" s="358" t="s">
        <v>115</v>
      </c>
      <c r="H25" s="358" t="s">
        <v>11</v>
      </c>
      <c r="J25" t="s">
        <v>34</v>
      </c>
    </row>
    <row r="26" spans="1:10" x14ac:dyDescent="0.3">
      <c r="A26" t="s">
        <v>12</v>
      </c>
      <c r="B26" t="s">
        <v>114</v>
      </c>
      <c r="C26" t="s">
        <v>1339</v>
      </c>
      <c r="D26">
        <v>2</v>
      </c>
      <c r="E26" s="358">
        <v>3</v>
      </c>
      <c r="F26" s="358" t="s">
        <v>7</v>
      </c>
      <c r="G26" s="358" t="s">
        <v>11</v>
      </c>
      <c r="H26" s="358" t="s">
        <v>11</v>
      </c>
      <c r="J26" t="s">
        <v>36</v>
      </c>
    </row>
    <row r="27" spans="1:10" x14ac:dyDescent="0.3">
      <c r="A27" t="s">
        <v>12</v>
      </c>
      <c r="B27" t="s">
        <v>114</v>
      </c>
      <c r="C27" t="s">
        <v>1340</v>
      </c>
      <c r="D27">
        <v>2</v>
      </c>
      <c r="E27" s="358">
        <v>3</v>
      </c>
      <c r="F27" s="358" t="s">
        <v>7</v>
      </c>
      <c r="G27" s="358" t="s">
        <v>115</v>
      </c>
      <c r="H27" s="358" t="s">
        <v>11</v>
      </c>
      <c r="J27" t="s">
        <v>35</v>
      </c>
    </row>
    <row r="28" spans="1:10" x14ac:dyDescent="0.3">
      <c r="A28" t="s">
        <v>12</v>
      </c>
      <c r="B28" t="s">
        <v>114</v>
      </c>
      <c r="C28" t="s">
        <v>1341</v>
      </c>
      <c r="D28">
        <v>3</v>
      </c>
      <c r="E28" s="358">
        <v>3</v>
      </c>
      <c r="F28" s="358" t="s">
        <v>7</v>
      </c>
      <c r="G28" s="358" t="s">
        <v>115</v>
      </c>
      <c r="H28" s="358" t="s">
        <v>11</v>
      </c>
      <c r="J28" t="s">
        <v>37</v>
      </c>
    </row>
    <row r="29" spans="1:10" x14ac:dyDescent="0.3">
      <c r="A29" t="s">
        <v>12</v>
      </c>
      <c r="B29" t="s">
        <v>114</v>
      </c>
      <c r="C29" t="s">
        <v>1342</v>
      </c>
      <c r="D29">
        <v>2</v>
      </c>
      <c r="E29" s="358">
        <v>3</v>
      </c>
      <c r="F29" s="358" t="s">
        <v>7</v>
      </c>
      <c r="G29" s="358" t="s">
        <v>11</v>
      </c>
      <c r="H29" s="358" t="s">
        <v>11</v>
      </c>
      <c r="J29" t="s">
        <v>41</v>
      </c>
    </row>
    <row r="30" spans="1:10" x14ac:dyDescent="0.3">
      <c r="A30" t="s">
        <v>12</v>
      </c>
      <c r="B30" t="s">
        <v>114</v>
      </c>
      <c r="C30" t="s">
        <v>1343</v>
      </c>
      <c r="D30">
        <v>2</v>
      </c>
      <c r="E30" s="358">
        <v>3</v>
      </c>
      <c r="F30" s="358" t="s">
        <v>7</v>
      </c>
      <c r="G30" s="358" t="s">
        <v>11</v>
      </c>
      <c r="H30" s="358" t="s">
        <v>11</v>
      </c>
      <c r="J30" t="s">
        <v>45</v>
      </c>
    </row>
    <row r="31" spans="1:10" x14ac:dyDescent="0.3">
      <c r="A31" t="s">
        <v>12</v>
      </c>
      <c r="B31" t="s">
        <v>114</v>
      </c>
      <c r="C31" t="s">
        <v>1344</v>
      </c>
      <c r="D31">
        <v>1</v>
      </c>
      <c r="E31" s="358">
        <v>3</v>
      </c>
      <c r="F31" s="358" t="s">
        <v>7</v>
      </c>
      <c r="G31" s="358" t="s">
        <v>11</v>
      </c>
      <c r="H31" s="358" t="s">
        <v>11</v>
      </c>
      <c r="J31" t="s">
        <v>42</v>
      </c>
    </row>
    <row r="32" spans="1:10" x14ac:dyDescent="0.3">
      <c r="A32" t="s">
        <v>12</v>
      </c>
      <c r="B32" t="s">
        <v>114</v>
      </c>
      <c r="C32" t="s">
        <v>1345</v>
      </c>
      <c r="D32">
        <v>3</v>
      </c>
      <c r="E32" s="358">
        <v>3</v>
      </c>
      <c r="F32" s="358" t="s">
        <v>7</v>
      </c>
      <c r="G32" s="358" t="s">
        <v>115</v>
      </c>
      <c r="H32" s="358" t="s">
        <v>11</v>
      </c>
      <c r="J32" t="s">
        <v>43</v>
      </c>
    </row>
    <row r="33" spans="1:10" x14ac:dyDescent="0.3">
      <c r="A33" t="s">
        <v>12</v>
      </c>
      <c r="B33" t="s">
        <v>114</v>
      </c>
      <c r="C33" t="s">
        <v>1346</v>
      </c>
      <c r="D33">
        <v>2</v>
      </c>
      <c r="E33" s="358">
        <v>3</v>
      </c>
      <c r="F33" s="358" t="s">
        <v>7</v>
      </c>
      <c r="G33" s="358" t="s">
        <v>11</v>
      </c>
      <c r="H33" s="358" t="s">
        <v>11</v>
      </c>
      <c r="J33" t="s">
        <v>44</v>
      </c>
    </row>
    <row r="34" spans="1:10" x14ac:dyDescent="0.3">
      <c r="A34" t="s">
        <v>12</v>
      </c>
      <c r="B34" t="s">
        <v>114</v>
      </c>
      <c r="C34" t="s">
        <v>1347</v>
      </c>
      <c r="D34">
        <v>2</v>
      </c>
      <c r="E34" s="358">
        <v>3</v>
      </c>
      <c r="F34" s="358" t="s">
        <v>7</v>
      </c>
      <c r="G34" s="358" t="s">
        <v>11</v>
      </c>
      <c r="H34" s="358" t="s">
        <v>11</v>
      </c>
      <c r="J34" t="s">
        <v>46</v>
      </c>
    </row>
    <row r="35" spans="1:10" x14ac:dyDescent="0.3">
      <c r="A35" t="s">
        <v>12</v>
      </c>
      <c r="B35" t="s">
        <v>114</v>
      </c>
      <c r="C35" t="s">
        <v>1348</v>
      </c>
      <c r="D35">
        <v>3</v>
      </c>
      <c r="E35" s="358">
        <v>3</v>
      </c>
      <c r="F35" s="358" t="s">
        <v>7</v>
      </c>
      <c r="G35" s="358" t="s">
        <v>115</v>
      </c>
      <c r="H35" s="358" t="s">
        <v>11</v>
      </c>
      <c r="J35" t="s">
        <v>38</v>
      </c>
    </row>
    <row r="36" spans="1:10" x14ac:dyDescent="0.3">
      <c r="A36" t="s">
        <v>12</v>
      </c>
      <c r="B36" t="s">
        <v>114</v>
      </c>
      <c r="C36" t="s">
        <v>1349</v>
      </c>
      <c r="D36">
        <v>3</v>
      </c>
      <c r="E36" s="358">
        <v>3</v>
      </c>
      <c r="F36" s="358" t="s">
        <v>7</v>
      </c>
      <c r="G36" s="358" t="s">
        <v>115</v>
      </c>
      <c r="H36" s="358" t="s">
        <v>11</v>
      </c>
      <c r="J36" t="s">
        <v>39</v>
      </c>
    </row>
    <row r="37" spans="1:10" x14ac:dyDescent="0.3">
      <c r="A37" t="s">
        <v>12</v>
      </c>
      <c r="B37" t="s">
        <v>114</v>
      </c>
      <c r="C37" t="s">
        <v>1350</v>
      </c>
      <c r="D37">
        <v>1</v>
      </c>
      <c r="E37" s="358">
        <v>3</v>
      </c>
      <c r="F37" s="358" t="s">
        <v>7</v>
      </c>
      <c r="G37" s="358" t="s">
        <v>11</v>
      </c>
      <c r="H37" s="358" t="s">
        <v>11</v>
      </c>
      <c r="J37" t="s">
        <v>47</v>
      </c>
    </row>
    <row r="38" spans="1:10" x14ac:dyDescent="0.3">
      <c r="A38" t="s">
        <v>12</v>
      </c>
      <c r="B38" t="s">
        <v>114</v>
      </c>
      <c r="C38" t="s">
        <v>1351</v>
      </c>
      <c r="D38">
        <v>2</v>
      </c>
      <c r="E38" s="358">
        <v>3</v>
      </c>
      <c r="F38" s="358" t="s">
        <v>7</v>
      </c>
      <c r="G38" s="358" t="s">
        <v>11</v>
      </c>
      <c r="H38" s="358" t="s">
        <v>11</v>
      </c>
      <c r="J38" t="s">
        <v>48</v>
      </c>
    </row>
    <row r="39" spans="1:10" x14ac:dyDescent="0.3">
      <c r="A39" t="s">
        <v>12</v>
      </c>
      <c r="B39" t="s">
        <v>114</v>
      </c>
      <c r="C39" t="s">
        <v>1352</v>
      </c>
      <c r="D39">
        <v>2</v>
      </c>
      <c r="E39" s="358">
        <v>3</v>
      </c>
      <c r="F39" s="358" t="s">
        <v>7</v>
      </c>
      <c r="G39" s="358" t="s">
        <v>11</v>
      </c>
      <c r="H39" s="358" t="s">
        <v>11</v>
      </c>
      <c r="J39" t="s">
        <v>49</v>
      </c>
    </row>
    <row r="40" spans="1:10" x14ac:dyDescent="0.3">
      <c r="A40" t="s">
        <v>12</v>
      </c>
      <c r="B40" t="s">
        <v>114</v>
      </c>
      <c r="C40" t="s">
        <v>1353</v>
      </c>
      <c r="D40">
        <v>1</v>
      </c>
      <c r="E40" s="358">
        <v>3</v>
      </c>
      <c r="F40" s="358" t="s">
        <v>7</v>
      </c>
      <c r="G40" s="358" t="s">
        <v>11</v>
      </c>
      <c r="H40" s="358" t="s">
        <v>11</v>
      </c>
      <c r="J40" t="s">
        <v>50</v>
      </c>
    </row>
    <row r="41" spans="1:10" x14ac:dyDescent="0.3">
      <c r="A41" t="s">
        <v>12</v>
      </c>
      <c r="B41" t="s">
        <v>114</v>
      </c>
      <c r="C41" t="s">
        <v>1354</v>
      </c>
      <c r="D41">
        <v>1</v>
      </c>
      <c r="E41" s="358">
        <v>3</v>
      </c>
      <c r="F41" s="358" t="s">
        <v>7</v>
      </c>
      <c r="G41" s="358" t="s">
        <v>11</v>
      </c>
      <c r="H41" s="358" t="s">
        <v>11</v>
      </c>
      <c r="J41" t="s">
        <v>51</v>
      </c>
    </row>
    <row r="42" spans="1:10" x14ac:dyDescent="0.3">
      <c r="A42" t="s">
        <v>12</v>
      </c>
      <c r="B42" t="s">
        <v>114</v>
      </c>
      <c r="C42" t="s">
        <v>1355</v>
      </c>
      <c r="D42">
        <v>2</v>
      </c>
      <c r="E42" s="358">
        <v>3</v>
      </c>
      <c r="F42" s="358" t="s">
        <v>7</v>
      </c>
      <c r="G42" s="358" t="s">
        <v>11</v>
      </c>
      <c r="H42" s="358" t="s">
        <v>11</v>
      </c>
      <c r="J42" t="s">
        <v>52</v>
      </c>
    </row>
    <row r="43" spans="1:10" x14ac:dyDescent="0.3">
      <c r="A43" t="s">
        <v>12</v>
      </c>
      <c r="B43" t="s">
        <v>114</v>
      </c>
      <c r="C43" t="s">
        <v>1356</v>
      </c>
      <c r="D43">
        <v>1</v>
      </c>
      <c r="E43" s="358">
        <v>3</v>
      </c>
      <c r="F43" s="358" t="s">
        <v>7</v>
      </c>
      <c r="G43" s="358" t="s">
        <v>11</v>
      </c>
      <c r="H43" s="358" t="s">
        <v>11</v>
      </c>
      <c r="J43" t="s">
        <v>53</v>
      </c>
    </row>
    <row r="44" spans="1:10" x14ac:dyDescent="0.3">
      <c r="A44" t="s">
        <v>12</v>
      </c>
      <c r="B44" t="s">
        <v>114</v>
      </c>
      <c r="C44" t="s">
        <v>1357</v>
      </c>
      <c r="D44">
        <v>2</v>
      </c>
      <c r="E44" s="358">
        <v>3</v>
      </c>
      <c r="F44" s="358" t="s">
        <v>7</v>
      </c>
      <c r="G44" s="358" t="s">
        <v>115</v>
      </c>
      <c r="H44" s="358" t="s">
        <v>11</v>
      </c>
      <c r="J44" t="s">
        <v>55</v>
      </c>
    </row>
    <row r="45" spans="1:10" x14ac:dyDescent="0.3">
      <c r="A45" t="s">
        <v>12</v>
      </c>
      <c r="B45" t="s">
        <v>114</v>
      </c>
      <c r="C45" t="s">
        <v>1358</v>
      </c>
      <c r="D45">
        <v>2</v>
      </c>
      <c r="E45" s="358">
        <v>3</v>
      </c>
      <c r="F45" s="358" t="s">
        <v>7</v>
      </c>
      <c r="G45" s="358" t="s">
        <v>115</v>
      </c>
      <c r="H45" s="358" t="s">
        <v>11</v>
      </c>
      <c r="J45" t="s">
        <v>57</v>
      </c>
    </row>
    <row r="46" spans="1:10" x14ac:dyDescent="0.3">
      <c r="A46" t="s">
        <v>12</v>
      </c>
      <c r="B46" t="s">
        <v>114</v>
      </c>
      <c r="C46" t="s">
        <v>1359</v>
      </c>
      <c r="D46">
        <v>1</v>
      </c>
      <c r="E46" s="358">
        <v>3</v>
      </c>
      <c r="F46" s="358" t="s">
        <v>7</v>
      </c>
      <c r="G46" s="358" t="s">
        <v>11</v>
      </c>
      <c r="H46" s="358" t="s">
        <v>11</v>
      </c>
      <c r="J46" t="s">
        <v>58</v>
      </c>
    </row>
    <row r="47" spans="1:10" x14ac:dyDescent="0.3">
      <c r="A47" t="s">
        <v>12</v>
      </c>
      <c r="B47" t="s">
        <v>114</v>
      </c>
      <c r="C47" t="s">
        <v>1360</v>
      </c>
      <c r="D47">
        <v>3</v>
      </c>
      <c r="E47" s="358">
        <v>3</v>
      </c>
      <c r="F47" s="358" t="s">
        <v>7</v>
      </c>
      <c r="G47" s="358" t="s">
        <v>115</v>
      </c>
      <c r="H47" s="358" t="s">
        <v>11</v>
      </c>
      <c r="J47" t="s">
        <v>60</v>
      </c>
    </row>
    <row r="48" spans="1:10" x14ac:dyDescent="0.3">
      <c r="A48" t="s">
        <v>12</v>
      </c>
      <c r="B48" t="s">
        <v>114</v>
      </c>
      <c r="C48" t="s">
        <v>1361</v>
      </c>
      <c r="D48">
        <v>2</v>
      </c>
      <c r="E48" s="358">
        <v>3</v>
      </c>
      <c r="F48" s="358" t="s">
        <v>7</v>
      </c>
      <c r="G48" s="358" t="s">
        <v>11</v>
      </c>
      <c r="H48" s="358" t="s">
        <v>11</v>
      </c>
      <c r="J48" t="s">
        <v>59</v>
      </c>
    </row>
    <row r="49" spans="1:10" x14ac:dyDescent="0.3">
      <c r="A49" t="s">
        <v>12</v>
      </c>
      <c r="B49" t="s">
        <v>114</v>
      </c>
      <c r="C49" t="s">
        <v>1362</v>
      </c>
      <c r="D49">
        <v>2</v>
      </c>
      <c r="E49" s="358">
        <v>3</v>
      </c>
      <c r="F49" s="358" t="s">
        <v>7</v>
      </c>
      <c r="G49" s="358" t="s">
        <v>11</v>
      </c>
      <c r="H49" s="358" t="s">
        <v>11</v>
      </c>
      <c r="J49" t="s">
        <v>61</v>
      </c>
    </row>
    <row r="50" spans="1:10" x14ac:dyDescent="0.3">
      <c r="A50" t="s">
        <v>12</v>
      </c>
      <c r="B50" t="s">
        <v>114</v>
      </c>
      <c r="C50" t="s">
        <v>1363</v>
      </c>
      <c r="D50">
        <v>3</v>
      </c>
      <c r="E50" s="358">
        <v>2</v>
      </c>
      <c r="F50" s="358" t="s">
        <v>7</v>
      </c>
      <c r="G50" s="358" t="s">
        <v>115</v>
      </c>
      <c r="H50" s="358" t="s">
        <v>11</v>
      </c>
      <c r="J50" t="s">
        <v>63</v>
      </c>
    </row>
    <row r="51" spans="1:10" x14ac:dyDescent="0.3">
      <c r="A51" t="s">
        <v>12</v>
      </c>
      <c r="B51" t="s">
        <v>114</v>
      </c>
      <c r="C51" t="s">
        <v>1364</v>
      </c>
      <c r="D51">
        <v>3</v>
      </c>
      <c r="E51" s="358">
        <v>3</v>
      </c>
      <c r="F51" s="358" t="s">
        <v>7</v>
      </c>
      <c r="G51" s="358" t="s">
        <v>115</v>
      </c>
      <c r="H51" s="358" t="s">
        <v>11</v>
      </c>
      <c r="J51" t="s">
        <v>62</v>
      </c>
    </row>
    <row r="52" spans="1:10" x14ac:dyDescent="0.3">
      <c r="A52" t="s">
        <v>12</v>
      </c>
      <c r="B52" t="s">
        <v>114</v>
      </c>
      <c r="C52" t="s">
        <v>1365</v>
      </c>
      <c r="D52">
        <v>2</v>
      </c>
      <c r="E52" s="358">
        <v>3</v>
      </c>
      <c r="F52" s="358" t="s">
        <v>7</v>
      </c>
      <c r="G52" s="358" t="s">
        <v>115</v>
      </c>
      <c r="H52" s="358" t="s">
        <v>11</v>
      </c>
      <c r="J52" t="s">
        <v>64</v>
      </c>
    </row>
    <row r="53" spans="1:10" x14ac:dyDescent="0.3">
      <c r="A53" t="s">
        <v>12</v>
      </c>
      <c r="B53" t="s">
        <v>114</v>
      </c>
      <c r="C53" t="s">
        <v>1366</v>
      </c>
      <c r="D53">
        <v>1</v>
      </c>
      <c r="E53" s="358">
        <v>3</v>
      </c>
      <c r="F53" s="358" t="s">
        <v>7</v>
      </c>
      <c r="G53" s="358" t="s">
        <v>11</v>
      </c>
      <c r="H53" s="358" t="s">
        <v>11</v>
      </c>
      <c r="J53" t="s">
        <v>65</v>
      </c>
    </row>
    <row r="54" spans="1:10" x14ac:dyDescent="0.3">
      <c r="A54" t="s">
        <v>12</v>
      </c>
      <c r="B54" t="s">
        <v>114</v>
      </c>
      <c r="C54" t="s">
        <v>1367</v>
      </c>
      <c r="D54">
        <v>2</v>
      </c>
      <c r="E54" s="358">
        <v>3</v>
      </c>
      <c r="F54" s="358" t="s">
        <v>7</v>
      </c>
      <c r="G54" s="358" t="s">
        <v>115</v>
      </c>
      <c r="H54" s="358" t="s">
        <v>11</v>
      </c>
      <c r="J54" t="s">
        <v>66</v>
      </c>
    </row>
    <row r="55" spans="1:10" x14ac:dyDescent="0.3">
      <c r="A55" t="s">
        <v>12</v>
      </c>
      <c r="B55" t="s">
        <v>114</v>
      </c>
      <c r="C55" t="s">
        <v>1368</v>
      </c>
      <c r="D55">
        <v>2</v>
      </c>
      <c r="E55" s="358">
        <v>3</v>
      </c>
      <c r="F55" s="358" t="s">
        <v>7</v>
      </c>
      <c r="G55" s="358" t="s">
        <v>11</v>
      </c>
      <c r="H55" s="358" t="s">
        <v>11</v>
      </c>
      <c r="J55" t="s">
        <v>68</v>
      </c>
    </row>
    <row r="56" spans="1:10" x14ac:dyDescent="0.3">
      <c r="A56" t="s">
        <v>12</v>
      </c>
      <c r="B56" t="s">
        <v>114</v>
      </c>
      <c r="C56" t="s">
        <v>1369</v>
      </c>
      <c r="D56">
        <v>3</v>
      </c>
      <c r="E56" s="358">
        <v>3</v>
      </c>
      <c r="F56" s="358" t="s">
        <v>7</v>
      </c>
      <c r="G56" s="358" t="s">
        <v>115</v>
      </c>
      <c r="H56" s="358" t="s">
        <v>11</v>
      </c>
      <c r="J56" t="s">
        <v>69</v>
      </c>
    </row>
    <row r="57" spans="1:10" x14ac:dyDescent="0.3">
      <c r="A57" t="s">
        <v>12</v>
      </c>
      <c r="B57" t="s">
        <v>114</v>
      </c>
      <c r="C57" t="s">
        <v>1370</v>
      </c>
      <c r="D57">
        <v>2</v>
      </c>
      <c r="E57" s="358">
        <v>3</v>
      </c>
      <c r="F57" s="358" t="s">
        <v>7</v>
      </c>
      <c r="G57" s="358" t="s">
        <v>11</v>
      </c>
      <c r="H57" s="358" t="s">
        <v>11</v>
      </c>
      <c r="J57" t="s">
        <v>70</v>
      </c>
    </row>
    <row r="58" spans="1:10" x14ac:dyDescent="0.3">
      <c r="A58" t="s">
        <v>12</v>
      </c>
      <c r="B58" t="s">
        <v>114</v>
      </c>
      <c r="C58" t="s">
        <v>1371</v>
      </c>
      <c r="D58">
        <v>2</v>
      </c>
      <c r="E58" s="358">
        <v>3</v>
      </c>
      <c r="F58" s="358" t="s">
        <v>7</v>
      </c>
      <c r="G58" s="358" t="s">
        <v>115</v>
      </c>
      <c r="H58" s="358" t="s">
        <v>11</v>
      </c>
    </row>
    <row r="59" spans="1:10" x14ac:dyDescent="0.3">
      <c r="A59" t="s">
        <v>12</v>
      </c>
      <c r="B59" t="s">
        <v>114</v>
      </c>
      <c r="C59" t="s">
        <v>1372</v>
      </c>
      <c r="D59">
        <v>2</v>
      </c>
      <c r="E59" s="358">
        <v>3</v>
      </c>
      <c r="F59" s="358" t="s">
        <v>7</v>
      </c>
      <c r="G59" s="358" t="s">
        <v>11</v>
      </c>
      <c r="H59" s="358" t="s">
        <v>11</v>
      </c>
    </row>
    <row r="60" spans="1:10" x14ac:dyDescent="0.3">
      <c r="A60" t="s">
        <v>12</v>
      </c>
      <c r="B60" t="s">
        <v>114</v>
      </c>
      <c r="C60" t="s">
        <v>1373</v>
      </c>
      <c r="D60">
        <v>2</v>
      </c>
      <c r="E60" s="358">
        <v>3</v>
      </c>
      <c r="F60" s="358" t="s">
        <v>7</v>
      </c>
      <c r="G60" s="358" t="s">
        <v>11</v>
      </c>
      <c r="H60" s="358" t="s">
        <v>11</v>
      </c>
    </row>
    <row r="61" spans="1:10" x14ac:dyDescent="0.3">
      <c r="A61" t="s">
        <v>12</v>
      </c>
      <c r="B61" t="s">
        <v>114</v>
      </c>
      <c r="C61" t="s">
        <v>1374</v>
      </c>
      <c r="D61">
        <v>2</v>
      </c>
      <c r="E61" s="358">
        <v>3</v>
      </c>
      <c r="F61" s="358" t="s">
        <v>7</v>
      </c>
      <c r="G61" s="358" t="s">
        <v>11</v>
      </c>
      <c r="H61" s="358" t="s">
        <v>11</v>
      </c>
    </row>
    <row r="62" spans="1:10" x14ac:dyDescent="0.3">
      <c r="A62" t="s">
        <v>12</v>
      </c>
      <c r="B62" t="s">
        <v>114</v>
      </c>
      <c r="C62" t="s">
        <v>1375</v>
      </c>
      <c r="D62">
        <v>1</v>
      </c>
      <c r="E62" s="358">
        <v>3</v>
      </c>
      <c r="F62" s="358" t="s">
        <v>7</v>
      </c>
      <c r="G62" s="358" t="s">
        <v>11</v>
      </c>
      <c r="H62" s="358" t="s">
        <v>11</v>
      </c>
    </row>
    <row r="63" spans="1:10" x14ac:dyDescent="0.3">
      <c r="A63" t="s">
        <v>12</v>
      </c>
      <c r="B63" t="s">
        <v>114</v>
      </c>
      <c r="C63" t="s">
        <v>1376</v>
      </c>
      <c r="D63">
        <v>3</v>
      </c>
      <c r="E63" s="358">
        <v>3</v>
      </c>
      <c r="F63" s="358" t="s">
        <v>7</v>
      </c>
      <c r="G63" s="358" t="s">
        <v>11</v>
      </c>
      <c r="H63" s="358" t="s">
        <v>11</v>
      </c>
    </row>
    <row r="64" spans="1:10" x14ac:dyDescent="0.3">
      <c r="A64" t="s">
        <v>12</v>
      </c>
      <c r="B64" t="s">
        <v>114</v>
      </c>
      <c r="C64" t="s">
        <v>1377</v>
      </c>
      <c r="D64">
        <v>2</v>
      </c>
      <c r="E64" s="358">
        <v>3</v>
      </c>
      <c r="F64" s="358" t="s">
        <v>7</v>
      </c>
      <c r="G64" s="358" t="s">
        <v>11</v>
      </c>
      <c r="H64" s="358" t="s">
        <v>11</v>
      </c>
    </row>
    <row r="65" spans="1:8" x14ac:dyDescent="0.3">
      <c r="A65" t="s">
        <v>12</v>
      </c>
      <c r="B65" t="s">
        <v>114</v>
      </c>
      <c r="C65" t="s">
        <v>1378</v>
      </c>
      <c r="D65">
        <v>2</v>
      </c>
      <c r="E65" s="358">
        <v>3</v>
      </c>
      <c r="F65" s="358" t="s">
        <v>7</v>
      </c>
      <c r="G65" s="358" t="s">
        <v>11</v>
      </c>
      <c r="H65" s="358" t="s">
        <v>11</v>
      </c>
    </row>
    <row r="66" spans="1:8" x14ac:dyDescent="0.3">
      <c r="A66" t="s">
        <v>12</v>
      </c>
      <c r="B66" t="s">
        <v>114</v>
      </c>
      <c r="C66" t="s">
        <v>1379</v>
      </c>
      <c r="D66">
        <v>3</v>
      </c>
      <c r="E66" s="358">
        <v>3</v>
      </c>
      <c r="F66" s="358" t="s">
        <v>7</v>
      </c>
      <c r="G66" s="358" t="s">
        <v>115</v>
      </c>
      <c r="H66" s="358" t="s">
        <v>11</v>
      </c>
    </row>
    <row r="67" spans="1:8" x14ac:dyDescent="0.3">
      <c r="A67" t="s">
        <v>12</v>
      </c>
      <c r="B67" t="s">
        <v>114</v>
      </c>
      <c r="C67" t="s">
        <v>1380</v>
      </c>
      <c r="D67">
        <v>3</v>
      </c>
      <c r="E67" s="358">
        <v>3</v>
      </c>
      <c r="F67" s="358" t="s">
        <v>7</v>
      </c>
      <c r="G67" s="358" t="s">
        <v>115</v>
      </c>
      <c r="H67" s="358" t="s">
        <v>11</v>
      </c>
    </row>
    <row r="68" spans="1:8" x14ac:dyDescent="0.3">
      <c r="A68" t="s">
        <v>12</v>
      </c>
      <c r="B68" t="s">
        <v>114</v>
      </c>
      <c r="C68" t="s">
        <v>1381</v>
      </c>
      <c r="D68">
        <v>2</v>
      </c>
      <c r="E68" s="358">
        <v>3</v>
      </c>
      <c r="F68" s="358" t="s">
        <v>7</v>
      </c>
      <c r="G68" s="358" t="s">
        <v>11</v>
      </c>
      <c r="H68" s="358" t="s">
        <v>11</v>
      </c>
    </row>
    <row r="69" spans="1:8" x14ac:dyDescent="0.3">
      <c r="A69" t="s">
        <v>9</v>
      </c>
      <c r="B69" t="s">
        <v>10</v>
      </c>
      <c r="C69" t="s">
        <v>1382</v>
      </c>
      <c r="D69">
        <v>3</v>
      </c>
      <c r="E69" s="358">
        <v>7</v>
      </c>
      <c r="F69" s="358" t="s">
        <v>11</v>
      </c>
      <c r="G69" s="358" t="s">
        <v>11</v>
      </c>
      <c r="H69" s="358" t="s">
        <v>11</v>
      </c>
    </row>
    <row r="70" spans="1:8" x14ac:dyDescent="0.3">
      <c r="A70" t="s">
        <v>9</v>
      </c>
      <c r="B70" t="s">
        <v>10</v>
      </c>
      <c r="C70" t="s">
        <v>1383</v>
      </c>
      <c r="D70">
        <v>3</v>
      </c>
      <c r="E70" s="358">
        <v>7</v>
      </c>
      <c r="F70" s="358" t="s">
        <v>11</v>
      </c>
      <c r="G70" s="358" t="s">
        <v>11</v>
      </c>
      <c r="H70" s="358" t="s">
        <v>11</v>
      </c>
    </row>
    <row r="71" spans="1:8" x14ac:dyDescent="0.3">
      <c r="A71" t="s">
        <v>9</v>
      </c>
      <c r="B71" t="s">
        <v>10</v>
      </c>
      <c r="C71" t="s">
        <v>1384</v>
      </c>
      <c r="D71">
        <v>2</v>
      </c>
      <c r="E71" s="358">
        <v>7</v>
      </c>
      <c r="F71" s="358" t="s">
        <v>11</v>
      </c>
      <c r="G71" s="358" t="s">
        <v>11</v>
      </c>
      <c r="H71" s="358" t="s">
        <v>11</v>
      </c>
    </row>
    <row r="72" spans="1:8" x14ac:dyDescent="0.3">
      <c r="A72" t="s">
        <v>9</v>
      </c>
      <c r="B72" t="s">
        <v>10</v>
      </c>
      <c r="C72" t="s">
        <v>1385</v>
      </c>
      <c r="D72">
        <v>3</v>
      </c>
      <c r="E72" s="358">
        <v>8</v>
      </c>
      <c r="F72" s="358" t="s">
        <v>11</v>
      </c>
      <c r="G72" s="358" t="s">
        <v>11</v>
      </c>
      <c r="H72" s="358" t="s">
        <v>11</v>
      </c>
    </row>
    <row r="73" spans="1:8" x14ac:dyDescent="0.3">
      <c r="A73" t="s">
        <v>9</v>
      </c>
      <c r="B73" t="s">
        <v>10</v>
      </c>
      <c r="C73" t="s">
        <v>1386</v>
      </c>
      <c r="D73">
        <v>3</v>
      </c>
      <c r="E73" s="358">
        <v>7</v>
      </c>
      <c r="F73" s="358" t="s">
        <v>11</v>
      </c>
      <c r="G73" s="358" t="s">
        <v>11</v>
      </c>
      <c r="H73" s="358" t="s">
        <v>11</v>
      </c>
    </row>
    <row r="74" spans="1:8" x14ac:dyDescent="0.3">
      <c r="A74" t="s">
        <v>9</v>
      </c>
      <c r="B74" t="s">
        <v>10</v>
      </c>
      <c r="C74" t="s">
        <v>1387</v>
      </c>
      <c r="D74">
        <v>3</v>
      </c>
      <c r="E74" s="358">
        <v>7</v>
      </c>
      <c r="F74" s="358" t="s">
        <v>11</v>
      </c>
      <c r="G74" s="358" t="s">
        <v>11</v>
      </c>
      <c r="H74" s="358" t="s">
        <v>11</v>
      </c>
    </row>
    <row r="75" spans="1:8" x14ac:dyDescent="0.3">
      <c r="A75" t="s">
        <v>9</v>
      </c>
      <c r="B75" t="s">
        <v>10</v>
      </c>
      <c r="C75" t="s">
        <v>1388</v>
      </c>
      <c r="D75">
        <v>3</v>
      </c>
      <c r="E75" s="358">
        <v>8</v>
      </c>
      <c r="F75" s="358" t="s">
        <v>11</v>
      </c>
      <c r="G75" s="358" t="s">
        <v>11</v>
      </c>
      <c r="H75" s="358" t="s">
        <v>11</v>
      </c>
    </row>
    <row r="76" spans="1:8" x14ac:dyDescent="0.3">
      <c r="A76" t="s">
        <v>9</v>
      </c>
      <c r="B76" t="s">
        <v>10</v>
      </c>
      <c r="C76" t="s">
        <v>1389</v>
      </c>
      <c r="D76">
        <v>2</v>
      </c>
      <c r="E76" s="358">
        <v>8</v>
      </c>
      <c r="F76" s="358" t="s">
        <v>11</v>
      </c>
      <c r="G76" s="358" t="s">
        <v>11</v>
      </c>
      <c r="H76" s="358" t="s">
        <v>11</v>
      </c>
    </row>
    <row r="77" spans="1:8" x14ac:dyDescent="0.3">
      <c r="A77" t="s">
        <v>9</v>
      </c>
      <c r="B77" t="s">
        <v>10</v>
      </c>
      <c r="C77" t="s">
        <v>1390</v>
      </c>
      <c r="D77">
        <v>3</v>
      </c>
      <c r="E77" s="358">
        <v>7</v>
      </c>
      <c r="F77" s="358" t="s">
        <v>11</v>
      </c>
      <c r="G77" s="358" t="s">
        <v>11</v>
      </c>
      <c r="H77" s="358" t="s">
        <v>11</v>
      </c>
    </row>
    <row r="78" spans="1:8" x14ac:dyDescent="0.3">
      <c r="A78" t="s">
        <v>9</v>
      </c>
      <c r="B78" t="s">
        <v>10</v>
      </c>
      <c r="C78" t="s">
        <v>1391</v>
      </c>
      <c r="D78">
        <v>3</v>
      </c>
      <c r="E78" s="358">
        <v>7</v>
      </c>
      <c r="F78" s="358" t="s">
        <v>11</v>
      </c>
      <c r="G78" s="358" t="s">
        <v>11</v>
      </c>
      <c r="H78" s="358" t="s">
        <v>11</v>
      </c>
    </row>
    <row r="79" spans="1:8" x14ac:dyDescent="0.3">
      <c r="A79" t="s">
        <v>9</v>
      </c>
      <c r="B79" t="s">
        <v>10</v>
      </c>
      <c r="C79" t="s">
        <v>1392</v>
      </c>
      <c r="D79">
        <v>3</v>
      </c>
      <c r="E79" s="358">
        <v>7</v>
      </c>
      <c r="F79" s="358" t="s">
        <v>11</v>
      </c>
      <c r="G79" s="358" t="s">
        <v>11</v>
      </c>
      <c r="H79" s="358" t="s">
        <v>11</v>
      </c>
    </row>
    <row r="80" spans="1:8" x14ac:dyDescent="0.3">
      <c r="A80" t="s">
        <v>9</v>
      </c>
      <c r="B80" t="s">
        <v>10</v>
      </c>
      <c r="C80" t="s">
        <v>1393</v>
      </c>
      <c r="D80">
        <v>2</v>
      </c>
      <c r="E80" s="358">
        <v>7</v>
      </c>
      <c r="F80" s="358" t="s">
        <v>11</v>
      </c>
      <c r="G80" s="358" t="s">
        <v>11</v>
      </c>
      <c r="H80" s="358" t="s">
        <v>11</v>
      </c>
    </row>
    <row r="81" spans="1:8" x14ac:dyDescent="0.3">
      <c r="A81" t="s">
        <v>9</v>
      </c>
      <c r="B81" t="s">
        <v>10</v>
      </c>
      <c r="C81" t="s">
        <v>1394</v>
      </c>
      <c r="D81">
        <v>3</v>
      </c>
      <c r="E81" s="358">
        <v>7</v>
      </c>
      <c r="F81" s="358" t="s">
        <v>11</v>
      </c>
      <c r="G81" s="358" t="s">
        <v>11</v>
      </c>
      <c r="H81" s="358" t="s">
        <v>11</v>
      </c>
    </row>
    <row r="82" spans="1:8" x14ac:dyDescent="0.3">
      <c r="A82" t="s">
        <v>9</v>
      </c>
      <c r="B82" t="s">
        <v>10</v>
      </c>
      <c r="C82" t="s">
        <v>1395</v>
      </c>
      <c r="D82">
        <v>3</v>
      </c>
      <c r="E82" s="358">
        <v>7</v>
      </c>
      <c r="F82" s="358" t="s">
        <v>11</v>
      </c>
      <c r="G82" s="358" t="s">
        <v>11</v>
      </c>
      <c r="H82" s="358" t="s">
        <v>11</v>
      </c>
    </row>
    <row r="83" spans="1:8" x14ac:dyDescent="0.3">
      <c r="A83" t="s">
        <v>9</v>
      </c>
      <c r="B83" t="s">
        <v>10</v>
      </c>
      <c r="C83" t="s">
        <v>1396</v>
      </c>
      <c r="D83">
        <v>3</v>
      </c>
      <c r="E83" s="358">
        <v>7</v>
      </c>
      <c r="F83" s="358" t="s">
        <v>11</v>
      </c>
      <c r="G83" s="358" t="s">
        <v>11</v>
      </c>
      <c r="H83" s="358" t="s">
        <v>11</v>
      </c>
    </row>
    <row r="84" spans="1:8" x14ac:dyDescent="0.3">
      <c r="A84" t="s">
        <v>9</v>
      </c>
      <c r="B84" t="s">
        <v>10</v>
      </c>
      <c r="C84" t="s">
        <v>1397</v>
      </c>
      <c r="D84">
        <v>2</v>
      </c>
      <c r="E84" s="358">
        <v>7</v>
      </c>
      <c r="F84" s="358" t="s">
        <v>11</v>
      </c>
      <c r="G84" s="358" t="s">
        <v>11</v>
      </c>
      <c r="H84" s="358" t="s">
        <v>11</v>
      </c>
    </row>
    <row r="85" spans="1:8" x14ac:dyDescent="0.3">
      <c r="A85" t="s">
        <v>9</v>
      </c>
      <c r="B85" t="s">
        <v>10</v>
      </c>
      <c r="C85" t="s">
        <v>1398</v>
      </c>
      <c r="D85">
        <v>3</v>
      </c>
      <c r="E85" s="358">
        <v>8</v>
      </c>
      <c r="F85" s="358" t="s">
        <v>11</v>
      </c>
      <c r="G85" s="358" t="s">
        <v>11</v>
      </c>
      <c r="H85" s="358" t="s">
        <v>11</v>
      </c>
    </row>
    <row r="86" spans="1:8" x14ac:dyDescent="0.3">
      <c r="A86" t="s">
        <v>9</v>
      </c>
      <c r="B86" t="s">
        <v>10</v>
      </c>
      <c r="C86" t="s">
        <v>1399</v>
      </c>
      <c r="D86">
        <v>3</v>
      </c>
      <c r="E86" s="358">
        <v>8</v>
      </c>
      <c r="F86" s="358" t="s">
        <v>11</v>
      </c>
      <c r="G86" s="358" t="s">
        <v>11</v>
      </c>
      <c r="H86" s="358" t="s">
        <v>11</v>
      </c>
    </row>
    <row r="87" spans="1:8" x14ac:dyDescent="0.3">
      <c r="A87" t="s">
        <v>9</v>
      </c>
      <c r="B87" t="s">
        <v>10</v>
      </c>
      <c r="C87" t="s">
        <v>1400</v>
      </c>
      <c r="D87">
        <v>3</v>
      </c>
      <c r="E87" s="358">
        <v>8</v>
      </c>
      <c r="F87" s="358" t="s">
        <v>11</v>
      </c>
      <c r="G87" s="358" t="s">
        <v>11</v>
      </c>
      <c r="H87" s="358" t="s">
        <v>11</v>
      </c>
    </row>
    <row r="88" spans="1:8" x14ac:dyDescent="0.3">
      <c r="A88" t="s">
        <v>9</v>
      </c>
      <c r="B88" t="s">
        <v>10</v>
      </c>
      <c r="C88" t="s">
        <v>1401</v>
      </c>
      <c r="D88">
        <v>3</v>
      </c>
      <c r="E88" s="358">
        <v>7</v>
      </c>
      <c r="F88" s="358" t="s">
        <v>11</v>
      </c>
      <c r="G88" s="358" t="s">
        <v>11</v>
      </c>
      <c r="H88" s="358" t="s">
        <v>11</v>
      </c>
    </row>
    <row r="89" spans="1:8" x14ac:dyDescent="0.3">
      <c r="A89" t="s">
        <v>9</v>
      </c>
      <c r="B89" t="s">
        <v>10</v>
      </c>
      <c r="C89" t="s">
        <v>1402</v>
      </c>
      <c r="D89">
        <v>3</v>
      </c>
      <c r="E89" s="358">
        <v>7</v>
      </c>
      <c r="F89" s="358" t="s">
        <v>11</v>
      </c>
      <c r="G89" s="358" t="s">
        <v>11</v>
      </c>
      <c r="H89" s="358" t="s">
        <v>11</v>
      </c>
    </row>
    <row r="90" spans="1:8" x14ac:dyDescent="0.3">
      <c r="A90" t="s">
        <v>9</v>
      </c>
      <c r="B90" t="s">
        <v>10</v>
      </c>
      <c r="C90" t="s">
        <v>1403</v>
      </c>
      <c r="D90">
        <v>3</v>
      </c>
      <c r="E90" s="358">
        <v>7</v>
      </c>
      <c r="F90" s="358" t="s">
        <v>11</v>
      </c>
      <c r="G90" s="358" t="s">
        <v>11</v>
      </c>
      <c r="H90" s="358" t="s">
        <v>11</v>
      </c>
    </row>
    <row r="91" spans="1:8" x14ac:dyDescent="0.3">
      <c r="A91" t="s">
        <v>9</v>
      </c>
      <c r="B91" t="s">
        <v>10</v>
      </c>
      <c r="C91" t="s">
        <v>1404</v>
      </c>
      <c r="D91">
        <v>3</v>
      </c>
      <c r="E91" s="358">
        <v>7</v>
      </c>
      <c r="F91" s="358" t="s">
        <v>11</v>
      </c>
      <c r="G91" s="358" t="s">
        <v>11</v>
      </c>
      <c r="H91" s="358" t="s">
        <v>11</v>
      </c>
    </row>
    <row r="92" spans="1:8" x14ac:dyDescent="0.3">
      <c r="A92" t="s">
        <v>9</v>
      </c>
      <c r="B92" t="s">
        <v>10</v>
      </c>
      <c r="C92" t="s">
        <v>1405</v>
      </c>
      <c r="D92">
        <v>2</v>
      </c>
      <c r="E92" s="358">
        <v>8</v>
      </c>
      <c r="F92" s="358" t="s">
        <v>11</v>
      </c>
      <c r="G92" s="358" t="s">
        <v>11</v>
      </c>
      <c r="H92" s="358" t="s">
        <v>11</v>
      </c>
    </row>
    <row r="93" spans="1:8" x14ac:dyDescent="0.3">
      <c r="A93" t="s">
        <v>9</v>
      </c>
      <c r="B93" t="s">
        <v>10</v>
      </c>
      <c r="C93" t="s">
        <v>1406</v>
      </c>
      <c r="D93">
        <v>3</v>
      </c>
      <c r="E93" s="358">
        <v>7</v>
      </c>
      <c r="F93" s="358" t="s">
        <v>11</v>
      </c>
      <c r="G93" s="358" t="s">
        <v>11</v>
      </c>
      <c r="H93" s="358" t="s">
        <v>11</v>
      </c>
    </row>
    <row r="94" spans="1:8" x14ac:dyDescent="0.3">
      <c r="A94" t="s">
        <v>9</v>
      </c>
      <c r="B94" t="s">
        <v>10</v>
      </c>
      <c r="C94" t="s">
        <v>1407</v>
      </c>
      <c r="D94">
        <v>3</v>
      </c>
      <c r="E94" s="358">
        <v>8</v>
      </c>
      <c r="F94" s="358" t="s">
        <v>11</v>
      </c>
      <c r="G94" s="358" t="s">
        <v>11</v>
      </c>
      <c r="H94" s="358" t="s">
        <v>11</v>
      </c>
    </row>
    <row r="95" spans="1:8" x14ac:dyDescent="0.3">
      <c r="A95" t="s">
        <v>9</v>
      </c>
      <c r="B95" t="s">
        <v>10</v>
      </c>
      <c r="C95" t="s">
        <v>1408</v>
      </c>
      <c r="D95">
        <v>3</v>
      </c>
      <c r="E95" s="358">
        <v>7</v>
      </c>
      <c r="F95" s="358" t="s">
        <v>11</v>
      </c>
      <c r="G95" s="358" t="s">
        <v>11</v>
      </c>
      <c r="H95" s="358" t="s">
        <v>11</v>
      </c>
    </row>
    <row r="96" spans="1:8" x14ac:dyDescent="0.3">
      <c r="A96" t="s">
        <v>9</v>
      </c>
      <c r="B96" t="s">
        <v>10</v>
      </c>
      <c r="C96" t="s">
        <v>1409</v>
      </c>
      <c r="D96">
        <v>3</v>
      </c>
      <c r="E96" s="358">
        <v>7</v>
      </c>
      <c r="F96" s="358" t="s">
        <v>11</v>
      </c>
      <c r="G96" s="358" t="s">
        <v>11</v>
      </c>
      <c r="H96" s="358" t="s">
        <v>11</v>
      </c>
    </row>
    <row r="97" spans="1:8" x14ac:dyDescent="0.3">
      <c r="A97" t="s">
        <v>9</v>
      </c>
      <c r="B97" t="s">
        <v>10</v>
      </c>
      <c r="C97" t="s">
        <v>1410</v>
      </c>
      <c r="D97">
        <v>3</v>
      </c>
      <c r="E97" s="358">
        <v>8</v>
      </c>
      <c r="F97" s="358" t="s">
        <v>11</v>
      </c>
      <c r="G97" s="358" t="s">
        <v>11</v>
      </c>
      <c r="H97" s="358" t="s">
        <v>11</v>
      </c>
    </row>
    <row r="98" spans="1:8" x14ac:dyDescent="0.3">
      <c r="A98" t="s">
        <v>65</v>
      </c>
      <c r="C98" t="s">
        <v>1411</v>
      </c>
      <c r="D98" t="s">
        <v>11</v>
      </c>
      <c r="E98" s="358">
        <v>1</v>
      </c>
      <c r="F98" s="358" t="s">
        <v>7</v>
      </c>
      <c r="G98" s="358" t="s">
        <v>115</v>
      </c>
      <c r="H98" s="358" t="s">
        <v>3678</v>
      </c>
    </row>
    <row r="99" spans="1:8" x14ac:dyDescent="0.3">
      <c r="A99" t="s">
        <v>14</v>
      </c>
      <c r="B99" t="s">
        <v>86</v>
      </c>
      <c r="C99" t="s">
        <v>1412</v>
      </c>
      <c r="D99">
        <v>2</v>
      </c>
      <c r="E99" s="358">
        <v>5</v>
      </c>
      <c r="F99" s="358" t="s">
        <v>75</v>
      </c>
      <c r="G99" s="358" t="s">
        <v>11</v>
      </c>
      <c r="H99" s="358" t="s">
        <v>11</v>
      </c>
    </row>
    <row r="100" spans="1:8" x14ac:dyDescent="0.3">
      <c r="A100" t="s">
        <v>14</v>
      </c>
      <c r="B100" t="s">
        <v>86</v>
      </c>
      <c r="C100" t="s">
        <v>1413</v>
      </c>
      <c r="D100">
        <v>2</v>
      </c>
      <c r="E100" s="358">
        <v>3</v>
      </c>
      <c r="F100" s="358" t="s">
        <v>75</v>
      </c>
      <c r="G100" s="358" t="s">
        <v>11</v>
      </c>
      <c r="H100" s="358" t="s">
        <v>11</v>
      </c>
    </row>
    <row r="101" spans="1:8" x14ac:dyDescent="0.3">
      <c r="A101" t="s">
        <v>14</v>
      </c>
      <c r="B101" t="s">
        <v>86</v>
      </c>
      <c r="C101" t="s">
        <v>1414</v>
      </c>
      <c r="D101">
        <v>2</v>
      </c>
      <c r="E101" s="358">
        <v>5</v>
      </c>
      <c r="F101" s="358" t="s">
        <v>75</v>
      </c>
      <c r="G101" s="358" t="s">
        <v>11</v>
      </c>
      <c r="H101" s="358" t="s">
        <v>11</v>
      </c>
    </row>
    <row r="102" spans="1:8" x14ac:dyDescent="0.3">
      <c r="A102" t="s">
        <v>14</v>
      </c>
      <c r="B102" t="s">
        <v>86</v>
      </c>
      <c r="C102" t="s">
        <v>1415</v>
      </c>
      <c r="D102">
        <v>2</v>
      </c>
      <c r="E102" s="358">
        <v>4</v>
      </c>
      <c r="F102" s="358" t="s">
        <v>75</v>
      </c>
      <c r="G102" s="358" t="s">
        <v>11</v>
      </c>
      <c r="H102" s="358" t="s">
        <v>11</v>
      </c>
    </row>
    <row r="103" spans="1:8" x14ac:dyDescent="0.3">
      <c r="A103" t="s">
        <v>14</v>
      </c>
      <c r="B103" t="s">
        <v>86</v>
      </c>
      <c r="C103" t="s">
        <v>1416</v>
      </c>
      <c r="D103">
        <v>2</v>
      </c>
      <c r="E103" s="358">
        <v>3</v>
      </c>
      <c r="F103" s="358" t="s">
        <v>75</v>
      </c>
      <c r="G103" s="358" t="s">
        <v>11</v>
      </c>
      <c r="H103" s="358" t="s">
        <v>11</v>
      </c>
    </row>
    <row r="104" spans="1:8" x14ac:dyDescent="0.3">
      <c r="A104" t="s">
        <v>14</v>
      </c>
      <c r="B104" t="s">
        <v>86</v>
      </c>
      <c r="C104" t="s">
        <v>1417</v>
      </c>
      <c r="D104">
        <v>2</v>
      </c>
      <c r="E104" s="358">
        <v>3</v>
      </c>
      <c r="F104" s="358" t="s">
        <v>75</v>
      </c>
      <c r="G104" s="358" t="s">
        <v>11</v>
      </c>
      <c r="H104" s="358" t="s">
        <v>11</v>
      </c>
    </row>
    <row r="105" spans="1:8" x14ac:dyDescent="0.3">
      <c r="A105" t="s">
        <v>14</v>
      </c>
      <c r="B105" t="s">
        <v>86</v>
      </c>
      <c r="C105" t="s">
        <v>1418</v>
      </c>
      <c r="D105">
        <v>2</v>
      </c>
      <c r="E105" s="358">
        <v>2</v>
      </c>
      <c r="F105" s="358" t="s">
        <v>75</v>
      </c>
      <c r="G105" s="358" t="s">
        <v>11</v>
      </c>
      <c r="H105" s="358" t="s">
        <v>11</v>
      </c>
    </row>
    <row r="106" spans="1:8" x14ac:dyDescent="0.3">
      <c r="A106" t="s">
        <v>14</v>
      </c>
      <c r="B106" t="s">
        <v>86</v>
      </c>
      <c r="C106" t="s">
        <v>1419</v>
      </c>
      <c r="D106">
        <v>2</v>
      </c>
      <c r="E106" s="358">
        <v>2</v>
      </c>
      <c r="F106" s="358" t="s">
        <v>75</v>
      </c>
      <c r="G106" s="358" t="s">
        <v>11</v>
      </c>
      <c r="H106" s="358" t="s">
        <v>11</v>
      </c>
    </row>
    <row r="107" spans="1:8" x14ac:dyDescent="0.3">
      <c r="A107" t="s">
        <v>14</v>
      </c>
      <c r="B107" t="s">
        <v>86</v>
      </c>
      <c r="C107" t="s">
        <v>1420</v>
      </c>
      <c r="D107">
        <v>2</v>
      </c>
      <c r="E107" s="358">
        <v>3</v>
      </c>
      <c r="F107" s="358" t="s">
        <v>75</v>
      </c>
      <c r="G107" s="358" t="s">
        <v>11</v>
      </c>
      <c r="H107" s="358" t="s">
        <v>11</v>
      </c>
    </row>
    <row r="108" spans="1:8" x14ac:dyDescent="0.3">
      <c r="A108" t="s">
        <v>14</v>
      </c>
      <c r="B108" t="s">
        <v>86</v>
      </c>
      <c r="C108" t="s">
        <v>1421</v>
      </c>
      <c r="D108">
        <v>2</v>
      </c>
      <c r="E108" s="358">
        <v>5</v>
      </c>
      <c r="F108" s="358" t="s">
        <v>75</v>
      </c>
      <c r="G108" s="358" t="s">
        <v>11</v>
      </c>
      <c r="H108" s="358" t="s">
        <v>11</v>
      </c>
    </row>
    <row r="109" spans="1:8" x14ac:dyDescent="0.3">
      <c r="A109" t="s">
        <v>14</v>
      </c>
      <c r="B109" t="s">
        <v>86</v>
      </c>
      <c r="C109" t="s">
        <v>1422</v>
      </c>
      <c r="D109">
        <v>2</v>
      </c>
      <c r="E109" s="358">
        <v>2</v>
      </c>
      <c r="F109" s="358" t="s">
        <v>75</v>
      </c>
      <c r="G109" s="358" t="s">
        <v>11</v>
      </c>
      <c r="H109" s="358" t="s">
        <v>11</v>
      </c>
    </row>
    <row r="110" spans="1:8" x14ac:dyDescent="0.3">
      <c r="A110" t="s">
        <v>14</v>
      </c>
      <c r="B110" t="s">
        <v>86</v>
      </c>
      <c r="C110" t="s">
        <v>1423</v>
      </c>
      <c r="D110">
        <v>2</v>
      </c>
      <c r="E110" s="358">
        <v>2</v>
      </c>
      <c r="F110" s="358" t="s">
        <v>75</v>
      </c>
      <c r="G110" s="358" t="s">
        <v>11</v>
      </c>
      <c r="H110" s="358" t="s">
        <v>11</v>
      </c>
    </row>
    <row r="111" spans="1:8" x14ac:dyDescent="0.3">
      <c r="A111" t="s">
        <v>14</v>
      </c>
      <c r="B111" t="s">
        <v>86</v>
      </c>
      <c r="C111" t="s">
        <v>1424</v>
      </c>
      <c r="D111">
        <v>2</v>
      </c>
      <c r="E111" s="358">
        <v>3</v>
      </c>
      <c r="F111" s="358" t="s">
        <v>75</v>
      </c>
      <c r="G111" s="358" t="s">
        <v>11</v>
      </c>
      <c r="H111" s="358" t="s">
        <v>11</v>
      </c>
    </row>
    <row r="112" spans="1:8" x14ac:dyDescent="0.3">
      <c r="A112" t="s">
        <v>14</v>
      </c>
      <c r="B112" t="s">
        <v>86</v>
      </c>
      <c r="C112" t="s">
        <v>1425</v>
      </c>
      <c r="D112">
        <v>2</v>
      </c>
      <c r="E112" s="358">
        <v>4</v>
      </c>
      <c r="F112" s="358" t="s">
        <v>75</v>
      </c>
      <c r="G112" s="358" t="s">
        <v>11</v>
      </c>
      <c r="H112" s="358" t="s">
        <v>11</v>
      </c>
    </row>
    <row r="113" spans="1:8" x14ac:dyDescent="0.3">
      <c r="A113" t="s">
        <v>14</v>
      </c>
      <c r="B113" t="s">
        <v>86</v>
      </c>
      <c r="C113" t="s">
        <v>1426</v>
      </c>
      <c r="D113">
        <v>2</v>
      </c>
      <c r="E113" s="358">
        <v>2</v>
      </c>
      <c r="F113" s="358" t="s">
        <v>75</v>
      </c>
      <c r="G113" s="358" t="s">
        <v>11</v>
      </c>
      <c r="H113" s="358" t="s">
        <v>11</v>
      </c>
    </row>
    <row r="114" spans="1:8" x14ac:dyDescent="0.3">
      <c r="A114" t="s">
        <v>13</v>
      </c>
      <c r="B114" t="s">
        <v>104</v>
      </c>
      <c r="C114" t="s">
        <v>1427</v>
      </c>
      <c r="D114">
        <v>3</v>
      </c>
      <c r="E114" s="358">
        <v>3</v>
      </c>
      <c r="F114" s="358" t="s">
        <v>7</v>
      </c>
      <c r="G114" s="358" t="s">
        <v>11</v>
      </c>
      <c r="H114" s="358" t="s">
        <v>11</v>
      </c>
    </row>
    <row r="115" spans="1:8" x14ac:dyDescent="0.3">
      <c r="A115" t="s">
        <v>13</v>
      </c>
      <c r="B115" t="s">
        <v>104</v>
      </c>
      <c r="C115" t="s">
        <v>1428</v>
      </c>
      <c r="D115">
        <v>3</v>
      </c>
      <c r="E115" s="358">
        <v>3</v>
      </c>
      <c r="F115" s="358" t="s">
        <v>7</v>
      </c>
      <c r="G115" s="358" t="s">
        <v>11</v>
      </c>
      <c r="H115" s="358" t="s">
        <v>11</v>
      </c>
    </row>
    <row r="116" spans="1:8" x14ac:dyDescent="0.3">
      <c r="A116" t="s">
        <v>13</v>
      </c>
      <c r="B116" t="s">
        <v>104</v>
      </c>
      <c r="C116" t="s">
        <v>1429</v>
      </c>
      <c r="D116">
        <v>2</v>
      </c>
      <c r="E116" s="358">
        <v>4</v>
      </c>
      <c r="F116" s="358" t="s">
        <v>7</v>
      </c>
      <c r="G116" s="358" t="s">
        <v>11</v>
      </c>
      <c r="H116" s="358" t="s">
        <v>11</v>
      </c>
    </row>
    <row r="117" spans="1:8" x14ac:dyDescent="0.3">
      <c r="A117" t="s">
        <v>13</v>
      </c>
      <c r="B117" t="s">
        <v>104</v>
      </c>
      <c r="C117" t="s">
        <v>1430</v>
      </c>
      <c r="D117">
        <v>2</v>
      </c>
      <c r="E117" s="358">
        <v>4</v>
      </c>
      <c r="F117" s="358" t="s">
        <v>7</v>
      </c>
      <c r="G117" s="358" t="s">
        <v>11</v>
      </c>
      <c r="H117" s="358" t="s">
        <v>11</v>
      </c>
    </row>
    <row r="118" spans="1:8" x14ac:dyDescent="0.3">
      <c r="A118" t="s">
        <v>13</v>
      </c>
      <c r="B118" t="s">
        <v>104</v>
      </c>
      <c r="C118" t="s">
        <v>1431</v>
      </c>
      <c r="D118">
        <v>2</v>
      </c>
      <c r="E118" s="358">
        <v>4</v>
      </c>
      <c r="F118" s="358" t="s">
        <v>7</v>
      </c>
      <c r="G118" s="358" t="s">
        <v>11</v>
      </c>
      <c r="H118" s="358" t="s">
        <v>11</v>
      </c>
    </row>
    <row r="119" spans="1:8" x14ac:dyDescent="0.3">
      <c r="A119" t="s">
        <v>13</v>
      </c>
      <c r="B119" t="s">
        <v>104</v>
      </c>
      <c r="C119" t="s">
        <v>1432</v>
      </c>
      <c r="D119">
        <v>3</v>
      </c>
      <c r="E119" s="358">
        <v>3</v>
      </c>
      <c r="F119" s="358" t="s">
        <v>7</v>
      </c>
      <c r="G119" s="358" t="s">
        <v>11</v>
      </c>
      <c r="H119" s="358" t="s">
        <v>11</v>
      </c>
    </row>
    <row r="120" spans="1:8" x14ac:dyDescent="0.3">
      <c r="A120" t="s">
        <v>13</v>
      </c>
      <c r="B120" t="s">
        <v>104</v>
      </c>
      <c r="C120" t="s">
        <v>1322</v>
      </c>
      <c r="D120">
        <v>3</v>
      </c>
      <c r="E120" s="358">
        <v>3</v>
      </c>
      <c r="F120" s="358" t="s">
        <v>7</v>
      </c>
      <c r="G120" s="358" t="s">
        <v>11</v>
      </c>
      <c r="H120" s="358" t="s">
        <v>11</v>
      </c>
    </row>
    <row r="121" spans="1:8" x14ac:dyDescent="0.3">
      <c r="A121" t="s">
        <v>13</v>
      </c>
      <c r="B121" t="s">
        <v>104</v>
      </c>
      <c r="C121" t="s">
        <v>1433</v>
      </c>
      <c r="D121">
        <v>2</v>
      </c>
      <c r="E121" s="358">
        <v>4</v>
      </c>
      <c r="F121" s="358" t="s">
        <v>7</v>
      </c>
      <c r="G121" s="358" t="s">
        <v>11</v>
      </c>
      <c r="H121" s="358" t="s">
        <v>11</v>
      </c>
    </row>
    <row r="122" spans="1:8" x14ac:dyDescent="0.3">
      <c r="A122" t="s">
        <v>13</v>
      </c>
      <c r="B122" t="s">
        <v>104</v>
      </c>
      <c r="C122" t="s">
        <v>1434</v>
      </c>
      <c r="D122">
        <v>3</v>
      </c>
      <c r="E122" s="358">
        <v>3</v>
      </c>
      <c r="F122" s="358" t="s">
        <v>7</v>
      </c>
      <c r="G122" s="358" t="s">
        <v>11</v>
      </c>
      <c r="H122" s="358" t="s">
        <v>11</v>
      </c>
    </row>
    <row r="123" spans="1:8" x14ac:dyDescent="0.3">
      <c r="A123" t="s">
        <v>13</v>
      </c>
      <c r="B123" t="s">
        <v>104</v>
      </c>
      <c r="C123" t="s">
        <v>1435</v>
      </c>
      <c r="D123">
        <v>3</v>
      </c>
      <c r="E123" s="358">
        <v>3</v>
      </c>
      <c r="F123" s="358" t="s">
        <v>7</v>
      </c>
      <c r="G123" s="358" t="s">
        <v>11</v>
      </c>
      <c r="H123" s="358" t="s">
        <v>11</v>
      </c>
    </row>
    <row r="124" spans="1:8" x14ac:dyDescent="0.3">
      <c r="A124" t="s">
        <v>13</v>
      </c>
      <c r="B124" t="s">
        <v>104</v>
      </c>
      <c r="C124" t="s">
        <v>1328</v>
      </c>
      <c r="D124">
        <v>3</v>
      </c>
      <c r="E124" s="358">
        <v>3</v>
      </c>
      <c r="F124" s="358" t="s">
        <v>7</v>
      </c>
      <c r="G124" s="358" t="s">
        <v>11</v>
      </c>
      <c r="H124" s="358" t="s">
        <v>11</v>
      </c>
    </row>
    <row r="125" spans="1:8" x14ac:dyDescent="0.3">
      <c r="A125" t="s">
        <v>13</v>
      </c>
      <c r="B125" t="s">
        <v>104</v>
      </c>
      <c r="C125" t="s">
        <v>1329</v>
      </c>
      <c r="D125">
        <v>3</v>
      </c>
      <c r="E125" s="358">
        <v>3</v>
      </c>
      <c r="F125" s="358" t="s">
        <v>7</v>
      </c>
      <c r="G125" s="358" t="s">
        <v>11</v>
      </c>
      <c r="H125" s="358" t="s">
        <v>11</v>
      </c>
    </row>
    <row r="126" spans="1:8" x14ac:dyDescent="0.3">
      <c r="A126" t="s">
        <v>13</v>
      </c>
      <c r="B126" t="s">
        <v>104</v>
      </c>
      <c r="C126" t="s">
        <v>1436</v>
      </c>
      <c r="D126">
        <v>3</v>
      </c>
      <c r="E126" s="358">
        <v>3</v>
      </c>
      <c r="F126" s="358" t="s">
        <v>7</v>
      </c>
      <c r="G126" s="358" t="s">
        <v>11</v>
      </c>
      <c r="H126" s="358" t="s">
        <v>11</v>
      </c>
    </row>
    <row r="127" spans="1:8" x14ac:dyDescent="0.3">
      <c r="A127" t="s">
        <v>13</v>
      </c>
      <c r="B127" t="s">
        <v>104</v>
      </c>
      <c r="C127" t="s">
        <v>1437</v>
      </c>
      <c r="D127">
        <v>3</v>
      </c>
      <c r="E127" s="358">
        <v>3</v>
      </c>
      <c r="F127" s="358" t="s">
        <v>7</v>
      </c>
      <c r="G127" s="358" t="s">
        <v>115</v>
      </c>
      <c r="H127" s="358" t="s">
        <v>11</v>
      </c>
    </row>
    <row r="128" spans="1:8" x14ac:dyDescent="0.3">
      <c r="A128" t="s">
        <v>13</v>
      </c>
      <c r="B128" t="s">
        <v>104</v>
      </c>
      <c r="C128" t="s">
        <v>1438</v>
      </c>
      <c r="D128">
        <v>3</v>
      </c>
      <c r="E128" s="358">
        <v>3</v>
      </c>
      <c r="F128" s="358" t="s">
        <v>7</v>
      </c>
      <c r="G128" s="358" t="s">
        <v>11</v>
      </c>
      <c r="H128" s="358" t="s">
        <v>11</v>
      </c>
    </row>
    <row r="129" spans="1:8" x14ac:dyDescent="0.3">
      <c r="A129" t="s">
        <v>13</v>
      </c>
      <c r="B129" t="s">
        <v>104</v>
      </c>
      <c r="C129" t="s">
        <v>1439</v>
      </c>
      <c r="D129">
        <v>3</v>
      </c>
      <c r="E129" s="358">
        <v>3</v>
      </c>
      <c r="F129" s="358" t="s">
        <v>7</v>
      </c>
      <c r="G129" s="358" t="s">
        <v>11</v>
      </c>
      <c r="H129" s="358" t="s">
        <v>11</v>
      </c>
    </row>
    <row r="130" spans="1:8" x14ac:dyDescent="0.3">
      <c r="A130" t="s">
        <v>13</v>
      </c>
      <c r="B130" t="s">
        <v>104</v>
      </c>
      <c r="C130" t="s">
        <v>1440</v>
      </c>
      <c r="D130">
        <v>3</v>
      </c>
      <c r="E130" s="358">
        <v>3</v>
      </c>
      <c r="F130" s="358" t="s">
        <v>7</v>
      </c>
      <c r="G130" s="358" t="s">
        <v>11</v>
      </c>
      <c r="H130" s="358" t="s">
        <v>11</v>
      </c>
    </row>
    <row r="131" spans="1:8" x14ac:dyDescent="0.3">
      <c r="A131" t="s">
        <v>13</v>
      </c>
      <c r="B131" t="s">
        <v>104</v>
      </c>
      <c r="C131" t="s">
        <v>1441</v>
      </c>
      <c r="D131">
        <v>3</v>
      </c>
      <c r="E131" s="358">
        <v>3</v>
      </c>
      <c r="F131" s="358" t="s">
        <v>7</v>
      </c>
      <c r="G131" s="358" t="s">
        <v>11</v>
      </c>
      <c r="H131" s="358" t="s">
        <v>11</v>
      </c>
    </row>
    <row r="132" spans="1:8" x14ac:dyDescent="0.3">
      <c r="A132" t="s">
        <v>13</v>
      </c>
      <c r="B132" t="s">
        <v>104</v>
      </c>
      <c r="C132" t="s">
        <v>1442</v>
      </c>
      <c r="D132">
        <v>3</v>
      </c>
      <c r="E132" s="358">
        <v>3</v>
      </c>
      <c r="F132" s="358" t="s">
        <v>7</v>
      </c>
      <c r="G132" s="358" t="s">
        <v>11</v>
      </c>
      <c r="H132" s="358" t="s">
        <v>11</v>
      </c>
    </row>
    <row r="133" spans="1:8" x14ac:dyDescent="0.3">
      <c r="A133" t="s">
        <v>13</v>
      </c>
      <c r="B133" t="s">
        <v>104</v>
      </c>
      <c r="C133" t="s">
        <v>1338</v>
      </c>
      <c r="D133">
        <v>3</v>
      </c>
      <c r="E133" s="358">
        <v>3</v>
      </c>
      <c r="F133" s="358" t="s">
        <v>7</v>
      </c>
      <c r="G133" s="358" t="s">
        <v>11</v>
      </c>
      <c r="H133" s="358" t="s">
        <v>11</v>
      </c>
    </row>
    <row r="134" spans="1:8" x14ac:dyDescent="0.3">
      <c r="A134" t="s">
        <v>13</v>
      </c>
      <c r="B134" t="s">
        <v>104</v>
      </c>
      <c r="C134" t="s">
        <v>1443</v>
      </c>
      <c r="D134">
        <v>3</v>
      </c>
      <c r="E134" s="358">
        <v>3</v>
      </c>
      <c r="F134" s="358" t="s">
        <v>7</v>
      </c>
      <c r="G134" s="358" t="s">
        <v>11</v>
      </c>
      <c r="H134" s="358" t="s">
        <v>11</v>
      </c>
    </row>
    <row r="135" spans="1:8" x14ac:dyDescent="0.3">
      <c r="A135" t="s">
        <v>13</v>
      </c>
      <c r="B135" t="s">
        <v>104</v>
      </c>
      <c r="C135" t="s">
        <v>1444</v>
      </c>
      <c r="D135">
        <v>3</v>
      </c>
      <c r="E135" s="358">
        <v>3</v>
      </c>
      <c r="F135" s="358" t="s">
        <v>7</v>
      </c>
      <c r="G135" s="358" t="s">
        <v>11</v>
      </c>
      <c r="H135" s="358" t="s">
        <v>11</v>
      </c>
    </row>
    <row r="136" spans="1:8" x14ac:dyDescent="0.3">
      <c r="A136" t="s">
        <v>13</v>
      </c>
      <c r="B136" t="s">
        <v>104</v>
      </c>
      <c r="C136" t="s">
        <v>1445</v>
      </c>
      <c r="D136">
        <v>3</v>
      </c>
      <c r="E136" s="358">
        <v>3</v>
      </c>
      <c r="F136" s="358" t="s">
        <v>7</v>
      </c>
      <c r="G136" s="358" t="s">
        <v>11</v>
      </c>
      <c r="H136" s="358" t="s">
        <v>11</v>
      </c>
    </row>
    <row r="137" spans="1:8" x14ac:dyDescent="0.3">
      <c r="A137" t="s">
        <v>13</v>
      </c>
      <c r="B137" t="s">
        <v>104</v>
      </c>
      <c r="C137" t="s">
        <v>1344</v>
      </c>
      <c r="D137">
        <v>3</v>
      </c>
      <c r="E137" s="358">
        <v>3</v>
      </c>
      <c r="F137" s="358" t="s">
        <v>7</v>
      </c>
      <c r="G137" s="358" t="s">
        <v>11</v>
      </c>
      <c r="H137" s="358" t="s">
        <v>11</v>
      </c>
    </row>
    <row r="138" spans="1:8" x14ac:dyDescent="0.3">
      <c r="A138" t="s">
        <v>13</v>
      </c>
      <c r="B138" t="s">
        <v>104</v>
      </c>
      <c r="C138" t="s">
        <v>1446</v>
      </c>
      <c r="D138">
        <v>2</v>
      </c>
      <c r="E138" s="358">
        <v>4</v>
      </c>
      <c r="F138" s="358" t="s">
        <v>7</v>
      </c>
      <c r="G138" s="358" t="s">
        <v>11</v>
      </c>
      <c r="H138" s="358" t="s">
        <v>11</v>
      </c>
    </row>
    <row r="139" spans="1:8" x14ac:dyDescent="0.3">
      <c r="A139" t="s">
        <v>13</v>
      </c>
      <c r="B139" t="s">
        <v>104</v>
      </c>
      <c r="C139" t="s">
        <v>1447</v>
      </c>
      <c r="D139">
        <v>2</v>
      </c>
      <c r="E139" s="358">
        <v>3</v>
      </c>
      <c r="F139" s="358" t="s">
        <v>7</v>
      </c>
      <c r="G139" s="358" t="s">
        <v>11</v>
      </c>
      <c r="H139" s="358" t="s">
        <v>11</v>
      </c>
    </row>
    <row r="140" spans="1:8" x14ac:dyDescent="0.3">
      <c r="A140" t="s">
        <v>13</v>
      </c>
      <c r="B140" t="s">
        <v>104</v>
      </c>
      <c r="C140" t="s">
        <v>1448</v>
      </c>
      <c r="D140">
        <v>3</v>
      </c>
      <c r="E140" s="358">
        <v>3</v>
      </c>
      <c r="F140" s="358" t="s">
        <v>7</v>
      </c>
      <c r="G140" s="358" t="s">
        <v>11</v>
      </c>
      <c r="H140" s="358" t="s">
        <v>11</v>
      </c>
    </row>
    <row r="141" spans="1:8" x14ac:dyDescent="0.3">
      <c r="A141" t="s">
        <v>13</v>
      </c>
      <c r="B141" t="s">
        <v>104</v>
      </c>
      <c r="C141" t="s">
        <v>1346</v>
      </c>
      <c r="D141">
        <v>3</v>
      </c>
      <c r="E141" s="358">
        <v>3</v>
      </c>
      <c r="F141" s="358" t="s">
        <v>7</v>
      </c>
      <c r="G141" s="358" t="s">
        <v>11</v>
      </c>
      <c r="H141" s="358" t="s">
        <v>11</v>
      </c>
    </row>
    <row r="142" spans="1:8" x14ac:dyDescent="0.3">
      <c r="A142" t="s">
        <v>13</v>
      </c>
      <c r="B142" t="s">
        <v>104</v>
      </c>
      <c r="C142" t="s">
        <v>1449</v>
      </c>
      <c r="D142">
        <v>3</v>
      </c>
      <c r="E142" s="358">
        <v>3</v>
      </c>
      <c r="F142" s="358" t="s">
        <v>7</v>
      </c>
      <c r="G142" s="358" t="s">
        <v>115</v>
      </c>
      <c r="H142" s="358" t="s">
        <v>11</v>
      </c>
    </row>
    <row r="143" spans="1:8" x14ac:dyDescent="0.3">
      <c r="A143" t="s">
        <v>13</v>
      </c>
      <c r="B143" t="s">
        <v>104</v>
      </c>
      <c r="C143" t="s">
        <v>1450</v>
      </c>
      <c r="D143">
        <v>3</v>
      </c>
      <c r="E143" s="358">
        <v>3</v>
      </c>
      <c r="F143" s="358" t="s">
        <v>7</v>
      </c>
      <c r="G143" s="358" t="s">
        <v>11</v>
      </c>
      <c r="H143" s="358" t="s">
        <v>11</v>
      </c>
    </row>
    <row r="144" spans="1:8" x14ac:dyDescent="0.3">
      <c r="A144" t="s">
        <v>13</v>
      </c>
      <c r="B144" t="s">
        <v>104</v>
      </c>
      <c r="C144" t="s">
        <v>1451</v>
      </c>
      <c r="D144">
        <v>3</v>
      </c>
      <c r="E144" s="358">
        <v>3</v>
      </c>
      <c r="F144" s="358" t="s">
        <v>7</v>
      </c>
      <c r="G144" s="358" t="s">
        <v>11</v>
      </c>
      <c r="H144" s="358" t="s">
        <v>11</v>
      </c>
    </row>
    <row r="145" spans="1:8" x14ac:dyDescent="0.3">
      <c r="A145" t="s">
        <v>13</v>
      </c>
      <c r="B145" t="s">
        <v>104</v>
      </c>
      <c r="C145" t="s">
        <v>1452</v>
      </c>
      <c r="D145">
        <v>2</v>
      </c>
      <c r="E145" s="358">
        <v>3</v>
      </c>
      <c r="F145" s="358" t="s">
        <v>7</v>
      </c>
      <c r="G145" s="358" t="s">
        <v>11</v>
      </c>
      <c r="H145" s="358" t="s">
        <v>11</v>
      </c>
    </row>
    <row r="146" spans="1:8" x14ac:dyDescent="0.3">
      <c r="A146" t="s">
        <v>13</v>
      </c>
      <c r="B146" t="s">
        <v>104</v>
      </c>
      <c r="C146" t="s">
        <v>1453</v>
      </c>
      <c r="D146">
        <v>2</v>
      </c>
      <c r="E146" s="358">
        <v>4</v>
      </c>
      <c r="F146" s="358" t="s">
        <v>7</v>
      </c>
      <c r="G146" s="358" t="s">
        <v>11</v>
      </c>
      <c r="H146" s="358" t="s">
        <v>11</v>
      </c>
    </row>
    <row r="147" spans="1:8" x14ac:dyDescent="0.3">
      <c r="A147" t="s">
        <v>13</v>
      </c>
      <c r="B147" t="s">
        <v>104</v>
      </c>
      <c r="C147" t="s">
        <v>1350</v>
      </c>
      <c r="D147">
        <v>3</v>
      </c>
      <c r="E147" s="358">
        <v>3</v>
      </c>
      <c r="F147" s="358" t="s">
        <v>7</v>
      </c>
      <c r="G147" s="358" t="s">
        <v>11</v>
      </c>
      <c r="H147" s="358" t="s">
        <v>11</v>
      </c>
    </row>
    <row r="148" spans="1:8" x14ac:dyDescent="0.3">
      <c r="A148" t="s">
        <v>13</v>
      </c>
      <c r="B148" t="s">
        <v>104</v>
      </c>
      <c r="C148" t="s">
        <v>1351</v>
      </c>
      <c r="D148">
        <v>3</v>
      </c>
      <c r="E148" s="358">
        <v>3</v>
      </c>
      <c r="F148" s="358" t="s">
        <v>7</v>
      </c>
      <c r="G148" s="358" t="s">
        <v>11</v>
      </c>
      <c r="H148" s="358" t="s">
        <v>11</v>
      </c>
    </row>
    <row r="149" spans="1:8" x14ac:dyDescent="0.3">
      <c r="A149" t="s">
        <v>13</v>
      </c>
      <c r="B149" t="s">
        <v>104</v>
      </c>
      <c r="C149" t="s">
        <v>1454</v>
      </c>
      <c r="D149">
        <v>3</v>
      </c>
      <c r="E149" s="358">
        <v>3</v>
      </c>
      <c r="F149" s="358" t="s">
        <v>7</v>
      </c>
      <c r="G149" s="358" t="s">
        <v>11</v>
      </c>
      <c r="H149" s="358" t="s">
        <v>11</v>
      </c>
    </row>
    <row r="150" spans="1:8" x14ac:dyDescent="0.3">
      <c r="A150" t="s">
        <v>13</v>
      </c>
      <c r="B150" t="s">
        <v>104</v>
      </c>
      <c r="C150" t="s">
        <v>1455</v>
      </c>
      <c r="D150">
        <v>3</v>
      </c>
      <c r="E150" s="358">
        <v>3</v>
      </c>
      <c r="F150" s="358" t="s">
        <v>7</v>
      </c>
      <c r="G150" s="358" t="s">
        <v>115</v>
      </c>
      <c r="H150" s="358" t="s">
        <v>11</v>
      </c>
    </row>
    <row r="151" spans="1:8" x14ac:dyDescent="0.3">
      <c r="A151" t="s">
        <v>13</v>
      </c>
      <c r="B151" t="s">
        <v>104</v>
      </c>
      <c r="C151" t="s">
        <v>1354</v>
      </c>
      <c r="D151">
        <v>3</v>
      </c>
      <c r="E151" s="358">
        <v>3</v>
      </c>
      <c r="F151" s="358" t="s">
        <v>7</v>
      </c>
      <c r="G151" s="358" t="s">
        <v>11</v>
      </c>
      <c r="H151" s="358" t="s">
        <v>11</v>
      </c>
    </row>
    <row r="152" spans="1:8" x14ac:dyDescent="0.3">
      <c r="A152" t="s">
        <v>13</v>
      </c>
      <c r="B152" t="s">
        <v>104</v>
      </c>
      <c r="C152" t="s">
        <v>1355</v>
      </c>
      <c r="D152">
        <v>3</v>
      </c>
      <c r="E152" s="358">
        <v>3</v>
      </c>
      <c r="F152" s="358" t="s">
        <v>7</v>
      </c>
      <c r="G152" s="358" t="s">
        <v>11</v>
      </c>
      <c r="H152" s="358" t="s">
        <v>11</v>
      </c>
    </row>
    <row r="153" spans="1:8" x14ac:dyDescent="0.3">
      <c r="A153" t="s">
        <v>13</v>
      </c>
      <c r="B153" t="s">
        <v>104</v>
      </c>
      <c r="C153" t="s">
        <v>1456</v>
      </c>
      <c r="D153">
        <v>3</v>
      </c>
      <c r="E153" s="358">
        <v>3</v>
      </c>
      <c r="F153" s="358" t="s">
        <v>7</v>
      </c>
      <c r="G153" s="358" t="s">
        <v>11</v>
      </c>
      <c r="H153" s="358" t="s">
        <v>11</v>
      </c>
    </row>
    <row r="154" spans="1:8" x14ac:dyDescent="0.3">
      <c r="A154" t="s">
        <v>13</v>
      </c>
      <c r="B154" t="s">
        <v>104</v>
      </c>
      <c r="C154" t="s">
        <v>1457</v>
      </c>
      <c r="D154">
        <v>3</v>
      </c>
      <c r="E154" s="358">
        <v>3</v>
      </c>
      <c r="F154" s="358" t="s">
        <v>7</v>
      </c>
      <c r="G154" s="358" t="s">
        <v>115</v>
      </c>
      <c r="H154" s="358" t="s">
        <v>11</v>
      </c>
    </row>
    <row r="155" spans="1:8" x14ac:dyDescent="0.3">
      <c r="A155" t="s">
        <v>13</v>
      </c>
      <c r="B155" t="s">
        <v>104</v>
      </c>
      <c r="C155" t="s">
        <v>1458</v>
      </c>
      <c r="D155">
        <v>3</v>
      </c>
      <c r="E155" s="358">
        <v>3</v>
      </c>
      <c r="F155" s="358" t="s">
        <v>7</v>
      </c>
      <c r="G155" s="358" t="s">
        <v>11</v>
      </c>
      <c r="H155" s="358" t="s">
        <v>11</v>
      </c>
    </row>
    <row r="156" spans="1:8" x14ac:dyDescent="0.3">
      <c r="A156" t="s">
        <v>13</v>
      </c>
      <c r="B156" t="s">
        <v>104</v>
      </c>
      <c r="C156" t="s">
        <v>1459</v>
      </c>
      <c r="D156">
        <v>3</v>
      </c>
      <c r="E156" s="358">
        <v>3</v>
      </c>
      <c r="F156" s="358" t="s">
        <v>7</v>
      </c>
      <c r="G156" s="358" t="s">
        <v>11</v>
      </c>
      <c r="H156" s="358" t="s">
        <v>11</v>
      </c>
    </row>
    <row r="157" spans="1:8" x14ac:dyDescent="0.3">
      <c r="A157" t="s">
        <v>13</v>
      </c>
      <c r="B157" t="s">
        <v>104</v>
      </c>
      <c r="C157" t="s">
        <v>1359</v>
      </c>
      <c r="D157">
        <v>3</v>
      </c>
      <c r="E157" s="358">
        <v>4</v>
      </c>
      <c r="F157" s="358" t="s">
        <v>7</v>
      </c>
      <c r="G157" s="358" t="s">
        <v>11</v>
      </c>
      <c r="H157" s="358" t="s">
        <v>11</v>
      </c>
    </row>
    <row r="158" spans="1:8" x14ac:dyDescent="0.3">
      <c r="A158" t="s">
        <v>13</v>
      </c>
      <c r="B158" t="s">
        <v>104</v>
      </c>
      <c r="C158" t="s">
        <v>1361</v>
      </c>
      <c r="D158">
        <v>2</v>
      </c>
      <c r="E158" s="358">
        <v>4</v>
      </c>
      <c r="F158" s="358" t="s">
        <v>7</v>
      </c>
      <c r="G158" s="358" t="s">
        <v>11</v>
      </c>
      <c r="H158" s="358" t="s">
        <v>11</v>
      </c>
    </row>
    <row r="159" spans="1:8" x14ac:dyDescent="0.3">
      <c r="A159" t="s">
        <v>13</v>
      </c>
      <c r="B159" t="s">
        <v>104</v>
      </c>
      <c r="C159" t="s">
        <v>1460</v>
      </c>
      <c r="D159">
        <v>3</v>
      </c>
      <c r="E159" s="358">
        <v>3</v>
      </c>
      <c r="F159" s="358" t="s">
        <v>7</v>
      </c>
      <c r="G159" s="358" t="s">
        <v>115</v>
      </c>
      <c r="H159" s="358" t="s">
        <v>11</v>
      </c>
    </row>
    <row r="160" spans="1:8" x14ac:dyDescent="0.3">
      <c r="A160" t="s">
        <v>13</v>
      </c>
      <c r="B160" t="s">
        <v>104</v>
      </c>
      <c r="C160" t="s">
        <v>1461</v>
      </c>
      <c r="D160">
        <v>3</v>
      </c>
      <c r="E160" s="358">
        <v>3</v>
      </c>
      <c r="F160" s="358" t="s">
        <v>7</v>
      </c>
      <c r="G160" s="358" t="s">
        <v>11</v>
      </c>
      <c r="H160" s="358" t="s">
        <v>11</v>
      </c>
    </row>
    <row r="161" spans="1:8" x14ac:dyDescent="0.3">
      <c r="A161" t="s">
        <v>13</v>
      </c>
      <c r="B161" t="s">
        <v>104</v>
      </c>
      <c r="C161" t="s">
        <v>1364</v>
      </c>
      <c r="D161">
        <v>3</v>
      </c>
      <c r="E161" s="358">
        <v>3</v>
      </c>
      <c r="F161" s="358" t="s">
        <v>7</v>
      </c>
      <c r="G161" s="358" t="s">
        <v>11</v>
      </c>
      <c r="H161" s="358" t="s">
        <v>11</v>
      </c>
    </row>
    <row r="162" spans="1:8" x14ac:dyDescent="0.3">
      <c r="A162" t="s">
        <v>13</v>
      </c>
      <c r="B162" t="s">
        <v>104</v>
      </c>
      <c r="C162" t="s">
        <v>1365</v>
      </c>
      <c r="D162">
        <v>2</v>
      </c>
      <c r="E162" s="358">
        <v>3</v>
      </c>
      <c r="F162" s="358" t="s">
        <v>7</v>
      </c>
      <c r="G162" s="358" t="s">
        <v>11</v>
      </c>
      <c r="H162" s="358" t="s">
        <v>11</v>
      </c>
    </row>
    <row r="163" spans="1:8" x14ac:dyDescent="0.3">
      <c r="A163" t="s">
        <v>13</v>
      </c>
      <c r="B163" t="s">
        <v>104</v>
      </c>
      <c r="C163" t="s">
        <v>1462</v>
      </c>
      <c r="D163">
        <v>3</v>
      </c>
      <c r="E163" s="358">
        <v>3</v>
      </c>
      <c r="F163" s="358" t="s">
        <v>7</v>
      </c>
      <c r="G163" s="358" t="s">
        <v>11</v>
      </c>
      <c r="H163" s="358" t="s">
        <v>11</v>
      </c>
    </row>
    <row r="164" spans="1:8" x14ac:dyDescent="0.3">
      <c r="A164" t="s">
        <v>13</v>
      </c>
      <c r="B164" t="s">
        <v>104</v>
      </c>
      <c r="C164" t="s">
        <v>1463</v>
      </c>
      <c r="D164">
        <v>3</v>
      </c>
      <c r="E164" s="358">
        <v>4</v>
      </c>
      <c r="F164" s="358" t="s">
        <v>7</v>
      </c>
      <c r="G164" s="358" t="s">
        <v>11</v>
      </c>
      <c r="H164" s="358" t="s">
        <v>11</v>
      </c>
    </row>
    <row r="165" spans="1:8" x14ac:dyDescent="0.3">
      <c r="A165" t="s">
        <v>13</v>
      </c>
      <c r="B165" t="s">
        <v>104</v>
      </c>
      <c r="C165" t="s">
        <v>1464</v>
      </c>
      <c r="D165">
        <v>3</v>
      </c>
      <c r="E165" s="358">
        <v>3</v>
      </c>
      <c r="F165" s="358" t="s">
        <v>7</v>
      </c>
      <c r="G165" s="358" t="s">
        <v>11</v>
      </c>
      <c r="H165" s="358" t="s">
        <v>11</v>
      </c>
    </row>
    <row r="166" spans="1:8" x14ac:dyDescent="0.3">
      <c r="A166" t="s">
        <v>13</v>
      </c>
      <c r="B166" t="s">
        <v>104</v>
      </c>
      <c r="C166" t="s">
        <v>1367</v>
      </c>
      <c r="D166">
        <v>3</v>
      </c>
      <c r="E166" s="358">
        <v>3</v>
      </c>
      <c r="F166" s="358" t="s">
        <v>7</v>
      </c>
      <c r="G166" s="358" t="s">
        <v>11</v>
      </c>
      <c r="H166" s="358" t="s">
        <v>11</v>
      </c>
    </row>
    <row r="167" spans="1:8" x14ac:dyDescent="0.3">
      <c r="A167" t="s">
        <v>13</v>
      </c>
      <c r="B167" t="s">
        <v>104</v>
      </c>
      <c r="C167" t="s">
        <v>1465</v>
      </c>
      <c r="D167">
        <v>3</v>
      </c>
      <c r="E167" s="358">
        <v>3</v>
      </c>
      <c r="F167" s="358" t="s">
        <v>7</v>
      </c>
      <c r="G167" s="358" t="s">
        <v>11</v>
      </c>
      <c r="H167" s="358" t="s">
        <v>11</v>
      </c>
    </row>
    <row r="168" spans="1:8" x14ac:dyDescent="0.3">
      <c r="A168" t="s">
        <v>13</v>
      </c>
      <c r="B168" t="s">
        <v>104</v>
      </c>
      <c r="C168" t="s">
        <v>1369</v>
      </c>
      <c r="D168">
        <v>3</v>
      </c>
      <c r="E168" s="358">
        <v>3</v>
      </c>
      <c r="F168" s="358" t="s">
        <v>7</v>
      </c>
      <c r="G168" s="358" t="s">
        <v>11</v>
      </c>
      <c r="H168" s="358" t="s">
        <v>11</v>
      </c>
    </row>
    <row r="169" spans="1:8" x14ac:dyDescent="0.3">
      <c r="A169" t="s">
        <v>13</v>
      </c>
      <c r="B169" t="s">
        <v>104</v>
      </c>
      <c r="C169" t="s">
        <v>1466</v>
      </c>
      <c r="D169">
        <v>3</v>
      </c>
      <c r="E169" s="358">
        <v>3</v>
      </c>
      <c r="F169" s="358" t="s">
        <v>7</v>
      </c>
      <c r="G169" s="358" t="s">
        <v>11</v>
      </c>
      <c r="H169" s="358" t="s">
        <v>11</v>
      </c>
    </row>
    <row r="170" spans="1:8" x14ac:dyDescent="0.3">
      <c r="A170" t="s">
        <v>13</v>
      </c>
      <c r="B170" t="s">
        <v>104</v>
      </c>
      <c r="C170" t="s">
        <v>1467</v>
      </c>
      <c r="D170">
        <v>3</v>
      </c>
      <c r="E170" s="358">
        <v>3</v>
      </c>
      <c r="F170" s="358" t="s">
        <v>7</v>
      </c>
      <c r="G170" s="358" t="s">
        <v>11</v>
      </c>
      <c r="H170" s="358" t="s">
        <v>11</v>
      </c>
    </row>
    <row r="171" spans="1:8" x14ac:dyDescent="0.3">
      <c r="A171" t="s">
        <v>13</v>
      </c>
      <c r="B171" t="s">
        <v>104</v>
      </c>
      <c r="C171" t="s">
        <v>1468</v>
      </c>
      <c r="D171">
        <v>3</v>
      </c>
      <c r="E171" s="358">
        <v>3</v>
      </c>
      <c r="F171" s="358" t="s">
        <v>7</v>
      </c>
      <c r="G171" s="358" t="s">
        <v>11</v>
      </c>
      <c r="H171" s="358" t="s">
        <v>11</v>
      </c>
    </row>
    <row r="172" spans="1:8" x14ac:dyDescent="0.3">
      <c r="A172" t="s">
        <v>13</v>
      </c>
      <c r="B172" t="s">
        <v>104</v>
      </c>
      <c r="C172" t="s">
        <v>1469</v>
      </c>
      <c r="D172">
        <v>3</v>
      </c>
      <c r="E172" s="358">
        <v>3</v>
      </c>
      <c r="F172" s="358" t="s">
        <v>7</v>
      </c>
      <c r="G172" s="358" t="s">
        <v>11</v>
      </c>
      <c r="H172" s="358" t="s">
        <v>11</v>
      </c>
    </row>
    <row r="173" spans="1:8" x14ac:dyDescent="0.3">
      <c r="A173" t="s">
        <v>13</v>
      </c>
      <c r="B173" t="s">
        <v>104</v>
      </c>
      <c r="C173" t="s">
        <v>1470</v>
      </c>
      <c r="D173">
        <v>3</v>
      </c>
      <c r="E173" s="358">
        <v>3</v>
      </c>
      <c r="F173" s="358" t="s">
        <v>7</v>
      </c>
      <c r="G173" s="358" t="s">
        <v>11</v>
      </c>
      <c r="H173" s="358" t="s">
        <v>11</v>
      </c>
    </row>
    <row r="174" spans="1:8" x14ac:dyDescent="0.3">
      <c r="A174" t="s">
        <v>13</v>
      </c>
      <c r="B174" t="s">
        <v>104</v>
      </c>
      <c r="C174" t="s">
        <v>1370</v>
      </c>
      <c r="D174">
        <v>2</v>
      </c>
      <c r="E174" s="358">
        <v>3</v>
      </c>
      <c r="F174" s="358" t="s">
        <v>7</v>
      </c>
      <c r="G174" s="358" t="s">
        <v>11</v>
      </c>
      <c r="H174" s="358" t="s">
        <v>11</v>
      </c>
    </row>
    <row r="175" spans="1:8" x14ac:dyDescent="0.3">
      <c r="A175" t="s">
        <v>13</v>
      </c>
      <c r="B175" t="s">
        <v>104</v>
      </c>
      <c r="C175" t="s">
        <v>1471</v>
      </c>
      <c r="D175">
        <v>3</v>
      </c>
      <c r="E175" s="358">
        <v>3</v>
      </c>
      <c r="F175" s="358" t="s">
        <v>7</v>
      </c>
      <c r="G175" s="358" t="s">
        <v>11</v>
      </c>
      <c r="H175" s="358" t="s">
        <v>11</v>
      </c>
    </row>
    <row r="176" spans="1:8" x14ac:dyDescent="0.3">
      <c r="A176" t="s">
        <v>13</v>
      </c>
      <c r="B176" t="s">
        <v>104</v>
      </c>
      <c r="C176" t="s">
        <v>1472</v>
      </c>
      <c r="D176">
        <v>3</v>
      </c>
      <c r="E176" s="358">
        <v>3</v>
      </c>
      <c r="F176" s="358" t="s">
        <v>7</v>
      </c>
      <c r="G176" s="358" t="s">
        <v>11</v>
      </c>
      <c r="H176" s="358" t="s">
        <v>11</v>
      </c>
    </row>
    <row r="177" spans="1:8" x14ac:dyDescent="0.3">
      <c r="A177" t="s">
        <v>13</v>
      </c>
      <c r="B177" t="s">
        <v>104</v>
      </c>
      <c r="C177" t="s">
        <v>1473</v>
      </c>
      <c r="D177">
        <v>3</v>
      </c>
      <c r="E177" s="358">
        <v>3</v>
      </c>
      <c r="F177" s="358" t="s">
        <v>7</v>
      </c>
      <c r="G177" s="358" t="s">
        <v>11</v>
      </c>
      <c r="H177" s="358" t="s">
        <v>11</v>
      </c>
    </row>
    <row r="178" spans="1:8" x14ac:dyDescent="0.3">
      <c r="A178" t="s">
        <v>13</v>
      </c>
      <c r="B178" t="s">
        <v>104</v>
      </c>
      <c r="C178" t="s">
        <v>1474</v>
      </c>
      <c r="D178">
        <v>2</v>
      </c>
      <c r="E178" s="358">
        <v>4</v>
      </c>
      <c r="F178" s="358" t="s">
        <v>7</v>
      </c>
      <c r="G178" s="358" t="s">
        <v>11</v>
      </c>
      <c r="H178" s="358" t="s">
        <v>11</v>
      </c>
    </row>
    <row r="179" spans="1:8" x14ac:dyDescent="0.3">
      <c r="A179" t="s">
        <v>13</v>
      </c>
      <c r="B179" t="s">
        <v>104</v>
      </c>
      <c r="C179" t="s">
        <v>1475</v>
      </c>
      <c r="D179">
        <v>3</v>
      </c>
      <c r="E179" s="358">
        <v>3</v>
      </c>
      <c r="F179" s="358" t="s">
        <v>7</v>
      </c>
      <c r="G179" s="358" t="s">
        <v>11</v>
      </c>
      <c r="H179" s="358" t="s">
        <v>11</v>
      </c>
    </row>
    <row r="180" spans="1:8" x14ac:dyDescent="0.3">
      <c r="A180" t="s">
        <v>13</v>
      </c>
      <c r="B180" t="s">
        <v>104</v>
      </c>
      <c r="C180" t="s">
        <v>1476</v>
      </c>
      <c r="D180">
        <v>3</v>
      </c>
      <c r="E180" s="358">
        <v>3</v>
      </c>
      <c r="F180" s="358" t="s">
        <v>7</v>
      </c>
      <c r="G180" s="358" t="s">
        <v>115</v>
      </c>
      <c r="H180" s="358" t="s">
        <v>11</v>
      </c>
    </row>
    <row r="181" spans="1:8" x14ac:dyDescent="0.3">
      <c r="A181" t="s">
        <v>13</v>
      </c>
      <c r="B181" t="s">
        <v>104</v>
      </c>
      <c r="C181" t="s">
        <v>1477</v>
      </c>
      <c r="D181">
        <v>2</v>
      </c>
      <c r="E181" s="358">
        <v>3</v>
      </c>
      <c r="F181" s="358" t="s">
        <v>7</v>
      </c>
      <c r="G181" s="358" t="s">
        <v>11</v>
      </c>
      <c r="H181" s="358" t="s">
        <v>11</v>
      </c>
    </row>
    <row r="182" spans="1:8" x14ac:dyDescent="0.3">
      <c r="A182" t="s">
        <v>13</v>
      </c>
      <c r="B182" t="s">
        <v>104</v>
      </c>
      <c r="C182" t="s">
        <v>1478</v>
      </c>
      <c r="D182">
        <v>2</v>
      </c>
      <c r="E182" s="358">
        <v>4</v>
      </c>
      <c r="F182" s="358" t="s">
        <v>7</v>
      </c>
      <c r="G182" s="358" t="s">
        <v>11</v>
      </c>
      <c r="H182" s="358" t="s">
        <v>11</v>
      </c>
    </row>
    <row r="183" spans="1:8" x14ac:dyDescent="0.3">
      <c r="A183" t="s">
        <v>13</v>
      </c>
      <c r="B183" t="s">
        <v>104</v>
      </c>
      <c r="C183" t="s">
        <v>1479</v>
      </c>
      <c r="D183">
        <v>3</v>
      </c>
      <c r="E183" s="358">
        <v>3</v>
      </c>
      <c r="F183" s="358" t="s">
        <v>7</v>
      </c>
      <c r="G183" s="358" t="s">
        <v>115</v>
      </c>
      <c r="H183" s="358" t="s">
        <v>11</v>
      </c>
    </row>
    <row r="184" spans="1:8" x14ac:dyDescent="0.3">
      <c r="A184" t="s">
        <v>13</v>
      </c>
      <c r="B184" t="s">
        <v>104</v>
      </c>
      <c r="C184" t="s">
        <v>1480</v>
      </c>
      <c r="D184">
        <v>3</v>
      </c>
      <c r="E184" s="358">
        <v>3</v>
      </c>
      <c r="F184" s="358" t="s">
        <v>7</v>
      </c>
      <c r="G184" s="358" t="s">
        <v>11</v>
      </c>
      <c r="H184" s="358" t="s">
        <v>11</v>
      </c>
    </row>
    <row r="185" spans="1:8" x14ac:dyDescent="0.3">
      <c r="A185" t="s">
        <v>13</v>
      </c>
      <c r="B185" t="s">
        <v>104</v>
      </c>
      <c r="C185" t="s">
        <v>1379</v>
      </c>
      <c r="D185">
        <v>3</v>
      </c>
      <c r="E185" s="358">
        <v>4</v>
      </c>
      <c r="F185" s="358" t="s">
        <v>7</v>
      </c>
      <c r="G185" s="358" t="s">
        <v>11</v>
      </c>
      <c r="H185" s="358" t="s">
        <v>11</v>
      </c>
    </row>
    <row r="186" spans="1:8" x14ac:dyDescent="0.3">
      <c r="A186" t="s">
        <v>13</v>
      </c>
      <c r="B186" t="s">
        <v>104</v>
      </c>
      <c r="C186" t="s">
        <v>1481</v>
      </c>
      <c r="D186">
        <v>3</v>
      </c>
      <c r="E186" s="358">
        <v>3</v>
      </c>
      <c r="F186" s="358" t="s">
        <v>7</v>
      </c>
      <c r="G186" s="358" t="s">
        <v>11</v>
      </c>
      <c r="H186" s="358" t="s">
        <v>11</v>
      </c>
    </row>
    <row r="187" spans="1:8" x14ac:dyDescent="0.3">
      <c r="A187" t="s">
        <v>13</v>
      </c>
      <c r="B187" t="s">
        <v>104</v>
      </c>
      <c r="C187" t="s">
        <v>1482</v>
      </c>
      <c r="D187">
        <v>3</v>
      </c>
      <c r="E187" s="358">
        <v>3</v>
      </c>
      <c r="F187" s="358" t="s">
        <v>7</v>
      </c>
      <c r="G187" s="358" t="s">
        <v>11</v>
      </c>
      <c r="H187" s="358" t="s">
        <v>11</v>
      </c>
    </row>
    <row r="188" spans="1:8" x14ac:dyDescent="0.3">
      <c r="A188" t="s">
        <v>13</v>
      </c>
      <c r="B188" t="s">
        <v>104</v>
      </c>
      <c r="C188" t="s">
        <v>1483</v>
      </c>
      <c r="D188">
        <v>3</v>
      </c>
      <c r="E188" s="358">
        <v>3</v>
      </c>
      <c r="F188" s="358" t="s">
        <v>7</v>
      </c>
      <c r="G188" s="358" t="s">
        <v>11</v>
      </c>
      <c r="H188" s="358" t="s">
        <v>11</v>
      </c>
    </row>
    <row r="189" spans="1:8" x14ac:dyDescent="0.3">
      <c r="A189" t="s">
        <v>15</v>
      </c>
      <c r="B189" t="s">
        <v>74</v>
      </c>
      <c r="C189" t="s">
        <v>1484</v>
      </c>
      <c r="D189">
        <v>2</v>
      </c>
      <c r="E189" s="358">
        <v>3</v>
      </c>
      <c r="F189" s="358" t="s">
        <v>105</v>
      </c>
      <c r="G189" s="358" t="s">
        <v>11</v>
      </c>
      <c r="H189" s="358" t="s">
        <v>11</v>
      </c>
    </row>
    <row r="190" spans="1:8" x14ac:dyDescent="0.3">
      <c r="A190" t="s">
        <v>15</v>
      </c>
      <c r="B190" t="s">
        <v>74</v>
      </c>
      <c r="C190" t="s">
        <v>1485</v>
      </c>
      <c r="D190">
        <v>2</v>
      </c>
      <c r="E190" s="358">
        <v>6</v>
      </c>
      <c r="F190" s="358" t="s">
        <v>75</v>
      </c>
      <c r="G190" s="358" t="s">
        <v>11</v>
      </c>
      <c r="H190" s="358" t="s">
        <v>11</v>
      </c>
    </row>
    <row r="191" spans="1:8" x14ac:dyDescent="0.3">
      <c r="A191" t="s">
        <v>15</v>
      </c>
      <c r="B191" t="s">
        <v>74</v>
      </c>
      <c r="C191" t="s">
        <v>1486</v>
      </c>
      <c r="D191">
        <v>2</v>
      </c>
      <c r="E191" s="358">
        <v>4</v>
      </c>
      <c r="F191" s="358" t="s">
        <v>75</v>
      </c>
      <c r="G191" s="358" t="s">
        <v>11</v>
      </c>
      <c r="H191" s="358" t="s">
        <v>11</v>
      </c>
    </row>
    <row r="192" spans="1:8" x14ac:dyDescent="0.3">
      <c r="A192" t="s">
        <v>15</v>
      </c>
      <c r="B192" t="s">
        <v>74</v>
      </c>
      <c r="C192" t="s">
        <v>1487</v>
      </c>
      <c r="D192">
        <v>3</v>
      </c>
      <c r="E192" s="358">
        <v>3</v>
      </c>
      <c r="F192" s="358" t="s">
        <v>75</v>
      </c>
      <c r="G192" s="358" t="s">
        <v>11</v>
      </c>
      <c r="H192" s="358" t="s">
        <v>11</v>
      </c>
    </row>
    <row r="193" spans="1:8" x14ac:dyDescent="0.3">
      <c r="A193" t="s">
        <v>15</v>
      </c>
      <c r="B193" t="s">
        <v>74</v>
      </c>
      <c r="C193" t="s">
        <v>1488</v>
      </c>
      <c r="D193">
        <v>2</v>
      </c>
      <c r="E193" s="358">
        <v>4</v>
      </c>
      <c r="F193" s="358" t="s">
        <v>75</v>
      </c>
      <c r="G193" s="358" t="s">
        <v>11</v>
      </c>
      <c r="H193" s="358" t="s">
        <v>11</v>
      </c>
    </row>
    <row r="194" spans="1:8" x14ac:dyDescent="0.3">
      <c r="A194" t="s">
        <v>15</v>
      </c>
      <c r="B194" t="s">
        <v>74</v>
      </c>
      <c r="C194" t="s">
        <v>1489</v>
      </c>
      <c r="D194">
        <v>3</v>
      </c>
      <c r="E194" s="358">
        <v>3</v>
      </c>
      <c r="F194" s="358" t="s">
        <v>75</v>
      </c>
      <c r="G194" s="358" t="s">
        <v>11</v>
      </c>
      <c r="H194" s="358" t="s">
        <v>11</v>
      </c>
    </row>
    <row r="195" spans="1:8" x14ac:dyDescent="0.3">
      <c r="A195" t="s">
        <v>15</v>
      </c>
      <c r="B195" t="s">
        <v>74</v>
      </c>
      <c r="C195" t="s">
        <v>1490</v>
      </c>
      <c r="D195">
        <v>2</v>
      </c>
      <c r="E195" s="358">
        <v>3</v>
      </c>
      <c r="F195" s="358" t="s">
        <v>75</v>
      </c>
      <c r="G195" s="358" t="s">
        <v>11</v>
      </c>
      <c r="H195" s="358" t="s">
        <v>11</v>
      </c>
    </row>
    <row r="196" spans="1:8" x14ac:dyDescent="0.3">
      <c r="A196" t="s">
        <v>15</v>
      </c>
      <c r="B196" t="s">
        <v>74</v>
      </c>
      <c r="C196" t="s">
        <v>1491</v>
      </c>
      <c r="D196">
        <v>3</v>
      </c>
      <c r="E196" s="358">
        <v>4</v>
      </c>
      <c r="F196" s="358" t="s">
        <v>105</v>
      </c>
      <c r="G196" s="358" t="s">
        <v>11</v>
      </c>
      <c r="H196" s="358" t="s">
        <v>11</v>
      </c>
    </row>
    <row r="197" spans="1:8" x14ac:dyDescent="0.3">
      <c r="A197" t="s">
        <v>15</v>
      </c>
      <c r="B197" t="s">
        <v>74</v>
      </c>
      <c r="C197" t="s">
        <v>1492</v>
      </c>
      <c r="D197">
        <v>2</v>
      </c>
      <c r="E197" s="358">
        <v>4</v>
      </c>
      <c r="F197" s="358" t="s">
        <v>75</v>
      </c>
      <c r="G197" s="358" t="s">
        <v>11</v>
      </c>
      <c r="H197" s="358" t="s">
        <v>11</v>
      </c>
    </row>
    <row r="198" spans="1:8" x14ac:dyDescent="0.3">
      <c r="A198" t="s">
        <v>15</v>
      </c>
      <c r="B198" t="s">
        <v>74</v>
      </c>
      <c r="C198" t="s">
        <v>1493</v>
      </c>
      <c r="D198">
        <v>2</v>
      </c>
      <c r="E198" s="358">
        <v>3</v>
      </c>
      <c r="F198" s="358" t="s">
        <v>75</v>
      </c>
      <c r="G198" s="358" t="s">
        <v>11</v>
      </c>
      <c r="H198" s="358" t="s">
        <v>11</v>
      </c>
    </row>
    <row r="199" spans="1:8" x14ac:dyDescent="0.3">
      <c r="A199" t="s">
        <v>15</v>
      </c>
      <c r="B199" t="s">
        <v>74</v>
      </c>
      <c r="C199" t="s">
        <v>1494</v>
      </c>
      <c r="D199">
        <v>3</v>
      </c>
      <c r="E199" s="358">
        <v>3</v>
      </c>
      <c r="F199" s="358" t="s">
        <v>75</v>
      </c>
      <c r="G199" s="358" t="s">
        <v>11</v>
      </c>
      <c r="H199" s="358" t="s">
        <v>11</v>
      </c>
    </row>
    <row r="200" spans="1:8" x14ac:dyDescent="0.3">
      <c r="A200" t="s">
        <v>15</v>
      </c>
      <c r="B200" t="s">
        <v>74</v>
      </c>
      <c r="C200" t="s">
        <v>1495</v>
      </c>
      <c r="D200">
        <v>3</v>
      </c>
      <c r="E200" s="358">
        <v>4</v>
      </c>
      <c r="F200" s="358" t="s">
        <v>105</v>
      </c>
      <c r="G200" s="358" t="s">
        <v>11</v>
      </c>
      <c r="H200" s="358" t="s">
        <v>11</v>
      </c>
    </row>
    <row r="201" spans="1:8" x14ac:dyDescent="0.3">
      <c r="A201" t="s">
        <v>15</v>
      </c>
      <c r="B201" t="s">
        <v>74</v>
      </c>
      <c r="C201" t="s">
        <v>1496</v>
      </c>
      <c r="D201">
        <v>3</v>
      </c>
      <c r="E201" s="358">
        <v>2</v>
      </c>
      <c r="F201" s="358" t="s">
        <v>75</v>
      </c>
      <c r="G201" s="358" t="s">
        <v>11</v>
      </c>
      <c r="H201" s="358" t="s">
        <v>11</v>
      </c>
    </row>
    <row r="202" spans="1:8" x14ac:dyDescent="0.3">
      <c r="A202" t="s">
        <v>15</v>
      </c>
      <c r="B202" t="s">
        <v>74</v>
      </c>
      <c r="C202" t="s">
        <v>1497</v>
      </c>
      <c r="D202">
        <v>2</v>
      </c>
      <c r="E202" s="358">
        <v>4</v>
      </c>
      <c r="F202" s="358" t="s">
        <v>75</v>
      </c>
      <c r="G202" s="358" t="s">
        <v>11</v>
      </c>
      <c r="H202" s="358" t="s">
        <v>11</v>
      </c>
    </row>
    <row r="203" spans="1:8" x14ac:dyDescent="0.3">
      <c r="A203" t="s">
        <v>15</v>
      </c>
      <c r="B203" t="s">
        <v>74</v>
      </c>
      <c r="C203" t="s">
        <v>1498</v>
      </c>
      <c r="D203">
        <v>2</v>
      </c>
      <c r="E203" s="358">
        <v>3</v>
      </c>
      <c r="F203" s="358" t="s">
        <v>75</v>
      </c>
      <c r="G203" s="358" t="s">
        <v>11</v>
      </c>
      <c r="H203" s="358" t="s">
        <v>11</v>
      </c>
    </row>
    <row r="204" spans="1:8" x14ac:dyDescent="0.3">
      <c r="A204" t="s">
        <v>15</v>
      </c>
      <c r="B204" t="s">
        <v>74</v>
      </c>
      <c r="C204" t="s">
        <v>1499</v>
      </c>
      <c r="D204">
        <v>3</v>
      </c>
      <c r="E204" s="358">
        <v>3</v>
      </c>
      <c r="F204" s="358" t="s">
        <v>75</v>
      </c>
      <c r="G204" s="358" t="s">
        <v>11</v>
      </c>
      <c r="H204" s="358" t="s">
        <v>11</v>
      </c>
    </row>
    <row r="205" spans="1:8" x14ac:dyDescent="0.3">
      <c r="A205" t="s">
        <v>15</v>
      </c>
      <c r="B205" t="s">
        <v>74</v>
      </c>
      <c r="C205" t="s">
        <v>1500</v>
      </c>
      <c r="D205">
        <v>3</v>
      </c>
      <c r="E205" s="358">
        <v>4</v>
      </c>
      <c r="F205" s="358" t="s">
        <v>75</v>
      </c>
      <c r="G205" s="358" t="s">
        <v>11</v>
      </c>
      <c r="H205" s="358" t="s">
        <v>11</v>
      </c>
    </row>
    <row r="206" spans="1:8" x14ac:dyDescent="0.3">
      <c r="A206" t="s">
        <v>15</v>
      </c>
      <c r="B206" t="s">
        <v>74</v>
      </c>
      <c r="C206" t="s">
        <v>1501</v>
      </c>
      <c r="D206">
        <v>3</v>
      </c>
      <c r="E206" s="358">
        <v>5</v>
      </c>
      <c r="F206" s="358" t="s">
        <v>75</v>
      </c>
      <c r="G206" s="358" t="s">
        <v>11</v>
      </c>
      <c r="H206" s="358" t="s">
        <v>11</v>
      </c>
    </row>
    <row r="207" spans="1:8" x14ac:dyDescent="0.3">
      <c r="A207" t="s">
        <v>15</v>
      </c>
      <c r="B207" t="s">
        <v>74</v>
      </c>
      <c r="C207" t="s">
        <v>1502</v>
      </c>
      <c r="D207">
        <v>2</v>
      </c>
      <c r="E207" s="358">
        <v>3</v>
      </c>
      <c r="F207" s="358" t="s">
        <v>75</v>
      </c>
      <c r="G207" s="358" t="s">
        <v>11</v>
      </c>
      <c r="H207" s="358" t="s">
        <v>11</v>
      </c>
    </row>
    <row r="208" spans="1:8" x14ac:dyDescent="0.3">
      <c r="A208" t="s">
        <v>15</v>
      </c>
      <c r="B208" t="s">
        <v>74</v>
      </c>
      <c r="C208" t="s">
        <v>1503</v>
      </c>
      <c r="D208">
        <v>2</v>
      </c>
      <c r="E208" s="358">
        <v>3</v>
      </c>
      <c r="F208" s="358" t="s">
        <v>75</v>
      </c>
      <c r="G208" s="358" t="s">
        <v>11</v>
      </c>
      <c r="H208" s="358" t="s">
        <v>11</v>
      </c>
    </row>
    <row r="209" spans="1:8" x14ac:dyDescent="0.3">
      <c r="A209" t="s">
        <v>15</v>
      </c>
      <c r="B209" t="s">
        <v>74</v>
      </c>
      <c r="C209" t="s">
        <v>1504</v>
      </c>
      <c r="D209">
        <v>3</v>
      </c>
      <c r="E209" s="358">
        <v>3</v>
      </c>
      <c r="F209" s="358" t="s">
        <v>105</v>
      </c>
      <c r="G209" s="358" t="s">
        <v>11</v>
      </c>
      <c r="H209" s="358" t="s">
        <v>11</v>
      </c>
    </row>
    <row r="210" spans="1:8" x14ac:dyDescent="0.3">
      <c r="A210" t="s">
        <v>15</v>
      </c>
      <c r="B210" t="s">
        <v>74</v>
      </c>
      <c r="C210" t="s">
        <v>1505</v>
      </c>
      <c r="D210">
        <v>2</v>
      </c>
      <c r="E210" s="358">
        <v>4</v>
      </c>
      <c r="F210" s="358" t="s">
        <v>75</v>
      </c>
      <c r="G210" s="358" t="s">
        <v>11</v>
      </c>
      <c r="H210" s="358" t="s">
        <v>11</v>
      </c>
    </row>
    <row r="211" spans="1:8" x14ac:dyDescent="0.3">
      <c r="A211" t="s">
        <v>15</v>
      </c>
      <c r="B211" t="s">
        <v>74</v>
      </c>
      <c r="C211" t="s">
        <v>1506</v>
      </c>
      <c r="D211">
        <v>3</v>
      </c>
      <c r="E211" s="358">
        <v>3</v>
      </c>
      <c r="F211" s="358" t="s">
        <v>105</v>
      </c>
      <c r="G211" s="358" t="s">
        <v>11</v>
      </c>
      <c r="H211" s="358" t="s">
        <v>11</v>
      </c>
    </row>
    <row r="212" spans="1:8" x14ac:dyDescent="0.3">
      <c r="A212" t="s">
        <v>15</v>
      </c>
      <c r="B212" t="s">
        <v>74</v>
      </c>
      <c r="C212" t="s">
        <v>1507</v>
      </c>
      <c r="D212">
        <v>3</v>
      </c>
      <c r="E212" s="358">
        <v>3</v>
      </c>
      <c r="F212" s="358" t="s">
        <v>75</v>
      </c>
      <c r="G212" s="358" t="s">
        <v>11</v>
      </c>
      <c r="H212" s="358" t="s">
        <v>11</v>
      </c>
    </row>
    <row r="213" spans="1:8" x14ac:dyDescent="0.3">
      <c r="A213" t="s">
        <v>15</v>
      </c>
      <c r="B213" t="s">
        <v>74</v>
      </c>
      <c r="C213" t="s">
        <v>1508</v>
      </c>
      <c r="D213">
        <v>3</v>
      </c>
      <c r="E213" s="358">
        <v>5</v>
      </c>
      <c r="F213" s="358" t="s">
        <v>75</v>
      </c>
      <c r="G213" s="358" t="s">
        <v>11</v>
      </c>
      <c r="H213" s="358" t="s">
        <v>11</v>
      </c>
    </row>
    <row r="214" spans="1:8" x14ac:dyDescent="0.3">
      <c r="A214" t="s">
        <v>15</v>
      </c>
      <c r="B214" t="s">
        <v>74</v>
      </c>
      <c r="C214" t="s">
        <v>1509</v>
      </c>
      <c r="D214">
        <v>2</v>
      </c>
      <c r="E214" s="358">
        <v>6</v>
      </c>
      <c r="F214" s="358" t="s">
        <v>75</v>
      </c>
      <c r="G214" s="358" t="s">
        <v>11</v>
      </c>
      <c r="H214" s="358" t="s">
        <v>11</v>
      </c>
    </row>
    <row r="215" spans="1:8" x14ac:dyDescent="0.3">
      <c r="A215" t="s">
        <v>15</v>
      </c>
      <c r="B215" t="s">
        <v>74</v>
      </c>
      <c r="C215" t="s">
        <v>1510</v>
      </c>
      <c r="D215">
        <v>2</v>
      </c>
      <c r="E215" s="358">
        <v>3</v>
      </c>
      <c r="F215" s="358" t="s">
        <v>105</v>
      </c>
      <c r="G215" s="358" t="s">
        <v>11</v>
      </c>
      <c r="H215" s="358" t="s">
        <v>11</v>
      </c>
    </row>
    <row r="216" spans="1:8" x14ac:dyDescent="0.3">
      <c r="A216" t="s">
        <v>15</v>
      </c>
      <c r="B216" t="s">
        <v>74</v>
      </c>
      <c r="C216" t="s">
        <v>1511</v>
      </c>
      <c r="D216">
        <v>3</v>
      </c>
      <c r="E216" s="358">
        <v>3</v>
      </c>
      <c r="F216" s="358" t="s">
        <v>105</v>
      </c>
      <c r="G216" s="358" t="s">
        <v>11</v>
      </c>
      <c r="H216" s="358" t="s">
        <v>11</v>
      </c>
    </row>
    <row r="217" spans="1:8" x14ac:dyDescent="0.3">
      <c r="A217" t="s">
        <v>15</v>
      </c>
      <c r="B217" t="s">
        <v>74</v>
      </c>
      <c r="C217" t="s">
        <v>1462</v>
      </c>
      <c r="D217">
        <v>2</v>
      </c>
      <c r="E217" s="358">
        <v>5</v>
      </c>
      <c r="F217" s="358" t="s">
        <v>75</v>
      </c>
      <c r="G217" s="358" t="s">
        <v>11</v>
      </c>
      <c r="H217" s="358" t="s">
        <v>11</v>
      </c>
    </row>
    <row r="218" spans="1:8" x14ac:dyDescent="0.3">
      <c r="A218" t="s">
        <v>15</v>
      </c>
      <c r="B218" t="s">
        <v>74</v>
      </c>
      <c r="C218" t="s">
        <v>1512</v>
      </c>
      <c r="D218">
        <v>3</v>
      </c>
      <c r="E218" s="358">
        <v>3</v>
      </c>
      <c r="F218" s="358" t="s">
        <v>75</v>
      </c>
      <c r="G218" s="358" t="s">
        <v>11</v>
      </c>
      <c r="H218" s="358" t="s">
        <v>11</v>
      </c>
    </row>
    <row r="219" spans="1:8" x14ac:dyDescent="0.3">
      <c r="A219" t="s">
        <v>15</v>
      </c>
      <c r="B219" t="s">
        <v>74</v>
      </c>
      <c r="C219" t="s">
        <v>1513</v>
      </c>
      <c r="D219">
        <v>2</v>
      </c>
      <c r="E219" s="358">
        <v>3</v>
      </c>
      <c r="F219" s="358" t="s">
        <v>75</v>
      </c>
      <c r="G219" s="358" t="s">
        <v>11</v>
      </c>
      <c r="H219" s="358" t="s">
        <v>11</v>
      </c>
    </row>
    <row r="220" spans="1:8" x14ac:dyDescent="0.3">
      <c r="A220" t="s">
        <v>15</v>
      </c>
      <c r="B220" t="s">
        <v>74</v>
      </c>
      <c r="C220" t="s">
        <v>1514</v>
      </c>
      <c r="D220">
        <v>2</v>
      </c>
      <c r="E220" s="358">
        <v>5</v>
      </c>
      <c r="F220" s="358" t="s">
        <v>75</v>
      </c>
      <c r="G220" s="358" t="s">
        <v>11</v>
      </c>
      <c r="H220" s="358" t="s">
        <v>11</v>
      </c>
    </row>
    <row r="221" spans="1:8" x14ac:dyDescent="0.3">
      <c r="A221" t="s">
        <v>15</v>
      </c>
      <c r="B221" t="s">
        <v>74</v>
      </c>
      <c r="C221" t="s">
        <v>1515</v>
      </c>
      <c r="D221">
        <v>2</v>
      </c>
      <c r="E221" s="358">
        <v>3</v>
      </c>
      <c r="F221" s="358" t="s">
        <v>75</v>
      </c>
      <c r="G221" s="358" t="s">
        <v>11</v>
      </c>
      <c r="H221" s="358" t="s">
        <v>11</v>
      </c>
    </row>
    <row r="222" spans="1:8" x14ac:dyDescent="0.3">
      <c r="A222" t="s">
        <v>15</v>
      </c>
      <c r="B222" t="s">
        <v>74</v>
      </c>
      <c r="C222" t="s">
        <v>1516</v>
      </c>
      <c r="D222">
        <v>3</v>
      </c>
      <c r="E222" s="358">
        <v>3</v>
      </c>
      <c r="F222" s="358" t="s">
        <v>75</v>
      </c>
      <c r="G222" s="358" t="s">
        <v>11</v>
      </c>
      <c r="H222" s="358" t="s">
        <v>11</v>
      </c>
    </row>
    <row r="223" spans="1:8" x14ac:dyDescent="0.3">
      <c r="A223" t="s">
        <v>15</v>
      </c>
      <c r="B223" t="s">
        <v>74</v>
      </c>
      <c r="C223" t="s">
        <v>1517</v>
      </c>
      <c r="D223">
        <v>2</v>
      </c>
      <c r="E223" s="358">
        <v>3</v>
      </c>
      <c r="F223" s="358" t="s">
        <v>105</v>
      </c>
      <c r="G223" s="358" t="s">
        <v>11</v>
      </c>
      <c r="H223" s="358" t="s">
        <v>11</v>
      </c>
    </row>
    <row r="224" spans="1:8" x14ac:dyDescent="0.3">
      <c r="A224" t="s">
        <v>15</v>
      </c>
      <c r="B224" t="s">
        <v>74</v>
      </c>
      <c r="C224" t="s">
        <v>1518</v>
      </c>
      <c r="D224">
        <v>2</v>
      </c>
      <c r="E224" s="358">
        <v>3</v>
      </c>
      <c r="F224" s="358" t="s">
        <v>75</v>
      </c>
      <c r="G224" s="358" t="s">
        <v>11</v>
      </c>
      <c r="H224" s="358" t="s">
        <v>11</v>
      </c>
    </row>
    <row r="225" spans="1:8" x14ac:dyDescent="0.3">
      <c r="A225" t="s">
        <v>15</v>
      </c>
      <c r="B225" t="s">
        <v>74</v>
      </c>
      <c r="C225" t="s">
        <v>1519</v>
      </c>
      <c r="D225">
        <v>3</v>
      </c>
      <c r="E225" s="358">
        <v>3</v>
      </c>
      <c r="F225" s="358" t="s">
        <v>75</v>
      </c>
      <c r="G225" s="358" t="s">
        <v>11</v>
      </c>
      <c r="H225" s="358" t="s">
        <v>11</v>
      </c>
    </row>
    <row r="226" spans="1:8" x14ac:dyDescent="0.3">
      <c r="A226" t="s">
        <v>15</v>
      </c>
      <c r="B226" t="s">
        <v>74</v>
      </c>
      <c r="C226" t="s">
        <v>1520</v>
      </c>
      <c r="D226">
        <v>2</v>
      </c>
      <c r="E226" s="358">
        <v>3</v>
      </c>
      <c r="F226" s="358" t="s">
        <v>105</v>
      </c>
      <c r="G226" s="358" t="s">
        <v>11</v>
      </c>
      <c r="H226" s="358" t="s">
        <v>11</v>
      </c>
    </row>
    <row r="227" spans="1:8" x14ac:dyDescent="0.3">
      <c r="A227" t="s">
        <v>15</v>
      </c>
      <c r="B227" t="s">
        <v>74</v>
      </c>
      <c r="C227" t="s">
        <v>1521</v>
      </c>
      <c r="D227">
        <v>3</v>
      </c>
      <c r="E227" s="358">
        <v>3</v>
      </c>
      <c r="F227" s="358" t="s">
        <v>75</v>
      </c>
      <c r="G227" s="358" t="s">
        <v>11</v>
      </c>
      <c r="H227" s="358" t="s">
        <v>11</v>
      </c>
    </row>
    <row r="228" spans="1:8" x14ac:dyDescent="0.3">
      <c r="A228" t="s">
        <v>15</v>
      </c>
      <c r="B228" t="s">
        <v>74</v>
      </c>
      <c r="C228" t="s">
        <v>1522</v>
      </c>
      <c r="D228">
        <v>2</v>
      </c>
      <c r="E228" s="358">
        <v>3</v>
      </c>
      <c r="F228" s="358" t="s">
        <v>105</v>
      </c>
      <c r="G228" s="358" t="s">
        <v>11</v>
      </c>
      <c r="H228" s="358" t="s">
        <v>11</v>
      </c>
    </row>
    <row r="229" spans="1:8" x14ac:dyDescent="0.3">
      <c r="A229" t="s">
        <v>15</v>
      </c>
      <c r="B229" t="s">
        <v>74</v>
      </c>
      <c r="C229" t="s">
        <v>1523</v>
      </c>
      <c r="D229">
        <v>2</v>
      </c>
      <c r="E229" s="358">
        <v>3</v>
      </c>
      <c r="F229" s="358" t="s">
        <v>105</v>
      </c>
      <c r="G229" s="358" t="s">
        <v>11</v>
      </c>
      <c r="H229" s="358" t="s">
        <v>11</v>
      </c>
    </row>
    <row r="230" spans="1:8" x14ac:dyDescent="0.3">
      <c r="A230" t="s">
        <v>15</v>
      </c>
      <c r="B230" t="s">
        <v>74</v>
      </c>
      <c r="C230" t="s">
        <v>1524</v>
      </c>
      <c r="D230">
        <v>1</v>
      </c>
      <c r="E230" s="358">
        <v>3</v>
      </c>
      <c r="F230" s="358" t="s">
        <v>105</v>
      </c>
      <c r="G230" s="358" t="s">
        <v>11</v>
      </c>
      <c r="H230" s="358" t="s">
        <v>11</v>
      </c>
    </row>
    <row r="231" spans="1:8" x14ac:dyDescent="0.3">
      <c r="A231" t="s">
        <v>15</v>
      </c>
      <c r="B231" t="s">
        <v>74</v>
      </c>
      <c r="C231" t="s">
        <v>1525</v>
      </c>
      <c r="D231">
        <v>2</v>
      </c>
      <c r="E231" s="358">
        <v>3</v>
      </c>
      <c r="F231" s="358" t="s">
        <v>105</v>
      </c>
      <c r="G231" s="358" t="s">
        <v>11</v>
      </c>
      <c r="H231" s="358" t="s">
        <v>11</v>
      </c>
    </row>
    <row r="232" spans="1:8" x14ac:dyDescent="0.3">
      <c r="A232" t="s">
        <v>15</v>
      </c>
      <c r="B232" t="s">
        <v>74</v>
      </c>
      <c r="C232" t="s">
        <v>1424</v>
      </c>
      <c r="D232">
        <v>2</v>
      </c>
      <c r="E232" s="358">
        <v>3</v>
      </c>
      <c r="F232" s="358" t="s">
        <v>105</v>
      </c>
      <c r="G232" s="358" t="s">
        <v>11</v>
      </c>
      <c r="H232" s="358" t="s">
        <v>11</v>
      </c>
    </row>
    <row r="233" spans="1:8" x14ac:dyDescent="0.3">
      <c r="A233" t="s">
        <v>15</v>
      </c>
      <c r="B233" t="s">
        <v>74</v>
      </c>
      <c r="C233" t="s">
        <v>1526</v>
      </c>
      <c r="D233">
        <v>3</v>
      </c>
      <c r="E233" s="358">
        <v>3</v>
      </c>
      <c r="F233" s="358" t="s">
        <v>75</v>
      </c>
      <c r="G233" s="358" t="s">
        <v>11</v>
      </c>
      <c r="H233" s="358" t="s">
        <v>11</v>
      </c>
    </row>
    <row r="234" spans="1:8" x14ac:dyDescent="0.3">
      <c r="A234" t="s">
        <v>15</v>
      </c>
      <c r="B234" t="s">
        <v>74</v>
      </c>
      <c r="C234" t="s">
        <v>1527</v>
      </c>
      <c r="D234">
        <v>2</v>
      </c>
      <c r="E234" s="358">
        <v>5</v>
      </c>
      <c r="F234" s="358" t="s">
        <v>75</v>
      </c>
      <c r="G234" s="358" t="s">
        <v>11</v>
      </c>
      <c r="H234" s="358" t="s">
        <v>11</v>
      </c>
    </row>
    <row r="235" spans="1:8" x14ac:dyDescent="0.3">
      <c r="A235" t="s">
        <v>15</v>
      </c>
      <c r="B235" t="s">
        <v>74</v>
      </c>
      <c r="C235" t="s">
        <v>1528</v>
      </c>
      <c r="D235">
        <v>3</v>
      </c>
      <c r="E235" s="358">
        <v>5</v>
      </c>
      <c r="F235" s="358" t="s">
        <v>75</v>
      </c>
      <c r="G235" s="358" t="s">
        <v>11</v>
      </c>
      <c r="H235" s="358" t="s">
        <v>11</v>
      </c>
    </row>
    <row r="236" spans="1:8" x14ac:dyDescent="0.3">
      <c r="A236" t="s">
        <v>15</v>
      </c>
      <c r="B236" t="s">
        <v>74</v>
      </c>
      <c r="C236" t="s">
        <v>1529</v>
      </c>
      <c r="D236">
        <v>3</v>
      </c>
      <c r="E236" s="358">
        <v>3</v>
      </c>
      <c r="F236" s="358" t="s">
        <v>75</v>
      </c>
      <c r="G236" s="358" t="s">
        <v>11</v>
      </c>
      <c r="H236" s="358" t="s">
        <v>11</v>
      </c>
    </row>
    <row r="237" spans="1:8" x14ac:dyDescent="0.3">
      <c r="A237" t="s">
        <v>15</v>
      </c>
      <c r="B237" t="s">
        <v>74</v>
      </c>
      <c r="C237" t="s">
        <v>1530</v>
      </c>
      <c r="D237">
        <v>3</v>
      </c>
      <c r="E237" s="358">
        <v>3</v>
      </c>
      <c r="F237" s="358" t="s">
        <v>105</v>
      </c>
      <c r="G237" s="358" t="s">
        <v>11</v>
      </c>
      <c r="H237" s="358" t="s">
        <v>11</v>
      </c>
    </row>
    <row r="238" spans="1:8" x14ac:dyDescent="0.3">
      <c r="A238" t="s">
        <v>15</v>
      </c>
      <c r="B238" t="s">
        <v>74</v>
      </c>
      <c r="C238" t="s">
        <v>1531</v>
      </c>
      <c r="D238">
        <v>3</v>
      </c>
      <c r="E238" s="358">
        <v>3</v>
      </c>
      <c r="F238" s="358" t="s">
        <v>75</v>
      </c>
      <c r="G238" s="358" t="s">
        <v>11</v>
      </c>
      <c r="H238" s="358" t="s">
        <v>11</v>
      </c>
    </row>
    <row r="239" spans="1:8" x14ac:dyDescent="0.3">
      <c r="A239" t="s">
        <v>15</v>
      </c>
      <c r="B239" t="s">
        <v>74</v>
      </c>
      <c r="C239" t="s">
        <v>1532</v>
      </c>
      <c r="D239">
        <v>3</v>
      </c>
      <c r="E239" s="358">
        <v>3</v>
      </c>
      <c r="F239" s="358" t="s">
        <v>75</v>
      </c>
      <c r="G239" s="358" t="s">
        <v>11</v>
      </c>
      <c r="H239" s="358" t="s">
        <v>11</v>
      </c>
    </row>
    <row r="240" spans="1:8" x14ac:dyDescent="0.3">
      <c r="A240" t="s">
        <v>15</v>
      </c>
      <c r="B240" t="s">
        <v>74</v>
      </c>
      <c r="C240" t="s">
        <v>1533</v>
      </c>
      <c r="D240">
        <v>3</v>
      </c>
      <c r="E240" s="358">
        <v>3</v>
      </c>
      <c r="F240" s="358" t="s">
        <v>75</v>
      </c>
      <c r="G240" s="358" t="s">
        <v>11</v>
      </c>
      <c r="H240" s="358" t="s">
        <v>11</v>
      </c>
    </row>
    <row r="241" spans="1:8" x14ac:dyDescent="0.3">
      <c r="A241" t="s">
        <v>15</v>
      </c>
      <c r="B241" t="s">
        <v>74</v>
      </c>
      <c r="C241" t="s">
        <v>1534</v>
      </c>
      <c r="D241">
        <v>3</v>
      </c>
      <c r="E241" s="358">
        <v>4</v>
      </c>
      <c r="F241" s="358" t="s">
        <v>75</v>
      </c>
      <c r="G241" s="358" t="s">
        <v>11</v>
      </c>
      <c r="H241" s="358" t="s">
        <v>11</v>
      </c>
    </row>
    <row r="242" spans="1:8" x14ac:dyDescent="0.3">
      <c r="A242" t="s">
        <v>15</v>
      </c>
      <c r="B242" t="s">
        <v>74</v>
      </c>
      <c r="C242" t="s">
        <v>1535</v>
      </c>
      <c r="D242">
        <v>2</v>
      </c>
      <c r="E242" s="358">
        <v>3</v>
      </c>
      <c r="F242" s="358" t="s">
        <v>75</v>
      </c>
      <c r="G242" s="358" t="s">
        <v>11</v>
      </c>
      <c r="H242" s="358" t="s">
        <v>11</v>
      </c>
    </row>
    <row r="243" spans="1:8" x14ac:dyDescent="0.3">
      <c r="A243" t="s">
        <v>15</v>
      </c>
      <c r="B243" t="s">
        <v>74</v>
      </c>
      <c r="C243" t="s">
        <v>1536</v>
      </c>
      <c r="D243">
        <v>2</v>
      </c>
      <c r="E243" s="358">
        <v>4</v>
      </c>
      <c r="F243" s="358" t="s">
        <v>75</v>
      </c>
      <c r="G243" s="358" t="s">
        <v>11</v>
      </c>
      <c r="H243" s="358" t="s">
        <v>11</v>
      </c>
    </row>
    <row r="244" spans="1:8" x14ac:dyDescent="0.3">
      <c r="A244" t="s">
        <v>15</v>
      </c>
      <c r="B244" t="s">
        <v>74</v>
      </c>
      <c r="C244" t="s">
        <v>1537</v>
      </c>
      <c r="D244">
        <v>1</v>
      </c>
      <c r="E244" s="358">
        <v>3</v>
      </c>
      <c r="F244" s="358" t="s">
        <v>105</v>
      </c>
      <c r="G244" s="358" t="s">
        <v>11</v>
      </c>
      <c r="H244" s="358" t="s">
        <v>11</v>
      </c>
    </row>
    <row r="245" spans="1:8" x14ac:dyDescent="0.3">
      <c r="A245" t="s">
        <v>15</v>
      </c>
      <c r="B245" t="s">
        <v>74</v>
      </c>
      <c r="C245" t="s">
        <v>1538</v>
      </c>
      <c r="D245">
        <v>3</v>
      </c>
      <c r="E245" s="358">
        <v>3</v>
      </c>
      <c r="F245" s="358" t="s">
        <v>75</v>
      </c>
      <c r="G245" s="358" t="s">
        <v>11</v>
      </c>
      <c r="H245" s="358" t="s">
        <v>11</v>
      </c>
    </row>
    <row r="246" spans="1:8" x14ac:dyDescent="0.3">
      <c r="A246" t="s">
        <v>15</v>
      </c>
      <c r="B246" t="s">
        <v>74</v>
      </c>
      <c r="C246" t="s">
        <v>1539</v>
      </c>
      <c r="D246">
        <v>2</v>
      </c>
      <c r="E246" s="358">
        <v>3</v>
      </c>
      <c r="F246" s="358" t="s">
        <v>75</v>
      </c>
      <c r="G246" s="358" t="s">
        <v>11</v>
      </c>
      <c r="H246" s="358" t="s">
        <v>11</v>
      </c>
    </row>
    <row r="247" spans="1:8" x14ac:dyDescent="0.3">
      <c r="A247" t="s">
        <v>16</v>
      </c>
      <c r="B247" t="s">
        <v>40</v>
      </c>
      <c r="C247" t="s">
        <v>1540</v>
      </c>
      <c r="D247">
        <v>1</v>
      </c>
      <c r="E247" s="358">
        <v>5</v>
      </c>
      <c r="F247" s="358" t="s">
        <v>75</v>
      </c>
      <c r="G247" s="358" t="s">
        <v>11</v>
      </c>
      <c r="H247" s="358" t="s">
        <v>11</v>
      </c>
    </row>
    <row r="248" spans="1:8" x14ac:dyDescent="0.3">
      <c r="A248" t="s">
        <v>16</v>
      </c>
      <c r="B248" t="s">
        <v>40</v>
      </c>
      <c r="C248" t="s">
        <v>1541</v>
      </c>
      <c r="D248">
        <v>2</v>
      </c>
      <c r="E248" s="358">
        <v>6</v>
      </c>
      <c r="F248" s="358" t="s">
        <v>75</v>
      </c>
      <c r="G248" s="358" t="s">
        <v>11</v>
      </c>
      <c r="H248" s="358" t="s">
        <v>11</v>
      </c>
    </row>
    <row r="249" spans="1:8" x14ac:dyDescent="0.3">
      <c r="A249" t="s">
        <v>16</v>
      </c>
      <c r="B249" t="s">
        <v>40</v>
      </c>
      <c r="C249" t="s">
        <v>1542</v>
      </c>
      <c r="D249">
        <v>1</v>
      </c>
      <c r="E249" s="358">
        <v>5</v>
      </c>
      <c r="F249" s="358" t="s">
        <v>75</v>
      </c>
      <c r="G249" s="358" t="s">
        <v>11</v>
      </c>
      <c r="H249" s="358" t="s">
        <v>11</v>
      </c>
    </row>
    <row r="250" spans="1:8" x14ac:dyDescent="0.3">
      <c r="A250" t="s">
        <v>16</v>
      </c>
      <c r="B250" t="s">
        <v>40</v>
      </c>
      <c r="C250" t="s">
        <v>1543</v>
      </c>
      <c r="D250">
        <v>2</v>
      </c>
      <c r="E250" s="358">
        <v>6</v>
      </c>
      <c r="F250" s="358" t="s">
        <v>75</v>
      </c>
      <c r="G250" s="358" t="s">
        <v>11</v>
      </c>
      <c r="H250" s="358" t="s">
        <v>11</v>
      </c>
    </row>
    <row r="251" spans="1:8" x14ac:dyDescent="0.3">
      <c r="A251" t="s">
        <v>16</v>
      </c>
      <c r="B251" t="s">
        <v>40</v>
      </c>
      <c r="C251" t="s">
        <v>1544</v>
      </c>
      <c r="D251">
        <v>1</v>
      </c>
      <c r="E251" s="358">
        <v>4</v>
      </c>
      <c r="F251" s="358" t="s">
        <v>75</v>
      </c>
      <c r="G251" s="358" t="s">
        <v>11</v>
      </c>
      <c r="H251" s="358" t="s">
        <v>11</v>
      </c>
    </row>
    <row r="252" spans="1:8" x14ac:dyDescent="0.3">
      <c r="A252" t="s">
        <v>16</v>
      </c>
      <c r="B252" t="s">
        <v>40</v>
      </c>
      <c r="C252" t="s">
        <v>1545</v>
      </c>
      <c r="D252">
        <v>1</v>
      </c>
      <c r="E252" s="358">
        <v>5</v>
      </c>
      <c r="F252" s="358" t="s">
        <v>75</v>
      </c>
      <c r="G252" s="358" t="s">
        <v>11</v>
      </c>
      <c r="H252" s="358" t="s">
        <v>11</v>
      </c>
    </row>
    <row r="253" spans="1:8" x14ac:dyDescent="0.3">
      <c r="A253" t="s">
        <v>16</v>
      </c>
      <c r="B253" t="s">
        <v>40</v>
      </c>
      <c r="C253" t="s">
        <v>1546</v>
      </c>
      <c r="D253">
        <v>1</v>
      </c>
      <c r="E253" s="358">
        <v>5</v>
      </c>
      <c r="F253" s="358" t="s">
        <v>75</v>
      </c>
      <c r="G253" s="358" t="s">
        <v>11</v>
      </c>
      <c r="H253" s="358" t="s">
        <v>11</v>
      </c>
    </row>
    <row r="254" spans="1:8" x14ac:dyDescent="0.3">
      <c r="A254" t="s">
        <v>16</v>
      </c>
      <c r="B254" t="s">
        <v>40</v>
      </c>
      <c r="C254" t="s">
        <v>1547</v>
      </c>
      <c r="D254">
        <v>1</v>
      </c>
      <c r="E254" s="358">
        <v>5</v>
      </c>
      <c r="F254" s="358" t="s">
        <v>75</v>
      </c>
      <c r="G254" s="358" t="s">
        <v>11</v>
      </c>
      <c r="H254" s="358" t="s">
        <v>11</v>
      </c>
    </row>
    <row r="255" spans="1:8" x14ac:dyDescent="0.3">
      <c r="A255" t="s">
        <v>16</v>
      </c>
      <c r="B255" t="s">
        <v>40</v>
      </c>
      <c r="C255" t="s">
        <v>1548</v>
      </c>
      <c r="D255">
        <v>1</v>
      </c>
      <c r="E255" s="358">
        <v>6</v>
      </c>
      <c r="F255" s="358" t="s">
        <v>75</v>
      </c>
      <c r="G255" s="358" t="s">
        <v>11</v>
      </c>
      <c r="H255" s="358" t="s">
        <v>11</v>
      </c>
    </row>
    <row r="256" spans="1:8" x14ac:dyDescent="0.3">
      <c r="A256" t="s">
        <v>16</v>
      </c>
      <c r="B256" t="s">
        <v>40</v>
      </c>
      <c r="C256" t="s">
        <v>1549</v>
      </c>
      <c r="D256">
        <v>1</v>
      </c>
      <c r="E256" s="358">
        <v>5</v>
      </c>
      <c r="F256" s="358" t="s">
        <v>75</v>
      </c>
      <c r="G256" s="358" t="s">
        <v>11</v>
      </c>
      <c r="H256" s="358" t="s">
        <v>11</v>
      </c>
    </row>
    <row r="257" spans="1:8" x14ac:dyDescent="0.3">
      <c r="A257" t="s">
        <v>16</v>
      </c>
      <c r="B257" t="s">
        <v>40</v>
      </c>
      <c r="C257" t="s">
        <v>1550</v>
      </c>
      <c r="D257">
        <v>1</v>
      </c>
      <c r="E257" s="358">
        <v>7</v>
      </c>
      <c r="F257" s="358" t="s">
        <v>11</v>
      </c>
      <c r="G257" s="358" t="s">
        <v>11</v>
      </c>
      <c r="H257" s="358" t="s">
        <v>11</v>
      </c>
    </row>
    <row r="258" spans="1:8" x14ac:dyDescent="0.3">
      <c r="A258" t="s">
        <v>16</v>
      </c>
      <c r="B258" t="s">
        <v>40</v>
      </c>
      <c r="C258" t="s">
        <v>1551</v>
      </c>
      <c r="D258">
        <v>2</v>
      </c>
      <c r="E258" s="358">
        <v>6</v>
      </c>
      <c r="F258" s="358" t="s">
        <v>75</v>
      </c>
      <c r="G258" s="358" t="s">
        <v>11</v>
      </c>
      <c r="H258" s="358" t="s">
        <v>11</v>
      </c>
    </row>
    <row r="259" spans="1:8" x14ac:dyDescent="0.3">
      <c r="A259" t="s">
        <v>16</v>
      </c>
      <c r="B259" t="s">
        <v>40</v>
      </c>
      <c r="C259" t="s">
        <v>1552</v>
      </c>
      <c r="D259">
        <v>2</v>
      </c>
      <c r="E259" s="358">
        <v>6</v>
      </c>
      <c r="F259" s="358" t="s">
        <v>75</v>
      </c>
      <c r="G259" s="358" t="s">
        <v>11</v>
      </c>
      <c r="H259" s="358" t="s">
        <v>11</v>
      </c>
    </row>
    <row r="260" spans="1:8" x14ac:dyDescent="0.3">
      <c r="A260" t="s">
        <v>16</v>
      </c>
      <c r="B260" t="s">
        <v>40</v>
      </c>
      <c r="C260" t="s">
        <v>1553</v>
      </c>
      <c r="D260">
        <v>1</v>
      </c>
      <c r="E260" s="358">
        <v>5</v>
      </c>
      <c r="F260" s="358" t="s">
        <v>75</v>
      </c>
      <c r="G260" s="358" t="s">
        <v>11</v>
      </c>
      <c r="H260" s="358" t="s">
        <v>11</v>
      </c>
    </row>
    <row r="261" spans="1:8" x14ac:dyDescent="0.3">
      <c r="A261" t="s">
        <v>16</v>
      </c>
      <c r="B261" t="s">
        <v>40</v>
      </c>
      <c r="C261" t="s">
        <v>1554</v>
      </c>
      <c r="D261">
        <v>1</v>
      </c>
      <c r="E261" s="358">
        <v>6</v>
      </c>
      <c r="F261" s="358" t="s">
        <v>75</v>
      </c>
      <c r="G261" s="358" t="s">
        <v>11</v>
      </c>
      <c r="H261" s="358" t="s">
        <v>11</v>
      </c>
    </row>
    <row r="262" spans="1:8" x14ac:dyDescent="0.3">
      <c r="A262" t="s">
        <v>16</v>
      </c>
      <c r="B262" t="s">
        <v>40</v>
      </c>
      <c r="C262" t="s">
        <v>1555</v>
      </c>
      <c r="D262">
        <v>1</v>
      </c>
      <c r="E262" s="358">
        <v>5</v>
      </c>
      <c r="F262" s="358" t="s">
        <v>75</v>
      </c>
      <c r="G262" s="358" t="s">
        <v>11</v>
      </c>
      <c r="H262" s="358" t="s">
        <v>11</v>
      </c>
    </row>
    <row r="263" spans="1:8" x14ac:dyDescent="0.3">
      <c r="A263" t="s">
        <v>16</v>
      </c>
      <c r="B263" t="s">
        <v>40</v>
      </c>
      <c r="C263" t="s">
        <v>1556</v>
      </c>
      <c r="D263">
        <v>1</v>
      </c>
      <c r="E263" s="358">
        <v>5</v>
      </c>
      <c r="F263" s="358" t="s">
        <v>75</v>
      </c>
      <c r="G263" s="358" t="s">
        <v>11</v>
      </c>
      <c r="H263" s="358" t="s">
        <v>11</v>
      </c>
    </row>
    <row r="264" spans="1:8" x14ac:dyDescent="0.3">
      <c r="A264" t="s">
        <v>16</v>
      </c>
      <c r="B264" t="s">
        <v>40</v>
      </c>
      <c r="C264" t="s">
        <v>1557</v>
      </c>
      <c r="D264">
        <v>1</v>
      </c>
      <c r="E264" s="358">
        <v>6</v>
      </c>
      <c r="F264" s="358" t="s">
        <v>75</v>
      </c>
      <c r="G264" s="358" t="s">
        <v>11</v>
      </c>
      <c r="H264" s="358" t="s">
        <v>11</v>
      </c>
    </row>
    <row r="265" spans="1:8" x14ac:dyDescent="0.3">
      <c r="A265" t="s">
        <v>16</v>
      </c>
      <c r="B265" t="s">
        <v>40</v>
      </c>
      <c r="C265" t="s">
        <v>1558</v>
      </c>
      <c r="D265">
        <v>1</v>
      </c>
      <c r="E265" s="358">
        <v>5</v>
      </c>
      <c r="F265" s="358" t="s">
        <v>75</v>
      </c>
      <c r="G265" s="358" t="s">
        <v>11</v>
      </c>
      <c r="H265" s="358" t="s">
        <v>11</v>
      </c>
    </row>
    <row r="266" spans="1:8" x14ac:dyDescent="0.3">
      <c r="A266" t="s">
        <v>16</v>
      </c>
      <c r="B266" t="s">
        <v>40</v>
      </c>
      <c r="C266" t="s">
        <v>1559</v>
      </c>
      <c r="D266">
        <v>2</v>
      </c>
      <c r="E266" s="358">
        <v>6</v>
      </c>
      <c r="F266" s="358" t="s">
        <v>75</v>
      </c>
      <c r="G266" s="358" t="s">
        <v>11</v>
      </c>
      <c r="H266" s="358" t="s">
        <v>11</v>
      </c>
    </row>
    <row r="267" spans="1:8" x14ac:dyDescent="0.3">
      <c r="A267" t="s">
        <v>16</v>
      </c>
      <c r="B267" t="s">
        <v>40</v>
      </c>
      <c r="C267" t="s">
        <v>1560</v>
      </c>
      <c r="D267">
        <v>1</v>
      </c>
      <c r="E267" s="358">
        <v>5</v>
      </c>
      <c r="F267" s="358" t="s">
        <v>75</v>
      </c>
      <c r="G267" s="358" t="s">
        <v>11</v>
      </c>
      <c r="H267" s="358" t="s">
        <v>11</v>
      </c>
    </row>
    <row r="268" spans="1:8" x14ac:dyDescent="0.3">
      <c r="A268" t="s">
        <v>16</v>
      </c>
      <c r="B268" t="s">
        <v>40</v>
      </c>
      <c r="C268" t="s">
        <v>1561</v>
      </c>
      <c r="D268">
        <v>1</v>
      </c>
      <c r="E268" s="358">
        <v>5</v>
      </c>
      <c r="F268" s="358" t="s">
        <v>75</v>
      </c>
      <c r="G268" s="358" t="s">
        <v>11</v>
      </c>
      <c r="H268" s="358" t="s">
        <v>11</v>
      </c>
    </row>
    <row r="269" spans="1:8" x14ac:dyDescent="0.3">
      <c r="A269" t="s">
        <v>16</v>
      </c>
      <c r="B269" t="s">
        <v>40</v>
      </c>
      <c r="C269" t="s">
        <v>1562</v>
      </c>
      <c r="D269">
        <v>1</v>
      </c>
      <c r="E269" s="358">
        <v>5</v>
      </c>
      <c r="F269" s="358" t="s">
        <v>75</v>
      </c>
      <c r="G269" s="358" t="s">
        <v>11</v>
      </c>
      <c r="H269" s="358" t="s">
        <v>11</v>
      </c>
    </row>
    <row r="270" spans="1:8" x14ac:dyDescent="0.3">
      <c r="A270" t="s">
        <v>16</v>
      </c>
      <c r="B270" t="s">
        <v>40</v>
      </c>
      <c r="C270" t="s">
        <v>1563</v>
      </c>
      <c r="D270">
        <v>1</v>
      </c>
      <c r="E270" s="358">
        <v>5</v>
      </c>
      <c r="F270" s="358" t="s">
        <v>75</v>
      </c>
      <c r="G270" s="358" t="s">
        <v>11</v>
      </c>
      <c r="H270" s="358" t="s">
        <v>11</v>
      </c>
    </row>
    <row r="271" spans="1:8" x14ac:dyDescent="0.3">
      <c r="A271" t="s">
        <v>16</v>
      </c>
      <c r="B271" t="s">
        <v>40</v>
      </c>
      <c r="C271" t="s">
        <v>1564</v>
      </c>
      <c r="D271">
        <v>1</v>
      </c>
      <c r="E271" s="358">
        <v>5</v>
      </c>
      <c r="F271" s="358" t="s">
        <v>75</v>
      </c>
      <c r="G271" s="358" t="s">
        <v>11</v>
      </c>
      <c r="H271" s="358" t="s">
        <v>11</v>
      </c>
    </row>
    <row r="272" spans="1:8" x14ac:dyDescent="0.3">
      <c r="A272" t="s">
        <v>16</v>
      </c>
      <c r="B272" t="s">
        <v>40</v>
      </c>
      <c r="C272" t="s">
        <v>1565</v>
      </c>
      <c r="D272">
        <v>1</v>
      </c>
      <c r="E272" s="358">
        <v>7</v>
      </c>
      <c r="F272" s="358" t="s">
        <v>11</v>
      </c>
      <c r="G272" s="358" t="s">
        <v>11</v>
      </c>
      <c r="H272" s="358" t="s">
        <v>11</v>
      </c>
    </row>
    <row r="273" spans="1:8" x14ac:dyDescent="0.3">
      <c r="A273" t="s">
        <v>16</v>
      </c>
      <c r="B273" t="s">
        <v>40</v>
      </c>
      <c r="C273" t="s">
        <v>1566</v>
      </c>
      <c r="D273">
        <v>1</v>
      </c>
      <c r="E273" s="358">
        <v>7</v>
      </c>
      <c r="F273" s="358" t="s">
        <v>11</v>
      </c>
      <c r="G273" s="358" t="s">
        <v>11</v>
      </c>
      <c r="H273" s="358" t="s">
        <v>11</v>
      </c>
    </row>
    <row r="274" spans="1:8" x14ac:dyDescent="0.3">
      <c r="A274" t="s">
        <v>16</v>
      </c>
      <c r="B274" t="s">
        <v>40</v>
      </c>
      <c r="C274" t="s">
        <v>1567</v>
      </c>
      <c r="D274">
        <v>2</v>
      </c>
      <c r="E274" s="358">
        <v>7</v>
      </c>
      <c r="F274" s="358" t="s">
        <v>11</v>
      </c>
      <c r="G274" s="358" t="s">
        <v>11</v>
      </c>
      <c r="H274" s="358" t="s">
        <v>11</v>
      </c>
    </row>
    <row r="275" spans="1:8" x14ac:dyDescent="0.3">
      <c r="A275" t="s">
        <v>16</v>
      </c>
      <c r="B275" t="s">
        <v>40</v>
      </c>
      <c r="C275" t="s">
        <v>1568</v>
      </c>
      <c r="D275">
        <v>1</v>
      </c>
      <c r="E275" s="358">
        <v>5</v>
      </c>
      <c r="F275" s="358" t="s">
        <v>75</v>
      </c>
      <c r="G275" s="358" t="s">
        <v>11</v>
      </c>
      <c r="H275" s="358" t="s">
        <v>11</v>
      </c>
    </row>
    <row r="276" spans="1:8" x14ac:dyDescent="0.3">
      <c r="A276" t="s">
        <v>16</v>
      </c>
      <c r="B276" t="s">
        <v>40</v>
      </c>
      <c r="C276" t="s">
        <v>1350</v>
      </c>
      <c r="D276">
        <v>1</v>
      </c>
      <c r="E276" s="358">
        <v>7</v>
      </c>
      <c r="F276" s="358" t="s">
        <v>11</v>
      </c>
      <c r="G276" s="358" t="s">
        <v>11</v>
      </c>
      <c r="H276" s="358" t="s">
        <v>11</v>
      </c>
    </row>
    <row r="277" spans="1:8" x14ac:dyDescent="0.3">
      <c r="A277" t="s">
        <v>16</v>
      </c>
      <c r="B277" t="s">
        <v>40</v>
      </c>
      <c r="C277" t="s">
        <v>1351</v>
      </c>
      <c r="D277">
        <v>1</v>
      </c>
      <c r="E277" s="358">
        <v>5</v>
      </c>
      <c r="F277" s="358" t="s">
        <v>75</v>
      </c>
      <c r="G277" s="358" t="s">
        <v>11</v>
      </c>
      <c r="H277" s="358" t="s">
        <v>11</v>
      </c>
    </row>
    <row r="278" spans="1:8" x14ac:dyDescent="0.3">
      <c r="A278" t="s">
        <v>16</v>
      </c>
      <c r="B278" t="s">
        <v>40</v>
      </c>
      <c r="C278" t="s">
        <v>1569</v>
      </c>
      <c r="D278">
        <v>1</v>
      </c>
      <c r="E278" s="358">
        <v>5</v>
      </c>
      <c r="F278" s="358" t="s">
        <v>75</v>
      </c>
      <c r="G278" s="358" t="s">
        <v>11</v>
      </c>
      <c r="H278" s="358" t="s">
        <v>11</v>
      </c>
    </row>
    <row r="279" spans="1:8" x14ac:dyDescent="0.3">
      <c r="A279" t="s">
        <v>16</v>
      </c>
      <c r="B279" t="s">
        <v>40</v>
      </c>
      <c r="C279" t="s">
        <v>1570</v>
      </c>
      <c r="D279">
        <v>1</v>
      </c>
      <c r="E279" s="358">
        <v>5</v>
      </c>
      <c r="F279" s="358" t="s">
        <v>75</v>
      </c>
      <c r="G279" s="358" t="s">
        <v>11</v>
      </c>
      <c r="H279" s="358" t="s">
        <v>11</v>
      </c>
    </row>
    <row r="280" spans="1:8" x14ac:dyDescent="0.3">
      <c r="A280" t="s">
        <v>16</v>
      </c>
      <c r="B280" t="s">
        <v>40</v>
      </c>
      <c r="C280" t="s">
        <v>1571</v>
      </c>
      <c r="D280">
        <v>2</v>
      </c>
      <c r="E280" s="358">
        <v>5</v>
      </c>
      <c r="F280" s="358" t="s">
        <v>75</v>
      </c>
      <c r="G280" s="358" t="s">
        <v>11</v>
      </c>
      <c r="H280" s="358" t="s">
        <v>11</v>
      </c>
    </row>
    <row r="281" spans="1:8" x14ac:dyDescent="0.3">
      <c r="A281" t="s">
        <v>16</v>
      </c>
      <c r="B281" t="s">
        <v>40</v>
      </c>
      <c r="C281" t="s">
        <v>1500</v>
      </c>
      <c r="D281">
        <v>1</v>
      </c>
      <c r="E281" s="358">
        <v>7</v>
      </c>
      <c r="F281" s="358" t="s">
        <v>11</v>
      </c>
      <c r="G281" s="358" t="s">
        <v>11</v>
      </c>
      <c r="H281" s="358" t="s">
        <v>11</v>
      </c>
    </row>
    <row r="282" spans="1:8" x14ac:dyDescent="0.3">
      <c r="A282" t="s">
        <v>16</v>
      </c>
      <c r="B282" t="s">
        <v>40</v>
      </c>
      <c r="C282" t="s">
        <v>1572</v>
      </c>
      <c r="D282">
        <v>1</v>
      </c>
      <c r="E282" s="358">
        <v>5</v>
      </c>
      <c r="F282" s="358" t="s">
        <v>75</v>
      </c>
      <c r="G282" s="358" t="s">
        <v>11</v>
      </c>
      <c r="H282" s="358" t="s">
        <v>11</v>
      </c>
    </row>
    <row r="283" spans="1:8" x14ac:dyDescent="0.3">
      <c r="A283" t="s">
        <v>16</v>
      </c>
      <c r="B283" t="s">
        <v>40</v>
      </c>
      <c r="C283" t="s">
        <v>1573</v>
      </c>
      <c r="D283">
        <v>1</v>
      </c>
      <c r="E283" s="358">
        <v>4</v>
      </c>
      <c r="F283" s="358" t="s">
        <v>75</v>
      </c>
      <c r="G283" s="358" t="s">
        <v>11</v>
      </c>
      <c r="H283" s="358" t="s">
        <v>11</v>
      </c>
    </row>
    <row r="284" spans="1:8" x14ac:dyDescent="0.3">
      <c r="A284" t="s">
        <v>16</v>
      </c>
      <c r="B284" t="s">
        <v>40</v>
      </c>
      <c r="C284" t="s">
        <v>1456</v>
      </c>
      <c r="D284">
        <v>1</v>
      </c>
      <c r="E284" s="358">
        <v>5</v>
      </c>
      <c r="F284" s="358" t="s">
        <v>75</v>
      </c>
      <c r="G284" s="358" t="s">
        <v>11</v>
      </c>
      <c r="H284" s="358" t="s">
        <v>11</v>
      </c>
    </row>
    <row r="285" spans="1:8" x14ac:dyDescent="0.3">
      <c r="A285" t="s">
        <v>16</v>
      </c>
      <c r="B285" t="s">
        <v>40</v>
      </c>
      <c r="C285" t="s">
        <v>1458</v>
      </c>
      <c r="D285">
        <v>1</v>
      </c>
      <c r="E285" s="358">
        <v>5</v>
      </c>
      <c r="F285" s="358" t="s">
        <v>75</v>
      </c>
      <c r="G285" s="358" t="s">
        <v>11</v>
      </c>
      <c r="H285" s="358" t="s">
        <v>11</v>
      </c>
    </row>
    <row r="286" spans="1:8" x14ac:dyDescent="0.3">
      <c r="A286" t="s">
        <v>16</v>
      </c>
      <c r="B286" t="s">
        <v>40</v>
      </c>
      <c r="C286" t="s">
        <v>1574</v>
      </c>
      <c r="D286">
        <v>1</v>
      </c>
      <c r="E286" s="358">
        <v>5</v>
      </c>
      <c r="F286" s="358" t="s">
        <v>75</v>
      </c>
      <c r="G286" s="358" t="s">
        <v>11</v>
      </c>
      <c r="H286" s="358" t="s">
        <v>11</v>
      </c>
    </row>
    <row r="287" spans="1:8" x14ac:dyDescent="0.3">
      <c r="A287" t="s">
        <v>16</v>
      </c>
      <c r="B287" t="s">
        <v>40</v>
      </c>
      <c r="C287" t="s">
        <v>1575</v>
      </c>
      <c r="D287">
        <v>2</v>
      </c>
      <c r="E287" s="358">
        <v>7</v>
      </c>
      <c r="F287" s="358" t="s">
        <v>11</v>
      </c>
      <c r="G287" s="358" t="s">
        <v>11</v>
      </c>
      <c r="H287" s="358" t="s">
        <v>11</v>
      </c>
    </row>
    <row r="288" spans="1:8" x14ac:dyDescent="0.3">
      <c r="A288" t="s">
        <v>16</v>
      </c>
      <c r="B288" t="s">
        <v>40</v>
      </c>
      <c r="C288" t="s">
        <v>1576</v>
      </c>
      <c r="D288">
        <v>1</v>
      </c>
      <c r="E288" s="358">
        <v>6</v>
      </c>
      <c r="F288" s="358" t="s">
        <v>75</v>
      </c>
      <c r="G288" s="358" t="s">
        <v>11</v>
      </c>
      <c r="H288" s="358" t="s">
        <v>11</v>
      </c>
    </row>
    <row r="289" spans="1:8" x14ac:dyDescent="0.3">
      <c r="A289" t="s">
        <v>16</v>
      </c>
      <c r="B289" t="s">
        <v>40</v>
      </c>
      <c r="C289" t="s">
        <v>1577</v>
      </c>
      <c r="D289">
        <v>1</v>
      </c>
      <c r="E289" s="358">
        <v>5</v>
      </c>
      <c r="F289" s="358" t="s">
        <v>75</v>
      </c>
      <c r="G289" s="358" t="s">
        <v>11</v>
      </c>
      <c r="H289" s="358" t="s">
        <v>11</v>
      </c>
    </row>
    <row r="290" spans="1:8" x14ac:dyDescent="0.3">
      <c r="A290" t="s">
        <v>16</v>
      </c>
      <c r="B290" t="s">
        <v>40</v>
      </c>
      <c r="C290" t="s">
        <v>1578</v>
      </c>
      <c r="D290">
        <v>1</v>
      </c>
      <c r="E290" s="358">
        <v>5</v>
      </c>
      <c r="F290" s="358" t="s">
        <v>75</v>
      </c>
      <c r="G290" s="358" t="s">
        <v>11</v>
      </c>
      <c r="H290" s="358" t="s">
        <v>11</v>
      </c>
    </row>
    <row r="291" spans="1:8" x14ac:dyDescent="0.3">
      <c r="A291" t="s">
        <v>16</v>
      </c>
      <c r="B291" t="s">
        <v>40</v>
      </c>
      <c r="C291" t="s">
        <v>1366</v>
      </c>
      <c r="D291">
        <v>1</v>
      </c>
      <c r="E291" s="358">
        <v>5</v>
      </c>
      <c r="F291" s="358" t="s">
        <v>75</v>
      </c>
      <c r="G291" s="358" t="s">
        <v>11</v>
      </c>
      <c r="H291" s="358" t="s">
        <v>11</v>
      </c>
    </row>
    <row r="292" spans="1:8" x14ac:dyDescent="0.3">
      <c r="A292" t="s">
        <v>16</v>
      </c>
      <c r="B292" t="s">
        <v>40</v>
      </c>
      <c r="C292" t="s">
        <v>1579</v>
      </c>
      <c r="D292">
        <v>1</v>
      </c>
      <c r="E292" s="358">
        <v>4</v>
      </c>
      <c r="F292" s="358" t="s">
        <v>75</v>
      </c>
      <c r="G292" s="358" t="s">
        <v>11</v>
      </c>
      <c r="H292" s="358" t="s">
        <v>11</v>
      </c>
    </row>
    <row r="293" spans="1:8" x14ac:dyDescent="0.3">
      <c r="A293" t="s">
        <v>16</v>
      </c>
      <c r="B293" t="s">
        <v>40</v>
      </c>
      <c r="C293" t="s">
        <v>1580</v>
      </c>
      <c r="D293">
        <v>1</v>
      </c>
      <c r="E293" s="358">
        <v>6</v>
      </c>
      <c r="F293" s="358" t="s">
        <v>75</v>
      </c>
      <c r="G293" s="358" t="s">
        <v>11</v>
      </c>
      <c r="H293" s="358" t="s">
        <v>11</v>
      </c>
    </row>
    <row r="294" spans="1:8" x14ac:dyDescent="0.3">
      <c r="A294" t="s">
        <v>16</v>
      </c>
      <c r="B294" t="s">
        <v>40</v>
      </c>
      <c r="C294" t="s">
        <v>1581</v>
      </c>
      <c r="D294">
        <v>1</v>
      </c>
      <c r="E294" s="358">
        <v>7</v>
      </c>
      <c r="F294" s="358" t="s">
        <v>11</v>
      </c>
      <c r="G294" s="358" t="s">
        <v>11</v>
      </c>
      <c r="H294" s="358" t="s">
        <v>11</v>
      </c>
    </row>
    <row r="295" spans="1:8" x14ac:dyDescent="0.3">
      <c r="A295" t="s">
        <v>16</v>
      </c>
      <c r="B295" t="s">
        <v>40</v>
      </c>
      <c r="C295" t="s">
        <v>1465</v>
      </c>
      <c r="D295">
        <v>1</v>
      </c>
      <c r="E295" s="358">
        <v>5</v>
      </c>
      <c r="F295" s="358" t="s">
        <v>75</v>
      </c>
      <c r="G295" s="358" t="s">
        <v>11</v>
      </c>
      <c r="H295" s="358" t="s">
        <v>11</v>
      </c>
    </row>
    <row r="296" spans="1:8" x14ac:dyDescent="0.3">
      <c r="A296" t="s">
        <v>16</v>
      </c>
      <c r="B296" t="s">
        <v>40</v>
      </c>
      <c r="C296" t="s">
        <v>1582</v>
      </c>
      <c r="D296">
        <v>1</v>
      </c>
      <c r="E296" s="358">
        <v>7</v>
      </c>
      <c r="F296" s="358" t="s">
        <v>11</v>
      </c>
      <c r="G296" s="358" t="s">
        <v>11</v>
      </c>
      <c r="H296" s="358" t="s">
        <v>11</v>
      </c>
    </row>
    <row r="297" spans="1:8" x14ac:dyDescent="0.3">
      <c r="A297" t="s">
        <v>16</v>
      </c>
      <c r="B297" t="s">
        <v>40</v>
      </c>
      <c r="C297" t="s">
        <v>1583</v>
      </c>
      <c r="D297">
        <v>1</v>
      </c>
      <c r="E297" s="358">
        <v>5</v>
      </c>
      <c r="F297" s="358" t="s">
        <v>75</v>
      </c>
      <c r="G297" s="358" t="s">
        <v>11</v>
      </c>
      <c r="H297" s="358" t="s">
        <v>11</v>
      </c>
    </row>
    <row r="298" spans="1:8" x14ac:dyDescent="0.3">
      <c r="A298" t="s">
        <v>16</v>
      </c>
      <c r="B298" t="s">
        <v>40</v>
      </c>
      <c r="C298" t="s">
        <v>1584</v>
      </c>
      <c r="D298">
        <v>1</v>
      </c>
      <c r="E298" s="358">
        <v>5</v>
      </c>
      <c r="F298" s="358" t="s">
        <v>75</v>
      </c>
      <c r="G298" s="358" t="s">
        <v>11</v>
      </c>
      <c r="H298" s="358" t="s">
        <v>11</v>
      </c>
    </row>
    <row r="299" spans="1:8" x14ac:dyDescent="0.3">
      <c r="A299" t="s">
        <v>16</v>
      </c>
      <c r="B299" t="s">
        <v>40</v>
      </c>
      <c r="C299" t="s">
        <v>1585</v>
      </c>
      <c r="D299">
        <v>1</v>
      </c>
      <c r="E299" s="358">
        <v>6</v>
      </c>
      <c r="F299" s="358" t="s">
        <v>75</v>
      </c>
      <c r="G299" s="358" t="s">
        <v>11</v>
      </c>
      <c r="H299" s="358" t="s">
        <v>11</v>
      </c>
    </row>
    <row r="300" spans="1:8" x14ac:dyDescent="0.3">
      <c r="A300" t="s">
        <v>16</v>
      </c>
      <c r="B300" t="s">
        <v>40</v>
      </c>
      <c r="C300" t="s">
        <v>1586</v>
      </c>
      <c r="D300">
        <v>2</v>
      </c>
      <c r="E300" s="358">
        <v>7</v>
      </c>
      <c r="F300" s="358" t="s">
        <v>11</v>
      </c>
      <c r="G300" s="358" t="s">
        <v>11</v>
      </c>
      <c r="H300" s="358" t="s">
        <v>11</v>
      </c>
    </row>
    <row r="301" spans="1:8" x14ac:dyDescent="0.3">
      <c r="A301" t="s">
        <v>16</v>
      </c>
      <c r="B301" t="s">
        <v>40</v>
      </c>
      <c r="C301" t="s">
        <v>1587</v>
      </c>
      <c r="D301">
        <v>2</v>
      </c>
      <c r="E301" s="358">
        <v>7</v>
      </c>
      <c r="F301" s="358" t="s">
        <v>11</v>
      </c>
      <c r="G301" s="358" t="s">
        <v>11</v>
      </c>
      <c r="H301" s="358" t="s">
        <v>11</v>
      </c>
    </row>
    <row r="302" spans="1:8" x14ac:dyDescent="0.3">
      <c r="A302" t="s">
        <v>16</v>
      </c>
      <c r="B302" t="s">
        <v>40</v>
      </c>
      <c r="C302" t="s">
        <v>1588</v>
      </c>
      <c r="D302">
        <v>2</v>
      </c>
      <c r="E302" s="358">
        <v>6</v>
      </c>
      <c r="F302" s="358" t="s">
        <v>75</v>
      </c>
      <c r="G302" s="358" t="s">
        <v>11</v>
      </c>
      <c r="H302" s="358" t="s">
        <v>11</v>
      </c>
    </row>
    <row r="303" spans="1:8" x14ac:dyDescent="0.3">
      <c r="A303" t="s">
        <v>16</v>
      </c>
      <c r="B303" t="s">
        <v>40</v>
      </c>
      <c r="C303" t="s">
        <v>1589</v>
      </c>
      <c r="D303">
        <v>2</v>
      </c>
      <c r="E303" s="358">
        <v>7</v>
      </c>
      <c r="F303" s="358" t="s">
        <v>11</v>
      </c>
      <c r="G303" s="358" t="s">
        <v>11</v>
      </c>
      <c r="H303" s="358" t="s">
        <v>11</v>
      </c>
    </row>
    <row r="304" spans="1:8" x14ac:dyDescent="0.3">
      <c r="A304" t="s">
        <v>16</v>
      </c>
      <c r="B304" t="s">
        <v>40</v>
      </c>
      <c r="C304" t="s">
        <v>1590</v>
      </c>
      <c r="D304">
        <v>1</v>
      </c>
      <c r="E304" s="358">
        <v>6</v>
      </c>
      <c r="F304" s="358" t="s">
        <v>75</v>
      </c>
      <c r="G304" s="358" t="s">
        <v>11</v>
      </c>
      <c r="H304" s="358" t="s">
        <v>11</v>
      </c>
    </row>
    <row r="305" spans="1:8" x14ac:dyDescent="0.3">
      <c r="A305" t="s">
        <v>16</v>
      </c>
      <c r="B305" t="s">
        <v>40</v>
      </c>
      <c r="C305" t="s">
        <v>1591</v>
      </c>
      <c r="D305">
        <v>1</v>
      </c>
      <c r="E305" s="358">
        <v>5</v>
      </c>
      <c r="F305" s="358" t="s">
        <v>75</v>
      </c>
      <c r="G305" s="358" t="s">
        <v>11</v>
      </c>
      <c r="H305" s="358" t="s">
        <v>11</v>
      </c>
    </row>
    <row r="306" spans="1:8" x14ac:dyDescent="0.3">
      <c r="A306" t="s">
        <v>16</v>
      </c>
      <c r="B306" t="s">
        <v>40</v>
      </c>
      <c r="C306" t="s">
        <v>1592</v>
      </c>
      <c r="D306">
        <v>1</v>
      </c>
      <c r="E306" s="358">
        <v>7</v>
      </c>
      <c r="F306" s="358" t="s">
        <v>11</v>
      </c>
      <c r="G306" s="358" t="s">
        <v>11</v>
      </c>
      <c r="H306" s="358" t="s">
        <v>11</v>
      </c>
    </row>
    <row r="307" spans="1:8" x14ac:dyDescent="0.3">
      <c r="A307" t="s">
        <v>16</v>
      </c>
      <c r="B307" t="s">
        <v>40</v>
      </c>
      <c r="C307" t="s">
        <v>1593</v>
      </c>
      <c r="D307">
        <v>1</v>
      </c>
      <c r="E307" s="358">
        <v>5</v>
      </c>
      <c r="F307" s="358" t="s">
        <v>75</v>
      </c>
      <c r="G307" s="358" t="s">
        <v>11</v>
      </c>
      <c r="H307" s="358" t="s">
        <v>11</v>
      </c>
    </row>
    <row r="308" spans="1:8" x14ac:dyDescent="0.3">
      <c r="A308" t="s">
        <v>16</v>
      </c>
      <c r="B308" t="s">
        <v>40</v>
      </c>
      <c r="C308" t="s">
        <v>1379</v>
      </c>
      <c r="D308">
        <v>1</v>
      </c>
      <c r="E308" s="358">
        <v>5</v>
      </c>
      <c r="F308" s="358" t="s">
        <v>75</v>
      </c>
      <c r="G308" s="358" t="s">
        <v>11</v>
      </c>
      <c r="H308" s="358" t="s">
        <v>11</v>
      </c>
    </row>
    <row r="309" spans="1:8" x14ac:dyDescent="0.3">
      <c r="A309" t="s">
        <v>16</v>
      </c>
      <c r="B309" t="s">
        <v>40</v>
      </c>
      <c r="C309" t="s">
        <v>1594</v>
      </c>
      <c r="D309">
        <v>1</v>
      </c>
      <c r="E309" s="358">
        <v>5</v>
      </c>
      <c r="F309" s="358" t="s">
        <v>75</v>
      </c>
      <c r="G309" s="358" t="s">
        <v>11</v>
      </c>
      <c r="H309" s="358" t="s">
        <v>11</v>
      </c>
    </row>
    <row r="310" spans="1:8" x14ac:dyDescent="0.3">
      <c r="A310" t="s">
        <v>16</v>
      </c>
      <c r="B310" t="s">
        <v>40</v>
      </c>
      <c r="C310" t="s">
        <v>1426</v>
      </c>
      <c r="D310">
        <v>1</v>
      </c>
      <c r="E310" s="358">
        <v>5</v>
      </c>
      <c r="F310" s="358" t="s">
        <v>75</v>
      </c>
      <c r="G310" s="358" t="s">
        <v>11</v>
      </c>
      <c r="H310" s="358" t="s">
        <v>11</v>
      </c>
    </row>
    <row r="311" spans="1:8" x14ac:dyDescent="0.3">
      <c r="A311" t="s">
        <v>17</v>
      </c>
      <c r="B311" t="s">
        <v>87</v>
      </c>
      <c r="C311" t="s">
        <v>1595</v>
      </c>
      <c r="D311">
        <v>1</v>
      </c>
      <c r="E311" s="358">
        <v>5</v>
      </c>
      <c r="F311" s="358" t="s">
        <v>7</v>
      </c>
      <c r="G311" s="358" t="s">
        <v>11</v>
      </c>
      <c r="H311" s="358" t="s">
        <v>11</v>
      </c>
    </row>
    <row r="312" spans="1:8" x14ac:dyDescent="0.3">
      <c r="A312" t="s">
        <v>17</v>
      </c>
      <c r="B312" t="s">
        <v>87</v>
      </c>
      <c r="C312" t="s">
        <v>1596</v>
      </c>
      <c r="D312">
        <v>3</v>
      </c>
      <c r="E312" s="358">
        <v>5</v>
      </c>
      <c r="F312" s="358" t="s">
        <v>7</v>
      </c>
      <c r="G312" s="358" t="s">
        <v>11</v>
      </c>
      <c r="H312" s="358" t="s">
        <v>11</v>
      </c>
    </row>
    <row r="313" spans="1:8" x14ac:dyDescent="0.3">
      <c r="A313" t="s">
        <v>17</v>
      </c>
      <c r="B313" t="s">
        <v>87</v>
      </c>
      <c r="C313" t="s">
        <v>1597</v>
      </c>
      <c r="D313">
        <v>2</v>
      </c>
      <c r="E313" s="358">
        <v>5</v>
      </c>
      <c r="F313" s="358" t="s">
        <v>7</v>
      </c>
      <c r="G313" s="358" t="s">
        <v>11</v>
      </c>
      <c r="H313" s="358" t="s">
        <v>11</v>
      </c>
    </row>
    <row r="314" spans="1:8" x14ac:dyDescent="0.3">
      <c r="A314" t="s">
        <v>17</v>
      </c>
      <c r="B314" t="s">
        <v>87</v>
      </c>
      <c r="C314" t="s">
        <v>1598</v>
      </c>
      <c r="D314">
        <v>1</v>
      </c>
      <c r="E314" s="358">
        <v>5</v>
      </c>
      <c r="F314" s="358" t="s">
        <v>7</v>
      </c>
      <c r="G314" s="358" t="s">
        <v>11</v>
      </c>
      <c r="H314" s="358" t="s">
        <v>11</v>
      </c>
    </row>
    <row r="315" spans="1:8" x14ac:dyDescent="0.3">
      <c r="A315" t="s">
        <v>17</v>
      </c>
      <c r="B315" t="s">
        <v>87</v>
      </c>
      <c r="C315" t="s">
        <v>1599</v>
      </c>
      <c r="D315">
        <v>1</v>
      </c>
      <c r="E315" s="358">
        <v>5</v>
      </c>
      <c r="F315" s="358" t="s">
        <v>7</v>
      </c>
      <c r="G315" s="358" t="s">
        <v>11</v>
      </c>
      <c r="H315" s="358" t="s">
        <v>11</v>
      </c>
    </row>
    <row r="316" spans="1:8" x14ac:dyDescent="0.3">
      <c r="A316" t="s">
        <v>17</v>
      </c>
      <c r="B316" t="s">
        <v>87</v>
      </c>
      <c r="C316" t="s">
        <v>1600</v>
      </c>
      <c r="D316">
        <v>1</v>
      </c>
      <c r="E316" s="358">
        <v>5</v>
      </c>
      <c r="F316" s="358" t="s">
        <v>7</v>
      </c>
      <c r="G316" s="358" t="s">
        <v>11</v>
      </c>
      <c r="H316" s="358" t="s">
        <v>11</v>
      </c>
    </row>
    <row r="317" spans="1:8" x14ac:dyDescent="0.3">
      <c r="A317" t="s">
        <v>17</v>
      </c>
      <c r="B317" t="s">
        <v>87</v>
      </c>
      <c r="C317" t="s">
        <v>1601</v>
      </c>
      <c r="D317">
        <v>2</v>
      </c>
      <c r="E317" s="358">
        <v>5</v>
      </c>
      <c r="F317" s="358" t="s">
        <v>7</v>
      </c>
      <c r="G317" s="358" t="s">
        <v>11</v>
      </c>
      <c r="H317" s="358" t="s">
        <v>11</v>
      </c>
    </row>
    <row r="318" spans="1:8" x14ac:dyDescent="0.3">
      <c r="A318" t="s">
        <v>17</v>
      </c>
      <c r="B318" t="s">
        <v>87</v>
      </c>
      <c r="C318" t="s">
        <v>1602</v>
      </c>
      <c r="D318">
        <v>2</v>
      </c>
      <c r="E318" s="358">
        <v>5</v>
      </c>
      <c r="F318" s="358" t="s">
        <v>7</v>
      </c>
      <c r="G318" s="358" t="s">
        <v>11</v>
      </c>
      <c r="H318" s="358" t="s">
        <v>11</v>
      </c>
    </row>
    <row r="319" spans="1:8" x14ac:dyDescent="0.3">
      <c r="A319" t="s">
        <v>19</v>
      </c>
      <c r="B319" t="s">
        <v>106</v>
      </c>
      <c r="C319" t="s">
        <v>1603</v>
      </c>
      <c r="D319">
        <v>3</v>
      </c>
      <c r="E319" s="358">
        <v>4</v>
      </c>
      <c r="F319" s="358" t="s">
        <v>7</v>
      </c>
      <c r="G319" s="358" t="s">
        <v>11</v>
      </c>
      <c r="H319" s="358" t="s">
        <v>11</v>
      </c>
    </row>
    <row r="320" spans="1:8" x14ac:dyDescent="0.3">
      <c r="A320" t="s">
        <v>19</v>
      </c>
      <c r="B320" t="s">
        <v>106</v>
      </c>
      <c r="C320" t="s">
        <v>1604</v>
      </c>
      <c r="D320">
        <v>2</v>
      </c>
      <c r="E320" s="358">
        <v>4</v>
      </c>
      <c r="F320" s="358" t="s">
        <v>7</v>
      </c>
      <c r="G320" s="358" t="s">
        <v>11</v>
      </c>
      <c r="H320" s="358" t="s">
        <v>11</v>
      </c>
    </row>
    <row r="321" spans="1:8" x14ac:dyDescent="0.3">
      <c r="A321" t="s">
        <v>19</v>
      </c>
      <c r="B321" t="s">
        <v>106</v>
      </c>
      <c r="C321" t="s">
        <v>1605</v>
      </c>
      <c r="D321">
        <v>3</v>
      </c>
      <c r="E321" s="358">
        <v>4</v>
      </c>
      <c r="F321" s="358" t="s">
        <v>7</v>
      </c>
      <c r="G321" s="358" t="s">
        <v>11</v>
      </c>
      <c r="H321" s="358" t="s">
        <v>11</v>
      </c>
    </row>
    <row r="322" spans="1:8" x14ac:dyDescent="0.3">
      <c r="A322" t="s">
        <v>18</v>
      </c>
      <c r="B322" t="s">
        <v>107</v>
      </c>
      <c r="C322" t="s">
        <v>1606</v>
      </c>
      <c r="D322">
        <v>3</v>
      </c>
      <c r="E322" s="358">
        <v>4</v>
      </c>
      <c r="F322" s="358" t="s">
        <v>7</v>
      </c>
      <c r="G322" s="358" t="s">
        <v>11</v>
      </c>
      <c r="H322" s="358" t="s">
        <v>11</v>
      </c>
    </row>
    <row r="323" spans="1:8" x14ac:dyDescent="0.3">
      <c r="A323" t="s">
        <v>20</v>
      </c>
      <c r="B323" t="s">
        <v>119</v>
      </c>
      <c r="C323" t="s">
        <v>1607</v>
      </c>
      <c r="D323">
        <v>2</v>
      </c>
      <c r="E323" s="358">
        <v>2</v>
      </c>
      <c r="F323" s="358" t="s">
        <v>7</v>
      </c>
      <c r="G323" s="358" t="s">
        <v>115</v>
      </c>
      <c r="H323" s="358" t="s">
        <v>11</v>
      </c>
    </row>
    <row r="324" spans="1:8" x14ac:dyDescent="0.3">
      <c r="A324" t="s">
        <v>20</v>
      </c>
      <c r="B324" t="s">
        <v>119</v>
      </c>
      <c r="C324" t="s">
        <v>1608</v>
      </c>
      <c r="D324">
        <v>3</v>
      </c>
      <c r="E324" s="358">
        <v>2</v>
      </c>
      <c r="F324" s="358" t="s">
        <v>7</v>
      </c>
      <c r="G324" s="358" t="s">
        <v>115</v>
      </c>
      <c r="H324" s="358" t="s">
        <v>11</v>
      </c>
    </row>
    <row r="325" spans="1:8" x14ac:dyDescent="0.3">
      <c r="A325" t="s">
        <v>20</v>
      </c>
      <c r="B325" t="s">
        <v>119</v>
      </c>
      <c r="C325" t="s">
        <v>1609</v>
      </c>
      <c r="D325">
        <v>3</v>
      </c>
      <c r="E325" s="358">
        <v>2</v>
      </c>
      <c r="F325" s="358" t="s">
        <v>7</v>
      </c>
      <c r="G325" s="358" t="s">
        <v>115</v>
      </c>
      <c r="H325" s="358" t="s">
        <v>11</v>
      </c>
    </row>
    <row r="326" spans="1:8" x14ac:dyDescent="0.3">
      <c r="A326" t="s">
        <v>20</v>
      </c>
      <c r="B326" t="s">
        <v>119</v>
      </c>
      <c r="C326" t="s">
        <v>1610</v>
      </c>
      <c r="D326">
        <v>3</v>
      </c>
      <c r="E326" s="358">
        <v>2</v>
      </c>
      <c r="F326" s="358" t="s">
        <v>7</v>
      </c>
      <c r="G326" s="358" t="s">
        <v>115</v>
      </c>
      <c r="H326" s="358" t="s">
        <v>11</v>
      </c>
    </row>
    <row r="327" spans="1:8" x14ac:dyDescent="0.3">
      <c r="A327" t="s">
        <v>20</v>
      </c>
      <c r="B327" t="s">
        <v>119</v>
      </c>
      <c r="C327" t="s">
        <v>1611</v>
      </c>
      <c r="D327">
        <v>3</v>
      </c>
      <c r="E327" s="358">
        <v>2</v>
      </c>
      <c r="F327" s="358" t="s">
        <v>7</v>
      </c>
      <c r="G327" s="358" t="s">
        <v>115</v>
      </c>
      <c r="H327" s="358" t="s">
        <v>11</v>
      </c>
    </row>
    <row r="328" spans="1:8" x14ac:dyDescent="0.3">
      <c r="A328" t="s">
        <v>20</v>
      </c>
      <c r="B328" t="s">
        <v>119</v>
      </c>
      <c r="C328" t="s">
        <v>1612</v>
      </c>
      <c r="D328">
        <v>3</v>
      </c>
      <c r="E328" s="358">
        <v>1</v>
      </c>
      <c r="F328" s="358" t="s">
        <v>7</v>
      </c>
      <c r="G328" s="358" t="s">
        <v>115</v>
      </c>
      <c r="H328" s="358" t="s">
        <v>11</v>
      </c>
    </row>
    <row r="329" spans="1:8" x14ac:dyDescent="0.3">
      <c r="A329" t="s">
        <v>20</v>
      </c>
      <c r="B329" t="s">
        <v>119</v>
      </c>
      <c r="C329" t="s">
        <v>1322</v>
      </c>
      <c r="D329">
        <v>3</v>
      </c>
      <c r="E329" s="358">
        <v>2</v>
      </c>
      <c r="F329" s="358" t="s">
        <v>7</v>
      </c>
      <c r="G329" s="358" t="s">
        <v>115</v>
      </c>
      <c r="H329" s="358" t="s">
        <v>11</v>
      </c>
    </row>
    <row r="330" spans="1:8" x14ac:dyDescent="0.3">
      <c r="A330" t="s">
        <v>20</v>
      </c>
      <c r="B330" t="s">
        <v>119</v>
      </c>
      <c r="C330" t="s">
        <v>1613</v>
      </c>
      <c r="D330">
        <v>3</v>
      </c>
      <c r="E330" s="358">
        <v>2</v>
      </c>
      <c r="F330" s="358" t="s">
        <v>7</v>
      </c>
      <c r="G330" s="358" t="s">
        <v>115</v>
      </c>
      <c r="H330" s="358" t="s">
        <v>11</v>
      </c>
    </row>
    <row r="331" spans="1:8" x14ac:dyDescent="0.3">
      <c r="A331" t="s">
        <v>20</v>
      </c>
      <c r="B331" t="s">
        <v>119</v>
      </c>
      <c r="C331" t="s">
        <v>1614</v>
      </c>
      <c r="D331">
        <v>2</v>
      </c>
      <c r="E331" s="358">
        <v>2</v>
      </c>
      <c r="F331" s="358" t="s">
        <v>7</v>
      </c>
      <c r="G331" s="358" t="s">
        <v>115</v>
      </c>
      <c r="H331" s="358" t="s">
        <v>11</v>
      </c>
    </row>
    <row r="332" spans="1:8" x14ac:dyDescent="0.3">
      <c r="A332" t="s">
        <v>20</v>
      </c>
      <c r="B332" t="s">
        <v>119</v>
      </c>
      <c r="C332" t="s">
        <v>1328</v>
      </c>
      <c r="D332">
        <v>3</v>
      </c>
      <c r="E332" s="358">
        <v>2</v>
      </c>
      <c r="F332" s="358" t="s">
        <v>7</v>
      </c>
      <c r="G332" s="358" t="s">
        <v>115</v>
      </c>
      <c r="H332" s="358" t="s">
        <v>11</v>
      </c>
    </row>
    <row r="333" spans="1:8" x14ac:dyDescent="0.3">
      <c r="A333" t="s">
        <v>20</v>
      </c>
      <c r="B333" t="s">
        <v>119</v>
      </c>
      <c r="C333" t="s">
        <v>1615</v>
      </c>
      <c r="D333">
        <v>3</v>
      </c>
      <c r="E333" s="358">
        <v>2</v>
      </c>
      <c r="F333" s="358" t="s">
        <v>7</v>
      </c>
      <c r="G333" s="358" t="s">
        <v>115</v>
      </c>
      <c r="H333" s="358" t="s">
        <v>11</v>
      </c>
    </row>
    <row r="334" spans="1:8" x14ac:dyDescent="0.3">
      <c r="A334" t="s">
        <v>20</v>
      </c>
      <c r="B334" t="s">
        <v>119</v>
      </c>
      <c r="C334" t="s">
        <v>1437</v>
      </c>
      <c r="D334">
        <v>2</v>
      </c>
      <c r="E334" s="358">
        <v>2</v>
      </c>
      <c r="F334" s="358" t="s">
        <v>7</v>
      </c>
      <c r="G334" s="358" t="s">
        <v>115</v>
      </c>
      <c r="H334" s="358" t="s">
        <v>11</v>
      </c>
    </row>
    <row r="335" spans="1:8" x14ac:dyDescent="0.3">
      <c r="A335" t="s">
        <v>20</v>
      </c>
      <c r="B335" t="s">
        <v>119</v>
      </c>
      <c r="C335" t="s">
        <v>1616</v>
      </c>
      <c r="D335">
        <v>3</v>
      </c>
      <c r="E335" s="358">
        <v>2</v>
      </c>
      <c r="F335" s="358" t="s">
        <v>7</v>
      </c>
      <c r="G335" s="358" t="s">
        <v>115</v>
      </c>
      <c r="H335" s="358" t="s">
        <v>11</v>
      </c>
    </row>
    <row r="336" spans="1:8" x14ac:dyDescent="0.3">
      <c r="A336" t="s">
        <v>20</v>
      </c>
      <c r="B336" t="s">
        <v>119</v>
      </c>
      <c r="C336" t="s">
        <v>1617</v>
      </c>
      <c r="D336">
        <v>3</v>
      </c>
      <c r="E336" s="358">
        <v>2</v>
      </c>
      <c r="F336" s="358" t="s">
        <v>7</v>
      </c>
      <c r="G336" s="358" t="s">
        <v>115</v>
      </c>
      <c r="H336" s="358" t="s">
        <v>11</v>
      </c>
    </row>
    <row r="337" spans="1:8" x14ac:dyDescent="0.3">
      <c r="A337" t="s">
        <v>20</v>
      </c>
      <c r="B337" t="s">
        <v>119</v>
      </c>
      <c r="C337" t="s">
        <v>1618</v>
      </c>
      <c r="D337">
        <v>3</v>
      </c>
      <c r="E337" s="358">
        <v>2</v>
      </c>
      <c r="F337" s="358" t="s">
        <v>7</v>
      </c>
      <c r="G337" s="358" t="s">
        <v>115</v>
      </c>
      <c r="H337" s="358" t="s">
        <v>11</v>
      </c>
    </row>
    <row r="338" spans="1:8" x14ac:dyDescent="0.3">
      <c r="A338" t="s">
        <v>20</v>
      </c>
      <c r="B338" t="s">
        <v>119</v>
      </c>
      <c r="C338" t="s">
        <v>1341</v>
      </c>
      <c r="D338">
        <v>3</v>
      </c>
      <c r="E338" s="358">
        <v>2</v>
      </c>
      <c r="F338" s="358" t="s">
        <v>7</v>
      </c>
      <c r="G338" s="358" t="s">
        <v>115</v>
      </c>
      <c r="H338" s="358" t="s">
        <v>11</v>
      </c>
    </row>
    <row r="339" spans="1:8" x14ac:dyDescent="0.3">
      <c r="A339" t="s">
        <v>20</v>
      </c>
      <c r="B339" t="s">
        <v>119</v>
      </c>
      <c r="C339" t="s">
        <v>1619</v>
      </c>
      <c r="D339">
        <v>3</v>
      </c>
      <c r="E339" s="358">
        <v>2</v>
      </c>
      <c r="F339" s="358" t="s">
        <v>7</v>
      </c>
      <c r="G339" s="358" t="s">
        <v>115</v>
      </c>
      <c r="H339" s="358" t="s">
        <v>11</v>
      </c>
    </row>
    <row r="340" spans="1:8" x14ac:dyDescent="0.3">
      <c r="A340" t="s">
        <v>20</v>
      </c>
      <c r="B340" t="s">
        <v>119</v>
      </c>
      <c r="C340" t="s">
        <v>1344</v>
      </c>
      <c r="D340">
        <v>3</v>
      </c>
      <c r="E340" s="358">
        <v>2</v>
      </c>
      <c r="F340" s="358" t="s">
        <v>7</v>
      </c>
      <c r="G340" s="358" t="s">
        <v>115</v>
      </c>
      <c r="H340" s="358" t="s">
        <v>11</v>
      </c>
    </row>
    <row r="341" spans="1:8" x14ac:dyDescent="0.3">
      <c r="A341" t="s">
        <v>20</v>
      </c>
      <c r="B341" t="s">
        <v>119</v>
      </c>
      <c r="C341" t="s">
        <v>1620</v>
      </c>
      <c r="D341">
        <v>3</v>
      </c>
      <c r="E341" s="358">
        <v>2</v>
      </c>
      <c r="F341" s="358" t="s">
        <v>7</v>
      </c>
      <c r="G341" s="358" t="s">
        <v>115</v>
      </c>
      <c r="H341" s="358" t="s">
        <v>11</v>
      </c>
    </row>
    <row r="342" spans="1:8" x14ac:dyDescent="0.3">
      <c r="A342" t="s">
        <v>20</v>
      </c>
      <c r="B342" t="s">
        <v>119</v>
      </c>
      <c r="C342" t="s">
        <v>1621</v>
      </c>
      <c r="D342">
        <v>3</v>
      </c>
      <c r="E342" s="358">
        <v>2</v>
      </c>
      <c r="F342" s="358" t="s">
        <v>7</v>
      </c>
      <c r="G342" s="358" t="s">
        <v>115</v>
      </c>
      <c r="H342" s="358" t="s">
        <v>11</v>
      </c>
    </row>
    <row r="343" spans="1:8" x14ac:dyDescent="0.3">
      <c r="A343" t="s">
        <v>20</v>
      </c>
      <c r="B343" t="s">
        <v>119</v>
      </c>
      <c r="C343" t="s">
        <v>1622</v>
      </c>
      <c r="D343">
        <v>3</v>
      </c>
      <c r="E343" s="358">
        <v>2</v>
      </c>
      <c r="F343" s="358" t="s">
        <v>7</v>
      </c>
      <c r="G343" s="358" t="s">
        <v>115</v>
      </c>
      <c r="H343" s="358" t="s">
        <v>11</v>
      </c>
    </row>
    <row r="344" spans="1:8" x14ac:dyDescent="0.3">
      <c r="A344" t="s">
        <v>20</v>
      </c>
      <c r="B344" t="s">
        <v>119</v>
      </c>
      <c r="C344" t="s">
        <v>1623</v>
      </c>
      <c r="D344">
        <v>3</v>
      </c>
      <c r="E344" s="358">
        <v>2</v>
      </c>
      <c r="F344" s="358" t="s">
        <v>7</v>
      </c>
      <c r="G344" s="358" t="s">
        <v>115</v>
      </c>
      <c r="H344" s="358" t="s">
        <v>11</v>
      </c>
    </row>
    <row r="345" spans="1:8" x14ac:dyDescent="0.3">
      <c r="A345" t="s">
        <v>20</v>
      </c>
      <c r="B345" t="s">
        <v>119</v>
      </c>
      <c r="C345" t="s">
        <v>1624</v>
      </c>
      <c r="D345">
        <v>3</v>
      </c>
      <c r="E345" s="358">
        <v>2</v>
      </c>
      <c r="F345" s="358" t="s">
        <v>7</v>
      </c>
      <c r="G345" s="358" t="s">
        <v>115</v>
      </c>
      <c r="H345" s="358" t="s">
        <v>11</v>
      </c>
    </row>
    <row r="346" spans="1:8" x14ac:dyDescent="0.3">
      <c r="A346" t="s">
        <v>20</v>
      </c>
      <c r="B346" t="s">
        <v>119</v>
      </c>
      <c r="C346" t="s">
        <v>1625</v>
      </c>
      <c r="D346">
        <v>3</v>
      </c>
      <c r="E346" s="358">
        <v>2</v>
      </c>
      <c r="F346" s="358" t="s">
        <v>7</v>
      </c>
      <c r="G346" s="358" t="s">
        <v>115</v>
      </c>
      <c r="H346" s="358" t="s">
        <v>11</v>
      </c>
    </row>
    <row r="347" spans="1:8" x14ac:dyDescent="0.3">
      <c r="A347" t="s">
        <v>20</v>
      </c>
      <c r="B347" t="s">
        <v>119</v>
      </c>
      <c r="C347" t="s">
        <v>1626</v>
      </c>
      <c r="D347">
        <v>3</v>
      </c>
      <c r="E347" s="358">
        <v>2</v>
      </c>
      <c r="F347" s="358" t="s">
        <v>7</v>
      </c>
      <c r="G347" s="358" t="s">
        <v>115</v>
      </c>
      <c r="H347" s="358" t="s">
        <v>11</v>
      </c>
    </row>
    <row r="348" spans="1:8" x14ac:dyDescent="0.3">
      <c r="A348" t="s">
        <v>20</v>
      </c>
      <c r="B348" t="s">
        <v>119</v>
      </c>
      <c r="C348" t="s">
        <v>1627</v>
      </c>
      <c r="D348">
        <v>3</v>
      </c>
      <c r="E348" s="358">
        <v>2</v>
      </c>
      <c r="F348" s="358" t="s">
        <v>7</v>
      </c>
      <c r="G348" s="358" t="s">
        <v>115</v>
      </c>
      <c r="H348" s="358" t="s">
        <v>11</v>
      </c>
    </row>
    <row r="349" spans="1:8" x14ac:dyDescent="0.3">
      <c r="A349" t="s">
        <v>20</v>
      </c>
      <c r="B349" t="s">
        <v>119</v>
      </c>
      <c r="C349" t="s">
        <v>1628</v>
      </c>
      <c r="D349">
        <v>3</v>
      </c>
      <c r="E349" s="358">
        <v>2</v>
      </c>
      <c r="F349" s="358" t="s">
        <v>7</v>
      </c>
      <c r="G349" s="358" t="s">
        <v>115</v>
      </c>
      <c r="H349" s="358" t="s">
        <v>11</v>
      </c>
    </row>
    <row r="350" spans="1:8" x14ac:dyDescent="0.3">
      <c r="A350" t="s">
        <v>20</v>
      </c>
      <c r="B350" t="s">
        <v>119</v>
      </c>
      <c r="C350" t="s">
        <v>1629</v>
      </c>
      <c r="D350">
        <v>2</v>
      </c>
      <c r="E350" s="358">
        <v>2</v>
      </c>
      <c r="F350" s="358" t="s">
        <v>7</v>
      </c>
      <c r="G350" s="358" t="s">
        <v>115</v>
      </c>
      <c r="H350" s="358" t="s">
        <v>11</v>
      </c>
    </row>
    <row r="351" spans="1:8" x14ac:dyDescent="0.3">
      <c r="A351" t="s">
        <v>20</v>
      </c>
      <c r="B351" t="s">
        <v>119</v>
      </c>
      <c r="C351" t="s">
        <v>1630</v>
      </c>
      <c r="D351">
        <v>3</v>
      </c>
      <c r="E351" s="358">
        <v>2</v>
      </c>
      <c r="F351" s="358" t="s">
        <v>7</v>
      </c>
      <c r="G351" s="358" t="s">
        <v>115</v>
      </c>
      <c r="H351" s="358" t="s">
        <v>11</v>
      </c>
    </row>
    <row r="352" spans="1:8" x14ac:dyDescent="0.3">
      <c r="A352" t="s">
        <v>20</v>
      </c>
      <c r="B352" t="s">
        <v>119</v>
      </c>
      <c r="C352" t="s">
        <v>1631</v>
      </c>
      <c r="D352">
        <v>3</v>
      </c>
      <c r="E352" s="358">
        <v>2</v>
      </c>
      <c r="F352" s="358" t="s">
        <v>7</v>
      </c>
      <c r="G352" s="358" t="s">
        <v>115</v>
      </c>
      <c r="H352" s="358" t="s">
        <v>11</v>
      </c>
    </row>
    <row r="353" spans="1:8" x14ac:dyDescent="0.3">
      <c r="A353" t="s">
        <v>20</v>
      </c>
      <c r="B353" t="s">
        <v>119</v>
      </c>
      <c r="C353" t="s">
        <v>1350</v>
      </c>
      <c r="D353">
        <v>3</v>
      </c>
      <c r="E353" s="358">
        <v>2</v>
      </c>
      <c r="F353" s="358" t="s">
        <v>7</v>
      </c>
      <c r="G353" s="358" t="s">
        <v>115</v>
      </c>
      <c r="H353" s="358" t="s">
        <v>11</v>
      </c>
    </row>
    <row r="354" spans="1:8" x14ac:dyDescent="0.3">
      <c r="A354" t="s">
        <v>20</v>
      </c>
      <c r="B354" t="s">
        <v>119</v>
      </c>
      <c r="C354" t="s">
        <v>1351</v>
      </c>
      <c r="D354">
        <v>3</v>
      </c>
      <c r="E354" s="358">
        <v>2</v>
      </c>
      <c r="F354" s="358" t="s">
        <v>7</v>
      </c>
      <c r="G354" s="358" t="s">
        <v>115</v>
      </c>
      <c r="H354" s="358" t="s">
        <v>11</v>
      </c>
    </row>
    <row r="355" spans="1:8" x14ac:dyDescent="0.3">
      <c r="A355" t="s">
        <v>20</v>
      </c>
      <c r="B355" t="s">
        <v>119</v>
      </c>
      <c r="C355" t="s">
        <v>1455</v>
      </c>
      <c r="D355">
        <v>3</v>
      </c>
      <c r="E355" s="358">
        <v>2</v>
      </c>
      <c r="F355" s="358" t="s">
        <v>7</v>
      </c>
      <c r="G355" s="358" t="s">
        <v>115</v>
      </c>
      <c r="H355" s="358" t="s">
        <v>11</v>
      </c>
    </row>
    <row r="356" spans="1:8" x14ac:dyDescent="0.3">
      <c r="A356" t="s">
        <v>20</v>
      </c>
      <c r="B356" t="s">
        <v>119</v>
      </c>
      <c r="C356" t="s">
        <v>1500</v>
      </c>
      <c r="D356">
        <v>3</v>
      </c>
      <c r="E356" s="358">
        <v>2</v>
      </c>
      <c r="F356" s="358" t="s">
        <v>7</v>
      </c>
      <c r="G356" s="358" t="s">
        <v>115</v>
      </c>
      <c r="H356" s="358" t="s">
        <v>11</v>
      </c>
    </row>
    <row r="357" spans="1:8" x14ac:dyDescent="0.3">
      <c r="A357" t="s">
        <v>20</v>
      </c>
      <c r="B357" t="s">
        <v>119</v>
      </c>
      <c r="C357" t="s">
        <v>1355</v>
      </c>
      <c r="D357">
        <v>3</v>
      </c>
      <c r="E357" s="358">
        <v>2</v>
      </c>
      <c r="F357" s="358" t="s">
        <v>7</v>
      </c>
      <c r="G357" s="358" t="s">
        <v>115</v>
      </c>
      <c r="H357" s="358" t="s">
        <v>11</v>
      </c>
    </row>
    <row r="358" spans="1:8" x14ac:dyDescent="0.3">
      <c r="A358" t="s">
        <v>20</v>
      </c>
      <c r="B358" t="s">
        <v>119</v>
      </c>
      <c r="C358" t="s">
        <v>1632</v>
      </c>
      <c r="D358">
        <v>2</v>
      </c>
      <c r="E358" s="358">
        <v>2</v>
      </c>
      <c r="F358" s="358" t="s">
        <v>7</v>
      </c>
      <c r="G358" s="358" t="s">
        <v>115</v>
      </c>
      <c r="H358" s="358" t="s">
        <v>11</v>
      </c>
    </row>
    <row r="359" spans="1:8" x14ac:dyDescent="0.3">
      <c r="A359" t="s">
        <v>20</v>
      </c>
      <c r="B359" t="s">
        <v>119</v>
      </c>
      <c r="C359" t="s">
        <v>1633</v>
      </c>
      <c r="D359">
        <v>3</v>
      </c>
      <c r="E359" s="358">
        <v>2</v>
      </c>
      <c r="F359" s="358" t="s">
        <v>7</v>
      </c>
      <c r="G359" s="358" t="s">
        <v>115</v>
      </c>
      <c r="H359" s="358" t="s">
        <v>11</v>
      </c>
    </row>
    <row r="360" spans="1:8" x14ac:dyDescent="0.3">
      <c r="A360" t="s">
        <v>20</v>
      </c>
      <c r="B360" t="s">
        <v>119</v>
      </c>
      <c r="C360" t="s">
        <v>1634</v>
      </c>
      <c r="D360">
        <v>3</v>
      </c>
      <c r="E360" s="358">
        <v>2</v>
      </c>
      <c r="F360" s="358" t="s">
        <v>7</v>
      </c>
      <c r="G360" s="358" t="s">
        <v>115</v>
      </c>
      <c r="H360" s="358" t="s">
        <v>11</v>
      </c>
    </row>
    <row r="361" spans="1:8" x14ac:dyDescent="0.3">
      <c r="A361" t="s">
        <v>20</v>
      </c>
      <c r="B361" t="s">
        <v>119</v>
      </c>
      <c r="C361" t="s">
        <v>1359</v>
      </c>
      <c r="D361">
        <v>3</v>
      </c>
      <c r="E361" s="358">
        <v>2</v>
      </c>
      <c r="F361" s="358" t="s">
        <v>7</v>
      </c>
      <c r="G361" s="358" t="s">
        <v>115</v>
      </c>
      <c r="H361" s="358" t="s">
        <v>11</v>
      </c>
    </row>
    <row r="362" spans="1:8" x14ac:dyDescent="0.3">
      <c r="A362" t="s">
        <v>20</v>
      </c>
      <c r="B362" t="s">
        <v>119</v>
      </c>
      <c r="C362" t="s">
        <v>1635</v>
      </c>
      <c r="D362">
        <v>3</v>
      </c>
      <c r="E362" s="358">
        <v>2</v>
      </c>
      <c r="F362" s="358" t="s">
        <v>7</v>
      </c>
      <c r="G362" s="358" t="s">
        <v>115</v>
      </c>
      <c r="H362" s="358" t="s">
        <v>11</v>
      </c>
    </row>
    <row r="363" spans="1:8" x14ac:dyDescent="0.3">
      <c r="A363" t="s">
        <v>20</v>
      </c>
      <c r="B363" t="s">
        <v>119</v>
      </c>
      <c r="C363" t="s">
        <v>1361</v>
      </c>
      <c r="D363">
        <v>2</v>
      </c>
      <c r="E363" s="358">
        <v>2</v>
      </c>
      <c r="F363" s="358" t="s">
        <v>7</v>
      </c>
      <c r="G363" s="358" t="s">
        <v>115</v>
      </c>
      <c r="H363" s="358" t="s">
        <v>11</v>
      </c>
    </row>
    <row r="364" spans="1:8" x14ac:dyDescent="0.3">
      <c r="A364" t="s">
        <v>20</v>
      </c>
      <c r="B364" t="s">
        <v>119</v>
      </c>
      <c r="C364" t="s">
        <v>1636</v>
      </c>
      <c r="D364">
        <v>3</v>
      </c>
      <c r="E364" s="358">
        <v>2</v>
      </c>
      <c r="F364" s="358" t="s">
        <v>7</v>
      </c>
      <c r="G364" s="358" t="s">
        <v>115</v>
      </c>
      <c r="H364" s="358" t="s">
        <v>11</v>
      </c>
    </row>
    <row r="365" spans="1:8" x14ac:dyDescent="0.3">
      <c r="A365" t="s">
        <v>20</v>
      </c>
      <c r="B365" t="s">
        <v>119</v>
      </c>
      <c r="C365" t="s">
        <v>1637</v>
      </c>
      <c r="D365">
        <v>2</v>
      </c>
      <c r="E365" s="358">
        <v>1</v>
      </c>
      <c r="F365" s="358" t="s">
        <v>7</v>
      </c>
      <c r="G365" s="358" t="s">
        <v>115</v>
      </c>
      <c r="H365" s="358" t="s">
        <v>11</v>
      </c>
    </row>
    <row r="366" spans="1:8" x14ac:dyDescent="0.3">
      <c r="A366" t="s">
        <v>20</v>
      </c>
      <c r="B366" t="s">
        <v>119</v>
      </c>
      <c r="C366" t="s">
        <v>1364</v>
      </c>
      <c r="D366">
        <v>3</v>
      </c>
      <c r="E366" s="358">
        <v>1</v>
      </c>
      <c r="F366" s="358" t="s">
        <v>7</v>
      </c>
      <c r="G366" s="358" t="s">
        <v>115</v>
      </c>
      <c r="H366" s="358" t="s">
        <v>11</v>
      </c>
    </row>
    <row r="367" spans="1:8" x14ac:dyDescent="0.3">
      <c r="A367" t="s">
        <v>20</v>
      </c>
      <c r="B367" t="s">
        <v>119</v>
      </c>
      <c r="C367" t="s">
        <v>1638</v>
      </c>
      <c r="D367">
        <v>3</v>
      </c>
      <c r="E367" s="358">
        <v>2</v>
      </c>
      <c r="F367" s="358" t="s">
        <v>7</v>
      </c>
      <c r="G367" s="358" t="s">
        <v>115</v>
      </c>
      <c r="H367" s="358" t="s">
        <v>11</v>
      </c>
    </row>
    <row r="368" spans="1:8" x14ac:dyDescent="0.3">
      <c r="A368" t="s">
        <v>20</v>
      </c>
      <c r="B368" t="s">
        <v>119</v>
      </c>
      <c r="C368" t="s">
        <v>1639</v>
      </c>
      <c r="D368">
        <v>3</v>
      </c>
      <c r="E368" s="358">
        <v>2</v>
      </c>
      <c r="F368" s="358" t="s">
        <v>7</v>
      </c>
      <c r="G368" s="358" t="s">
        <v>115</v>
      </c>
      <c r="H368" s="358" t="s">
        <v>11</v>
      </c>
    </row>
    <row r="369" spans="1:8" x14ac:dyDescent="0.3">
      <c r="A369" t="s">
        <v>20</v>
      </c>
      <c r="B369" t="s">
        <v>119</v>
      </c>
      <c r="C369" t="s">
        <v>1640</v>
      </c>
      <c r="D369">
        <v>3</v>
      </c>
      <c r="E369" s="358">
        <v>2</v>
      </c>
      <c r="F369" s="358" t="s">
        <v>7</v>
      </c>
      <c r="G369" s="358" t="s">
        <v>115</v>
      </c>
      <c r="H369" s="358" t="s">
        <v>11</v>
      </c>
    </row>
    <row r="370" spans="1:8" x14ac:dyDescent="0.3">
      <c r="A370" t="s">
        <v>20</v>
      </c>
      <c r="B370" t="s">
        <v>119</v>
      </c>
      <c r="C370" t="s">
        <v>1512</v>
      </c>
      <c r="D370">
        <v>3</v>
      </c>
      <c r="E370" s="358">
        <v>2</v>
      </c>
      <c r="F370" s="358" t="s">
        <v>7</v>
      </c>
      <c r="G370" s="358" t="s">
        <v>115</v>
      </c>
      <c r="H370" s="358" t="s">
        <v>11</v>
      </c>
    </row>
    <row r="371" spans="1:8" x14ac:dyDescent="0.3">
      <c r="A371" t="s">
        <v>20</v>
      </c>
      <c r="B371" t="s">
        <v>119</v>
      </c>
      <c r="C371" t="s">
        <v>1641</v>
      </c>
      <c r="D371">
        <v>3</v>
      </c>
      <c r="E371" s="358">
        <v>2</v>
      </c>
      <c r="F371" s="358" t="s">
        <v>7</v>
      </c>
      <c r="G371" s="358" t="s">
        <v>115</v>
      </c>
      <c r="H371" s="358" t="s">
        <v>11</v>
      </c>
    </row>
    <row r="372" spans="1:8" x14ac:dyDescent="0.3">
      <c r="A372" t="s">
        <v>20</v>
      </c>
      <c r="B372" t="s">
        <v>119</v>
      </c>
      <c r="C372" t="s">
        <v>1642</v>
      </c>
      <c r="D372">
        <v>3</v>
      </c>
      <c r="E372" s="358">
        <v>2</v>
      </c>
      <c r="F372" s="358" t="s">
        <v>7</v>
      </c>
      <c r="G372" s="358" t="s">
        <v>115</v>
      </c>
      <c r="H372" s="358" t="s">
        <v>11</v>
      </c>
    </row>
    <row r="373" spans="1:8" x14ac:dyDescent="0.3">
      <c r="A373" t="s">
        <v>20</v>
      </c>
      <c r="B373" t="s">
        <v>119</v>
      </c>
      <c r="C373" t="s">
        <v>1643</v>
      </c>
      <c r="D373">
        <v>3</v>
      </c>
      <c r="E373" s="358">
        <v>2</v>
      </c>
      <c r="F373" s="358" t="s">
        <v>7</v>
      </c>
      <c r="G373" s="358" t="s">
        <v>115</v>
      </c>
      <c r="H373" s="358" t="s">
        <v>11</v>
      </c>
    </row>
    <row r="374" spans="1:8" x14ac:dyDescent="0.3">
      <c r="A374" t="s">
        <v>20</v>
      </c>
      <c r="B374" t="s">
        <v>119</v>
      </c>
      <c r="C374" t="s">
        <v>1644</v>
      </c>
      <c r="D374">
        <v>2</v>
      </c>
      <c r="E374" s="358">
        <v>2</v>
      </c>
      <c r="F374" s="358" t="s">
        <v>7</v>
      </c>
      <c r="G374" s="358" t="s">
        <v>115</v>
      </c>
      <c r="H374" s="358" t="s">
        <v>11</v>
      </c>
    </row>
    <row r="375" spans="1:8" x14ac:dyDescent="0.3">
      <c r="A375" t="s">
        <v>20</v>
      </c>
      <c r="B375" t="s">
        <v>119</v>
      </c>
      <c r="C375" t="s">
        <v>1467</v>
      </c>
      <c r="D375">
        <v>2</v>
      </c>
      <c r="E375" s="358">
        <v>2</v>
      </c>
      <c r="F375" s="358" t="s">
        <v>7</v>
      </c>
      <c r="G375" s="358" t="s">
        <v>115</v>
      </c>
      <c r="H375" s="358" t="s">
        <v>11</v>
      </c>
    </row>
    <row r="376" spans="1:8" x14ac:dyDescent="0.3">
      <c r="A376" t="s">
        <v>20</v>
      </c>
      <c r="B376" t="s">
        <v>119</v>
      </c>
      <c r="C376" t="s">
        <v>1645</v>
      </c>
      <c r="D376">
        <v>3</v>
      </c>
      <c r="E376" s="358">
        <v>2</v>
      </c>
      <c r="F376" s="358" t="s">
        <v>7</v>
      </c>
      <c r="G376" s="358" t="s">
        <v>115</v>
      </c>
      <c r="H376" s="358" t="s">
        <v>11</v>
      </c>
    </row>
    <row r="377" spans="1:8" x14ac:dyDescent="0.3">
      <c r="A377" t="s">
        <v>20</v>
      </c>
      <c r="B377" t="s">
        <v>119</v>
      </c>
      <c r="C377" t="s">
        <v>1646</v>
      </c>
      <c r="D377">
        <v>3</v>
      </c>
      <c r="E377" s="358">
        <v>2</v>
      </c>
      <c r="F377" s="358" t="s">
        <v>7</v>
      </c>
      <c r="G377" s="358" t="s">
        <v>115</v>
      </c>
      <c r="H377" s="358" t="s">
        <v>11</v>
      </c>
    </row>
    <row r="378" spans="1:8" x14ac:dyDescent="0.3">
      <c r="A378" t="s">
        <v>20</v>
      </c>
      <c r="B378" t="s">
        <v>119</v>
      </c>
      <c r="C378" t="s">
        <v>1647</v>
      </c>
      <c r="D378">
        <v>3</v>
      </c>
      <c r="E378" s="358">
        <v>2</v>
      </c>
      <c r="F378" s="358" t="s">
        <v>7</v>
      </c>
      <c r="G378" s="358" t="s">
        <v>115</v>
      </c>
      <c r="H378" s="358" t="s">
        <v>11</v>
      </c>
    </row>
    <row r="379" spans="1:8" x14ac:dyDescent="0.3">
      <c r="A379" t="s">
        <v>20</v>
      </c>
      <c r="B379" t="s">
        <v>119</v>
      </c>
      <c r="C379" t="s">
        <v>1648</v>
      </c>
      <c r="D379">
        <v>3</v>
      </c>
      <c r="E379" s="358">
        <v>2</v>
      </c>
      <c r="F379" s="358" t="s">
        <v>7</v>
      </c>
      <c r="G379" s="358" t="s">
        <v>115</v>
      </c>
      <c r="H379" s="358" t="s">
        <v>11</v>
      </c>
    </row>
    <row r="380" spans="1:8" x14ac:dyDescent="0.3">
      <c r="A380" t="s">
        <v>20</v>
      </c>
      <c r="B380" t="s">
        <v>119</v>
      </c>
      <c r="C380" t="s">
        <v>1649</v>
      </c>
      <c r="D380">
        <v>3</v>
      </c>
      <c r="E380" s="358">
        <v>2</v>
      </c>
      <c r="F380" s="358" t="s">
        <v>7</v>
      </c>
      <c r="G380" s="358" t="s">
        <v>115</v>
      </c>
      <c r="H380" s="358" t="s">
        <v>11</v>
      </c>
    </row>
    <row r="381" spans="1:8" x14ac:dyDescent="0.3">
      <c r="A381" t="s">
        <v>20</v>
      </c>
      <c r="B381" t="s">
        <v>119</v>
      </c>
      <c r="C381" t="s">
        <v>1650</v>
      </c>
      <c r="D381">
        <v>3</v>
      </c>
      <c r="E381" s="358">
        <v>2</v>
      </c>
      <c r="F381" s="358" t="s">
        <v>7</v>
      </c>
      <c r="G381" s="358" t="s">
        <v>115</v>
      </c>
      <c r="H381" s="358" t="s">
        <v>11</v>
      </c>
    </row>
    <row r="382" spans="1:8" x14ac:dyDescent="0.3">
      <c r="A382" t="s">
        <v>20</v>
      </c>
      <c r="B382" t="s">
        <v>119</v>
      </c>
      <c r="C382" t="s">
        <v>1374</v>
      </c>
      <c r="D382">
        <v>3</v>
      </c>
      <c r="E382" s="358">
        <v>2</v>
      </c>
      <c r="F382" s="358" t="s">
        <v>7</v>
      </c>
      <c r="G382" s="358" t="s">
        <v>115</v>
      </c>
      <c r="H382" s="358" t="s">
        <v>11</v>
      </c>
    </row>
    <row r="383" spans="1:8" x14ac:dyDescent="0.3">
      <c r="A383" t="s">
        <v>20</v>
      </c>
      <c r="B383" t="s">
        <v>119</v>
      </c>
      <c r="C383" t="s">
        <v>1651</v>
      </c>
      <c r="D383">
        <v>3</v>
      </c>
      <c r="E383" s="358">
        <v>2</v>
      </c>
      <c r="F383" s="358" t="s">
        <v>7</v>
      </c>
      <c r="G383" s="358" t="s">
        <v>115</v>
      </c>
      <c r="H383" s="358" t="s">
        <v>11</v>
      </c>
    </row>
    <row r="384" spans="1:8" x14ac:dyDescent="0.3">
      <c r="A384" t="s">
        <v>20</v>
      </c>
      <c r="B384" t="s">
        <v>119</v>
      </c>
      <c r="C384" t="s">
        <v>1652</v>
      </c>
      <c r="D384">
        <v>3</v>
      </c>
      <c r="E384" s="358">
        <v>2</v>
      </c>
      <c r="F384" s="358" t="s">
        <v>7</v>
      </c>
      <c r="G384" s="358" t="s">
        <v>115</v>
      </c>
      <c r="H384" s="358" t="s">
        <v>11</v>
      </c>
    </row>
    <row r="385" spans="1:8" x14ac:dyDescent="0.3">
      <c r="A385" t="s">
        <v>20</v>
      </c>
      <c r="B385" t="s">
        <v>119</v>
      </c>
      <c r="C385" t="s">
        <v>1479</v>
      </c>
      <c r="D385">
        <v>2</v>
      </c>
      <c r="E385" s="358">
        <v>2</v>
      </c>
      <c r="F385" s="358" t="s">
        <v>7</v>
      </c>
      <c r="G385" s="358" t="s">
        <v>115</v>
      </c>
      <c r="H385" s="358" t="s">
        <v>11</v>
      </c>
    </row>
    <row r="386" spans="1:8" x14ac:dyDescent="0.3">
      <c r="A386" t="s">
        <v>20</v>
      </c>
      <c r="B386" t="s">
        <v>119</v>
      </c>
      <c r="C386" t="s">
        <v>1653</v>
      </c>
      <c r="D386">
        <v>3</v>
      </c>
      <c r="E386" s="358">
        <v>2</v>
      </c>
      <c r="F386" s="358" t="s">
        <v>7</v>
      </c>
      <c r="G386" s="358" t="s">
        <v>115</v>
      </c>
      <c r="H386" s="358" t="s">
        <v>11</v>
      </c>
    </row>
    <row r="387" spans="1:8" x14ac:dyDescent="0.3">
      <c r="A387" t="s">
        <v>20</v>
      </c>
      <c r="B387" t="s">
        <v>119</v>
      </c>
      <c r="C387" t="s">
        <v>1654</v>
      </c>
      <c r="D387">
        <v>3</v>
      </c>
      <c r="E387" s="358">
        <v>2</v>
      </c>
      <c r="F387" s="358" t="s">
        <v>7</v>
      </c>
      <c r="G387" s="358" t="s">
        <v>115</v>
      </c>
      <c r="H387" s="358" t="s">
        <v>11</v>
      </c>
    </row>
    <row r="388" spans="1:8" x14ac:dyDescent="0.3">
      <c r="A388" t="s">
        <v>20</v>
      </c>
      <c r="B388" t="s">
        <v>119</v>
      </c>
      <c r="C388" t="s">
        <v>1655</v>
      </c>
      <c r="D388">
        <v>3</v>
      </c>
      <c r="E388" s="358">
        <v>2</v>
      </c>
      <c r="F388" s="358" t="s">
        <v>7</v>
      </c>
      <c r="G388" s="358" t="s">
        <v>115</v>
      </c>
      <c r="H388" s="358" t="s">
        <v>11</v>
      </c>
    </row>
    <row r="389" spans="1:8" x14ac:dyDescent="0.3">
      <c r="A389" t="s">
        <v>20</v>
      </c>
      <c r="B389" t="s">
        <v>119</v>
      </c>
      <c r="C389" t="s">
        <v>1379</v>
      </c>
      <c r="D389">
        <v>3</v>
      </c>
      <c r="E389" s="358">
        <v>2</v>
      </c>
      <c r="F389" s="358" t="s">
        <v>7</v>
      </c>
      <c r="G389" s="358" t="s">
        <v>115</v>
      </c>
      <c r="H389" s="358" t="s">
        <v>11</v>
      </c>
    </row>
    <row r="390" spans="1:8" x14ac:dyDescent="0.3">
      <c r="A390" t="s">
        <v>21</v>
      </c>
      <c r="B390" t="s">
        <v>108</v>
      </c>
      <c r="C390" t="s">
        <v>1656</v>
      </c>
      <c r="D390">
        <v>3</v>
      </c>
      <c r="E390" s="358">
        <v>2</v>
      </c>
      <c r="F390" s="358" t="s">
        <v>7</v>
      </c>
      <c r="G390" s="358" t="s">
        <v>115</v>
      </c>
      <c r="H390" s="358" t="s">
        <v>11</v>
      </c>
    </row>
    <row r="391" spans="1:8" x14ac:dyDescent="0.3">
      <c r="A391" t="s">
        <v>21</v>
      </c>
      <c r="B391" t="s">
        <v>108</v>
      </c>
      <c r="C391" t="s">
        <v>1657</v>
      </c>
      <c r="D391">
        <v>3</v>
      </c>
      <c r="E391" s="358">
        <v>2</v>
      </c>
      <c r="F391" s="358" t="s">
        <v>7</v>
      </c>
      <c r="G391" s="358" t="s">
        <v>115</v>
      </c>
      <c r="H391" s="358" t="s">
        <v>11</v>
      </c>
    </row>
    <row r="392" spans="1:8" x14ac:dyDescent="0.3">
      <c r="A392" t="s">
        <v>21</v>
      </c>
      <c r="B392" t="s">
        <v>108</v>
      </c>
      <c r="C392" t="s">
        <v>1658</v>
      </c>
      <c r="D392">
        <v>3</v>
      </c>
      <c r="E392" s="358">
        <v>2</v>
      </c>
      <c r="F392" s="358" t="s">
        <v>7</v>
      </c>
      <c r="G392" s="358" t="s">
        <v>115</v>
      </c>
      <c r="H392" s="358" t="s">
        <v>11</v>
      </c>
    </row>
    <row r="393" spans="1:8" x14ac:dyDescent="0.3">
      <c r="A393" t="s">
        <v>21</v>
      </c>
      <c r="B393" t="s">
        <v>108</v>
      </c>
      <c r="C393" t="s">
        <v>1608</v>
      </c>
      <c r="D393">
        <v>3</v>
      </c>
      <c r="E393" s="358">
        <v>2</v>
      </c>
      <c r="F393" s="358" t="s">
        <v>7</v>
      </c>
      <c r="G393" s="358" t="s">
        <v>115</v>
      </c>
      <c r="H393" s="358" t="s">
        <v>11</v>
      </c>
    </row>
    <row r="394" spans="1:8" x14ac:dyDescent="0.3">
      <c r="A394" t="s">
        <v>21</v>
      </c>
      <c r="B394" t="s">
        <v>108</v>
      </c>
      <c r="C394" t="s">
        <v>1316</v>
      </c>
      <c r="D394">
        <v>3</v>
      </c>
      <c r="E394" s="358">
        <v>3</v>
      </c>
      <c r="F394" s="358" t="s">
        <v>7</v>
      </c>
      <c r="G394" s="358" t="s">
        <v>11</v>
      </c>
      <c r="H394" s="358" t="s">
        <v>11</v>
      </c>
    </row>
    <row r="395" spans="1:8" x14ac:dyDescent="0.3">
      <c r="A395" t="s">
        <v>21</v>
      </c>
      <c r="B395" t="s">
        <v>108</v>
      </c>
      <c r="C395" t="s">
        <v>1659</v>
      </c>
      <c r="D395">
        <v>2</v>
      </c>
      <c r="E395" s="358">
        <v>4</v>
      </c>
      <c r="F395" s="358" t="s">
        <v>7</v>
      </c>
      <c r="G395" s="358" t="s">
        <v>11</v>
      </c>
      <c r="H395" s="358" t="s">
        <v>11</v>
      </c>
    </row>
    <row r="396" spans="1:8" x14ac:dyDescent="0.3">
      <c r="A396" t="s">
        <v>21</v>
      </c>
      <c r="B396" t="s">
        <v>108</v>
      </c>
      <c r="C396" t="s">
        <v>1660</v>
      </c>
      <c r="D396">
        <v>2</v>
      </c>
      <c r="E396" s="358">
        <v>3</v>
      </c>
      <c r="F396" s="358" t="s">
        <v>7</v>
      </c>
      <c r="G396" s="358" t="s">
        <v>11</v>
      </c>
      <c r="H396" s="358" t="s">
        <v>11</v>
      </c>
    </row>
    <row r="397" spans="1:8" x14ac:dyDescent="0.3">
      <c r="A397" t="s">
        <v>21</v>
      </c>
      <c r="B397" t="s">
        <v>108</v>
      </c>
      <c r="C397" t="s">
        <v>1661</v>
      </c>
      <c r="D397">
        <v>2</v>
      </c>
      <c r="E397" s="358">
        <v>3</v>
      </c>
      <c r="F397" s="358" t="s">
        <v>7</v>
      </c>
      <c r="G397" s="358" t="s">
        <v>11</v>
      </c>
      <c r="H397" s="358" t="s">
        <v>11</v>
      </c>
    </row>
    <row r="398" spans="1:8" x14ac:dyDescent="0.3">
      <c r="A398" t="s">
        <v>21</v>
      </c>
      <c r="B398" t="s">
        <v>108</v>
      </c>
      <c r="C398" t="s">
        <v>1662</v>
      </c>
      <c r="D398">
        <v>3</v>
      </c>
      <c r="E398" s="358">
        <v>3</v>
      </c>
      <c r="F398" s="358" t="s">
        <v>7</v>
      </c>
      <c r="G398" s="358" t="s">
        <v>115</v>
      </c>
      <c r="H398" s="358" t="s">
        <v>11</v>
      </c>
    </row>
    <row r="399" spans="1:8" x14ac:dyDescent="0.3">
      <c r="A399" t="s">
        <v>21</v>
      </c>
      <c r="B399" t="s">
        <v>108</v>
      </c>
      <c r="C399" t="s">
        <v>1663</v>
      </c>
      <c r="D399">
        <v>3</v>
      </c>
      <c r="E399" s="358">
        <v>2</v>
      </c>
      <c r="F399" s="358" t="s">
        <v>7</v>
      </c>
      <c r="G399" s="358" t="s">
        <v>115</v>
      </c>
      <c r="H399" s="358" t="s">
        <v>11</v>
      </c>
    </row>
    <row r="400" spans="1:8" x14ac:dyDescent="0.3">
      <c r="A400" t="s">
        <v>21</v>
      </c>
      <c r="B400" t="s">
        <v>108</v>
      </c>
      <c r="C400" t="s">
        <v>1318</v>
      </c>
      <c r="D400">
        <v>3</v>
      </c>
      <c r="E400" s="358">
        <v>3</v>
      </c>
      <c r="F400" s="358" t="s">
        <v>7</v>
      </c>
      <c r="G400" s="358" t="s">
        <v>11</v>
      </c>
      <c r="H400" s="358" t="s">
        <v>11</v>
      </c>
    </row>
    <row r="401" spans="1:8" x14ac:dyDescent="0.3">
      <c r="A401" t="s">
        <v>21</v>
      </c>
      <c r="B401" t="s">
        <v>108</v>
      </c>
      <c r="C401" t="s">
        <v>1664</v>
      </c>
      <c r="D401">
        <v>3</v>
      </c>
      <c r="E401" s="358">
        <v>3</v>
      </c>
      <c r="F401" s="358" t="s">
        <v>7</v>
      </c>
      <c r="G401" s="358" t="s">
        <v>115</v>
      </c>
      <c r="H401" s="358" t="s">
        <v>11</v>
      </c>
    </row>
    <row r="402" spans="1:8" x14ac:dyDescent="0.3">
      <c r="A402" t="s">
        <v>21</v>
      </c>
      <c r="B402" t="s">
        <v>108</v>
      </c>
      <c r="C402" t="s">
        <v>1665</v>
      </c>
      <c r="D402">
        <v>3</v>
      </c>
      <c r="E402" s="358">
        <v>2</v>
      </c>
      <c r="F402" s="358" t="s">
        <v>7</v>
      </c>
      <c r="G402" s="358" t="s">
        <v>115</v>
      </c>
      <c r="H402" s="358" t="s">
        <v>11</v>
      </c>
    </row>
    <row r="403" spans="1:8" x14ac:dyDescent="0.3">
      <c r="A403" t="s">
        <v>21</v>
      </c>
      <c r="B403" t="s">
        <v>108</v>
      </c>
      <c r="C403" t="s">
        <v>1666</v>
      </c>
      <c r="D403">
        <v>3</v>
      </c>
      <c r="E403" s="358">
        <v>2</v>
      </c>
      <c r="F403" s="358" t="s">
        <v>7</v>
      </c>
      <c r="G403" s="358" t="s">
        <v>115</v>
      </c>
      <c r="H403" s="358" t="s">
        <v>11</v>
      </c>
    </row>
    <row r="404" spans="1:8" x14ac:dyDescent="0.3">
      <c r="A404" t="s">
        <v>21</v>
      </c>
      <c r="B404" t="s">
        <v>108</v>
      </c>
      <c r="C404" t="s">
        <v>1667</v>
      </c>
      <c r="D404">
        <v>3</v>
      </c>
      <c r="E404" s="358">
        <v>2</v>
      </c>
      <c r="F404" s="358" t="s">
        <v>7</v>
      </c>
      <c r="G404" s="358" t="s">
        <v>115</v>
      </c>
      <c r="H404" s="358" t="s">
        <v>11</v>
      </c>
    </row>
    <row r="405" spans="1:8" x14ac:dyDescent="0.3">
      <c r="A405" t="s">
        <v>21</v>
      </c>
      <c r="B405" t="s">
        <v>108</v>
      </c>
      <c r="C405" t="s">
        <v>1668</v>
      </c>
      <c r="D405">
        <v>3</v>
      </c>
      <c r="E405" s="358">
        <v>3</v>
      </c>
      <c r="F405" s="358" t="s">
        <v>7</v>
      </c>
      <c r="G405" s="358" t="s">
        <v>115</v>
      </c>
      <c r="H405" s="358" t="s">
        <v>11</v>
      </c>
    </row>
    <row r="406" spans="1:8" x14ac:dyDescent="0.3">
      <c r="A406" t="s">
        <v>21</v>
      </c>
      <c r="B406" t="s">
        <v>108</v>
      </c>
      <c r="C406" t="s">
        <v>1669</v>
      </c>
      <c r="D406">
        <v>3</v>
      </c>
      <c r="E406" s="358">
        <v>3</v>
      </c>
      <c r="F406" s="358" t="s">
        <v>7</v>
      </c>
      <c r="G406" s="358" t="s">
        <v>11</v>
      </c>
      <c r="H406" s="358" t="s">
        <v>11</v>
      </c>
    </row>
    <row r="407" spans="1:8" x14ac:dyDescent="0.3">
      <c r="A407" t="s">
        <v>21</v>
      </c>
      <c r="B407" t="s">
        <v>108</v>
      </c>
      <c r="C407" t="s">
        <v>1670</v>
      </c>
      <c r="D407">
        <v>2</v>
      </c>
      <c r="E407" s="358">
        <v>3</v>
      </c>
      <c r="F407" s="358" t="s">
        <v>7</v>
      </c>
      <c r="G407" s="358" t="s">
        <v>11</v>
      </c>
      <c r="H407" s="358" t="s">
        <v>11</v>
      </c>
    </row>
    <row r="408" spans="1:8" x14ac:dyDescent="0.3">
      <c r="A408" t="s">
        <v>21</v>
      </c>
      <c r="B408" t="s">
        <v>108</v>
      </c>
      <c r="C408" t="s">
        <v>1322</v>
      </c>
      <c r="D408">
        <v>3</v>
      </c>
      <c r="E408" s="358">
        <v>3</v>
      </c>
      <c r="F408" s="358" t="s">
        <v>7</v>
      </c>
      <c r="G408" s="358" t="s">
        <v>115</v>
      </c>
      <c r="H408" s="358" t="s">
        <v>11</v>
      </c>
    </row>
    <row r="409" spans="1:8" x14ac:dyDescent="0.3">
      <c r="A409" t="s">
        <v>21</v>
      </c>
      <c r="B409" t="s">
        <v>108</v>
      </c>
      <c r="C409" t="s">
        <v>1671</v>
      </c>
      <c r="D409">
        <v>3</v>
      </c>
      <c r="E409" s="358">
        <v>2</v>
      </c>
      <c r="F409" s="358" t="s">
        <v>7</v>
      </c>
      <c r="G409" s="358" t="s">
        <v>115</v>
      </c>
      <c r="H409" s="358" t="s">
        <v>11</v>
      </c>
    </row>
    <row r="410" spans="1:8" x14ac:dyDescent="0.3">
      <c r="A410" t="s">
        <v>21</v>
      </c>
      <c r="B410" t="s">
        <v>108</v>
      </c>
      <c r="C410" t="s">
        <v>1672</v>
      </c>
      <c r="D410">
        <v>3</v>
      </c>
      <c r="E410" s="358">
        <v>3</v>
      </c>
      <c r="F410" s="358" t="s">
        <v>7</v>
      </c>
      <c r="G410" s="358" t="s">
        <v>115</v>
      </c>
      <c r="H410" s="358" t="s">
        <v>11</v>
      </c>
    </row>
    <row r="411" spans="1:8" x14ac:dyDescent="0.3">
      <c r="A411" t="s">
        <v>21</v>
      </c>
      <c r="B411" t="s">
        <v>108</v>
      </c>
      <c r="C411" t="s">
        <v>1433</v>
      </c>
      <c r="D411">
        <v>2</v>
      </c>
      <c r="E411" s="358">
        <v>3</v>
      </c>
      <c r="F411" s="358" t="s">
        <v>7</v>
      </c>
      <c r="G411" s="358" t="s">
        <v>11</v>
      </c>
      <c r="H411" s="358" t="s">
        <v>11</v>
      </c>
    </row>
    <row r="412" spans="1:8" x14ac:dyDescent="0.3">
      <c r="A412" t="s">
        <v>21</v>
      </c>
      <c r="B412" t="s">
        <v>108</v>
      </c>
      <c r="C412" t="s">
        <v>1673</v>
      </c>
      <c r="D412">
        <v>2</v>
      </c>
      <c r="E412" s="358">
        <v>4</v>
      </c>
      <c r="F412" s="358" t="s">
        <v>7</v>
      </c>
      <c r="G412" s="358" t="s">
        <v>11</v>
      </c>
      <c r="H412" s="358" t="s">
        <v>11</v>
      </c>
    </row>
    <row r="413" spans="1:8" x14ac:dyDescent="0.3">
      <c r="A413" t="s">
        <v>21</v>
      </c>
      <c r="B413" t="s">
        <v>108</v>
      </c>
      <c r="C413" t="s">
        <v>1674</v>
      </c>
      <c r="D413">
        <v>3</v>
      </c>
      <c r="E413" s="358">
        <v>2</v>
      </c>
      <c r="F413" s="358" t="s">
        <v>7</v>
      </c>
      <c r="G413" s="358" t="s">
        <v>115</v>
      </c>
      <c r="H413" s="358" t="s">
        <v>11</v>
      </c>
    </row>
    <row r="414" spans="1:8" x14ac:dyDescent="0.3">
      <c r="A414" t="s">
        <v>21</v>
      </c>
      <c r="B414" t="s">
        <v>108</v>
      </c>
      <c r="C414" t="s">
        <v>1675</v>
      </c>
      <c r="D414">
        <v>3</v>
      </c>
      <c r="E414" s="358">
        <v>2</v>
      </c>
      <c r="F414" s="358" t="s">
        <v>7</v>
      </c>
      <c r="G414" s="358" t="s">
        <v>115</v>
      </c>
      <c r="H414" s="358" t="s">
        <v>11</v>
      </c>
    </row>
    <row r="415" spans="1:8" x14ac:dyDescent="0.3">
      <c r="A415" t="s">
        <v>21</v>
      </c>
      <c r="B415" t="s">
        <v>108</v>
      </c>
      <c r="C415" t="s">
        <v>1676</v>
      </c>
      <c r="D415">
        <v>3</v>
      </c>
      <c r="E415" s="358">
        <v>3</v>
      </c>
      <c r="F415" s="358" t="s">
        <v>7</v>
      </c>
      <c r="G415" s="358" t="s">
        <v>115</v>
      </c>
      <c r="H415" s="358" t="s">
        <v>11</v>
      </c>
    </row>
    <row r="416" spans="1:8" x14ac:dyDescent="0.3">
      <c r="A416" t="s">
        <v>21</v>
      </c>
      <c r="B416" t="s">
        <v>108</v>
      </c>
      <c r="C416" t="s">
        <v>1677</v>
      </c>
      <c r="D416">
        <v>3</v>
      </c>
      <c r="E416" s="358">
        <v>4</v>
      </c>
      <c r="F416" s="358" t="s">
        <v>7</v>
      </c>
      <c r="G416" s="358" t="s">
        <v>11</v>
      </c>
      <c r="H416" s="358" t="s">
        <v>11</v>
      </c>
    </row>
    <row r="417" spans="1:8" x14ac:dyDescent="0.3">
      <c r="A417" t="s">
        <v>21</v>
      </c>
      <c r="B417" t="s">
        <v>108</v>
      </c>
      <c r="C417" t="s">
        <v>1324</v>
      </c>
      <c r="D417">
        <v>2</v>
      </c>
      <c r="E417" s="358">
        <v>3</v>
      </c>
      <c r="F417" s="358" t="s">
        <v>7</v>
      </c>
      <c r="G417" s="358" t="s">
        <v>11</v>
      </c>
      <c r="H417" s="358" t="s">
        <v>11</v>
      </c>
    </row>
    <row r="418" spans="1:8" x14ac:dyDescent="0.3">
      <c r="A418" t="s">
        <v>21</v>
      </c>
      <c r="B418" t="s">
        <v>108</v>
      </c>
      <c r="C418" t="s">
        <v>1327</v>
      </c>
      <c r="D418">
        <v>2</v>
      </c>
      <c r="E418" s="358">
        <v>3</v>
      </c>
      <c r="F418" s="358" t="s">
        <v>7</v>
      </c>
      <c r="G418" s="358" t="s">
        <v>11</v>
      </c>
      <c r="H418" s="358" t="s">
        <v>11</v>
      </c>
    </row>
    <row r="419" spans="1:8" x14ac:dyDescent="0.3">
      <c r="A419" t="s">
        <v>21</v>
      </c>
      <c r="B419" t="s">
        <v>108</v>
      </c>
      <c r="C419" t="s">
        <v>1328</v>
      </c>
      <c r="D419">
        <v>3</v>
      </c>
      <c r="E419" s="358">
        <v>3</v>
      </c>
      <c r="F419" s="358" t="s">
        <v>7</v>
      </c>
      <c r="G419" s="358" t="s">
        <v>115</v>
      </c>
      <c r="H419" s="358" t="s">
        <v>11</v>
      </c>
    </row>
    <row r="420" spans="1:8" x14ac:dyDescent="0.3">
      <c r="A420" t="s">
        <v>21</v>
      </c>
      <c r="B420" t="s">
        <v>108</v>
      </c>
      <c r="C420" t="s">
        <v>1678</v>
      </c>
      <c r="D420">
        <v>2</v>
      </c>
      <c r="E420" s="358">
        <v>3</v>
      </c>
      <c r="F420" s="358" t="s">
        <v>7</v>
      </c>
      <c r="G420" s="358" t="s">
        <v>11</v>
      </c>
      <c r="H420" s="358" t="s">
        <v>11</v>
      </c>
    </row>
    <row r="421" spans="1:8" x14ac:dyDescent="0.3">
      <c r="A421" t="s">
        <v>21</v>
      </c>
      <c r="B421" t="s">
        <v>108</v>
      </c>
      <c r="C421" t="s">
        <v>1679</v>
      </c>
      <c r="D421">
        <v>3</v>
      </c>
      <c r="E421" s="358">
        <v>2</v>
      </c>
      <c r="F421" s="358" t="s">
        <v>7</v>
      </c>
      <c r="G421" s="358" t="s">
        <v>115</v>
      </c>
      <c r="H421" s="358" t="s">
        <v>11</v>
      </c>
    </row>
    <row r="422" spans="1:8" x14ac:dyDescent="0.3">
      <c r="A422" t="s">
        <v>21</v>
      </c>
      <c r="B422" t="s">
        <v>108</v>
      </c>
      <c r="C422" t="s">
        <v>1680</v>
      </c>
      <c r="D422">
        <v>1</v>
      </c>
      <c r="E422" s="358">
        <v>3</v>
      </c>
      <c r="F422" s="358" t="s">
        <v>7</v>
      </c>
      <c r="G422" s="358" t="s">
        <v>11</v>
      </c>
      <c r="H422" s="358" t="s">
        <v>11</v>
      </c>
    </row>
    <row r="423" spans="1:8" x14ac:dyDescent="0.3">
      <c r="A423" t="s">
        <v>21</v>
      </c>
      <c r="B423" t="s">
        <v>108</v>
      </c>
      <c r="C423" t="s">
        <v>1330</v>
      </c>
      <c r="D423">
        <v>3</v>
      </c>
      <c r="E423" s="358">
        <v>3</v>
      </c>
      <c r="F423" s="358" t="s">
        <v>7</v>
      </c>
      <c r="G423" s="358" t="s">
        <v>115</v>
      </c>
      <c r="H423" s="358" t="s">
        <v>11</v>
      </c>
    </row>
    <row r="424" spans="1:8" x14ac:dyDescent="0.3">
      <c r="A424" t="s">
        <v>21</v>
      </c>
      <c r="B424" t="s">
        <v>108</v>
      </c>
      <c r="C424" t="s">
        <v>1681</v>
      </c>
      <c r="D424">
        <v>3</v>
      </c>
      <c r="E424" s="358">
        <v>2</v>
      </c>
      <c r="F424" s="358" t="s">
        <v>7</v>
      </c>
      <c r="G424" s="358" t="s">
        <v>115</v>
      </c>
      <c r="H424" s="358" t="s">
        <v>11</v>
      </c>
    </row>
    <row r="425" spans="1:8" x14ac:dyDescent="0.3">
      <c r="A425" t="s">
        <v>21</v>
      </c>
      <c r="B425" t="s">
        <v>108</v>
      </c>
      <c r="C425" t="s">
        <v>1437</v>
      </c>
      <c r="D425">
        <v>3</v>
      </c>
      <c r="E425" s="358">
        <v>3</v>
      </c>
      <c r="F425" s="358" t="s">
        <v>7</v>
      </c>
      <c r="G425" s="358" t="s">
        <v>11</v>
      </c>
      <c r="H425" s="358" t="s">
        <v>11</v>
      </c>
    </row>
    <row r="426" spans="1:8" x14ac:dyDescent="0.3">
      <c r="A426" t="s">
        <v>21</v>
      </c>
      <c r="B426" t="s">
        <v>108</v>
      </c>
      <c r="C426" t="s">
        <v>1682</v>
      </c>
      <c r="D426">
        <v>3</v>
      </c>
      <c r="E426" s="358">
        <v>2</v>
      </c>
      <c r="F426" s="358" t="s">
        <v>7</v>
      </c>
      <c r="G426" s="358" t="s">
        <v>115</v>
      </c>
      <c r="H426" s="358" t="s">
        <v>11</v>
      </c>
    </row>
    <row r="427" spans="1:8" x14ac:dyDescent="0.3">
      <c r="A427" t="s">
        <v>21</v>
      </c>
      <c r="B427" t="s">
        <v>108</v>
      </c>
      <c r="C427" t="s">
        <v>1683</v>
      </c>
      <c r="D427">
        <v>2</v>
      </c>
      <c r="E427" s="358">
        <v>3</v>
      </c>
      <c r="F427" s="358" t="s">
        <v>7</v>
      </c>
      <c r="G427" s="358" t="s">
        <v>11</v>
      </c>
      <c r="H427" s="358" t="s">
        <v>11</v>
      </c>
    </row>
    <row r="428" spans="1:8" x14ac:dyDescent="0.3">
      <c r="A428" t="s">
        <v>21</v>
      </c>
      <c r="B428" t="s">
        <v>108</v>
      </c>
      <c r="C428" t="s">
        <v>1440</v>
      </c>
      <c r="D428">
        <v>3</v>
      </c>
      <c r="E428" s="358">
        <v>3</v>
      </c>
      <c r="F428" s="358" t="s">
        <v>7</v>
      </c>
      <c r="G428" s="358" t="s">
        <v>11</v>
      </c>
      <c r="H428" s="358" t="s">
        <v>11</v>
      </c>
    </row>
    <row r="429" spans="1:8" x14ac:dyDescent="0.3">
      <c r="A429" t="s">
        <v>21</v>
      </c>
      <c r="B429" t="s">
        <v>108</v>
      </c>
      <c r="C429" t="s">
        <v>1684</v>
      </c>
      <c r="D429">
        <v>3</v>
      </c>
      <c r="E429" s="358">
        <v>3</v>
      </c>
      <c r="F429" s="358" t="s">
        <v>7</v>
      </c>
      <c r="G429" s="358" t="s">
        <v>115</v>
      </c>
      <c r="H429" s="358" t="s">
        <v>11</v>
      </c>
    </row>
    <row r="430" spans="1:8" x14ac:dyDescent="0.3">
      <c r="A430" t="s">
        <v>21</v>
      </c>
      <c r="B430" t="s">
        <v>108</v>
      </c>
      <c r="C430" t="s">
        <v>1685</v>
      </c>
      <c r="D430">
        <v>3</v>
      </c>
      <c r="E430" s="358">
        <v>4</v>
      </c>
      <c r="F430" s="358" t="s">
        <v>7</v>
      </c>
      <c r="G430" s="358" t="s">
        <v>11</v>
      </c>
      <c r="H430" s="358" t="s">
        <v>11</v>
      </c>
    </row>
    <row r="431" spans="1:8" x14ac:dyDescent="0.3">
      <c r="A431" t="s">
        <v>21</v>
      </c>
      <c r="B431" t="s">
        <v>108</v>
      </c>
      <c r="C431" t="s">
        <v>1686</v>
      </c>
      <c r="D431">
        <v>2</v>
      </c>
      <c r="E431" s="358">
        <v>4</v>
      </c>
      <c r="F431" s="358" t="s">
        <v>7</v>
      </c>
      <c r="G431" s="358" t="s">
        <v>11</v>
      </c>
      <c r="H431" s="358" t="s">
        <v>11</v>
      </c>
    </row>
    <row r="432" spans="1:8" x14ac:dyDescent="0.3">
      <c r="A432" t="s">
        <v>21</v>
      </c>
      <c r="B432" t="s">
        <v>108</v>
      </c>
      <c r="C432" t="s">
        <v>1687</v>
      </c>
      <c r="D432">
        <v>3</v>
      </c>
      <c r="E432" s="358">
        <v>2</v>
      </c>
      <c r="F432" s="358" t="s">
        <v>7</v>
      </c>
      <c r="G432" s="358" t="s">
        <v>115</v>
      </c>
      <c r="H432" s="358" t="s">
        <v>11</v>
      </c>
    </row>
    <row r="433" spans="1:8" x14ac:dyDescent="0.3">
      <c r="A433" t="s">
        <v>21</v>
      </c>
      <c r="B433" t="s">
        <v>108</v>
      </c>
      <c r="C433" t="s">
        <v>1688</v>
      </c>
      <c r="D433">
        <v>1</v>
      </c>
      <c r="E433" s="358">
        <v>3</v>
      </c>
      <c r="F433" s="358" t="s">
        <v>7</v>
      </c>
      <c r="G433" s="358" t="s">
        <v>11</v>
      </c>
      <c r="H433" s="358" t="s">
        <v>11</v>
      </c>
    </row>
    <row r="434" spans="1:8" x14ac:dyDescent="0.3">
      <c r="A434" t="s">
        <v>21</v>
      </c>
      <c r="B434" t="s">
        <v>108</v>
      </c>
      <c r="C434" t="s">
        <v>1689</v>
      </c>
      <c r="D434">
        <v>3</v>
      </c>
      <c r="E434" s="358">
        <v>3</v>
      </c>
      <c r="F434" s="358" t="s">
        <v>7</v>
      </c>
      <c r="G434" s="358" t="s">
        <v>115</v>
      </c>
      <c r="H434" s="358" t="s">
        <v>11</v>
      </c>
    </row>
    <row r="435" spans="1:8" x14ac:dyDescent="0.3">
      <c r="A435" t="s">
        <v>21</v>
      </c>
      <c r="B435" t="s">
        <v>108</v>
      </c>
      <c r="C435" t="s">
        <v>1690</v>
      </c>
      <c r="D435">
        <v>3</v>
      </c>
      <c r="E435" s="358">
        <v>3</v>
      </c>
      <c r="F435" s="358" t="s">
        <v>7</v>
      </c>
      <c r="G435" s="358" t="s">
        <v>115</v>
      </c>
      <c r="H435" s="358" t="s">
        <v>11</v>
      </c>
    </row>
    <row r="436" spans="1:8" x14ac:dyDescent="0.3">
      <c r="A436" t="s">
        <v>21</v>
      </c>
      <c r="B436" t="s">
        <v>108</v>
      </c>
      <c r="C436" t="s">
        <v>1691</v>
      </c>
      <c r="D436">
        <v>3</v>
      </c>
      <c r="E436" s="358">
        <v>3</v>
      </c>
      <c r="F436" s="358" t="s">
        <v>7</v>
      </c>
      <c r="G436" s="358" t="s">
        <v>115</v>
      </c>
      <c r="H436" s="358" t="s">
        <v>11</v>
      </c>
    </row>
    <row r="437" spans="1:8" x14ac:dyDescent="0.3">
      <c r="A437" t="s">
        <v>21</v>
      </c>
      <c r="B437" t="s">
        <v>108</v>
      </c>
      <c r="C437" t="s">
        <v>1558</v>
      </c>
      <c r="D437">
        <v>2</v>
      </c>
      <c r="E437" s="358">
        <v>3</v>
      </c>
      <c r="F437" s="358" t="s">
        <v>7</v>
      </c>
      <c r="G437" s="358" t="s">
        <v>11</v>
      </c>
      <c r="H437" s="358" t="s">
        <v>11</v>
      </c>
    </row>
    <row r="438" spans="1:8" x14ac:dyDescent="0.3">
      <c r="A438" t="s">
        <v>21</v>
      </c>
      <c r="B438" t="s">
        <v>108</v>
      </c>
      <c r="C438" t="s">
        <v>1692</v>
      </c>
      <c r="D438">
        <v>3</v>
      </c>
      <c r="E438" s="358">
        <v>3</v>
      </c>
      <c r="F438" s="358" t="s">
        <v>7</v>
      </c>
      <c r="G438" s="358" t="s">
        <v>115</v>
      </c>
      <c r="H438" s="358" t="s">
        <v>11</v>
      </c>
    </row>
    <row r="439" spans="1:8" x14ac:dyDescent="0.3">
      <c r="A439" t="s">
        <v>21</v>
      </c>
      <c r="B439" t="s">
        <v>108</v>
      </c>
      <c r="C439" t="s">
        <v>1693</v>
      </c>
      <c r="D439">
        <v>3</v>
      </c>
      <c r="E439" s="358">
        <v>2</v>
      </c>
      <c r="F439" s="358" t="s">
        <v>7</v>
      </c>
      <c r="G439" s="358" t="s">
        <v>115</v>
      </c>
      <c r="H439" s="358" t="s">
        <v>11</v>
      </c>
    </row>
    <row r="440" spans="1:8" x14ac:dyDescent="0.3">
      <c r="A440" t="s">
        <v>21</v>
      </c>
      <c r="B440" t="s">
        <v>108</v>
      </c>
      <c r="C440" t="s">
        <v>1694</v>
      </c>
      <c r="D440">
        <v>3</v>
      </c>
      <c r="E440" s="358">
        <v>2</v>
      </c>
      <c r="F440" s="358" t="s">
        <v>7</v>
      </c>
      <c r="G440" s="358" t="s">
        <v>115</v>
      </c>
      <c r="H440" s="358" t="s">
        <v>11</v>
      </c>
    </row>
    <row r="441" spans="1:8" x14ac:dyDescent="0.3">
      <c r="A441" t="s">
        <v>21</v>
      </c>
      <c r="B441" t="s">
        <v>108</v>
      </c>
      <c r="C441" t="s">
        <v>1561</v>
      </c>
      <c r="D441">
        <v>2</v>
      </c>
      <c r="E441" s="358">
        <v>3</v>
      </c>
      <c r="F441" s="358" t="s">
        <v>7</v>
      </c>
      <c r="G441" s="358" t="s">
        <v>11</v>
      </c>
      <c r="H441" s="358" t="s">
        <v>11</v>
      </c>
    </row>
    <row r="442" spans="1:8" x14ac:dyDescent="0.3">
      <c r="A442" t="s">
        <v>21</v>
      </c>
      <c r="B442" t="s">
        <v>108</v>
      </c>
      <c r="C442" t="s">
        <v>1695</v>
      </c>
      <c r="D442">
        <v>3</v>
      </c>
      <c r="E442" s="358">
        <v>3</v>
      </c>
      <c r="F442" s="358" t="s">
        <v>7</v>
      </c>
      <c r="G442" s="358" t="s">
        <v>115</v>
      </c>
      <c r="H442" s="358" t="s">
        <v>11</v>
      </c>
    </row>
    <row r="443" spans="1:8" x14ac:dyDescent="0.3">
      <c r="A443" t="s">
        <v>21</v>
      </c>
      <c r="B443" t="s">
        <v>108</v>
      </c>
      <c r="C443" t="s">
        <v>1696</v>
      </c>
      <c r="D443">
        <v>3</v>
      </c>
      <c r="E443" s="358">
        <v>2</v>
      </c>
      <c r="F443" s="358" t="s">
        <v>7</v>
      </c>
      <c r="G443" s="358" t="s">
        <v>115</v>
      </c>
      <c r="H443" s="358" t="s">
        <v>11</v>
      </c>
    </row>
    <row r="444" spans="1:8" x14ac:dyDescent="0.3">
      <c r="A444" t="s">
        <v>21</v>
      </c>
      <c r="B444" t="s">
        <v>108</v>
      </c>
      <c r="C444" t="s">
        <v>1697</v>
      </c>
      <c r="D444">
        <v>2</v>
      </c>
      <c r="E444" s="358">
        <v>4</v>
      </c>
      <c r="F444" s="358" t="s">
        <v>7</v>
      </c>
      <c r="G444" s="358" t="s">
        <v>11</v>
      </c>
      <c r="H444" s="358" t="s">
        <v>11</v>
      </c>
    </row>
    <row r="445" spans="1:8" x14ac:dyDescent="0.3">
      <c r="A445" t="s">
        <v>21</v>
      </c>
      <c r="B445" t="s">
        <v>108</v>
      </c>
      <c r="C445" t="s">
        <v>1343</v>
      </c>
      <c r="D445">
        <v>2</v>
      </c>
      <c r="E445" s="358">
        <v>3</v>
      </c>
      <c r="F445" s="358" t="s">
        <v>7</v>
      </c>
      <c r="G445" s="358" t="s">
        <v>11</v>
      </c>
      <c r="H445" s="358" t="s">
        <v>11</v>
      </c>
    </row>
    <row r="446" spans="1:8" x14ac:dyDescent="0.3">
      <c r="A446" t="s">
        <v>21</v>
      </c>
      <c r="B446" t="s">
        <v>108</v>
      </c>
      <c r="C446" t="s">
        <v>1698</v>
      </c>
      <c r="D446">
        <v>2</v>
      </c>
      <c r="E446" s="358">
        <v>4</v>
      </c>
      <c r="F446" s="358" t="s">
        <v>7</v>
      </c>
      <c r="G446" s="358" t="s">
        <v>11</v>
      </c>
      <c r="H446" s="358" t="s">
        <v>11</v>
      </c>
    </row>
    <row r="447" spans="1:8" x14ac:dyDescent="0.3">
      <c r="A447" t="s">
        <v>21</v>
      </c>
      <c r="B447" t="s">
        <v>108</v>
      </c>
      <c r="C447" t="s">
        <v>1699</v>
      </c>
      <c r="D447">
        <v>2</v>
      </c>
      <c r="E447" s="358">
        <v>3</v>
      </c>
      <c r="F447" s="358" t="s">
        <v>7</v>
      </c>
      <c r="G447" s="358" t="s">
        <v>11</v>
      </c>
      <c r="H447" s="358" t="s">
        <v>11</v>
      </c>
    </row>
    <row r="448" spans="1:8" x14ac:dyDescent="0.3">
      <c r="A448" t="s">
        <v>21</v>
      </c>
      <c r="B448" t="s">
        <v>108</v>
      </c>
      <c r="C448" t="s">
        <v>1344</v>
      </c>
      <c r="D448">
        <v>2</v>
      </c>
      <c r="E448" s="358">
        <v>4</v>
      </c>
      <c r="F448" s="358" t="s">
        <v>7</v>
      </c>
      <c r="G448" s="358" t="s">
        <v>11</v>
      </c>
      <c r="H448" s="358" t="s">
        <v>11</v>
      </c>
    </row>
    <row r="449" spans="1:8" x14ac:dyDescent="0.3">
      <c r="A449" t="s">
        <v>21</v>
      </c>
      <c r="B449" t="s">
        <v>108</v>
      </c>
      <c r="C449" t="s">
        <v>1446</v>
      </c>
      <c r="D449">
        <v>1</v>
      </c>
      <c r="E449" s="358">
        <v>3</v>
      </c>
      <c r="F449" s="358" t="s">
        <v>7</v>
      </c>
      <c r="G449" s="358" t="s">
        <v>11</v>
      </c>
      <c r="H449" s="358" t="s">
        <v>11</v>
      </c>
    </row>
    <row r="450" spans="1:8" x14ac:dyDescent="0.3">
      <c r="A450" t="s">
        <v>21</v>
      </c>
      <c r="B450" t="s">
        <v>108</v>
      </c>
      <c r="C450" t="s">
        <v>1700</v>
      </c>
      <c r="D450">
        <v>2</v>
      </c>
      <c r="E450" s="358">
        <v>4</v>
      </c>
      <c r="F450" s="358" t="s">
        <v>7</v>
      </c>
      <c r="G450" s="358" t="s">
        <v>11</v>
      </c>
      <c r="H450" s="358" t="s">
        <v>11</v>
      </c>
    </row>
    <row r="451" spans="1:8" x14ac:dyDescent="0.3">
      <c r="A451" t="s">
        <v>21</v>
      </c>
      <c r="B451" t="s">
        <v>108</v>
      </c>
      <c r="C451" t="s">
        <v>1701</v>
      </c>
      <c r="D451">
        <v>3</v>
      </c>
      <c r="E451" s="358">
        <v>3</v>
      </c>
      <c r="F451" s="358" t="s">
        <v>7</v>
      </c>
      <c r="G451" s="358" t="s">
        <v>11</v>
      </c>
      <c r="H451" s="358" t="s">
        <v>11</v>
      </c>
    </row>
    <row r="452" spans="1:8" x14ac:dyDescent="0.3">
      <c r="A452" t="s">
        <v>21</v>
      </c>
      <c r="B452" t="s">
        <v>108</v>
      </c>
      <c r="C452" t="s">
        <v>1702</v>
      </c>
      <c r="D452">
        <v>3</v>
      </c>
      <c r="E452" s="358">
        <v>2</v>
      </c>
      <c r="F452" s="358" t="s">
        <v>7</v>
      </c>
      <c r="G452" s="358" t="s">
        <v>115</v>
      </c>
      <c r="H452" s="358" t="s">
        <v>11</v>
      </c>
    </row>
    <row r="453" spans="1:8" x14ac:dyDescent="0.3">
      <c r="A453" t="s">
        <v>21</v>
      </c>
      <c r="B453" t="s">
        <v>108</v>
      </c>
      <c r="C453" t="s">
        <v>1703</v>
      </c>
      <c r="D453">
        <v>3</v>
      </c>
      <c r="E453" s="358">
        <v>4</v>
      </c>
      <c r="F453" s="358" t="s">
        <v>7</v>
      </c>
      <c r="G453" s="358" t="s">
        <v>11</v>
      </c>
      <c r="H453" s="358" t="s">
        <v>11</v>
      </c>
    </row>
    <row r="454" spans="1:8" x14ac:dyDescent="0.3">
      <c r="A454" t="s">
        <v>21</v>
      </c>
      <c r="B454" t="s">
        <v>108</v>
      </c>
      <c r="C454" t="s">
        <v>1704</v>
      </c>
      <c r="D454">
        <v>3</v>
      </c>
      <c r="E454" s="358">
        <v>2</v>
      </c>
      <c r="F454" s="358" t="s">
        <v>7</v>
      </c>
      <c r="G454" s="358" t="s">
        <v>115</v>
      </c>
      <c r="H454" s="358" t="s">
        <v>11</v>
      </c>
    </row>
    <row r="455" spans="1:8" x14ac:dyDescent="0.3">
      <c r="A455" t="s">
        <v>21</v>
      </c>
      <c r="B455" t="s">
        <v>108</v>
      </c>
      <c r="C455" t="s">
        <v>1346</v>
      </c>
      <c r="D455">
        <v>2</v>
      </c>
      <c r="E455" s="358">
        <v>3</v>
      </c>
      <c r="F455" s="358" t="s">
        <v>7</v>
      </c>
      <c r="G455" s="358" t="s">
        <v>11</v>
      </c>
      <c r="H455" s="358" t="s">
        <v>11</v>
      </c>
    </row>
    <row r="456" spans="1:8" x14ac:dyDescent="0.3">
      <c r="A456" t="s">
        <v>21</v>
      </c>
      <c r="B456" t="s">
        <v>108</v>
      </c>
      <c r="C456" t="s">
        <v>1705</v>
      </c>
      <c r="D456">
        <v>1</v>
      </c>
      <c r="E456" s="358">
        <v>3</v>
      </c>
      <c r="F456" s="358" t="s">
        <v>7</v>
      </c>
      <c r="G456" s="358" t="s">
        <v>11</v>
      </c>
      <c r="H456" s="358" t="s">
        <v>11</v>
      </c>
    </row>
    <row r="457" spans="1:8" x14ac:dyDescent="0.3">
      <c r="A457" t="s">
        <v>21</v>
      </c>
      <c r="B457" t="s">
        <v>108</v>
      </c>
      <c r="C457" t="s">
        <v>1706</v>
      </c>
      <c r="D457">
        <v>2</v>
      </c>
      <c r="E457" s="358">
        <v>4</v>
      </c>
      <c r="F457" s="358" t="s">
        <v>7</v>
      </c>
      <c r="G457" s="358" t="s">
        <v>11</v>
      </c>
      <c r="H457" s="358" t="s">
        <v>11</v>
      </c>
    </row>
    <row r="458" spans="1:8" x14ac:dyDescent="0.3">
      <c r="A458" t="s">
        <v>21</v>
      </c>
      <c r="B458" t="s">
        <v>108</v>
      </c>
      <c r="C458" t="s">
        <v>1707</v>
      </c>
      <c r="D458">
        <v>2</v>
      </c>
      <c r="E458" s="358">
        <v>4</v>
      </c>
      <c r="F458" s="358" t="s">
        <v>7</v>
      </c>
      <c r="G458" s="358" t="s">
        <v>11</v>
      </c>
      <c r="H458" s="358" t="s">
        <v>11</v>
      </c>
    </row>
    <row r="459" spans="1:8" x14ac:dyDescent="0.3">
      <c r="A459" t="s">
        <v>21</v>
      </c>
      <c r="B459" t="s">
        <v>108</v>
      </c>
      <c r="C459" t="s">
        <v>1708</v>
      </c>
      <c r="D459">
        <v>3</v>
      </c>
      <c r="E459" s="358">
        <v>3</v>
      </c>
      <c r="F459" s="358" t="s">
        <v>7</v>
      </c>
      <c r="G459" s="358" t="s">
        <v>11</v>
      </c>
      <c r="H459" s="358" t="s">
        <v>11</v>
      </c>
    </row>
    <row r="460" spans="1:8" x14ac:dyDescent="0.3">
      <c r="A460" t="s">
        <v>21</v>
      </c>
      <c r="B460" t="s">
        <v>108</v>
      </c>
      <c r="C460" t="s">
        <v>1709</v>
      </c>
      <c r="D460">
        <v>2</v>
      </c>
      <c r="E460" s="358">
        <v>3</v>
      </c>
      <c r="F460" s="358" t="s">
        <v>7</v>
      </c>
      <c r="G460" s="358" t="s">
        <v>11</v>
      </c>
      <c r="H460" s="358" t="s">
        <v>11</v>
      </c>
    </row>
    <row r="461" spans="1:8" x14ac:dyDescent="0.3">
      <c r="A461" t="s">
        <v>21</v>
      </c>
      <c r="B461" t="s">
        <v>108</v>
      </c>
      <c r="C461" t="s">
        <v>1710</v>
      </c>
      <c r="D461">
        <v>2</v>
      </c>
      <c r="E461" s="358">
        <v>3</v>
      </c>
      <c r="F461" s="358" t="s">
        <v>7</v>
      </c>
      <c r="G461" s="358" t="s">
        <v>11</v>
      </c>
      <c r="H461" s="358" t="s">
        <v>11</v>
      </c>
    </row>
    <row r="462" spans="1:8" x14ac:dyDescent="0.3">
      <c r="A462" t="s">
        <v>21</v>
      </c>
      <c r="B462" t="s">
        <v>108</v>
      </c>
      <c r="C462" t="s">
        <v>1711</v>
      </c>
      <c r="D462">
        <v>2</v>
      </c>
      <c r="E462" s="358">
        <v>3</v>
      </c>
      <c r="F462" s="358" t="s">
        <v>7</v>
      </c>
      <c r="G462" s="358" t="s">
        <v>11</v>
      </c>
      <c r="H462" s="358" t="s">
        <v>11</v>
      </c>
    </row>
    <row r="463" spans="1:8" x14ac:dyDescent="0.3">
      <c r="A463" t="s">
        <v>21</v>
      </c>
      <c r="B463" t="s">
        <v>108</v>
      </c>
      <c r="C463" t="s">
        <v>1712</v>
      </c>
      <c r="D463">
        <v>2</v>
      </c>
      <c r="E463" s="358">
        <v>3</v>
      </c>
      <c r="F463" s="358" t="s">
        <v>7</v>
      </c>
      <c r="G463" s="358" t="s">
        <v>11</v>
      </c>
      <c r="H463" s="358" t="s">
        <v>11</v>
      </c>
    </row>
    <row r="464" spans="1:8" x14ac:dyDescent="0.3">
      <c r="A464" t="s">
        <v>21</v>
      </c>
      <c r="B464" t="s">
        <v>108</v>
      </c>
      <c r="C464" t="s">
        <v>1348</v>
      </c>
      <c r="D464">
        <v>2</v>
      </c>
      <c r="E464" s="358">
        <v>3</v>
      </c>
      <c r="F464" s="358" t="s">
        <v>7</v>
      </c>
      <c r="G464" s="358" t="s">
        <v>11</v>
      </c>
      <c r="H464" s="358" t="s">
        <v>11</v>
      </c>
    </row>
    <row r="465" spans="1:8" x14ac:dyDescent="0.3">
      <c r="A465" t="s">
        <v>21</v>
      </c>
      <c r="B465" t="s">
        <v>108</v>
      </c>
      <c r="C465" t="s">
        <v>1349</v>
      </c>
      <c r="D465">
        <v>3</v>
      </c>
      <c r="E465" s="358">
        <v>3</v>
      </c>
      <c r="F465" s="358" t="s">
        <v>7</v>
      </c>
      <c r="G465" s="358" t="s">
        <v>115</v>
      </c>
      <c r="H465" s="358" t="s">
        <v>11</v>
      </c>
    </row>
    <row r="466" spans="1:8" x14ac:dyDescent="0.3">
      <c r="A466" t="s">
        <v>21</v>
      </c>
      <c r="B466" t="s">
        <v>108</v>
      </c>
      <c r="C466" t="s">
        <v>1713</v>
      </c>
      <c r="D466">
        <v>3</v>
      </c>
      <c r="E466" s="358">
        <v>3</v>
      </c>
      <c r="F466" s="358" t="s">
        <v>7</v>
      </c>
      <c r="G466" s="358" t="s">
        <v>115</v>
      </c>
      <c r="H466" s="358" t="s">
        <v>11</v>
      </c>
    </row>
    <row r="467" spans="1:8" x14ac:dyDescent="0.3">
      <c r="A467" t="s">
        <v>21</v>
      </c>
      <c r="B467" t="s">
        <v>108</v>
      </c>
      <c r="C467" t="s">
        <v>1350</v>
      </c>
      <c r="D467">
        <v>2</v>
      </c>
      <c r="E467" s="358">
        <v>3</v>
      </c>
      <c r="F467" s="358" t="s">
        <v>7</v>
      </c>
      <c r="G467" s="358" t="s">
        <v>11</v>
      </c>
      <c r="H467" s="358" t="s">
        <v>11</v>
      </c>
    </row>
    <row r="468" spans="1:8" x14ac:dyDescent="0.3">
      <c r="A468" t="s">
        <v>21</v>
      </c>
      <c r="B468" t="s">
        <v>108</v>
      </c>
      <c r="C468" t="s">
        <v>1714</v>
      </c>
      <c r="D468">
        <v>2</v>
      </c>
      <c r="E468" s="358">
        <v>3</v>
      </c>
      <c r="F468" s="358" t="s">
        <v>7</v>
      </c>
      <c r="G468" s="358" t="s">
        <v>11</v>
      </c>
      <c r="H468" s="358" t="s">
        <v>11</v>
      </c>
    </row>
    <row r="469" spans="1:8" x14ac:dyDescent="0.3">
      <c r="A469" t="s">
        <v>21</v>
      </c>
      <c r="B469" t="s">
        <v>108</v>
      </c>
      <c r="C469" t="s">
        <v>1715</v>
      </c>
      <c r="D469">
        <v>3</v>
      </c>
      <c r="E469" s="358">
        <v>2</v>
      </c>
      <c r="F469" s="358" t="s">
        <v>7</v>
      </c>
      <c r="G469" s="358" t="s">
        <v>115</v>
      </c>
      <c r="H469" s="358" t="s">
        <v>11</v>
      </c>
    </row>
    <row r="470" spans="1:8" x14ac:dyDescent="0.3">
      <c r="A470" t="s">
        <v>21</v>
      </c>
      <c r="B470" t="s">
        <v>108</v>
      </c>
      <c r="C470" t="s">
        <v>1351</v>
      </c>
      <c r="D470">
        <v>3</v>
      </c>
      <c r="E470" s="358">
        <v>3</v>
      </c>
      <c r="F470" s="358" t="s">
        <v>7</v>
      </c>
      <c r="G470" s="358" t="s">
        <v>11</v>
      </c>
      <c r="H470" s="358" t="s">
        <v>11</v>
      </c>
    </row>
    <row r="471" spans="1:8" x14ac:dyDescent="0.3">
      <c r="A471" t="s">
        <v>21</v>
      </c>
      <c r="B471" t="s">
        <v>108</v>
      </c>
      <c r="C471" t="s">
        <v>1716</v>
      </c>
      <c r="D471">
        <v>3</v>
      </c>
      <c r="E471" s="358">
        <v>3</v>
      </c>
      <c r="F471" s="358" t="s">
        <v>7</v>
      </c>
      <c r="G471" s="358" t="s">
        <v>115</v>
      </c>
      <c r="H471" s="358" t="s">
        <v>11</v>
      </c>
    </row>
    <row r="472" spans="1:8" x14ac:dyDescent="0.3">
      <c r="A472" t="s">
        <v>21</v>
      </c>
      <c r="B472" t="s">
        <v>108</v>
      </c>
      <c r="C472" t="s">
        <v>1454</v>
      </c>
      <c r="D472">
        <v>3</v>
      </c>
      <c r="E472" s="358">
        <v>3</v>
      </c>
      <c r="F472" s="358" t="s">
        <v>7</v>
      </c>
      <c r="G472" s="358" t="s">
        <v>115</v>
      </c>
      <c r="H472" s="358" t="s">
        <v>11</v>
      </c>
    </row>
    <row r="473" spans="1:8" x14ac:dyDescent="0.3">
      <c r="A473" t="s">
        <v>21</v>
      </c>
      <c r="B473" t="s">
        <v>108</v>
      </c>
      <c r="C473" t="s">
        <v>1717</v>
      </c>
      <c r="D473">
        <v>3</v>
      </c>
      <c r="E473" s="358">
        <v>3</v>
      </c>
      <c r="F473" s="358" t="s">
        <v>7</v>
      </c>
      <c r="G473" s="358" t="s">
        <v>11</v>
      </c>
      <c r="H473" s="358" t="s">
        <v>11</v>
      </c>
    </row>
    <row r="474" spans="1:8" x14ac:dyDescent="0.3">
      <c r="A474" t="s">
        <v>21</v>
      </c>
      <c r="B474" t="s">
        <v>108</v>
      </c>
      <c r="C474" t="s">
        <v>1352</v>
      </c>
      <c r="D474">
        <v>2</v>
      </c>
      <c r="E474" s="358">
        <v>3</v>
      </c>
      <c r="F474" s="358" t="s">
        <v>7</v>
      </c>
      <c r="G474" s="358" t="s">
        <v>11</v>
      </c>
      <c r="H474" s="358" t="s">
        <v>11</v>
      </c>
    </row>
    <row r="475" spans="1:8" x14ac:dyDescent="0.3">
      <c r="A475" t="s">
        <v>21</v>
      </c>
      <c r="B475" t="s">
        <v>108</v>
      </c>
      <c r="C475" t="s">
        <v>1718</v>
      </c>
      <c r="D475">
        <v>3</v>
      </c>
      <c r="E475" s="358">
        <v>2</v>
      </c>
      <c r="F475" s="358" t="s">
        <v>7</v>
      </c>
      <c r="G475" s="358" t="s">
        <v>115</v>
      </c>
      <c r="H475" s="358" t="s">
        <v>11</v>
      </c>
    </row>
    <row r="476" spans="1:8" x14ac:dyDescent="0.3">
      <c r="A476" t="s">
        <v>21</v>
      </c>
      <c r="B476" t="s">
        <v>108</v>
      </c>
      <c r="C476" t="s">
        <v>1719</v>
      </c>
      <c r="D476">
        <v>3</v>
      </c>
      <c r="E476" s="358">
        <v>3</v>
      </c>
      <c r="F476" s="358" t="s">
        <v>7</v>
      </c>
      <c r="G476" s="358" t="s">
        <v>115</v>
      </c>
      <c r="H476" s="358" t="s">
        <v>11</v>
      </c>
    </row>
    <row r="477" spans="1:8" x14ac:dyDescent="0.3">
      <c r="A477" t="s">
        <v>21</v>
      </c>
      <c r="B477" t="s">
        <v>108</v>
      </c>
      <c r="C477" t="s">
        <v>1355</v>
      </c>
      <c r="D477">
        <v>3</v>
      </c>
      <c r="E477" s="358">
        <v>3</v>
      </c>
      <c r="F477" s="358" t="s">
        <v>7</v>
      </c>
      <c r="G477" s="358" t="s">
        <v>115</v>
      </c>
      <c r="H477" s="358" t="s">
        <v>11</v>
      </c>
    </row>
    <row r="478" spans="1:8" x14ac:dyDescent="0.3">
      <c r="A478" t="s">
        <v>21</v>
      </c>
      <c r="B478" t="s">
        <v>108</v>
      </c>
      <c r="C478" t="s">
        <v>1634</v>
      </c>
      <c r="D478">
        <v>3</v>
      </c>
      <c r="E478" s="358">
        <v>2</v>
      </c>
      <c r="F478" s="358" t="s">
        <v>7</v>
      </c>
      <c r="G478" s="358" t="s">
        <v>115</v>
      </c>
      <c r="H478" s="358" t="s">
        <v>11</v>
      </c>
    </row>
    <row r="479" spans="1:8" x14ac:dyDescent="0.3">
      <c r="A479" t="s">
        <v>21</v>
      </c>
      <c r="B479" t="s">
        <v>108</v>
      </c>
      <c r="C479" t="s">
        <v>1456</v>
      </c>
      <c r="D479">
        <v>3</v>
      </c>
      <c r="E479" s="358">
        <v>3</v>
      </c>
      <c r="F479" s="358" t="s">
        <v>7</v>
      </c>
      <c r="G479" s="358" t="s">
        <v>11</v>
      </c>
      <c r="H479" s="358" t="s">
        <v>11</v>
      </c>
    </row>
    <row r="480" spans="1:8" x14ac:dyDescent="0.3">
      <c r="A480" t="s">
        <v>21</v>
      </c>
      <c r="B480" t="s">
        <v>108</v>
      </c>
      <c r="C480" t="s">
        <v>1720</v>
      </c>
      <c r="D480">
        <v>3</v>
      </c>
      <c r="E480" s="358">
        <v>2</v>
      </c>
      <c r="F480" s="358" t="s">
        <v>7</v>
      </c>
      <c r="G480" s="358" t="s">
        <v>115</v>
      </c>
      <c r="H480" s="358" t="s">
        <v>11</v>
      </c>
    </row>
    <row r="481" spans="1:8" x14ac:dyDescent="0.3">
      <c r="A481" t="s">
        <v>21</v>
      </c>
      <c r="B481" t="s">
        <v>108</v>
      </c>
      <c r="C481" t="s">
        <v>1357</v>
      </c>
      <c r="D481">
        <v>3</v>
      </c>
      <c r="E481" s="358">
        <v>2</v>
      </c>
      <c r="F481" s="358" t="s">
        <v>7</v>
      </c>
      <c r="G481" s="358" t="s">
        <v>115</v>
      </c>
      <c r="H481" s="358" t="s">
        <v>11</v>
      </c>
    </row>
    <row r="482" spans="1:8" x14ac:dyDescent="0.3">
      <c r="A482" t="s">
        <v>21</v>
      </c>
      <c r="B482" t="s">
        <v>108</v>
      </c>
      <c r="C482" t="s">
        <v>1721</v>
      </c>
      <c r="D482">
        <v>2</v>
      </c>
      <c r="E482" s="358">
        <v>4</v>
      </c>
      <c r="F482" s="358" t="s">
        <v>7</v>
      </c>
      <c r="G482" s="358" t="s">
        <v>11</v>
      </c>
      <c r="H482" s="358" t="s">
        <v>11</v>
      </c>
    </row>
    <row r="483" spans="1:8" x14ac:dyDescent="0.3">
      <c r="A483" t="s">
        <v>21</v>
      </c>
      <c r="B483" t="s">
        <v>108</v>
      </c>
      <c r="C483" t="s">
        <v>1358</v>
      </c>
      <c r="D483">
        <v>3</v>
      </c>
      <c r="E483" s="358">
        <v>3</v>
      </c>
      <c r="F483" s="358" t="s">
        <v>7</v>
      </c>
      <c r="G483" s="358" t="s">
        <v>115</v>
      </c>
      <c r="H483" s="358" t="s">
        <v>11</v>
      </c>
    </row>
    <row r="484" spans="1:8" x14ac:dyDescent="0.3">
      <c r="A484" t="s">
        <v>21</v>
      </c>
      <c r="B484" t="s">
        <v>108</v>
      </c>
      <c r="C484" t="s">
        <v>1359</v>
      </c>
      <c r="D484">
        <v>2</v>
      </c>
      <c r="E484" s="358">
        <v>3</v>
      </c>
      <c r="F484" s="358" t="s">
        <v>7</v>
      </c>
      <c r="G484" s="358" t="s">
        <v>11</v>
      </c>
      <c r="H484" s="358" t="s">
        <v>11</v>
      </c>
    </row>
    <row r="485" spans="1:8" x14ac:dyDescent="0.3">
      <c r="A485" t="s">
        <v>21</v>
      </c>
      <c r="B485" t="s">
        <v>108</v>
      </c>
      <c r="C485" t="s">
        <v>1361</v>
      </c>
      <c r="D485">
        <v>3</v>
      </c>
      <c r="E485" s="358">
        <v>3</v>
      </c>
      <c r="F485" s="358" t="s">
        <v>7</v>
      </c>
      <c r="G485" s="358" t="s">
        <v>115</v>
      </c>
      <c r="H485" s="358" t="s">
        <v>11</v>
      </c>
    </row>
    <row r="486" spans="1:8" x14ac:dyDescent="0.3">
      <c r="A486" t="s">
        <v>21</v>
      </c>
      <c r="B486" t="s">
        <v>108</v>
      </c>
      <c r="C486" t="s">
        <v>1722</v>
      </c>
      <c r="D486">
        <v>3</v>
      </c>
      <c r="E486" s="358">
        <v>3</v>
      </c>
      <c r="F486" s="358" t="s">
        <v>7</v>
      </c>
      <c r="G486" s="358" t="s">
        <v>11</v>
      </c>
      <c r="H486" s="358" t="s">
        <v>11</v>
      </c>
    </row>
    <row r="487" spans="1:8" x14ac:dyDescent="0.3">
      <c r="A487" t="s">
        <v>21</v>
      </c>
      <c r="B487" t="s">
        <v>108</v>
      </c>
      <c r="C487" t="s">
        <v>1723</v>
      </c>
      <c r="D487">
        <v>3</v>
      </c>
      <c r="E487" s="358">
        <v>2</v>
      </c>
      <c r="F487" s="358" t="s">
        <v>7</v>
      </c>
      <c r="G487" s="358" t="s">
        <v>115</v>
      </c>
      <c r="H487" s="358" t="s">
        <v>11</v>
      </c>
    </row>
    <row r="488" spans="1:8" x14ac:dyDescent="0.3">
      <c r="A488" t="s">
        <v>21</v>
      </c>
      <c r="B488" t="s">
        <v>108</v>
      </c>
      <c r="C488" t="s">
        <v>1724</v>
      </c>
      <c r="D488">
        <v>2</v>
      </c>
      <c r="E488" s="358">
        <v>3</v>
      </c>
      <c r="F488" s="358" t="s">
        <v>7</v>
      </c>
      <c r="G488" s="358" t="s">
        <v>11</v>
      </c>
      <c r="H488" s="358" t="s">
        <v>11</v>
      </c>
    </row>
    <row r="489" spans="1:8" x14ac:dyDescent="0.3">
      <c r="A489" t="s">
        <v>21</v>
      </c>
      <c r="B489" t="s">
        <v>108</v>
      </c>
      <c r="C489" t="s">
        <v>1460</v>
      </c>
      <c r="D489">
        <v>3</v>
      </c>
      <c r="E489" s="358">
        <v>2</v>
      </c>
      <c r="F489" s="358" t="s">
        <v>7</v>
      </c>
      <c r="G489" s="358" t="s">
        <v>115</v>
      </c>
      <c r="H489" s="358" t="s">
        <v>11</v>
      </c>
    </row>
    <row r="490" spans="1:8" x14ac:dyDescent="0.3">
      <c r="A490" t="s">
        <v>21</v>
      </c>
      <c r="B490" t="s">
        <v>108</v>
      </c>
      <c r="C490" t="s">
        <v>1725</v>
      </c>
      <c r="D490">
        <v>3</v>
      </c>
      <c r="E490" s="358">
        <v>2</v>
      </c>
      <c r="F490" s="358" t="s">
        <v>7</v>
      </c>
      <c r="G490" s="358" t="s">
        <v>115</v>
      </c>
      <c r="H490" s="358" t="s">
        <v>11</v>
      </c>
    </row>
    <row r="491" spans="1:8" x14ac:dyDescent="0.3">
      <c r="A491" t="s">
        <v>21</v>
      </c>
      <c r="B491" t="s">
        <v>108</v>
      </c>
      <c r="C491" t="s">
        <v>1364</v>
      </c>
      <c r="D491">
        <v>2</v>
      </c>
      <c r="E491" s="358">
        <v>3</v>
      </c>
      <c r="F491" s="358" t="s">
        <v>7</v>
      </c>
      <c r="G491" s="358" t="s">
        <v>11</v>
      </c>
      <c r="H491" s="358" t="s">
        <v>11</v>
      </c>
    </row>
    <row r="492" spans="1:8" x14ac:dyDescent="0.3">
      <c r="A492" t="s">
        <v>21</v>
      </c>
      <c r="B492" t="s">
        <v>108</v>
      </c>
      <c r="C492" t="s">
        <v>1365</v>
      </c>
      <c r="D492">
        <v>3</v>
      </c>
      <c r="E492" s="358">
        <v>3</v>
      </c>
      <c r="F492" s="358" t="s">
        <v>7</v>
      </c>
      <c r="G492" s="358" t="s">
        <v>115</v>
      </c>
      <c r="H492" s="358" t="s">
        <v>11</v>
      </c>
    </row>
    <row r="493" spans="1:8" x14ac:dyDescent="0.3">
      <c r="A493" t="s">
        <v>21</v>
      </c>
      <c r="B493" t="s">
        <v>108</v>
      </c>
      <c r="C493" t="s">
        <v>1366</v>
      </c>
      <c r="D493">
        <v>2</v>
      </c>
      <c r="E493" s="358">
        <v>3</v>
      </c>
      <c r="F493" s="358" t="s">
        <v>7</v>
      </c>
      <c r="G493" s="358" t="s">
        <v>11</v>
      </c>
      <c r="H493" s="358" t="s">
        <v>11</v>
      </c>
    </row>
    <row r="494" spans="1:8" x14ac:dyDescent="0.3">
      <c r="A494" t="s">
        <v>21</v>
      </c>
      <c r="B494" t="s">
        <v>108</v>
      </c>
      <c r="C494" t="s">
        <v>1726</v>
      </c>
      <c r="D494">
        <v>3</v>
      </c>
      <c r="E494" s="358">
        <v>4</v>
      </c>
      <c r="F494" s="358" t="s">
        <v>7</v>
      </c>
      <c r="G494" s="358" t="s">
        <v>11</v>
      </c>
      <c r="H494" s="358" t="s">
        <v>11</v>
      </c>
    </row>
    <row r="495" spans="1:8" x14ac:dyDescent="0.3">
      <c r="A495" t="s">
        <v>21</v>
      </c>
      <c r="B495" t="s">
        <v>108</v>
      </c>
      <c r="C495" t="s">
        <v>1727</v>
      </c>
      <c r="D495">
        <v>3</v>
      </c>
      <c r="E495" s="358">
        <v>3</v>
      </c>
      <c r="F495" s="358" t="s">
        <v>7</v>
      </c>
      <c r="G495" s="358" t="s">
        <v>11</v>
      </c>
      <c r="H495" s="358" t="s">
        <v>11</v>
      </c>
    </row>
    <row r="496" spans="1:8" x14ac:dyDescent="0.3">
      <c r="A496" t="s">
        <v>21</v>
      </c>
      <c r="B496" t="s">
        <v>108</v>
      </c>
      <c r="C496" t="s">
        <v>1463</v>
      </c>
      <c r="D496">
        <v>2</v>
      </c>
      <c r="E496" s="358">
        <v>3</v>
      </c>
      <c r="F496" s="358" t="s">
        <v>7</v>
      </c>
      <c r="G496" s="358" t="s">
        <v>11</v>
      </c>
      <c r="H496" s="358" t="s">
        <v>11</v>
      </c>
    </row>
    <row r="497" spans="1:8" x14ac:dyDescent="0.3">
      <c r="A497" t="s">
        <v>21</v>
      </c>
      <c r="B497" t="s">
        <v>108</v>
      </c>
      <c r="C497" t="s">
        <v>1728</v>
      </c>
      <c r="D497">
        <v>2</v>
      </c>
      <c r="E497" s="358">
        <v>3</v>
      </c>
      <c r="F497" s="358" t="s">
        <v>7</v>
      </c>
      <c r="G497" s="358" t="s">
        <v>11</v>
      </c>
      <c r="H497" s="358" t="s">
        <v>11</v>
      </c>
    </row>
    <row r="498" spans="1:8" x14ac:dyDescent="0.3">
      <c r="A498" t="s">
        <v>21</v>
      </c>
      <c r="B498" t="s">
        <v>108</v>
      </c>
      <c r="C498" t="s">
        <v>1729</v>
      </c>
      <c r="D498">
        <v>2</v>
      </c>
      <c r="E498" s="358">
        <v>3</v>
      </c>
      <c r="F498" s="358" t="s">
        <v>7</v>
      </c>
      <c r="G498" s="358" t="s">
        <v>11</v>
      </c>
      <c r="H498" s="358" t="s">
        <v>11</v>
      </c>
    </row>
    <row r="499" spans="1:8" x14ac:dyDescent="0.3">
      <c r="A499" t="s">
        <v>21</v>
      </c>
      <c r="B499" t="s">
        <v>108</v>
      </c>
      <c r="C499" t="s">
        <v>1730</v>
      </c>
      <c r="D499">
        <v>2</v>
      </c>
      <c r="E499" s="358">
        <v>3</v>
      </c>
      <c r="F499" s="358" t="s">
        <v>7</v>
      </c>
      <c r="G499" s="358" t="s">
        <v>11</v>
      </c>
      <c r="H499" s="358" t="s">
        <v>11</v>
      </c>
    </row>
    <row r="500" spans="1:8" x14ac:dyDescent="0.3">
      <c r="A500" t="s">
        <v>21</v>
      </c>
      <c r="B500" t="s">
        <v>108</v>
      </c>
      <c r="C500" t="s">
        <v>1731</v>
      </c>
      <c r="D500">
        <v>3</v>
      </c>
      <c r="E500" s="358">
        <v>3</v>
      </c>
      <c r="F500" s="358" t="s">
        <v>7</v>
      </c>
      <c r="G500" s="358" t="s">
        <v>115</v>
      </c>
      <c r="H500" s="358" t="s">
        <v>11</v>
      </c>
    </row>
    <row r="501" spans="1:8" x14ac:dyDescent="0.3">
      <c r="A501" t="s">
        <v>21</v>
      </c>
      <c r="B501" t="s">
        <v>108</v>
      </c>
      <c r="C501" t="s">
        <v>1368</v>
      </c>
      <c r="D501">
        <v>2</v>
      </c>
      <c r="E501" s="358">
        <v>4</v>
      </c>
      <c r="F501" s="358" t="s">
        <v>7</v>
      </c>
      <c r="G501" s="358" t="s">
        <v>11</v>
      </c>
      <c r="H501" s="358" t="s">
        <v>11</v>
      </c>
    </row>
    <row r="502" spans="1:8" x14ac:dyDescent="0.3">
      <c r="A502" t="s">
        <v>21</v>
      </c>
      <c r="B502" t="s">
        <v>108</v>
      </c>
      <c r="C502" t="s">
        <v>1732</v>
      </c>
      <c r="D502">
        <v>3</v>
      </c>
      <c r="E502" s="358">
        <v>2</v>
      </c>
      <c r="F502" s="358" t="s">
        <v>7</v>
      </c>
      <c r="G502" s="358" t="s">
        <v>115</v>
      </c>
      <c r="H502" s="358" t="s">
        <v>11</v>
      </c>
    </row>
    <row r="503" spans="1:8" x14ac:dyDescent="0.3">
      <c r="A503" t="s">
        <v>21</v>
      </c>
      <c r="B503" t="s">
        <v>108</v>
      </c>
      <c r="C503" t="s">
        <v>1369</v>
      </c>
      <c r="D503">
        <v>2</v>
      </c>
      <c r="E503" s="358">
        <v>3</v>
      </c>
      <c r="F503" s="358" t="s">
        <v>7</v>
      </c>
      <c r="G503" s="358" t="s">
        <v>11</v>
      </c>
      <c r="H503" s="358" t="s">
        <v>11</v>
      </c>
    </row>
    <row r="504" spans="1:8" x14ac:dyDescent="0.3">
      <c r="A504" t="s">
        <v>21</v>
      </c>
      <c r="B504" t="s">
        <v>108</v>
      </c>
      <c r="C504" t="s">
        <v>1467</v>
      </c>
      <c r="D504">
        <v>3</v>
      </c>
      <c r="E504" s="358">
        <v>3</v>
      </c>
      <c r="F504" s="358" t="s">
        <v>7</v>
      </c>
      <c r="G504" s="358" t="s">
        <v>11</v>
      </c>
      <c r="H504" s="358" t="s">
        <v>11</v>
      </c>
    </row>
    <row r="505" spans="1:8" x14ac:dyDescent="0.3">
      <c r="A505" t="s">
        <v>21</v>
      </c>
      <c r="B505" t="s">
        <v>108</v>
      </c>
      <c r="C505" t="s">
        <v>1470</v>
      </c>
      <c r="D505">
        <v>3</v>
      </c>
      <c r="E505" s="358">
        <v>3</v>
      </c>
      <c r="F505" s="358" t="s">
        <v>7</v>
      </c>
      <c r="G505" s="358" t="s">
        <v>115</v>
      </c>
      <c r="H505" s="358" t="s">
        <v>11</v>
      </c>
    </row>
    <row r="506" spans="1:8" x14ac:dyDescent="0.3">
      <c r="A506" t="s">
        <v>21</v>
      </c>
      <c r="B506" t="s">
        <v>108</v>
      </c>
      <c r="C506" t="s">
        <v>1645</v>
      </c>
      <c r="D506">
        <v>3</v>
      </c>
      <c r="E506" s="358">
        <v>3</v>
      </c>
      <c r="F506" s="358" t="s">
        <v>7</v>
      </c>
      <c r="G506" s="358" t="s">
        <v>11</v>
      </c>
      <c r="H506" s="358" t="s">
        <v>11</v>
      </c>
    </row>
    <row r="507" spans="1:8" x14ac:dyDescent="0.3">
      <c r="A507" t="s">
        <v>21</v>
      </c>
      <c r="B507" t="s">
        <v>108</v>
      </c>
      <c r="C507" t="s">
        <v>1733</v>
      </c>
      <c r="D507">
        <v>3</v>
      </c>
      <c r="E507" s="358">
        <v>3</v>
      </c>
      <c r="F507" s="358" t="s">
        <v>7</v>
      </c>
      <c r="G507" s="358" t="s">
        <v>115</v>
      </c>
      <c r="H507" s="358" t="s">
        <v>11</v>
      </c>
    </row>
    <row r="508" spans="1:8" x14ac:dyDescent="0.3">
      <c r="A508" t="s">
        <v>21</v>
      </c>
      <c r="B508" t="s">
        <v>108</v>
      </c>
      <c r="C508" t="s">
        <v>1734</v>
      </c>
      <c r="D508">
        <v>2</v>
      </c>
      <c r="E508" s="358">
        <v>4</v>
      </c>
      <c r="F508" s="358" t="s">
        <v>7</v>
      </c>
      <c r="G508" s="358" t="s">
        <v>11</v>
      </c>
      <c r="H508" s="358" t="s">
        <v>11</v>
      </c>
    </row>
    <row r="509" spans="1:8" x14ac:dyDescent="0.3">
      <c r="A509" t="s">
        <v>21</v>
      </c>
      <c r="B509" t="s">
        <v>108</v>
      </c>
      <c r="C509" t="s">
        <v>1370</v>
      </c>
      <c r="D509">
        <v>3</v>
      </c>
      <c r="E509" s="358">
        <v>3</v>
      </c>
      <c r="F509" s="358" t="s">
        <v>7</v>
      </c>
      <c r="G509" s="358" t="s">
        <v>115</v>
      </c>
      <c r="H509" s="358" t="s">
        <v>11</v>
      </c>
    </row>
    <row r="510" spans="1:8" x14ac:dyDescent="0.3">
      <c r="A510" t="s">
        <v>21</v>
      </c>
      <c r="B510" t="s">
        <v>108</v>
      </c>
      <c r="C510" t="s">
        <v>1735</v>
      </c>
      <c r="D510">
        <v>2</v>
      </c>
      <c r="E510" s="358">
        <v>3</v>
      </c>
      <c r="F510" s="358" t="s">
        <v>7</v>
      </c>
      <c r="G510" s="358" t="s">
        <v>11</v>
      </c>
      <c r="H510" s="358" t="s">
        <v>11</v>
      </c>
    </row>
    <row r="511" spans="1:8" x14ac:dyDescent="0.3">
      <c r="A511" t="s">
        <v>21</v>
      </c>
      <c r="B511" t="s">
        <v>108</v>
      </c>
      <c r="C511" t="s">
        <v>1736</v>
      </c>
      <c r="D511">
        <v>2</v>
      </c>
      <c r="E511" s="358">
        <v>3</v>
      </c>
      <c r="F511" s="358" t="s">
        <v>7</v>
      </c>
      <c r="G511" s="358" t="s">
        <v>11</v>
      </c>
      <c r="H511" s="358" t="s">
        <v>11</v>
      </c>
    </row>
    <row r="512" spans="1:8" x14ac:dyDescent="0.3">
      <c r="A512" t="s">
        <v>21</v>
      </c>
      <c r="B512" t="s">
        <v>108</v>
      </c>
      <c r="C512" t="s">
        <v>1737</v>
      </c>
      <c r="D512">
        <v>3</v>
      </c>
      <c r="E512" s="358">
        <v>3</v>
      </c>
      <c r="F512" s="358" t="s">
        <v>7</v>
      </c>
      <c r="G512" s="358" t="s">
        <v>115</v>
      </c>
      <c r="H512" s="358" t="s">
        <v>11</v>
      </c>
    </row>
    <row r="513" spans="1:8" x14ac:dyDescent="0.3">
      <c r="A513" t="s">
        <v>21</v>
      </c>
      <c r="B513" t="s">
        <v>108</v>
      </c>
      <c r="C513" t="s">
        <v>1738</v>
      </c>
      <c r="D513">
        <v>3</v>
      </c>
      <c r="E513" s="358">
        <v>3</v>
      </c>
      <c r="F513" s="358" t="s">
        <v>7</v>
      </c>
      <c r="G513" s="358" t="s">
        <v>115</v>
      </c>
      <c r="H513" s="358" t="s">
        <v>11</v>
      </c>
    </row>
    <row r="514" spans="1:8" x14ac:dyDescent="0.3">
      <c r="A514" t="s">
        <v>21</v>
      </c>
      <c r="B514" t="s">
        <v>108</v>
      </c>
      <c r="C514" t="s">
        <v>1650</v>
      </c>
      <c r="D514">
        <v>3</v>
      </c>
      <c r="E514" s="358">
        <v>2</v>
      </c>
      <c r="F514" s="358" t="s">
        <v>7</v>
      </c>
      <c r="G514" s="358" t="s">
        <v>115</v>
      </c>
      <c r="H514" s="358" t="s">
        <v>11</v>
      </c>
    </row>
    <row r="515" spans="1:8" x14ac:dyDescent="0.3">
      <c r="A515" t="s">
        <v>21</v>
      </c>
      <c r="B515" t="s">
        <v>108</v>
      </c>
      <c r="C515" t="s">
        <v>1739</v>
      </c>
      <c r="D515">
        <v>2</v>
      </c>
      <c r="E515" s="358">
        <v>3</v>
      </c>
      <c r="F515" s="358" t="s">
        <v>7</v>
      </c>
      <c r="G515" s="358" t="s">
        <v>11</v>
      </c>
      <c r="H515" s="358" t="s">
        <v>11</v>
      </c>
    </row>
    <row r="516" spans="1:8" x14ac:dyDescent="0.3">
      <c r="A516" t="s">
        <v>21</v>
      </c>
      <c r="B516" t="s">
        <v>108</v>
      </c>
      <c r="C516" t="s">
        <v>1740</v>
      </c>
      <c r="D516">
        <v>2</v>
      </c>
      <c r="E516" s="358">
        <v>4</v>
      </c>
      <c r="F516" s="358" t="s">
        <v>7</v>
      </c>
      <c r="G516" s="358" t="s">
        <v>11</v>
      </c>
      <c r="H516" s="358" t="s">
        <v>11</v>
      </c>
    </row>
    <row r="517" spans="1:8" x14ac:dyDescent="0.3">
      <c r="A517" t="s">
        <v>21</v>
      </c>
      <c r="B517" t="s">
        <v>108</v>
      </c>
      <c r="C517" t="s">
        <v>1741</v>
      </c>
      <c r="D517">
        <v>3</v>
      </c>
      <c r="E517" s="358">
        <v>3</v>
      </c>
      <c r="F517" s="358" t="s">
        <v>7</v>
      </c>
      <c r="G517" s="358" t="s">
        <v>115</v>
      </c>
      <c r="H517" s="358" t="s">
        <v>11</v>
      </c>
    </row>
    <row r="518" spans="1:8" x14ac:dyDescent="0.3">
      <c r="A518" t="s">
        <v>21</v>
      </c>
      <c r="B518" t="s">
        <v>108</v>
      </c>
      <c r="C518" t="s">
        <v>1374</v>
      </c>
      <c r="D518">
        <v>3</v>
      </c>
      <c r="E518" s="358">
        <v>3</v>
      </c>
      <c r="F518" s="358" t="s">
        <v>7</v>
      </c>
      <c r="G518" s="358" t="s">
        <v>115</v>
      </c>
      <c r="H518" s="358" t="s">
        <v>11</v>
      </c>
    </row>
    <row r="519" spans="1:8" x14ac:dyDescent="0.3">
      <c r="A519" t="s">
        <v>21</v>
      </c>
      <c r="B519" t="s">
        <v>108</v>
      </c>
      <c r="C519" t="s">
        <v>1742</v>
      </c>
      <c r="D519">
        <v>2</v>
      </c>
      <c r="E519" s="358">
        <v>3</v>
      </c>
      <c r="F519" s="358" t="s">
        <v>7</v>
      </c>
      <c r="G519" s="358" t="s">
        <v>11</v>
      </c>
      <c r="H519" s="358" t="s">
        <v>11</v>
      </c>
    </row>
    <row r="520" spans="1:8" x14ac:dyDescent="0.3">
      <c r="A520" t="s">
        <v>21</v>
      </c>
      <c r="B520" t="s">
        <v>108</v>
      </c>
      <c r="C520" t="s">
        <v>1743</v>
      </c>
      <c r="D520">
        <v>3</v>
      </c>
      <c r="E520" s="358">
        <v>3</v>
      </c>
      <c r="F520" s="358" t="s">
        <v>7</v>
      </c>
      <c r="G520" s="358" t="s">
        <v>11</v>
      </c>
      <c r="H520" s="358" t="s">
        <v>11</v>
      </c>
    </row>
    <row r="521" spans="1:8" x14ac:dyDescent="0.3">
      <c r="A521" t="s">
        <v>21</v>
      </c>
      <c r="B521" t="s">
        <v>108</v>
      </c>
      <c r="C521" t="s">
        <v>1744</v>
      </c>
      <c r="D521">
        <v>3</v>
      </c>
      <c r="E521" s="358">
        <v>2</v>
      </c>
      <c r="F521" s="358" t="s">
        <v>7</v>
      </c>
      <c r="G521" s="358" t="s">
        <v>115</v>
      </c>
      <c r="H521" s="358" t="s">
        <v>11</v>
      </c>
    </row>
    <row r="522" spans="1:8" x14ac:dyDescent="0.3">
      <c r="A522" t="s">
        <v>21</v>
      </c>
      <c r="B522" t="s">
        <v>108</v>
      </c>
      <c r="C522" t="s">
        <v>1652</v>
      </c>
      <c r="D522">
        <v>3</v>
      </c>
      <c r="E522" s="358">
        <v>3</v>
      </c>
      <c r="F522" s="358" t="s">
        <v>7</v>
      </c>
      <c r="G522" s="358" t="s">
        <v>115</v>
      </c>
      <c r="H522" s="358" t="s">
        <v>11</v>
      </c>
    </row>
    <row r="523" spans="1:8" x14ac:dyDescent="0.3">
      <c r="A523" t="s">
        <v>21</v>
      </c>
      <c r="B523" t="s">
        <v>108</v>
      </c>
      <c r="C523" t="s">
        <v>1745</v>
      </c>
      <c r="D523">
        <v>3</v>
      </c>
      <c r="E523" s="358">
        <v>3</v>
      </c>
      <c r="F523" s="358" t="s">
        <v>7</v>
      </c>
      <c r="G523" s="358" t="s">
        <v>115</v>
      </c>
      <c r="H523" s="358" t="s">
        <v>11</v>
      </c>
    </row>
    <row r="524" spans="1:8" x14ac:dyDescent="0.3">
      <c r="A524" t="s">
        <v>21</v>
      </c>
      <c r="B524" t="s">
        <v>108</v>
      </c>
      <c r="C524" t="s">
        <v>1746</v>
      </c>
      <c r="D524">
        <v>3</v>
      </c>
      <c r="E524" s="358">
        <v>3</v>
      </c>
      <c r="F524" s="358" t="s">
        <v>7</v>
      </c>
      <c r="G524" s="358" t="s">
        <v>115</v>
      </c>
      <c r="H524" s="358" t="s">
        <v>11</v>
      </c>
    </row>
    <row r="525" spans="1:8" x14ac:dyDescent="0.3">
      <c r="A525" t="s">
        <v>21</v>
      </c>
      <c r="B525" t="s">
        <v>108</v>
      </c>
      <c r="C525" t="s">
        <v>1747</v>
      </c>
      <c r="D525">
        <v>3</v>
      </c>
      <c r="E525" s="358">
        <v>2</v>
      </c>
      <c r="F525" s="358" t="s">
        <v>7</v>
      </c>
      <c r="G525" s="358" t="s">
        <v>115</v>
      </c>
      <c r="H525" s="358" t="s">
        <v>11</v>
      </c>
    </row>
    <row r="526" spans="1:8" x14ac:dyDescent="0.3">
      <c r="A526" t="s">
        <v>21</v>
      </c>
      <c r="B526" t="s">
        <v>108</v>
      </c>
      <c r="C526" t="s">
        <v>1748</v>
      </c>
      <c r="D526">
        <v>3</v>
      </c>
      <c r="E526" s="358">
        <v>3</v>
      </c>
      <c r="F526" s="358" t="s">
        <v>7</v>
      </c>
      <c r="G526" s="358" t="s">
        <v>115</v>
      </c>
      <c r="H526" s="358" t="s">
        <v>11</v>
      </c>
    </row>
    <row r="527" spans="1:8" x14ac:dyDescent="0.3">
      <c r="A527" t="s">
        <v>21</v>
      </c>
      <c r="B527" t="s">
        <v>108</v>
      </c>
      <c r="C527" t="s">
        <v>1749</v>
      </c>
      <c r="D527">
        <v>3</v>
      </c>
      <c r="E527" s="358">
        <v>2</v>
      </c>
      <c r="F527" s="358" t="s">
        <v>7</v>
      </c>
      <c r="G527" s="358" t="s">
        <v>115</v>
      </c>
      <c r="H527" s="358" t="s">
        <v>11</v>
      </c>
    </row>
    <row r="528" spans="1:8" x14ac:dyDescent="0.3">
      <c r="A528" t="s">
        <v>21</v>
      </c>
      <c r="B528" t="s">
        <v>108</v>
      </c>
      <c r="C528" t="s">
        <v>1750</v>
      </c>
      <c r="D528">
        <v>2</v>
      </c>
      <c r="E528" s="358">
        <v>4</v>
      </c>
      <c r="F528" s="358" t="s">
        <v>7</v>
      </c>
      <c r="G528" s="358" t="s">
        <v>11</v>
      </c>
      <c r="H528" s="358" t="s">
        <v>11</v>
      </c>
    </row>
    <row r="529" spans="1:8" x14ac:dyDescent="0.3">
      <c r="A529" t="s">
        <v>21</v>
      </c>
      <c r="B529" t="s">
        <v>108</v>
      </c>
      <c r="C529" t="s">
        <v>1751</v>
      </c>
      <c r="D529">
        <v>3</v>
      </c>
      <c r="E529" s="358">
        <v>3</v>
      </c>
      <c r="F529" s="358" t="s">
        <v>7</v>
      </c>
      <c r="G529" s="358" t="s">
        <v>115</v>
      </c>
      <c r="H529" s="358" t="s">
        <v>11</v>
      </c>
    </row>
    <row r="530" spans="1:8" x14ac:dyDescent="0.3">
      <c r="A530" t="s">
        <v>21</v>
      </c>
      <c r="B530" t="s">
        <v>108</v>
      </c>
      <c r="C530" t="s">
        <v>1752</v>
      </c>
      <c r="D530">
        <v>2</v>
      </c>
      <c r="E530" s="358">
        <v>3</v>
      </c>
      <c r="F530" s="358" t="s">
        <v>7</v>
      </c>
      <c r="G530" s="358" t="s">
        <v>11</v>
      </c>
      <c r="H530" s="358" t="s">
        <v>11</v>
      </c>
    </row>
    <row r="531" spans="1:8" x14ac:dyDescent="0.3">
      <c r="A531" t="s">
        <v>21</v>
      </c>
      <c r="B531" t="s">
        <v>108</v>
      </c>
      <c r="C531" t="s">
        <v>1753</v>
      </c>
      <c r="D531">
        <v>3</v>
      </c>
      <c r="E531" s="358">
        <v>3</v>
      </c>
      <c r="F531" s="358" t="s">
        <v>7</v>
      </c>
      <c r="G531" s="358" t="s">
        <v>115</v>
      </c>
      <c r="H531" s="358" t="s">
        <v>11</v>
      </c>
    </row>
    <row r="532" spans="1:8" x14ac:dyDescent="0.3">
      <c r="A532" t="s">
        <v>21</v>
      </c>
      <c r="B532" t="s">
        <v>108</v>
      </c>
      <c r="C532" t="s">
        <v>1754</v>
      </c>
      <c r="D532">
        <v>3</v>
      </c>
      <c r="E532" s="358">
        <v>3</v>
      </c>
      <c r="F532" s="358" t="s">
        <v>7</v>
      </c>
      <c r="G532" s="358" t="s">
        <v>115</v>
      </c>
      <c r="H532" s="358" t="s">
        <v>11</v>
      </c>
    </row>
    <row r="533" spans="1:8" x14ac:dyDescent="0.3">
      <c r="A533" t="s">
        <v>21</v>
      </c>
      <c r="B533" t="s">
        <v>108</v>
      </c>
      <c r="C533" t="s">
        <v>1479</v>
      </c>
      <c r="D533">
        <v>2</v>
      </c>
      <c r="E533" s="358">
        <v>4</v>
      </c>
      <c r="F533" s="358" t="s">
        <v>7</v>
      </c>
      <c r="G533" s="358" t="s">
        <v>11</v>
      </c>
      <c r="H533" s="358" t="s">
        <v>11</v>
      </c>
    </row>
    <row r="534" spans="1:8" x14ac:dyDescent="0.3">
      <c r="A534" t="s">
        <v>21</v>
      </c>
      <c r="B534" t="s">
        <v>108</v>
      </c>
      <c r="C534" t="s">
        <v>1755</v>
      </c>
      <c r="D534">
        <v>2</v>
      </c>
      <c r="E534" s="358">
        <v>3</v>
      </c>
      <c r="F534" s="358" t="s">
        <v>7</v>
      </c>
      <c r="G534" s="358" t="s">
        <v>11</v>
      </c>
      <c r="H534" s="358" t="s">
        <v>11</v>
      </c>
    </row>
    <row r="535" spans="1:8" x14ac:dyDescent="0.3">
      <c r="A535" t="s">
        <v>21</v>
      </c>
      <c r="B535" t="s">
        <v>108</v>
      </c>
      <c r="C535" t="s">
        <v>1378</v>
      </c>
      <c r="D535">
        <v>2</v>
      </c>
      <c r="E535" s="358">
        <v>4</v>
      </c>
      <c r="F535" s="358" t="s">
        <v>7</v>
      </c>
      <c r="G535" s="358" t="s">
        <v>11</v>
      </c>
      <c r="H535" s="358" t="s">
        <v>11</v>
      </c>
    </row>
    <row r="536" spans="1:8" x14ac:dyDescent="0.3">
      <c r="A536" t="s">
        <v>21</v>
      </c>
      <c r="B536" t="s">
        <v>108</v>
      </c>
      <c r="C536" t="s">
        <v>1655</v>
      </c>
      <c r="D536">
        <v>2</v>
      </c>
      <c r="E536" s="358">
        <v>3</v>
      </c>
      <c r="F536" s="358" t="s">
        <v>7</v>
      </c>
      <c r="G536" s="358" t="s">
        <v>11</v>
      </c>
      <c r="H536" s="358" t="s">
        <v>11</v>
      </c>
    </row>
    <row r="537" spans="1:8" x14ac:dyDescent="0.3">
      <c r="A537" t="s">
        <v>21</v>
      </c>
      <c r="B537" t="s">
        <v>108</v>
      </c>
      <c r="C537" t="s">
        <v>1756</v>
      </c>
      <c r="D537">
        <v>3</v>
      </c>
      <c r="E537" s="358">
        <v>2</v>
      </c>
      <c r="F537" s="358" t="s">
        <v>7</v>
      </c>
      <c r="G537" s="358" t="s">
        <v>115</v>
      </c>
      <c r="H537" s="358" t="s">
        <v>11</v>
      </c>
    </row>
    <row r="538" spans="1:8" x14ac:dyDescent="0.3">
      <c r="A538" t="s">
        <v>21</v>
      </c>
      <c r="B538" t="s">
        <v>108</v>
      </c>
      <c r="C538" t="s">
        <v>1757</v>
      </c>
      <c r="D538">
        <v>3</v>
      </c>
      <c r="E538" s="358">
        <v>3</v>
      </c>
      <c r="F538" s="358" t="s">
        <v>7</v>
      </c>
      <c r="G538" s="358" t="s">
        <v>11</v>
      </c>
      <c r="H538" s="358" t="s">
        <v>11</v>
      </c>
    </row>
    <row r="539" spans="1:8" x14ac:dyDescent="0.3">
      <c r="A539" t="s">
        <v>21</v>
      </c>
      <c r="B539" t="s">
        <v>108</v>
      </c>
      <c r="C539" t="s">
        <v>1379</v>
      </c>
      <c r="D539">
        <v>3</v>
      </c>
      <c r="E539" s="358">
        <v>3</v>
      </c>
      <c r="F539" s="358" t="s">
        <v>7</v>
      </c>
      <c r="G539" s="358" t="s">
        <v>11</v>
      </c>
      <c r="H539" s="358" t="s">
        <v>11</v>
      </c>
    </row>
    <row r="540" spans="1:8" x14ac:dyDescent="0.3">
      <c r="A540" t="s">
        <v>21</v>
      </c>
      <c r="B540" t="s">
        <v>108</v>
      </c>
      <c r="C540" t="s">
        <v>1758</v>
      </c>
      <c r="D540">
        <v>3</v>
      </c>
      <c r="E540" s="358">
        <v>2</v>
      </c>
      <c r="F540" s="358" t="s">
        <v>7</v>
      </c>
      <c r="G540" s="358" t="s">
        <v>115</v>
      </c>
      <c r="H540" s="358" t="s">
        <v>11</v>
      </c>
    </row>
    <row r="541" spans="1:8" x14ac:dyDescent="0.3">
      <c r="A541" t="s">
        <v>21</v>
      </c>
      <c r="B541" t="s">
        <v>108</v>
      </c>
      <c r="C541" t="s">
        <v>1759</v>
      </c>
      <c r="D541">
        <v>3</v>
      </c>
      <c r="E541" s="358">
        <v>3</v>
      </c>
      <c r="F541" s="358" t="s">
        <v>7</v>
      </c>
      <c r="G541" s="358" t="s">
        <v>115</v>
      </c>
      <c r="H541" s="358" t="s">
        <v>11</v>
      </c>
    </row>
    <row r="542" spans="1:8" x14ac:dyDescent="0.3">
      <c r="A542" t="s">
        <v>21</v>
      </c>
      <c r="B542" t="s">
        <v>108</v>
      </c>
      <c r="C542" t="s">
        <v>1760</v>
      </c>
      <c r="D542">
        <v>3</v>
      </c>
      <c r="E542" s="358">
        <v>3</v>
      </c>
      <c r="F542" s="358" t="s">
        <v>7</v>
      </c>
      <c r="G542" s="358" t="s">
        <v>115</v>
      </c>
      <c r="H542" s="358" t="s">
        <v>11</v>
      </c>
    </row>
    <row r="543" spans="1:8" x14ac:dyDescent="0.3">
      <c r="A543" t="s">
        <v>21</v>
      </c>
      <c r="B543" t="s">
        <v>108</v>
      </c>
      <c r="C543" t="s">
        <v>1481</v>
      </c>
      <c r="D543">
        <v>2</v>
      </c>
      <c r="E543" s="358">
        <v>4</v>
      </c>
      <c r="F543" s="358" t="s">
        <v>7</v>
      </c>
      <c r="G543" s="358" t="s">
        <v>11</v>
      </c>
      <c r="H543" s="358" t="s">
        <v>11</v>
      </c>
    </row>
    <row r="544" spans="1:8" x14ac:dyDescent="0.3">
      <c r="A544" t="s">
        <v>21</v>
      </c>
      <c r="B544" t="s">
        <v>108</v>
      </c>
      <c r="C544" t="s">
        <v>1761</v>
      </c>
      <c r="D544">
        <v>2</v>
      </c>
      <c r="E544" s="358">
        <v>4</v>
      </c>
      <c r="F544" s="358" t="s">
        <v>7</v>
      </c>
      <c r="G544" s="358" t="s">
        <v>11</v>
      </c>
      <c r="H544" s="358" t="s">
        <v>11</v>
      </c>
    </row>
    <row r="545" spans="1:8" x14ac:dyDescent="0.3">
      <c r="A545" t="s">
        <v>21</v>
      </c>
      <c r="B545" t="s">
        <v>108</v>
      </c>
      <c r="C545" t="s">
        <v>1380</v>
      </c>
      <c r="D545">
        <v>3</v>
      </c>
      <c r="E545" s="358">
        <v>3</v>
      </c>
      <c r="F545" s="358" t="s">
        <v>7</v>
      </c>
      <c r="G545" s="358" t="s">
        <v>115</v>
      </c>
      <c r="H545" s="358" t="s">
        <v>11</v>
      </c>
    </row>
    <row r="546" spans="1:8" x14ac:dyDescent="0.3">
      <c r="A546" t="s">
        <v>21</v>
      </c>
      <c r="B546" t="s">
        <v>108</v>
      </c>
      <c r="C546" t="s">
        <v>1762</v>
      </c>
      <c r="D546">
        <v>3</v>
      </c>
      <c r="E546" s="358">
        <v>3</v>
      </c>
      <c r="F546" s="358" t="s">
        <v>7</v>
      </c>
      <c r="G546" s="358" t="s">
        <v>11</v>
      </c>
      <c r="H546" s="358" t="s">
        <v>11</v>
      </c>
    </row>
    <row r="547" spans="1:8" x14ac:dyDescent="0.3">
      <c r="A547" t="s">
        <v>21</v>
      </c>
      <c r="B547" t="s">
        <v>108</v>
      </c>
      <c r="C547" t="s">
        <v>1763</v>
      </c>
      <c r="D547">
        <v>3</v>
      </c>
      <c r="E547" s="358">
        <v>3</v>
      </c>
      <c r="F547" s="358" t="s">
        <v>7</v>
      </c>
      <c r="G547" s="358" t="s">
        <v>11</v>
      </c>
      <c r="H547" s="358" t="s">
        <v>11</v>
      </c>
    </row>
    <row r="548" spans="1:8" x14ac:dyDescent="0.3">
      <c r="A548" t="s">
        <v>21</v>
      </c>
      <c r="B548" t="s">
        <v>108</v>
      </c>
      <c r="C548" t="s">
        <v>1764</v>
      </c>
      <c r="D548">
        <v>3</v>
      </c>
      <c r="E548" s="358">
        <v>3</v>
      </c>
      <c r="F548" s="358" t="s">
        <v>7</v>
      </c>
      <c r="G548" s="358" t="s">
        <v>115</v>
      </c>
      <c r="H548" s="358" t="s">
        <v>11</v>
      </c>
    </row>
    <row r="549" spans="1:8" x14ac:dyDescent="0.3">
      <c r="A549" t="s">
        <v>66</v>
      </c>
      <c r="C549" t="s">
        <v>1765</v>
      </c>
      <c r="D549" t="s">
        <v>11</v>
      </c>
      <c r="E549" s="358">
        <v>1</v>
      </c>
      <c r="F549" s="358" t="s">
        <v>7</v>
      </c>
      <c r="G549" s="358" t="s">
        <v>115</v>
      </c>
      <c r="H549" s="358" t="s">
        <v>3678</v>
      </c>
    </row>
    <row r="550" spans="1:8" x14ac:dyDescent="0.3">
      <c r="A550" t="s">
        <v>22</v>
      </c>
      <c r="B550" t="s">
        <v>120</v>
      </c>
      <c r="C550" t="s">
        <v>1766</v>
      </c>
      <c r="D550">
        <v>3</v>
      </c>
      <c r="E550" s="358">
        <v>1</v>
      </c>
      <c r="F550" s="358" t="s">
        <v>7</v>
      </c>
      <c r="G550" s="358" t="s">
        <v>115</v>
      </c>
      <c r="H550" s="358" t="s">
        <v>3678</v>
      </c>
    </row>
    <row r="551" spans="1:8" x14ac:dyDescent="0.3">
      <c r="A551" t="s">
        <v>22</v>
      </c>
      <c r="B551" t="s">
        <v>120</v>
      </c>
      <c r="C551" t="s">
        <v>1767</v>
      </c>
      <c r="D551">
        <v>3</v>
      </c>
      <c r="E551" s="358">
        <v>1</v>
      </c>
      <c r="F551" s="358" t="s">
        <v>7</v>
      </c>
      <c r="G551" s="358" t="s">
        <v>115</v>
      </c>
      <c r="H551" s="358" t="s">
        <v>3678</v>
      </c>
    </row>
    <row r="552" spans="1:8" x14ac:dyDescent="0.3">
      <c r="A552" t="s">
        <v>22</v>
      </c>
      <c r="B552" t="s">
        <v>120</v>
      </c>
      <c r="C552" t="s">
        <v>1768</v>
      </c>
      <c r="D552">
        <v>3</v>
      </c>
      <c r="E552" s="358">
        <v>1</v>
      </c>
      <c r="F552" s="358" t="s">
        <v>7</v>
      </c>
      <c r="G552" s="358" t="s">
        <v>115</v>
      </c>
      <c r="H552" s="358" t="s">
        <v>3678</v>
      </c>
    </row>
    <row r="553" spans="1:8" x14ac:dyDescent="0.3">
      <c r="A553" t="s">
        <v>22</v>
      </c>
      <c r="B553" t="s">
        <v>120</v>
      </c>
      <c r="C553" t="s">
        <v>1769</v>
      </c>
      <c r="D553">
        <v>3</v>
      </c>
      <c r="E553" s="358">
        <v>1</v>
      </c>
      <c r="F553" s="358" t="s">
        <v>7</v>
      </c>
      <c r="G553" s="358" t="s">
        <v>115</v>
      </c>
      <c r="H553" s="358" t="s">
        <v>3678</v>
      </c>
    </row>
    <row r="554" spans="1:8" x14ac:dyDescent="0.3">
      <c r="A554" t="s">
        <v>24</v>
      </c>
      <c r="B554" t="s">
        <v>76</v>
      </c>
      <c r="C554" t="s">
        <v>1770</v>
      </c>
      <c r="D554">
        <v>2</v>
      </c>
      <c r="E554" s="358">
        <v>5</v>
      </c>
      <c r="F554" s="358" t="s">
        <v>75</v>
      </c>
      <c r="G554" s="358" t="s">
        <v>11</v>
      </c>
      <c r="H554" s="358" t="s">
        <v>11</v>
      </c>
    </row>
    <row r="555" spans="1:8" x14ac:dyDescent="0.3">
      <c r="A555" t="s">
        <v>24</v>
      </c>
      <c r="B555" t="s">
        <v>76</v>
      </c>
      <c r="C555" t="s">
        <v>1540</v>
      </c>
      <c r="D555">
        <v>3</v>
      </c>
      <c r="E555" s="358">
        <v>6</v>
      </c>
      <c r="F555" s="358" t="s">
        <v>75</v>
      </c>
      <c r="G555" s="358" t="s">
        <v>11</v>
      </c>
      <c r="H555" s="358" t="s">
        <v>11</v>
      </c>
    </row>
    <row r="556" spans="1:8" x14ac:dyDescent="0.3">
      <c r="A556" t="s">
        <v>24</v>
      </c>
      <c r="B556" t="s">
        <v>76</v>
      </c>
      <c r="C556" t="s">
        <v>1771</v>
      </c>
      <c r="D556">
        <v>2</v>
      </c>
      <c r="E556" s="358">
        <v>6</v>
      </c>
      <c r="F556" s="358" t="s">
        <v>75</v>
      </c>
      <c r="G556" s="358" t="s">
        <v>11</v>
      </c>
      <c r="H556" s="358" t="s">
        <v>11</v>
      </c>
    </row>
    <row r="557" spans="1:8" x14ac:dyDescent="0.3">
      <c r="A557" t="s">
        <v>24</v>
      </c>
      <c r="B557" t="s">
        <v>76</v>
      </c>
      <c r="C557" t="s">
        <v>1772</v>
      </c>
      <c r="D557">
        <v>2</v>
      </c>
      <c r="E557" s="358">
        <v>6</v>
      </c>
      <c r="F557" s="358" t="s">
        <v>75</v>
      </c>
      <c r="G557" s="358" t="s">
        <v>11</v>
      </c>
      <c r="H557" s="358" t="s">
        <v>11</v>
      </c>
    </row>
    <row r="558" spans="1:8" x14ac:dyDescent="0.3">
      <c r="A558" t="s">
        <v>24</v>
      </c>
      <c r="B558" t="s">
        <v>76</v>
      </c>
      <c r="C558" t="s">
        <v>1773</v>
      </c>
      <c r="D558">
        <v>1</v>
      </c>
      <c r="E558" s="358">
        <v>5</v>
      </c>
      <c r="F558" s="358" t="s">
        <v>75</v>
      </c>
      <c r="G558" s="358" t="s">
        <v>11</v>
      </c>
      <c r="H558" s="358" t="s">
        <v>11</v>
      </c>
    </row>
    <row r="559" spans="1:8" x14ac:dyDescent="0.3">
      <c r="A559" t="s">
        <v>24</v>
      </c>
      <c r="B559" t="s">
        <v>76</v>
      </c>
      <c r="C559" t="s">
        <v>1774</v>
      </c>
      <c r="D559">
        <v>2</v>
      </c>
      <c r="E559" s="358">
        <v>6</v>
      </c>
      <c r="F559" s="358" t="s">
        <v>75</v>
      </c>
      <c r="G559" s="358" t="s">
        <v>11</v>
      </c>
      <c r="H559" s="358" t="s">
        <v>11</v>
      </c>
    </row>
    <row r="560" spans="1:8" x14ac:dyDescent="0.3">
      <c r="A560" t="s">
        <v>24</v>
      </c>
      <c r="B560" t="s">
        <v>76</v>
      </c>
      <c r="C560" t="s">
        <v>1775</v>
      </c>
      <c r="D560">
        <v>1</v>
      </c>
      <c r="E560" s="358">
        <v>6</v>
      </c>
      <c r="F560" s="358" t="s">
        <v>75</v>
      </c>
      <c r="G560" s="358" t="s">
        <v>11</v>
      </c>
      <c r="H560" s="358" t="s">
        <v>11</v>
      </c>
    </row>
    <row r="561" spans="1:8" x14ac:dyDescent="0.3">
      <c r="A561" t="s">
        <v>24</v>
      </c>
      <c r="B561" t="s">
        <v>76</v>
      </c>
      <c r="C561" t="s">
        <v>1776</v>
      </c>
      <c r="D561">
        <v>1</v>
      </c>
      <c r="E561" s="358">
        <v>6</v>
      </c>
      <c r="F561" s="358" t="s">
        <v>75</v>
      </c>
      <c r="G561" s="358" t="s">
        <v>11</v>
      </c>
      <c r="H561" s="358" t="s">
        <v>11</v>
      </c>
    </row>
    <row r="562" spans="1:8" x14ac:dyDescent="0.3">
      <c r="A562" t="s">
        <v>24</v>
      </c>
      <c r="B562" t="s">
        <v>76</v>
      </c>
      <c r="C562" t="s">
        <v>1777</v>
      </c>
      <c r="D562">
        <v>1</v>
      </c>
      <c r="E562" s="358">
        <v>6</v>
      </c>
      <c r="F562" s="358" t="s">
        <v>75</v>
      </c>
      <c r="G562" s="358" t="s">
        <v>11</v>
      </c>
      <c r="H562" s="358" t="s">
        <v>11</v>
      </c>
    </row>
    <row r="563" spans="1:8" x14ac:dyDescent="0.3">
      <c r="A563" t="s">
        <v>24</v>
      </c>
      <c r="B563" t="s">
        <v>76</v>
      </c>
      <c r="C563" t="s">
        <v>1778</v>
      </c>
      <c r="D563">
        <v>2</v>
      </c>
      <c r="E563" s="358">
        <v>6</v>
      </c>
      <c r="F563" s="358" t="s">
        <v>75</v>
      </c>
      <c r="G563" s="358" t="s">
        <v>11</v>
      </c>
      <c r="H563" s="358" t="s">
        <v>11</v>
      </c>
    </row>
    <row r="564" spans="1:8" x14ac:dyDescent="0.3">
      <c r="A564" t="s">
        <v>24</v>
      </c>
      <c r="B564" t="s">
        <v>76</v>
      </c>
      <c r="C564" t="s">
        <v>1779</v>
      </c>
      <c r="D564">
        <v>1</v>
      </c>
      <c r="E564" s="358">
        <v>6</v>
      </c>
      <c r="F564" s="358" t="s">
        <v>75</v>
      </c>
      <c r="G564" s="358" t="s">
        <v>11</v>
      </c>
      <c r="H564" s="358" t="s">
        <v>11</v>
      </c>
    </row>
    <row r="565" spans="1:8" x14ac:dyDescent="0.3">
      <c r="A565" t="s">
        <v>24</v>
      </c>
      <c r="B565" t="s">
        <v>76</v>
      </c>
      <c r="C565" t="s">
        <v>1487</v>
      </c>
      <c r="D565">
        <v>1</v>
      </c>
      <c r="E565" s="358">
        <v>6</v>
      </c>
      <c r="F565" s="358" t="s">
        <v>75</v>
      </c>
      <c r="G565" s="358" t="s">
        <v>11</v>
      </c>
      <c r="H565" s="358" t="s">
        <v>11</v>
      </c>
    </row>
    <row r="566" spans="1:8" x14ac:dyDescent="0.3">
      <c r="A566" t="s">
        <v>24</v>
      </c>
      <c r="B566" t="s">
        <v>76</v>
      </c>
      <c r="C566" t="s">
        <v>1780</v>
      </c>
      <c r="D566">
        <v>1</v>
      </c>
      <c r="E566" s="358">
        <v>6</v>
      </c>
      <c r="F566" s="358" t="s">
        <v>75</v>
      </c>
      <c r="G566" s="358" t="s">
        <v>11</v>
      </c>
      <c r="H566" s="358" t="s">
        <v>11</v>
      </c>
    </row>
    <row r="567" spans="1:8" x14ac:dyDescent="0.3">
      <c r="A567" t="s">
        <v>24</v>
      </c>
      <c r="B567" t="s">
        <v>76</v>
      </c>
      <c r="C567" t="s">
        <v>1781</v>
      </c>
      <c r="D567">
        <v>2</v>
      </c>
      <c r="E567" s="358">
        <v>5</v>
      </c>
      <c r="F567" s="358" t="s">
        <v>75</v>
      </c>
      <c r="G567" s="358" t="s">
        <v>11</v>
      </c>
      <c r="H567" s="358" t="s">
        <v>11</v>
      </c>
    </row>
    <row r="568" spans="1:8" x14ac:dyDescent="0.3">
      <c r="A568" t="s">
        <v>24</v>
      </c>
      <c r="B568" t="s">
        <v>76</v>
      </c>
      <c r="C568" t="s">
        <v>1782</v>
      </c>
      <c r="D568">
        <v>2</v>
      </c>
      <c r="E568" s="358">
        <v>6</v>
      </c>
      <c r="F568" s="358" t="s">
        <v>75</v>
      </c>
      <c r="G568" s="358" t="s">
        <v>11</v>
      </c>
      <c r="H568" s="358" t="s">
        <v>11</v>
      </c>
    </row>
    <row r="569" spans="1:8" x14ac:dyDescent="0.3">
      <c r="A569" t="s">
        <v>24</v>
      </c>
      <c r="B569" t="s">
        <v>76</v>
      </c>
      <c r="C569" t="s">
        <v>1783</v>
      </c>
      <c r="D569">
        <v>2</v>
      </c>
      <c r="E569" s="358">
        <v>5</v>
      </c>
      <c r="F569" s="358" t="s">
        <v>75</v>
      </c>
      <c r="G569" s="358" t="s">
        <v>11</v>
      </c>
      <c r="H569" s="358" t="s">
        <v>11</v>
      </c>
    </row>
    <row r="570" spans="1:8" x14ac:dyDescent="0.3">
      <c r="A570" t="s">
        <v>24</v>
      </c>
      <c r="B570" t="s">
        <v>76</v>
      </c>
      <c r="C570" t="s">
        <v>1435</v>
      </c>
      <c r="D570">
        <v>1</v>
      </c>
      <c r="E570" s="358">
        <v>6</v>
      </c>
      <c r="F570" s="358" t="s">
        <v>75</v>
      </c>
      <c r="G570" s="358" t="s">
        <v>11</v>
      </c>
      <c r="H570" s="358" t="s">
        <v>11</v>
      </c>
    </row>
    <row r="571" spans="1:8" x14ac:dyDescent="0.3">
      <c r="A571" t="s">
        <v>24</v>
      </c>
      <c r="B571" t="s">
        <v>76</v>
      </c>
      <c r="C571" t="s">
        <v>1784</v>
      </c>
      <c r="D571">
        <v>1</v>
      </c>
      <c r="E571" s="358">
        <v>5</v>
      </c>
      <c r="F571" s="358" t="s">
        <v>75</v>
      </c>
      <c r="G571" s="358" t="s">
        <v>11</v>
      </c>
      <c r="H571" s="358" t="s">
        <v>11</v>
      </c>
    </row>
    <row r="572" spans="1:8" x14ac:dyDescent="0.3">
      <c r="A572" t="s">
        <v>24</v>
      </c>
      <c r="B572" t="s">
        <v>76</v>
      </c>
      <c r="C572" t="s">
        <v>1554</v>
      </c>
      <c r="D572">
        <v>1</v>
      </c>
      <c r="E572" s="358">
        <v>6</v>
      </c>
      <c r="F572" s="358" t="s">
        <v>75</v>
      </c>
      <c r="G572" s="358" t="s">
        <v>11</v>
      </c>
      <c r="H572" s="358" t="s">
        <v>11</v>
      </c>
    </row>
    <row r="573" spans="1:8" x14ac:dyDescent="0.3">
      <c r="A573" t="s">
        <v>24</v>
      </c>
      <c r="B573" t="s">
        <v>76</v>
      </c>
      <c r="C573" t="s">
        <v>1340</v>
      </c>
      <c r="D573">
        <v>1</v>
      </c>
      <c r="E573" s="358">
        <v>5</v>
      </c>
      <c r="F573" s="358" t="s">
        <v>75</v>
      </c>
      <c r="G573" s="358" t="s">
        <v>11</v>
      </c>
      <c r="H573" s="358" t="s">
        <v>11</v>
      </c>
    </row>
    <row r="574" spans="1:8" x14ac:dyDescent="0.3">
      <c r="A574" t="s">
        <v>24</v>
      </c>
      <c r="B574" t="s">
        <v>76</v>
      </c>
      <c r="C574" t="s">
        <v>1344</v>
      </c>
      <c r="D574">
        <v>2</v>
      </c>
      <c r="E574" s="358">
        <v>6</v>
      </c>
      <c r="F574" s="358" t="s">
        <v>75</v>
      </c>
      <c r="G574" s="358" t="s">
        <v>11</v>
      </c>
      <c r="H574" s="358" t="s">
        <v>11</v>
      </c>
    </row>
    <row r="575" spans="1:8" x14ac:dyDescent="0.3">
      <c r="A575" t="s">
        <v>24</v>
      </c>
      <c r="B575" t="s">
        <v>76</v>
      </c>
      <c r="C575" t="s">
        <v>1562</v>
      </c>
      <c r="D575">
        <v>1</v>
      </c>
      <c r="E575" s="358">
        <v>6</v>
      </c>
      <c r="F575" s="358" t="s">
        <v>75</v>
      </c>
      <c r="G575" s="358" t="s">
        <v>11</v>
      </c>
      <c r="H575" s="358" t="s">
        <v>11</v>
      </c>
    </row>
    <row r="576" spans="1:8" x14ac:dyDescent="0.3">
      <c r="A576" t="s">
        <v>24</v>
      </c>
      <c r="B576" t="s">
        <v>76</v>
      </c>
      <c r="C576" t="s">
        <v>1785</v>
      </c>
      <c r="D576">
        <v>3</v>
      </c>
      <c r="E576" s="358">
        <v>5</v>
      </c>
      <c r="F576" s="358" t="s">
        <v>75</v>
      </c>
      <c r="G576" s="358" t="s">
        <v>11</v>
      </c>
      <c r="H576" s="358" t="s">
        <v>11</v>
      </c>
    </row>
    <row r="577" spans="1:8" x14ac:dyDescent="0.3">
      <c r="A577" t="s">
        <v>24</v>
      </c>
      <c r="B577" t="s">
        <v>76</v>
      </c>
      <c r="C577" t="s">
        <v>1786</v>
      </c>
      <c r="D577">
        <v>1</v>
      </c>
      <c r="E577" s="358">
        <v>5</v>
      </c>
      <c r="F577" s="358" t="s">
        <v>75</v>
      </c>
      <c r="G577" s="358" t="s">
        <v>11</v>
      </c>
      <c r="H577" s="358" t="s">
        <v>11</v>
      </c>
    </row>
    <row r="578" spans="1:8" x14ac:dyDescent="0.3">
      <c r="A578" t="s">
        <v>24</v>
      </c>
      <c r="B578" t="s">
        <v>76</v>
      </c>
      <c r="C578" t="s">
        <v>1787</v>
      </c>
      <c r="D578">
        <v>1</v>
      </c>
      <c r="E578" s="358">
        <v>5</v>
      </c>
      <c r="F578" s="358" t="s">
        <v>75</v>
      </c>
      <c r="G578" s="358" t="s">
        <v>11</v>
      </c>
      <c r="H578" s="358" t="s">
        <v>11</v>
      </c>
    </row>
    <row r="579" spans="1:8" x14ac:dyDescent="0.3">
      <c r="A579" t="s">
        <v>24</v>
      </c>
      <c r="B579" t="s">
        <v>76</v>
      </c>
      <c r="C579" t="s">
        <v>1351</v>
      </c>
      <c r="D579">
        <v>2</v>
      </c>
      <c r="E579" s="358">
        <v>6</v>
      </c>
      <c r="F579" s="358" t="s">
        <v>75</v>
      </c>
      <c r="G579" s="358" t="s">
        <v>11</v>
      </c>
      <c r="H579" s="358" t="s">
        <v>11</v>
      </c>
    </row>
    <row r="580" spans="1:8" x14ac:dyDescent="0.3">
      <c r="A580" t="s">
        <v>24</v>
      </c>
      <c r="B580" t="s">
        <v>76</v>
      </c>
      <c r="C580" t="s">
        <v>1788</v>
      </c>
      <c r="D580">
        <v>2</v>
      </c>
      <c r="E580" s="358">
        <v>5</v>
      </c>
      <c r="F580" s="358" t="s">
        <v>75</v>
      </c>
      <c r="G580" s="358" t="s">
        <v>11</v>
      </c>
      <c r="H580" s="358" t="s">
        <v>11</v>
      </c>
    </row>
    <row r="581" spans="1:8" x14ac:dyDescent="0.3">
      <c r="A581" t="s">
        <v>24</v>
      </c>
      <c r="B581" t="s">
        <v>76</v>
      </c>
      <c r="C581" t="s">
        <v>1789</v>
      </c>
      <c r="D581">
        <v>1</v>
      </c>
      <c r="E581" s="358">
        <v>5</v>
      </c>
      <c r="F581" s="358" t="s">
        <v>75</v>
      </c>
      <c r="G581" s="358" t="s">
        <v>11</v>
      </c>
      <c r="H581" s="358" t="s">
        <v>11</v>
      </c>
    </row>
    <row r="582" spans="1:8" x14ac:dyDescent="0.3">
      <c r="A582" t="s">
        <v>24</v>
      </c>
      <c r="B582" t="s">
        <v>76</v>
      </c>
      <c r="C582" t="s">
        <v>1790</v>
      </c>
      <c r="D582">
        <v>1</v>
      </c>
      <c r="E582" s="358">
        <v>5</v>
      </c>
      <c r="F582" s="358" t="s">
        <v>75</v>
      </c>
      <c r="G582" s="358" t="s">
        <v>11</v>
      </c>
      <c r="H582" s="358" t="s">
        <v>11</v>
      </c>
    </row>
    <row r="583" spans="1:8" x14ac:dyDescent="0.3">
      <c r="A583" t="s">
        <v>24</v>
      </c>
      <c r="B583" t="s">
        <v>76</v>
      </c>
      <c r="C583" t="s">
        <v>1791</v>
      </c>
      <c r="D583">
        <v>1</v>
      </c>
      <c r="E583" s="358">
        <v>6</v>
      </c>
      <c r="F583" s="358" t="s">
        <v>75</v>
      </c>
      <c r="G583" s="358" t="s">
        <v>11</v>
      </c>
      <c r="H583" s="358" t="s">
        <v>11</v>
      </c>
    </row>
    <row r="584" spans="1:8" x14ac:dyDescent="0.3">
      <c r="A584" t="s">
        <v>24</v>
      </c>
      <c r="B584" t="s">
        <v>76</v>
      </c>
      <c r="C584" t="s">
        <v>1792</v>
      </c>
      <c r="D584">
        <v>3</v>
      </c>
      <c r="E584" s="358">
        <v>5</v>
      </c>
      <c r="F584" s="358" t="s">
        <v>75</v>
      </c>
      <c r="G584" s="358" t="s">
        <v>11</v>
      </c>
      <c r="H584" s="358" t="s">
        <v>11</v>
      </c>
    </row>
    <row r="585" spans="1:8" x14ac:dyDescent="0.3">
      <c r="A585" t="s">
        <v>24</v>
      </c>
      <c r="B585" t="s">
        <v>76</v>
      </c>
      <c r="C585" t="s">
        <v>1456</v>
      </c>
      <c r="D585">
        <v>2</v>
      </c>
      <c r="E585" s="358">
        <v>5</v>
      </c>
      <c r="F585" s="358" t="s">
        <v>75</v>
      </c>
      <c r="G585" s="358" t="s">
        <v>11</v>
      </c>
      <c r="H585" s="358" t="s">
        <v>11</v>
      </c>
    </row>
    <row r="586" spans="1:8" x14ac:dyDescent="0.3">
      <c r="A586" t="s">
        <v>24</v>
      </c>
      <c r="B586" t="s">
        <v>76</v>
      </c>
      <c r="C586" t="s">
        <v>1359</v>
      </c>
      <c r="D586">
        <v>2</v>
      </c>
      <c r="E586" s="358">
        <v>6</v>
      </c>
      <c r="F586" s="358" t="s">
        <v>75</v>
      </c>
      <c r="G586" s="358" t="s">
        <v>11</v>
      </c>
      <c r="H586" s="358" t="s">
        <v>11</v>
      </c>
    </row>
    <row r="587" spans="1:8" x14ac:dyDescent="0.3">
      <c r="A587" t="s">
        <v>24</v>
      </c>
      <c r="B587" t="s">
        <v>76</v>
      </c>
      <c r="C587" t="s">
        <v>1793</v>
      </c>
      <c r="D587">
        <v>2</v>
      </c>
      <c r="E587" s="358">
        <v>5</v>
      </c>
      <c r="F587" s="358" t="s">
        <v>75</v>
      </c>
      <c r="G587" s="358" t="s">
        <v>11</v>
      </c>
      <c r="H587" s="358" t="s">
        <v>11</v>
      </c>
    </row>
    <row r="588" spans="1:8" x14ac:dyDescent="0.3">
      <c r="A588" t="s">
        <v>24</v>
      </c>
      <c r="B588" t="s">
        <v>76</v>
      </c>
      <c r="C588" t="s">
        <v>1794</v>
      </c>
      <c r="D588">
        <v>3</v>
      </c>
      <c r="E588" s="358">
        <v>5</v>
      </c>
      <c r="F588" s="358" t="s">
        <v>75</v>
      </c>
      <c r="G588" s="358" t="s">
        <v>11</v>
      </c>
      <c r="H588" s="358" t="s">
        <v>11</v>
      </c>
    </row>
    <row r="589" spans="1:8" x14ac:dyDescent="0.3">
      <c r="A589" t="s">
        <v>24</v>
      </c>
      <c r="B589" t="s">
        <v>76</v>
      </c>
      <c r="C589" t="s">
        <v>1795</v>
      </c>
      <c r="D589">
        <v>2</v>
      </c>
      <c r="E589" s="358">
        <v>6</v>
      </c>
      <c r="F589" s="358" t="s">
        <v>75</v>
      </c>
      <c r="G589" s="358" t="s">
        <v>11</v>
      </c>
      <c r="H589" s="358" t="s">
        <v>11</v>
      </c>
    </row>
    <row r="590" spans="1:8" x14ac:dyDescent="0.3">
      <c r="A590" t="s">
        <v>24</v>
      </c>
      <c r="B590" t="s">
        <v>76</v>
      </c>
      <c r="C590" t="s">
        <v>1796</v>
      </c>
      <c r="D590">
        <v>2</v>
      </c>
      <c r="E590" s="358">
        <v>5</v>
      </c>
      <c r="F590" s="358" t="s">
        <v>75</v>
      </c>
      <c r="G590" s="358" t="s">
        <v>11</v>
      </c>
      <c r="H590" s="358" t="s">
        <v>11</v>
      </c>
    </row>
    <row r="591" spans="1:8" x14ac:dyDescent="0.3">
      <c r="A591" t="s">
        <v>24</v>
      </c>
      <c r="B591" t="s">
        <v>76</v>
      </c>
      <c r="C591" t="s">
        <v>1797</v>
      </c>
      <c r="D591">
        <v>2</v>
      </c>
      <c r="E591" s="358">
        <v>5</v>
      </c>
      <c r="F591" s="358" t="s">
        <v>75</v>
      </c>
      <c r="G591" s="358" t="s">
        <v>11</v>
      </c>
      <c r="H591" s="358" t="s">
        <v>11</v>
      </c>
    </row>
    <row r="592" spans="1:8" x14ac:dyDescent="0.3">
      <c r="A592" t="s">
        <v>24</v>
      </c>
      <c r="B592" t="s">
        <v>76</v>
      </c>
      <c r="C592" t="s">
        <v>1798</v>
      </c>
      <c r="D592">
        <v>2</v>
      </c>
      <c r="E592" s="358">
        <v>5</v>
      </c>
      <c r="F592" s="358" t="s">
        <v>75</v>
      </c>
      <c r="G592" s="358" t="s">
        <v>11</v>
      </c>
      <c r="H592" s="358" t="s">
        <v>11</v>
      </c>
    </row>
    <row r="593" spans="1:8" x14ac:dyDescent="0.3">
      <c r="A593" t="s">
        <v>24</v>
      </c>
      <c r="B593" t="s">
        <v>76</v>
      </c>
      <c r="C593" t="s">
        <v>1799</v>
      </c>
      <c r="D593">
        <v>1</v>
      </c>
      <c r="E593" s="358">
        <v>5</v>
      </c>
      <c r="F593" s="358" t="s">
        <v>75</v>
      </c>
      <c r="G593" s="358" t="s">
        <v>11</v>
      </c>
      <c r="H593" s="358" t="s">
        <v>11</v>
      </c>
    </row>
    <row r="594" spans="1:8" x14ac:dyDescent="0.3">
      <c r="A594" t="s">
        <v>24</v>
      </c>
      <c r="B594" t="s">
        <v>76</v>
      </c>
      <c r="C594" t="s">
        <v>1800</v>
      </c>
      <c r="D594">
        <v>2</v>
      </c>
      <c r="E594" s="358">
        <v>6</v>
      </c>
      <c r="F594" s="358" t="s">
        <v>75</v>
      </c>
      <c r="G594" s="358" t="s">
        <v>11</v>
      </c>
      <c r="H594" s="358" t="s">
        <v>11</v>
      </c>
    </row>
    <row r="595" spans="1:8" x14ac:dyDescent="0.3">
      <c r="A595" t="s">
        <v>24</v>
      </c>
      <c r="B595" t="s">
        <v>76</v>
      </c>
      <c r="C595" t="s">
        <v>1801</v>
      </c>
      <c r="D595">
        <v>2</v>
      </c>
      <c r="E595" s="358">
        <v>5</v>
      </c>
      <c r="F595" s="358" t="s">
        <v>75</v>
      </c>
      <c r="G595" s="358" t="s">
        <v>11</v>
      </c>
      <c r="H595" s="358" t="s">
        <v>11</v>
      </c>
    </row>
    <row r="596" spans="1:8" x14ac:dyDescent="0.3">
      <c r="A596" t="s">
        <v>24</v>
      </c>
      <c r="B596" t="s">
        <v>76</v>
      </c>
      <c r="C596" t="s">
        <v>1802</v>
      </c>
      <c r="D596">
        <v>1</v>
      </c>
      <c r="E596" s="358">
        <v>6</v>
      </c>
      <c r="F596" s="358" t="s">
        <v>75</v>
      </c>
      <c r="G596" s="358" t="s">
        <v>11</v>
      </c>
      <c r="H596" s="358" t="s">
        <v>11</v>
      </c>
    </row>
    <row r="597" spans="1:8" x14ac:dyDescent="0.3">
      <c r="A597" t="s">
        <v>24</v>
      </c>
      <c r="B597" t="s">
        <v>76</v>
      </c>
      <c r="C597" t="s">
        <v>1379</v>
      </c>
      <c r="D597">
        <v>3</v>
      </c>
      <c r="E597" s="358">
        <v>5</v>
      </c>
      <c r="F597" s="358" t="s">
        <v>75</v>
      </c>
      <c r="G597" s="358" t="s">
        <v>11</v>
      </c>
      <c r="H597" s="358" t="s">
        <v>11</v>
      </c>
    </row>
    <row r="598" spans="1:8" x14ac:dyDescent="0.3">
      <c r="A598" t="s">
        <v>25</v>
      </c>
      <c r="B598" t="s">
        <v>88</v>
      </c>
      <c r="C598" t="s">
        <v>1540</v>
      </c>
      <c r="D598">
        <v>1</v>
      </c>
      <c r="E598" s="358">
        <v>5</v>
      </c>
      <c r="F598" s="358" t="s">
        <v>7</v>
      </c>
      <c r="G598" s="358" t="s">
        <v>11</v>
      </c>
      <c r="H598" s="358" t="s">
        <v>11</v>
      </c>
    </row>
    <row r="599" spans="1:8" x14ac:dyDescent="0.3">
      <c r="A599" t="s">
        <v>25</v>
      </c>
      <c r="B599" t="s">
        <v>88</v>
      </c>
      <c r="C599" t="s">
        <v>1803</v>
      </c>
      <c r="D599">
        <v>3</v>
      </c>
      <c r="E599" s="358">
        <v>4</v>
      </c>
      <c r="F599" s="358" t="s">
        <v>7</v>
      </c>
      <c r="G599" s="358" t="s">
        <v>11</v>
      </c>
      <c r="H599" s="358" t="s">
        <v>11</v>
      </c>
    </row>
    <row r="600" spans="1:8" x14ac:dyDescent="0.3">
      <c r="A600" t="s">
        <v>25</v>
      </c>
      <c r="B600" t="s">
        <v>88</v>
      </c>
      <c r="C600" t="s">
        <v>1804</v>
      </c>
      <c r="D600">
        <v>2</v>
      </c>
      <c r="E600" s="358">
        <v>4</v>
      </c>
      <c r="F600" s="358" t="s">
        <v>7</v>
      </c>
      <c r="G600" s="358" t="s">
        <v>11</v>
      </c>
      <c r="H600" s="358" t="s">
        <v>11</v>
      </c>
    </row>
    <row r="601" spans="1:8" x14ac:dyDescent="0.3">
      <c r="A601" t="s">
        <v>25</v>
      </c>
      <c r="B601" t="s">
        <v>88</v>
      </c>
      <c r="C601" t="s">
        <v>1431</v>
      </c>
      <c r="D601">
        <v>1</v>
      </c>
      <c r="E601" s="358">
        <v>5</v>
      </c>
      <c r="F601" s="358" t="s">
        <v>7</v>
      </c>
      <c r="G601" s="358" t="s">
        <v>11</v>
      </c>
      <c r="H601" s="358" t="s">
        <v>11</v>
      </c>
    </row>
    <row r="602" spans="1:8" x14ac:dyDescent="0.3">
      <c r="A602" t="s">
        <v>25</v>
      </c>
      <c r="B602" t="s">
        <v>88</v>
      </c>
      <c r="C602" t="s">
        <v>1805</v>
      </c>
      <c r="D602">
        <v>1</v>
      </c>
      <c r="E602" s="358">
        <v>5</v>
      </c>
      <c r="F602" s="358" t="s">
        <v>7</v>
      </c>
      <c r="G602" s="358" t="s">
        <v>11</v>
      </c>
      <c r="H602" s="358" t="s">
        <v>11</v>
      </c>
    </row>
    <row r="603" spans="1:8" x14ac:dyDescent="0.3">
      <c r="A603" t="s">
        <v>25</v>
      </c>
      <c r="B603" t="s">
        <v>88</v>
      </c>
      <c r="C603" t="s">
        <v>1806</v>
      </c>
      <c r="D603">
        <v>1</v>
      </c>
      <c r="E603" s="358">
        <v>5</v>
      </c>
      <c r="F603" s="358" t="s">
        <v>7</v>
      </c>
      <c r="G603" s="358" t="s">
        <v>11</v>
      </c>
      <c r="H603" s="358" t="s">
        <v>11</v>
      </c>
    </row>
    <row r="604" spans="1:8" x14ac:dyDescent="0.3">
      <c r="A604" t="s">
        <v>25</v>
      </c>
      <c r="B604" t="s">
        <v>88</v>
      </c>
      <c r="C604" t="s">
        <v>1322</v>
      </c>
      <c r="D604">
        <v>1</v>
      </c>
      <c r="E604" s="358">
        <v>5</v>
      </c>
      <c r="F604" s="358" t="s">
        <v>7</v>
      </c>
      <c r="G604" s="358" t="s">
        <v>11</v>
      </c>
      <c r="H604" s="358" t="s">
        <v>11</v>
      </c>
    </row>
    <row r="605" spans="1:8" x14ac:dyDescent="0.3">
      <c r="A605" t="s">
        <v>25</v>
      </c>
      <c r="B605" t="s">
        <v>88</v>
      </c>
      <c r="C605" t="s">
        <v>1433</v>
      </c>
      <c r="D605">
        <v>1</v>
      </c>
      <c r="E605" s="358">
        <v>5</v>
      </c>
      <c r="F605" s="358" t="s">
        <v>7</v>
      </c>
      <c r="G605" s="358" t="s">
        <v>11</v>
      </c>
      <c r="H605" s="358" t="s">
        <v>11</v>
      </c>
    </row>
    <row r="606" spans="1:8" x14ac:dyDescent="0.3">
      <c r="A606" t="s">
        <v>25</v>
      </c>
      <c r="B606" t="s">
        <v>88</v>
      </c>
      <c r="C606" t="s">
        <v>1807</v>
      </c>
      <c r="D606">
        <v>1</v>
      </c>
      <c r="E606" s="358">
        <v>5</v>
      </c>
      <c r="F606" s="358" t="s">
        <v>7</v>
      </c>
      <c r="G606" s="358" t="s">
        <v>11</v>
      </c>
      <c r="H606" s="358" t="s">
        <v>11</v>
      </c>
    </row>
    <row r="607" spans="1:8" x14ac:dyDescent="0.3">
      <c r="A607" t="s">
        <v>25</v>
      </c>
      <c r="B607" t="s">
        <v>88</v>
      </c>
      <c r="C607" t="s">
        <v>1808</v>
      </c>
      <c r="D607">
        <v>1</v>
      </c>
      <c r="E607" s="358">
        <v>5</v>
      </c>
      <c r="F607" s="358" t="s">
        <v>7</v>
      </c>
      <c r="G607" s="358" t="s">
        <v>11</v>
      </c>
      <c r="H607" s="358" t="s">
        <v>11</v>
      </c>
    </row>
    <row r="608" spans="1:8" x14ac:dyDescent="0.3">
      <c r="A608" t="s">
        <v>25</v>
      </c>
      <c r="B608" t="s">
        <v>88</v>
      </c>
      <c r="C608" t="s">
        <v>1809</v>
      </c>
      <c r="D608">
        <v>2</v>
      </c>
      <c r="E608" s="358">
        <v>4</v>
      </c>
      <c r="F608" s="358" t="s">
        <v>7</v>
      </c>
      <c r="G608" s="358" t="s">
        <v>11</v>
      </c>
      <c r="H608" s="358" t="s">
        <v>11</v>
      </c>
    </row>
    <row r="609" spans="1:8" x14ac:dyDescent="0.3">
      <c r="A609" t="s">
        <v>25</v>
      </c>
      <c r="B609" t="s">
        <v>88</v>
      </c>
      <c r="C609" t="s">
        <v>1435</v>
      </c>
      <c r="D609">
        <v>2</v>
      </c>
      <c r="E609" s="358">
        <v>5</v>
      </c>
      <c r="F609" s="358" t="s">
        <v>7</v>
      </c>
      <c r="G609" s="358" t="s">
        <v>11</v>
      </c>
      <c r="H609" s="358" t="s">
        <v>11</v>
      </c>
    </row>
    <row r="610" spans="1:8" x14ac:dyDescent="0.3">
      <c r="A610" t="s">
        <v>25</v>
      </c>
      <c r="B610" t="s">
        <v>88</v>
      </c>
      <c r="C610" t="s">
        <v>1328</v>
      </c>
      <c r="D610">
        <v>2</v>
      </c>
      <c r="E610" s="358">
        <v>4</v>
      </c>
      <c r="F610" s="358" t="s">
        <v>7</v>
      </c>
      <c r="G610" s="358" t="s">
        <v>11</v>
      </c>
      <c r="H610" s="358" t="s">
        <v>11</v>
      </c>
    </row>
    <row r="611" spans="1:8" x14ac:dyDescent="0.3">
      <c r="A611" t="s">
        <v>25</v>
      </c>
      <c r="B611" t="s">
        <v>88</v>
      </c>
      <c r="C611" t="s">
        <v>1810</v>
      </c>
      <c r="D611">
        <v>2</v>
      </c>
      <c r="E611" s="358">
        <v>4</v>
      </c>
      <c r="F611" s="358" t="s">
        <v>7</v>
      </c>
      <c r="G611" s="358" t="s">
        <v>11</v>
      </c>
      <c r="H611" s="358" t="s">
        <v>11</v>
      </c>
    </row>
    <row r="612" spans="1:8" x14ac:dyDescent="0.3">
      <c r="A612" t="s">
        <v>25</v>
      </c>
      <c r="B612" t="s">
        <v>88</v>
      </c>
      <c r="C612" t="s">
        <v>1811</v>
      </c>
      <c r="D612">
        <v>1</v>
      </c>
      <c r="E612" s="358">
        <v>5</v>
      </c>
      <c r="F612" s="358" t="s">
        <v>7</v>
      </c>
      <c r="G612" s="358" t="s">
        <v>11</v>
      </c>
      <c r="H612" s="358" t="s">
        <v>11</v>
      </c>
    </row>
    <row r="613" spans="1:8" x14ac:dyDescent="0.3">
      <c r="A613" t="s">
        <v>25</v>
      </c>
      <c r="B613" t="s">
        <v>88</v>
      </c>
      <c r="C613" t="s">
        <v>1682</v>
      </c>
      <c r="D613">
        <v>2</v>
      </c>
      <c r="E613" s="358">
        <v>5</v>
      </c>
      <c r="F613" s="358" t="s">
        <v>7</v>
      </c>
      <c r="G613" s="358" t="s">
        <v>11</v>
      </c>
      <c r="H613" s="358" t="s">
        <v>11</v>
      </c>
    </row>
    <row r="614" spans="1:8" x14ac:dyDescent="0.3">
      <c r="A614" t="s">
        <v>25</v>
      </c>
      <c r="B614" t="s">
        <v>88</v>
      </c>
      <c r="C614" t="s">
        <v>1440</v>
      </c>
      <c r="D614">
        <v>2</v>
      </c>
      <c r="E614" s="358">
        <v>4</v>
      </c>
      <c r="F614" s="358" t="s">
        <v>7</v>
      </c>
      <c r="G614" s="358" t="s">
        <v>11</v>
      </c>
      <c r="H614" s="358" t="s">
        <v>11</v>
      </c>
    </row>
    <row r="615" spans="1:8" x14ac:dyDescent="0.3">
      <c r="A615" t="s">
        <v>25</v>
      </c>
      <c r="B615" t="s">
        <v>88</v>
      </c>
      <c r="C615" t="s">
        <v>1812</v>
      </c>
      <c r="D615">
        <v>2</v>
      </c>
      <c r="E615" s="358">
        <v>5</v>
      </c>
      <c r="F615" s="358" t="s">
        <v>7</v>
      </c>
      <c r="G615" s="358" t="s">
        <v>11</v>
      </c>
      <c r="H615" s="358" t="s">
        <v>11</v>
      </c>
    </row>
    <row r="616" spans="1:8" x14ac:dyDescent="0.3">
      <c r="A616" t="s">
        <v>25</v>
      </c>
      <c r="B616" t="s">
        <v>88</v>
      </c>
      <c r="C616" t="s">
        <v>1688</v>
      </c>
      <c r="D616">
        <v>1</v>
      </c>
      <c r="E616" s="358">
        <v>5</v>
      </c>
      <c r="F616" s="358" t="s">
        <v>7</v>
      </c>
      <c r="G616" s="358" t="s">
        <v>11</v>
      </c>
      <c r="H616" s="358" t="s">
        <v>11</v>
      </c>
    </row>
    <row r="617" spans="1:8" x14ac:dyDescent="0.3">
      <c r="A617" t="s">
        <v>25</v>
      </c>
      <c r="B617" t="s">
        <v>88</v>
      </c>
      <c r="C617" t="s">
        <v>1813</v>
      </c>
      <c r="D617">
        <v>1</v>
      </c>
      <c r="E617" s="358">
        <v>5</v>
      </c>
      <c r="F617" s="358" t="s">
        <v>7</v>
      </c>
      <c r="G617" s="358" t="s">
        <v>11</v>
      </c>
      <c r="H617" s="358" t="s">
        <v>11</v>
      </c>
    </row>
    <row r="618" spans="1:8" x14ac:dyDescent="0.3">
      <c r="A618" t="s">
        <v>25</v>
      </c>
      <c r="B618" t="s">
        <v>88</v>
      </c>
      <c r="C618" t="s">
        <v>1558</v>
      </c>
      <c r="D618">
        <v>1</v>
      </c>
      <c r="E618" s="358">
        <v>5</v>
      </c>
      <c r="F618" s="358" t="s">
        <v>7</v>
      </c>
      <c r="G618" s="358" t="s">
        <v>11</v>
      </c>
      <c r="H618" s="358" t="s">
        <v>11</v>
      </c>
    </row>
    <row r="619" spans="1:8" x14ac:dyDescent="0.3">
      <c r="A619" t="s">
        <v>25</v>
      </c>
      <c r="B619" t="s">
        <v>88</v>
      </c>
      <c r="C619" t="s">
        <v>1814</v>
      </c>
      <c r="D619">
        <v>2</v>
      </c>
      <c r="E619" s="358">
        <v>5</v>
      </c>
      <c r="F619" s="358" t="s">
        <v>7</v>
      </c>
      <c r="G619" s="358" t="s">
        <v>11</v>
      </c>
      <c r="H619" s="358" t="s">
        <v>11</v>
      </c>
    </row>
    <row r="620" spans="1:8" x14ac:dyDescent="0.3">
      <c r="A620" t="s">
        <v>25</v>
      </c>
      <c r="B620" t="s">
        <v>88</v>
      </c>
      <c r="C620" t="s">
        <v>1815</v>
      </c>
      <c r="D620">
        <v>1</v>
      </c>
      <c r="E620" s="358">
        <v>5</v>
      </c>
      <c r="F620" s="358" t="s">
        <v>7</v>
      </c>
      <c r="G620" s="358" t="s">
        <v>11</v>
      </c>
      <c r="H620" s="358" t="s">
        <v>11</v>
      </c>
    </row>
    <row r="621" spans="1:8" x14ac:dyDescent="0.3">
      <c r="A621" t="s">
        <v>25</v>
      </c>
      <c r="B621" t="s">
        <v>88</v>
      </c>
      <c r="C621" t="s">
        <v>1816</v>
      </c>
      <c r="D621">
        <v>2</v>
      </c>
      <c r="E621" s="358">
        <v>4</v>
      </c>
      <c r="F621" s="358" t="s">
        <v>7</v>
      </c>
      <c r="G621" s="358" t="s">
        <v>11</v>
      </c>
      <c r="H621" s="358" t="s">
        <v>11</v>
      </c>
    </row>
    <row r="622" spans="1:8" x14ac:dyDescent="0.3">
      <c r="A622" t="s">
        <v>25</v>
      </c>
      <c r="B622" t="s">
        <v>88</v>
      </c>
      <c r="C622" t="s">
        <v>1694</v>
      </c>
      <c r="D622">
        <v>2</v>
      </c>
      <c r="E622" s="358">
        <v>4</v>
      </c>
      <c r="F622" s="358" t="s">
        <v>7</v>
      </c>
      <c r="G622" s="358" t="s">
        <v>11</v>
      </c>
      <c r="H622" s="358" t="s">
        <v>11</v>
      </c>
    </row>
    <row r="623" spans="1:8" x14ac:dyDescent="0.3">
      <c r="A623" t="s">
        <v>25</v>
      </c>
      <c r="B623" t="s">
        <v>88</v>
      </c>
      <c r="C623" t="s">
        <v>1343</v>
      </c>
      <c r="D623">
        <v>2</v>
      </c>
      <c r="E623" s="358">
        <v>4</v>
      </c>
      <c r="F623" s="358" t="s">
        <v>7</v>
      </c>
      <c r="G623" s="358" t="s">
        <v>11</v>
      </c>
      <c r="H623" s="358" t="s">
        <v>11</v>
      </c>
    </row>
    <row r="624" spans="1:8" x14ac:dyDescent="0.3">
      <c r="A624" t="s">
        <v>25</v>
      </c>
      <c r="B624" t="s">
        <v>88</v>
      </c>
      <c r="C624" t="s">
        <v>1817</v>
      </c>
      <c r="D624">
        <v>1</v>
      </c>
      <c r="E624" s="358">
        <v>5</v>
      </c>
      <c r="F624" s="358" t="s">
        <v>7</v>
      </c>
      <c r="G624" s="358" t="s">
        <v>11</v>
      </c>
      <c r="H624" s="358" t="s">
        <v>11</v>
      </c>
    </row>
    <row r="625" spans="1:8" x14ac:dyDescent="0.3">
      <c r="A625" t="s">
        <v>25</v>
      </c>
      <c r="B625" t="s">
        <v>88</v>
      </c>
      <c r="C625" t="s">
        <v>1344</v>
      </c>
      <c r="D625">
        <v>2</v>
      </c>
      <c r="E625" s="358">
        <v>4</v>
      </c>
      <c r="F625" s="358" t="s">
        <v>7</v>
      </c>
      <c r="G625" s="358" t="s">
        <v>11</v>
      </c>
      <c r="H625" s="358" t="s">
        <v>11</v>
      </c>
    </row>
    <row r="626" spans="1:8" x14ac:dyDescent="0.3">
      <c r="A626" t="s">
        <v>25</v>
      </c>
      <c r="B626" t="s">
        <v>88</v>
      </c>
      <c r="C626" t="s">
        <v>1446</v>
      </c>
      <c r="D626">
        <v>1</v>
      </c>
      <c r="E626" s="358">
        <v>5</v>
      </c>
      <c r="F626" s="358" t="s">
        <v>7</v>
      </c>
      <c r="G626" s="358" t="s">
        <v>11</v>
      </c>
      <c r="H626" s="358" t="s">
        <v>11</v>
      </c>
    </row>
    <row r="627" spans="1:8" x14ac:dyDescent="0.3">
      <c r="A627" t="s">
        <v>25</v>
      </c>
      <c r="B627" t="s">
        <v>88</v>
      </c>
      <c r="C627" t="s">
        <v>1818</v>
      </c>
      <c r="D627">
        <v>2</v>
      </c>
      <c r="E627" s="358">
        <v>4</v>
      </c>
      <c r="F627" s="358" t="s">
        <v>7</v>
      </c>
      <c r="G627" s="358" t="s">
        <v>11</v>
      </c>
      <c r="H627" s="358" t="s">
        <v>11</v>
      </c>
    </row>
    <row r="628" spans="1:8" x14ac:dyDescent="0.3">
      <c r="A628" t="s">
        <v>25</v>
      </c>
      <c r="B628" t="s">
        <v>88</v>
      </c>
      <c r="C628" t="s">
        <v>1346</v>
      </c>
      <c r="D628">
        <v>1</v>
      </c>
      <c r="E628" s="358">
        <v>5</v>
      </c>
      <c r="F628" s="358" t="s">
        <v>7</v>
      </c>
      <c r="G628" s="358" t="s">
        <v>11</v>
      </c>
      <c r="H628" s="358" t="s">
        <v>11</v>
      </c>
    </row>
    <row r="629" spans="1:8" x14ac:dyDescent="0.3">
      <c r="A629" t="s">
        <v>25</v>
      </c>
      <c r="B629" t="s">
        <v>88</v>
      </c>
      <c r="C629" t="s">
        <v>1819</v>
      </c>
      <c r="D629">
        <v>1</v>
      </c>
      <c r="E629" s="358">
        <v>5</v>
      </c>
      <c r="F629" s="358" t="s">
        <v>7</v>
      </c>
      <c r="G629" s="358" t="s">
        <v>11</v>
      </c>
      <c r="H629" s="358" t="s">
        <v>11</v>
      </c>
    </row>
    <row r="630" spans="1:8" x14ac:dyDescent="0.3">
      <c r="A630" t="s">
        <v>25</v>
      </c>
      <c r="B630" t="s">
        <v>88</v>
      </c>
      <c r="C630" t="s">
        <v>1624</v>
      </c>
      <c r="D630">
        <v>2</v>
      </c>
      <c r="E630" s="358">
        <v>4</v>
      </c>
      <c r="F630" s="358" t="s">
        <v>7</v>
      </c>
      <c r="G630" s="358" t="s">
        <v>11</v>
      </c>
      <c r="H630" s="358" t="s">
        <v>11</v>
      </c>
    </row>
    <row r="631" spans="1:8" x14ac:dyDescent="0.3">
      <c r="A631" t="s">
        <v>25</v>
      </c>
      <c r="B631" t="s">
        <v>88</v>
      </c>
      <c r="C631" t="s">
        <v>1708</v>
      </c>
      <c r="D631">
        <v>1</v>
      </c>
      <c r="E631" s="358">
        <v>5</v>
      </c>
      <c r="F631" s="358" t="s">
        <v>7</v>
      </c>
      <c r="G631" s="358" t="s">
        <v>11</v>
      </c>
      <c r="H631" s="358" t="s">
        <v>11</v>
      </c>
    </row>
    <row r="632" spans="1:8" x14ac:dyDescent="0.3">
      <c r="A632" t="s">
        <v>25</v>
      </c>
      <c r="B632" t="s">
        <v>88</v>
      </c>
      <c r="C632" t="s">
        <v>1820</v>
      </c>
      <c r="D632">
        <v>2</v>
      </c>
      <c r="E632" s="358">
        <v>4</v>
      </c>
      <c r="F632" s="358" t="s">
        <v>7</v>
      </c>
      <c r="G632" s="358" t="s">
        <v>11</v>
      </c>
      <c r="H632" s="358" t="s">
        <v>11</v>
      </c>
    </row>
    <row r="633" spans="1:8" x14ac:dyDescent="0.3">
      <c r="A633" t="s">
        <v>25</v>
      </c>
      <c r="B633" t="s">
        <v>88</v>
      </c>
      <c r="C633" t="s">
        <v>1821</v>
      </c>
      <c r="D633">
        <v>1</v>
      </c>
      <c r="E633" s="358">
        <v>5</v>
      </c>
      <c r="F633" s="358" t="s">
        <v>7</v>
      </c>
      <c r="G633" s="358" t="s">
        <v>11</v>
      </c>
      <c r="H633" s="358" t="s">
        <v>11</v>
      </c>
    </row>
    <row r="634" spans="1:8" x14ac:dyDescent="0.3">
      <c r="A634" t="s">
        <v>25</v>
      </c>
      <c r="B634" t="s">
        <v>88</v>
      </c>
      <c r="C634" t="s">
        <v>1348</v>
      </c>
      <c r="D634">
        <v>1</v>
      </c>
      <c r="E634" s="358">
        <v>5</v>
      </c>
      <c r="F634" s="358" t="s">
        <v>7</v>
      </c>
      <c r="G634" s="358" t="s">
        <v>11</v>
      </c>
      <c r="H634" s="358" t="s">
        <v>11</v>
      </c>
    </row>
    <row r="635" spans="1:8" x14ac:dyDescent="0.3">
      <c r="A635" t="s">
        <v>25</v>
      </c>
      <c r="B635" t="s">
        <v>88</v>
      </c>
      <c r="C635" t="s">
        <v>1822</v>
      </c>
      <c r="D635">
        <v>1</v>
      </c>
      <c r="E635" s="358">
        <v>5</v>
      </c>
      <c r="F635" s="358" t="s">
        <v>7</v>
      </c>
      <c r="G635" s="358" t="s">
        <v>11</v>
      </c>
      <c r="H635" s="358" t="s">
        <v>11</v>
      </c>
    </row>
    <row r="636" spans="1:8" x14ac:dyDescent="0.3">
      <c r="A636" t="s">
        <v>25</v>
      </c>
      <c r="B636" t="s">
        <v>88</v>
      </c>
      <c r="C636" t="s">
        <v>1350</v>
      </c>
      <c r="D636">
        <v>2</v>
      </c>
      <c r="E636" s="358">
        <v>4</v>
      </c>
      <c r="F636" s="358" t="s">
        <v>7</v>
      </c>
      <c r="G636" s="358" t="s">
        <v>11</v>
      </c>
      <c r="H636" s="358" t="s">
        <v>11</v>
      </c>
    </row>
    <row r="637" spans="1:8" x14ac:dyDescent="0.3">
      <c r="A637" t="s">
        <v>25</v>
      </c>
      <c r="B637" t="s">
        <v>88</v>
      </c>
      <c r="C637" t="s">
        <v>1714</v>
      </c>
      <c r="D637">
        <v>2</v>
      </c>
      <c r="E637" s="358">
        <v>4</v>
      </c>
      <c r="F637" s="358" t="s">
        <v>7</v>
      </c>
      <c r="G637" s="358" t="s">
        <v>11</v>
      </c>
      <c r="H637" s="358" t="s">
        <v>11</v>
      </c>
    </row>
    <row r="638" spans="1:8" x14ac:dyDescent="0.3">
      <c r="A638" t="s">
        <v>25</v>
      </c>
      <c r="B638" t="s">
        <v>88</v>
      </c>
      <c r="C638" t="s">
        <v>1351</v>
      </c>
      <c r="D638">
        <v>2</v>
      </c>
      <c r="E638" s="358">
        <v>4</v>
      </c>
      <c r="F638" s="358" t="s">
        <v>7</v>
      </c>
      <c r="G638" s="358" t="s">
        <v>11</v>
      </c>
      <c r="H638" s="358" t="s">
        <v>11</v>
      </c>
    </row>
    <row r="639" spans="1:8" x14ac:dyDescent="0.3">
      <c r="A639" t="s">
        <v>25</v>
      </c>
      <c r="B639" t="s">
        <v>88</v>
      </c>
      <c r="C639" t="s">
        <v>1823</v>
      </c>
      <c r="D639">
        <v>1</v>
      </c>
      <c r="E639" s="358">
        <v>5</v>
      </c>
      <c r="F639" s="358" t="s">
        <v>7</v>
      </c>
      <c r="G639" s="358" t="s">
        <v>11</v>
      </c>
      <c r="H639" s="358" t="s">
        <v>11</v>
      </c>
    </row>
    <row r="640" spans="1:8" x14ac:dyDescent="0.3">
      <c r="A640" t="s">
        <v>25</v>
      </c>
      <c r="B640" t="s">
        <v>88</v>
      </c>
      <c r="C640" t="s">
        <v>1824</v>
      </c>
      <c r="D640">
        <v>1</v>
      </c>
      <c r="E640" s="358">
        <v>5</v>
      </c>
      <c r="F640" s="358" t="s">
        <v>7</v>
      </c>
      <c r="G640" s="358" t="s">
        <v>11</v>
      </c>
      <c r="H640" s="358" t="s">
        <v>11</v>
      </c>
    </row>
    <row r="641" spans="1:8" x14ac:dyDescent="0.3">
      <c r="A641" t="s">
        <v>25</v>
      </c>
      <c r="B641" t="s">
        <v>88</v>
      </c>
      <c r="C641" t="s">
        <v>1454</v>
      </c>
      <c r="D641">
        <v>2</v>
      </c>
      <c r="E641" s="358">
        <v>4</v>
      </c>
      <c r="F641" s="358" t="s">
        <v>7</v>
      </c>
      <c r="G641" s="358" t="s">
        <v>11</v>
      </c>
      <c r="H641" s="358" t="s">
        <v>11</v>
      </c>
    </row>
    <row r="642" spans="1:8" x14ac:dyDescent="0.3">
      <c r="A642" t="s">
        <v>25</v>
      </c>
      <c r="B642" t="s">
        <v>88</v>
      </c>
      <c r="C642" t="s">
        <v>1825</v>
      </c>
      <c r="D642">
        <v>1</v>
      </c>
      <c r="E642" s="358">
        <v>5</v>
      </c>
      <c r="F642" s="358" t="s">
        <v>7</v>
      </c>
      <c r="G642" s="358" t="s">
        <v>11</v>
      </c>
      <c r="H642" s="358" t="s">
        <v>11</v>
      </c>
    </row>
    <row r="643" spans="1:8" x14ac:dyDescent="0.3">
      <c r="A643" t="s">
        <v>25</v>
      </c>
      <c r="B643" t="s">
        <v>88</v>
      </c>
      <c r="C643" t="s">
        <v>1826</v>
      </c>
      <c r="D643">
        <v>2</v>
      </c>
      <c r="E643" s="358">
        <v>5</v>
      </c>
      <c r="F643" s="358" t="s">
        <v>7</v>
      </c>
      <c r="G643" s="358" t="s">
        <v>11</v>
      </c>
      <c r="H643" s="358" t="s">
        <v>11</v>
      </c>
    </row>
    <row r="644" spans="1:8" x14ac:dyDescent="0.3">
      <c r="A644" t="s">
        <v>25</v>
      </c>
      <c r="B644" t="s">
        <v>88</v>
      </c>
      <c r="C644" t="s">
        <v>1827</v>
      </c>
      <c r="D644">
        <v>1</v>
      </c>
      <c r="E644" s="358">
        <v>5</v>
      </c>
      <c r="F644" s="358" t="s">
        <v>7</v>
      </c>
      <c r="G644" s="358" t="s">
        <v>11</v>
      </c>
      <c r="H644" s="358" t="s">
        <v>11</v>
      </c>
    </row>
    <row r="645" spans="1:8" x14ac:dyDescent="0.3">
      <c r="A645" t="s">
        <v>25</v>
      </c>
      <c r="B645" t="s">
        <v>88</v>
      </c>
      <c r="C645" t="s">
        <v>1828</v>
      </c>
      <c r="D645">
        <v>1</v>
      </c>
      <c r="E645" s="358">
        <v>5</v>
      </c>
      <c r="F645" s="358" t="s">
        <v>7</v>
      </c>
      <c r="G645" s="358" t="s">
        <v>11</v>
      </c>
      <c r="H645" s="358" t="s">
        <v>11</v>
      </c>
    </row>
    <row r="646" spans="1:8" x14ac:dyDescent="0.3">
      <c r="A646" t="s">
        <v>25</v>
      </c>
      <c r="B646" t="s">
        <v>88</v>
      </c>
      <c r="C646" t="s">
        <v>1829</v>
      </c>
      <c r="D646">
        <v>1</v>
      </c>
      <c r="E646" s="358">
        <v>5</v>
      </c>
      <c r="F646" s="358" t="s">
        <v>7</v>
      </c>
      <c r="G646" s="358" t="s">
        <v>11</v>
      </c>
      <c r="H646" s="358" t="s">
        <v>11</v>
      </c>
    </row>
    <row r="647" spans="1:8" x14ac:dyDescent="0.3">
      <c r="A647" t="s">
        <v>25</v>
      </c>
      <c r="B647" t="s">
        <v>88</v>
      </c>
      <c r="C647" t="s">
        <v>1500</v>
      </c>
      <c r="D647">
        <v>2</v>
      </c>
      <c r="E647" s="358">
        <v>5</v>
      </c>
      <c r="F647" s="358" t="s">
        <v>7</v>
      </c>
      <c r="G647" s="358" t="s">
        <v>11</v>
      </c>
      <c r="H647" s="358" t="s">
        <v>11</v>
      </c>
    </row>
    <row r="648" spans="1:8" x14ac:dyDescent="0.3">
      <c r="A648" t="s">
        <v>25</v>
      </c>
      <c r="B648" t="s">
        <v>88</v>
      </c>
      <c r="C648" t="s">
        <v>1354</v>
      </c>
      <c r="D648">
        <v>2</v>
      </c>
      <c r="E648" s="358">
        <v>4</v>
      </c>
      <c r="F648" s="358" t="s">
        <v>7</v>
      </c>
      <c r="G648" s="358" t="s">
        <v>11</v>
      </c>
      <c r="H648" s="358" t="s">
        <v>11</v>
      </c>
    </row>
    <row r="649" spans="1:8" x14ac:dyDescent="0.3">
      <c r="A649" t="s">
        <v>25</v>
      </c>
      <c r="B649" t="s">
        <v>88</v>
      </c>
      <c r="C649" t="s">
        <v>1355</v>
      </c>
      <c r="D649">
        <v>1</v>
      </c>
      <c r="E649" s="358">
        <v>5</v>
      </c>
      <c r="F649" s="358" t="s">
        <v>7</v>
      </c>
      <c r="G649" s="358" t="s">
        <v>11</v>
      </c>
      <c r="H649" s="358" t="s">
        <v>11</v>
      </c>
    </row>
    <row r="650" spans="1:8" x14ac:dyDescent="0.3">
      <c r="A650" t="s">
        <v>25</v>
      </c>
      <c r="B650" t="s">
        <v>88</v>
      </c>
      <c r="C650" t="s">
        <v>1830</v>
      </c>
      <c r="D650">
        <v>1</v>
      </c>
      <c r="E650" s="358">
        <v>5</v>
      </c>
      <c r="F650" s="358" t="s">
        <v>7</v>
      </c>
      <c r="G650" s="358" t="s">
        <v>11</v>
      </c>
      <c r="H650" s="358" t="s">
        <v>11</v>
      </c>
    </row>
    <row r="651" spans="1:8" x14ac:dyDescent="0.3">
      <c r="A651" t="s">
        <v>25</v>
      </c>
      <c r="B651" t="s">
        <v>88</v>
      </c>
      <c r="C651" t="s">
        <v>1458</v>
      </c>
      <c r="D651">
        <v>1</v>
      </c>
      <c r="E651" s="358">
        <v>5</v>
      </c>
      <c r="F651" s="358" t="s">
        <v>7</v>
      </c>
      <c r="G651" s="358" t="s">
        <v>11</v>
      </c>
      <c r="H651" s="358" t="s">
        <v>11</v>
      </c>
    </row>
    <row r="652" spans="1:8" x14ac:dyDescent="0.3">
      <c r="A652" t="s">
        <v>25</v>
      </c>
      <c r="B652" t="s">
        <v>88</v>
      </c>
      <c r="C652" t="s">
        <v>1358</v>
      </c>
      <c r="D652">
        <v>1</v>
      </c>
      <c r="E652" s="358">
        <v>5</v>
      </c>
      <c r="F652" s="358" t="s">
        <v>7</v>
      </c>
      <c r="G652" s="358" t="s">
        <v>11</v>
      </c>
      <c r="H652" s="358" t="s">
        <v>11</v>
      </c>
    </row>
    <row r="653" spans="1:8" x14ac:dyDescent="0.3">
      <c r="A653" t="s">
        <v>25</v>
      </c>
      <c r="B653" t="s">
        <v>88</v>
      </c>
      <c r="C653" t="s">
        <v>1831</v>
      </c>
      <c r="D653">
        <v>2</v>
      </c>
      <c r="E653" s="358">
        <v>4</v>
      </c>
      <c r="F653" s="358" t="s">
        <v>7</v>
      </c>
      <c r="G653" s="358" t="s">
        <v>11</v>
      </c>
      <c r="H653" s="358" t="s">
        <v>11</v>
      </c>
    </row>
    <row r="654" spans="1:8" x14ac:dyDescent="0.3">
      <c r="A654" t="s">
        <v>25</v>
      </c>
      <c r="B654" t="s">
        <v>88</v>
      </c>
      <c r="C654" t="s">
        <v>1359</v>
      </c>
      <c r="D654">
        <v>2</v>
      </c>
      <c r="E654" s="358">
        <v>4</v>
      </c>
      <c r="F654" s="358" t="s">
        <v>7</v>
      </c>
      <c r="G654" s="358" t="s">
        <v>11</v>
      </c>
      <c r="H654" s="358" t="s">
        <v>11</v>
      </c>
    </row>
    <row r="655" spans="1:8" x14ac:dyDescent="0.3">
      <c r="A655" t="s">
        <v>25</v>
      </c>
      <c r="B655" t="s">
        <v>88</v>
      </c>
      <c r="C655" t="s">
        <v>1361</v>
      </c>
      <c r="D655">
        <v>2</v>
      </c>
      <c r="E655" s="358">
        <v>4</v>
      </c>
      <c r="F655" s="358" t="s">
        <v>7</v>
      </c>
      <c r="G655" s="358" t="s">
        <v>11</v>
      </c>
      <c r="H655" s="358" t="s">
        <v>11</v>
      </c>
    </row>
    <row r="656" spans="1:8" x14ac:dyDescent="0.3">
      <c r="A656" t="s">
        <v>25</v>
      </c>
      <c r="B656" t="s">
        <v>88</v>
      </c>
      <c r="C656" t="s">
        <v>1362</v>
      </c>
      <c r="D656">
        <v>1</v>
      </c>
      <c r="E656" s="358">
        <v>5</v>
      </c>
      <c r="F656" s="358" t="s">
        <v>7</v>
      </c>
      <c r="G656" s="358" t="s">
        <v>11</v>
      </c>
      <c r="H656" s="358" t="s">
        <v>11</v>
      </c>
    </row>
    <row r="657" spans="1:8" x14ac:dyDescent="0.3">
      <c r="A657" t="s">
        <v>25</v>
      </c>
      <c r="B657" t="s">
        <v>88</v>
      </c>
      <c r="C657" t="s">
        <v>1832</v>
      </c>
      <c r="D657">
        <v>1</v>
      </c>
      <c r="E657" s="358">
        <v>5</v>
      </c>
      <c r="F657" s="358" t="s">
        <v>7</v>
      </c>
      <c r="G657" s="358" t="s">
        <v>11</v>
      </c>
      <c r="H657" s="358" t="s">
        <v>11</v>
      </c>
    </row>
    <row r="658" spans="1:8" x14ac:dyDescent="0.3">
      <c r="A658" t="s">
        <v>25</v>
      </c>
      <c r="B658" t="s">
        <v>88</v>
      </c>
      <c r="C658" t="s">
        <v>1833</v>
      </c>
      <c r="D658">
        <v>3</v>
      </c>
      <c r="E658" s="358">
        <v>4</v>
      </c>
      <c r="F658" s="358" t="s">
        <v>7</v>
      </c>
      <c r="G658" s="358" t="s">
        <v>11</v>
      </c>
      <c r="H658" s="358" t="s">
        <v>11</v>
      </c>
    </row>
    <row r="659" spans="1:8" x14ac:dyDescent="0.3">
      <c r="A659" t="s">
        <v>25</v>
      </c>
      <c r="B659" t="s">
        <v>88</v>
      </c>
      <c r="C659" t="s">
        <v>1834</v>
      </c>
      <c r="D659">
        <v>1</v>
      </c>
      <c r="E659" s="358">
        <v>5</v>
      </c>
      <c r="F659" s="358" t="s">
        <v>7</v>
      </c>
      <c r="G659" s="358" t="s">
        <v>11</v>
      </c>
      <c r="H659" s="358" t="s">
        <v>11</v>
      </c>
    </row>
    <row r="660" spans="1:8" x14ac:dyDescent="0.3">
      <c r="A660" t="s">
        <v>25</v>
      </c>
      <c r="B660" t="s">
        <v>88</v>
      </c>
      <c r="C660" t="s">
        <v>1835</v>
      </c>
      <c r="D660">
        <v>2</v>
      </c>
      <c r="E660" s="358">
        <v>5</v>
      </c>
      <c r="F660" s="358" t="s">
        <v>7</v>
      </c>
      <c r="G660" s="358" t="s">
        <v>11</v>
      </c>
      <c r="H660" s="358" t="s">
        <v>11</v>
      </c>
    </row>
    <row r="661" spans="1:8" x14ac:dyDescent="0.3">
      <c r="A661" t="s">
        <v>25</v>
      </c>
      <c r="B661" t="s">
        <v>88</v>
      </c>
      <c r="C661" t="s">
        <v>1836</v>
      </c>
      <c r="D661">
        <v>1</v>
      </c>
      <c r="E661" s="358">
        <v>5</v>
      </c>
      <c r="F661" s="358" t="s">
        <v>7</v>
      </c>
      <c r="G661" s="358" t="s">
        <v>11</v>
      </c>
      <c r="H661" s="358" t="s">
        <v>11</v>
      </c>
    </row>
    <row r="662" spans="1:8" x14ac:dyDescent="0.3">
      <c r="A662" t="s">
        <v>25</v>
      </c>
      <c r="B662" t="s">
        <v>88</v>
      </c>
      <c r="C662" t="s">
        <v>1837</v>
      </c>
      <c r="D662">
        <v>1</v>
      </c>
      <c r="E662" s="358">
        <v>5</v>
      </c>
      <c r="F662" s="358" t="s">
        <v>7</v>
      </c>
      <c r="G662" s="358" t="s">
        <v>11</v>
      </c>
      <c r="H662" s="358" t="s">
        <v>11</v>
      </c>
    </row>
    <row r="663" spans="1:8" x14ac:dyDescent="0.3">
      <c r="A663" t="s">
        <v>25</v>
      </c>
      <c r="B663" t="s">
        <v>88</v>
      </c>
      <c r="C663" t="s">
        <v>1838</v>
      </c>
      <c r="D663">
        <v>1</v>
      </c>
      <c r="E663" s="358">
        <v>5</v>
      </c>
      <c r="F663" s="358" t="s">
        <v>7</v>
      </c>
      <c r="G663" s="358" t="s">
        <v>11</v>
      </c>
      <c r="H663" s="358" t="s">
        <v>11</v>
      </c>
    </row>
    <row r="664" spans="1:8" x14ac:dyDescent="0.3">
      <c r="A664" t="s">
        <v>25</v>
      </c>
      <c r="B664" t="s">
        <v>88</v>
      </c>
      <c r="C664" t="s">
        <v>1364</v>
      </c>
      <c r="D664">
        <v>2</v>
      </c>
      <c r="E664" s="358">
        <v>4</v>
      </c>
      <c r="F664" s="358" t="s">
        <v>7</v>
      </c>
      <c r="G664" s="358" t="s">
        <v>11</v>
      </c>
      <c r="H664" s="358" t="s">
        <v>11</v>
      </c>
    </row>
    <row r="665" spans="1:8" x14ac:dyDescent="0.3">
      <c r="A665" t="s">
        <v>25</v>
      </c>
      <c r="B665" t="s">
        <v>88</v>
      </c>
      <c r="C665" t="s">
        <v>1365</v>
      </c>
      <c r="D665">
        <v>2</v>
      </c>
      <c r="E665" s="358">
        <v>4</v>
      </c>
      <c r="F665" s="358" t="s">
        <v>7</v>
      </c>
      <c r="G665" s="358" t="s">
        <v>11</v>
      </c>
      <c r="H665" s="358" t="s">
        <v>11</v>
      </c>
    </row>
    <row r="666" spans="1:8" x14ac:dyDescent="0.3">
      <c r="A666" t="s">
        <v>25</v>
      </c>
      <c r="B666" t="s">
        <v>88</v>
      </c>
      <c r="C666" t="s">
        <v>1366</v>
      </c>
      <c r="D666">
        <v>1</v>
      </c>
      <c r="E666" s="358">
        <v>5</v>
      </c>
      <c r="F666" s="358" t="s">
        <v>7</v>
      </c>
      <c r="G666" s="358" t="s">
        <v>11</v>
      </c>
      <c r="H666" s="358" t="s">
        <v>11</v>
      </c>
    </row>
    <row r="667" spans="1:8" x14ac:dyDescent="0.3">
      <c r="A667" t="s">
        <v>25</v>
      </c>
      <c r="B667" t="s">
        <v>88</v>
      </c>
      <c r="C667" t="s">
        <v>1839</v>
      </c>
      <c r="D667">
        <v>1</v>
      </c>
      <c r="E667" s="358">
        <v>5</v>
      </c>
      <c r="F667" s="358" t="s">
        <v>7</v>
      </c>
      <c r="G667" s="358" t="s">
        <v>11</v>
      </c>
      <c r="H667" s="358" t="s">
        <v>11</v>
      </c>
    </row>
    <row r="668" spans="1:8" x14ac:dyDescent="0.3">
      <c r="A668" t="s">
        <v>25</v>
      </c>
      <c r="B668" t="s">
        <v>88</v>
      </c>
      <c r="C668" t="s">
        <v>1840</v>
      </c>
      <c r="D668">
        <v>1</v>
      </c>
      <c r="E668" s="358">
        <v>5</v>
      </c>
      <c r="F668" s="358" t="s">
        <v>7</v>
      </c>
      <c r="G668" s="358" t="s">
        <v>11</v>
      </c>
      <c r="H668" s="358" t="s">
        <v>11</v>
      </c>
    </row>
    <row r="669" spans="1:8" x14ac:dyDescent="0.3">
      <c r="A669" t="s">
        <v>25</v>
      </c>
      <c r="B669" t="s">
        <v>88</v>
      </c>
      <c r="C669" t="s">
        <v>1841</v>
      </c>
      <c r="D669">
        <v>1</v>
      </c>
      <c r="E669" s="358">
        <v>5</v>
      </c>
      <c r="F669" s="358" t="s">
        <v>7</v>
      </c>
      <c r="G669" s="358" t="s">
        <v>11</v>
      </c>
      <c r="H669" s="358" t="s">
        <v>11</v>
      </c>
    </row>
    <row r="670" spans="1:8" x14ac:dyDescent="0.3">
      <c r="A670" t="s">
        <v>25</v>
      </c>
      <c r="B670" t="s">
        <v>88</v>
      </c>
      <c r="C670" t="s">
        <v>1367</v>
      </c>
      <c r="D670">
        <v>2</v>
      </c>
      <c r="E670" s="358">
        <v>4</v>
      </c>
      <c r="F670" s="358" t="s">
        <v>7</v>
      </c>
      <c r="G670" s="358" t="s">
        <v>11</v>
      </c>
      <c r="H670" s="358" t="s">
        <v>11</v>
      </c>
    </row>
    <row r="671" spans="1:8" x14ac:dyDescent="0.3">
      <c r="A671" t="s">
        <v>25</v>
      </c>
      <c r="B671" t="s">
        <v>88</v>
      </c>
      <c r="C671" t="s">
        <v>1842</v>
      </c>
      <c r="D671">
        <v>1</v>
      </c>
      <c r="E671" s="358">
        <v>5</v>
      </c>
      <c r="F671" s="358" t="s">
        <v>7</v>
      </c>
      <c r="G671" s="358" t="s">
        <v>11</v>
      </c>
      <c r="H671" s="358" t="s">
        <v>11</v>
      </c>
    </row>
    <row r="672" spans="1:8" x14ac:dyDescent="0.3">
      <c r="A672" t="s">
        <v>25</v>
      </c>
      <c r="B672" t="s">
        <v>88</v>
      </c>
      <c r="C672" t="s">
        <v>1369</v>
      </c>
      <c r="D672">
        <v>1</v>
      </c>
      <c r="E672" s="358">
        <v>5</v>
      </c>
      <c r="F672" s="358" t="s">
        <v>7</v>
      </c>
      <c r="G672" s="358" t="s">
        <v>11</v>
      </c>
      <c r="H672" s="358" t="s">
        <v>11</v>
      </c>
    </row>
    <row r="673" spans="1:8" x14ac:dyDescent="0.3">
      <c r="A673" t="s">
        <v>25</v>
      </c>
      <c r="B673" t="s">
        <v>88</v>
      </c>
      <c r="C673" t="s">
        <v>1468</v>
      </c>
      <c r="D673">
        <v>2</v>
      </c>
      <c r="E673" s="358">
        <v>4</v>
      </c>
      <c r="F673" s="358" t="s">
        <v>7</v>
      </c>
      <c r="G673" s="358" t="s">
        <v>11</v>
      </c>
      <c r="H673" s="358" t="s">
        <v>11</v>
      </c>
    </row>
    <row r="674" spans="1:8" x14ac:dyDescent="0.3">
      <c r="A674" t="s">
        <v>25</v>
      </c>
      <c r="B674" t="s">
        <v>88</v>
      </c>
      <c r="C674" t="s">
        <v>1470</v>
      </c>
      <c r="D674">
        <v>3</v>
      </c>
      <c r="E674" s="358">
        <v>4</v>
      </c>
      <c r="F674" s="358" t="s">
        <v>7</v>
      </c>
      <c r="G674" s="358" t="s">
        <v>11</v>
      </c>
      <c r="H674" s="358" t="s">
        <v>11</v>
      </c>
    </row>
    <row r="675" spans="1:8" x14ac:dyDescent="0.3">
      <c r="A675" t="s">
        <v>25</v>
      </c>
      <c r="B675" t="s">
        <v>88</v>
      </c>
      <c r="C675" t="s">
        <v>1645</v>
      </c>
      <c r="D675">
        <v>1</v>
      </c>
      <c r="E675" s="358">
        <v>5</v>
      </c>
      <c r="F675" s="358" t="s">
        <v>7</v>
      </c>
      <c r="G675" s="358" t="s">
        <v>11</v>
      </c>
      <c r="H675" s="358" t="s">
        <v>11</v>
      </c>
    </row>
    <row r="676" spans="1:8" x14ac:dyDescent="0.3">
      <c r="A676" t="s">
        <v>25</v>
      </c>
      <c r="B676" t="s">
        <v>88</v>
      </c>
      <c r="C676" t="s">
        <v>1370</v>
      </c>
      <c r="D676">
        <v>2</v>
      </c>
      <c r="E676" s="358">
        <v>4</v>
      </c>
      <c r="F676" s="358" t="s">
        <v>7</v>
      </c>
      <c r="G676" s="358" t="s">
        <v>11</v>
      </c>
      <c r="H676" s="358" t="s">
        <v>11</v>
      </c>
    </row>
    <row r="677" spans="1:8" x14ac:dyDescent="0.3">
      <c r="A677" t="s">
        <v>25</v>
      </c>
      <c r="B677" t="s">
        <v>88</v>
      </c>
      <c r="C677" t="s">
        <v>1843</v>
      </c>
      <c r="D677">
        <v>2</v>
      </c>
      <c r="E677" s="358">
        <v>4</v>
      </c>
      <c r="F677" s="358" t="s">
        <v>7</v>
      </c>
      <c r="G677" s="358" t="s">
        <v>11</v>
      </c>
      <c r="H677" s="358" t="s">
        <v>11</v>
      </c>
    </row>
    <row r="678" spans="1:8" x14ac:dyDescent="0.3">
      <c r="A678" t="s">
        <v>25</v>
      </c>
      <c r="B678" t="s">
        <v>88</v>
      </c>
      <c r="C678" t="s">
        <v>1844</v>
      </c>
      <c r="D678">
        <v>1</v>
      </c>
      <c r="E678" s="358">
        <v>5</v>
      </c>
      <c r="F678" s="358" t="s">
        <v>7</v>
      </c>
      <c r="G678" s="358" t="s">
        <v>11</v>
      </c>
      <c r="H678" s="358" t="s">
        <v>11</v>
      </c>
    </row>
    <row r="679" spans="1:8" x14ac:dyDescent="0.3">
      <c r="A679" t="s">
        <v>25</v>
      </c>
      <c r="B679" t="s">
        <v>88</v>
      </c>
      <c r="C679" t="s">
        <v>1372</v>
      </c>
      <c r="D679">
        <v>2</v>
      </c>
      <c r="E679" s="358">
        <v>4</v>
      </c>
      <c r="F679" s="358" t="s">
        <v>7</v>
      </c>
      <c r="G679" s="358" t="s">
        <v>11</v>
      </c>
      <c r="H679" s="358" t="s">
        <v>11</v>
      </c>
    </row>
    <row r="680" spans="1:8" x14ac:dyDescent="0.3">
      <c r="A680" t="s">
        <v>25</v>
      </c>
      <c r="B680" t="s">
        <v>88</v>
      </c>
      <c r="C680" t="s">
        <v>1472</v>
      </c>
      <c r="D680">
        <v>2</v>
      </c>
      <c r="E680" s="358">
        <v>4</v>
      </c>
      <c r="F680" s="358" t="s">
        <v>7</v>
      </c>
      <c r="G680" s="358" t="s">
        <v>11</v>
      </c>
      <c r="H680" s="358" t="s">
        <v>11</v>
      </c>
    </row>
    <row r="681" spans="1:8" x14ac:dyDescent="0.3">
      <c r="A681" t="s">
        <v>25</v>
      </c>
      <c r="B681" t="s">
        <v>88</v>
      </c>
      <c r="C681" t="s">
        <v>1845</v>
      </c>
      <c r="D681">
        <v>1</v>
      </c>
      <c r="E681" s="358">
        <v>5</v>
      </c>
      <c r="F681" s="358" t="s">
        <v>7</v>
      </c>
      <c r="G681" s="358" t="s">
        <v>11</v>
      </c>
      <c r="H681" s="358" t="s">
        <v>11</v>
      </c>
    </row>
    <row r="682" spans="1:8" x14ac:dyDescent="0.3">
      <c r="A682" t="s">
        <v>25</v>
      </c>
      <c r="B682" t="s">
        <v>88</v>
      </c>
      <c r="C682" t="s">
        <v>1846</v>
      </c>
      <c r="D682">
        <v>1</v>
      </c>
      <c r="E682" s="358">
        <v>5</v>
      </c>
      <c r="F682" s="358" t="s">
        <v>7</v>
      </c>
      <c r="G682" s="358" t="s">
        <v>11</v>
      </c>
      <c r="H682" s="358" t="s">
        <v>11</v>
      </c>
    </row>
    <row r="683" spans="1:8" x14ac:dyDescent="0.3">
      <c r="A683" t="s">
        <v>25</v>
      </c>
      <c r="B683" t="s">
        <v>88</v>
      </c>
      <c r="C683" t="s">
        <v>1473</v>
      </c>
      <c r="D683">
        <v>1</v>
      </c>
      <c r="E683" s="358">
        <v>5</v>
      </c>
      <c r="F683" s="358" t="s">
        <v>7</v>
      </c>
      <c r="G683" s="358" t="s">
        <v>11</v>
      </c>
      <c r="H683" s="358" t="s">
        <v>11</v>
      </c>
    </row>
    <row r="684" spans="1:8" x14ac:dyDescent="0.3">
      <c r="A684" t="s">
        <v>25</v>
      </c>
      <c r="B684" t="s">
        <v>88</v>
      </c>
      <c r="C684" t="s">
        <v>1373</v>
      </c>
      <c r="D684">
        <v>2</v>
      </c>
      <c r="E684" s="358">
        <v>4</v>
      </c>
      <c r="F684" s="358" t="s">
        <v>7</v>
      </c>
      <c r="G684" s="358" t="s">
        <v>11</v>
      </c>
      <c r="H684" s="358" t="s">
        <v>11</v>
      </c>
    </row>
    <row r="685" spans="1:8" x14ac:dyDescent="0.3">
      <c r="A685" t="s">
        <v>25</v>
      </c>
      <c r="B685" t="s">
        <v>88</v>
      </c>
      <c r="C685" t="s">
        <v>1847</v>
      </c>
      <c r="D685">
        <v>1</v>
      </c>
      <c r="E685" s="358">
        <v>5</v>
      </c>
      <c r="F685" s="358" t="s">
        <v>7</v>
      </c>
      <c r="G685" s="358" t="s">
        <v>11</v>
      </c>
      <c r="H685" s="358" t="s">
        <v>11</v>
      </c>
    </row>
    <row r="686" spans="1:8" x14ac:dyDescent="0.3">
      <c r="A686" t="s">
        <v>25</v>
      </c>
      <c r="B686" t="s">
        <v>88</v>
      </c>
      <c r="C686" t="s">
        <v>1848</v>
      </c>
      <c r="D686">
        <v>1</v>
      </c>
      <c r="E686" s="358">
        <v>5</v>
      </c>
      <c r="F686" s="358" t="s">
        <v>7</v>
      </c>
      <c r="G686" s="358" t="s">
        <v>11</v>
      </c>
      <c r="H686" s="358" t="s">
        <v>11</v>
      </c>
    </row>
    <row r="687" spans="1:8" x14ac:dyDescent="0.3">
      <c r="A687" t="s">
        <v>25</v>
      </c>
      <c r="B687" t="s">
        <v>88</v>
      </c>
      <c r="C687" t="s">
        <v>1849</v>
      </c>
      <c r="D687">
        <v>1</v>
      </c>
      <c r="E687" s="358">
        <v>5</v>
      </c>
      <c r="F687" s="358" t="s">
        <v>7</v>
      </c>
      <c r="G687" s="358" t="s">
        <v>11</v>
      </c>
      <c r="H687" s="358" t="s">
        <v>11</v>
      </c>
    </row>
    <row r="688" spans="1:8" x14ac:dyDescent="0.3">
      <c r="A688" t="s">
        <v>25</v>
      </c>
      <c r="B688" t="s">
        <v>88</v>
      </c>
      <c r="C688" t="s">
        <v>1479</v>
      </c>
      <c r="D688">
        <v>2</v>
      </c>
      <c r="E688" s="358">
        <v>4</v>
      </c>
      <c r="F688" s="358" t="s">
        <v>7</v>
      </c>
      <c r="G688" s="358" t="s">
        <v>11</v>
      </c>
      <c r="H688" s="358" t="s">
        <v>11</v>
      </c>
    </row>
    <row r="689" spans="1:8" x14ac:dyDescent="0.3">
      <c r="A689" t="s">
        <v>25</v>
      </c>
      <c r="B689" t="s">
        <v>88</v>
      </c>
      <c r="C689" t="s">
        <v>1850</v>
      </c>
      <c r="D689">
        <v>1</v>
      </c>
      <c r="E689" s="358">
        <v>5</v>
      </c>
      <c r="F689" s="358" t="s">
        <v>7</v>
      </c>
      <c r="G689" s="358" t="s">
        <v>11</v>
      </c>
      <c r="H689" s="358" t="s">
        <v>11</v>
      </c>
    </row>
    <row r="690" spans="1:8" x14ac:dyDescent="0.3">
      <c r="A690" t="s">
        <v>25</v>
      </c>
      <c r="B690" t="s">
        <v>88</v>
      </c>
      <c r="C690" t="s">
        <v>1851</v>
      </c>
      <c r="D690">
        <v>2</v>
      </c>
      <c r="E690" s="358">
        <v>4</v>
      </c>
      <c r="F690" s="358" t="s">
        <v>7</v>
      </c>
      <c r="G690" s="358" t="s">
        <v>11</v>
      </c>
      <c r="H690" s="358" t="s">
        <v>11</v>
      </c>
    </row>
    <row r="691" spans="1:8" x14ac:dyDescent="0.3">
      <c r="A691" t="s">
        <v>25</v>
      </c>
      <c r="B691" t="s">
        <v>88</v>
      </c>
      <c r="C691" t="s">
        <v>1757</v>
      </c>
      <c r="D691">
        <v>1</v>
      </c>
      <c r="E691" s="358">
        <v>5</v>
      </c>
      <c r="F691" s="358" t="s">
        <v>7</v>
      </c>
      <c r="G691" s="358" t="s">
        <v>11</v>
      </c>
      <c r="H691" s="358" t="s">
        <v>11</v>
      </c>
    </row>
    <row r="692" spans="1:8" x14ac:dyDescent="0.3">
      <c r="A692" t="s">
        <v>25</v>
      </c>
      <c r="B692" t="s">
        <v>88</v>
      </c>
      <c r="C692" t="s">
        <v>1379</v>
      </c>
      <c r="D692">
        <v>2</v>
      </c>
      <c r="E692" s="358">
        <v>4</v>
      </c>
      <c r="F692" s="358" t="s">
        <v>7</v>
      </c>
      <c r="G692" s="358" t="s">
        <v>11</v>
      </c>
      <c r="H692" s="358" t="s">
        <v>11</v>
      </c>
    </row>
    <row r="693" spans="1:8" x14ac:dyDescent="0.3">
      <c r="A693" t="s">
        <v>25</v>
      </c>
      <c r="B693" t="s">
        <v>88</v>
      </c>
      <c r="C693" t="s">
        <v>1758</v>
      </c>
      <c r="D693">
        <v>2</v>
      </c>
      <c r="E693" s="358">
        <v>4</v>
      </c>
      <c r="F693" s="358" t="s">
        <v>7</v>
      </c>
      <c r="G693" s="358" t="s">
        <v>11</v>
      </c>
      <c r="H693" s="358" t="s">
        <v>11</v>
      </c>
    </row>
    <row r="694" spans="1:8" x14ac:dyDescent="0.3">
      <c r="A694" t="s">
        <v>25</v>
      </c>
      <c r="B694" t="s">
        <v>88</v>
      </c>
      <c r="C694" t="s">
        <v>1481</v>
      </c>
      <c r="D694">
        <v>2</v>
      </c>
      <c r="E694" s="358">
        <v>4</v>
      </c>
      <c r="F694" s="358" t="s">
        <v>7</v>
      </c>
      <c r="G694" s="358" t="s">
        <v>11</v>
      </c>
      <c r="H694" s="358" t="s">
        <v>11</v>
      </c>
    </row>
    <row r="695" spans="1:8" x14ac:dyDescent="0.3">
      <c r="A695" t="s">
        <v>25</v>
      </c>
      <c r="B695" t="s">
        <v>88</v>
      </c>
      <c r="C695" t="s">
        <v>1852</v>
      </c>
      <c r="D695">
        <v>1</v>
      </c>
      <c r="E695" s="358">
        <v>5</v>
      </c>
      <c r="F695" s="358" t="s">
        <v>7</v>
      </c>
      <c r="G695" s="358" t="s">
        <v>11</v>
      </c>
      <c r="H695" s="358" t="s">
        <v>11</v>
      </c>
    </row>
    <row r="696" spans="1:8" x14ac:dyDescent="0.3">
      <c r="A696" t="s">
        <v>25</v>
      </c>
      <c r="B696" t="s">
        <v>88</v>
      </c>
      <c r="C696" t="s">
        <v>1853</v>
      </c>
      <c r="D696">
        <v>2</v>
      </c>
      <c r="E696" s="358">
        <v>5</v>
      </c>
      <c r="F696" s="358" t="s">
        <v>7</v>
      </c>
      <c r="G696" s="358" t="s">
        <v>11</v>
      </c>
      <c r="H696" s="358" t="s">
        <v>11</v>
      </c>
    </row>
    <row r="697" spans="1:8" x14ac:dyDescent="0.3">
      <c r="A697" t="s">
        <v>25</v>
      </c>
      <c r="B697" t="s">
        <v>88</v>
      </c>
      <c r="C697" t="s">
        <v>1854</v>
      </c>
      <c r="D697">
        <v>2</v>
      </c>
      <c r="E697" s="358">
        <v>4</v>
      </c>
      <c r="F697" s="358" t="s">
        <v>7</v>
      </c>
      <c r="G697" s="358" t="s">
        <v>11</v>
      </c>
      <c r="H697" s="358" t="s">
        <v>11</v>
      </c>
    </row>
    <row r="698" spans="1:8" x14ac:dyDescent="0.3">
      <c r="A698" t="s">
        <v>25</v>
      </c>
      <c r="B698" t="s">
        <v>88</v>
      </c>
      <c r="C698" t="s">
        <v>1855</v>
      </c>
      <c r="D698">
        <v>1</v>
      </c>
      <c r="E698" s="358">
        <v>5</v>
      </c>
      <c r="F698" s="358" t="s">
        <v>7</v>
      </c>
      <c r="G698" s="358" t="s">
        <v>11</v>
      </c>
      <c r="H698" s="358" t="s">
        <v>11</v>
      </c>
    </row>
    <row r="699" spans="1:8" x14ac:dyDescent="0.3">
      <c r="A699" t="s">
        <v>25</v>
      </c>
      <c r="B699" t="s">
        <v>88</v>
      </c>
      <c r="C699" t="s">
        <v>1856</v>
      </c>
      <c r="D699">
        <v>1</v>
      </c>
      <c r="E699" s="358">
        <v>5</v>
      </c>
      <c r="F699" s="358" t="s">
        <v>7</v>
      </c>
      <c r="G699" s="358" t="s">
        <v>11</v>
      </c>
      <c r="H699" s="358" t="s">
        <v>11</v>
      </c>
    </row>
    <row r="700" spans="1:8" x14ac:dyDescent="0.3">
      <c r="A700" t="s">
        <v>26</v>
      </c>
      <c r="B700" t="s">
        <v>89</v>
      </c>
      <c r="C700" t="s">
        <v>1540</v>
      </c>
      <c r="D700">
        <v>1</v>
      </c>
      <c r="E700" s="358">
        <v>5</v>
      </c>
      <c r="F700" s="358" t="s">
        <v>7</v>
      </c>
      <c r="G700" s="358" t="s">
        <v>11</v>
      </c>
      <c r="H700" s="358" t="s">
        <v>11</v>
      </c>
    </row>
    <row r="701" spans="1:8" x14ac:dyDescent="0.3">
      <c r="A701" t="s">
        <v>26</v>
      </c>
      <c r="B701" t="s">
        <v>89</v>
      </c>
      <c r="C701" t="s">
        <v>1857</v>
      </c>
      <c r="D701">
        <v>1</v>
      </c>
      <c r="E701" s="358">
        <v>5</v>
      </c>
      <c r="F701" s="358" t="s">
        <v>7</v>
      </c>
      <c r="G701" s="358" t="s">
        <v>11</v>
      </c>
      <c r="H701" s="358" t="s">
        <v>11</v>
      </c>
    </row>
    <row r="702" spans="1:8" x14ac:dyDescent="0.3">
      <c r="A702" t="s">
        <v>26</v>
      </c>
      <c r="B702" t="s">
        <v>89</v>
      </c>
      <c r="C702" t="s">
        <v>1858</v>
      </c>
      <c r="D702">
        <v>1</v>
      </c>
      <c r="E702" s="358">
        <v>5</v>
      </c>
      <c r="F702" s="358" t="s">
        <v>7</v>
      </c>
      <c r="G702" s="358" t="s">
        <v>11</v>
      </c>
      <c r="H702" s="358" t="s">
        <v>11</v>
      </c>
    </row>
    <row r="703" spans="1:8" x14ac:dyDescent="0.3">
      <c r="A703" t="s">
        <v>26</v>
      </c>
      <c r="B703" t="s">
        <v>89</v>
      </c>
      <c r="C703" t="s">
        <v>1430</v>
      </c>
      <c r="D703">
        <v>1</v>
      </c>
      <c r="E703" s="358">
        <v>5</v>
      </c>
      <c r="F703" s="358" t="s">
        <v>7</v>
      </c>
      <c r="G703" s="358" t="s">
        <v>11</v>
      </c>
      <c r="H703" s="358" t="s">
        <v>11</v>
      </c>
    </row>
    <row r="704" spans="1:8" x14ac:dyDescent="0.3">
      <c r="A704" t="s">
        <v>26</v>
      </c>
      <c r="B704" t="s">
        <v>89</v>
      </c>
      <c r="C704" t="s">
        <v>1859</v>
      </c>
      <c r="D704">
        <v>1</v>
      </c>
      <c r="E704" s="358">
        <v>5</v>
      </c>
      <c r="F704" s="358" t="s">
        <v>7</v>
      </c>
      <c r="G704" s="358" t="s">
        <v>11</v>
      </c>
      <c r="H704" s="358" t="s">
        <v>11</v>
      </c>
    </row>
    <row r="705" spans="1:8" x14ac:dyDescent="0.3">
      <c r="A705" t="s">
        <v>26</v>
      </c>
      <c r="B705" t="s">
        <v>89</v>
      </c>
      <c r="C705" t="s">
        <v>1431</v>
      </c>
      <c r="D705">
        <v>1</v>
      </c>
      <c r="E705" s="358">
        <v>5</v>
      </c>
      <c r="F705" s="358" t="s">
        <v>7</v>
      </c>
      <c r="G705" s="358" t="s">
        <v>11</v>
      </c>
      <c r="H705" s="358" t="s">
        <v>11</v>
      </c>
    </row>
    <row r="706" spans="1:8" x14ac:dyDescent="0.3">
      <c r="A706" t="s">
        <v>26</v>
      </c>
      <c r="B706" t="s">
        <v>89</v>
      </c>
      <c r="C706" t="s">
        <v>1805</v>
      </c>
      <c r="D706">
        <v>2</v>
      </c>
      <c r="E706" s="358">
        <v>4</v>
      </c>
      <c r="F706" s="358" t="s">
        <v>7</v>
      </c>
      <c r="G706" s="358" t="s">
        <v>11</v>
      </c>
      <c r="H706" s="358" t="s">
        <v>11</v>
      </c>
    </row>
    <row r="707" spans="1:8" x14ac:dyDescent="0.3">
      <c r="A707" t="s">
        <v>26</v>
      </c>
      <c r="B707" t="s">
        <v>89</v>
      </c>
      <c r="C707" t="s">
        <v>1433</v>
      </c>
      <c r="D707">
        <v>1</v>
      </c>
      <c r="E707" s="358">
        <v>5</v>
      </c>
      <c r="F707" s="358" t="s">
        <v>7</v>
      </c>
      <c r="G707" s="358" t="s">
        <v>11</v>
      </c>
      <c r="H707" s="358" t="s">
        <v>11</v>
      </c>
    </row>
    <row r="708" spans="1:8" x14ac:dyDescent="0.3">
      <c r="A708" t="s">
        <v>26</v>
      </c>
      <c r="B708" t="s">
        <v>89</v>
      </c>
      <c r="C708" t="s">
        <v>1807</v>
      </c>
      <c r="D708">
        <v>1</v>
      </c>
      <c r="E708" s="358">
        <v>5</v>
      </c>
      <c r="F708" s="358" t="s">
        <v>7</v>
      </c>
      <c r="G708" s="358" t="s">
        <v>11</v>
      </c>
      <c r="H708" s="358" t="s">
        <v>11</v>
      </c>
    </row>
    <row r="709" spans="1:8" x14ac:dyDescent="0.3">
      <c r="A709" t="s">
        <v>26</v>
      </c>
      <c r="B709" t="s">
        <v>89</v>
      </c>
      <c r="C709" t="s">
        <v>1435</v>
      </c>
      <c r="D709">
        <v>1</v>
      </c>
      <c r="E709" s="358">
        <v>4</v>
      </c>
      <c r="F709" s="358" t="s">
        <v>7</v>
      </c>
      <c r="G709" s="358" t="s">
        <v>11</v>
      </c>
      <c r="H709" s="358" t="s">
        <v>11</v>
      </c>
    </row>
    <row r="710" spans="1:8" x14ac:dyDescent="0.3">
      <c r="A710" t="s">
        <v>26</v>
      </c>
      <c r="B710" t="s">
        <v>89</v>
      </c>
      <c r="C710" t="s">
        <v>1328</v>
      </c>
      <c r="D710">
        <v>2</v>
      </c>
      <c r="E710" s="358">
        <v>5</v>
      </c>
      <c r="F710" s="358" t="s">
        <v>7</v>
      </c>
      <c r="G710" s="358" t="s">
        <v>11</v>
      </c>
      <c r="H710" s="358" t="s">
        <v>11</v>
      </c>
    </row>
    <row r="711" spans="1:8" x14ac:dyDescent="0.3">
      <c r="A711" t="s">
        <v>26</v>
      </c>
      <c r="B711" t="s">
        <v>89</v>
      </c>
      <c r="C711" t="s">
        <v>1810</v>
      </c>
      <c r="D711">
        <v>1</v>
      </c>
      <c r="E711" s="358">
        <v>5</v>
      </c>
      <c r="F711" s="358" t="s">
        <v>7</v>
      </c>
      <c r="G711" s="358" t="s">
        <v>11</v>
      </c>
      <c r="H711" s="358" t="s">
        <v>11</v>
      </c>
    </row>
    <row r="712" spans="1:8" x14ac:dyDescent="0.3">
      <c r="A712" t="s">
        <v>26</v>
      </c>
      <c r="B712" t="s">
        <v>89</v>
      </c>
      <c r="C712" t="s">
        <v>1440</v>
      </c>
      <c r="D712">
        <v>2</v>
      </c>
      <c r="E712" s="358">
        <v>4</v>
      </c>
      <c r="F712" s="358" t="s">
        <v>7</v>
      </c>
      <c r="G712" s="358" t="s">
        <v>11</v>
      </c>
      <c r="H712" s="358" t="s">
        <v>11</v>
      </c>
    </row>
    <row r="713" spans="1:8" x14ac:dyDescent="0.3">
      <c r="A713" t="s">
        <v>26</v>
      </c>
      <c r="B713" t="s">
        <v>89</v>
      </c>
      <c r="C713" t="s">
        <v>1860</v>
      </c>
      <c r="D713">
        <v>2</v>
      </c>
      <c r="E713" s="358">
        <v>4</v>
      </c>
      <c r="F713" s="358" t="s">
        <v>7</v>
      </c>
      <c r="G713" s="358" t="s">
        <v>11</v>
      </c>
      <c r="H713" s="358" t="s">
        <v>11</v>
      </c>
    </row>
    <row r="714" spans="1:8" x14ac:dyDescent="0.3">
      <c r="A714" t="s">
        <v>26</v>
      </c>
      <c r="B714" t="s">
        <v>89</v>
      </c>
      <c r="C714" t="s">
        <v>1339</v>
      </c>
      <c r="D714">
        <v>1</v>
      </c>
      <c r="E714" s="358">
        <v>5</v>
      </c>
      <c r="F714" s="358" t="s">
        <v>7</v>
      </c>
      <c r="G714" s="358" t="s">
        <v>11</v>
      </c>
      <c r="H714" s="358" t="s">
        <v>11</v>
      </c>
    </row>
    <row r="715" spans="1:8" x14ac:dyDescent="0.3">
      <c r="A715" t="s">
        <v>26</v>
      </c>
      <c r="B715" t="s">
        <v>89</v>
      </c>
      <c r="C715" t="s">
        <v>1861</v>
      </c>
      <c r="D715">
        <v>2</v>
      </c>
      <c r="E715" s="358">
        <v>4</v>
      </c>
      <c r="F715" s="358" t="s">
        <v>7</v>
      </c>
      <c r="G715" s="358" t="s">
        <v>11</v>
      </c>
      <c r="H715" s="358" t="s">
        <v>11</v>
      </c>
    </row>
    <row r="716" spans="1:8" x14ac:dyDescent="0.3">
      <c r="A716" t="s">
        <v>26</v>
      </c>
      <c r="B716" t="s">
        <v>89</v>
      </c>
      <c r="C716" t="s">
        <v>1687</v>
      </c>
      <c r="D716">
        <v>1</v>
      </c>
      <c r="E716" s="358">
        <v>5</v>
      </c>
      <c r="F716" s="358" t="s">
        <v>7</v>
      </c>
      <c r="G716" s="358" t="s">
        <v>11</v>
      </c>
      <c r="H716" s="358" t="s">
        <v>11</v>
      </c>
    </row>
    <row r="717" spans="1:8" x14ac:dyDescent="0.3">
      <c r="A717" t="s">
        <v>26</v>
      </c>
      <c r="B717" t="s">
        <v>89</v>
      </c>
      <c r="C717" t="s">
        <v>1862</v>
      </c>
      <c r="D717">
        <v>1</v>
      </c>
      <c r="E717" s="358">
        <v>5</v>
      </c>
      <c r="F717" s="358" t="s">
        <v>7</v>
      </c>
      <c r="G717" s="358" t="s">
        <v>11</v>
      </c>
      <c r="H717" s="358" t="s">
        <v>11</v>
      </c>
    </row>
    <row r="718" spans="1:8" x14ac:dyDescent="0.3">
      <c r="A718" t="s">
        <v>26</v>
      </c>
      <c r="B718" t="s">
        <v>89</v>
      </c>
      <c r="C718" t="s">
        <v>1863</v>
      </c>
      <c r="D718">
        <v>2</v>
      </c>
      <c r="E718" s="358">
        <v>4</v>
      </c>
      <c r="F718" s="358" t="s">
        <v>7</v>
      </c>
      <c r="G718" s="358" t="s">
        <v>11</v>
      </c>
      <c r="H718" s="358" t="s">
        <v>11</v>
      </c>
    </row>
    <row r="719" spans="1:8" x14ac:dyDescent="0.3">
      <c r="A719" t="s">
        <v>26</v>
      </c>
      <c r="B719" t="s">
        <v>89</v>
      </c>
      <c r="C719" t="s">
        <v>1864</v>
      </c>
      <c r="D719">
        <v>1</v>
      </c>
      <c r="E719" s="358">
        <v>5</v>
      </c>
      <c r="F719" s="358" t="s">
        <v>7</v>
      </c>
      <c r="G719" s="358" t="s">
        <v>11</v>
      </c>
      <c r="H719" s="358" t="s">
        <v>11</v>
      </c>
    </row>
    <row r="720" spans="1:8" x14ac:dyDescent="0.3">
      <c r="A720" t="s">
        <v>26</v>
      </c>
      <c r="B720" t="s">
        <v>89</v>
      </c>
      <c r="C720" t="s">
        <v>1343</v>
      </c>
      <c r="D720">
        <v>1</v>
      </c>
      <c r="E720" s="358">
        <v>5</v>
      </c>
      <c r="F720" s="358" t="s">
        <v>7</v>
      </c>
      <c r="G720" s="358" t="s">
        <v>11</v>
      </c>
      <c r="H720" s="358" t="s">
        <v>11</v>
      </c>
    </row>
    <row r="721" spans="1:8" x14ac:dyDescent="0.3">
      <c r="A721" t="s">
        <v>26</v>
      </c>
      <c r="B721" t="s">
        <v>89</v>
      </c>
      <c r="C721" t="s">
        <v>1698</v>
      </c>
      <c r="D721">
        <v>2</v>
      </c>
      <c r="E721" s="358">
        <v>4</v>
      </c>
      <c r="F721" s="358" t="s">
        <v>7</v>
      </c>
      <c r="G721" s="358" t="s">
        <v>11</v>
      </c>
      <c r="H721" s="358" t="s">
        <v>11</v>
      </c>
    </row>
    <row r="722" spans="1:8" x14ac:dyDescent="0.3">
      <c r="A722" t="s">
        <v>26</v>
      </c>
      <c r="B722" t="s">
        <v>89</v>
      </c>
      <c r="C722" t="s">
        <v>1865</v>
      </c>
      <c r="D722">
        <v>1</v>
      </c>
      <c r="E722" s="358">
        <v>5</v>
      </c>
      <c r="F722" s="358" t="s">
        <v>7</v>
      </c>
      <c r="G722" s="358" t="s">
        <v>11</v>
      </c>
      <c r="H722" s="358" t="s">
        <v>11</v>
      </c>
    </row>
    <row r="723" spans="1:8" x14ac:dyDescent="0.3">
      <c r="A723" t="s">
        <v>26</v>
      </c>
      <c r="B723" t="s">
        <v>89</v>
      </c>
      <c r="C723" t="s">
        <v>1344</v>
      </c>
      <c r="D723">
        <v>2</v>
      </c>
      <c r="E723" s="358">
        <v>5</v>
      </c>
      <c r="F723" s="358" t="s">
        <v>7</v>
      </c>
      <c r="G723" s="358" t="s">
        <v>11</v>
      </c>
      <c r="H723" s="358" t="s">
        <v>11</v>
      </c>
    </row>
    <row r="724" spans="1:8" x14ac:dyDescent="0.3">
      <c r="A724" t="s">
        <v>26</v>
      </c>
      <c r="B724" t="s">
        <v>89</v>
      </c>
      <c r="C724" t="s">
        <v>1446</v>
      </c>
      <c r="D724">
        <v>1</v>
      </c>
      <c r="E724" s="358">
        <v>5</v>
      </c>
      <c r="F724" s="358" t="s">
        <v>7</v>
      </c>
      <c r="G724" s="358" t="s">
        <v>11</v>
      </c>
      <c r="H724" s="358" t="s">
        <v>11</v>
      </c>
    </row>
    <row r="725" spans="1:8" x14ac:dyDescent="0.3">
      <c r="A725" t="s">
        <v>26</v>
      </c>
      <c r="B725" t="s">
        <v>89</v>
      </c>
      <c r="C725" t="s">
        <v>1866</v>
      </c>
      <c r="D725">
        <v>2</v>
      </c>
      <c r="E725" s="358">
        <v>4</v>
      </c>
      <c r="F725" s="358" t="s">
        <v>7</v>
      </c>
      <c r="G725" s="358" t="s">
        <v>11</v>
      </c>
      <c r="H725" s="358" t="s">
        <v>11</v>
      </c>
    </row>
    <row r="726" spans="1:8" x14ac:dyDescent="0.3">
      <c r="A726" t="s">
        <v>26</v>
      </c>
      <c r="B726" t="s">
        <v>89</v>
      </c>
      <c r="C726" t="s">
        <v>1448</v>
      </c>
      <c r="D726">
        <v>1</v>
      </c>
      <c r="E726" s="358">
        <v>5</v>
      </c>
      <c r="F726" s="358" t="s">
        <v>7</v>
      </c>
      <c r="G726" s="358" t="s">
        <v>11</v>
      </c>
      <c r="H726" s="358" t="s">
        <v>11</v>
      </c>
    </row>
    <row r="727" spans="1:8" x14ac:dyDescent="0.3">
      <c r="A727" t="s">
        <v>26</v>
      </c>
      <c r="B727" t="s">
        <v>89</v>
      </c>
      <c r="C727" t="s">
        <v>1346</v>
      </c>
      <c r="D727">
        <v>2</v>
      </c>
      <c r="E727" s="358">
        <v>4</v>
      </c>
      <c r="F727" s="358" t="s">
        <v>7</v>
      </c>
      <c r="G727" s="358" t="s">
        <v>11</v>
      </c>
      <c r="H727" s="358" t="s">
        <v>11</v>
      </c>
    </row>
    <row r="728" spans="1:8" x14ac:dyDescent="0.3">
      <c r="A728" t="s">
        <v>26</v>
      </c>
      <c r="B728" t="s">
        <v>89</v>
      </c>
      <c r="C728" t="s">
        <v>1624</v>
      </c>
      <c r="D728">
        <v>1</v>
      </c>
      <c r="E728" s="358">
        <v>5</v>
      </c>
      <c r="F728" s="358" t="s">
        <v>7</v>
      </c>
      <c r="G728" s="358" t="s">
        <v>11</v>
      </c>
      <c r="H728" s="358" t="s">
        <v>11</v>
      </c>
    </row>
    <row r="729" spans="1:8" x14ac:dyDescent="0.3">
      <c r="A729" t="s">
        <v>26</v>
      </c>
      <c r="B729" t="s">
        <v>89</v>
      </c>
      <c r="C729" t="s">
        <v>1708</v>
      </c>
      <c r="D729">
        <v>1</v>
      </c>
      <c r="E729" s="358">
        <v>5</v>
      </c>
      <c r="F729" s="358" t="s">
        <v>7</v>
      </c>
      <c r="G729" s="358" t="s">
        <v>11</v>
      </c>
      <c r="H729" s="358" t="s">
        <v>11</v>
      </c>
    </row>
    <row r="730" spans="1:8" x14ac:dyDescent="0.3">
      <c r="A730" t="s">
        <v>26</v>
      </c>
      <c r="B730" t="s">
        <v>89</v>
      </c>
      <c r="C730" t="s">
        <v>1867</v>
      </c>
      <c r="D730">
        <v>1</v>
      </c>
      <c r="E730" s="358">
        <v>4</v>
      </c>
      <c r="F730" s="358" t="s">
        <v>7</v>
      </c>
      <c r="G730" s="358" t="s">
        <v>11</v>
      </c>
      <c r="H730" s="358" t="s">
        <v>11</v>
      </c>
    </row>
    <row r="731" spans="1:8" x14ac:dyDescent="0.3">
      <c r="A731" t="s">
        <v>26</v>
      </c>
      <c r="B731" t="s">
        <v>89</v>
      </c>
      <c r="C731" t="s">
        <v>1868</v>
      </c>
      <c r="D731">
        <v>1</v>
      </c>
      <c r="E731" s="358">
        <v>5</v>
      </c>
      <c r="F731" s="358" t="s">
        <v>7</v>
      </c>
      <c r="G731" s="358" t="s">
        <v>11</v>
      </c>
      <c r="H731" s="358" t="s">
        <v>11</v>
      </c>
    </row>
    <row r="732" spans="1:8" x14ac:dyDescent="0.3">
      <c r="A732" t="s">
        <v>26</v>
      </c>
      <c r="B732" t="s">
        <v>89</v>
      </c>
      <c r="C732" t="s">
        <v>1348</v>
      </c>
      <c r="D732">
        <v>1</v>
      </c>
      <c r="E732" s="358">
        <v>5</v>
      </c>
      <c r="F732" s="358" t="s">
        <v>7</v>
      </c>
      <c r="G732" s="358" t="s">
        <v>11</v>
      </c>
      <c r="H732" s="358" t="s">
        <v>11</v>
      </c>
    </row>
    <row r="733" spans="1:8" x14ac:dyDescent="0.3">
      <c r="A733" t="s">
        <v>26</v>
      </c>
      <c r="B733" t="s">
        <v>89</v>
      </c>
      <c r="C733" t="s">
        <v>1451</v>
      </c>
      <c r="D733">
        <v>1</v>
      </c>
      <c r="E733" s="358">
        <v>5</v>
      </c>
      <c r="F733" s="358" t="s">
        <v>7</v>
      </c>
      <c r="G733" s="358" t="s">
        <v>11</v>
      </c>
      <c r="H733" s="358" t="s">
        <v>11</v>
      </c>
    </row>
    <row r="734" spans="1:8" x14ac:dyDescent="0.3">
      <c r="A734" t="s">
        <v>26</v>
      </c>
      <c r="B734" t="s">
        <v>89</v>
      </c>
      <c r="C734" t="s">
        <v>1869</v>
      </c>
      <c r="D734">
        <v>1</v>
      </c>
      <c r="E734" s="358">
        <v>5</v>
      </c>
      <c r="F734" s="358" t="s">
        <v>7</v>
      </c>
      <c r="G734" s="358" t="s">
        <v>11</v>
      </c>
      <c r="H734" s="358" t="s">
        <v>11</v>
      </c>
    </row>
    <row r="735" spans="1:8" x14ac:dyDescent="0.3">
      <c r="A735" t="s">
        <v>26</v>
      </c>
      <c r="B735" t="s">
        <v>89</v>
      </c>
      <c r="C735" t="s">
        <v>1350</v>
      </c>
      <c r="D735">
        <v>2</v>
      </c>
      <c r="E735" s="358">
        <v>4</v>
      </c>
      <c r="F735" s="358" t="s">
        <v>7</v>
      </c>
      <c r="G735" s="358" t="s">
        <v>11</v>
      </c>
      <c r="H735" s="358" t="s">
        <v>11</v>
      </c>
    </row>
    <row r="736" spans="1:8" x14ac:dyDescent="0.3">
      <c r="A736" t="s">
        <v>26</v>
      </c>
      <c r="B736" t="s">
        <v>89</v>
      </c>
      <c r="C736" t="s">
        <v>1714</v>
      </c>
      <c r="D736">
        <v>2</v>
      </c>
      <c r="E736" s="358">
        <v>5</v>
      </c>
      <c r="F736" s="358" t="s">
        <v>7</v>
      </c>
      <c r="G736" s="358" t="s">
        <v>11</v>
      </c>
      <c r="H736" s="358" t="s">
        <v>11</v>
      </c>
    </row>
    <row r="737" spans="1:8" x14ac:dyDescent="0.3">
      <c r="A737" t="s">
        <v>26</v>
      </c>
      <c r="B737" t="s">
        <v>89</v>
      </c>
      <c r="C737" t="s">
        <v>1870</v>
      </c>
      <c r="D737">
        <v>1</v>
      </c>
      <c r="E737" s="358">
        <v>5</v>
      </c>
      <c r="F737" s="358" t="s">
        <v>7</v>
      </c>
      <c r="G737" s="358" t="s">
        <v>11</v>
      </c>
      <c r="H737" s="358" t="s">
        <v>11</v>
      </c>
    </row>
    <row r="738" spans="1:8" x14ac:dyDescent="0.3">
      <c r="A738" t="s">
        <v>26</v>
      </c>
      <c r="B738" t="s">
        <v>89</v>
      </c>
      <c r="C738" t="s">
        <v>1351</v>
      </c>
      <c r="D738">
        <v>2</v>
      </c>
      <c r="E738" s="358">
        <v>4</v>
      </c>
      <c r="F738" s="358" t="s">
        <v>7</v>
      </c>
      <c r="G738" s="358" t="s">
        <v>11</v>
      </c>
      <c r="H738" s="358" t="s">
        <v>11</v>
      </c>
    </row>
    <row r="739" spans="1:8" x14ac:dyDescent="0.3">
      <c r="A739" t="s">
        <v>26</v>
      </c>
      <c r="B739" t="s">
        <v>89</v>
      </c>
      <c r="C739" t="s">
        <v>1871</v>
      </c>
      <c r="D739">
        <v>1</v>
      </c>
      <c r="E739" s="358">
        <v>4</v>
      </c>
      <c r="F739" s="358" t="s">
        <v>7</v>
      </c>
      <c r="G739" s="358" t="s">
        <v>11</v>
      </c>
      <c r="H739" s="358" t="s">
        <v>11</v>
      </c>
    </row>
    <row r="740" spans="1:8" x14ac:dyDescent="0.3">
      <c r="A740" t="s">
        <v>26</v>
      </c>
      <c r="B740" t="s">
        <v>89</v>
      </c>
      <c r="C740" t="s">
        <v>1454</v>
      </c>
      <c r="D740">
        <v>1</v>
      </c>
      <c r="E740" s="358">
        <v>5</v>
      </c>
      <c r="F740" s="358" t="s">
        <v>7</v>
      </c>
      <c r="G740" s="358" t="s">
        <v>11</v>
      </c>
      <c r="H740" s="358" t="s">
        <v>11</v>
      </c>
    </row>
    <row r="741" spans="1:8" x14ac:dyDescent="0.3">
      <c r="A741" t="s">
        <v>26</v>
      </c>
      <c r="B741" t="s">
        <v>89</v>
      </c>
      <c r="C741" t="s">
        <v>1828</v>
      </c>
      <c r="D741">
        <v>2</v>
      </c>
      <c r="E741" s="358">
        <v>4</v>
      </c>
      <c r="F741" s="358" t="s">
        <v>7</v>
      </c>
      <c r="G741" s="358" t="s">
        <v>11</v>
      </c>
      <c r="H741" s="358" t="s">
        <v>11</v>
      </c>
    </row>
    <row r="742" spans="1:8" x14ac:dyDescent="0.3">
      <c r="A742" t="s">
        <v>26</v>
      </c>
      <c r="B742" t="s">
        <v>89</v>
      </c>
      <c r="C742" t="s">
        <v>1872</v>
      </c>
      <c r="D742">
        <v>1</v>
      </c>
      <c r="E742" s="358">
        <v>5</v>
      </c>
      <c r="F742" s="358" t="s">
        <v>7</v>
      </c>
      <c r="G742" s="358" t="s">
        <v>11</v>
      </c>
      <c r="H742" s="358" t="s">
        <v>11</v>
      </c>
    </row>
    <row r="743" spans="1:8" x14ac:dyDescent="0.3">
      <c r="A743" t="s">
        <v>26</v>
      </c>
      <c r="B743" t="s">
        <v>89</v>
      </c>
      <c r="C743" t="s">
        <v>1873</v>
      </c>
      <c r="D743">
        <v>2</v>
      </c>
      <c r="E743" s="358">
        <v>5</v>
      </c>
      <c r="F743" s="358" t="s">
        <v>7</v>
      </c>
      <c r="G743" s="358" t="s">
        <v>11</v>
      </c>
      <c r="H743" s="358" t="s">
        <v>11</v>
      </c>
    </row>
    <row r="744" spans="1:8" x14ac:dyDescent="0.3">
      <c r="A744" t="s">
        <v>26</v>
      </c>
      <c r="B744" t="s">
        <v>89</v>
      </c>
      <c r="C744" t="s">
        <v>1874</v>
      </c>
      <c r="D744">
        <v>1</v>
      </c>
      <c r="E744" s="358">
        <v>5</v>
      </c>
      <c r="F744" s="358" t="s">
        <v>7</v>
      </c>
      <c r="G744" s="358" t="s">
        <v>11</v>
      </c>
      <c r="H744" s="358" t="s">
        <v>11</v>
      </c>
    </row>
    <row r="745" spans="1:8" x14ac:dyDescent="0.3">
      <c r="A745" t="s">
        <v>26</v>
      </c>
      <c r="B745" t="s">
        <v>89</v>
      </c>
      <c r="C745" t="s">
        <v>1500</v>
      </c>
      <c r="D745">
        <v>2</v>
      </c>
      <c r="E745" s="358">
        <v>5</v>
      </c>
      <c r="F745" s="358" t="s">
        <v>7</v>
      </c>
      <c r="G745" s="358" t="s">
        <v>11</v>
      </c>
      <c r="H745" s="358" t="s">
        <v>11</v>
      </c>
    </row>
    <row r="746" spans="1:8" x14ac:dyDescent="0.3">
      <c r="A746" t="s">
        <v>26</v>
      </c>
      <c r="B746" t="s">
        <v>89</v>
      </c>
      <c r="C746" t="s">
        <v>1354</v>
      </c>
      <c r="D746">
        <v>1</v>
      </c>
      <c r="E746" s="358">
        <v>4</v>
      </c>
      <c r="F746" s="358" t="s">
        <v>7</v>
      </c>
      <c r="G746" s="358" t="s">
        <v>11</v>
      </c>
      <c r="H746" s="358" t="s">
        <v>11</v>
      </c>
    </row>
    <row r="747" spans="1:8" x14ac:dyDescent="0.3">
      <c r="A747" t="s">
        <v>26</v>
      </c>
      <c r="B747" t="s">
        <v>89</v>
      </c>
      <c r="C747" t="s">
        <v>1359</v>
      </c>
      <c r="D747">
        <v>1</v>
      </c>
      <c r="E747" s="358">
        <v>5</v>
      </c>
      <c r="F747" s="358" t="s">
        <v>7</v>
      </c>
      <c r="G747" s="358" t="s">
        <v>11</v>
      </c>
      <c r="H747" s="358" t="s">
        <v>11</v>
      </c>
    </row>
    <row r="748" spans="1:8" x14ac:dyDescent="0.3">
      <c r="A748" t="s">
        <v>26</v>
      </c>
      <c r="B748" t="s">
        <v>89</v>
      </c>
      <c r="C748" t="s">
        <v>1361</v>
      </c>
      <c r="D748">
        <v>1</v>
      </c>
      <c r="E748" s="358">
        <v>5</v>
      </c>
      <c r="F748" s="358" t="s">
        <v>7</v>
      </c>
      <c r="G748" s="358" t="s">
        <v>11</v>
      </c>
      <c r="H748" s="358" t="s">
        <v>11</v>
      </c>
    </row>
    <row r="749" spans="1:8" x14ac:dyDescent="0.3">
      <c r="A749" t="s">
        <v>26</v>
      </c>
      <c r="B749" t="s">
        <v>89</v>
      </c>
      <c r="C749" t="s">
        <v>1362</v>
      </c>
      <c r="D749">
        <v>1</v>
      </c>
      <c r="E749" s="358">
        <v>5</v>
      </c>
      <c r="F749" s="358" t="s">
        <v>7</v>
      </c>
      <c r="G749" s="358" t="s">
        <v>11</v>
      </c>
      <c r="H749" s="358" t="s">
        <v>11</v>
      </c>
    </row>
    <row r="750" spans="1:8" x14ac:dyDescent="0.3">
      <c r="A750" t="s">
        <v>26</v>
      </c>
      <c r="B750" t="s">
        <v>89</v>
      </c>
      <c r="C750" t="s">
        <v>1636</v>
      </c>
      <c r="D750">
        <v>2</v>
      </c>
      <c r="E750" s="358">
        <v>4</v>
      </c>
      <c r="F750" s="358" t="s">
        <v>7</v>
      </c>
      <c r="G750" s="358" t="s">
        <v>11</v>
      </c>
      <c r="H750" s="358" t="s">
        <v>11</v>
      </c>
    </row>
    <row r="751" spans="1:8" x14ac:dyDescent="0.3">
      <c r="A751" t="s">
        <v>26</v>
      </c>
      <c r="B751" t="s">
        <v>89</v>
      </c>
      <c r="C751" t="s">
        <v>1875</v>
      </c>
      <c r="D751">
        <v>1</v>
      </c>
      <c r="E751" s="358">
        <v>5</v>
      </c>
      <c r="F751" s="358" t="s">
        <v>7</v>
      </c>
      <c r="G751" s="358" t="s">
        <v>11</v>
      </c>
      <c r="H751" s="358" t="s">
        <v>11</v>
      </c>
    </row>
    <row r="752" spans="1:8" x14ac:dyDescent="0.3">
      <c r="A752" t="s">
        <v>26</v>
      </c>
      <c r="B752" t="s">
        <v>89</v>
      </c>
      <c r="C752" t="s">
        <v>1364</v>
      </c>
      <c r="D752">
        <v>1</v>
      </c>
      <c r="E752" s="358">
        <v>4</v>
      </c>
      <c r="F752" s="358" t="s">
        <v>7</v>
      </c>
      <c r="G752" s="358" t="s">
        <v>11</v>
      </c>
      <c r="H752" s="358" t="s">
        <v>11</v>
      </c>
    </row>
    <row r="753" spans="1:8" x14ac:dyDescent="0.3">
      <c r="A753" t="s">
        <v>26</v>
      </c>
      <c r="B753" t="s">
        <v>89</v>
      </c>
      <c r="C753" t="s">
        <v>1365</v>
      </c>
      <c r="D753">
        <v>1</v>
      </c>
      <c r="E753" s="358">
        <v>5</v>
      </c>
      <c r="F753" s="358" t="s">
        <v>7</v>
      </c>
      <c r="G753" s="358" t="s">
        <v>11</v>
      </c>
      <c r="H753" s="358" t="s">
        <v>11</v>
      </c>
    </row>
    <row r="754" spans="1:8" x14ac:dyDescent="0.3">
      <c r="A754" t="s">
        <v>26</v>
      </c>
      <c r="B754" t="s">
        <v>89</v>
      </c>
      <c r="C754" t="s">
        <v>1366</v>
      </c>
      <c r="D754">
        <v>2</v>
      </c>
      <c r="E754" s="358">
        <v>5</v>
      </c>
      <c r="F754" s="358" t="s">
        <v>7</v>
      </c>
      <c r="G754" s="358" t="s">
        <v>11</v>
      </c>
      <c r="H754" s="358" t="s">
        <v>11</v>
      </c>
    </row>
    <row r="755" spans="1:8" x14ac:dyDescent="0.3">
      <c r="A755" t="s">
        <v>26</v>
      </c>
      <c r="B755" t="s">
        <v>89</v>
      </c>
      <c r="C755" t="s">
        <v>1463</v>
      </c>
      <c r="D755">
        <v>2</v>
      </c>
      <c r="E755" s="358">
        <v>5</v>
      </c>
      <c r="F755" s="358" t="s">
        <v>7</v>
      </c>
      <c r="G755" s="358" t="s">
        <v>11</v>
      </c>
      <c r="H755" s="358" t="s">
        <v>11</v>
      </c>
    </row>
    <row r="756" spans="1:8" x14ac:dyDescent="0.3">
      <c r="A756" t="s">
        <v>26</v>
      </c>
      <c r="B756" t="s">
        <v>89</v>
      </c>
      <c r="C756" t="s">
        <v>1876</v>
      </c>
      <c r="D756">
        <v>1</v>
      </c>
      <c r="E756" s="358">
        <v>5</v>
      </c>
      <c r="F756" s="358" t="s">
        <v>7</v>
      </c>
      <c r="G756" s="358" t="s">
        <v>11</v>
      </c>
      <c r="H756" s="358" t="s">
        <v>11</v>
      </c>
    </row>
    <row r="757" spans="1:8" x14ac:dyDescent="0.3">
      <c r="A757" t="s">
        <v>26</v>
      </c>
      <c r="B757" t="s">
        <v>89</v>
      </c>
      <c r="C757" t="s">
        <v>1877</v>
      </c>
      <c r="D757">
        <v>2</v>
      </c>
      <c r="E757" s="358">
        <v>4</v>
      </c>
      <c r="F757" s="358" t="s">
        <v>7</v>
      </c>
      <c r="G757" s="358" t="s">
        <v>11</v>
      </c>
      <c r="H757" s="358" t="s">
        <v>11</v>
      </c>
    </row>
    <row r="758" spans="1:8" x14ac:dyDescent="0.3">
      <c r="A758" t="s">
        <v>26</v>
      </c>
      <c r="B758" t="s">
        <v>89</v>
      </c>
      <c r="C758" t="s">
        <v>1512</v>
      </c>
      <c r="D758">
        <v>1</v>
      </c>
      <c r="E758" s="358">
        <v>4</v>
      </c>
      <c r="F758" s="358" t="s">
        <v>7</v>
      </c>
      <c r="G758" s="358" t="s">
        <v>11</v>
      </c>
      <c r="H758" s="358" t="s">
        <v>11</v>
      </c>
    </row>
    <row r="759" spans="1:8" x14ac:dyDescent="0.3">
      <c r="A759" t="s">
        <v>26</v>
      </c>
      <c r="B759" t="s">
        <v>89</v>
      </c>
      <c r="C759" t="s">
        <v>1878</v>
      </c>
      <c r="D759">
        <v>2</v>
      </c>
      <c r="E759" s="358">
        <v>5</v>
      </c>
      <c r="F759" s="358" t="s">
        <v>7</v>
      </c>
      <c r="G759" s="358" t="s">
        <v>11</v>
      </c>
      <c r="H759" s="358" t="s">
        <v>11</v>
      </c>
    </row>
    <row r="760" spans="1:8" x14ac:dyDescent="0.3">
      <c r="A760" t="s">
        <v>26</v>
      </c>
      <c r="B760" t="s">
        <v>89</v>
      </c>
      <c r="C760" t="s">
        <v>1879</v>
      </c>
      <c r="D760">
        <v>2</v>
      </c>
      <c r="E760" s="358">
        <v>5</v>
      </c>
      <c r="F760" s="358" t="s">
        <v>7</v>
      </c>
      <c r="G760" s="358" t="s">
        <v>11</v>
      </c>
      <c r="H760" s="358" t="s">
        <v>11</v>
      </c>
    </row>
    <row r="761" spans="1:8" x14ac:dyDescent="0.3">
      <c r="A761" t="s">
        <v>26</v>
      </c>
      <c r="B761" t="s">
        <v>89</v>
      </c>
      <c r="C761" t="s">
        <v>1367</v>
      </c>
      <c r="D761">
        <v>2</v>
      </c>
      <c r="E761" s="358">
        <v>4</v>
      </c>
      <c r="F761" s="358" t="s">
        <v>7</v>
      </c>
      <c r="G761" s="358" t="s">
        <v>11</v>
      </c>
      <c r="H761" s="358" t="s">
        <v>11</v>
      </c>
    </row>
    <row r="762" spans="1:8" x14ac:dyDescent="0.3">
      <c r="A762" t="s">
        <v>26</v>
      </c>
      <c r="B762" t="s">
        <v>89</v>
      </c>
      <c r="C762" t="s">
        <v>1369</v>
      </c>
      <c r="D762">
        <v>2</v>
      </c>
      <c r="E762" s="358">
        <v>4</v>
      </c>
      <c r="F762" s="358" t="s">
        <v>7</v>
      </c>
      <c r="G762" s="358" t="s">
        <v>11</v>
      </c>
      <c r="H762" s="358" t="s">
        <v>11</v>
      </c>
    </row>
    <row r="763" spans="1:8" x14ac:dyDescent="0.3">
      <c r="A763" t="s">
        <v>26</v>
      </c>
      <c r="B763" t="s">
        <v>89</v>
      </c>
      <c r="C763" t="s">
        <v>1880</v>
      </c>
      <c r="D763">
        <v>2</v>
      </c>
      <c r="E763" s="358">
        <v>5</v>
      </c>
      <c r="F763" s="358" t="s">
        <v>7</v>
      </c>
      <c r="G763" s="358" t="s">
        <v>11</v>
      </c>
      <c r="H763" s="358" t="s">
        <v>11</v>
      </c>
    </row>
    <row r="764" spans="1:8" x14ac:dyDescent="0.3">
      <c r="A764" t="s">
        <v>26</v>
      </c>
      <c r="B764" t="s">
        <v>89</v>
      </c>
      <c r="C764" t="s">
        <v>1881</v>
      </c>
      <c r="D764">
        <v>2</v>
      </c>
      <c r="E764" s="358">
        <v>4</v>
      </c>
      <c r="F764" s="358" t="s">
        <v>7</v>
      </c>
      <c r="G764" s="358" t="s">
        <v>11</v>
      </c>
      <c r="H764" s="358" t="s">
        <v>11</v>
      </c>
    </row>
    <row r="765" spans="1:8" x14ac:dyDescent="0.3">
      <c r="A765" t="s">
        <v>26</v>
      </c>
      <c r="B765" t="s">
        <v>89</v>
      </c>
      <c r="C765" t="s">
        <v>1470</v>
      </c>
      <c r="D765">
        <v>2</v>
      </c>
      <c r="E765" s="358">
        <v>5</v>
      </c>
      <c r="F765" s="358" t="s">
        <v>7</v>
      </c>
      <c r="G765" s="358" t="s">
        <v>11</v>
      </c>
      <c r="H765" s="358" t="s">
        <v>11</v>
      </c>
    </row>
    <row r="766" spans="1:8" x14ac:dyDescent="0.3">
      <c r="A766" t="s">
        <v>26</v>
      </c>
      <c r="B766" t="s">
        <v>89</v>
      </c>
      <c r="C766" t="s">
        <v>1645</v>
      </c>
      <c r="D766">
        <v>1</v>
      </c>
      <c r="E766" s="358">
        <v>5</v>
      </c>
      <c r="F766" s="358" t="s">
        <v>7</v>
      </c>
      <c r="G766" s="358" t="s">
        <v>11</v>
      </c>
      <c r="H766" s="358" t="s">
        <v>11</v>
      </c>
    </row>
    <row r="767" spans="1:8" x14ac:dyDescent="0.3">
      <c r="A767" t="s">
        <v>26</v>
      </c>
      <c r="B767" t="s">
        <v>89</v>
      </c>
      <c r="C767" t="s">
        <v>1370</v>
      </c>
      <c r="D767">
        <v>1</v>
      </c>
      <c r="E767" s="358">
        <v>5</v>
      </c>
      <c r="F767" s="358" t="s">
        <v>7</v>
      </c>
      <c r="G767" s="358" t="s">
        <v>11</v>
      </c>
      <c r="H767" s="358" t="s">
        <v>11</v>
      </c>
    </row>
    <row r="768" spans="1:8" x14ac:dyDescent="0.3">
      <c r="A768" t="s">
        <v>26</v>
      </c>
      <c r="B768" t="s">
        <v>89</v>
      </c>
      <c r="C768" t="s">
        <v>1882</v>
      </c>
      <c r="D768">
        <v>2</v>
      </c>
      <c r="E768" s="358">
        <v>4</v>
      </c>
      <c r="F768" s="358" t="s">
        <v>7</v>
      </c>
      <c r="G768" s="358" t="s">
        <v>11</v>
      </c>
      <c r="H768" s="358" t="s">
        <v>11</v>
      </c>
    </row>
    <row r="769" spans="1:8" x14ac:dyDescent="0.3">
      <c r="A769" t="s">
        <v>26</v>
      </c>
      <c r="B769" t="s">
        <v>89</v>
      </c>
      <c r="C769" t="s">
        <v>1883</v>
      </c>
      <c r="D769">
        <v>1</v>
      </c>
      <c r="E769" s="358">
        <v>5</v>
      </c>
      <c r="F769" s="358" t="s">
        <v>7</v>
      </c>
      <c r="G769" s="358" t="s">
        <v>11</v>
      </c>
      <c r="H769" s="358" t="s">
        <v>11</v>
      </c>
    </row>
    <row r="770" spans="1:8" x14ac:dyDescent="0.3">
      <c r="A770" t="s">
        <v>26</v>
      </c>
      <c r="B770" t="s">
        <v>89</v>
      </c>
      <c r="C770" t="s">
        <v>1473</v>
      </c>
      <c r="D770">
        <v>1</v>
      </c>
      <c r="E770" s="358">
        <v>4</v>
      </c>
      <c r="F770" s="358" t="s">
        <v>7</v>
      </c>
      <c r="G770" s="358" t="s">
        <v>11</v>
      </c>
      <c r="H770" s="358" t="s">
        <v>11</v>
      </c>
    </row>
    <row r="771" spans="1:8" x14ac:dyDescent="0.3">
      <c r="A771" t="s">
        <v>26</v>
      </c>
      <c r="B771" t="s">
        <v>89</v>
      </c>
      <c r="C771" t="s">
        <v>1373</v>
      </c>
      <c r="D771">
        <v>1</v>
      </c>
      <c r="E771" s="358">
        <v>5</v>
      </c>
      <c r="F771" s="358" t="s">
        <v>7</v>
      </c>
      <c r="G771" s="358" t="s">
        <v>11</v>
      </c>
      <c r="H771" s="358" t="s">
        <v>11</v>
      </c>
    </row>
    <row r="772" spans="1:8" x14ac:dyDescent="0.3">
      <c r="A772" t="s">
        <v>26</v>
      </c>
      <c r="B772" t="s">
        <v>89</v>
      </c>
      <c r="C772" t="s">
        <v>1884</v>
      </c>
      <c r="D772">
        <v>2</v>
      </c>
      <c r="E772" s="358">
        <v>4</v>
      </c>
      <c r="F772" s="358" t="s">
        <v>7</v>
      </c>
      <c r="G772" s="358" t="s">
        <v>11</v>
      </c>
      <c r="H772" s="358" t="s">
        <v>11</v>
      </c>
    </row>
    <row r="773" spans="1:8" x14ac:dyDescent="0.3">
      <c r="A773" t="s">
        <v>26</v>
      </c>
      <c r="B773" t="s">
        <v>89</v>
      </c>
      <c r="C773" t="s">
        <v>1885</v>
      </c>
      <c r="D773">
        <v>1</v>
      </c>
      <c r="E773" s="358">
        <v>5</v>
      </c>
      <c r="F773" s="358" t="s">
        <v>7</v>
      </c>
      <c r="G773" s="358" t="s">
        <v>11</v>
      </c>
      <c r="H773" s="358" t="s">
        <v>11</v>
      </c>
    </row>
    <row r="774" spans="1:8" x14ac:dyDescent="0.3">
      <c r="A774" t="s">
        <v>26</v>
      </c>
      <c r="B774" t="s">
        <v>89</v>
      </c>
      <c r="C774" t="s">
        <v>1886</v>
      </c>
      <c r="D774">
        <v>2</v>
      </c>
      <c r="E774" s="358">
        <v>5</v>
      </c>
      <c r="F774" s="358" t="s">
        <v>7</v>
      </c>
      <c r="G774" s="358" t="s">
        <v>11</v>
      </c>
      <c r="H774" s="358" t="s">
        <v>11</v>
      </c>
    </row>
    <row r="775" spans="1:8" x14ac:dyDescent="0.3">
      <c r="A775" t="s">
        <v>26</v>
      </c>
      <c r="B775" t="s">
        <v>89</v>
      </c>
      <c r="C775" t="s">
        <v>1887</v>
      </c>
      <c r="D775">
        <v>1</v>
      </c>
      <c r="E775" s="358">
        <v>5</v>
      </c>
      <c r="F775" s="358" t="s">
        <v>7</v>
      </c>
      <c r="G775" s="358" t="s">
        <v>11</v>
      </c>
      <c r="H775" s="358" t="s">
        <v>11</v>
      </c>
    </row>
    <row r="776" spans="1:8" x14ac:dyDescent="0.3">
      <c r="A776" t="s">
        <v>26</v>
      </c>
      <c r="B776" t="s">
        <v>89</v>
      </c>
      <c r="C776" t="s">
        <v>1888</v>
      </c>
      <c r="D776">
        <v>2</v>
      </c>
      <c r="E776" s="358">
        <v>4</v>
      </c>
      <c r="F776" s="358" t="s">
        <v>7</v>
      </c>
      <c r="G776" s="358" t="s">
        <v>11</v>
      </c>
      <c r="H776" s="358" t="s">
        <v>11</v>
      </c>
    </row>
    <row r="777" spans="1:8" x14ac:dyDescent="0.3">
      <c r="A777" t="s">
        <v>26</v>
      </c>
      <c r="B777" t="s">
        <v>89</v>
      </c>
      <c r="C777" t="s">
        <v>1889</v>
      </c>
      <c r="D777">
        <v>2</v>
      </c>
      <c r="E777" s="358">
        <v>4</v>
      </c>
      <c r="F777" s="358" t="s">
        <v>7</v>
      </c>
      <c r="G777" s="358" t="s">
        <v>11</v>
      </c>
      <c r="H777" s="358" t="s">
        <v>11</v>
      </c>
    </row>
    <row r="778" spans="1:8" x14ac:dyDescent="0.3">
      <c r="A778" t="s">
        <v>26</v>
      </c>
      <c r="B778" t="s">
        <v>89</v>
      </c>
      <c r="C778" t="s">
        <v>1890</v>
      </c>
      <c r="D778">
        <v>1</v>
      </c>
      <c r="E778" s="358">
        <v>5</v>
      </c>
      <c r="F778" s="358" t="s">
        <v>7</v>
      </c>
      <c r="G778" s="358" t="s">
        <v>11</v>
      </c>
      <c r="H778" s="358" t="s">
        <v>11</v>
      </c>
    </row>
    <row r="779" spans="1:8" x14ac:dyDescent="0.3">
      <c r="A779" t="s">
        <v>26</v>
      </c>
      <c r="B779" t="s">
        <v>89</v>
      </c>
      <c r="C779" t="s">
        <v>1891</v>
      </c>
      <c r="D779">
        <v>1</v>
      </c>
      <c r="E779" s="358">
        <v>5</v>
      </c>
      <c r="F779" s="358" t="s">
        <v>7</v>
      </c>
      <c r="G779" s="358" t="s">
        <v>11</v>
      </c>
      <c r="H779" s="358" t="s">
        <v>11</v>
      </c>
    </row>
    <row r="780" spans="1:8" x14ac:dyDescent="0.3">
      <c r="A780" t="s">
        <v>26</v>
      </c>
      <c r="B780" t="s">
        <v>89</v>
      </c>
      <c r="C780" t="s">
        <v>1479</v>
      </c>
      <c r="D780">
        <v>1</v>
      </c>
      <c r="E780" s="358">
        <v>5</v>
      </c>
      <c r="F780" s="358" t="s">
        <v>7</v>
      </c>
      <c r="G780" s="358" t="s">
        <v>11</v>
      </c>
      <c r="H780" s="358" t="s">
        <v>11</v>
      </c>
    </row>
    <row r="781" spans="1:8" x14ac:dyDescent="0.3">
      <c r="A781" t="s">
        <v>26</v>
      </c>
      <c r="B781" t="s">
        <v>89</v>
      </c>
      <c r="C781" t="s">
        <v>1892</v>
      </c>
      <c r="D781">
        <v>2</v>
      </c>
      <c r="E781" s="358">
        <v>4</v>
      </c>
      <c r="F781" s="358" t="s">
        <v>7</v>
      </c>
      <c r="G781" s="358" t="s">
        <v>11</v>
      </c>
      <c r="H781" s="358" t="s">
        <v>11</v>
      </c>
    </row>
    <row r="782" spans="1:8" x14ac:dyDescent="0.3">
      <c r="A782" t="s">
        <v>26</v>
      </c>
      <c r="B782" t="s">
        <v>89</v>
      </c>
      <c r="C782" t="s">
        <v>1893</v>
      </c>
      <c r="D782">
        <v>1</v>
      </c>
      <c r="E782" s="358">
        <v>5</v>
      </c>
      <c r="F782" s="358" t="s">
        <v>7</v>
      </c>
      <c r="G782" s="358" t="s">
        <v>11</v>
      </c>
      <c r="H782" s="358" t="s">
        <v>11</v>
      </c>
    </row>
    <row r="783" spans="1:8" x14ac:dyDescent="0.3">
      <c r="A783" t="s">
        <v>26</v>
      </c>
      <c r="B783" t="s">
        <v>89</v>
      </c>
      <c r="C783" t="s">
        <v>1894</v>
      </c>
      <c r="D783">
        <v>2</v>
      </c>
      <c r="E783" s="358">
        <v>5</v>
      </c>
      <c r="F783" s="358" t="s">
        <v>7</v>
      </c>
      <c r="G783" s="358" t="s">
        <v>11</v>
      </c>
      <c r="H783" s="358" t="s">
        <v>11</v>
      </c>
    </row>
    <row r="784" spans="1:8" x14ac:dyDescent="0.3">
      <c r="A784" t="s">
        <v>26</v>
      </c>
      <c r="B784" t="s">
        <v>89</v>
      </c>
      <c r="C784" t="s">
        <v>1851</v>
      </c>
      <c r="D784">
        <v>1</v>
      </c>
      <c r="E784" s="358">
        <v>5</v>
      </c>
      <c r="F784" s="358" t="s">
        <v>7</v>
      </c>
      <c r="G784" s="358" t="s">
        <v>11</v>
      </c>
      <c r="H784" s="358" t="s">
        <v>11</v>
      </c>
    </row>
    <row r="785" spans="1:8" x14ac:dyDescent="0.3">
      <c r="A785" t="s">
        <v>26</v>
      </c>
      <c r="B785" t="s">
        <v>89</v>
      </c>
      <c r="C785" t="s">
        <v>1757</v>
      </c>
      <c r="D785">
        <v>1</v>
      </c>
      <c r="E785" s="358">
        <v>5</v>
      </c>
      <c r="F785" s="358" t="s">
        <v>7</v>
      </c>
      <c r="G785" s="358" t="s">
        <v>11</v>
      </c>
      <c r="H785" s="358" t="s">
        <v>11</v>
      </c>
    </row>
    <row r="786" spans="1:8" x14ac:dyDescent="0.3">
      <c r="A786" t="s">
        <v>26</v>
      </c>
      <c r="B786" t="s">
        <v>89</v>
      </c>
      <c r="C786" t="s">
        <v>1895</v>
      </c>
      <c r="D786">
        <v>2</v>
      </c>
      <c r="E786" s="358">
        <v>4</v>
      </c>
      <c r="F786" s="358" t="s">
        <v>7</v>
      </c>
      <c r="G786" s="358" t="s">
        <v>11</v>
      </c>
      <c r="H786" s="358" t="s">
        <v>11</v>
      </c>
    </row>
    <row r="787" spans="1:8" x14ac:dyDescent="0.3">
      <c r="A787" t="s">
        <v>26</v>
      </c>
      <c r="B787" t="s">
        <v>89</v>
      </c>
      <c r="C787" t="s">
        <v>1379</v>
      </c>
      <c r="D787">
        <v>1</v>
      </c>
      <c r="E787" s="358">
        <v>4</v>
      </c>
      <c r="F787" s="358" t="s">
        <v>7</v>
      </c>
      <c r="G787" s="358" t="s">
        <v>11</v>
      </c>
      <c r="H787" s="358" t="s">
        <v>11</v>
      </c>
    </row>
    <row r="788" spans="1:8" x14ac:dyDescent="0.3">
      <c r="A788" t="s">
        <v>26</v>
      </c>
      <c r="B788" t="s">
        <v>89</v>
      </c>
      <c r="C788" t="s">
        <v>1758</v>
      </c>
      <c r="D788">
        <v>1</v>
      </c>
      <c r="E788" s="358">
        <v>5</v>
      </c>
      <c r="F788" s="358" t="s">
        <v>7</v>
      </c>
      <c r="G788" s="358" t="s">
        <v>11</v>
      </c>
      <c r="H788" s="358" t="s">
        <v>11</v>
      </c>
    </row>
    <row r="789" spans="1:8" x14ac:dyDescent="0.3">
      <c r="A789" t="s">
        <v>26</v>
      </c>
      <c r="B789" t="s">
        <v>89</v>
      </c>
      <c r="C789" t="s">
        <v>1896</v>
      </c>
      <c r="D789">
        <v>1</v>
      </c>
      <c r="E789" s="358">
        <v>5</v>
      </c>
      <c r="F789" s="358" t="s">
        <v>7</v>
      </c>
      <c r="G789" s="358" t="s">
        <v>11</v>
      </c>
      <c r="H789" s="358" t="s">
        <v>11</v>
      </c>
    </row>
    <row r="790" spans="1:8" x14ac:dyDescent="0.3">
      <c r="A790" t="s">
        <v>26</v>
      </c>
      <c r="B790" t="s">
        <v>89</v>
      </c>
      <c r="C790" t="s">
        <v>1481</v>
      </c>
      <c r="D790">
        <v>1</v>
      </c>
      <c r="E790" s="358">
        <v>5</v>
      </c>
      <c r="F790" s="358" t="s">
        <v>7</v>
      </c>
      <c r="G790" s="358" t="s">
        <v>11</v>
      </c>
      <c r="H790" s="358" t="s">
        <v>11</v>
      </c>
    </row>
    <row r="791" spans="1:8" x14ac:dyDescent="0.3">
      <c r="A791" t="s">
        <v>26</v>
      </c>
      <c r="B791" t="s">
        <v>89</v>
      </c>
      <c r="C791" t="s">
        <v>1897</v>
      </c>
      <c r="D791">
        <v>1</v>
      </c>
      <c r="E791" s="358">
        <v>5</v>
      </c>
      <c r="F791" s="358" t="s">
        <v>7</v>
      </c>
      <c r="G791" s="358" t="s">
        <v>11</v>
      </c>
      <c r="H791" s="358" t="s">
        <v>11</v>
      </c>
    </row>
    <row r="792" spans="1:8" x14ac:dyDescent="0.3">
      <c r="A792" t="s">
        <v>23</v>
      </c>
      <c r="B792" t="s">
        <v>77</v>
      </c>
      <c r="C792" t="s">
        <v>1898</v>
      </c>
      <c r="D792">
        <v>1</v>
      </c>
      <c r="E792" s="358">
        <v>5</v>
      </c>
      <c r="F792" s="358" t="s">
        <v>7</v>
      </c>
      <c r="G792" s="358" t="s">
        <v>11</v>
      </c>
      <c r="H792" s="358" t="s">
        <v>11</v>
      </c>
    </row>
    <row r="793" spans="1:8" x14ac:dyDescent="0.3">
      <c r="A793" t="s">
        <v>23</v>
      </c>
      <c r="B793" t="s">
        <v>77</v>
      </c>
      <c r="C793" t="s">
        <v>1540</v>
      </c>
      <c r="D793">
        <v>1</v>
      </c>
      <c r="E793" s="358">
        <v>5</v>
      </c>
      <c r="F793" s="358" t="s">
        <v>7</v>
      </c>
      <c r="G793" s="358" t="s">
        <v>11</v>
      </c>
      <c r="H793" s="358" t="s">
        <v>11</v>
      </c>
    </row>
    <row r="794" spans="1:8" x14ac:dyDescent="0.3">
      <c r="A794" t="s">
        <v>23</v>
      </c>
      <c r="B794" t="s">
        <v>77</v>
      </c>
      <c r="C794" t="s">
        <v>1899</v>
      </c>
      <c r="D794">
        <v>1</v>
      </c>
      <c r="E794" s="358">
        <v>6</v>
      </c>
      <c r="F794" s="358" t="s">
        <v>7</v>
      </c>
      <c r="G794" s="358" t="s">
        <v>11</v>
      </c>
      <c r="H794" s="358" t="s">
        <v>11</v>
      </c>
    </row>
    <row r="795" spans="1:8" x14ac:dyDescent="0.3">
      <c r="A795" t="s">
        <v>23</v>
      </c>
      <c r="B795" t="s">
        <v>77</v>
      </c>
      <c r="C795" t="s">
        <v>1900</v>
      </c>
      <c r="D795">
        <v>1</v>
      </c>
      <c r="E795" s="358">
        <v>5</v>
      </c>
      <c r="F795" s="358" t="s">
        <v>7</v>
      </c>
      <c r="G795" s="358" t="s">
        <v>11</v>
      </c>
      <c r="H795" s="358" t="s">
        <v>11</v>
      </c>
    </row>
    <row r="796" spans="1:8" x14ac:dyDescent="0.3">
      <c r="A796" t="s">
        <v>23</v>
      </c>
      <c r="B796" t="s">
        <v>77</v>
      </c>
      <c r="C796" t="s">
        <v>1901</v>
      </c>
      <c r="D796">
        <v>1</v>
      </c>
      <c r="E796" s="358">
        <v>5</v>
      </c>
      <c r="F796" s="358" t="s">
        <v>7</v>
      </c>
      <c r="G796" s="358" t="s">
        <v>11</v>
      </c>
      <c r="H796" s="358" t="s">
        <v>11</v>
      </c>
    </row>
    <row r="797" spans="1:8" x14ac:dyDescent="0.3">
      <c r="A797" t="s">
        <v>23</v>
      </c>
      <c r="B797" t="s">
        <v>77</v>
      </c>
      <c r="C797" t="s">
        <v>1430</v>
      </c>
      <c r="D797">
        <v>1</v>
      </c>
      <c r="E797" s="358">
        <v>5</v>
      </c>
      <c r="F797" s="358" t="s">
        <v>7</v>
      </c>
      <c r="G797" s="358" t="s">
        <v>11</v>
      </c>
      <c r="H797" s="358" t="s">
        <v>11</v>
      </c>
    </row>
    <row r="798" spans="1:8" x14ac:dyDescent="0.3">
      <c r="A798" t="s">
        <v>23</v>
      </c>
      <c r="B798" t="s">
        <v>77</v>
      </c>
      <c r="C798" t="s">
        <v>1902</v>
      </c>
      <c r="D798">
        <v>1</v>
      </c>
      <c r="E798" s="358">
        <v>6</v>
      </c>
      <c r="F798" s="358" t="s">
        <v>7</v>
      </c>
      <c r="G798" s="358" t="s">
        <v>11</v>
      </c>
      <c r="H798" s="358" t="s">
        <v>11</v>
      </c>
    </row>
    <row r="799" spans="1:8" x14ac:dyDescent="0.3">
      <c r="A799" t="s">
        <v>23</v>
      </c>
      <c r="B799" t="s">
        <v>77</v>
      </c>
      <c r="C799" t="s">
        <v>1431</v>
      </c>
      <c r="D799">
        <v>1</v>
      </c>
      <c r="E799" s="358">
        <v>5</v>
      </c>
      <c r="F799" s="358" t="s">
        <v>7</v>
      </c>
      <c r="G799" s="358" t="s">
        <v>11</v>
      </c>
      <c r="H799" s="358" t="s">
        <v>11</v>
      </c>
    </row>
    <row r="800" spans="1:8" x14ac:dyDescent="0.3">
      <c r="A800" t="s">
        <v>23</v>
      </c>
      <c r="B800" t="s">
        <v>77</v>
      </c>
      <c r="C800" t="s">
        <v>1903</v>
      </c>
      <c r="D800">
        <v>1</v>
      </c>
      <c r="E800" s="358">
        <v>6</v>
      </c>
      <c r="F800" s="358" t="s">
        <v>7</v>
      </c>
      <c r="G800" s="358" t="s">
        <v>11</v>
      </c>
      <c r="H800" s="358" t="s">
        <v>11</v>
      </c>
    </row>
    <row r="801" spans="1:8" x14ac:dyDescent="0.3">
      <c r="A801" t="s">
        <v>23</v>
      </c>
      <c r="B801" t="s">
        <v>77</v>
      </c>
      <c r="C801" t="s">
        <v>1904</v>
      </c>
      <c r="D801">
        <v>1</v>
      </c>
      <c r="E801" s="358">
        <v>6</v>
      </c>
      <c r="F801" s="358" t="s">
        <v>7</v>
      </c>
      <c r="G801" s="358" t="s">
        <v>11</v>
      </c>
      <c r="H801" s="358" t="s">
        <v>11</v>
      </c>
    </row>
    <row r="802" spans="1:8" x14ac:dyDescent="0.3">
      <c r="A802" t="s">
        <v>23</v>
      </c>
      <c r="B802" t="s">
        <v>77</v>
      </c>
      <c r="C802" t="s">
        <v>1905</v>
      </c>
      <c r="D802">
        <v>1</v>
      </c>
      <c r="E802" s="358">
        <v>6</v>
      </c>
      <c r="F802" s="358" t="s">
        <v>7</v>
      </c>
      <c r="G802" s="358" t="s">
        <v>11</v>
      </c>
      <c r="H802" s="358" t="s">
        <v>11</v>
      </c>
    </row>
    <row r="803" spans="1:8" x14ac:dyDescent="0.3">
      <c r="A803" t="s">
        <v>23</v>
      </c>
      <c r="B803" t="s">
        <v>77</v>
      </c>
      <c r="C803" t="s">
        <v>1321</v>
      </c>
      <c r="D803">
        <v>1</v>
      </c>
      <c r="E803" s="358">
        <v>6</v>
      </c>
      <c r="F803" s="358" t="s">
        <v>7</v>
      </c>
      <c r="G803" s="358" t="s">
        <v>11</v>
      </c>
      <c r="H803" s="358" t="s">
        <v>11</v>
      </c>
    </row>
    <row r="804" spans="1:8" x14ac:dyDescent="0.3">
      <c r="A804" t="s">
        <v>23</v>
      </c>
      <c r="B804" t="s">
        <v>77</v>
      </c>
      <c r="C804" t="s">
        <v>1322</v>
      </c>
      <c r="D804">
        <v>1</v>
      </c>
      <c r="E804" s="358">
        <v>6</v>
      </c>
      <c r="F804" s="358" t="s">
        <v>7</v>
      </c>
      <c r="G804" s="358" t="s">
        <v>11</v>
      </c>
      <c r="H804" s="358" t="s">
        <v>11</v>
      </c>
    </row>
    <row r="805" spans="1:8" x14ac:dyDescent="0.3">
      <c r="A805" t="s">
        <v>23</v>
      </c>
      <c r="B805" t="s">
        <v>77</v>
      </c>
      <c r="C805" t="s">
        <v>1433</v>
      </c>
      <c r="D805">
        <v>1</v>
      </c>
      <c r="E805" s="358">
        <v>5</v>
      </c>
      <c r="F805" s="358" t="s">
        <v>7</v>
      </c>
      <c r="G805" s="358" t="s">
        <v>11</v>
      </c>
      <c r="H805" s="358" t="s">
        <v>11</v>
      </c>
    </row>
    <row r="806" spans="1:8" x14ac:dyDescent="0.3">
      <c r="A806" t="s">
        <v>23</v>
      </c>
      <c r="B806" t="s">
        <v>77</v>
      </c>
      <c r="C806" t="s">
        <v>1807</v>
      </c>
      <c r="D806">
        <v>1</v>
      </c>
      <c r="E806" s="358">
        <v>5</v>
      </c>
      <c r="F806" s="358" t="s">
        <v>7</v>
      </c>
      <c r="G806" s="358" t="s">
        <v>11</v>
      </c>
      <c r="H806" s="358" t="s">
        <v>11</v>
      </c>
    </row>
    <row r="807" spans="1:8" x14ac:dyDescent="0.3">
      <c r="A807" t="s">
        <v>23</v>
      </c>
      <c r="B807" t="s">
        <v>77</v>
      </c>
      <c r="C807" t="s">
        <v>1906</v>
      </c>
      <c r="D807">
        <v>1</v>
      </c>
      <c r="E807" s="358">
        <v>5</v>
      </c>
      <c r="F807" s="358" t="s">
        <v>7</v>
      </c>
      <c r="G807" s="358" t="s">
        <v>11</v>
      </c>
      <c r="H807" s="358" t="s">
        <v>11</v>
      </c>
    </row>
    <row r="808" spans="1:8" x14ac:dyDescent="0.3">
      <c r="A808" t="s">
        <v>23</v>
      </c>
      <c r="B808" t="s">
        <v>77</v>
      </c>
      <c r="C808" t="s">
        <v>1907</v>
      </c>
      <c r="D808">
        <v>1</v>
      </c>
      <c r="E808" s="358">
        <v>6</v>
      </c>
      <c r="F808" s="358" t="s">
        <v>7</v>
      </c>
      <c r="G808" s="358" t="s">
        <v>11</v>
      </c>
      <c r="H808" s="358" t="s">
        <v>11</v>
      </c>
    </row>
    <row r="809" spans="1:8" x14ac:dyDescent="0.3">
      <c r="A809" t="s">
        <v>23</v>
      </c>
      <c r="B809" t="s">
        <v>77</v>
      </c>
      <c r="C809" t="s">
        <v>1324</v>
      </c>
      <c r="D809">
        <v>1</v>
      </c>
      <c r="E809" s="358">
        <v>6</v>
      </c>
      <c r="F809" s="358" t="s">
        <v>7</v>
      </c>
      <c r="G809" s="358" t="s">
        <v>11</v>
      </c>
      <c r="H809" s="358" t="s">
        <v>11</v>
      </c>
    </row>
    <row r="810" spans="1:8" x14ac:dyDescent="0.3">
      <c r="A810" t="s">
        <v>23</v>
      </c>
      <c r="B810" t="s">
        <v>77</v>
      </c>
      <c r="C810" t="s">
        <v>1908</v>
      </c>
      <c r="D810">
        <v>1</v>
      </c>
      <c r="E810" s="358">
        <v>6</v>
      </c>
      <c r="F810" s="358" t="s">
        <v>7</v>
      </c>
      <c r="G810" s="358" t="s">
        <v>11</v>
      </c>
      <c r="H810" s="358" t="s">
        <v>11</v>
      </c>
    </row>
    <row r="811" spans="1:8" x14ac:dyDescent="0.3">
      <c r="A811" t="s">
        <v>23</v>
      </c>
      <c r="B811" t="s">
        <v>77</v>
      </c>
      <c r="C811" t="s">
        <v>1327</v>
      </c>
      <c r="D811">
        <v>1</v>
      </c>
      <c r="E811" s="358">
        <v>5</v>
      </c>
      <c r="F811" s="358" t="s">
        <v>7</v>
      </c>
      <c r="G811" s="358" t="s">
        <v>11</v>
      </c>
      <c r="H811" s="358" t="s">
        <v>11</v>
      </c>
    </row>
    <row r="812" spans="1:8" x14ac:dyDescent="0.3">
      <c r="A812" t="s">
        <v>23</v>
      </c>
      <c r="B812" t="s">
        <v>77</v>
      </c>
      <c r="C812" t="s">
        <v>1328</v>
      </c>
      <c r="D812">
        <v>1</v>
      </c>
      <c r="E812" s="358">
        <v>6</v>
      </c>
      <c r="F812" s="358" t="s">
        <v>7</v>
      </c>
      <c r="G812" s="358" t="s">
        <v>11</v>
      </c>
      <c r="H812" s="358" t="s">
        <v>11</v>
      </c>
    </row>
    <row r="813" spans="1:8" x14ac:dyDescent="0.3">
      <c r="A813" t="s">
        <v>23</v>
      </c>
      <c r="B813" t="s">
        <v>77</v>
      </c>
      <c r="C813" t="s">
        <v>1678</v>
      </c>
      <c r="D813">
        <v>1</v>
      </c>
      <c r="E813" s="358">
        <v>6</v>
      </c>
      <c r="F813" s="358" t="s">
        <v>7</v>
      </c>
      <c r="G813" s="358" t="s">
        <v>11</v>
      </c>
      <c r="H813" s="358" t="s">
        <v>11</v>
      </c>
    </row>
    <row r="814" spans="1:8" x14ac:dyDescent="0.3">
      <c r="A814" t="s">
        <v>23</v>
      </c>
      <c r="B814" t="s">
        <v>77</v>
      </c>
      <c r="C814" t="s">
        <v>1810</v>
      </c>
      <c r="D814">
        <v>1</v>
      </c>
      <c r="E814" s="358">
        <v>5</v>
      </c>
      <c r="F814" s="358" t="s">
        <v>7</v>
      </c>
      <c r="G814" s="358" t="s">
        <v>11</v>
      </c>
      <c r="H814" s="358" t="s">
        <v>11</v>
      </c>
    </row>
    <row r="815" spans="1:8" x14ac:dyDescent="0.3">
      <c r="A815" t="s">
        <v>23</v>
      </c>
      <c r="B815" t="s">
        <v>77</v>
      </c>
      <c r="C815" t="s">
        <v>1440</v>
      </c>
      <c r="D815">
        <v>1</v>
      </c>
      <c r="E815" s="358">
        <v>5</v>
      </c>
      <c r="F815" s="358" t="s">
        <v>7</v>
      </c>
      <c r="G815" s="358" t="s">
        <v>11</v>
      </c>
      <c r="H815" s="358" t="s">
        <v>11</v>
      </c>
    </row>
    <row r="816" spans="1:8" x14ac:dyDescent="0.3">
      <c r="A816" t="s">
        <v>23</v>
      </c>
      <c r="B816" t="s">
        <v>77</v>
      </c>
      <c r="C816" t="s">
        <v>1338</v>
      </c>
      <c r="D816">
        <v>1</v>
      </c>
      <c r="E816" s="358">
        <v>5</v>
      </c>
      <c r="F816" s="358" t="s">
        <v>7</v>
      </c>
      <c r="G816" s="358" t="s">
        <v>11</v>
      </c>
      <c r="H816" s="358" t="s">
        <v>11</v>
      </c>
    </row>
    <row r="817" spans="1:8" x14ac:dyDescent="0.3">
      <c r="A817" t="s">
        <v>23</v>
      </c>
      <c r="B817" t="s">
        <v>77</v>
      </c>
      <c r="C817" t="s">
        <v>1909</v>
      </c>
      <c r="D817">
        <v>1</v>
      </c>
      <c r="E817" s="358">
        <v>5</v>
      </c>
      <c r="F817" s="358" t="s">
        <v>7</v>
      </c>
      <c r="G817" s="358" t="s">
        <v>11</v>
      </c>
      <c r="H817" s="358" t="s">
        <v>11</v>
      </c>
    </row>
    <row r="818" spans="1:8" x14ac:dyDescent="0.3">
      <c r="A818" t="s">
        <v>23</v>
      </c>
      <c r="B818" t="s">
        <v>77</v>
      </c>
      <c r="C818" t="s">
        <v>1687</v>
      </c>
      <c r="D818">
        <v>1</v>
      </c>
      <c r="E818" s="358">
        <v>5</v>
      </c>
      <c r="F818" s="358" t="s">
        <v>7</v>
      </c>
      <c r="G818" s="358" t="s">
        <v>11</v>
      </c>
      <c r="H818" s="358" t="s">
        <v>11</v>
      </c>
    </row>
    <row r="819" spans="1:8" x14ac:dyDescent="0.3">
      <c r="A819" t="s">
        <v>23</v>
      </c>
      <c r="B819" t="s">
        <v>77</v>
      </c>
      <c r="C819" t="s">
        <v>1862</v>
      </c>
      <c r="D819">
        <v>1</v>
      </c>
      <c r="E819" s="358">
        <v>6</v>
      </c>
      <c r="F819" s="358" t="s">
        <v>7</v>
      </c>
      <c r="G819" s="358" t="s">
        <v>11</v>
      </c>
      <c r="H819" s="358" t="s">
        <v>11</v>
      </c>
    </row>
    <row r="820" spans="1:8" x14ac:dyDescent="0.3">
      <c r="A820" t="s">
        <v>23</v>
      </c>
      <c r="B820" t="s">
        <v>77</v>
      </c>
      <c r="C820" t="s">
        <v>1910</v>
      </c>
      <c r="D820">
        <v>1</v>
      </c>
      <c r="E820" s="358">
        <v>5</v>
      </c>
      <c r="F820" s="358" t="s">
        <v>7</v>
      </c>
      <c r="G820" s="358" t="s">
        <v>11</v>
      </c>
      <c r="H820" s="358" t="s">
        <v>11</v>
      </c>
    </row>
    <row r="821" spans="1:8" x14ac:dyDescent="0.3">
      <c r="A821" t="s">
        <v>23</v>
      </c>
      <c r="B821" t="s">
        <v>77</v>
      </c>
      <c r="C821" t="s">
        <v>1911</v>
      </c>
      <c r="D821">
        <v>1</v>
      </c>
      <c r="E821" s="358">
        <v>6</v>
      </c>
      <c r="F821" s="358" t="s">
        <v>7</v>
      </c>
      <c r="G821" s="358" t="s">
        <v>11</v>
      </c>
      <c r="H821" s="358" t="s">
        <v>11</v>
      </c>
    </row>
    <row r="822" spans="1:8" x14ac:dyDescent="0.3">
      <c r="A822" t="s">
        <v>23</v>
      </c>
      <c r="B822" t="s">
        <v>77</v>
      </c>
      <c r="C822" t="s">
        <v>1912</v>
      </c>
      <c r="D822">
        <v>1</v>
      </c>
      <c r="E822" s="358">
        <v>5</v>
      </c>
      <c r="F822" s="358" t="s">
        <v>7</v>
      </c>
      <c r="G822" s="358" t="s">
        <v>11</v>
      </c>
      <c r="H822" s="358" t="s">
        <v>11</v>
      </c>
    </row>
    <row r="823" spans="1:8" x14ac:dyDescent="0.3">
      <c r="A823" t="s">
        <v>23</v>
      </c>
      <c r="B823" t="s">
        <v>77</v>
      </c>
      <c r="C823" t="s">
        <v>1913</v>
      </c>
      <c r="D823">
        <v>1</v>
      </c>
      <c r="E823" s="358">
        <v>6</v>
      </c>
      <c r="F823" s="358" t="s">
        <v>7</v>
      </c>
      <c r="G823" s="358" t="s">
        <v>11</v>
      </c>
      <c r="H823" s="358" t="s">
        <v>11</v>
      </c>
    </row>
    <row r="824" spans="1:8" x14ac:dyDescent="0.3">
      <c r="A824" t="s">
        <v>23</v>
      </c>
      <c r="B824" t="s">
        <v>77</v>
      </c>
      <c r="C824" t="s">
        <v>1343</v>
      </c>
      <c r="D824">
        <v>1</v>
      </c>
      <c r="E824" s="358">
        <v>6</v>
      </c>
      <c r="F824" s="358" t="s">
        <v>7</v>
      </c>
      <c r="G824" s="358" t="s">
        <v>11</v>
      </c>
      <c r="H824" s="358" t="s">
        <v>11</v>
      </c>
    </row>
    <row r="825" spans="1:8" x14ac:dyDescent="0.3">
      <c r="A825" t="s">
        <v>23</v>
      </c>
      <c r="B825" t="s">
        <v>77</v>
      </c>
      <c r="C825" t="s">
        <v>1698</v>
      </c>
      <c r="D825">
        <v>1</v>
      </c>
      <c r="E825" s="358">
        <v>6</v>
      </c>
      <c r="F825" s="358" t="s">
        <v>7</v>
      </c>
      <c r="G825" s="358" t="s">
        <v>11</v>
      </c>
      <c r="H825" s="358" t="s">
        <v>11</v>
      </c>
    </row>
    <row r="826" spans="1:8" x14ac:dyDescent="0.3">
      <c r="A826" t="s">
        <v>23</v>
      </c>
      <c r="B826" t="s">
        <v>77</v>
      </c>
      <c r="C826" t="s">
        <v>1344</v>
      </c>
      <c r="D826">
        <v>1</v>
      </c>
      <c r="E826" s="358">
        <v>6</v>
      </c>
      <c r="F826" s="358" t="s">
        <v>7</v>
      </c>
      <c r="G826" s="358" t="s">
        <v>11</v>
      </c>
      <c r="H826" s="358" t="s">
        <v>11</v>
      </c>
    </row>
    <row r="827" spans="1:8" x14ac:dyDescent="0.3">
      <c r="A827" t="s">
        <v>23</v>
      </c>
      <c r="B827" t="s">
        <v>77</v>
      </c>
      <c r="C827" t="s">
        <v>1562</v>
      </c>
      <c r="D827">
        <v>1</v>
      </c>
      <c r="E827" s="358">
        <v>5</v>
      </c>
      <c r="F827" s="358" t="s">
        <v>7</v>
      </c>
      <c r="G827" s="358" t="s">
        <v>11</v>
      </c>
      <c r="H827" s="358" t="s">
        <v>11</v>
      </c>
    </row>
    <row r="828" spans="1:8" x14ac:dyDescent="0.3">
      <c r="A828" t="s">
        <v>23</v>
      </c>
      <c r="B828" t="s">
        <v>77</v>
      </c>
      <c r="C828" t="s">
        <v>1346</v>
      </c>
      <c r="D828">
        <v>1</v>
      </c>
      <c r="E828" s="358">
        <v>5</v>
      </c>
      <c r="F828" s="358" t="s">
        <v>7</v>
      </c>
      <c r="G828" s="358" t="s">
        <v>11</v>
      </c>
      <c r="H828" s="358" t="s">
        <v>11</v>
      </c>
    </row>
    <row r="829" spans="1:8" x14ac:dyDescent="0.3">
      <c r="A829" t="s">
        <v>23</v>
      </c>
      <c r="B829" t="s">
        <v>77</v>
      </c>
      <c r="C829" t="s">
        <v>1819</v>
      </c>
      <c r="D829">
        <v>1</v>
      </c>
      <c r="E829" s="358">
        <v>6</v>
      </c>
      <c r="F829" s="358" t="s">
        <v>7</v>
      </c>
      <c r="G829" s="358" t="s">
        <v>11</v>
      </c>
      <c r="H829" s="358" t="s">
        <v>11</v>
      </c>
    </row>
    <row r="830" spans="1:8" x14ac:dyDescent="0.3">
      <c r="A830" t="s">
        <v>23</v>
      </c>
      <c r="B830" t="s">
        <v>77</v>
      </c>
      <c r="C830" t="s">
        <v>1914</v>
      </c>
      <c r="D830">
        <v>1</v>
      </c>
      <c r="E830" s="358">
        <v>5</v>
      </c>
      <c r="F830" s="358" t="s">
        <v>7</v>
      </c>
      <c r="G830" s="358" t="s">
        <v>11</v>
      </c>
      <c r="H830" s="358" t="s">
        <v>11</v>
      </c>
    </row>
    <row r="831" spans="1:8" x14ac:dyDescent="0.3">
      <c r="A831" t="s">
        <v>23</v>
      </c>
      <c r="B831" t="s">
        <v>77</v>
      </c>
      <c r="C831" t="s">
        <v>1624</v>
      </c>
      <c r="D831">
        <v>1</v>
      </c>
      <c r="E831" s="358">
        <v>6</v>
      </c>
      <c r="F831" s="358" t="s">
        <v>7</v>
      </c>
      <c r="G831" s="358" t="s">
        <v>11</v>
      </c>
      <c r="H831" s="358" t="s">
        <v>11</v>
      </c>
    </row>
    <row r="832" spans="1:8" x14ac:dyDescent="0.3">
      <c r="A832" t="s">
        <v>23</v>
      </c>
      <c r="B832" t="s">
        <v>77</v>
      </c>
      <c r="C832" t="s">
        <v>1708</v>
      </c>
      <c r="D832">
        <v>1</v>
      </c>
      <c r="E832" s="358">
        <v>6</v>
      </c>
      <c r="F832" s="358" t="s">
        <v>7</v>
      </c>
      <c r="G832" s="358" t="s">
        <v>11</v>
      </c>
      <c r="H832" s="358" t="s">
        <v>11</v>
      </c>
    </row>
    <row r="833" spans="1:8" x14ac:dyDescent="0.3">
      <c r="A833" t="s">
        <v>23</v>
      </c>
      <c r="B833" t="s">
        <v>77</v>
      </c>
      <c r="C833" t="s">
        <v>1820</v>
      </c>
      <c r="D833">
        <v>1</v>
      </c>
      <c r="E833" s="358">
        <v>6</v>
      </c>
      <c r="F833" s="358" t="s">
        <v>7</v>
      </c>
      <c r="G833" s="358" t="s">
        <v>11</v>
      </c>
      <c r="H833" s="358" t="s">
        <v>11</v>
      </c>
    </row>
    <row r="834" spans="1:8" x14ac:dyDescent="0.3">
      <c r="A834" t="s">
        <v>23</v>
      </c>
      <c r="B834" t="s">
        <v>77</v>
      </c>
      <c r="C834" t="s">
        <v>1867</v>
      </c>
      <c r="D834">
        <v>1</v>
      </c>
      <c r="E834" s="358">
        <v>5</v>
      </c>
      <c r="F834" s="358" t="s">
        <v>7</v>
      </c>
      <c r="G834" s="358" t="s">
        <v>11</v>
      </c>
      <c r="H834" s="358" t="s">
        <v>11</v>
      </c>
    </row>
    <row r="835" spans="1:8" x14ac:dyDescent="0.3">
      <c r="A835" t="s">
        <v>23</v>
      </c>
      <c r="B835" t="s">
        <v>77</v>
      </c>
      <c r="C835" t="s">
        <v>1348</v>
      </c>
      <c r="D835">
        <v>1</v>
      </c>
      <c r="E835" s="358">
        <v>5</v>
      </c>
      <c r="F835" s="358" t="s">
        <v>7</v>
      </c>
      <c r="G835" s="358" t="s">
        <v>11</v>
      </c>
      <c r="H835" s="358" t="s">
        <v>11</v>
      </c>
    </row>
    <row r="836" spans="1:8" x14ac:dyDescent="0.3">
      <c r="A836" t="s">
        <v>23</v>
      </c>
      <c r="B836" t="s">
        <v>77</v>
      </c>
      <c r="C836" t="s">
        <v>1451</v>
      </c>
      <c r="D836">
        <v>1</v>
      </c>
      <c r="E836" s="358">
        <v>6</v>
      </c>
      <c r="F836" s="358" t="s">
        <v>7</v>
      </c>
      <c r="G836" s="358" t="s">
        <v>11</v>
      </c>
      <c r="H836" s="358" t="s">
        <v>11</v>
      </c>
    </row>
    <row r="837" spans="1:8" x14ac:dyDescent="0.3">
      <c r="A837" t="s">
        <v>23</v>
      </c>
      <c r="B837" t="s">
        <v>77</v>
      </c>
      <c r="C837" t="s">
        <v>1495</v>
      </c>
      <c r="D837">
        <v>1</v>
      </c>
      <c r="E837" s="358">
        <v>6</v>
      </c>
      <c r="F837" s="358" t="s">
        <v>7</v>
      </c>
      <c r="G837" s="358" t="s">
        <v>11</v>
      </c>
      <c r="H837" s="358" t="s">
        <v>11</v>
      </c>
    </row>
    <row r="838" spans="1:8" x14ac:dyDescent="0.3">
      <c r="A838" t="s">
        <v>23</v>
      </c>
      <c r="B838" t="s">
        <v>77</v>
      </c>
      <c r="C838" t="s">
        <v>1915</v>
      </c>
      <c r="D838">
        <v>1</v>
      </c>
      <c r="E838" s="358">
        <v>6</v>
      </c>
      <c r="F838" s="358" t="s">
        <v>7</v>
      </c>
      <c r="G838" s="358" t="s">
        <v>11</v>
      </c>
      <c r="H838" s="358" t="s">
        <v>11</v>
      </c>
    </row>
    <row r="839" spans="1:8" x14ac:dyDescent="0.3">
      <c r="A839" t="s">
        <v>23</v>
      </c>
      <c r="B839" t="s">
        <v>77</v>
      </c>
      <c r="C839" t="s">
        <v>1916</v>
      </c>
      <c r="D839">
        <v>1</v>
      </c>
      <c r="E839" s="358">
        <v>5</v>
      </c>
      <c r="F839" s="358" t="s">
        <v>7</v>
      </c>
      <c r="G839" s="358" t="s">
        <v>11</v>
      </c>
      <c r="H839" s="358" t="s">
        <v>11</v>
      </c>
    </row>
    <row r="840" spans="1:8" x14ac:dyDescent="0.3">
      <c r="A840" t="s">
        <v>23</v>
      </c>
      <c r="B840" t="s">
        <v>77</v>
      </c>
      <c r="C840" t="s">
        <v>1350</v>
      </c>
      <c r="D840">
        <v>1</v>
      </c>
      <c r="E840" s="358">
        <v>5</v>
      </c>
      <c r="F840" s="358" t="s">
        <v>7</v>
      </c>
      <c r="G840" s="358" t="s">
        <v>11</v>
      </c>
      <c r="H840" s="358" t="s">
        <v>11</v>
      </c>
    </row>
    <row r="841" spans="1:8" x14ac:dyDescent="0.3">
      <c r="A841" t="s">
        <v>23</v>
      </c>
      <c r="B841" t="s">
        <v>77</v>
      </c>
      <c r="C841" t="s">
        <v>1714</v>
      </c>
      <c r="D841">
        <v>1</v>
      </c>
      <c r="E841" s="358">
        <v>5</v>
      </c>
      <c r="F841" s="358" t="s">
        <v>7</v>
      </c>
      <c r="G841" s="358" t="s">
        <v>11</v>
      </c>
      <c r="H841" s="358" t="s">
        <v>11</v>
      </c>
    </row>
    <row r="842" spans="1:8" x14ac:dyDescent="0.3">
      <c r="A842" t="s">
        <v>23</v>
      </c>
      <c r="B842" t="s">
        <v>77</v>
      </c>
      <c r="C842" t="s">
        <v>1351</v>
      </c>
      <c r="D842">
        <v>1</v>
      </c>
      <c r="E842" s="358">
        <v>5</v>
      </c>
      <c r="F842" s="358" t="s">
        <v>7</v>
      </c>
      <c r="G842" s="358" t="s">
        <v>11</v>
      </c>
      <c r="H842" s="358" t="s">
        <v>11</v>
      </c>
    </row>
    <row r="843" spans="1:8" x14ac:dyDescent="0.3">
      <c r="A843" t="s">
        <v>23</v>
      </c>
      <c r="B843" t="s">
        <v>77</v>
      </c>
      <c r="C843" t="s">
        <v>1454</v>
      </c>
      <c r="D843">
        <v>1</v>
      </c>
      <c r="E843" s="358">
        <v>5</v>
      </c>
      <c r="F843" s="358" t="s">
        <v>7</v>
      </c>
      <c r="G843" s="358" t="s">
        <v>11</v>
      </c>
      <c r="H843" s="358" t="s">
        <v>11</v>
      </c>
    </row>
    <row r="844" spans="1:8" x14ac:dyDescent="0.3">
      <c r="A844" t="s">
        <v>23</v>
      </c>
      <c r="B844" t="s">
        <v>77</v>
      </c>
      <c r="C844" t="s">
        <v>1717</v>
      </c>
      <c r="D844">
        <v>1</v>
      </c>
      <c r="E844" s="358">
        <v>5</v>
      </c>
      <c r="F844" s="358" t="s">
        <v>7</v>
      </c>
      <c r="G844" s="358" t="s">
        <v>11</v>
      </c>
      <c r="H844" s="358" t="s">
        <v>11</v>
      </c>
    </row>
    <row r="845" spans="1:8" x14ac:dyDescent="0.3">
      <c r="A845" t="s">
        <v>23</v>
      </c>
      <c r="B845" t="s">
        <v>77</v>
      </c>
      <c r="C845" t="s">
        <v>1917</v>
      </c>
      <c r="D845">
        <v>1</v>
      </c>
      <c r="E845" s="358">
        <v>5</v>
      </c>
      <c r="F845" s="358" t="s">
        <v>7</v>
      </c>
      <c r="G845" s="358" t="s">
        <v>11</v>
      </c>
      <c r="H845" s="358" t="s">
        <v>11</v>
      </c>
    </row>
    <row r="846" spans="1:8" x14ac:dyDescent="0.3">
      <c r="A846" t="s">
        <v>23</v>
      </c>
      <c r="B846" t="s">
        <v>77</v>
      </c>
      <c r="C846" t="s">
        <v>1918</v>
      </c>
      <c r="D846">
        <v>1</v>
      </c>
      <c r="E846" s="358">
        <v>6</v>
      </c>
      <c r="F846" s="358" t="s">
        <v>7</v>
      </c>
      <c r="G846" s="358" t="s">
        <v>11</v>
      </c>
      <c r="H846" s="358" t="s">
        <v>11</v>
      </c>
    </row>
    <row r="847" spans="1:8" x14ac:dyDescent="0.3">
      <c r="A847" t="s">
        <v>23</v>
      </c>
      <c r="B847" t="s">
        <v>77</v>
      </c>
      <c r="C847" t="s">
        <v>1355</v>
      </c>
      <c r="D847">
        <v>1</v>
      </c>
      <c r="E847" s="358">
        <v>5</v>
      </c>
      <c r="F847" s="358" t="s">
        <v>7</v>
      </c>
      <c r="G847" s="358" t="s">
        <v>11</v>
      </c>
      <c r="H847" s="358" t="s">
        <v>11</v>
      </c>
    </row>
    <row r="848" spans="1:8" x14ac:dyDescent="0.3">
      <c r="A848" t="s">
        <v>23</v>
      </c>
      <c r="B848" t="s">
        <v>77</v>
      </c>
      <c r="C848" t="s">
        <v>1919</v>
      </c>
      <c r="D848">
        <v>1</v>
      </c>
      <c r="E848" s="358">
        <v>5</v>
      </c>
      <c r="F848" s="358" t="s">
        <v>7</v>
      </c>
      <c r="G848" s="358" t="s">
        <v>11</v>
      </c>
      <c r="H848" s="358" t="s">
        <v>11</v>
      </c>
    </row>
    <row r="849" spans="1:8" x14ac:dyDescent="0.3">
      <c r="A849" t="s">
        <v>23</v>
      </c>
      <c r="B849" t="s">
        <v>77</v>
      </c>
      <c r="C849" t="s">
        <v>1920</v>
      </c>
      <c r="D849">
        <v>1</v>
      </c>
      <c r="E849" s="358">
        <v>5</v>
      </c>
      <c r="F849" s="358" t="s">
        <v>7</v>
      </c>
      <c r="G849" s="358" t="s">
        <v>11</v>
      </c>
      <c r="H849" s="358" t="s">
        <v>11</v>
      </c>
    </row>
    <row r="850" spans="1:8" x14ac:dyDescent="0.3">
      <c r="A850" t="s">
        <v>23</v>
      </c>
      <c r="B850" t="s">
        <v>77</v>
      </c>
      <c r="C850" t="s">
        <v>1921</v>
      </c>
      <c r="D850">
        <v>1</v>
      </c>
      <c r="E850" s="358">
        <v>5</v>
      </c>
      <c r="F850" s="358" t="s">
        <v>7</v>
      </c>
      <c r="G850" s="358" t="s">
        <v>11</v>
      </c>
      <c r="H850" s="358" t="s">
        <v>11</v>
      </c>
    </row>
    <row r="851" spans="1:8" x14ac:dyDescent="0.3">
      <c r="A851" t="s">
        <v>23</v>
      </c>
      <c r="B851" t="s">
        <v>77</v>
      </c>
      <c r="C851" t="s">
        <v>1922</v>
      </c>
      <c r="D851">
        <v>1</v>
      </c>
      <c r="E851" s="358">
        <v>6</v>
      </c>
      <c r="F851" s="358" t="s">
        <v>7</v>
      </c>
      <c r="G851" s="358" t="s">
        <v>11</v>
      </c>
      <c r="H851" s="358" t="s">
        <v>11</v>
      </c>
    </row>
    <row r="852" spans="1:8" x14ac:dyDescent="0.3">
      <c r="A852" t="s">
        <v>23</v>
      </c>
      <c r="B852" t="s">
        <v>77</v>
      </c>
      <c r="C852" t="s">
        <v>1359</v>
      </c>
      <c r="D852">
        <v>1</v>
      </c>
      <c r="E852" s="358">
        <v>5</v>
      </c>
      <c r="F852" s="358" t="s">
        <v>7</v>
      </c>
      <c r="G852" s="358" t="s">
        <v>11</v>
      </c>
      <c r="H852" s="358" t="s">
        <v>11</v>
      </c>
    </row>
    <row r="853" spans="1:8" x14ac:dyDescent="0.3">
      <c r="A853" t="s">
        <v>23</v>
      </c>
      <c r="B853" t="s">
        <v>77</v>
      </c>
      <c r="C853" t="s">
        <v>1923</v>
      </c>
      <c r="D853">
        <v>1</v>
      </c>
      <c r="E853" s="358">
        <v>5</v>
      </c>
      <c r="F853" s="358" t="s">
        <v>7</v>
      </c>
      <c r="G853" s="358" t="s">
        <v>11</v>
      </c>
      <c r="H853" s="358" t="s">
        <v>11</v>
      </c>
    </row>
    <row r="854" spans="1:8" x14ac:dyDescent="0.3">
      <c r="A854" t="s">
        <v>23</v>
      </c>
      <c r="B854" t="s">
        <v>77</v>
      </c>
      <c r="C854" t="s">
        <v>1361</v>
      </c>
      <c r="D854">
        <v>1</v>
      </c>
      <c r="E854" s="358">
        <v>5</v>
      </c>
      <c r="F854" s="358" t="s">
        <v>7</v>
      </c>
      <c r="G854" s="358" t="s">
        <v>11</v>
      </c>
      <c r="H854" s="358" t="s">
        <v>11</v>
      </c>
    </row>
    <row r="855" spans="1:8" x14ac:dyDescent="0.3">
      <c r="A855" t="s">
        <v>23</v>
      </c>
      <c r="B855" t="s">
        <v>77</v>
      </c>
      <c r="C855" t="s">
        <v>1362</v>
      </c>
      <c r="D855">
        <v>1</v>
      </c>
      <c r="E855" s="358">
        <v>5</v>
      </c>
      <c r="F855" s="358" t="s">
        <v>7</v>
      </c>
      <c r="G855" s="358" t="s">
        <v>11</v>
      </c>
      <c r="H855" s="358" t="s">
        <v>11</v>
      </c>
    </row>
    <row r="856" spans="1:8" x14ac:dyDescent="0.3">
      <c r="A856" t="s">
        <v>23</v>
      </c>
      <c r="B856" t="s">
        <v>77</v>
      </c>
      <c r="C856" t="s">
        <v>1924</v>
      </c>
      <c r="D856">
        <v>1</v>
      </c>
      <c r="E856" s="358">
        <v>5</v>
      </c>
      <c r="F856" s="358" t="s">
        <v>7</v>
      </c>
      <c r="G856" s="358" t="s">
        <v>11</v>
      </c>
      <c r="H856" s="358" t="s">
        <v>11</v>
      </c>
    </row>
    <row r="857" spans="1:8" x14ac:dyDescent="0.3">
      <c r="A857" t="s">
        <v>23</v>
      </c>
      <c r="B857" t="s">
        <v>77</v>
      </c>
      <c r="C857" t="s">
        <v>1725</v>
      </c>
      <c r="D857">
        <v>1</v>
      </c>
      <c r="E857" s="358">
        <v>6</v>
      </c>
      <c r="F857" s="358" t="s">
        <v>7</v>
      </c>
      <c r="G857" s="358" t="s">
        <v>11</v>
      </c>
      <c r="H857" s="358" t="s">
        <v>11</v>
      </c>
    </row>
    <row r="858" spans="1:8" x14ac:dyDescent="0.3">
      <c r="A858" t="s">
        <v>23</v>
      </c>
      <c r="B858" t="s">
        <v>77</v>
      </c>
      <c r="C858" t="s">
        <v>1925</v>
      </c>
      <c r="D858">
        <v>1</v>
      </c>
      <c r="E858" s="358">
        <v>5</v>
      </c>
      <c r="F858" s="358" t="s">
        <v>7</v>
      </c>
      <c r="G858" s="358" t="s">
        <v>11</v>
      </c>
      <c r="H858" s="358" t="s">
        <v>11</v>
      </c>
    </row>
    <row r="859" spans="1:8" x14ac:dyDescent="0.3">
      <c r="A859" t="s">
        <v>23</v>
      </c>
      <c r="B859" t="s">
        <v>77</v>
      </c>
      <c r="C859" t="s">
        <v>1364</v>
      </c>
      <c r="D859">
        <v>1</v>
      </c>
      <c r="E859" s="358">
        <v>5</v>
      </c>
      <c r="F859" s="358" t="s">
        <v>7</v>
      </c>
      <c r="G859" s="358" t="s">
        <v>11</v>
      </c>
      <c r="H859" s="358" t="s">
        <v>11</v>
      </c>
    </row>
    <row r="860" spans="1:8" x14ac:dyDescent="0.3">
      <c r="A860" t="s">
        <v>23</v>
      </c>
      <c r="B860" t="s">
        <v>77</v>
      </c>
      <c r="C860" t="s">
        <v>1365</v>
      </c>
      <c r="D860">
        <v>1</v>
      </c>
      <c r="E860" s="358">
        <v>5</v>
      </c>
      <c r="F860" s="358" t="s">
        <v>7</v>
      </c>
      <c r="G860" s="358" t="s">
        <v>11</v>
      </c>
      <c r="H860" s="358" t="s">
        <v>11</v>
      </c>
    </row>
    <row r="861" spans="1:8" x14ac:dyDescent="0.3">
      <c r="A861" t="s">
        <v>23</v>
      </c>
      <c r="B861" t="s">
        <v>77</v>
      </c>
      <c r="C861" t="s">
        <v>1926</v>
      </c>
      <c r="D861">
        <v>1</v>
      </c>
      <c r="E861" s="358">
        <v>5</v>
      </c>
      <c r="F861" s="358" t="s">
        <v>7</v>
      </c>
      <c r="G861" s="358" t="s">
        <v>11</v>
      </c>
      <c r="H861" s="358" t="s">
        <v>11</v>
      </c>
    </row>
    <row r="862" spans="1:8" x14ac:dyDescent="0.3">
      <c r="A862" t="s">
        <v>23</v>
      </c>
      <c r="B862" t="s">
        <v>77</v>
      </c>
      <c r="C862" t="s">
        <v>1927</v>
      </c>
      <c r="D862">
        <v>1</v>
      </c>
      <c r="E862" s="358">
        <v>6</v>
      </c>
      <c r="F862" s="358" t="s">
        <v>7</v>
      </c>
      <c r="G862" s="358" t="s">
        <v>11</v>
      </c>
      <c r="H862" s="358" t="s">
        <v>11</v>
      </c>
    </row>
    <row r="863" spans="1:8" x14ac:dyDescent="0.3">
      <c r="A863" t="s">
        <v>23</v>
      </c>
      <c r="B863" t="s">
        <v>77</v>
      </c>
      <c r="C863" t="s">
        <v>1641</v>
      </c>
      <c r="D863">
        <v>1</v>
      </c>
      <c r="E863" s="358">
        <v>6</v>
      </c>
      <c r="F863" s="358" t="s">
        <v>7</v>
      </c>
      <c r="G863" s="358" t="s">
        <v>11</v>
      </c>
      <c r="H863" s="358" t="s">
        <v>11</v>
      </c>
    </row>
    <row r="864" spans="1:8" x14ac:dyDescent="0.3">
      <c r="A864" t="s">
        <v>23</v>
      </c>
      <c r="B864" t="s">
        <v>77</v>
      </c>
      <c r="C864" t="s">
        <v>1928</v>
      </c>
      <c r="D864">
        <v>1</v>
      </c>
      <c r="E864" s="358">
        <v>5</v>
      </c>
      <c r="F864" s="358" t="s">
        <v>7</v>
      </c>
      <c r="G864" s="358" t="s">
        <v>11</v>
      </c>
      <c r="H864" s="358" t="s">
        <v>11</v>
      </c>
    </row>
    <row r="865" spans="1:8" x14ac:dyDescent="0.3">
      <c r="A865" t="s">
        <v>23</v>
      </c>
      <c r="B865" t="s">
        <v>77</v>
      </c>
      <c r="C865" t="s">
        <v>1929</v>
      </c>
      <c r="D865">
        <v>1</v>
      </c>
      <c r="E865" s="358">
        <v>6</v>
      </c>
      <c r="F865" s="358" t="s">
        <v>7</v>
      </c>
      <c r="G865" s="358" t="s">
        <v>11</v>
      </c>
      <c r="H865" s="358" t="s">
        <v>11</v>
      </c>
    </row>
    <row r="866" spans="1:8" x14ac:dyDescent="0.3">
      <c r="A866" t="s">
        <v>23</v>
      </c>
      <c r="B866" t="s">
        <v>77</v>
      </c>
      <c r="C866" t="s">
        <v>1930</v>
      </c>
      <c r="D866">
        <v>1</v>
      </c>
      <c r="E866" s="358">
        <v>6</v>
      </c>
      <c r="F866" s="358" t="s">
        <v>7</v>
      </c>
      <c r="G866" s="358" t="s">
        <v>11</v>
      </c>
      <c r="H866" s="358" t="s">
        <v>11</v>
      </c>
    </row>
    <row r="867" spans="1:8" x14ac:dyDescent="0.3">
      <c r="A867" t="s">
        <v>23</v>
      </c>
      <c r="B867" t="s">
        <v>77</v>
      </c>
      <c r="C867" t="s">
        <v>1931</v>
      </c>
      <c r="D867">
        <v>1</v>
      </c>
      <c r="E867" s="358">
        <v>6</v>
      </c>
      <c r="F867" s="358" t="s">
        <v>7</v>
      </c>
      <c r="G867" s="358" t="s">
        <v>11</v>
      </c>
      <c r="H867" s="358" t="s">
        <v>11</v>
      </c>
    </row>
    <row r="868" spans="1:8" x14ac:dyDescent="0.3">
      <c r="A868" t="s">
        <v>23</v>
      </c>
      <c r="B868" t="s">
        <v>77</v>
      </c>
      <c r="C868" t="s">
        <v>1467</v>
      </c>
      <c r="D868">
        <v>1</v>
      </c>
      <c r="E868" s="358">
        <v>5</v>
      </c>
      <c r="F868" s="358" t="s">
        <v>7</v>
      </c>
      <c r="G868" s="358" t="s">
        <v>11</v>
      </c>
      <c r="H868" s="358" t="s">
        <v>11</v>
      </c>
    </row>
    <row r="869" spans="1:8" x14ac:dyDescent="0.3">
      <c r="A869" t="s">
        <v>23</v>
      </c>
      <c r="B869" t="s">
        <v>77</v>
      </c>
      <c r="C869" t="s">
        <v>1932</v>
      </c>
      <c r="D869">
        <v>1</v>
      </c>
      <c r="E869" s="358">
        <v>5</v>
      </c>
      <c r="F869" s="358" t="s">
        <v>7</v>
      </c>
      <c r="G869" s="358" t="s">
        <v>11</v>
      </c>
      <c r="H869" s="358" t="s">
        <v>11</v>
      </c>
    </row>
    <row r="870" spans="1:8" x14ac:dyDescent="0.3">
      <c r="A870" t="s">
        <v>23</v>
      </c>
      <c r="B870" t="s">
        <v>77</v>
      </c>
      <c r="C870" t="s">
        <v>1933</v>
      </c>
      <c r="D870">
        <v>1</v>
      </c>
      <c r="E870" s="358">
        <v>5</v>
      </c>
      <c r="F870" s="358" t="s">
        <v>7</v>
      </c>
      <c r="G870" s="358" t="s">
        <v>11</v>
      </c>
      <c r="H870" s="358" t="s">
        <v>11</v>
      </c>
    </row>
    <row r="871" spans="1:8" x14ac:dyDescent="0.3">
      <c r="A871" t="s">
        <v>23</v>
      </c>
      <c r="B871" t="s">
        <v>77</v>
      </c>
      <c r="C871" t="s">
        <v>1934</v>
      </c>
      <c r="D871">
        <v>1</v>
      </c>
      <c r="E871" s="358">
        <v>5</v>
      </c>
      <c r="F871" s="358" t="s">
        <v>7</v>
      </c>
      <c r="G871" s="358" t="s">
        <v>11</v>
      </c>
      <c r="H871" s="358" t="s">
        <v>11</v>
      </c>
    </row>
    <row r="872" spans="1:8" x14ac:dyDescent="0.3">
      <c r="A872" t="s">
        <v>23</v>
      </c>
      <c r="B872" t="s">
        <v>77</v>
      </c>
      <c r="C872" t="s">
        <v>1935</v>
      </c>
      <c r="D872">
        <v>1</v>
      </c>
      <c r="E872" s="358">
        <v>6</v>
      </c>
      <c r="F872" s="358" t="s">
        <v>7</v>
      </c>
      <c r="G872" s="358" t="s">
        <v>11</v>
      </c>
      <c r="H872" s="358" t="s">
        <v>11</v>
      </c>
    </row>
    <row r="873" spans="1:8" x14ac:dyDescent="0.3">
      <c r="A873" t="s">
        <v>23</v>
      </c>
      <c r="B873" t="s">
        <v>77</v>
      </c>
      <c r="C873" t="s">
        <v>1473</v>
      </c>
      <c r="D873">
        <v>1</v>
      </c>
      <c r="E873" s="358">
        <v>5</v>
      </c>
      <c r="F873" s="358" t="s">
        <v>7</v>
      </c>
      <c r="G873" s="358" t="s">
        <v>11</v>
      </c>
      <c r="H873" s="358" t="s">
        <v>11</v>
      </c>
    </row>
    <row r="874" spans="1:8" x14ac:dyDescent="0.3">
      <c r="A874" t="s">
        <v>23</v>
      </c>
      <c r="B874" t="s">
        <v>77</v>
      </c>
      <c r="C874" t="s">
        <v>1373</v>
      </c>
      <c r="D874">
        <v>1</v>
      </c>
      <c r="E874" s="358">
        <v>5</v>
      </c>
      <c r="F874" s="358" t="s">
        <v>7</v>
      </c>
      <c r="G874" s="358" t="s">
        <v>11</v>
      </c>
      <c r="H874" s="358" t="s">
        <v>11</v>
      </c>
    </row>
    <row r="875" spans="1:8" x14ac:dyDescent="0.3">
      <c r="A875" t="s">
        <v>23</v>
      </c>
      <c r="B875" t="s">
        <v>77</v>
      </c>
      <c r="C875" t="s">
        <v>1936</v>
      </c>
      <c r="D875">
        <v>1</v>
      </c>
      <c r="E875" s="358">
        <v>6</v>
      </c>
      <c r="F875" s="358" t="s">
        <v>7</v>
      </c>
      <c r="G875" s="358" t="s">
        <v>11</v>
      </c>
      <c r="H875" s="358" t="s">
        <v>11</v>
      </c>
    </row>
    <row r="876" spans="1:8" x14ac:dyDescent="0.3">
      <c r="A876" t="s">
        <v>23</v>
      </c>
      <c r="B876" t="s">
        <v>77</v>
      </c>
      <c r="C876" t="s">
        <v>1937</v>
      </c>
      <c r="D876">
        <v>1</v>
      </c>
      <c r="E876" s="358">
        <v>5</v>
      </c>
      <c r="F876" s="358" t="s">
        <v>7</v>
      </c>
      <c r="G876" s="358" t="s">
        <v>11</v>
      </c>
      <c r="H876" s="358" t="s">
        <v>11</v>
      </c>
    </row>
    <row r="877" spans="1:8" x14ac:dyDescent="0.3">
      <c r="A877" t="s">
        <v>23</v>
      </c>
      <c r="B877" t="s">
        <v>77</v>
      </c>
      <c r="C877" t="s">
        <v>1938</v>
      </c>
      <c r="D877">
        <v>1</v>
      </c>
      <c r="E877" s="358">
        <v>5</v>
      </c>
      <c r="F877" s="358" t="s">
        <v>7</v>
      </c>
      <c r="G877" s="358" t="s">
        <v>11</v>
      </c>
      <c r="H877" s="358" t="s">
        <v>11</v>
      </c>
    </row>
    <row r="878" spans="1:8" x14ac:dyDescent="0.3">
      <c r="A878" t="s">
        <v>23</v>
      </c>
      <c r="B878" t="s">
        <v>77</v>
      </c>
      <c r="C878" t="s">
        <v>1652</v>
      </c>
      <c r="D878">
        <v>1</v>
      </c>
      <c r="E878" s="358">
        <v>5</v>
      </c>
      <c r="F878" s="358" t="s">
        <v>7</v>
      </c>
      <c r="G878" s="358" t="s">
        <v>11</v>
      </c>
      <c r="H878" s="358" t="s">
        <v>11</v>
      </c>
    </row>
    <row r="879" spans="1:8" x14ac:dyDescent="0.3">
      <c r="A879" t="s">
        <v>23</v>
      </c>
      <c r="B879" t="s">
        <v>77</v>
      </c>
      <c r="C879" t="s">
        <v>1479</v>
      </c>
      <c r="D879">
        <v>1</v>
      </c>
      <c r="E879" s="358">
        <v>5</v>
      </c>
      <c r="F879" s="358" t="s">
        <v>7</v>
      </c>
      <c r="G879" s="358" t="s">
        <v>11</v>
      </c>
      <c r="H879" s="358" t="s">
        <v>11</v>
      </c>
    </row>
    <row r="880" spans="1:8" x14ac:dyDescent="0.3">
      <c r="A880" t="s">
        <v>23</v>
      </c>
      <c r="B880" t="s">
        <v>77</v>
      </c>
      <c r="C880" t="s">
        <v>1480</v>
      </c>
      <c r="D880">
        <v>1</v>
      </c>
      <c r="E880" s="358">
        <v>5</v>
      </c>
      <c r="F880" s="358" t="s">
        <v>7</v>
      </c>
      <c r="G880" s="358" t="s">
        <v>11</v>
      </c>
      <c r="H880" s="358" t="s">
        <v>11</v>
      </c>
    </row>
    <row r="881" spans="1:8" x14ac:dyDescent="0.3">
      <c r="A881" t="s">
        <v>23</v>
      </c>
      <c r="B881" t="s">
        <v>77</v>
      </c>
      <c r="C881" t="s">
        <v>1939</v>
      </c>
      <c r="D881">
        <v>1</v>
      </c>
      <c r="E881" s="358">
        <v>5</v>
      </c>
      <c r="F881" s="358" t="s">
        <v>7</v>
      </c>
      <c r="G881" s="358" t="s">
        <v>11</v>
      </c>
      <c r="H881" s="358" t="s">
        <v>11</v>
      </c>
    </row>
    <row r="882" spans="1:8" x14ac:dyDescent="0.3">
      <c r="A882" t="s">
        <v>23</v>
      </c>
      <c r="B882" t="s">
        <v>77</v>
      </c>
      <c r="C882" t="s">
        <v>1757</v>
      </c>
      <c r="D882">
        <v>1</v>
      </c>
      <c r="E882" s="358">
        <v>5</v>
      </c>
      <c r="F882" s="358" t="s">
        <v>7</v>
      </c>
      <c r="G882" s="358" t="s">
        <v>11</v>
      </c>
      <c r="H882" s="358" t="s">
        <v>11</v>
      </c>
    </row>
    <row r="883" spans="1:8" x14ac:dyDescent="0.3">
      <c r="A883" t="s">
        <v>23</v>
      </c>
      <c r="B883" t="s">
        <v>77</v>
      </c>
      <c r="C883" t="s">
        <v>1379</v>
      </c>
      <c r="D883">
        <v>1</v>
      </c>
      <c r="E883" s="358">
        <v>5</v>
      </c>
      <c r="F883" s="358" t="s">
        <v>7</v>
      </c>
      <c r="G883" s="358" t="s">
        <v>11</v>
      </c>
      <c r="H883" s="358" t="s">
        <v>11</v>
      </c>
    </row>
    <row r="884" spans="1:8" x14ac:dyDescent="0.3">
      <c r="A884" t="s">
        <v>23</v>
      </c>
      <c r="B884" t="s">
        <v>77</v>
      </c>
      <c r="C884" t="s">
        <v>1758</v>
      </c>
      <c r="D884">
        <v>1</v>
      </c>
      <c r="E884" s="358">
        <v>5</v>
      </c>
      <c r="F884" s="358" t="s">
        <v>7</v>
      </c>
      <c r="G884" s="358" t="s">
        <v>11</v>
      </c>
      <c r="H884" s="358" t="s">
        <v>11</v>
      </c>
    </row>
    <row r="885" spans="1:8" x14ac:dyDescent="0.3">
      <c r="A885" t="s">
        <v>23</v>
      </c>
      <c r="B885" t="s">
        <v>77</v>
      </c>
      <c r="C885" t="s">
        <v>1759</v>
      </c>
      <c r="D885">
        <v>1</v>
      </c>
      <c r="E885" s="358">
        <v>6</v>
      </c>
      <c r="F885" s="358" t="s">
        <v>7</v>
      </c>
      <c r="G885" s="358" t="s">
        <v>11</v>
      </c>
      <c r="H885" s="358" t="s">
        <v>11</v>
      </c>
    </row>
    <row r="886" spans="1:8" x14ac:dyDescent="0.3">
      <c r="A886" t="s">
        <v>23</v>
      </c>
      <c r="B886" t="s">
        <v>77</v>
      </c>
      <c r="C886" t="s">
        <v>1855</v>
      </c>
      <c r="D886">
        <v>1</v>
      </c>
      <c r="E886" s="358">
        <v>6</v>
      </c>
      <c r="F886" s="358" t="s">
        <v>7</v>
      </c>
      <c r="G886" s="358" t="s">
        <v>11</v>
      </c>
      <c r="H886" s="358" t="s">
        <v>11</v>
      </c>
    </row>
    <row r="887" spans="1:8" x14ac:dyDescent="0.3">
      <c r="A887" t="s">
        <v>23</v>
      </c>
      <c r="B887" t="s">
        <v>77</v>
      </c>
      <c r="C887" t="s">
        <v>1940</v>
      </c>
      <c r="D887">
        <v>1</v>
      </c>
      <c r="E887" s="358">
        <v>6</v>
      </c>
      <c r="F887" s="358" t="s">
        <v>7</v>
      </c>
      <c r="G887" s="358" t="s">
        <v>11</v>
      </c>
      <c r="H887" s="358" t="s">
        <v>11</v>
      </c>
    </row>
    <row r="888" spans="1:8" x14ac:dyDescent="0.3">
      <c r="A888" t="s">
        <v>23</v>
      </c>
      <c r="B888" t="s">
        <v>77</v>
      </c>
      <c r="C888" t="s">
        <v>1941</v>
      </c>
      <c r="D888">
        <v>1</v>
      </c>
      <c r="E888" s="358">
        <v>5</v>
      </c>
      <c r="F888" s="358" t="s">
        <v>7</v>
      </c>
      <c r="G888" s="358" t="s">
        <v>11</v>
      </c>
      <c r="H888" s="358" t="s">
        <v>11</v>
      </c>
    </row>
    <row r="889" spans="1:8" x14ac:dyDescent="0.3">
      <c r="A889" t="s">
        <v>23</v>
      </c>
      <c r="B889" t="s">
        <v>77</v>
      </c>
      <c r="C889" t="s">
        <v>1764</v>
      </c>
      <c r="D889">
        <v>1</v>
      </c>
      <c r="E889" s="358">
        <v>6</v>
      </c>
      <c r="F889" s="358" t="s">
        <v>7</v>
      </c>
      <c r="G889" s="358" t="s">
        <v>11</v>
      </c>
      <c r="H889" s="358" t="s">
        <v>11</v>
      </c>
    </row>
    <row r="890" spans="1:8" x14ac:dyDescent="0.3">
      <c r="A890" t="s">
        <v>23</v>
      </c>
      <c r="B890" t="s">
        <v>77</v>
      </c>
      <c r="C890" t="s">
        <v>1942</v>
      </c>
      <c r="D890">
        <v>1</v>
      </c>
      <c r="E890" s="358">
        <v>6</v>
      </c>
      <c r="F890" s="358" t="s">
        <v>7</v>
      </c>
      <c r="G890" s="358" t="s">
        <v>11</v>
      </c>
      <c r="H890" s="358" t="s">
        <v>11</v>
      </c>
    </row>
    <row r="891" spans="1:8" x14ac:dyDescent="0.3">
      <c r="A891" t="s">
        <v>27</v>
      </c>
      <c r="B891" t="s">
        <v>91</v>
      </c>
      <c r="C891" t="s">
        <v>1857</v>
      </c>
      <c r="D891">
        <v>2</v>
      </c>
      <c r="E891" s="358">
        <v>4</v>
      </c>
      <c r="F891" s="358" t="s">
        <v>7</v>
      </c>
      <c r="G891" s="358" t="s">
        <v>11</v>
      </c>
      <c r="H891" s="358" t="s">
        <v>11</v>
      </c>
    </row>
    <row r="892" spans="1:8" x14ac:dyDescent="0.3">
      <c r="A892" t="s">
        <v>27</v>
      </c>
      <c r="B892" t="s">
        <v>91</v>
      </c>
      <c r="C892" t="s">
        <v>1943</v>
      </c>
      <c r="D892">
        <v>2</v>
      </c>
      <c r="E892" s="358">
        <v>4</v>
      </c>
      <c r="F892" s="358" t="s">
        <v>7</v>
      </c>
      <c r="G892" s="358" t="s">
        <v>11</v>
      </c>
      <c r="H892" s="358" t="s">
        <v>11</v>
      </c>
    </row>
    <row r="893" spans="1:8" x14ac:dyDescent="0.3">
      <c r="A893" t="s">
        <v>27</v>
      </c>
      <c r="B893" t="s">
        <v>91</v>
      </c>
      <c r="C893" t="s">
        <v>1944</v>
      </c>
      <c r="D893">
        <v>1</v>
      </c>
      <c r="E893" s="358">
        <v>4</v>
      </c>
      <c r="F893" s="358" t="s">
        <v>7</v>
      </c>
      <c r="G893" s="358" t="s">
        <v>11</v>
      </c>
      <c r="H893" s="358" t="s">
        <v>11</v>
      </c>
    </row>
    <row r="894" spans="1:8" x14ac:dyDescent="0.3">
      <c r="A894" t="s">
        <v>27</v>
      </c>
      <c r="B894" t="s">
        <v>91</v>
      </c>
      <c r="C894" t="s">
        <v>1945</v>
      </c>
      <c r="D894">
        <v>2</v>
      </c>
      <c r="E894" s="358">
        <v>4</v>
      </c>
      <c r="F894" s="358" t="s">
        <v>7</v>
      </c>
      <c r="G894" s="358" t="s">
        <v>11</v>
      </c>
      <c r="H894" s="358" t="s">
        <v>11</v>
      </c>
    </row>
    <row r="895" spans="1:8" x14ac:dyDescent="0.3">
      <c r="A895" t="s">
        <v>27</v>
      </c>
      <c r="B895" t="s">
        <v>91</v>
      </c>
      <c r="C895" t="s">
        <v>1946</v>
      </c>
      <c r="D895">
        <v>1</v>
      </c>
      <c r="E895" s="358">
        <v>4</v>
      </c>
      <c r="F895" s="358" t="s">
        <v>7</v>
      </c>
      <c r="G895" s="358" t="s">
        <v>11</v>
      </c>
      <c r="H895" s="358" t="s">
        <v>11</v>
      </c>
    </row>
    <row r="896" spans="1:8" x14ac:dyDescent="0.3">
      <c r="A896" t="s">
        <v>27</v>
      </c>
      <c r="B896" t="s">
        <v>91</v>
      </c>
      <c r="C896" t="s">
        <v>1947</v>
      </c>
      <c r="D896">
        <v>2</v>
      </c>
      <c r="E896" s="358">
        <v>4</v>
      </c>
      <c r="F896" s="358" t="s">
        <v>7</v>
      </c>
      <c r="G896" s="358" t="s">
        <v>11</v>
      </c>
      <c r="H896" s="358" t="s">
        <v>11</v>
      </c>
    </row>
    <row r="897" spans="1:8" x14ac:dyDescent="0.3">
      <c r="A897" t="s">
        <v>27</v>
      </c>
      <c r="B897" t="s">
        <v>91</v>
      </c>
      <c r="C897" t="s">
        <v>1805</v>
      </c>
      <c r="D897">
        <v>1</v>
      </c>
      <c r="E897" s="358">
        <v>4</v>
      </c>
      <c r="F897" s="358" t="s">
        <v>7</v>
      </c>
      <c r="G897" s="358" t="s">
        <v>11</v>
      </c>
      <c r="H897" s="358" t="s">
        <v>11</v>
      </c>
    </row>
    <row r="898" spans="1:8" x14ac:dyDescent="0.3">
      <c r="A898" t="s">
        <v>27</v>
      </c>
      <c r="B898" t="s">
        <v>91</v>
      </c>
      <c r="C898" t="s">
        <v>1321</v>
      </c>
      <c r="D898">
        <v>2</v>
      </c>
      <c r="E898" s="358">
        <v>4</v>
      </c>
      <c r="F898" s="358" t="s">
        <v>7</v>
      </c>
      <c r="G898" s="358" t="s">
        <v>11</v>
      </c>
      <c r="H898" s="358" t="s">
        <v>11</v>
      </c>
    </row>
    <row r="899" spans="1:8" x14ac:dyDescent="0.3">
      <c r="A899" t="s">
        <v>27</v>
      </c>
      <c r="B899" t="s">
        <v>91</v>
      </c>
      <c r="C899" t="s">
        <v>1948</v>
      </c>
      <c r="D899">
        <v>2</v>
      </c>
      <c r="E899" s="358">
        <v>4</v>
      </c>
      <c r="F899" s="358" t="s">
        <v>7</v>
      </c>
      <c r="G899" s="358" t="s">
        <v>11</v>
      </c>
      <c r="H899" s="358" t="s">
        <v>11</v>
      </c>
    </row>
    <row r="900" spans="1:8" x14ac:dyDescent="0.3">
      <c r="A900" t="s">
        <v>27</v>
      </c>
      <c r="B900" t="s">
        <v>91</v>
      </c>
      <c r="C900" t="s">
        <v>1949</v>
      </c>
      <c r="D900">
        <v>2</v>
      </c>
      <c r="E900" s="358">
        <v>4</v>
      </c>
      <c r="F900" s="358" t="s">
        <v>7</v>
      </c>
      <c r="G900" s="358" t="s">
        <v>11</v>
      </c>
      <c r="H900" s="358" t="s">
        <v>11</v>
      </c>
    </row>
    <row r="901" spans="1:8" x14ac:dyDescent="0.3">
      <c r="A901" t="s">
        <v>27</v>
      </c>
      <c r="B901" t="s">
        <v>91</v>
      </c>
      <c r="C901" t="s">
        <v>1324</v>
      </c>
      <c r="D901">
        <v>2</v>
      </c>
      <c r="E901" s="358">
        <v>4</v>
      </c>
      <c r="F901" s="358" t="s">
        <v>7</v>
      </c>
      <c r="G901" s="358" t="s">
        <v>11</v>
      </c>
      <c r="H901" s="358" t="s">
        <v>11</v>
      </c>
    </row>
    <row r="902" spans="1:8" x14ac:dyDescent="0.3">
      <c r="A902" t="s">
        <v>27</v>
      </c>
      <c r="B902" t="s">
        <v>91</v>
      </c>
      <c r="C902" t="s">
        <v>1549</v>
      </c>
      <c r="D902">
        <v>1</v>
      </c>
      <c r="E902" s="358">
        <v>5</v>
      </c>
      <c r="F902" s="358" t="s">
        <v>7</v>
      </c>
      <c r="G902" s="358" t="s">
        <v>11</v>
      </c>
      <c r="H902" s="358" t="s">
        <v>11</v>
      </c>
    </row>
    <row r="903" spans="1:8" x14ac:dyDescent="0.3">
      <c r="A903" t="s">
        <v>27</v>
      </c>
      <c r="B903" t="s">
        <v>91</v>
      </c>
      <c r="C903" t="s">
        <v>1435</v>
      </c>
      <c r="D903">
        <v>2</v>
      </c>
      <c r="E903" s="358">
        <v>4</v>
      </c>
      <c r="F903" s="358" t="s">
        <v>7</v>
      </c>
      <c r="G903" s="358" t="s">
        <v>11</v>
      </c>
      <c r="H903" s="358" t="s">
        <v>11</v>
      </c>
    </row>
    <row r="904" spans="1:8" x14ac:dyDescent="0.3">
      <c r="A904" t="s">
        <v>27</v>
      </c>
      <c r="B904" t="s">
        <v>91</v>
      </c>
      <c r="C904" t="s">
        <v>1328</v>
      </c>
      <c r="D904">
        <v>1</v>
      </c>
      <c r="E904" s="358">
        <v>4</v>
      </c>
      <c r="F904" s="358" t="s">
        <v>7</v>
      </c>
      <c r="G904" s="358" t="s">
        <v>11</v>
      </c>
      <c r="H904" s="358" t="s">
        <v>11</v>
      </c>
    </row>
    <row r="905" spans="1:8" x14ac:dyDescent="0.3">
      <c r="A905" t="s">
        <v>27</v>
      </c>
      <c r="B905" t="s">
        <v>91</v>
      </c>
      <c r="C905" t="s">
        <v>1950</v>
      </c>
      <c r="D905">
        <v>1</v>
      </c>
      <c r="E905" s="358">
        <v>5</v>
      </c>
      <c r="F905" s="358" t="s">
        <v>7</v>
      </c>
      <c r="G905" s="358" t="s">
        <v>11</v>
      </c>
      <c r="H905" s="358" t="s">
        <v>11</v>
      </c>
    </row>
    <row r="906" spans="1:8" x14ac:dyDescent="0.3">
      <c r="A906" t="s">
        <v>27</v>
      </c>
      <c r="B906" t="s">
        <v>91</v>
      </c>
      <c r="C906" t="s">
        <v>1951</v>
      </c>
      <c r="D906">
        <v>2</v>
      </c>
      <c r="E906" s="358">
        <v>4</v>
      </c>
      <c r="F906" s="358" t="s">
        <v>7</v>
      </c>
      <c r="G906" s="358" t="s">
        <v>11</v>
      </c>
      <c r="H906" s="358" t="s">
        <v>11</v>
      </c>
    </row>
    <row r="907" spans="1:8" x14ac:dyDescent="0.3">
      <c r="A907" t="s">
        <v>27</v>
      </c>
      <c r="B907" t="s">
        <v>91</v>
      </c>
      <c r="C907" t="s">
        <v>1952</v>
      </c>
      <c r="D907">
        <v>2</v>
      </c>
      <c r="E907" s="358">
        <v>4</v>
      </c>
      <c r="F907" s="358" t="s">
        <v>7</v>
      </c>
      <c r="G907" s="358" t="s">
        <v>11</v>
      </c>
      <c r="H907" s="358" t="s">
        <v>11</v>
      </c>
    </row>
    <row r="908" spans="1:8" x14ac:dyDescent="0.3">
      <c r="A908" t="s">
        <v>27</v>
      </c>
      <c r="B908" t="s">
        <v>91</v>
      </c>
      <c r="C908" t="s">
        <v>1953</v>
      </c>
      <c r="D908">
        <v>2</v>
      </c>
      <c r="E908" s="358">
        <v>4</v>
      </c>
      <c r="F908" s="358" t="s">
        <v>7</v>
      </c>
      <c r="G908" s="358" t="s">
        <v>11</v>
      </c>
      <c r="H908" s="358" t="s">
        <v>11</v>
      </c>
    </row>
    <row r="909" spans="1:8" x14ac:dyDescent="0.3">
      <c r="A909" t="s">
        <v>27</v>
      </c>
      <c r="B909" t="s">
        <v>91</v>
      </c>
      <c r="C909" t="s">
        <v>1440</v>
      </c>
      <c r="D909">
        <v>2</v>
      </c>
      <c r="E909" s="358">
        <v>4</v>
      </c>
      <c r="F909" s="358" t="s">
        <v>7</v>
      </c>
      <c r="G909" s="358" t="s">
        <v>11</v>
      </c>
      <c r="H909" s="358" t="s">
        <v>11</v>
      </c>
    </row>
    <row r="910" spans="1:8" x14ac:dyDescent="0.3">
      <c r="A910" t="s">
        <v>27</v>
      </c>
      <c r="B910" t="s">
        <v>91</v>
      </c>
      <c r="C910" t="s">
        <v>1687</v>
      </c>
      <c r="D910">
        <v>1</v>
      </c>
      <c r="E910" s="358">
        <v>5</v>
      </c>
      <c r="F910" s="358" t="s">
        <v>7</v>
      </c>
      <c r="G910" s="358" t="s">
        <v>11</v>
      </c>
      <c r="H910" s="358" t="s">
        <v>11</v>
      </c>
    </row>
    <row r="911" spans="1:8" x14ac:dyDescent="0.3">
      <c r="A911" t="s">
        <v>27</v>
      </c>
      <c r="B911" t="s">
        <v>91</v>
      </c>
      <c r="C911" t="s">
        <v>1911</v>
      </c>
      <c r="D911">
        <v>1</v>
      </c>
      <c r="E911" s="358">
        <v>4</v>
      </c>
      <c r="F911" s="358" t="s">
        <v>7</v>
      </c>
      <c r="G911" s="358" t="s">
        <v>11</v>
      </c>
      <c r="H911" s="358" t="s">
        <v>11</v>
      </c>
    </row>
    <row r="912" spans="1:8" x14ac:dyDescent="0.3">
      <c r="A912" t="s">
        <v>27</v>
      </c>
      <c r="B912" t="s">
        <v>91</v>
      </c>
      <c r="C912" t="s">
        <v>1954</v>
      </c>
      <c r="D912">
        <v>2</v>
      </c>
      <c r="E912" s="358">
        <v>4</v>
      </c>
      <c r="F912" s="358" t="s">
        <v>7</v>
      </c>
      <c r="G912" s="358" t="s">
        <v>11</v>
      </c>
      <c r="H912" s="358" t="s">
        <v>11</v>
      </c>
    </row>
    <row r="913" spans="1:8" x14ac:dyDescent="0.3">
      <c r="A913" t="s">
        <v>27</v>
      </c>
      <c r="B913" t="s">
        <v>91</v>
      </c>
      <c r="C913" t="s">
        <v>1558</v>
      </c>
      <c r="D913">
        <v>1</v>
      </c>
      <c r="E913" s="358">
        <v>4</v>
      </c>
      <c r="F913" s="358" t="s">
        <v>7</v>
      </c>
      <c r="G913" s="358" t="s">
        <v>11</v>
      </c>
      <c r="H913" s="358" t="s">
        <v>11</v>
      </c>
    </row>
    <row r="914" spans="1:8" x14ac:dyDescent="0.3">
      <c r="A914" t="s">
        <v>27</v>
      </c>
      <c r="B914" t="s">
        <v>91</v>
      </c>
      <c r="C914" t="s">
        <v>1816</v>
      </c>
      <c r="D914">
        <v>2</v>
      </c>
      <c r="E914" s="358">
        <v>4</v>
      </c>
      <c r="F914" s="358" t="s">
        <v>7</v>
      </c>
      <c r="G914" s="358" t="s">
        <v>11</v>
      </c>
      <c r="H914" s="358" t="s">
        <v>11</v>
      </c>
    </row>
    <row r="915" spans="1:8" x14ac:dyDescent="0.3">
      <c r="A915" t="s">
        <v>27</v>
      </c>
      <c r="B915" t="s">
        <v>91</v>
      </c>
      <c r="C915" t="s">
        <v>1955</v>
      </c>
      <c r="D915">
        <v>2</v>
      </c>
      <c r="E915" s="358">
        <v>4</v>
      </c>
      <c r="F915" s="358" t="s">
        <v>7</v>
      </c>
      <c r="G915" s="358" t="s">
        <v>11</v>
      </c>
      <c r="H915" s="358" t="s">
        <v>11</v>
      </c>
    </row>
    <row r="916" spans="1:8" x14ac:dyDescent="0.3">
      <c r="A916" t="s">
        <v>27</v>
      </c>
      <c r="B916" t="s">
        <v>91</v>
      </c>
      <c r="C916" t="s">
        <v>1956</v>
      </c>
      <c r="D916">
        <v>1</v>
      </c>
      <c r="E916" s="358">
        <v>5</v>
      </c>
      <c r="F916" s="358" t="s">
        <v>7</v>
      </c>
      <c r="G916" s="358" t="s">
        <v>11</v>
      </c>
      <c r="H916" s="358" t="s">
        <v>11</v>
      </c>
    </row>
    <row r="917" spans="1:8" x14ac:dyDescent="0.3">
      <c r="A917" t="s">
        <v>27</v>
      </c>
      <c r="B917" t="s">
        <v>91</v>
      </c>
      <c r="C917" t="s">
        <v>1957</v>
      </c>
      <c r="D917">
        <v>1</v>
      </c>
      <c r="E917" s="358">
        <v>4</v>
      </c>
      <c r="F917" s="358" t="s">
        <v>7</v>
      </c>
      <c r="G917" s="358" t="s">
        <v>11</v>
      </c>
      <c r="H917" s="358" t="s">
        <v>11</v>
      </c>
    </row>
    <row r="918" spans="1:8" x14ac:dyDescent="0.3">
      <c r="A918" t="s">
        <v>27</v>
      </c>
      <c r="B918" t="s">
        <v>91</v>
      </c>
      <c r="C918" t="s">
        <v>1958</v>
      </c>
      <c r="D918">
        <v>1</v>
      </c>
      <c r="E918" s="358">
        <v>4</v>
      </c>
      <c r="F918" s="358" t="s">
        <v>7</v>
      </c>
      <c r="G918" s="358" t="s">
        <v>11</v>
      </c>
      <c r="H918" s="358" t="s">
        <v>11</v>
      </c>
    </row>
    <row r="919" spans="1:8" x14ac:dyDescent="0.3">
      <c r="A919" t="s">
        <v>27</v>
      </c>
      <c r="B919" t="s">
        <v>91</v>
      </c>
      <c r="C919" t="s">
        <v>1817</v>
      </c>
      <c r="D919">
        <v>1</v>
      </c>
      <c r="E919" s="358">
        <v>4</v>
      </c>
      <c r="F919" s="358" t="s">
        <v>7</v>
      </c>
      <c r="G919" s="358" t="s">
        <v>11</v>
      </c>
      <c r="H919" s="358" t="s">
        <v>11</v>
      </c>
    </row>
    <row r="920" spans="1:8" x14ac:dyDescent="0.3">
      <c r="A920" t="s">
        <v>27</v>
      </c>
      <c r="B920" t="s">
        <v>91</v>
      </c>
      <c r="C920" t="s">
        <v>1344</v>
      </c>
      <c r="D920">
        <v>2</v>
      </c>
      <c r="E920" s="358">
        <v>4</v>
      </c>
      <c r="F920" s="358" t="s">
        <v>7</v>
      </c>
      <c r="G920" s="358" t="s">
        <v>11</v>
      </c>
      <c r="H920" s="358" t="s">
        <v>11</v>
      </c>
    </row>
    <row r="921" spans="1:8" x14ac:dyDescent="0.3">
      <c r="A921" t="s">
        <v>27</v>
      </c>
      <c r="B921" t="s">
        <v>91</v>
      </c>
      <c r="C921" t="s">
        <v>1959</v>
      </c>
      <c r="D921">
        <v>1</v>
      </c>
      <c r="E921" s="358">
        <v>4</v>
      </c>
      <c r="F921" s="358" t="s">
        <v>7</v>
      </c>
      <c r="G921" s="358" t="s">
        <v>11</v>
      </c>
      <c r="H921" s="358" t="s">
        <v>11</v>
      </c>
    </row>
    <row r="922" spans="1:8" x14ac:dyDescent="0.3">
      <c r="A922" t="s">
        <v>27</v>
      </c>
      <c r="B922" t="s">
        <v>91</v>
      </c>
      <c r="C922" t="s">
        <v>1960</v>
      </c>
      <c r="D922">
        <v>1</v>
      </c>
      <c r="E922" s="358">
        <v>5</v>
      </c>
      <c r="F922" s="358" t="s">
        <v>7</v>
      </c>
      <c r="G922" s="358" t="s">
        <v>11</v>
      </c>
      <c r="H922" s="358" t="s">
        <v>11</v>
      </c>
    </row>
    <row r="923" spans="1:8" x14ac:dyDescent="0.3">
      <c r="A923" t="s">
        <v>27</v>
      </c>
      <c r="B923" t="s">
        <v>91</v>
      </c>
      <c r="C923" t="s">
        <v>1416</v>
      </c>
      <c r="D923">
        <v>1</v>
      </c>
      <c r="E923" s="358">
        <v>5</v>
      </c>
      <c r="F923" s="358" t="s">
        <v>7</v>
      </c>
      <c r="G923" s="358" t="s">
        <v>11</v>
      </c>
      <c r="H923" s="358" t="s">
        <v>11</v>
      </c>
    </row>
    <row r="924" spans="1:8" x14ac:dyDescent="0.3">
      <c r="A924" t="s">
        <v>27</v>
      </c>
      <c r="B924" t="s">
        <v>91</v>
      </c>
      <c r="C924" t="s">
        <v>1448</v>
      </c>
      <c r="D924">
        <v>1</v>
      </c>
      <c r="E924" s="358">
        <v>4</v>
      </c>
      <c r="F924" s="358" t="s">
        <v>7</v>
      </c>
      <c r="G924" s="358" t="s">
        <v>11</v>
      </c>
      <c r="H924" s="358" t="s">
        <v>11</v>
      </c>
    </row>
    <row r="925" spans="1:8" x14ac:dyDescent="0.3">
      <c r="A925" t="s">
        <v>27</v>
      </c>
      <c r="B925" t="s">
        <v>91</v>
      </c>
      <c r="C925" t="s">
        <v>1961</v>
      </c>
      <c r="D925">
        <v>1</v>
      </c>
      <c r="E925" s="358">
        <v>4</v>
      </c>
      <c r="F925" s="358" t="s">
        <v>7</v>
      </c>
      <c r="G925" s="358" t="s">
        <v>11</v>
      </c>
      <c r="H925" s="358" t="s">
        <v>11</v>
      </c>
    </row>
    <row r="926" spans="1:8" x14ac:dyDescent="0.3">
      <c r="A926" t="s">
        <v>27</v>
      </c>
      <c r="B926" t="s">
        <v>91</v>
      </c>
      <c r="C926" t="s">
        <v>1962</v>
      </c>
      <c r="D926">
        <v>1</v>
      </c>
      <c r="E926" s="358">
        <v>5</v>
      </c>
      <c r="F926" s="358" t="s">
        <v>7</v>
      </c>
      <c r="G926" s="358" t="s">
        <v>11</v>
      </c>
      <c r="H926" s="358" t="s">
        <v>11</v>
      </c>
    </row>
    <row r="927" spans="1:8" x14ac:dyDescent="0.3">
      <c r="A927" t="s">
        <v>27</v>
      </c>
      <c r="B927" t="s">
        <v>91</v>
      </c>
      <c r="C927" t="s">
        <v>1963</v>
      </c>
      <c r="D927">
        <v>2</v>
      </c>
      <c r="E927" s="358">
        <v>4</v>
      </c>
      <c r="F927" s="358" t="s">
        <v>7</v>
      </c>
      <c r="G927" s="358" t="s">
        <v>11</v>
      </c>
      <c r="H927" s="358" t="s">
        <v>11</v>
      </c>
    </row>
    <row r="928" spans="1:8" x14ac:dyDescent="0.3">
      <c r="A928" t="s">
        <v>27</v>
      </c>
      <c r="B928" t="s">
        <v>91</v>
      </c>
      <c r="C928" t="s">
        <v>1624</v>
      </c>
      <c r="D928">
        <v>1</v>
      </c>
      <c r="E928" s="358">
        <v>5</v>
      </c>
      <c r="F928" s="358" t="s">
        <v>7</v>
      </c>
      <c r="G928" s="358" t="s">
        <v>11</v>
      </c>
      <c r="H928" s="358" t="s">
        <v>11</v>
      </c>
    </row>
    <row r="929" spans="1:8" x14ac:dyDescent="0.3">
      <c r="A929" t="s">
        <v>27</v>
      </c>
      <c r="B929" t="s">
        <v>91</v>
      </c>
      <c r="C929" t="s">
        <v>1964</v>
      </c>
      <c r="D929">
        <v>2</v>
      </c>
      <c r="E929" s="358">
        <v>4</v>
      </c>
      <c r="F929" s="358" t="s">
        <v>7</v>
      </c>
      <c r="G929" s="358" t="s">
        <v>11</v>
      </c>
      <c r="H929" s="358" t="s">
        <v>11</v>
      </c>
    </row>
    <row r="930" spans="1:8" x14ac:dyDescent="0.3">
      <c r="A930" t="s">
        <v>27</v>
      </c>
      <c r="B930" t="s">
        <v>91</v>
      </c>
      <c r="C930" t="s">
        <v>1965</v>
      </c>
      <c r="D930">
        <v>2</v>
      </c>
      <c r="E930" s="358">
        <v>4</v>
      </c>
      <c r="F930" s="358" t="s">
        <v>7</v>
      </c>
      <c r="G930" s="358" t="s">
        <v>11</v>
      </c>
      <c r="H930" s="358" t="s">
        <v>11</v>
      </c>
    </row>
    <row r="931" spans="1:8" x14ac:dyDescent="0.3">
      <c r="A931" t="s">
        <v>27</v>
      </c>
      <c r="B931" t="s">
        <v>91</v>
      </c>
      <c r="C931" t="s">
        <v>1966</v>
      </c>
      <c r="D931">
        <v>1</v>
      </c>
      <c r="E931" s="358">
        <v>4</v>
      </c>
      <c r="F931" s="358" t="s">
        <v>7</v>
      </c>
      <c r="G931" s="358" t="s">
        <v>11</v>
      </c>
      <c r="H931" s="358" t="s">
        <v>11</v>
      </c>
    </row>
    <row r="932" spans="1:8" x14ac:dyDescent="0.3">
      <c r="A932" t="s">
        <v>27</v>
      </c>
      <c r="B932" t="s">
        <v>91</v>
      </c>
      <c r="C932" t="s">
        <v>1967</v>
      </c>
      <c r="D932">
        <v>1</v>
      </c>
      <c r="E932" s="358">
        <v>4</v>
      </c>
      <c r="F932" s="358" t="s">
        <v>7</v>
      </c>
      <c r="G932" s="358" t="s">
        <v>11</v>
      </c>
      <c r="H932" s="358" t="s">
        <v>11</v>
      </c>
    </row>
    <row r="933" spans="1:8" x14ac:dyDescent="0.3">
      <c r="A933" t="s">
        <v>27</v>
      </c>
      <c r="B933" t="s">
        <v>91</v>
      </c>
      <c r="C933" t="s">
        <v>1350</v>
      </c>
      <c r="D933">
        <v>1</v>
      </c>
      <c r="E933" s="358">
        <v>4</v>
      </c>
      <c r="F933" s="358" t="s">
        <v>7</v>
      </c>
      <c r="G933" s="358" t="s">
        <v>11</v>
      </c>
      <c r="H933" s="358" t="s">
        <v>11</v>
      </c>
    </row>
    <row r="934" spans="1:8" x14ac:dyDescent="0.3">
      <c r="A934" t="s">
        <v>27</v>
      </c>
      <c r="B934" t="s">
        <v>91</v>
      </c>
      <c r="C934" t="s">
        <v>1351</v>
      </c>
      <c r="D934">
        <v>2</v>
      </c>
      <c r="E934" s="358">
        <v>4</v>
      </c>
      <c r="F934" s="358" t="s">
        <v>7</v>
      </c>
      <c r="G934" s="358" t="s">
        <v>11</v>
      </c>
      <c r="H934" s="358" t="s">
        <v>11</v>
      </c>
    </row>
    <row r="935" spans="1:8" x14ac:dyDescent="0.3">
      <c r="A935" t="s">
        <v>27</v>
      </c>
      <c r="B935" t="s">
        <v>91</v>
      </c>
      <c r="C935" t="s">
        <v>1968</v>
      </c>
      <c r="D935">
        <v>1</v>
      </c>
      <c r="E935" s="358">
        <v>5</v>
      </c>
      <c r="F935" s="358" t="s">
        <v>7</v>
      </c>
      <c r="G935" s="358" t="s">
        <v>11</v>
      </c>
      <c r="H935" s="358" t="s">
        <v>11</v>
      </c>
    </row>
    <row r="936" spans="1:8" x14ac:dyDescent="0.3">
      <c r="A936" t="s">
        <v>27</v>
      </c>
      <c r="B936" t="s">
        <v>91</v>
      </c>
      <c r="C936" t="s">
        <v>1454</v>
      </c>
      <c r="D936">
        <v>1</v>
      </c>
      <c r="E936" s="358">
        <v>4</v>
      </c>
      <c r="F936" s="358" t="s">
        <v>7</v>
      </c>
      <c r="G936" s="358" t="s">
        <v>11</v>
      </c>
      <c r="H936" s="358" t="s">
        <v>11</v>
      </c>
    </row>
    <row r="937" spans="1:8" x14ac:dyDescent="0.3">
      <c r="A937" t="s">
        <v>27</v>
      </c>
      <c r="B937" t="s">
        <v>91</v>
      </c>
      <c r="C937" t="s">
        <v>1969</v>
      </c>
      <c r="D937">
        <v>1</v>
      </c>
      <c r="E937" s="358">
        <v>4</v>
      </c>
      <c r="F937" s="358" t="s">
        <v>7</v>
      </c>
      <c r="G937" s="358" t="s">
        <v>11</v>
      </c>
      <c r="H937" s="358" t="s">
        <v>11</v>
      </c>
    </row>
    <row r="938" spans="1:8" x14ac:dyDescent="0.3">
      <c r="A938" t="s">
        <v>27</v>
      </c>
      <c r="B938" t="s">
        <v>91</v>
      </c>
      <c r="C938" t="s">
        <v>1970</v>
      </c>
      <c r="D938">
        <v>1</v>
      </c>
      <c r="E938" s="358">
        <v>4</v>
      </c>
      <c r="F938" s="358" t="s">
        <v>7</v>
      </c>
      <c r="G938" s="358" t="s">
        <v>11</v>
      </c>
      <c r="H938" s="358" t="s">
        <v>11</v>
      </c>
    </row>
    <row r="939" spans="1:8" x14ac:dyDescent="0.3">
      <c r="A939" t="s">
        <v>27</v>
      </c>
      <c r="B939" t="s">
        <v>91</v>
      </c>
      <c r="C939" t="s">
        <v>1569</v>
      </c>
      <c r="D939">
        <v>1</v>
      </c>
      <c r="E939" s="358">
        <v>4</v>
      </c>
      <c r="F939" s="358" t="s">
        <v>7</v>
      </c>
      <c r="G939" s="358" t="s">
        <v>11</v>
      </c>
      <c r="H939" s="358" t="s">
        <v>11</v>
      </c>
    </row>
    <row r="940" spans="1:8" x14ac:dyDescent="0.3">
      <c r="A940" t="s">
        <v>27</v>
      </c>
      <c r="B940" t="s">
        <v>91</v>
      </c>
      <c r="C940" t="s">
        <v>1971</v>
      </c>
      <c r="D940">
        <v>2</v>
      </c>
      <c r="E940" s="358">
        <v>4</v>
      </c>
      <c r="F940" s="358" t="s">
        <v>7</v>
      </c>
      <c r="G940" s="358" t="s">
        <v>11</v>
      </c>
      <c r="H940" s="358" t="s">
        <v>11</v>
      </c>
    </row>
    <row r="941" spans="1:8" x14ac:dyDescent="0.3">
      <c r="A941" t="s">
        <v>27</v>
      </c>
      <c r="B941" t="s">
        <v>91</v>
      </c>
      <c r="C941" t="s">
        <v>1972</v>
      </c>
      <c r="D941">
        <v>1</v>
      </c>
      <c r="E941" s="358">
        <v>5</v>
      </c>
      <c r="F941" s="358" t="s">
        <v>7</v>
      </c>
      <c r="G941" s="358" t="s">
        <v>11</v>
      </c>
      <c r="H941" s="358" t="s">
        <v>11</v>
      </c>
    </row>
    <row r="942" spans="1:8" x14ac:dyDescent="0.3">
      <c r="A942" t="s">
        <v>27</v>
      </c>
      <c r="B942" t="s">
        <v>91</v>
      </c>
      <c r="C942" t="s">
        <v>1973</v>
      </c>
      <c r="D942">
        <v>1</v>
      </c>
      <c r="E942" s="358">
        <v>4</v>
      </c>
      <c r="F942" s="358" t="s">
        <v>7</v>
      </c>
      <c r="G942" s="358" t="s">
        <v>11</v>
      </c>
      <c r="H942" s="358" t="s">
        <v>11</v>
      </c>
    </row>
    <row r="943" spans="1:8" x14ac:dyDescent="0.3">
      <c r="A943" t="s">
        <v>27</v>
      </c>
      <c r="B943" t="s">
        <v>91</v>
      </c>
      <c r="C943" t="s">
        <v>1456</v>
      </c>
      <c r="D943">
        <v>1</v>
      </c>
      <c r="E943" s="358">
        <v>4</v>
      </c>
      <c r="F943" s="358" t="s">
        <v>7</v>
      </c>
      <c r="G943" s="358" t="s">
        <v>11</v>
      </c>
      <c r="H943" s="358" t="s">
        <v>11</v>
      </c>
    </row>
    <row r="944" spans="1:8" x14ac:dyDescent="0.3">
      <c r="A944" t="s">
        <v>27</v>
      </c>
      <c r="B944" t="s">
        <v>91</v>
      </c>
      <c r="C944" t="s">
        <v>1919</v>
      </c>
      <c r="D944">
        <v>2</v>
      </c>
      <c r="E944" s="358">
        <v>4</v>
      </c>
      <c r="F944" s="358" t="s">
        <v>7</v>
      </c>
      <c r="G944" s="358" t="s">
        <v>11</v>
      </c>
      <c r="H944" s="358" t="s">
        <v>11</v>
      </c>
    </row>
    <row r="945" spans="1:8" x14ac:dyDescent="0.3">
      <c r="A945" t="s">
        <v>27</v>
      </c>
      <c r="B945" t="s">
        <v>91</v>
      </c>
      <c r="C945" t="s">
        <v>1458</v>
      </c>
      <c r="D945">
        <v>1</v>
      </c>
      <c r="E945" s="358">
        <v>5</v>
      </c>
      <c r="F945" s="358" t="s">
        <v>7</v>
      </c>
      <c r="G945" s="358" t="s">
        <v>11</v>
      </c>
      <c r="H945" s="358" t="s">
        <v>11</v>
      </c>
    </row>
    <row r="946" spans="1:8" x14ac:dyDescent="0.3">
      <c r="A946" t="s">
        <v>27</v>
      </c>
      <c r="B946" t="s">
        <v>91</v>
      </c>
      <c r="C946" t="s">
        <v>1922</v>
      </c>
      <c r="D946">
        <v>2</v>
      </c>
      <c r="E946" s="358">
        <v>4</v>
      </c>
      <c r="F946" s="358" t="s">
        <v>7</v>
      </c>
      <c r="G946" s="358" t="s">
        <v>11</v>
      </c>
      <c r="H946" s="358" t="s">
        <v>11</v>
      </c>
    </row>
    <row r="947" spans="1:8" x14ac:dyDescent="0.3">
      <c r="A947" t="s">
        <v>27</v>
      </c>
      <c r="B947" t="s">
        <v>91</v>
      </c>
      <c r="C947" t="s">
        <v>1361</v>
      </c>
      <c r="D947">
        <v>1</v>
      </c>
      <c r="E947" s="358">
        <v>4</v>
      </c>
      <c r="F947" s="358" t="s">
        <v>7</v>
      </c>
      <c r="G947" s="358" t="s">
        <v>11</v>
      </c>
      <c r="H947" s="358" t="s">
        <v>11</v>
      </c>
    </row>
    <row r="948" spans="1:8" x14ac:dyDescent="0.3">
      <c r="A948" t="s">
        <v>27</v>
      </c>
      <c r="B948" t="s">
        <v>91</v>
      </c>
      <c r="C948" t="s">
        <v>1362</v>
      </c>
      <c r="D948">
        <v>1</v>
      </c>
      <c r="E948" s="358">
        <v>4</v>
      </c>
      <c r="F948" s="358" t="s">
        <v>7</v>
      </c>
      <c r="G948" s="358" t="s">
        <v>11</v>
      </c>
      <c r="H948" s="358" t="s">
        <v>11</v>
      </c>
    </row>
    <row r="949" spans="1:8" x14ac:dyDescent="0.3">
      <c r="A949" t="s">
        <v>27</v>
      </c>
      <c r="B949" t="s">
        <v>91</v>
      </c>
      <c r="C949" t="s">
        <v>1974</v>
      </c>
      <c r="D949">
        <v>1</v>
      </c>
      <c r="E949" s="358">
        <v>4</v>
      </c>
      <c r="F949" s="358" t="s">
        <v>7</v>
      </c>
      <c r="G949" s="358" t="s">
        <v>11</v>
      </c>
      <c r="H949" s="358" t="s">
        <v>11</v>
      </c>
    </row>
    <row r="950" spans="1:8" x14ac:dyDescent="0.3">
      <c r="A950" t="s">
        <v>27</v>
      </c>
      <c r="B950" t="s">
        <v>91</v>
      </c>
      <c r="C950" t="s">
        <v>1975</v>
      </c>
      <c r="D950">
        <v>1</v>
      </c>
      <c r="E950" s="358">
        <v>4</v>
      </c>
      <c r="F950" s="358" t="s">
        <v>7</v>
      </c>
      <c r="G950" s="358" t="s">
        <v>11</v>
      </c>
      <c r="H950" s="358" t="s">
        <v>11</v>
      </c>
    </row>
    <row r="951" spans="1:8" x14ac:dyDescent="0.3">
      <c r="A951" t="s">
        <v>27</v>
      </c>
      <c r="B951" t="s">
        <v>91</v>
      </c>
      <c r="C951" t="s">
        <v>1875</v>
      </c>
      <c r="D951">
        <v>2</v>
      </c>
      <c r="E951" s="358">
        <v>4</v>
      </c>
      <c r="F951" s="358" t="s">
        <v>7</v>
      </c>
      <c r="G951" s="358" t="s">
        <v>11</v>
      </c>
      <c r="H951" s="358" t="s">
        <v>11</v>
      </c>
    </row>
    <row r="952" spans="1:8" x14ac:dyDescent="0.3">
      <c r="A952" t="s">
        <v>27</v>
      </c>
      <c r="B952" t="s">
        <v>91</v>
      </c>
      <c r="C952" t="s">
        <v>1725</v>
      </c>
      <c r="D952">
        <v>1</v>
      </c>
      <c r="E952" s="358">
        <v>5</v>
      </c>
      <c r="F952" s="358" t="s">
        <v>7</v>
      </c>
      <c r="G952" s="358" t="s">
        <v>11</v>
      </c>
      <c r="H952" s="358" t="s">
        <v>11</v>
      </c>
    </row>
    <row r="953" spans="1:8" x14ac:dyDescent="0.3">
      <c r="A953" t="s">
        <v>27</v>
      </c>
      <c r="B953" t="s">
        <v>91</v>
      </c>
      <c r="C953" t="s">
        <v>1365</v>
      </c>
      <c r="D953">
        <v>2</v>
      </c>
      <c r="E953" s="358">
        <v>4</v>
      </c>
      <c r="F953" s="358" t="s">
        <v>7</v>
      </c>
      <c r="G953" s="358" t="s">
        <v>11</v>
      </c>
      <c r="H953" s="358" t="s">
        <v>11</v>
      </c>
    </row>
    <row r="954" spans="1:8" x14ac:dyDescent="0.3">
      <c r="A954" t="s">
        <v>27</v>
      </c>
      <c r="B954" t="s">
        <v>91</v>
      </c>
      <c r="C954" t="s">
        <v>1976</v>
      </c>
      <c r="D954">
        <v>2</v>
      </c>
      <c r="E954" s="358">
        <v>4</v>
      </c>
      <c r="F954" s="358" t="s">
        <v>7</v>
      </c>
      <c r="G954" s="358" t="s">
        <v>11</v>
      </c>
      <c r="H954" s="358" t="s">
        <v>11</v>
      </c>
    </row>
    <row r="955" spans="1:8" x14ac:dyDescent="0.3">
      <c r="A955" t="s">
        <v>27</v>
      </c>
      <c r="B955" t="s">
        <v>91</v>
      </c>
      <c r="C955" t="s">
        <v>1977</v>
      </c>
      <c r="D955">
        <v>2</v>
      </c>
      <c r="E955" s="358">
        <v>4</v>
      </c>
      <c r="F955" s="358" t="s">
        <v>7</v>
      </c>
      <c r="G955" s="358" t="s">
        <v>11</v>
      </c>
      <c r="H955" s="358" t="s">
        <v>11</v>
      </c>
    </row>
    <row r="956" spans="1:8" x14ac:dyDescent="0.3">
      <c r="A956" t="s">
        <v>27</v>
      </c>
      <c r="B956" t="s">
        <v>91</v>
      </c>
      <c r="C956" t="s">
        <v>1978</v>
      </c>
      <c r="D956">
        <v>1</v>
      </c>
      <c r="E956" s="358">
        <v>4</v>
      </c>
      <c r="F956" s="358" t="s">
        <v>7</v>
      </c>
      <c r="G956" s="358" t="s">
        <v>11</v>
      </c>
      <c r="H956" s="358" t="s">
        <v>11</v>
      </c>
    </row>
    <row r="957" spans="1:8" x14ac:dyDescent="0.3">
      <c r="A957" t="s">
        <v>27</v>
      </c>
      <c r="B957" t="s">
        <v>91</v>
      </c>
      <c r="C957" t="s">
        <v>1979</v>
      </c>
      <c r="D957">
        <v>2</v>
      </c>
      <c r="E957" s="358">
        <v>4</v>
      </c>
      <c r="F957" s="358" t="s">
        <v>7</v>
      </c>
      <c r="G957" s="358" t="s">
        <v>11</v>
      </c>
      <c r="H957" s="358" t="s">
        <v>11</v>
      </c>
    </row>
    <row r="958" spans="1:8" x14ac:dyDescent="0.3">
      <c r="A958" t="s">
        <v>27</v>
      </c>
      <c r="B958" t="s">
        <v>91</v>
      </c>
      <c r="C958" t="s">
        <v>1980</v>
      </c>
      <c r="D958">
        <v>1</v>
      </c>
      <c r="E958" s="358">
        <v>5</v>
      </c>
      <c r="F958" s="358" t="s">
        <v>7</v>
      </c>
      <c r="G958" s="358" t="s">
        <v>11</v>
      </c>
      <c r="H958" s="358" t="s">
        <v>11</v>
      </c>
    </row>
    <row r="959" spans="1:8" x14ac:dyDescent="0.3">
      <c r="A959" t="s">
        <v>27</v>
      </c>
      <c r="B959" t="s">
        <v>91</v>
      </c>
      <c r="C959" t="s">
        <v>1981</v>
      </c>
      <c r="D959">
        <v>1</v>
      </c>
      <c r="E959" s="358">
        <v>5</v>
      </c>
      <c r="F959" s="358" t="s">
        <v>7</v>
      </c>
      <c r="G959" s="358" t="s">
        <v>11</v>
      </c>
      <c r="H959" s="358" t="s">
        <v>11</v>
      </c>
    </row>
    <row r="960" spans="1:8" x14ac:dyDescent="0.3">
      <c r="A960" t="s">
        <v>27</v>
      </c>
      <c r="B960" t="s">
        <v>91</v>
      </c>
      <c r="C960" t="s">
        <v>1982</v>
      </c>
      <c r="D960">
        <v>2</v>
      </c>
      <c r="E960" s="358">
        <v>4</v>
      </c>
      <c r="F960" s="358" t="s">
        <v>7</v>
      </c>
      <c r="G960" s="358" t="s">
        <v>11</v>
      </c>
      <c r="H960" s="358" t="s">
        <v>11</v>
      </c>
    </row>
    <row r="961" spans="1:8" x14ac:dyDescent="0.3">
      <c r="A961" t="s">
        <v>27</v>
      </c>
      <c r="B961" t="s">
        <v>91</v>
      </c>
      <c r="C961" t="s">
        <v>1983</v>
      </c>
      <c r="D961">
        <v>1</v>
      </c>
      <c r="E961" s="358">
        <v>5</v>
      </c>
      <c r="F961" s="358" t="s">
        <v>7</v>
      </c>
      <c r="G961" s="358" t="s">
        <v>11</v>
      </c>
      <c r="H961" s="358" t="s">
        <v>11</v>
      </c>
    </row>
    <row r="962" spans="1:8" x14ac:dyDescent="0.3">
      <c r="A962" t="s">
        <v>27</v>
      </c>
      <c r="B962" t="s">
        <v>91</v>
      </c>
      <c r="C962" t="s">
        <v>1984</v>
      </c>
      <c r="D962">
        <v>1</v>
      </c>
      <c r="E962" s="358">
        <v>4</v>
      </c>
      <c r="F962" s="358" t="s">
        <v>7</v>
      </c>
      <c r="G962" s="358" t="s">
        <v>11</v>
      </c>
      <c r="H962" s="358" t="s">
        <v>11</v>
      </c>
    </row>
    <row r="963" spans="1:8" x14ac:dyDescent="0.3">
      <c r="A963" t="s">
        <v>27</v>
      </c>
      <c r="B963" t="s">
        <v>91</v>
      </c>
      <c r="C963" t="s">
        <v>1985</v>
      </c>
      <c r="D963">
        <v>1</v>
      </c>
      <c r="E963" s="358">
        <v>4</v>
      </c>
      <c r="F963" s="358" t="s">
        <v>7</v>
      </c>
      <c r="G963" s="358" t="s">
        <v>11</v>
      </c>
      <c r="H963" s="358" t="s">
        <v>11</v>
      </c>
    </row>
    <row r="964" spans="1:8" x14ac:dyDescent="0.3">
      <c r="A964" t="s">
        <v>27</v>
      </c>
      <c r="B964" t="s">
        <v>91</v>
      </c>
      <c r="C964" t="s">
        <v>1465</v>
      </c>
      <c r="D964">
        <v>1</v>
      </c>
      <c r="E964" s="358">
        <v>5</v>
      </c>
      <c r="F964" s="358" t="s">
        <v>7</v>
      </c>
      <c r="G964" s="358" t="s">
        <v>11</v>
      </c>
      <c r="H964" s="358" t="s">
        <v>11</v>
      </c>
    </row>
    <row r="965" spans="1:8" x14ac:dyDescent="0.3">
      <c r="A965" t="s">
        <v>27</v>
      </c>
      <c r="B965" t="s">
        <v>91</v>
      </c>
      <c r="C965" t="s">
        <v>1986</v>
      </c>
      <c r="D965">
        <v>1</v>
      </c>
      <c r="E965" s="358">
        <v>4</v>
      </c>
      <c r="F965" s="358" t="s">
        <v>7</v>
      </c>
      <c r="G965" s="358" t="s">
        <v>11</v>
      </c>
      <c r="H965" s="358" t="s">
        <v>11</v>
      </c>
    </row>
    <row r="966" spans="1:8" x14ac:dyDescent="0.3">
      <c r="A966" t="s">
        <v>27</v>
      </c>
      <c r="B966" t="s">
        <v>91</v>
      </c>
      <c r="C966" t="s">
        <v>1987</v>
      </c>
      <c r="D966">
        <v>1</v>
      </c>
      <c r="E966" s="358">
        <v>4</v>
      </c>
      <c r="F966" s="358" t="s">
        <v>7</v>
      </c>
      <c r="G966" s="358" t="s">
        <v>11</v>
      </c>
      <c r="H966" s="358" t="s">
        <v>11</v>
      </c>
    </row>
    <row r="967" spans="1:8" x14ac:dyDescent="0.3">
      <c r="A967" t="s">
        <v>27</v>
      </c>
      <c r="B967" t="s">
        <v>91</v>
      </c>
      <c r="C967" t="s">
        <v>1988</v>
      </c>
      <c r="D967">
        <v>1</v>
      </c>
      <c r="E967" s="358">
        <v>5</v>
      </c>
      <c r="F967" s="358" t="s">
        <v>7</v>
      </c>
      <c r="G967" s="358" t="s">
        <v>11</v>
      </c>
      <c r="H967" s="358" t="s">
        <v>11</v>
      </c>
    </row>
    <row r="968" spans="1:8" x14ac:dyDescent="0.3">
      <c r="A968" t="s">
        <v>27</v>
      </c>
      <c r="B968" t="s">
        <v>91</v>
      </c>
      <c r="C968" t="s">
        <v>1989</v>
      </c>
      <c r="D968">
        <v>2</v>
      </c>
      <c r="E968" s="358">
        <v>4</v>
      </c>
      <c r="F968" s="358" t="s">
        <v>7</v>
      </c>
      <c r="G968" s="358" t="s">
        <v>11</v>
      </c>
      <c r="H968" s="358" t="s">
        <v>11</v>
      </c>
    </row>
    <row r="969" spans="1:8" x14ac:dyDescent="0.3">
      <c r="A969" t="s">
        <v>27</v>
      </c>
      <c r="B969" t="s">
        <v>91</v>
      </c>
      <c r="C969" t="s">
        <v>1990</v>
      </c>
      <c r="D969">
        <v>1</v>
      </c>
      <c r="E969" s="358">
        <v>5</v>
      </c>
      <c r="F969" s="358" t="s">
        <v>7</v>
      </c>
      <c r="G969" s="358" t="s">
        <v>11</v>
      </c>
      <c r="H969" s="358" t="s">
        <v>11</v>
      </c>
    </row>
    <row r="970" spans="1:8" x14ac:dyDescent="0.3">
      <c r="A970" t="s">
        <v>27</v>
      </c>
      <c r="B970" t="s">
        <v>91</v>
      </c>
      <c r="C970" t="s">
        <v>1991</v>
      </c>
      <c r="D970">
        <v>1</v>
      </c>
      <c r="E970" s="358">
        <v>4</v>
      </c>
      <c r="F970" s="358" t="s">
        <v>7</v>
      </c>
      <c r="G970" s="358" t="s">
        <v>11</v>
      </c>
      <c r="H970" s="358" t="s">
        <v>11</v>
      </c>
    </row>
    <row r="971" spans="1:8" x14ac:dyDescent="0.3">
      <c r="A971" t="s">
        <v>27</v>
      </c>
      <c r="B971" t="s">
        <v>91</v>
      </c>
      <c r="C971" t="s">
        <v>1992</v>
      </c>
      <c r="D971">
        <v>1</v>
      </c>
      <c r="E971" s="358">
        <v>4</v>
      </c>
      <c r="F971" s="358" t="s">
        <v>7</v>
      </c>
      <c r="G971" s="358" t="s">
        <v>11</v>
      </c>
      <c r="H971" s="358" t="s">
        <v>11</v>
      </c>
    </row>
    <row r="972" spans="1:8" x14ac:dyDescent="0.3">
      <c r="A972" t="s">
        <v>27</v>
      </c>
      <c r="B972" t="s">
        <v>91</v>
      </c>
      <c r="C972" t="s">
        <v>1993</v>
      </c>
      <c r="D972">
        <v>1</v>
      </c>
      <c r="E972" s="358">
        <v>5</v>
      </c>
      <c r="F972" s="358" t="s">
        <v>7</v>
      </c>
      <c r="G972" s="358" t="s">
        <v>11</v>
      </c>
      <c r="H972" s="358" t="s">
        <v>11</v>
      </c>
    </row>
    <row r="973" spans="1:8" x14ac:dyDescent="0.3">
      <c r="A973" t="s">
        <v>27</v>
      </c>
      <c r="B973" t="s">
        <v>91</v>
      </c>
      <c r="C973" t="s">
        <v>1883</v>
      </c>
      <c r="D973">
        <v>1</v>
      </c>
      <c r="E973" s="358">
        <v>4</v>
      </c>
      <c r="F973" s="358" t="s">
        <v>7</v>
      </c>
      <c r="G973" s="358" t="s">
        <v>11</v>
      </c>
      <c r="H973" s="358" t="s">
        <v>11</v>
      </c>
    </row>
    <row r="974" spans="1:8" x14ac:dyDescent="0.3">
      <c r="A974" t="s">
        <v>27</v>
      </c>
      <c r="B974" t="s">
        <v>91</v>
      </c>
      <c r="C974" t="s">
        <v>1371</v>
      </c>
      <c r="D974">
        <v>1</v>
      </c>
      <c r="E974" s="358">
        <v>4</v>
      </c>
      <c r="F974" s="358" t="s">
        <v>7</v>
      </c>
      <c r="G974" s="358" t="s">
        <v>11</v>
      </c>
      <c r="H974" s="358" t="s">
        <v>11</v>
      </c>
    </row>
    <row r="975" spans="1:8" x14ac:dyDescent="0.3">
      <c r="A975" t="s">
        <v>27</v>
      </c>
      <c r="B975" t="s">
        <v>91</v>
      </c>
      <c r="C975" t="s">
        <v>1472</v>
      </c>
      <c r="D975">
        <v>1</v>
      </c>
      <c r="E975" s="358">
        <v>4</v>
      </c>
      <c r="F975" s="358" t="s">
        <v>7</v>
      </c>
      <c r="G975" s="358" t="s">
        <v>11</v>
      </c>
      <c r="H975" s="358" t="s">
        <v>11</v>
      </c>
    </row>
    <row r="976" spans="1:8" x14ac:dyDescent="0.3">
      <c r="A976" t="s">
        <v>27</v>
      </c>
      <c r="B976" t="s">
        <v>91</v>
      </c>
      <c r="C976" t="s">
        <v>1473</v>
      </c>
      <c r="D976">
        <v>1</v>
      </c>
      <c r="E976" s="358">
        <v>5</v>
      </c>
      <c r="F976" s="358" t="s">
        <v>7</v>
      </c>
      <c r="G976" s="358" t="s">
        <v>11</v>
      </c>
      <c r="H976" s="358" t="s">
        <v>11</v>
      </c>
    </row>
    <row r="977" spans="1:8" x14ac:dyDescent="0.3">
      <c r="A977" t="s">
        <v>27</v>
      </c>
      <c r="B977" t="s">
        <v>91</v>
      </c>
      <c r="C977" t="s">
        <v>1591</v>
      </c>
      <c r="D977">
        <v>2</v>
      </c>
      <c r="E977" s="358">
        <v>4</v>
      </c>
      <c r="F977" s="358" t="s">
        <v>7</v>
      </c>
      <c r="G977" s="358" t="s">
        <v>11</v>
      </c>
      <c r="H977" s="358" t="s">
        <v>11</v>
      </c>
    </row>
    <row r="978" spans="1:8" x14ac:dyDescent="0.3">
      <c r="A978" t="s">
        <v>27</v>
      </c>
      <c r="B978" t="s">
        <v>91</v>
      </c>
      <c r="C978" t="s">
        <v>1994</v>
      </c>
      <c r="D978">
        <v>2</v>
      </c>
      <c r="E978" s="358">
        <v>4</v>
      </c>
      <c r="F978" s="358" t="s">
        <v>7</v>
      </c>
      <c r="G978" s="358" t="s">
        <v>11</v>
      </c>
      <c r="H978" s="358" t="s">
        <v>11</v>
      </c>
    </row>
    <row r="979" spans="1:8" x14ac:dyDescent="0.3">
      <c r="A979" t="s">
        <v>27</v>
      </c>
      <c r="B979" t="s">
        <v>91</v>
      </c>
      <c r="C979" t="s">
        <v>1995</v>
      </c>
      <c r="D979">
        <v>2</v>
      </c>
      <c r="E979" s="358">
        <v>4</v>
      </c>
      <c r="F979" s="358" t="s">
        <v>7</v>
      </c>
      <c r="G979" s="358" t="s">
        <v>11</v>
      </c>
      <c r="H979" s="358" t="s">
        <v>11</v>
      </c>
    </row>
    <row r="980" spans="1:8" x14ac:dyDescent="0.3">
      <c r="A980" t="s">
        <v>27</v>
      </c>
      <c r="B980" t="s">
        <v>91</v>
      </c>
      <c r="C980" t="s">
        <v>1996</v>
      </c>
      <c r="D980">
        <v>1</v>
      </c>
      <c r="E980" s="358">
        <v>5</v>
      </c>
      <c r="F980" s="358" t="s">
        <v>7</v>
      </c>
      <c r="G980" s="358" t="s">
        <v>11</v>
      </c>
      <c r="H980" s="358" t="s">
        <v>11</v>
      </c>
    </row>
    <row r="981" spans="1:8" x14ac:dyDescent="0.3">
      <c r="A981" t="s">
        <v>27</v>
      </c>
      <c r="B981" t="s">
        <v>91</v>
      </c>
      <c r="C981" t="s">
        <v>1997</v>
      </c>
      <c r="D981">
        <v>1</v>
      </c>
      <c r="E981" s="358">
        <v>5</v>
      </c>
      <c r="F981" s="358" t="s">
        <v>7</v>
      </c>
      <c r="G981" s="358" t="s">
        <v>11</v>
      </c>
      <c r="H981" s="358" t="s">
        <v>11</v>
      </c>
    </row>
    <row r="982" spans="1:8" x14ac:dyDescent="0.3">
      <c r="A982" t="s">
        <v>27</v>
      </c>
      <c r="B982" t="s">
        <v>91</v>
      </c>
      <c r="C982" t="s">
        <v>1998</v>
      </c>
      <c r="D982">
        <v>1</v>
      </c>
      <c r="E982" s="358">
        <v>5</v>
      </c>
      <c r="F982" s="358" t="s">
        <v>7</v>
      </c>
      <c r="G982" s="358" t="s">
        <v>11</v>
      </c>
      <c r="H982" s="358" t="s">
        <v>11</v>
      </c>
    </row>
    <row r="983" spans="1:8" x14ac:dyDescent="0.3">
      <c r="A983" t="s">
        <v>27</v>
      </c>
      <c r="B983" t="s">
        <v>91</v>
      </c>
      <c r="C983" t="s">
        <v>1999</v>
      </c>
      <c r="D983">
        <v>2</v>
      </c>
      <c r="E983" s="358">
        <v>4</v>
      </c>
      <c r="F983" s="358" t="s">
        <v>7</v>
      </c>
      <c r="G983" s="358" t="s">
        <v>11</v>
      </c>
      <c r="H983" s="358" t="s">
        <v>11</v>
      </c>
    </row>
    <row r="984" spans="1:8" x14ac:dyDescent="0.3">
      <c r="A984" t="s">
        <v>27</v>
      </c>
      <c r="B984" t="s">
        <v>91</v>
      </c>
      <c r="C984" t="s">
        <v>2000</v>
      </c>
      <c r="D984">
        <v>1</v>
      </c>
      <c r="E984" s="358">
        <v>4</v>
      </c>
      <c r="F984" s="358" t="s">
        <v>7</v>
      </c>
      <c r="G984" s="358" t="s">
        <v>11</v>
      </c>
      <c r="H984" s="358" t="s">
        <v>11</v>
      </c>
    </row>
    <row r="985" spans="1:8" x14ac:dyDescent="0.3">
      <c r="A985" t="s">
        <v>27</v>
      </c>
      <c r="B985" t="s">
        <v>91</v>
      </c>
      <c r="C985" t="s">
        <v>2001</v>
      </c>
      <c r="D985">
        <v>2</v>
      </c>
      <c r="E985" s="358">
        <v>4</v>
      </c>
      <c r="F985" s="358" t="s">
        <v>7</v>
      </c>
      <c r="G985" s="358" t="s">
        <v>11</v>
      </c>
      <c r="H985" s="358" t="s">
        <v>11</v>
      </c>
    </row>
    <row r="986" spans="1:8" x14ac:dyDescent="0.3">
      <c r="A986" t="s">
        <v>27</v>
      </c>
      <c r="B986" t="s">
        <v>91</v>
      </c>
      <c r="C986" t="s">
        <v>2002</v>
      </c>
      <c r="D986">
        <v>2</v>
      </c>
      <c r="E986" s="358">
        <v>4</v>
      </c>
      <c r="F986" s="358" t="s">
        <v>7</v>
      </c>
      <c r="G986" s="358" t="s">
        <v>11</v>
      </c>
      <c r="H986" s="358" t="s">
        <v>11</v>
      </c>
    </row>
    <row r="987" spans="1:8" x14ac:dyDescent="0.3">
      <c r="A987" t="s">
        <v>27</v>
      </c>
      <c r="B987" t="s">
        <v>91</v>
      </c>
      <c r="C987" t="s">
        <v>1747</v>
      </c>
      <c r="D987">
        <v>1</v>
      </c>
      <c r="E987" s="358">
        <v>5</v>
      </c>
      <c r="F987" s="358" t="s">
        <v>7</v>
      </c>
      <c r="G987" s="358" t="s">
        <v>11</v>
      </c>
      <c r="H987" s="358" t="s">
        <v>11</v>
      </c>
    </row>
    <row r="988" spans="1:8" x14ac:dyDescent="0.3">
      <c r="A988" t="s">
        <v>27</v>
      </c>
      <c r="B988" t="s">
        <v>91</v>
      </c>
      <c r="C988" t="s">
        <v>2003</v>
      </c>
      <c r="D988">
        <v>1</v>
      </c>
      <c r="E988" s="358">
        <v>5</v>
      </c>
      <c r="F988" s="358" t="s">
        <v>7</v>
      </c>
      <c r="G988" s="358" t="s">
        <v>11</v>
      </c>
      <c r="H988" s="358" t="s">
        <v>11</v>
      </c>
    </row>
    <row r="989" spans="1:8" x14ac:dyDescent="0.3">
      <c r="A989" t="s">
        <v>27</v>
      </c>
      <c r="B989" t="s">
        <v>91</v>
      </c>
      <c r="C989" t="s">
        <v>2004</v>
      </c>
      <c r="D989">
        <v>2</v>
      </c>
      <c r="E989" s="358">
        <v>4</v>
      </c>
      <c r="F989" s="358" t="s">
        <v>7</v>
      </c>
      <c r="G989" s="358" t="s">
        <v>11</v>
      </c>
      <c r="H989" s="358" t="s">
        <v>11</v>
      </c>
    </row>
    <row r="990" spans="1:8" x14ac:dyDescent="0.3">
      <c r="A990" t="s">
        <v>27</v>
      </c>
      <c r="B990" t="s">
        <v>91</v>
      </c>
      <c r="C990" t="s">
        <v>2005</v>
      </c>
      <c r="D990">
        <v>1</v>
      </c>
      <c r="E990" s="358">
        <v>5</v>
      </c>
      <c r="F990" s="358" t="s">
        <v>7</v>
      </c>
      <c r="G990" s="358" t="s">
        <v>11</v>
      </c>
      <c r="H990" s="358" t="s">
        <v>11</v>
      </c>
    </row>
    <row r="991" spans="1:8" x14ac:dyDescent="0.3">
      <c r="A991" t="s">
        <v>27</v>
      </c>
      <c r="B991" t="s">
        <v>91</v>
      </c>
      <c r="C991" t="s">
        <v>1379</v>
      </c>
      <c r="D991">
        <v>1</v>
      </c>
      <c r="E991" s="358">
        <v>4</v>
      </c>
      <c r="F991" s="358" t="s">
        <v>7</v>
      </c>
      <c r="G991" s="358" t="s">
        <v>11</v>
      </c>
      <c r="H991" s="358" t="s">
        <v>11</v>
      </c>
    </row>
    <row r="992" spans="1:8" x14ac:dyDescent="0.3">
      <c r="A992" t="s">
        <v>27</v>
      </c>
      <c r="B992" t="s">
        <v>91</v>
      </c>
      <c r="C992" t="s">
        <v>2006</v>
      </c>
      <c r="D992">
        <v>1</v>
      </c>
      <c r="E992" s="358">
        <v>5</v>
      </c>
      <c r="F992" s="358" t="s">
        <v>7</v>
      </c>
      <c r="G992" s="358" t="s">
        <v>11</v>
      </c>
      <c r="H992" s="358" t="s">
        <v>11</v>
      </c>
    </row>
    <row r="993" spans="1:8" x14ac:dyDescent="0.3">
      <c r="A993" t="s">
        <v>27</v>
      </c>
      <c r="B993" t="s">
        <v>91</v>
      </c>
      <c r="C993" t="s">
        <v>2007</v>
      </c>
      <c r="D993">
        <v>2</v>
      </c>
      <c r="E993" s="358">
        <v>4</v>
      </c>
      <c r="F993" s="358" t="s">
        <v>7</v>
      </c>
      <c r="G993" s="358" t="s">
        <v>11</v>
      </c>
      <c r="H993" s="358" t="s">
        <v>11</v>
      </c>
    </row>
    <row r="994" spans="1:8" x14ac:dyDescent="0.3">
      <c r="A994" t="s">
        <v>27</v>
      </c>
      <c r="B994" t="s">
        <v>91</v>
      </c>
      <c r="C994" t="s">
        <v>2008</v>
      </c>
      <c r="D994">
        <v>2</v>
      </c>
      <c r="E994" s="358">
        <v>4</v>
      </c>
      <c r="F994" s="358" t="s">
        <v>7</v>
      </c>
      <c r="G994" s="358" t="s">
        <v>11</v>
      </c>
      <c r="H994" s="358" t="s">
        <v>11</v>
      </c>
    </row>
    <row r="995" spans="1:8" x14ac:dyDescent="0.3">
      <c r="A995" t="s">
        <v>27</v>
      </c>
      <c r="B995" t="s">
        <v>91</v>
      </c>
      <c r="C995" t="s">
        <v>2009</v>
      </c>
      <c r="D995">
        <v>1</v>
      </c>
      <c r="E995" s="358">
        <v>4</v>
      </c>
      <c r="F995" s="358" t="s">
        <v>7</v>
      </c>
      <c r="G995" s="358" t="s">
        <v>11</v>
      </c>
      <c r="H995" s="358" t="s">
        <v>11</v>
      </c>
    </row>
    <row r="996" spans="1:8" x14ac:dyDescent="0.3">
      <c r="A996" t="s">
        <v>28</v>
      </c>
      <c r="B996" t="s">
        <v>109</v>
      </c>
      <c r="C996" t="s">
        <v>1898</v>
      </c>
      <c r="D996">
        <v>1</v>
      </c>
      <c r="E996" s="358">
        <v>4</v>
      </c>
      <c r="F996" s="358" t="s">
        <v>7</v>
      </c>
      <c r="G996" s="358" t="s">
        <v>11</v>
      </c>
      <c r="H996" s="358" t="s">
        <v>11</v>
      </c>
    </row>
    <row r="997" spans="1:8" x14ac:dyDescent="0.3">
      <c r="A997" t="s">
        <v>28</v>
      </c>
      <c r="B997" t="s">
        <v>109</v>
      </c>
      <c r="C997" t="s">
        <v>1857</v>
      </c>
      <c r="D997">
        <v>1</v>
      </c>
      <c r="E997" s="358">
        <v>4</v>
      </c>
      <c r="F997" s="358" t="s">
        <v>7</v>
      </c>
      <c r="G997" s="358" t="s">
        <v>11</v>
      </c>
      <c r="H997" s="358" t="s">
        <v>11</v>
      </c>
    </row>
    <row r="998" spans="1:8" x14ac:dyDescent="0.3">
      <c r="A998" t="s">
        <v>28</v>
      </c>
      <c r="B998" t="s">
        <v>109</v>
      </c>
      <c r="C998" t="s">
        <v>1943</v>
      </c>
      <c r="D998">
        <v>2</v>
      </c>
      <c r="E998" s="358">
        <v>4</v>
      </c>
      <c r="F998" s="358" t="s">
        <v>7</v>
      </c>
      <c r="G998" s="358" t="s">
        <v>11</v>
      </c>
      <c r="H998" s="358" t="s">
        <v>11</v>
      </c>
    </row>
    <row r="999" spans="1:8" x14ac:dyDescent="0.3">
      <c r="A999" t="s">
        <v>28</v>
      </c>
      <c r="B999" t="s">
        <v>109</v>
      </c>
      <c r="C999" t="s">
        <v>2010</v>
      </c>
      <c r="D999">
        <v>3</v>
      </c>
      <c r="E999" s="358">
        <v>4</v>
      </c>
      <c r="F999" s="358" t="s">
        <v>7</v>
      </c>
      <c r="G999" s="358" t="s">
        <v>11</v>
      </c>
      <c r="H999" s="358" t="s">
        <v>11</v>
      </c>
    </row>
    <row r="1000" spans="1:8" x14ac:dyDescent="0.3">
      <c r="A1000" t="s">
        <v>28</v>
      </c>
      <c r="B1000" t="s">
        <v>109</v>
      </c>
      <c r="C1000" t="s">
        <v>2011</v>
      </c>
      <c r="D1000">
        <v>1</v>
      </c>
      <c r="E1000" s="358">
        <v>4</v>
      </c>
      <c r="F1000" s="358" t="s">
        <v>7</v>
      </c>
      <c r="G1000" s="358" t="s">
        <v>11</v>
      </c>
      <c r="H1000" s="358" t="s">
        <v>11</v>
      </c>
    </row>
    <row r="1001" spans="1:8" x14ac:dyDescent="0.3">
      <c r="A1001" t="s">
        <v>28</v>
      </c>
      <c r="B1001" t="s">
        <v>109</v>
      </c>
      <c r="C1001" t="s">
        <v>2012</v>
      </c>
      <c r="D1001">
        <v>2</v>
      </c>
      <c r="E1001" s="358">
        <v>4</v>
      </c>
      <c r="F1001" s="358" t="s">
        <v>7</v>
      </c>
      <c r="G1001" s="358" t="s">
        <v>11</v>
      </c>
      <c r="H1001" s="358" t="s">
        <v>11</v>
      </c>
    </row>
    <row r="1002" spans="1:8" x14ac:dyDescent="0.3">
      <c r="A1002" t="s">
        <v>28</v>
      </c>
      <c r="B1002" t="s">
        <v>109</v>
      </c>
      <c r="C1002" t="s">
        <v>2013</v>
      </c>
      <c r="D1002">
        <v>2</v>
      </c>
      <c r="E1002" s="358">
        <v>4</v>
      </c>
      <c r="F1002" s="358" t="s">
        <v>7</v>
      </c>
      <c r="G1002" s="358" t="s">
        <v>11</v>
      </c>
      <c r="H1002" s="358" t="s">
        <v>11</v>
      </c>
    </row>
    <row r="1003" spans="1:8" x14ac:dyDescent="0.3">
      <c r="A1003" t="s">
        <v>28</v>
      </c>
      <c r="B1003" t="s">
        <v>109</v>
      </c>
      <c r="C1003" t="s">
        <v>1431</v>
      </c>
      <c r="D1003">
        <v>2</v>
      </c>
      <c r="E1003" s="358">
        <v>4</v>
      </c>
      <c r="F1003" s="358" t="s">
        <v>7</v>
      </c>
      <c r="G1003" s="358" t="s">
        <v>11</v>
      </c>
      <c r="H1003" s="358" t="s">
        <v>11</v>
      </c>
    </row>
    <row r="1004" spans="1:8" x14ac:dyDescent="0.3">
      <c r="A1004" t="s">
        <v>28</v>
      </c>
      <c r="B1004" t="s">
        <v>109</v>
      </c>
      <c r="C1004" t="s">
        <v>1947</v>
      </c>
      <c r="D1004">
        <v>1</v>
      </c>
      <c r="E1004" s="358">
        <v>4</v>
      </c>
      <c r="F1004" s="358" t="s">
        <v>7</v>
      </c>
      <c r="G1004" s="358" t="s">
        <v>11</v>
      </c>
      <c r="H1004" s="358" t="s">
        <v>11</v>
      </c>
    </row>
    <row r="1005" spans="1:8" x14ac:dyDescent="0.3">
      <c r="A1005" t="s">
        <v>28</v>
      </c>
      <c r="B1005" t="s">
        <v>109</v>
      </c>
      <c r="C1005" t="s">
        <v>2014</v>
      </c>
      <c r="D1005">
        <v>2</v>
      </c>
      <c r="E1005" s="358">
        <v>4</v>
      </c>
      <c r="F1005" s="358" t="s">
        <v>7</v>
      </c>
      <c r="G1005" s="358" t="s">
        <v>11</v>
      </c>
      <c r="H1005" s="358" t="s">
        <v>11</v>
      </c>
    </row>
    <row r="1006" spans="1:8" x14ac:dyDescent="0.3">
      <c r="A1006" t="s">
        <v>28</v>
      </c>
      <c r="B1006" t="s">
        <v>109</v>
      </c>
      <c r="C1006" t="s">
        <v>2015</v>
      </c>
      <c r="D1006">
        <v>1</v>
      </c>
      <c r="E1006" s="358">
        <v>4</v>
      </c>
      <c r="F1006" s="358" t="s">
        <v>7</v>
      </c>
      <c r="G1006" s="358" t="s">
        <v>11</v>
      </c>
      <c r="H1006" s="358" t="s">
        <v>11</v>
      </c>
    </row>
    <row r="1007" spans="1:8" x14ac:dyDescent="0.3">
      <c r="A1007" t="s">
        <v>28</v>
      </c>
      <c r="B1007" t="s">
        <v>109</v>
      </c>
      <c r="C1007" t="s">
        <v>2016</v>
      </c>
      <c r="D1007">
        <v>2</v>
      </c>
      <c r="E1007" s="358">
        <v>4</v>
      </c>
      <c r="F1007" s="358" t="s">
        <v>7</v>
      </c>
      <c r="G1007" s="358" t="s">
        <v>11</v>
      </c>
      <c r="H1007" s="358" t="s">
        <v>11</v>
      </c>
    </row>
    <row r="1008" spans="1:8" x14ac:dyDescent="0.3">
      <c r="A1008" t="s">
        <v>28</v>
      </c>
      <c r="B1008" t="s">
        <v>109</v>
      </c>
      <c r="C1008" t="s">
        <v>2017</v>
      </c>
      <c r="D1008">
        <v>2</v>
      </c>
      <c r="E1008" s="358">
        <v>4</v>
      </c>
      <c r="F1008" s="358" t="s">
        <v>7</v>
      </c>
      <c r="G1008" s="358" t="s">
        <v>11</v>
      </c>
      <c r="H1008" s="358" t="s">
        <v>11</v>
      </c>
    </row>
    <row r="1009" spans="1:8" x14ac:dyDescent="0.3">
      <c r="A1009" t="s">
        <v>28</v>
      </c>
      <c r="B1009" t="s">
        <v>109</v>
      </c>
      <c r="C1009" t="s">
        <v>2018</v>
      </c>
      <c r="D1009">
        <v>2</v>
      </c>
      <c r="E1009" s="358">
        <v>4</v>
      </c>
      <c r="F1009" s="358" t="s">
        <v>7</v>
      </c>
      <c r="G1009" s="358" t="s">
        <v>11</v>
      </c>
      <c r="H1009" s="358" t="s">
        <v>11</v>
      </c>
    </row>
    <row r="1010" spans="1:8" x14ac:dyDescent="0.3">
      <c r="A1010" t="s">
        <v>28</v>
      </c>
      <c r="B1010" t="s">
        <v>109</v>
      </c>
      <c r="C1010" t="s">
        <v>2019</v>
      </c>
      <c r="D1010">
        <v>1</v>
      </c>
      <c r="E1010" s="358">
        <v>4</v>
      </c>
      <c r="F1010" s="358" t="s">
        <v>7</v>
      </c>
      <c r="G1010" s="358" t="s">
        <v>11</v>
      </c>
      <c r="H1010" s="358" t="s">
        <v>11</v>
      </c>
    </row>
    <row r="1011" spans="1:8" x14ac:dyDescent="0.3">
      <c r="A1011" t="s">
        <v>28</v>
      </c>
      <c r="B1011" t="s">
        <v>109</v>
      </c>
      <c r="C1011" t="s">
        <v>1321</v>
      </c>
      <c r="D1011">
        <v>2</v>
      </c>
      <c r="E1011" s="358">
        <v>4</v>
      </c>
      <c r="F1011" s="358" t="s">
        <v>7</v>
      </c>
      <c r="G1011" s="358" t="s">
        <v>11</v>
      </c>
      <c r="H1011" s="358" t="s">
        <v>11</v>
      </c>
    </row>
    <row r="1012" spans="1:8" x14ac:dyDescent="0.3">
      <c r="A1012" t="s">
        <v>28</v>
      </c>
      <c r="B1012" t="s">
        <v>109</v>
      </c>
      <c r="C1012" t="s">
        <v>2020</v>
      </c>
      <c r="D1012">
        <v>2</v>
      </c>
      <c r="E1012" s="358">
        <v>4</v>
      </c>
      <c r="F1012" s="358" t="s">
        <v>7</v>
      </c>
      <c r="G1012" s="358" t="s">
        <v>11</v>
      </c>
      <c r="H1012" s="358" t="s">
        <v>11</v>
      </c>
    </row>
    <row r="1013" spans="1:8" x14ac:dyDescent="0.3">
      <c r="A1013" t="s">
        <v>28</v>
      </c>
      <c r="B1013" t="s">
        <v>109</v>
      </c>
      <c r="C1013" t="s">
        <v>2021</v>
      </c>
      <c r="D1013">
        <v>3</v>
      </c>
      <c r="E1013" s="358">
        <v>4</v>
      </c>
      <c r="F1013" s="358" t="s">
        <v>7</v>
      </c>
      <c r="G1013" s="358" t="s">
        <v>11</v>
      </c>
      <c r="H1013" s="358" t="s">
        <v>11</v>
      </c>
    </row>
    <row r="1014" spans="1:8" x14ac:dyDescent="0.3">
      <c r="A1014" t="s">
        <v>28</v>
      </c>
      <c r="B1014" t="s">
        <v>109</v>
      </c>
      <c r="C1014" t="s">
        <v>2022</v>
      </c>
      <c r="D1014">
        <v>2</v>
      </c>
      <c r="E1014" s="358">
        <v>4</v>
      </c>
      <c r="F1014" s="358" t="s">
        <v>7</v>
      </c>
      <c r="G1014" s="358" t="s">
        <v>11</v>
      </c>
      <c r="H1014" s="358" t="s">
        <v>11</v>
      </c>
    </row>
    <row r="1015" spans="1:8" x14ac:dyDescent="0.3">
      <c r="A1015" t="s">
        <v>28</v>
      </c>
      <c r="B1015" t="s">
        <v>109</v>
      </c>
      <c r="C1015" t="s">
        <v>2023</v>
      </c>
      <c r="D1015">
        <v>3</v>
      </c>
      <c r="E1015" s="358">
        <v>4</v>
      </c>
      <c r="F1015" s="358" t="s">
        <v>7</v>
      </c>
      <c r="G1015" s="358" t="s">
        <v>11</v>
      </c>
      <c r="H1015" s="358" t="s">
        <v>11</v>
      </c>
    </row>
    <row r="1016" spans="1:8" x14ac:dyDescent="0.3">
      <c r="A1016" t="s">
        <v>28</v>
      </c>
      <c r="B1016" t="s">
        <v>109</v>
      </c>
      <c r="C1016" t="s">
        <v>1433</v>
      </c>
      <c r="D1016">
        <v>2</v>
      </c>
      <c r="E1016" s="358">
        <v>4</v>
      </c>
      <c r="F1016" s="358" t="s">
        <v>7</v>
      </c>
      <c r="G1016" s="358" t="s">
        <v>11</v>
      </c>
      <c r="H1016" s="358" t="s">
        <v>11</v>
      </c>
    </row>
    <row r="1017" spans="1:8" x14ac:dyDescent="0.3">
      <c r="A1017" t="s">
        <v>28</v>
      </c>
      <c r="B1017" t="s">
        <v>109</v>
      </c>
      <c r="C1017" t="s">
        <v>2024</v>
      </c>
      <c r="D1017">
        <v>2</v>
      </c>
      <c r="E1017" s="358">
        <v>4</v>
      </c>
      <c r="F1017" s="358" t="s">
        <v>7</v>
      </c>
      <c r="G1017" s="358" t="s">
        <v>11</v>
      </c>
      <c r="H1017" s="358" t="s">
        <v>11</v>
      </c>
    </row>
    <row r="1018" spans="1:8" x14ac:dyDescent="0.3">
      <c r="A1018" t="s">
        <v>28</v>
      </c>
      <c r="B1018" t="s">
        <v>109</v>
      </c>
      <c r="C1018" t="s">
        <v>2025</v>
      </c>
      <c r="D1018">
        <v>1</v>
      </c>
      <c r="E1018" s="358">
        <v>4</v>
      </c>
      <c r="F1018" s="358" t="s">
        <v>7</v>
      </c>
      <c r="G1018" s="358" t="s">
        <v>11</v>
      </c>
      <c r="H1018" s="358" t="s">
        <v>11</v>
      </c>
    </row>
    <row r="1019" spans="1:8" x14ac:dyDescent="0.3">
      <c r="A1019" t="s">
        <v>28</v>
      </c>
      <c r="B1019" t="s">
        <v>109</v>
      </c>
      <c r="C1019" t="s">
        <v>1809</v>
      </c>
      <c r="D1019">
        <v>2</v>
      </c>
      <c r="E1019" s="358">
        <v>4</v>
      </c>
      <c r="F1019" s="358" t="s">
        <v>7</v>
      </c>
      <c r="G1019" s="358" t="s">
        <v>11</v>
      </c>
      <c r="H1019" s="358" t="s">
        <v>11</v>
      </c>
    </row>
    <row r="1020" spans="1:8" x14ac:dyDescent="0.3">
      <c r="A1020" t="s">
        <v>28</v>
      </c>
      <c r="B1020" t="s">
        <v>109</v>
      </c>
      <c r="C1020" t="s">
        <v>1435</v>
      </c>
      <c r="D1020">
        <v>1</v>
      </c>
      <c r="E1020" s="358">
        <v>4</v>
      </c>
      <c r="F1020" s="358" t="s">
        <v>7</v>
      </c>
      <c r="G1020" s="358" t="s">
        <v>11</v>
      </c>
      <c r="H1020" s="358" t="s">
        <v>11</v>
      </c>
    </row>
    <row r="1021" spans="1:8" x14ac:dyDescent="0.3">
      <c r="A1021" t="s">
        <v>28</v>
      </c>
      <c r="B1021" t="s">
        <v>109</v>
      </c>
      <c r="C1021" t="s">
        <v>1328</v>
      </c>
      <c r="D1021">
        <v>2</v>
      </c>
      <c r="E1021" s="358">
        <v>4</v>
      </c>
      <c r="F1021" s="358" t="s">
        <v>7</v>
      </c>
      <c r="G1021" s="358" t="s">
        <v>11</v>
      </c>
      <c r="H1021" s="358" t="s">
        <v>11</v>
      </c>
    </row>
    <row r="1022" spans="1:8" x14ac:dyDescent="0.3">
      <c r="A1022" t="s">
        <v>28</v>
      </c>
      <c r="B1022" t="s">
        <v>109</v>
      </c>
      <c r="C1022" t="s">
        <v>1810</v>
      </c>
      <c r="D1022">
        <v>2</v>
      </c>
      <c r="E1022" s="358">
        <v>4</v>
      </c>
      <c r="F1022" s="358" t="s">
        <v>7</v>
      </c>
      <c r="G1022" s="358" t="s">
        <v>11</v>
      </c>
      <c r="H1022" s="358" t="s">
        <v>11</v>
      </c>
    </row>
    <row r="1023" spans="1:8" x14ac:dyDescent="0.3">
      <c r="A1023" t="s">
        <v>28</v>
      </c>
      <c r="B1023" t="s">
        <v>109</v>
      </c>
      <c r="C1023" t="s">
        <v>1441</v>
      </c>
      <c r="D1023">
        <v>2</v>
      </c>
      <c r="E1023" s="358">
        <v>4</v>
      </c>
      <c r="F1023" s="358" t="s">
        <v>7</v>
      </c>
      <c r="G1023" s="358" t="s">
        <v>11</v>
      </c>
      <c r="H1023" s="358" t="s">
        <v>11</v>
      </c>
    </row>
    <row r="1024" spans="1:8" x14ac:dyDescent="0.3">
      <c r="A1024" t="s">
        <v>28</v>
      </c>
      <c r="B1024" t="s">
        <v>109</v>
      </c>
      <c r="C1024" t="s">
        <v>1812</v>
      </c>
      <c r="D1024">
        <v>1</v>
      </c>
      <c r="E1024" s="358">
        <v>4</v>
      </c>
      <c r="F1024" s="358" t="s">
        <v>7</v>
      </c>
      <c r="G1024" s="358" t="s">
        <v>11</v>
      </c>
      <c r="H1024" s="358" t="s">
        <v>11</v>
      </c>
    </row>
    <row r="1025" spans="1:8" x14ac:dyDescent="0.3">
      <c r="A1025" t="s">
        <v>28</v>
      </c>
      <c r="B1025" t="s">
        <v>109</v>
      </c>
      <c r="C1025" t="s">
        <v>1860</v>
      </c>
      <c r="D1025">
        <v>2</v>
      </c>
      <c r="E1025" s="358">
        <v>4</v>
      </c>
      <c r="F1025" s="358" t="s">
        <v>7</v>
      </c>
      <c r="G1025" s="358" t="s">
        <v>11</v>
      </c>
      <c r="H1025" s="358" t="s">
        <v>11</v>
      </c>
    </row>
    <row r="1026" spans="1:8" x14ac:dyDescent="0.3">
      <c r="A1026" t="s">
        <v>28</v>
      </c>
      <c r="B1026" t="s">
        <v>109</v>
      </c>
      <c r="C1026" t="s">
        <v>2026</v>
      </c>
      <c r="D1026">
        <v>2</v>
      </c>
      <c r="E1026" s="358">
        <v>4</v>
      </c>
      <c r="F1026" s="358" t="s">
        <v>7</v>
      </c>
      <c r="G1026" s="358" t="s">
        <v>11</v>
      </c>
      <c r="H1026" s="358" t="s">
        <v>11</v>
      </c>
    </row>
    <row r="1027" spans="1:8" x14ac:dyDescent="0.3">
      <c r="A1027" t="s">
        <v>28</v>
      </c>
      <c r="B1027" t="s">
        <v>109</v>
      </c>
      <c r="C1027" t="s">
        <v>2027</v>
      </c>
      <c r="D1027">
        <v>2</v>
      </c>
      <c r="E1027" s="358">
        <v>4</v>
      </c>
      <c r="F1027" s="358" t="s">
        <v>7</v>
      </c>
      <c r="G1027" s="358" t="s">
        <v>11</v>
      </c>
      <c r="H1027" s="358" t="s">
        <v>11</v>
      </c>
    </row>
    <row r="1028" spans="1:8" x14ac:dyDescent="0.3">
      <c r="A1028" t="s">
        <v>28</v>
      </c>
      <c r="B1028" t="s">
        <v>109</v>
      </c>
      <c r="C1028" t="s">
        <v>2028</v>
      </c>
      <c r="D1028">
        <v>2</v>
      </c>
      <c r="E1028" s="358">
        <v>4</v>
      </c>
      <c r="F1028" s="358" t="s">
        <v>7</v>
      </c>
      <c r="G1028" s="358" t="s">
        <v>11</v>
      </c>
      <c r="H1028" s="358" t="s">
        <v>11</v>
      </c>
    </row>
    <row r="1029" spans="1:8" x14ac:dyDescent="0.3">
      <c r="A1029" t="s">
        <v>28</v>
      </c>
      <c r="B1029" t="s">
        <v>109</v>
      </c>
      <c r="C1029" t="s">
        <v>1343</v>
      </c>
      <c r="D1029">
        <v>1</v>
      </c>
      <c r="E1029" s="358">
        <v>4</v>
      </c>
      <c r="F1029" s="358" t="s">
        <v>7</v>
      </c>
      <c r="G1029" s="358" t="s">
        <v>11</v>
      </c>
      <c r="H1029" s="358" t="s">
        <v>11</v>
      </c>
    </row>
    <row r="1030" spans="1:8" x14ac:dyDescent="0.3">
      <c r="A1030" t="s">
        <v>28</v>
      </c>
      <c r="B1030" t="s">
        <v>109</v>
      </c>
      <c r="C1030" t="s">
        <v>2029</v>
      </c>
      <c r="D1030">
        <v>2</v>
      </c>
      <c r="E1030" s="358">
        <v>4</v>
      </c>
      <c r="F1030" s="358" t="s">
        <v>7</v>
      </c>
      <c r="G1030" s="358" t="s">
        <v>11</v>
      </c>
      <c r="H1030" s="358" t="s">
        <v>11</v>
      </c>
    </row>
    <row r="1031" spans="1:8" x14ac:dyDescent="0.3">
      <c r="A1031" t="s">
        <v>28</v>
      </c>
      <c r="B1031" t="s">
        <v>109</v>
      </c>
      <c r="C1031" t="s">
        <v>1698</v>
      </c>
      <c r="D1031">
        <v>2</v>
      </c>
      <c r="E1031" s="358">
        <v>4</v>
      </c>
      <c r="F1031" s="358" t="s">
        <v>7</v>
      </c>
      <c r="G1031" s="358" t="s">
        <v>11</v>
      </c>
      <c r="H1031" s="358" t="s">
        <v>11</v>
      </c>
    </row>
    <row r="1032" spans="1:8" x14ac:dyDescent="0.3">
      <c r="A1032" t="s">
        <v>28</v>
      </c>
      <c r="B1032" t="s">
        <v>109</v>
      </c>
      <c r="C1032" t="s">
        <v>1344</v>
      </c>
      <c r="D1032">
        <v>1</v>
      </c>
      <c r="E1032" s="358">
        <v>4</v>
      </c>
      <c r="F1032" s="358" t="s">
        <v>7</v>
      </c>
      <c r="G1032" s="358" t="s">
        <v>11</v>
      </c>
      <c r="H1032" s="358" t="s">
        <v>11</v>
      </c>
    </row>
    <row r="1033" spans="1:8" x14ac:dyDescent="0.3">
      <c r="A1033" t="s">
        <v>28</v>
      </c>
      <c r="B1033" t="s">
        <v>109</v>
      </c>
      <c r="C1033" t="s">
        <v>1446</v>
      </c>
      <c r="D1033">
        <v>3</v>
      </c>
      <c r="E1033" s="358">
        <v>4</v>
      </c>
      <c r="F1033" s="358" t="s">
        <v>7</v>
      </c>
      <c r="G1033" s="358" t="s">
        <v>11</v>
      </c>
      <c r="H1033" s="358" t="s">
        <v>11</v>
      </c>
    </row>
    <row r="1034" spans="1:8" x14ac:dyDescent="0.3">
      <c r="A1034" t="s">
        <v>28</v>
      </c>
      <c r="B1034" t="s">
        <v>109</v>
      </c>
      <c r="C1034" t="s">
        <v>1818</v>
      </c>
      <c r="D1034">
        <v>2</v>
      </c>
      <c r="E1034" s="358">
        <v>4</v>
      </c>
      <c r="F1034" s="358" t="s">
        <v>7</v>
      </c>
      <c r="G1034" s="358" t="s">
        <v>11</v>
      </c>
      <c r="H1034" s="358" t="s">
        <v>11</v>
      </c>
    </row>
    <row r="1035" spans="1:8" x14ac:dyDescent="0.3">
      <c r="A1035" t="s">
        <v>28</v>
      </c>
      <c r="B1035" t="s">
        <v>109</v>
      </c>
      <c r="C1035" t="s">
        <v>2030</v>
      </c>
      <c r="D1035">
        <v>2</v>
      </c>
      <c r="E1035" s="358">
        <v>4</v>
      </c>
      <c r="F1035" s="358" t="s">
        <v>7</v>
      </c>
      <c r="G1035" s="358" t="s">
        <v>11</v>
      </c>
      <c r="H1035" s="358" t="s">
        <v>11</v>
      </c>
    </row>
    <row r="1036" spans="1:8" x14ac:dyDescent="0.3">
      <c r="A1036" t="s">
        <v>28</v>
      </c>
      <c r="B1036" t="s">
        <v>109</v>
      </c>
      <c r="C1036" t="s">
        <v>1448</v>
      </c>
      <c r="D1036">
        <v>2</v>
      </c>
      <c r="E1036" s="358">
        <v>4</v>
      </c>
      <c r="F1036" s="358" t="s">
        <v>7</v>
      </c>
      <c r="G1036" s="358" t="s">
        <v>11</v>
      </c>
      <c r="H1036" s="358" t="s">
        <v>11</v>
      </c>
    </row>
    <row r="1037" spans="1:8" x14ac:dyDescent="0.3">
      <c r="A1037" t="s">
        <v>28</v>
      </c>
      <c r="B1037" t="s">
        <v>109</v>
      </c>
      <c r="C1037" t="s">
        <v>2031</v>
      </c>
      <c r="D1037">
        <v>3</v>
      </c>
      <c r="E1037" s="358">
        <v>4</v>
      </c>
      <c r="F1037" s="358" t="s">
        <v>7</v>
      </c>
      <c r="G1037" s="358" t="s">
        <v>11</v>
      </c>
      <c r="H1037" s="358" t="s">
        <v>11</v>
      </c>
    </row>
    <row r="1038" spans="1:8" x14ac:dyDescent="0.3">
      <c r="A1038" t="s">
        <v>28</v>
      </c>
      <c r="B1038" t="s">
        <v>109</v>
      </c>
      <c r="C1038" t="s">
        <v>2032</v>
      </c>
      <c r="D1038">
        <v>2</v>
      </c>
      <c r="E1038" s="358">
        <v>4</v>
      </c>
      <c r="F1038" s="358" t="s">
        <v>7</v>
      </c>
      <c r="G1038" s="358" t="s">
        <v>11</v>
      </c>
      <c r="H1038" s="358" t="s">
        <v>11</v>
      </c>
    </row>
    <row r="1039" spans="1:8" x14ac:dyDescent="0.3">
      <c r="A1039" t="s">
        <v>28</v>
      </c>
      <c r="B1039" t="s">
        <v>109</v>
      </c>
      <c r="C1039" t="s">
        <v>2033</v>
      </c>
      <c r="D1039">
        <v>1</v>
      </c>
      <c r="E1039" s="358">
        <v>4</v>
      </c>
      <c r="F1039" s="358" t="s">
        <v>7</v>
      </c>
      <c r="G1039" s="358" t="s">
        <v>11</v>
      </c>
      <c r="H1039" s="358" t="s">
        <v>11</v>
      </c>
    </row>
    <row r="1040" spans="1:8" x14ac:dyDescent="0.3">
      <c r="A1040" t="s">
        <v>28</v>
      </c>
      <c r="B1040" t="s">
        <v>109</v>
      </c>
      <c r="C1040" t="s">
        <v>2034</v>
      </c>
      <c r="D1040">
        <v>2</v>
      </c>
      <c r="E1040" s="358">
        <v>4</v>
      </c>
      <c r="F1040" s="358" t="s">
        <v>7</v>
      </c>
      <c r="G1040" s="358" t="s">
        <v>11</v>
      </c>
      <c r="H1040" s="358" t="s">
        <v>11</v>
      </c>
    </row>
    <row r="1041" spans="1:8" x14ac:dyDescent="0.3">
      <c r="A1041" t="s">
        <v>28</v>
      </c>
      <c r="B1041" t="s">
        <v>109</v>
      </c>
      <c r="C1041" t="s">
        <v>1708</v>
      </c>
      <c r="D1041">
        <v>2</v>
      </c>
      <c r="E1041" s="358">
        <v>4</v>
      </c>
      <c r="F1041" s="358" t="s">
        <v>7</v>
      </c>
      <c r="G1041" s="358" t="s">
        <v>11</v>
      </c>
      <c r="H1041" s="358" t="s">
        <v>11</v>
      </c>
    </row>
    <row r="1042" spans="1:8" x14ac:dyDescent="0.3">
      <c r="A1042" t="s">
        <v>28</v>
      </c>
      <c r="B1042" t="s">
        <v>109</v>
      </c>
      <c r="C1042" t="s">
        <v>1820</v>
      </c>
      <c r="D1042">
        <v>2</v>
      </c>
      <c r="E1042" s="358">
        <v>4</v>
      </c>
      <c r="F1042" s="358" t="s">
        <v>7</v>
      </c>
      <c r="G1042" s="358" t="s">
        <v>11</v>
      </c>
      <c r="H1042" s="358" t="s">
        <v>11</v>
      </c>
    </row>
    <row r="1043" spans="1:8" x14ac:dyDescent="0.3">
      <c r="A1043" t="s">
        <v>28</v>
      </c>
      <c r="B1043" t="s">
        <v>109</v>
      </c>
      <c r="C1043" t="s">
        <v>2035</v>
      </c>
      <c r="D1043">
        <v>2</v>
      </c>
      <c r="E1043" s="358">
        <v>4</v>
      </c>
      <c r="F1043" s="358" t="s">
        <v>7</v>
      </c>
      <c r="G1043" s="358" t="s">
        <v>11</v>
      </c>
      <c r="H1043" s="358" t="s">
        <v>11</v>
      </c>
    </row>
    <row r="1044" spans="1:8" x14ac:dyDescent="0.3">
      <c r="A1044" t="s">
        <v>28</v>
      </c>
      <c r="B1044" t="s">
        <v>109</v>
      </c>
      <c r="C1044" t="s">
        <v>1867</v>
      </c>
      <c r="D1044">
        <v>1</v>
      </c>
      <c r="E1044" s="358">
        <v>4</v>
      </c>
      <c r="F1044" s="358" t="s">
        <v>7</v>
      </c>
      <c r="G1044" s="358" t="s">
        <v>11</v>
      </c>
      <c r="H1044" s="358" t="s">
        <v>11</v>
      </c>
    </row>
    <row r="1045" spans="1:8" x14ac:dyDescent="0.3">
      <c r="A1045" t="s">
        <v>28</v>
      </c>
      <c r="B1045" t="s">
        <v>109</v>
      </c>
      <c r="C1045" t="s">
        <v>1711</v>
      </c>
      <c r="D1045">
        <v>1</v>
      </c>
      <c r="E1045" s="358">
        <v>4</v>
      </c>
      <c r="F1045" s="358" t="s">
        <v>7</v>
      </c>
      <c r="G1045" s="358" t="s">
        <v>11</v>
      </c>
      <c r="H1045" s="358" t="s">
        <v>11</v>
      </c>
    </row>
    <row r="1046" spans="1:8" x14ac:dyDescent="0.3">
      <c r="A1046" t="s">
        <v>28</v>
      </c>
      <c r="B1046" t="s">
        <v>109</v>
      </c>
      <c r="C1046" t="s">
        <v>1821</v>
      </c>
      <c r="D1046">
        <v>2</v>
      </c>
      <c r="E1046" s="358">
        <v>4</v>
      </c>
      <c r="F1046" s="358" t="s">
        <v>7</v>
      </c>
      <c r="G1046" s="358" t="s">
        <v>11</v>
      </c>
      <c r="H1046" s="358" t="s">
        <v>11</v>
      </c>
    </row>
    <row r="1047" spans="1:8" x14ac:dyDescent="0.3">
      <c r="A1047" t="s">
        <v>28</v>
      </c>
      <c r="B1047" t="s">
        <v>109</v>
      </c>
      <c r="C1047" t="s">
        <v>1348</v>
      </c>
      <c r="D1047">
        <v>2</v>
      </c>
      <c r="E1047" s="358">
        <v>4</v>
      </c>
      <c r="F1047" s="358" t="s">
        <v>7</v>
      </c>
      <c r="G1047" s="358" t="s">
        <v>11</v>
      </c>
      <c r="H1047" s="358" t="s">
        <v>11</v>
      </c>
    </row>
    <row r="1048" spans="1:8" x14ac:dyDescent="0.3">
      <c r="A1048" t="s">
        <v>28</v>
      </c>
      <c r="B1048" t="s">
        <v>109</v>
      </c>
      <c r="C1048" t="s">
        <v>2036</v>
      </c>
      <c r="D1048">
        <v>3</v>
      </c>
      <c r="E1048" s="358">
        <v>4</v>
      </c>
      <c r="F1048" s="358" t="s">
        <v>7</v>
      </c>
      <c r="G1048" s="358" t="s">
        <v>11</v>
      </c>
      <c r="H1048" s="358" t="s">
        <v>11</v>
      </c>
    </row>
    <row r="1049" spans="1:8" x14ac:dyDescent="0.3">
      <c r="A1049" t="s">
        <v>28</v>
      </c>
      <c r="B1049" t="s">
        <v>109</v>
      </c>
      <c r="C1049" t="s">
        <v>2037</v>
      </c>
      <c r="D1049">
        <v>2</v>
      </c>
      <c r="E1049" s="358">
        <v>4</v>
      </c>
      <c r="F1049" s="358" t="s">
        <v>7</v>
      </c>
      <c r="G1049" s="358" t="s">
        <v>11</v>
      </c>
      <c r="H1049" s="358" t="s">
        <v>11</v>
      </c>
    </row>
    <row r="1050" spans="1:8" x14ac:dyDescent="0.3">
      <c r="A1050" t="s">
        <v>28</v>
      </c>
      <c r="B1050" t="s">
        <v>109</v>
      </c>
      <c r="C1050" t="s">
        <v>1350</v>
      </c>
      <c r="D1050">
        <v>2</v>
      </c>
      <c r="E1050" s="358">
        <v>4</v>
      </c>
      <c r="F1050" s="358" t="s">
        <v>7</v>
      </c>
      <c r="G1050" s="358" t="s">
        <v>11</v>
      </c>
      <c r="H1050" s="358" t="s">
        <v>11</v>
      </c>
    </row>
    <row r="1051" spans="1:8" x14ac:dyDescent="0.3">
      <c r="A1051" t="s">
        <v>28</v>
      </c>
      <c r="B1051" t="s">
        <v>109</v>
      </c>
      <c r="C1051" t="s">
        <v>1351</v>
      </c>
      <c r="D1051">
        <v>1</v>
      </c>
      <c r="E1051" s="358">
        <v>4</v>
      </c>
      <c r="F1051" s="358" t="s">
        <v>7</v>
      </c>
      <c r="G1051" s="358" t="s">
        <v>11</v>
      </c>
      <c r="H1051" s="358" t="s">
        <v>11</v>
      </c>
    </row>
    <row r="1052" spans="1:8" x14ac:dyDescent="0.3">
      <c r="A1052" t="s">
        <v>28</v>
      </c>
      <c r="B1052" t="s">
        <v>109</v>
      </c>
      <c r="C1052" t="s">
        <v>2038</v>
      </c>
      <c r="D1052">
        <v>1</v>
      </c>
      <c r="E1052" s="358">
        <v>4</v>
      </c>
      <c r="F1052" s="358" t="s">
        <v>7</v>
      </c>
      <c r="G1052" s="358" t="s">
        <v>11</v>
      </c>
      <c r="H1052" s="358" t="s">
        <v>11</v>
      </c>
    </row>
    <row r="1053" spans="1:8" x14ac:dyDescent="0.3">
      <c r="A1053" t="s">
        <v>28</v>
      </c>
      <c r="B1053" t="s">
        <v>109</v>
      </c>
      <c r="C1053" t="s">
        <v>1454</v>
      </c>
      <c r="D1053">
        <v>2</v>
      </c>
      <c r="E1053" s="358">
        <v>4</v>
      </c>
      <c r="F1053" s="358" t="s">
        <v>7</v>
      </c>
      <c r="G1053" s="358" t="s">
        <v>11</v>
      </c>
      <c r="H1053" s="358" t="s">
        <v>11</v>
      </c>
    </row>
    <row r="1054" spans="1:8" x14ac:dyDescent="0.3">
      <c r="A1054" t="s">
        <v>28</v>
      </c>
      <c r="B1054" t="s">
        <v>109</v>
      </c>
      <c r="C1054" t="s">
        <v>2039</v>
      </c>
      <c r="D1054">
        <v>2</v>
      </c>
      <c r="E1054" s="358">
        <v>4</v>
      </c>
      <c r="F1054" s="358" t="s">
        <v>7</v>
      </c>
      <c r="G1054" s="358" t="s">
        <v>11</v>
      </c>
      <c r="H1054" s="358" t="s">
        <v>11</v>
      </c>
    </row>
    <row r="1055" spans="1:8" x14ac:dyDescent="0.3">
      <c r="A1055" t="s">
        <v>28</v>
      </c>
      <c r="B1055" t="s">
        <v>109</v>
      </c>
      <c r="C1055" t="s">
        <v>2040</v>
      </c>
      <c r="D1055">
        <v>2</v>
      </c>
      <c r="E1055" s="358">
        <v>4</v>
      </c>
      <c r="F1055" s="358" t="s">
        <v>7</v>
      </c>
      <c r="G1055" s="358" t="s">
        <v>11</v>
      </c>
      <c r="H1055" s="358" t="s">
        <v>11</v>
      </c>
    </row>
    <row r="1056" spans="1:8" x14ac:dyDescent="0.3">
      <c r="A1056" t="s">
        <v>28</v>
      </c>
      <c r="B1056" t="s">
        <v>109</v>
      </c>
      <c r="C1056" t="s">
        <v>1828</v>
      </c>
      <c r="D1056">
        <v>2</v>
      </c>
      <c r="E1056" s="358">
        <v>4</v>
      </c>
      <c r="F1056" s="358" t="s">
        <v>7</v>
      </c>
      <c r="G1056" s="358" t="s">
        <v>11</v>
      </c>
      <c r="H1056" s="358" t="s">
        <v>11</v>
      </c>
    </row>
    <row r="1057" spans="1:8" x14ac:dyDescent="0.3">
      <c r="A1057" t="s">
        <v>28</v>
      </c>
      <c r="B1057" t="s">
        <v>109</v>
      </c>
      <c r="C1057" t="s">
        <v>2041</v>
      </c>
      <c r="D1057">
        <v>2</v>
      </c>
      <c r="E1057" s="358">
        <v>4</v>
      </c>
      <c r="F1057" s="358" t="s">
        <v>7</v>
      </c>
      <c r="G1057" s="358" t="s">
        <v>11</v>
      </c>
      <c r="H1057" s="358" t="s">
        <v>11</v>
      </c>
    </row>
    <row r="1058" spans="1:8" x14ac:dyDescent="0.3">
      <c r="A1058" t="s">
        <v>28</v>
      </c>
      <c r="B1058" t="s">
        <v>109</v>
      </c>
      <c r="C1058" t="s">
        <v>2042</v>
      </c>
      <c r="D1058">
        <v>2</v>
      </c>
      <c r="E1058" s="358">
        <v>4</v>
      </c>
      <c r="F1058" s="358" t="s">
        <v>7</v>
      </c>
      <c r="G1058" s="358" t="s">
        <v>11</v>
      </c>
      <c r="H1058" s="358" t="s">
        <v>11</v>
      </c>
    </row>
    <row r="1059" spans="1:8" x14ac:dyDescent="0.3">
      <c r="A1059" t="s">
        <v>28</v>
      </c>
      <c r="B1059" t="s">
        <v>109</v>
      </c>
      <c r="C1059" t="s">
        <v>1354</v>
      </c>
      <c r="D1059">
        <v>2</v>
      </c>
      <c r="E1059" s="358">
        <v>4</v>
      </c>
      <c r="F1059" s="358" t="s">
        <v>7</v>
      </c>
      <c r="G1059" s="358" t="s">
        <v>11</v>
      </c>
      <c r="H1059" s="358" t="s">
        <v>11</v>
      </c>
    </row>
    <row r="1060" spans="1:8" x14ac:dyDescent="0.3">
      <c r="A1060" t="s">
        <v>28</v>
      </c>
      <c r="B1060" t="s">
        <v>109</v>
      </c>
      <c r="C1060" t="s">
        <v>1355</v>
      </c>
      <c r="D1060">
        <v>2</v>
      </c>
      <c r="E1060" s="358">
        <v>4</v>
      </c>
      <c r="F1060" s="358" t="s">
        <v>7</v>
      </c>
      <c r="G1060" s="358" t="s">
        <v>11</v>
      </c>
      <c r="H1060" s="358" t="s">
        <v>11</v>
      </c>
    </row>
    <row r="1061" spans="1:8" x14ac:dyDescent="0.3">
      <c r="A1061" t="s">
        <v>28</v>
      </c>
      <c r="B1061" t="s">
        <v>109</v>
      </c>
      <c r="C1061" t="s">
        <v>2043</v>
      </c>
      <c r="D1061">
        <v>2</v>
      </c>
      <c r="E1061" s="358">
        <v>4</v>
      </c>
      <c r="F1061" s="358" t="s">
        <v>7</v>
      </c>
      <c r="G1061" s="358" t="s">
        <v>11</v>
      </c>
      <c r="H1061" s="358" t="s">
        <v>11</v>
      </c>
    </row>
    <row r="1062" spans="1:8" x14ac:dyDescent="0.3">
      <c r="A1062" t="s">
        <v>28</v>
      </c>
      <c r="B1062" t="s">
        <v>109</v>
      </c>
      <c r="C1062" t="s">
        <v>2044</v>
      </c>
      <c r="D1062">
        <v>2</v>
      </c>
      <c r="E1062" s="358">
        <v>4</v>
      </c>
      <c r="F1062" s="358" t="s">
        <v>7</v>
      </c>
      <c r="G1062" s="358" t="s">
        <v>11</v>
      </c>
      <c r="H1062" s="358" t="s">
        <v>11</v>
      </c>
    </row>
    <row r="1063" spans="1:8" x14ac:dyDescent="0.3">
      <c r="A1063" t="s">
        <v>28</v>
      </c>
      <c r="B1063" t="s">
        <v>109</v>
      </c>
      <c r="C1063" t="s">
        <v>1792</v>
      </c>
      <c r="D1063">
        <v>2</v>
      </c>
      <c r="E1063" s="358">
        <v>4</v>
      </c>
      <c r="F1063" s="358" t="s">
        <v>7</v>
      </c>
      <c r="G1063" s="358" t="s">
        <v>11</v>
      </c>
      <c r="H1063" s="358" t="s">
        <v>11</v>
      </c>
    </row>
    <row r="1064" spans="1:8" x14ac:dyDescent="0.3">
      <c r="A1064" t="s">
        <v>28</v>
      </c>
      <c r="B1064" t="s">
        <v>109</v>
      </c>
      <c r="C1064" t="s">
        <v>1456</v>
      </c>
      <c r="D1064">
        <v>1</v>
      </c>
      <c r="E1064" s="358">
        <v>4</v>
      </c>
      <c r="F1064" s="358" t="s">
        <v>7</v>
      </c>
      <c r="G1064" s="358" t="s">
        <v>11</v>
      </c>
      <c r="H1064" s="358" t="s">
        <v>11</v>
      </c>
    </row>
    <row r="1065" spans="1:8" x14ac:dyDescent="0.3">
      <c r="A1065" t="s">
        <v>28</v>
      </c>
      <c r="B1065" t="s">
        <v>109</v>
      </c>
      <c r="C1065" t="s">
        <v>1830</v>
      </c>
      <c r="D1065">
        <v>2</v>
      </c>
      <c r="E1065" s="358">
        <v>4</v>
      </c>
      <c r="F1065" s="358" t="s">
        <v>7</v>
      </c>
      <c r="G1065" s="358" t="s">
        <v>11</v>
      </c>
      <c r="H1065" s="358" t="s">
        <v>11</v>
      </c>
    </row>
    <row r="1066" spans="1:8" x14ac:dyDescent="0.3">
      <c r="A1066" t="s">
        <v>28</v>
      </c>
      <c r="B1066" t="s">
        <v>109</v>
      </c>
      <c r="C1066" t="s">
        <v>1458</v>
      </c>
      <c r="D1066">
        <v>2</v>
      </c>
      <c r="E1066" s="358">
        <v>4</v>
      </c>
      <c r="F1066" s="358" t="s">
        <v>7</v>
      </c>
      <c r="G1066" s="358" t="s">
        <v>11</v>
      </c>
      <c r="H1066" s="358" t="s">
        <v>11</v>
      </c>
    </row>
    <row r="1067" spans="1:8" x14ac:dyDescent="0.3">
      <c r="A1067" t="s">
        <v>28</v>
      </c>
      <c r="B1067" t="s">
        <v>109</v>
      </c>
      <c r="C1067" t="s">
        <v>1922</v>
      </c>
      <c r="D1067">
        <v>2</v>
      </c>
      <c r="E1067" s="358">
        <v>4</v>
      </c>
      <c r="F1067" s="358" t="s">
        <v>7</v>
      </c>
      <c r="G1067" s="358" t="s">
        <v>11</v>
      </c>
      <c r="H1067" s="358" t="s">
        <v>11</v>
      </c>
    </row>
    <row r="1068" spans="1:8" x14ac:dyDescent="0.3">
      <c r="A1068" t="s">
        <v>28</v>
      </c>
      <c r="B1068" t="s">
        <v>109</v>
      </c>
      <c r="C1068" t="s">
        <v>1359</v>
      </c>
      <c r="D1068">
        <v>2</v>
      </c>
      <c r="E1068" s="358">
        <v>4</v>
      </c>
      <c r="F1068" s="358" t="s">
        <v>7</v>
      </c>
      <c r="G1068" s="358" t="s">
        <v>11</v>
      </c>
      <c r="H1068" s="358" t="s">
        <v>11</v>
      </c>
    </row>
    <row r="1069" spans="1:8" x14ac:dyDescent="0.3">
      <c r="A1069" t="s">
        <v>28</v>
      </c>
      <c r="B1069" t="s">
        <v>109</v>
      </c>
      <c r="C1069" t="s">
        <v>2045</v>
      </c>
      <c r="D1069">
        <v>2</v>
      </c>
      <c r="E1069" s="358">
        <v>4</v>
      </c>
      <c r="F1069" s="358" t="s">
        <v>7</v>
      </c>
      <c r="G1069" s="358" t="s">
        <v>11</v>
      </c>
      <c r="H1069" s="358" t="s">
        <v>11</v>
      </c>
    </row>
    <row r="1070" spans="1:8" x14ac:dyDescent="0.3">
      <c r="A1070" t="s">
        <v>28</v>
      </c>
      <c r="B1070" t="s">
        <v>109</v>
      </c>
      <c r="C1070" t="s">
        <v>1361</v>
      </c>
      <c r="D1070">
        <v>1</v>
      </c>
      <c r="E1070" s="358">
        <v>4</v>
      </c>
      <c r="F1070" s="358" t="s">
        <v>7</v>
      </c>
      <c r="G1070" s="358" t="s">
        <v>11</v>
      </c>
      <c r="H1070" s="358" t="s">
        <v>11</v>
      </c>
    </row>
    <row r="1071" spans="1:8" x14ac:dyDescent="0.3">
      <c r="A1071" t="s">
        <v>28</v>
      </c>
      <c r="B1071" t="s">
        <v>109</v>
      </c>
      <c r="C1071" t="s">
        <v>1362</v>
      </c>
      <c r="D1071">
        <v>3</v>
      </c>
      <c r="E1071" s="358">
        <v>4</v>
      </c>
      <c r="F1071" s="358" t="s">
        <v>7</v>
      </c>
      <c r="G1071" s="358" t="s">
        <v>11</v>
      </c>
      <c r="H1071" s="358" t="s">
        <v>11</v>
      </c>
    </row>
    <row r="1072" spans="1:8" x14ac:dyDescent="0.3">
      <c r="A1072" t="s">
        <v>28</v>
      </c>
      <c r="B1072" t="s">
        <v>109</v>
      </c>
      <c r="C1072" t="s">
        <v>1636</v>
      </c>
      <c r="D1072">
        <v>2</v>
      </c>
      <c r="E1072" s="358">
        <v>4</v>
      </c>
      <c r="F1072" s="358" t="s">
        <v>7</v>
      </c>
      <c r="G1072" s="358" t="s">
        <v>11</v>
      </c>
      <c r="H1072" s="358" t="s">
        <v>11</v>
      </c>
    </row>
    <row r="1073" spans="1:8" x14ac:dyDescent="0.3">
      <c r="A1073" t="s">
        <v>28</v>
      </c>
      <c r="B1073" t="s">
        <v>109</v>
      </c>
      <c r="C1073" t="s">
        <v>1832</v>
      </c>
      <c r="D1073">
        <v>2</v>
      </c>
      <c r="E1073" s="358">
        <v>4</v>
      </c>
      <c r="F1073" s="358" t="s">
        <v>7</v>
      </c>
      <c r="G1073" s="358" t="s">
        <v>11</v>
      </c>
      <c r="H1073" s="358" t="s">
        <v>11</v>
      </c>
    </row>
    <row r="1074" spans="1:8" x14ac:dyDescent="0.3">
      <c r="A1074" t="s">
        <v>28</v>
      </c>
      <c r="B1074" t="s">
        <v>109</v>
      </c>
      <c r="C1074" t="s">
        <v>2046</v>
      </c>
      <c r="D1074">
        <v>3</v>
      </c>
      <c r="E1074" s="358">
        <v>4</v>
      </c>
      <c r="F1074" s="358" t="s">
        <v>7</v>
      </c>
      <c r="G1074" s="358" t="s">
        <v>11</v>
      </c>
      <c r="H1074" s="358" t="s">
        <v>11</v>
      </c>
    </row>
    <row r="1075" spans="1:8" x14ac:dyDescent="0.3">
      <c r="A1075" t="s">
        <v>28</v>
      </c>
      <c r="B1075" t="s">
        <v>109</v>
      </c>
      <c r="C1075" t="s">
        <v>2047</v>
      </c>
      <c r="D1075">
        <v>2</v>
      </c>
      <c r="E1075" s="358">
        <v>4</v>
      </c>
      <c r="F1075" s="358" t="s">
        <v>7</v>
      </c>
      <c r="G1075" s="358" t="s">
        <v>11</v>
      </c>
      <c r="H1075" s="358" t="s">
        <v>11</v>
      </c>
    </row>
    <row r="1076" spans="1:8" x14ac:dyDescent="0.3">
      <c r="A1076" t="s">
        <v>28</v>
      </c>
      <c r="B1076" t="s">
        <v>109</v>
      </c>
      <c r="C1076" t="s">
        <v>1836</v>
      </c>
      <c r="D1076">
        <v>2</v>
      </c>
      <c r="E1076" s="358">
        <v>4</v>
      </c>
      <c r="F1076" s="358" t="s">
        <v>7</v>
      </c>
      <c r="G1076" s="358" t="s">
        <v>11</v>
      </c>
      <c r="H1076" s="358" t="s">
        <v>11</v>
      </c>
    </row>
    <row r="1077" spans="1:8" x14ac:dyDescent="0.3">
      <c r="A1077" t="s">
        <v>28</v>
      </c>
      <c r="B1077" t="s">
        <v>109</v>
      </c>
      <c r="C1077" t="s">
        <v>1975</v>
      </c>
      <c r="D1077">
        <v>2</v>
      </c>
      <c r="E1077" s="358">
        <v>4</v>
      </c>
      <c r="F1077" s="358" t="s">
        <v>7</v>
      </c>
      <c r="G1077" s="358" t="s">
        <v>11</v>
      </c>
      <c r="H1077" s="358" t="s">
        <v>11</v>
      </c>
    </row>
    <row r="1078" spans="1:8" x14ac:dyDescent="0.3">
      <c r="A1078" t="s">
        <v>28</v>
      </c>
      <c r="B1078" t="s">
        <v>109</v>
      </c>
      <c r="C1078" t="s">
        <v>2048</v>
      </c>
      <c r="D1078">
        <v>2</v>
      </c>
      <c r="E1078" s="358">
        <v>4</v>
      </c>
      <c r="F1078" s="358" t="s">
        <v>7</v>
      </c>
      <c r="G1078" s="358" t="s">
        <v>11</v>
      </c>
      <c r="H1078" s="358" t="s">
        <v>11</v>
      </c>
    </row>
    <row r="1079" spans="1:8" x14ac:dyDescent="0.3">
      <c r="A1079" t="s">
        <v>28</v>
      </c>
      <c r="B1079" t="s">
        <v>109</v>
      </c>
      <c r="C1079" t="s">
        <v>1838</v>
      </c>
      <c r="D1079">
        <v>1</v>
      </c>
      <c r="E1079" s="358">
        <v>4</v>
      </c>
      <c r="F1079" s="358" t="s">
        <v>7</v>
      </c>
      <c r="G1079" s="358" t="s">
        <v>11</v>
      </c>
      <c r="H1079" s="358" t="s">
        <v>11</v>
      </c>
    </row>
    <row r="1080" spans="1:8" x14ac:dyDescent="0.3">
      <c r="A1080" t="s">
        <v>28</v>
      </c>
      <c r="B1080" t="s">
        <v>109</v>
      </c>
      <c r="C1080" t="s">
        <v>2049</v>
      </c>
      <c r="D1080">
        <v>1</v>
      </c>
      <c r="E1080" s="358">
        <v>4</v>
      </c>
      <c r="F1080" s="358" t="s">
        <v>7</v>
      </c>
      <c r="G1080" s="358" t="s">
        <v>11</v>
      </c>
      <c r="H1080" s="358" t="s">
        <v>11</v>
      </c>
    </row>
    <row r="1081" spans="1:8" x14ac:dyDescent="0.3">
      <c r="A1081" t="s">
        <v>28</v>
      </c>
      <c r="B1081" t="s">
        <v>109</v>
      </c>
      <c r="C1081" t="s">
        <v>1364</v>
      </c>
      <c r="D1081">
        <v>1</v>
      </c>
      <c r="E1081" s="358">
        <v>4</v>
      </c>
      <c r="F1081" s="358" t="s">
        <v>7</v>
      </c>
      <c r="G1081" s="358" t="s">
        <v>11</v>
      </c>
      <c r="H1081" s="358" t="s">
        <v>11</v>
      </c>
    </row>
    <row r="1082" spans="1:8" x14ac:dyDescent="0.3">
      <c r="A1082" t="s">
        <v>28</v>
      </c>
      <c r="B1082" t="s">
        <v>109</v>
      </c>
      <c r="C1082" t="s">
        <v>1365</v>
      </c>
      <c r="D1082">
        <v>2</v>
      </c>
      <c r="E1082" s="358">
        <v>4</v>
      </c>
      <c r="F1082" s="358" t="s">
        <v>7</v>
      </c>
      <c r="G1082" s="358" t="s">
        <v>11</v>
      </c>
      <c r="H1082" s="358" t="s">
        <v>11</v>
      </c>
    </row>
    <row r="1083" spans="1:8" x14ac:dyDescent="0.3">
      <c r="A1083" t="s">
        <v>28</v>
      </c>
      <c r="B1083" t="s">
        <v>109</v>
      </c>
      <c r="C1083" t="s">
        <v>1366</v>
      </c>
      <c r="D1083">
        <v>2</v>
      </c>
      <c r="E1083" s="358">
        <v>4</v>
      </c>
      <c r="F1083" s="358" t="s">
        <v>7</v>
      </c>
      <c r="G1083" s="358" t="s">
        <v>11</v>
      </c>
      <c r="H1083" s="358" t="s">
        <v>11</v>
      </c>
    </row>
    <row r="1084" spans="1:8" x14ac:dyDescent="0.3">
      <c r="A1084" t="s">
        <v>28</v>
      </c>
      <c r="B1084" t="s">
        <v>109</v>
      </c>
      <c r="C1084" t="s">
        <v>2050</v>
      </c>
      <c r="D1084">
        <v>2</v>
      </c>
      <c r="E1084" s="358">
        <v>4</v>
      </c>
      <c r="F1084" s="358" t="s">
        <v>7</v>
      </c>
      <c r="G1084" s="358" t="s">
        <v>11</v>
      </c>
      <c r="H1084" s="358" t="s">
        <v>11</v>
      </c>
    </row>
    <row r="1085" spans="1:8" x14ac:dyDescent="0.3">
      <c r="A1085" t="s">
        <v>28</v>
      </c>
      <c r="B1085" t="s">
        <v>109</v>
      </c>
      <c r="C1085" t="s">
        <v>2051</v>
      </c>
      <c r="D1085">
        <v>1</v>
      </c>
      <c r="E1085" s="358">
        <v>4</v>
      </c>
      <c r="F1085" s="358" t="s">
        <v>7</v>
      </c>
      <c r="G1085" s="358" t="s">
        <v>11</v>
      </c>
      <c r="H1085" s="358" t="s">
        <v>11</v>
      </c>
    </row>
    <row r="1086" spans="1:8" x14ac:dyDescent="0.3">
      <c r="A1086" t="s">
        <v>28</v>
      </c>
      <c r="B1086" t="s">
        <v>109</v>
      </c>
      <c r="C1086" t="s">
        <v>2052</v>
      </c>
      <c r="D1086">
        <v>2</v>
      </c>
      <c r="E1086" s="358">
        <v>4</v>
      </c>
      <c r="F1086" s="358" t="s">
        <v>7</v>
      </c>
      <c r="G1086" s="358" t="s">
        <v>11</v>
      </c>
      <c r="H1086" s="358" t="s">
        <v>11</v>
      </c>
    </row>
    <row r="1087" spans="1:8" x14ac:dyDescent="0.3">
      <c r="A1087" t="s">
        <v>28</v>
      </c>
      <c r="B1087" t="s">
        <v>109</v>
      </c>
      <c r="C1087" t="s">
        <v>1877</v>
      </c>
      <c r="D1087">
        <v>2</v>
      </c>
      <c r="E1087" s="358">
        <v>4</v>
      </c>
      <c r="F1087" s="358" t="s">
        <v>7</v>
      </c>
      <c r="G1087" s="358" t="s">
        <v>11</v>
      </c>
      <c r="H1087" s="358" t="s">
        <v>11</v>
      </c>
    </row>
    <row r="1088" spans="1:8" x14ac:dyDescent="0.3">
      <c r="A1088" t="s">
        <v>28</v>
      </c>
      <c r="B1088" t="s">
        <v>109</v>
      </c>
      <c r="C1088" t="s">
        <v>2053</v>
      </c>
      <c r="D1088">
        <v>2</v>
      </c>
      <c r="E1088" s="358">
        <v>4</v>
      </c>
      <c r="F1088" s="358" t="s">
        <v>7</v>
      </c>
      <c r="G1088" s="358" t="s">
        <v>11</v>
      </c>
      <c r="H1088" s="358" t="s">
        <v>11</v>
      </c>
    </row>
    <row r="1089" spans="1:8" x14ac:dyDescent="0.3">
      <c r="A1089" t="s">
        <v>28</v>
      </c>
      <c r="B1089" t="s">
        <v>109</v>
      </c>
      <c r="C1089" t="s">
        <v>1878</v>
      </c>
      <c r="D1089">
        <v>2</v>
      </c>
      <c r="E1089" s="358">
        <v>4</v>
      </c>
      <c r="F1089" s="358" t="s">
        <v>7</v>
      </c>
      <c r="G1089" s="358" t="s">
        <v>11</v>
      </c>
      <c r="H1089" s="358" t="s">
        <v>11</v>
      </c>
    </row>
    <row r="1090" spans="1:8" x14ac:dyDescent="0.3">
      <c r="A1090" t="s">
        <v>28</v>
      </c>
      <c r="B1090" t="s">
        <v>109</v>
      </c>
      <c r="C1090" t="s">
        <v>2054</v>
      </c>
      <c r="D1090">
        <v>2</v>
      </c>
      <c r="E1090" s="358">
        <v>4</v>
      </c>
      <c r="F1090" s="358" t="s">
        <v>7</v>
      </c>
      <c r="G1090" s="358" t="s">
        <v>11</v>
      </c>
      <c r="H1090" s="358" t="s">
        <v>11</v>
      </c>
    </row>
    <row r="1091" spans="1:8" x14ac:dyDescent="0.3">
      <c r="A1091" t="s">
        <v>28</v>
      </c>
      <c r="B1091" t="s">
        <v>109</v>
      </c>
      <c r="C1091" t="s">
        <v>2055</v>
      </c>
      <c r="D1091">
        <v>1</v>
      </c>
      <c r="E1091" s="358">
        <v>4</v>
      </c>
      <c r="F1091" s="358" t="s">
        <v>7</v>
      </c>
      <c r="G1091" s="358" t="s">
        <v>11</v>
      </c>
      <c r="H1091" s="358" t="s">
        <v>11</v>
      </c>
    </row>
    <row r="1092" spans="1:8" x14ac:dyDescent="0.3">
      <c r="A1092" t="s">
        <v>28</v>
      </c>
      <c r="B1092" t="s">
        <v>109</v>
      </c>
      <c r="C1092" t="s">
        <v>1367</v>
      </c>
      <c r="D1092">
        <v>2</v>
      </c>
      <c r="E1092" s="358">
        <v>4</v>
      </c>
      <c r="F1092" s="358" t="s">
        <v>7</v>
      </c>
      <c r="G1092" s="358" t="s">
        <v>11</v>
      </c>
      <c r="H1092" s="358" t="s">
        <v>11</v>
      </c>
    </row>
    <row r="1093" spans="1:8" x14ac:dyDescent="0.3">
      <c r="A1093" t="s">
        <v>28</v>
      </c>
      <c r="B1093" t="s">
        <v>109</v>
      </c>
      <c r="C1093" t="s">
        <v>1369</v>
      </c>
      <c r="D1093">
        <v>2</v>
      </c>
      <c r="E1093" s="358">
        <v>4</v>
      </c>
      <c r="F1093" s="358" t="s">
        <v>7</v>
      </c>
      <c r="G1093" s="358" t="s">
        <v>11</v>
      </c>
      <c r="H1093" s="358" t="s">
        <v>11</v>
      </c>
    </row>
    <row r="1094" spans="1:8" x14ac:dyDescent="0.3">
      <c r="A1094" t="s">
        <v>28</v>
      </c>
      <c r="B1094" t="s">
        <v>109</v>
      </c>
      <c r="C1094" t="s">
        <v>2056</v>
      </c>
      <c r="D1094">
        <v>2</v>
      </c>
      <c r="E1094" s="358">
        <v>4</v>
      </c>
      <c r="F1094" s="358" t="s">
        <v>7</v>
      </c>
      <c r="G1094" s="358" t="s">
        <v>11</v>
      </c>
      <c r="H1094" s="358" t="s">
        <v>11</v>
      </c>
    </row>
    <row r="1095" spans="1:8" x14ac:dyDescent="0.3">
      <c r="A1095" t="s">
        <v>28</v>
      </c>
      <c r="B1095" t="s">
        <v>109</v>
      </c>
      <c r="C1095" t="s">
        <v>1470</v>
      </c>
      <c r="D1095">
        <v>1</v>
      </c>
      <c r="E1095" s="358">
        <v>4</v>
      </c>
      <c r="F1095" s="358" t="s">
        <v>7</v>
      </c>
      <c r="G1095" s="358" t="s">
        <v>11</v>
      </c>
      <c r="H1095" s="358" t="s">
        <v>11</v>
      </c>
    </row>
    <row r="1096" spans="1:8" x14ac:dyDescent="0.3">
      <c r="A1096" t="s">
        <v>28</v>
      </c>
      <c r="B1096" t="s">
        <v>109</v>
      </c>
      <c r="C1096" t="s">
        <v>2057</v>
      </c>
      <c r="D1096">
        <v>1</v>
      </c>
      <c r="E1096" s="358">
        <v>4</v>
      </c>
      <c r="F1096" s="358" t="s">
        <v>7</v>
      </c>
      <c r="G1096" s="358" t="s">
        <v>11</v>
      </c>
      <c r="H1096" s="358" t="s">
        <v>11</v>
      </c>
    </row>
    <row r="1097" spans="1:8" x14ac:dyDescent="0.3">
      <c r="A1097" t="s">
        <v>28</v>
      </c>
      <c r="B1097" t="s">
        <v>109</v>
      </c>
      <c r="C1097" t="s">
        <v>2058</v>
      </c>
      <c r="D1097">
        <v>2</v>
      </c>
      <c r="E1097" s="358">
        <v>4</v>
      </c>
      <c r="F1097" s="358" t="s">
        <v>7</v>
      </c>
      <c r="G1097" s="358" t="s">
        <v>11</v>
      </c>
      <c r="H1097" s="358" t="s">
        <v>11</v>
      </c>
    </row>
    <row r="1098" spans="1:8" x14ac:dyDescent="0.3">
      <c r="A1098" t="s">
        <v>28</v>
      </c>
      <c r="B1098" t="s">
        <v>109</v>
      </c>
      <c r="C1098" t="s">
        <v>2059</v>
      </c>
      <c r="D1098">
        <v>2</v>
      </c>
      <c r="E1098" s="358">
        <v>4</v>
      </c>
      <c r="F1098" s="358" t="s">
        <v>7</v>
      </c>
      <c r="G1098" s="358" t="s">
        <v>11</v>
      </c>
      <c r="H1098" s="358" t="s">
        <v>11</v>
      </c>
    </row>
    <row r="1099" spans="1:8" x14ac:dyDescent="0.3">
      <c r="A1099" t="s">
        <v>28</v>
      </c>
      <c r="B1099" t="s">
        <v>109</v>
      </c>
      <c r="C1099" t="s">
        <v>1371</v>
      </c>
      <c r="D1099">
        <v>1</v>
      </c>
      <c r="E1099" s="358">
        <v>4</v>
      </c>
      <c r="F1099" s="358" t="s">
        <v>7</v>
      </c>
      <c r="G1099" s="358" t="s">
        <v>11</v>
      </c>
      <c r="H1099" s="358" t="s">
        <v>11</v>
      </c>
    </row>
    <row r="1100" spans="1:8" x14ac:dyDescent="0.3">
      <c r="A1100" t="s">
        <v>28</v>
      </c>
      <c r="B1100" t="s">
        <v>109</v>
      </c>
      <c r="C1100" t="s">
        <v>1473</v>
      </c>
      <c r="D1100">
        <v>1</v>
      </c>
      <c r="E1100" s="358">
        <v>4</v>
      </c>
      <c r="F1100" s="358" t="s">
        <v>7</v>
      </c>
      <c r="G1100" s="358" t="s">
        <v>11</v>
      </c>
      <c r="H1100" s="358" t="s">
        <v>11</v>
      </c>
    </row>
    <row r="1101" spans="1:8" x14ac:dyDescent="0.3">
      <c r="A1101" t="s">
        <v>28</v>
      </c>
      <c r="B1101" t="s">
        <v>109</v>
      </c>
      <c r="C1101" t="s">
        <v>1373</v>
      </c>
      <c r="D1101">
        <v>2</v>
      </c>
      <c r="E1101" s="358">
        <v>4</v>
      </c>
      <c r="F1101" s="358" t="s">
        <v>7</v>
      </c>
      <c r="G1101" s="358" t="s">
        <v>11</v>
      </c>
      <c r="H1101" s="358" t="s">
        <v>11</v>
      </c>
    </row>
    <row r="1102" spans="1:8" x14ac:dyDescent="0.3">
      <c r="A1102" t="s">
        <v>28</v>
      </c>
      <c r="B1102" t="s">
        <v>109</v>
      </c>
      <c r="C1102" t="s">
        <v>2060</v>
      </c>
      <c r="D1102">
        <v>2</v>
      </c>
      <c r="E1102" s="358">
        <v>4</v>
      </c>
      <c r="F1102" s="358" t="s">
        <v>7</v>
      </c>
      <c r="G1102" s="358" t="s">
        <v>11</v>
      </c>
      <c r="H1102" s="358" t="s">
        <v>11</v>
      </c>
    </row>
    <row r="1103" spans="1:8" x14ac:dyDescent="0.3">
      <c r="A1103" t="s">
        <v>28</v>
      </c>
      <c r="B1103" t="s">
        <v>109</v>
      </c>
      <c r="C1103" t="s">
        <v>1884</v>
      </c>
      <c r="D1103">
        <v>2</v>
      </c>
      <c r="E1103" s="358">
        <v>4</v>
      </c>
      <c r="F1103" s="358" t="s">
        <v>7</v>
      </c>
      <c r="G1103" s="358" t="s">
        <v>11</v>
      </c>
      <c r="H1103" s="358" t="s">
        <v>11</v>
      </c>
    </row>
    <row r="1104" spans="1:8" x14ac:dyDescent="0.3">
      <c r="A1104" t="s">
        <v>28</v>
      </c>
      <c r="B1104" t="s">
        <v>109</v>
      </c>
      <c r="C1104" t="s">
        <v>1652</v>
      </c>
      <c r="D1104">
        <v>1</v>
      </c>
      <c r="E1104" s="358">
        <v>4</v>
      </c>
      <c r="F1104" s="358" t="s">
        <v>7</v>
      </c>
      <c r="G1104" s="358" t="s">
        <v>11</v>
      </c>
      <c r="H1104" s="358" t="s">
        <v>11</v>
      </c>
    </row>
    <row r="1105" spans="1:8" x14ac:dyDescent="0.3">
      <c r="A1105" t="s">
        <v>28</v>
      </c>
      <c r="B1105" t="s">
        <v>109</v>
      </c>
      <c r="C1105" t="s">
        <v>2061</v>
      </c>
      <c r="D1105">
        <v>2</v>
      </c>
      <c r="E1105" s="358">
        <v>4</v>
      </c>
      <c r="F1105" s="358" t="s">
        <v>7</v>
      </c>
      <c r="G1105" s="358" t="s">
        <v>11</v>
      </c>
      <c r="H1105" s="358" t="s">
        <v>11</v>
      </c>
    </row>
    <row r="1106" spans="1:8" x14ac:dyDescent="0.3">
      <c r="A1106" t="s">
        <v>28</v>
      </c>
      <c r="B1106" t="s">
        <v>109</v>
      </c>
      <c r="C1106" t="s">
        <v>2062</v>
      </c>
      <c r="D1106">
        <v>2</v>
      </c>
      <c r="E1106" s="358">
        <v>4</v>
      </c>
      <c r="F1106" s="358" t="s">
        <v>7</v>
      </c>
      <c r="G1106" s="358" t="s">
        <v>11</v>
      </c>
      <c r="H1106" s="358" t="s">
        <v>11</v>
      </c>
    </row>
    <row r="1107" spans="1:8" x14ac:dyDescent="0.3">
      <c r="A1107" t="s">
        <v>28</v>
      </c>
      <c r="B1107" t="s">
        <v>109</v>
      </c>
      <c r="C1107" t="s">
        <v>2063</v>
      </c>
      <c r="D1107">
        <v>2</v>
      </c>
      <c r="E1107" s="358">
        <v>4</v>
      </c>
      <c r="F1107" s="358" t="s">
        <v>7</v>
      </c>
      <c r="G1107" s="358" t="s">
        <v>11</v>
      </c>
      <c r="H1107" s="358" t="s">
        <v>11</v>
      </c>
    </row>
    <row r="1108" spans="1:8" x14ac:dyDescent="0.3">
      <c r="A1108" t="s">
        <v>28</v>
      </c>
      <c r="B1108" t="s">
        <v>109</v>
      </c>
      <c r="C1108" t="s">
        <v>1479</v>
      </c>
      <c r="D1108">
        <v>2</v>
      </c>
      <c r="E1108" s="358">
        <v>4</v>
      </c>
      <c r="F1108" s="358" t="s">
        <v>7</v>
      </c>
      <c r="G1108" s="358" t="s">
        <v>11</v>
      </c>
      <c r="H1108" s="358" t="s">
        <v>11</v>
      </c>
    </row>
    <row r="1109" spans="1:8" x14ac:dyDescent="0.3">
      <c r="A1109" t="s">
        <v>28</v>
      </c>
      <c r="B1109" t="s">
        <v>109</v>
      </c>
      <c r="C1109" t="s">
        <v>1757</v>
      </c>
      <c r="D1109">
        <v>1</v>
      </c>
      <c r="E1109" s="358">
        <v>4</v>
      </c>
      <c r="F1109" s="358" t="s">
        <v>7</v>
      </c>
      <c r="G1109" s="358" t="s">
        <v>11</v>
      </c>
      <c r="H1109" s="358" t="s">
        <v>11</v>
      </c>
    </row>
    <row r="1110" spans="1:8" x14ac:dyDescent="0.3">
      <c r="A1110" t="s">
        <v>28</v>
      </c>
      <c r="B1110" t="s">
        <v>109</v>
      </c>
      <c r="C1110" t="s">
        <v>1379</v>
      </c>
      <c r="D1110">
        <v>2</v>
      </c>
      <c r="E1110" s="358">
        <v>4</v>
      </c>
      <c r="F1110" s="358" t="s">
        <v>7</v>
      </c>
      <c r="G1110" s="358" t="s">
        <v>11</v>
      </c>
      <c r="H1110" s="358" t="s">
        <v>11</v>
      </c>
    </row>
    <row r="1111" spans="1:8" x14ac:dyDescent="0.3">
      <c r="A1111" t="s">
        <v>28</v>
      </c>
      <c r="B1111" t="s">
        <v>109</v>
      </c>
      <c r="C1111" t="s">
        <v>1758</v>
      </c>
      <c r="D1111">
        <v>2</v>
      </c>
      <c r="E1111" s="358">
        <v>4</v>
      </c>
      <c r="F1111" s="358" t="s">
        <v>7</v>
      </c>
      <c r="G1111" s="358" t="s">
        <v>11</v>
      </c>
      <c r="H1111" s="358" t="s">
        <v>11</v>
      </c>
    </row>
    <row r="1112" spans="1:8" x14ac:dyDescent="0.3">
      <c r="A1112" t="s">
        <v>28</v>
      </c>
      <c r="B1112" t="s">
        <v>109</v>
      </c>
      <c r="C1112" t="s">
        <v>1759</v>
      </c>
      <c r="D1112">
        <v>2</v>
      </c>
      <c r="E1112" s="358">
        <v>4</v>
      </c>
      <c r="F1112" s="358" t="s">
        <v>7</v>
      </c>
      <c r="G1112" s="358" t="s">
        <v>11</v>
      </c>
      <c r="H1112" s="358" t="s">
        <v>11</v>
      </c>
    </row>
    <row r="1113" spans="1:8" x14ac:dyDescent="0.3">
      <c r="A1113" t="s">
        <v>28</v>
      </c>
      <c r="B1113" t="s">
        <v>109</v>
      </c>
      <c r="C1113" t="s">
        <v>1897</v>
      </c>
      <c r="D1113">
        <v>2</v>
      </c>
      <c r="E1113" s="358">
        <v>4</v>
      </c>
      <c r="F1113" s="358" t="s">
        <v>7</v>
      </c>
      <c r="G1113" s="358" t="s">
        <v>11</v>
      </c>
      <c r="H1113" s="358" t="s">
        <v>11</v>
      </c>
    </row>
    <row r="1114" spans="1:8" x14ac:dyDescent="0.3">
      <c r="A1114" t="s">
        <v>28</v>
      </c>
      <c r="B1114" t="s">
        <v>109</v>
      </c>
      <c r="C1114" t="s">
        <v>2064</v>
      </c>
      <c r="D1114">
        <v>2</v>
      </c>
      <c r="E1114" s="358">
        <v>4</v>
      </c>
      <c r="F1114" s="358" t="s">
        <v>7</v>
      </c>
      <c r="G1114" s="358" t="s">
        <v>11</v>
      </c>
      <c r="H1114" s="358" t="s">
        <v>11</v>
      </c>
    </row>
    <row r="1115" spans="1:8" x14ac:dyDescent="0.3">
      <c r="A1115" t="s">
        <v>28</v>
      </c>
      <c r="B1115" t="s">
        <v>109</v>
      </c>
      <c r="C1115" t="s">
        <v>1856</v>
      </c>
      <c r="D1115">
        <v>1</v>
      </c>
      <c r="E1115" s="358">
        <v>4</v>
      </c>
      <c r="F1115" s="358" t="s">
        <v>7</v>
      </c>
      <c r="G1115" s="358" t="s">
        <v>11</v>
      </c>
      <c r="H1115" s="358" t="s">
        <v>11</v>
      </c>
    </row>
    <row r="1116" spans="1:8" x14ac:dyDescent="0.3">
      <c r="A1116" t="s">
        <v>29</v>
      </c>
      <c r="B1116" t="s">
        <v>116</v>
      </c>
      <c r="C1116" t="s">
        <v>2065</v>
      </c>
      <c r="D1116">
        <v>3</v>
      </c>
      <c r="E1116" s="358">
        <v>2</v>
      </c>
      <c r="F1116" s="358" t="s">
        <v>7</v>
      </c>
      <c r="G1116" s="358" t="s">
        <v>115</v>
      </c>
      <c r="H1116" s="358" t="s">
        <v>11</v>
      </c>
    </row>
    <row r="1117" spans="1:8" x14ac:dyDescent="0.3">
      <c r="A1117" t="s">
        <v>29</v>
      </c>
      <c r="B1117" t="s">
        <v>116</v>
      </c>
      <c r="C1117" t="s">
        <v>1857</v>
      </c>
      <c r="D1117">
        <v>3</v>
      </c>
      <c r="E1117" s="358">
        <v>2</v>
      </c>
      <c r="F1117" s="358" t="s">
        <v>7</v>
      </c>
      <c r="G1117" s="358" t="s">
        <v>115</v>
      </c>
      <c r="H1117" s="358" t="s">
        <v>11</v>
      </c>
    </row>
    <row r="1118" spans="1:8" x14ac:dyDescent="0.3">
      <c r="A1118" t="s">
        <v>29</v>
      </c>
      <c r="B1118" t="s">
        <v>116</v>
      </c>
      <c r="C1118" t="s">
        <v>2066</v>
      </c>
      <c r="D1118">
        <v>3</v>
      </c>
      <c r="E1118" s="358">
        <v>2</v>
      </c>
      <c r="F1118" s="358" t="s">
        <v>7</v>
      </c>
      <c r="G1118" s="358" t="s">
        <v>115</v>
      </c>
      <c r="H1118" s="358" t="s">
        <v>11</v>
      </c>
    </row>
    <row r="1119" spans="1:8" x14ac:dyDescent="0.3">
      <c r="A1119" t="s">
        <v>29</v>
      </c>
      <c r="B1119" t="s">
        <v>116</v>
      </c>
      <c r="C1119" t="s">
        <v>2067</v>
      </c>
      <c r="D1119">
        <v>3</v>
      </c>
      <c r="E1119" s="358">
        <v>2</v>
      </c>
      <c r="F1119" s="358" t="s">
        <v>7</v>
      </c>
      <c r="G1119" s="358" t="s">
        <v>115</v>
      </c>
      <c r="H1119" s="358" t="s">
        <v>11</v>
      </c>
    </row>
    <row r="1120" spans="1:8" x14ac:dyDescent="0.3">
      <c r="A1120" t="s">
        <v>29</v>
      </c>
      <c r="B1120" t="s">
        <v>116</v>
      </c>
      <c r="C1120" t="s">
        <v>2068</v>
      </c>
      <c r="D1120">
        <v>3</v>
      </c>
      <c r="E1120" s="358">
        <v>2</v>
      </c>
      <c r="F1120" s="358" t="s">
        <v>7</v>
      </c>
      <c r="G1120" s="358" t="s">
        <v>115</v>
      </c>
      <c r="H1120" s="358" t="s">
        <v>11</v>
      </c>
    </row>
    <row r="1121" spans="1:8" x14ac:dyDescent="0.3">
      <c r="A1121" t="s">
        <v>29</v>
      </c>
      <c r="B1121" t="s">
        <v>116</v>
      </c>
      <c r="C1121" t="s">
        <v>2069</v>
      </c>
      <c r="D1121">
        <v>3</v>
      </c>
      <c r="E1121" s="358">
        <v>2</v>
      </c>
      <c r="F1121" s="358" t="s">
        <v>7</v>
      </c>
      <c r="G1121" s="358" t="s">
        <v>115</v>
      </c>
      <c r="H1121" s="358" t="s">
        <v>11</v>
      </c>
    </row>
    <row r="1122" spans="1:8" x14ac:dyDescent="0.3">
      <c r="A1122" t="s">
        <v>29</v>
      </c>
      <c r="B1122" t="s">
        <v>116</v>
      </c>
      <c r="C1122" t="s">
        <v>2070</v>
      </c>
      <c r="D1122">
        <v>3</v>
      </c>
      <c r="E1122" s="358">
        <v>3</v>
      </c>
      <c r="F1122" s="358" t="s">
        <v>7</v>
      </c>
      <c r="G1122" s="358" t="s">
        <v>115</v>
      </c>
      <c r="H1122" s="358" t="s">
        <v>11</v>
      </c>
    </row>
    <row r="1123" spans="1:8" x14ac:dyDescent="0.3">
      <c r="A1123" t="s">
        <v>29</v>
      </c>
      <c r="B1123" t="s">
        <v>116</v>
      </c>
      <c r="C1123" t="s">
        <v>2071</v>
      </c>
      <c r="D1123">
        <v>3</v>
      </c>
      <c r="E1123" s="358">
        <v>3</v>
      </c>
      <c r="F1123" s="358" t="s">
        <v>7</v>
      </c>
      <c r="G1123" s="358" t="s">
        <v>115</v>
      </c>
      <c r="H1123" s="358" t="s">
        <v>11</v>
      </c>
    </row>
    <row r="1124" spans="1:8" x14ac:dyDescent="0.3">
      <c r="A1124" t="s">
        <v>29</v>
      </c>
      <c r="B1124" t="s">
        <v>116</v>
      </c>
      <c r="C1124" t="s">
        <v>2072</v>
      </c>
      <c r="D1124">
        <v>3</v>
      </c>
      <c r="E1124" s="358">
        <v>3</v>
      </c>
      <c r="F1124" s="358" t="s">
        <v>7</v>
      </c>
      <c r="G1124" s="358" t="s">
        <v>115</v>
      </c>
      <c r="H1124" s="358" t="s">
        <v>11</v>
      </c>
    </row>
    <row r="1125" spans="1:8" x14ac:dyDescent="0.3">
      <c r="A1125" t="s">
        <v>29</v>
      </c>
      <c r="B1125" t="s">
        <v>116</v>
      </c>
      <c r="C1125" t="s">
        <v>2073</v>
      </c>
      <c r="D1125">
        <v>3</v>
      </c>
      <c r="E1125" s="358">
        <v>2</v>
      </c>
      <c r="F1125" s="358" t="s">
        <v>7</v>
      </c>
      <c r="G1125" s="358" t="s">
        <v>115</v>
      </c>
      <c r="H1125" s="358" t="s">
        <v>11</v>
      </c>
    </row>
    <row r="1126" spans="1:8" x14ac:dyDescent="0.3">
      <c r="A1126" t="s">
        <v>29</v>
      </c>
      <c r="B1126" t="s">
        <v>116</v>
      </c>
      <c r="C1126" t="s">
        <v>2020</v>
      </c>
      <c r="D1126">
        <v>3</v>
      </c>
      <c r="E1126" s="358">
        <v>3</v>
      </c>
      <c r="F1126" s="358" t="s">
        <v>7</v>
      </c>
      <c r="G1126" s="358" t="s">
        <v>115</v>
      </c>
      <c r="H1126" s="358" t="s">
        <v>11</v>
      </c>
    </row>
    <row r="1127" spans="1:8" x14ac:dyDescent="0.3">
      <c r="A1127" t="s">
        <v>29</v>
      </c>
      <c r="B1127" t="s">
        <v>116</v>
      </c>
      <c r="C1127" t="s">
        <v>2074</v>
      </c>
      <c r="D1127">
        <v>3</v>
      </c>
      <c r="E1127" s="358">
        <v>2</v>
      </c>
      <c r="F1127" s="358" t="s">
        <v>7</v>
      </c>
      <c r="G1127" s="358" t="s">
        <v>115</v>
      </c>
      <c r="H1127" s="358" t="s">
        <v>11</v>
      </c>
    </row>
    <row r="1128" spans="1:8" x14ac:dyDescent="0.3">
      <c r="A1128" t="s">
        <v>29</v>
      </c>
      <c r="B1128" t="s">
        <v>116</v>
      </c>
      <c r="C1128" t="s">
        <v>2075</v>
      </c>
      <c r="D1128">
        <v>3</v>
      </c>
      <c r="E1128" s="358">
        <v>3</v>
      </c>
      <c r="F1128" s="358" t="s">
        <v>7</v>
      </c>
      <c r="G1128" s="358" t="s">
        <v>115</v>
      </c>
      <c r="H1128" s="358" t="s">
        <v>11</v>
      </c>
    </row>
    <row r="1129" spans="1:8" x14ac:dyDescent="0.3">
      <c r="A1129" t="s">
        <v>29</v>
      </c>
      <c r="B1129" t="s">
        <v>116</v>
      </c>
      <c r="C1129" t="s">
        <v>2076</v>
      </c>
      <c r="D1129">
        <v>3</v>
      </c>
      <c r="E1129" s="358">
        <v>3</v>
      </c>
      <c r="F1129" s="358" t="s">
        <v>7</v>
      </c>
      <c r="G1129" s="358" t="s">
        <v>115</v>
      </c>
      <c r="H1129" s="358" t="s">
        <v>11</v>
      </c>
    </row>
    <row r="1130" spans="1:8" x14ac:dyDescent="0.3">
      <c r="A1130" t="s">
        <v>29</v>
      </c>
      <c r="B1130" t="s">
        <v>116</v>
      </c>
      <c r="C1130" t="s">
        <v>2077</v>
      </c>
      <c r="D1130">
        <v>3</v>
      </c>
      <c r="E1130" s="358">
        <v>3</v>
      </c>
      <c r="F1130" s="358" t="s">
        <v>7</v>
      </c>
      <c r="G1130" s="358" t="s">
        <v>115</v>
      </c>
      <c r="H1130" s="358" t="s">
        <v>11</v>
      </c>
    </row>
    <row r="1131" spans="1:8" x14ac:dyDescent="0.3">
      <c r="A1131" t="s">
        <v>29</v>
      </c>
      <c r="B1131" t="s">
        <v>116</v>
      </c>
      <c r="C1131" t="s">
        <v>1616</v>
      </c>
      <c r="D1131">
        <v>3</v>
      </c>
      <c r="E1131" s="358">
        <v>3</v>
      </c>
      <c r="F1131" s="358" t="s">
        <v>7</v>
      </c>
      <c r="G1131" s="358" t="s">
        <v>115</v>
      </c>
      <c r="H1131" s="358" t="s">
        <v>11</v>
      </c>
    </row>
    <row r="1132" spans="1:8" x14ac:dyDescent="0.3">
      <c r="A1132" t="s">
        <v>29</v>
      </c>
      <c r="B1132" t="s">
        <v>116</v>
      </c>
      <c r="C1132" t="s">
        <v>2078</v>
      </c>
      <c r="D1132">
        <v>3</v>
      </c>
      <c r="E1132" s="358">
        <v>2</v>
      </c>
      <c r="F1132" s="358" t="s">
        <v>7</v>
      </c>
      <c r="G1132" s="358" t="s">
        <v>115</v>
      </c>
      <c r="H1132" s="358" t="s">
        <v>11</v>
      </c>
    </row>
    <row r="1133" spans="1:8" x14ac:dyDescent="0.3">
      <c r="A1133" t="s">
        <v>29</v>
      </c>
      <c r="B1133" t="s">
        <v>116</v>
      </c>
      <c r="C1133" t="s">
        <v>2079</v>
      </c>
      <c r="D1133">
        <v>3</v>
      </c>
      <c r="E1133" s="358">
        <v>3</v>
      </c>
      <c r="F1133" s="358" t="s">
        <v>7</v>
      </c>
      <c r="G1133" s="358" t="s">
        <v>11</v>
      </c>
      <c r="H1133" s="358" t="s">
        <v>11</v>
      </c>
    </row>
    <row r="1134" spans="1:8" x14ac:dyDescent="0.3">
      <c r="A1134" t="s">
        <v>29</v>
      </c>
      <c r="B1134" t="s">
        <v>116</v>
      </c>
      <c r="C1134" t="s">
        <v>2080</v>
      </c>
      <c r="D1134">
        <v>3</v>
      </c>
      <c r="E1134" s="358">
        <v>2</v>
      </c>
      <c r="F1134" s="358" t="s">
        <v>7</v>
      </c>
      <c r="G1134" s="358" t="s">
        <v>115</v>
      </c>
      <c r="H1134" s="358" t="s">
        <v>11</v>
      </c>
    </row>
    <row r="1135" spans="1:8" x14ac:dyDescent="0.3">
      <c r="A1135" t="s">
        <v>29</v>
      </c>
      <c r="B1135" t="s">
        <v>116</v>
      </c>
      <c r="C1135" t="s">
        <v>2081</v>
      </c>
      <c r="D1135">
        <v>3</v>
      </c>
      <c r="E1135" s="358">
        <v>2</v>
      </c>
      <c r="F1135" s="358" t="s">
        <v>7</v>
      </c>
      <c r="G1135" s="358" t="s">
        <v>115</v>
      </c>
      <c r="H1135" s="358" t="s">
        <v>11</v>
      </c>
    </row>
    <row r="1136" spans="1:8" x14ac:dyDescent="0.3">
      <c r="A1136" t="s">
        <v>29</v>
      </c>
      <c r="B1136" t="s">
        <v>116</v>
      </c>
      <c r="C1136" t="s">
        <v>1344</v>
      </c>
      <c r="D1136">
        <v>3</v>
      </c>
      <c r="E1136" s="358">
        <v>3</v>
      </c>
      <c r="F1136" s="358" t="s">
        <v>7</v>
      </c>
      <c r="G1136" s="358" t="s">
        <v>115</v>
      </c>
      <c r="H1136" s="358" t="s">
        <v>11</v>
      </c>
    </row>
    <row r="1137" spans="1:8" x14ac:dyDescent="0.3">
      <c r="A1137" t="s">
        <v>29</v>
      </c>
      <c r="B1137" t="s">
        <v>116</v>
      </c>
      <c r="C1137" t="s">
        <v>1448</v>
      </c>
      <c r="D1137">
        <v>3</v>
      </c>
      <c r="E1137" s="358">
        <v>3</v>
      </c>
      <c r="F1137" s="358" t="s">
        <v>7</v>
      </c>
      <c r="G1137" s="358" t="s">
        <v>115</v>
      </c>
      <c r="H1137" s="358" t="s">
        <v>11</v>
      </c>
    </row>
    <row r="1138" spans="1:8" x14ac:dyDescent="0.3">
      <c r="A1138" t="s">
        <v>29</v>
      </c>
      <c r="B1138" t="s">
        <v>116</v>
      </c>
      <c r="C1138" t="s">
        <v>2082</v>
      </c>
      <c r="D1138">
        <v>3</v>
      </c>
      <c r="E1138" s="358">
        <v>2</v>
      </c>
      <c r="F1138" s="358" t="s">
        <v>7</v>
      </c>
      <c r="G1138" s="358" t="s">
        <v>115</v>
      </c>
      <c r="H1138" s="358" t="s">
        <v>11</v>
      </c>
    </row>
    <row r="1139" spans="1:8" x14ac:dyDescent="0.3">
      <c r="A1139" t="s">
        <v>29</v>
      </c>
      <c r="B1139" t="s">
        <v>116</v>
      </c>
      <c r="C1139" t="s">
        <v>2083</v>
      </c>
      <c r="D1139">
        <v>3</v>
      </c>
      <c r="E1139" s="358">
        <v>2</v>
      </c>
      <c r="F1139" s="358" t="s">
        <v>7</v>
      </c>
      <c r="G1139" s="358" t="s">
        <v>115</v>
      </c>
      <c r="H1139" s="358" t="s">
        <v>11</v>
      </c>
    </row>
    <row r="1140" spans="1:8" x14ac:dyDescent="0.3">
      <c r="A1140" t="s">
        <v>29</v>
      </c>
      <c r="B1140" t="s">
        <v>116</v>
      </c>
      <c r="C1140" t="s">
        <v>1350</v>
      </c>
      <c r="D1140">
        <v>3</v>
      </c>
      <c r="E1140" s="358">
        <v>3</v>
      </c>
      <c r="F1140" s="358" t="s">
        <v>7</v>
      </c>
      <c r="G1140" s="358" t="s">
        <v>115</v>
      </c>
      <c r="H1140" s="358" t="s">
        <v>11</v>
      </c>
    </row>
    <row r="1141" spans="1:8" x14ac:dyDescent="0.3">
      <c r="A1141" t="s">
        <v>29</v>
      </c>
      <c r="B1141" t="s">
        <v>116</v>
      </c>
      <c r="C1141" t="s">
        <v>1351</v>
      </c>
      <c r="D1141">
        <v>3</v>
      </c>
      <c r="E1141" s="358">
        <v>2</v>
      </c>
      <c r="F1141" s="358" t="s">
        <v>7</v>
      </c>
      <c r="G1141" s="358" t="s">
        <v>115</v>
      </c>
      <c r="H1141" s="358" t="s">
        <v>11</v>
      </c>
    </row>
    <row r="1142" spans="1:8" x14ac:dyDescent="0.3">
      <c r="A1142" t="s">
        <v>29</v>
      </c>
      <c r="B1142" t="s">
        <v>116</v>
      </c>
      <c r="C1142" t="s">
        <v>2084</v>
      </c>
      <c r="D1142">
        <v>3</v>
      </c>
      <c r="E1142" s="358">
        <v>2</v>
      </c>
      <c r="F1142" s="358" t="s">
        <v>7</v>
      </c>
      <c r="G1142" s="358" t="s">
        <v>115</v>
      </c>
      <c r="H1142" s="358" t="s">
        <v>11</v>
      </c>
    </row>
    <row r="1143" spans="1:8" x14ac:dyDescent="0.3">
      <c r="A1143" t="s">
        <v>29</v>
      </c>
      <c r="B1143" t="s">
        <v>116</v>
      </c>
      <c r="C1143" t="s">
        <v>1829</v>
      </c>
      <c r="D1143">
        <v>3</v>
      </c>
      <c r="E1143" s="358">
        <v>3</v>
      </c>
      <c r="F1143" s="358" t="s">
        <v>7</v>
      </c>
      <c r="G1143" s="358" t="s">
        <v>115</v>
      </c>
      <c r="H1143" s="358" t="s">
        <v>11</v>
      </c>
    </row>
    <row r="1144" spans="1:8" x14ac:dyDescent="0.3">
      <c r="A1144" t="s">
        <v>29</v>
      </c>
      <c r="B1144" t="s">
        <v>116</v>
      </c>
      <c r="C1144" t="s">
        <v>1455</v>
      </c>
      <c r="D1144">
        <v>3</v>
      </c>
      <c r="E1144" s="358">
        <v>2</v>
      </c>
      <c r="F1144" s="358" t="s">
        <v>7</v>
      </c>
      <c r="G1144" s="358" t="s">
        <v>115</v>
      </c>
      <c r="H1144" s="358" t="s">
        <v>11</v>
      </c>
    </row>
    <row r="1145" spans="1:8" x14ac:dyDescent="0.3">
      <c r="A1145" t="s">
        <v>29</v>
      </c>
      <c r="B1145" t="s">
        <v>116</v>
      </c>
      <c r="C1145" t="s">
        <v>2085</v>
      </c>
      <c r="D1145">
        <v>3</v>
      </c>
      <c r="E1145" s="358">
        <v>2</v>
      </c>
      <c r="F1145" s="358" t="s">
        <v>7</v>
      </c>
      <c r="G1145" s="358" t="s">
        <v>115</v>
      </c>
      <c r="H1145" s="358" t="s">
        <v>11</v>
      </c>
    </row>
    <row r="1146" spans="1:8" x14ac:dyDescent="0.3">
      <c r="A1146" t="s">
        <v>29</v>
      </c>
      <c r="B1146" t="s">
        <v>116</v>
      </c>
      <c r="C1146" t="s">
        <v>1456</v>
      </c>
      <c r="D1146">
        <v>3</v>
      </c>
      <c r="E1146" s="358">
        <v>3</v>
      </c>
      <c r="F1146" s="358" t="s">
        <v>7</v>
      </c>
      <c r="G1146" s="358" t="s">
        <v>115</v>
      </c>
      <c r="H1146" s="358" t="s">
        <v>11</v>
      </c>
    </row>
    <row r="1147" spans="1:8" x14ac:dyDescent="0.3">
      <c r="A1147" t="s">
        <v>29</v>
      </c>
      <c r="B1147" t="s">
        <v>116</v>
      </c>
      <c r="C1147" t="s">
        <v>1830</v>
      </c>
      <c r="D1147">
        <v>3</v>
      </c>
      <c r="E1147" s="358">
        <v>2</v>
      </c>
      <c r="F1147" s="358" t="s">
        <v>7</v>
      </c>
      <c r="G1147" s="358" t="s">
        <v>115</v>
      </c>
      <c r="H1147" s="358" t="s">
        <v>11</v>
      </c>
    </row>
    <row r="1148" spans="1:8" x14ac:dyDescent="0.3">
      <c r="A1148" t="s">
        <v>29</v>
      </c>
      <c r="B1148" t="s">
        <v>116</v>
      </c>
      <c r="C1148" t="s">
        <v>1359</v>
      </c>
      <c r="D1148">
        <v>3</v>
      </c>
      <c r="E1148" s="358">
        <v>3</v>
      </c>
      <c r="F1148" s="358" t="s">
        <v>7</v>
      </c>
      <c r="G1148" s="358" t="s">
        <v>115</v>
      </c>
      <c r="H1148" s="358" t="s">
        <v>11</v>
      </c>
    </row>
    <row r="1149" spans="1:8" x14ac:dyDescent="0.3">
      <c r="A1149" t="s">
        <v>29</v>
      </c>
      <c r="B1149" t="s">
        <v>116</v>
      </c>
      <c r="C1149" t="s">
        <v>2086</v>
      </c>
      <c r="D1149">
        <v>3</v>
      </c>
      <c r="E1149" s="358">
        <v>3</v>
      </c>
      <c r="F1149" s="358" t="s">
        <v>7</v>
      </c>
      <c r="G1149" s="358" t="s">
        <v>11</v>
      </c>
      <c r="H1149" s="358" t="s">
        <v>11</v>
      </c>
    </row>
    <row r="1150" spans="1:8" x14ac:dyDescent="0.3">
      <c r="A1150" t="s">
        <v>29</v>
      </c>
      <c r="B1150" t="s">
        <v>116</v>
      </c>
      <c r="C1150" t="s">
        <v>2087</v>
      </c>
      <c r="D1150">
        <v>3</v>
      </c>
      <c r="E1150" s="358">
        <v>3</v>
      </c>
      <c r="F1150" s="358" t="s">
        <v>7</v>
      </c>
      <c r="G1150" s="358" t="s">
        <v>115</v>
      </c>
      <c r="H1150" s="358" t="s">
        <v>11</v>
      </c>
    </row>
    <row r="1151" spans="1:8" x14ac:dyDescent="0.3">
      <c r="A1151" t="s">
        <v>29</v>
      </c>
      <c r="B1151" t="s">
        <v>116</v>
      </c>
      <c r="C1151" t="s">
        <v>2088</v>
      </c>
      <c r="D1151">
        <v>3</v>
      </c>
      <c r="E1151" s="358">
        <v>2</v>
      </c>
      <c r="F1151" s="358" t="s">
        <v>7</v>
      </c>
      <c r="G1151" s="358" t="s">
        <v>115</v>
      </c>
      <c r="H1151" s="358" t="s">
        <v>11</v>
      </c>
    </row>
    <row r="1152" spans="1:8" x14ac:dyDescent="0.3">
      <c r="A1152" t="s">
        <v>29</v>
      </c>
      <c r="B1152" t="s">
        <v>116</v>
      </c>
      <c r="C1152" t="s">
        <v>1464</v>
      </c>
      <c r="D1152">
        <v>3</v>
      </c>
      <c r="E1152" s="358">
        <v>3</v>
      </c>
      <c r="F1152" s="358" t="s">
        <v>7</v>
      </c>
      <c r="G1152" s="358" t="s">
        <v>115</v>
      </c>
      <c r="H1152" s="358" t="s">
        <v>11</v>
      </c>
    </row>
    <row r="1153" spans="1:8" x14ac:dyDescent="0.3">
      <c r="A1153" t="s">
        <v>29</v>
      </c>
      <c r="B1153" t="s">
        <v>116</v>
      </c>
      <c r="C1153" t="s">
        <v>2089</v>
      </c>
      <c r="D1153">
        <v>3</v>
      </c>
      <c r="E1153" s="358">
        <v>2</v>
      </c>
      <c r="F1153" s="358" t="s">
        <v>7</v>
      </c>
      <c r="G1153" s="358" t="s">
        <v>115</v>
      </c>
      <c r="H1153" s="358" t="s">
        <v>11</v>
      </c>
    </row>
    <row r="1154" spans="1:8" x14ac:dyDescent="0.3">
      <c r="A1154" t="s">
        <v>29</v>
      </c>
      <c r="B1154" t="s">
        <v>116</v>
      </c>
      <c r="C1154" t="s">
        <v>2090</v>
      </c>
      <c r="D1154">
        <v>3</v>
      </c>
      <c r="E1154" s="358">
        <v>2</v>
      </c>
      <c r="F1154" s="358" t="s">
        <v>7</v>
      </c>
      <c r="G1154" s="358" t="s">
        <v>115</v>
      </c>
      <c r="H1154" s="358" t="s">
        <v>11</v>
      </c>
    </row>
    <row r="1155" spans="1:8" x14ac:dyDescent="0.3">
      <c r="A1155" t="s">
        <v>29</v>
      </c>
      <c r="B1155" t="s">
        <v>116</v>
      </c>
      <c r="C1155" t="s">
        <v>2091</v>
      </c>
      <c r="D1155">
        <v>3</v>
      </c>
      <c r="E1155" s="358">
        <v>2</v>
      </c>
      <c r="F1155" s="358" t="s">
        <v>7</v>
      </c>
      <c r="G1155" s="358" t="s">
        <v>115</v>
      </c>
      <c r="H1155" s="358" t="s">
        <v>11</v>
      </c>
    </row>
    <row r="1156" spans="1:8" x14ac:dyDescent="0.3">
      <c r="A1156" t="s">
        <v>29</v>
      </c>
      <c r="B1156" t="s">
        <v>116</v>
      </c>
      <c r="C1156" t="s">
        <v>2092</v>
      </c>
      <c r="D1156">
        <v>3</v>
      </c>
      <c r="E1156" s="358">
        <v>3</v>
      </c>
      <c r="F1156" s="358" t="s">
        <v>7</v>
      </c>
      <c r="G1156" s="358" t="s">
        <v>115</v>
      </c>
      <c r="H1156" s="358" t="s">
        <v>11</v>
      </c>
    </row>
    <row r="1157" spans="1:8" x14ac:dyDescent="0.3">
      <c r="A1157" t="s">
        <v>29</v>
      </c>
      <c r="B1157" t="s">
        <v>116</v>
      </c>
      <c r="C1157" t="s">
        <v>1843</v>
      </c>
      <c r="D1157">
        <v>3</v>
      </c>
      <c r="E1157" s="358">
        <v>3</v>
      </c>
      <c r="F1157" s="358" t="s">
        <v>7</v>
      </c>
      <c r="G1157" s="358" t="s">
        <v>115</v>
      </c>
      <c r="H1157" s="358" t="s">
        <v>11</v>
      </c>
    </row>
    <row r="1158" spans="1:8" x14ac:dyDescent="0.3">
      <c r="A1158" t="s">
        <v>29</v>
      </c>
      <c r="B1158" t="s">
        <v>116</v>
      </c>
      <c r="C1158" t="s">
        <v>2093</v>
      </c>
      <c r="D1158">
        <v>3</v>
      </c>
      <c r="E1158" s="358">
        <v>3</v>
      </c>
      <c r="F1158" s="358" t="s">
        <v>7</v>
      </c>
      <c r="G1158" s="358" t="s">
        <v>115</v>
      </c>
      <c r="H1158" s="358" t="s">
        <v>11</v>
      </c>
    </row>
    <row r="1159" spans="1:8" x14ac:dyDescent="0.3">
      <c r="A1159" t="s">
        <v>29</v>
      </c>
      <c r="B1159" t="s">
        <v>116</v>
      </c>
      <c r="C1159" t="s">
        <v>2094</v>
      </c>
      <c r="D1159">
        <v>3</v>
      </c>
      <c r="E1159" s="358">
        <v>2</v>
      </c>
      <c r="F1159" s="358" t="s">
        <v>7</v>
      </c>
      <c r="G1159" s="358" t="s">
        <v>115</v>
      </c>
      <c r="H1159" s="358" t="s">
        <v>11</v>
      </c>
    </row>
    <row r="1160" spans="1:8" x14ac:dyDescent="0.3">
      <c r="A1160" t="s">
        <v>29</v>
      </c>
      <c r="B1160" t="s">
        <v>116</v>
      </c>
      <c r="C1160" t="s">
        <v>2095</v>
      </c>
      <c r="D1160">
        <v>3</v>
      </c>
      <c r="E1160" s="358">
        <v>2</v>
      </c>
      <c r="F1160" s="358" t="s">
        <v>7</v>
      </c>
      <c r="G1160" s="358" t="s">
        <v>115</v>
      </c>
      <c r="H1160" s="358" t="s">
        <v>11</v>
      </c>
    </row>
    <row r="1161" spans="1:8" x14ac:dyDescent="0.3">
      <c r="A1161" t="s">
        <v>29</v>
      </c>
      <c r="B1161" t="s">
        <v>116</v>
      </c>
      <c r="C1161" t="s">
        <v>2096</v>
      </c>
      <c r="D1161">
        <v>3</v>
      </c>
      <c r="E1161" s="358">
        <v>2</v>
      </c>
      <c r="F1161" s="358" t="s">
        <v>7</v>
      </c>
      <c r="G1161" s="358" t="s">
        <v>115</v>
      </c>
      <c r="H1161" s="358" t="s">
        <v>11</v>
      </c>
    </row>
    <row r="1162" spans="1:8" x14ac:dyDescent="0.3">
      <c r="A1162" t="s">
        <v>29</v>
      </c>
      <c r="B1162" t="s">
        <v>116</v>
      </c>
      <c r="C1162" t="s">
        <v>2097</v>
      </c>
      <c r="D1162">
        <v>3</v>
      </c>
      <c r="E1162" s="358">
        <v>2</v>
      </c>
      <c r="F1162" s="358" t="s">
        <v>7</v>
      </c>
      <c r="G1162" s="358" t="s">
        <v>115</v>
      </c>
      <c r="H1162" s="358" t="s">
        <v>11</v>
      </c>
    </row>
    <row r="1163" spans="1:8" x14ac:dyDescent="0.3">
      <c r="A1163" t="s">
        <v>29</v>
      </c>
      <c r="B1163" t="s">
        <v>116</v>
      </c>
      <c r="C1163" t="s">
        <v>2098</v>
      </c>
      <c r="D1163">
        <v>3</v>
      </c>
      <c r="E1163" s="358">
        <v>2</v>
      </c>
      <c r="F1163" s="358" t="s">
        <v>7</v>
      </c>
      <c r="G1163" s="358" t="s">
        <v>115</v>
      </c>
      <c r="H1163" s="358" t="s">
        <v>11</v>
      </c>
    </row>
    <row r="1164" spans="1:8" x14ac:dyDescent="0.3">
      <c r="A1164" t="s">
        <v>29</v>
      </c>
      <c r="B1164" t="s">
        <v>116</v>
      </c>
      <c r="C1164" t="s">
        <v>2099</v>
      </c>
      <c r="D1164">
        <v>3</v>
      </c>
      <c r="E1164" s="358">
        <v>2</v>
      </c>
      <c r="F1164" s="358" t="s">
        <v>7</v>
      </c>
      <c r="G1164" s="358" t="s">
        <v>115</v>
      </c>
      <c r="H1164" s="358" t="s">
        <v>11</v>
      </c>
    </row>
    <row r="1165" spans="1:8" x14ac:dyDescent="0.3">
      <c r="A1165" t="s">
        <v>29</v>
      </c>
      <c r="B1165" t="s">
        <v>116</v>
      </c>
      <c r="C1165" t="s">
        <v>2100</v>
      </c>
      <c r="D1165">
        <v>3</v>
      </c>
      <c r="E1165" s="358">
        <v>2</v>
      </c>
      <c r="F1165" s="358" t="s">
        <v>7</v>
      </c>
      <c r="G1165" s="358" t="s">
        <v>115</v>
      </c>
      <c r="H1165" s="358" t="s">
        <v>11</v>
      </c>
    </row>
    <row r="1166" spans="1:8" x14ac:dyDescent="0.3">
      <c r="A1166" t="s">
        <v>29</v>
      </c>
      <c r="B1166" t="s">
        <v>116</v>
      </c>
      <c r="C1166" t="s">
        <v>2101</v>
      </c>
      <c r="D1166">
        <v>3</v>
      </c>
      <c r="E1166" s="358">
        <v>2</v>
      </c>
      <c r="F1166" s="358" t="s">
        <v>7</v>
      </c>
      <c r="G1166" s="358" t="s">
        <v>115</v>
      </c>
      <c r="H1166" s="358" t="s">
        <v>11</v>
      </c>
    </row>
    <row r="1167" spans="1:8" x14ac:dyDescent="0.3">
      <c r="A1167" t="s">
        <v>29</v>
      </c>
      <c r="B1167" t="s">
        <v>116</v>
      </c>
      <c r="C1167" t="s">
        <v>2102</v>
      </c>
      <c r="D1167">
        <v>3</v>
      </c>
      <c r="E1167" s="358">
        <v>2</v>
      </c>
      <c r="F1167" s="358" t="s">
        <v>7</v>
      </c>
      <c r="G1167" s="358" t="s">
        <v>115</v>
      </c>
      <c r="H1167" s="358" t="s">
        <v>11</v>
      </c>
    </row>
    <row r="1168" spans="1:8" x14ac:dyDescent="0.3">
      <c r="A1168" t="s">
        <v>29</v>
      </c>
      <c r="B1168" t="s">
        <v>116</v>
      </c>
      <c r="C1168" t="s">
        <v>2103</v>
      </c>
      <c r="D1168">
        <v>3</v>
      </c>
      <c r="E1168" s="358">
        <v>2</v>
      </c>
      <c r="F1168" s="358" t="s">
        <v>7</v>
      </c>
      <c r="G1168" s="358" t="s">
        <v>115</v>
      </c>
      <c r="H1168" s="358" t="s">
        <v>11</v>
      </c>
    </row>
    <row r="1169" spans="1:8" x14ac:dyDescent="0.3">
      <c r="A1169" t="s">
        <v>29</v>
      </c>
      <c r="B1169" t="s">
        <v>116</v>
      </c>
      <c r="C1169" t="s">
        <v>2104</v>
      </c>
      <c r="D1169">
        <v>3</v>
      </c>
      <c r="E1169" s="358">
        <v>3</v>
      </c>
      <c r="F1169" s="358" t="s">
        <v>7</v>
      </c>
      <c r="G1169" s="358" t="s">
        <v>115</v>
      </c>
      <c r="H1169" s="358" t="s">
        <v>11</v>
      </c>
    </row>
    <row r="1170" spans="1:8" x14ac:dyDescent="0.3">
      <c r="A1170" t="s">
        <v>29</v>
      </c>
      <c r="B1170" t="s">
        <v>116</v>
      </c>
      <c r="C1170" t="s">
        <v>2105</v>
      </c>
      <c r="D1170">
        <v>3</v>
      </c>
      <c r="E1170" s="358">
        <v>2</v>
      </c>
      <c r="F1170" s="358" t="s">
        <v>7</v>
      </c>
      <c r="G1170" s="358" t="s">
        <v>115</v>
      </c>
      <c r="H1170" s="358" t="s">
        <v>11</v>
      </c>
    </row>
    <row r="1171" spans="1:8" x14ac:dyDescent="0.3">
      <c r="A1171" t="s">
        <v>29</v>
      </c>
      <c r="B1171" t="s">
        <v>116</v>
      </c>
      <c r="C1171" t="s">
        <v>1479</v>
      </c>
      <c r="D1171">
        <v>3</v>
      </c>
      <c r="E1171" s="358">
        <v>3</v>
      </c>
      <c r="F1171" s="358" t="s">
        <v>7</v>
      </c>
      <c r="G1171" s="358" t="s">
        <v>115</v>
      </c>
      <c r="H1171" s="358" t="s">
        <v>11</v>
      </c>
    </row>
    <row r="1172" spans="1:8" x14ac:dyDescent="0.3">
      <c r="A1172" t="s">
        <v>29</v>
      </c>
      <c r="B1172" t="s">
        <v>116</v>
      </c>
      <c r="C1172" t="s">
        <v>1850</v>
      </c>
      <c r="D1172">
        <v>3</v>
      </c>
      <c r="E1172" s="358">
        <v>2</v>
      </c>
      <c r="F1172" s="358" t="s">
        <v>7</v>
      </c>
      <c r="G1172" s="358" t="s">
        <v>115</v>
      </c>
      <c r="H1172" s="358" t="s">
        <v>11</v>
      </c>
    </row>
    <row r="1173" spans="1:8" x14ac:dyDescent="0.3">
      <c r="A1173" t="s">
        <v>29</v>
      </c>
      <c r="B1173" t="s">
        <v>116</v>
      </c>
      <c r="C1173" t="s">
        <v>2106</v>
      </c>
      <c r="D1173">
        <v>3</v>
      </c>
      <c r="E1173" s="358">
        <v>3</v>
      </c>
      <c r="F1173" s="358" t="s">
        <v>7</v>
      </c>
      <c r="G1173" s="358" t="s">
        <v>115</v>
      </c>
      <c r="H1173" s="358" t="s">
        <v>11</v>
      </c>
    </row>
    <row r="1174" spans="1:8" x14ac:dyDescent="0.3">
      <c r="A1174" t="s">
        <v>29</v>
      </c>
      <c r="B1174" t="s">
        <v>116</v>
      </c>
      <c r="C1174" t="s">
        <v>1379</v>
      </c>
      <c r="D1174">
        <v>3</v>
      </c>
      <c r="E1174" s="358">
        <v>2</v>
      </c>
      <c r="F1174" s="358" t="s">
        <v>7</v>
      </c>
      <c r="G1174" s="358" t="s">
        <v>115</v>
      </c>
      <c r="H1174" s="358" t="s">
        <v>11</v>
      </c>
    </row>
    <row r="1175" spans="1:8" x14ac:dyDescent="0.3">
      <c r="A1175" t="s">
        <v>29</v>
      </c>
      <c r="B1175" t="s">
        <v>116</v>
      </c>
      <c r="C1175" t="s">
        <v>1759</v>
      </c>
      <c r="D1175">
        <v>3</v>
      </c>
      <c r="E1175" s="358">
        <v>3</v>
      </c>
      <c r="F1175" s="358" t="s">
        <v>7</v>
      </c>
      <c r="G1175" s="358" t="s">
        <v>115</v>
      </c>
      <c r="H1175" s="358" t="s">
        <v>11</v>
      </c>
    </row>
    <row r="1176" spans="1:8" x14ac:dyDescent="0.3">
      <c r="A1176" t="s">
        <v>29</v>
      </c>
      <c r="B1176" t="s">
        <v>116</v>
      </c>
      <c r="C1176" t="s">
        <v>2107</v>
      </c>
      <c r="D1176">
        <v>3</v>
      </c>
      <c r="E1176" s="358">
        <v>2</v>
      </c>
      <c r="F1176" s="358" t="s">
        <v>7</v>
      </c>
      <c r="G1176" s="358" t="s">
        <v>115</v>
      </c>
      <c r="H1176" s="358" t="s">
        <v>11</v>
      </c>
    </row>
    <row r="1177" spans="1:8" x14ac:dyDescent="0.3">
      <c r="A1177" t="s">
        <v>29</v>
      </c>
      <c r="B1177" t="s">
        <v>116</v>
      </c>
      <c r="C1177" t="s">
        <v>2108</v>
      </c>
      <c r="D1177">
        <v>3</v>
      </c>
      <c r="E1177" s="358">
        <v>3</v>
      </c>
      <c r="F1177" s="358" t="s">
        <v>7</v>
      </c>
      <c r="G1177" s="358" t="s">
        <v>11</v>
      </c>
      <c r="H1177" s="358" t="s">
        <v>11</v>
      </c>
    </row>
    <row r="1178" spans="1:8" x14ac:dyDescent="0.3">
      <c r="A1178" t="s">
        <v>29</v>
      </c>
      <c r="B1178" t="s">
        <v>116</v>
      </c>
      <c r="C1178" t="s">
        <v>2109</v>
      </c>
      <c r="D1178">
        <v>3</v>
      </c>
      <c r="E1178" s="358">
        <v>2</v>
      </c>
      <c r="F1178" s="358" t="s">
        <v>7</v>
      </c>
      <c r="G1178" s="358" t="s">
        <v>115</v>
      </c>
      <c r="H1178" s="358" t="s">
        <v>11</v>
      </c>
    </row>
    <row r="1179" spans="1:8" x14ac:dyDescent="0.3">
      <c r="A1179" t="s">
        <v>29</v>
      </c>
      <c r="B1179" t="s">
        <v>116</v>
      </c>
      <c r="C1179" t="s">
        <v>2110</v>
      </c>
      <c r="D1179">
        <v>3</v>
      </c>
      <c r="E1179" s="358">
        <v>3</v>
      </c>
      <c r="F1179" s="358" t="s">
        <v>7</v>
      </c>
      <c r="G1179" s="358" t="s">
        <v>115</v>
      </c>
      <c r="H1179" s="358" t="s">
        <v>11</v>
      </c>
    </row>
    <row r="1180" spans="1:8" x14ac:dyDescent="0.3">
      <c r="A1180" t="s">
        <v>32</v>
      </c>
      <c r="B1180" t="s">
        <v>54</v>
      </c>
      <c r="C1180" t="s">
        <v>2111</v>
      </c>
      <c r="D1180">
        <v>1</v>
      </c>
      <c r="E1180" s="358">
        <v>6</v>
      </c>
      <c r="F1180" s="358" t="s">
        <v>7</v>
      </c>
      <c r="G1180" s="358" t="s">
        <v>11</v>
      </c>
      <c r="H1180" s="358" t="s">
        <v>11</v>
      </c>
    </row>
    <row r="1181" spans="1:8" x14ac:dyDescent="0.3">
      <c r="A1181" t="s">
        <v>32</v>
      </c>
      <c r="B1181" t="s">
        <v>54</v>
      </c>
      <c r="C1181" t="s">
        <v>2112</v>
      </c>
      <c r="D1181">
        <v>1</v>
      </c>
      <c r="E1181" s="358">
        <v>7</v>
      </c>
      <c r="F1181" s="358" t="s">
        <v>11</v>
      </c>
      <c r="G1181" s="358" t="s">
        <v>11</v>
      </c>
      <c r="H1181" s="358" t="s">
        <v>11</v>
      </c>
    </row>
    <row r="1182" spans="1:8" x14ac:dyDescent="0.3">
      <c r="A1182" t="s">
        <v>32</v>
      </c>
      <c r="B1182" t="s">
        <v>54</v>
      </c>
      <c r="C1182" t="s">
        <v>1812</v>
      </c>
      <c r="D1182">
        <v>1</v>
      </c>
      <c r="E1182" s="358">
        <v>6</v>
      </c>
      <c r="F1182" s="358" t="s">
        <v>7</v>
      </c>
      <c r="G1182" s="358" t="s">
        <v>11</v>
      </c>
      <c r="H1182" s="358" t="s">
        <v>11</v>
      </c>
    </row>
    <row r="1183" spans="1:8" x14ac:dyDescent="0.3">
      <c r="A1183" t="s">
        <v>32</v>
      </c>
      <c r="B1183" t="s">
        <v>54</v>
      </c>
      <c r="C1183" t="s">
        <v>1344</v>
      </c>
      <c r="D1183">
        <v>1</v>
      </c>
      <c r="E1183" s="358">
        <v>6</v>
      </c>
      <c r="F1183" s="358" t="s">
        <v>7</v>
      </c>
      <c r="G1183" s="358" t="s">
        <v>11</v>
      </c>
      <c r="H1183" s="358" t="s">
        <v>11</v>
      </c>
    </row>
    <row r="1184" spans="1:8" x14ac:dyDescent="0.3">
      <c r="A1184" t="s">
        <v>32</v>
      </c>
      <c r="B1184" t="s">
        <v>54</v>
      </c>
      <c r="C1184" t="s">
        <v>1708</v>
      </c>
      <c r="D1184">
        <v>1</v>
      </c>
      <c r="E1184" s="358">
        <v>6</v>
      </c>
      <c r="F1184" s="358" t="s">
        <v>7</v>
      </c>
      <c r="G1184" s="358" t="s">
        <v>11</v>
      </c>
      <c r="H1184" s="358" t="s">
        <v>11</v>
      </c>
    </row>
    <row r="1185" spans="1:8" x14ac:dyDescent="0.3">
      <c r="A1185" t="s">
        <v>32</v>
      </c>
      <c r="B1185" t="s">
        <v>54</v>
      </c>
      <c r="C1185" t="s">
        <v>2113</v>
      </c>
      <c r="D1185">
        <v>1</v>
      </c>
      <c r="E1185" s="358">
        <v>6</v>
      </c>
      <c r="F1185" s="358" t="s">
        <v>7</v>
      </c>
      <c r="G1185" s="358" t="s">
        <v>11</v>
      </c>
      <c r="H1185" s="358" t="s">
        <v>11</v>
      </c>
    </row>
    <row r="1186" spans="1:8" x14ac:dyDescent="0.3">
      <c r="A1186" t="s">
        <v>32</v>
      </c>
      <c r="B1186" t="s">
        <v>54</v>
      </c>
      <c r="C1186" t="s">
        <v>1828</v>
      </c>
      <c r="D1186">
        <v>2</v>
      </c>
      <c r="E1186" s="358">
        <v>6</v>
      </c>
      <c r="F1186" s="358" t="s">
        <v>7</v>
      </c>
      <c r="G1186" s="358" t="s">
        <v>11</v>
      </c>
      <c r="H1186" s="358" t="s">
        <v>11</v>
      </c>
    </row>
    <row r="1187" spans="1:8" x14ac:dyDescent="0.3">
      <c r="A1187" t="s">
        <v>32</v>
      </c>
      <c r="B1187" t="s">
        <v>54</v>
      </c>
      <c r="C1187" t="s">
        <v>1456</v>
      </c>
      <c r="D1187">
        <v>1</v>
      </c>
      <c r="E1187" s="358">
        <v>6</v>
      </c>
      <c r="F1187" s="358" t="s">
        <v>7</v>
      </c>
      <c r="G1187" s="358" t="s">
        <v>11</v>
      </c>
      <c r="H1187" s="358" t="s">
        <v>11</v>
      </c>
    </row>
    <row r="1188" spans="1:8" x14ac:dyDescent="0.3">
      <c r="A1188" t="s">
        <v>32</v>
      </c>
      <c r="B1188" t="s">
        <v>54</v>
      </c>
      <c r="C1188" t="s">
        <v>2114</v>
      </c>
      <c r="D1188">
        <v>1</v>
      </c>
      <c r="E1188" s="358">
        <v>6</v>
      </c>
      <c r="F1188" s="358" t="s">
        <v>7</v>
      </c>
      <c r="G1188" s="358" t="s">
        <v>11</v>
      </c>
      <c r="H1188" s="358" t="s">
        <v>11</v>
      </c>
    </row>
    <row r="1189" spans="1:8" x14ac:dyDescent="0.3">
      <c r="A1189" t="s">
        <v>32</v>
      </c>
      <c r="B1189" t="s">
        <v>54</v>
      </c>
      <c r="C1189" t="s">
        <v>2115</v>
      </c>
      <c r="D1189">
        <v>1</v>
      </c>
      <c r="E1189" s="358">
        <v>6</v>
      </c>
      <c r="F1189" s="358" t="s">
        <v>7</v>
      </c>
      <c r="G1189" s="358" t="s">
        <v>11</v>
      </c>
      <c r="H1189" s="358" t="s">
        <v>11</v>
      </c>
    </row>
    <row r="1190" spans="1:8" x14ac:dyDescent="0.3">
      <c r="A1190" t="s">
        <v>32</v>
      </c>
      <c r="B1190" t="s">
        <v>54</v>
      </c>
      <c r="C1190" t="s">
        <v>2116</v>
      </c>
      <c r="D1190">
        <v>1</v>
      </c>
      <c r="E1190" s="358">
        <v>6</v>
      </c>
      <c r="F1190" s="358" t="s">
        <v>7</v>
      </c>
      <c r="G1190" s="358" t="s">
        <v>11</v>
      </c>
      <c r="H1190" s="358" t="s">
        <v>11</v>
      </c>
    </row>
    <row r="1191" spans="1:8" x14ac:dyDescent="0.3">
      <c r="A1191" t="s">
        <v>32</v>
      </c>
      <c r="B1191" t="s">
        <v>54</v>
      </c>
      <c r="C1191" t="s">
        <v>2117</v>
      </c>
      <c r="D1191">
        <v>2</v>
      </c>
      <c r="E1191" s="358">
        <v>6</v>
      </c>
      <c r="F1191" s="358" t="s">
        <v>7</v>
      </c>
      <c r="G1191" s="358" t="s">
        <v>11</v>
      </c>
      <c r="H1191" s="358" t="s">
        <v>11</v>
      </c>
    </row>
    <row r="1192" spans="1:8" x14ac:dyDescent="0.3">
      <c r="A1192" t="s">
        <v>32</v>
      </c>
      <c r="B1192" t="s">
        <v>54</v>
      </c>
      <c r="C1192" t="s">
        <v>2118</v>
      </c>
      <c r="D1192">
        <v>1</v>
      </c>
      <c r="E1192" s="358">
        <v>6</v>
      </c>
      <c r="F1192" s="358" t="s">
        <v>7</v>
      </c>
      <c r="G1192" s="358" t="s">
        <v>11</v>
      </c>
      <c r="H1192" s="358" t="s">
        <v>11</v>
      </c>
    </row>
    <row r="1193" spans="1:8" x14ac:dyDescent="0.3">
      <c r="A1193" t="s">
        <v>32</v>
      </c>
      <c r="B1193" t="s">
        <v>54</v>
      </c>
      <c r="C1193" t="s">
        <v>2119</v>
      </c>
      <c r="D1193">
        <v>2</v>
      </c>
      <c r="E1193" s="358">
        <v>6</v>
      </c>
      <c r="F1193" s="358" t="s">
        <v>7</v>
      </c>
      <c r="G1193" s="358" t="s">
        <v>11</v>
      </c>
      <c r="H1193" s="358" t="s">
        <v>11</v>
      </c>
    </row>
    <row r="1194" spans="1:8" x14ac:dyDescent="0.3">
      <c r="A1194" t="s">
        <v>32</v>
      </c>
      <c r="B1194" t="s">
        <v>54</v>
      </c>
      <c r="C1194" t="s">
        <v>1379</v>
      </c>
      <c r="D1194">
        <v>2</v>
      </c>
      <c r="E1194" s="358">
        <v>6</v>
      </c>
      <c r="F1194" s="358" t="s">
        <v>7</v>
      </c>
      <c r="G1194" s="358" t="s">
        <v>11</v>
      </c>
      <c r="H1194" s="358" t="s">
        <v>11</v>
      </c>
    </row>
    <row r="1195" spans="1:8" x14ac:dyDescent="0.3">
      <c r="A1195" t="s">
        <v>32</v>
      </c>
      <c r="B1195" t="s">
        <v>54</v>
      </c>
      <c r="C1195" t="s">
        <v>2120</v>
      </c>
      <c r="D1195">
        <v>1</v>
      </c>
      <c r="E1195" s="358">
        <v>6</v>
      </c>
      <c r="F1195" s="358" t="s">
        <v>7</v>
      </c>
      <c r="G1195" s="358" t="s">
        <v>11</v>
      </c>
      <c r="H1195" s="358" t="s">
        <v>11</v>
      </c>
    </row>
    <row r="1196" spans="1:8" x14ac:dyDescent="0.3">
      <c r="A1196" t="s">
        <v>31</v>
      </c>
      <c r="B1196" t="s">
        <v>92</v>
      </c>
      <c r="C1196" t="s">
        <v>2121</v>
      </c>
      <c r="D1196">
        <v>2</v>
      </c>
      <c r="E1196" s="358">
        <v>4</v>
      </c>
      <c r="F1196" s="358" t="s">
        <v>7</v>
      </c>
      <c r="G1196" s="358" t="s">
        <v>11</v>
      </c>
      <c r="H1196" s="358" t="s">
        <v>11</v>
      </c>
    </row>
    <row r="1197" spans="1:8" x14ac:dyDescent="0.3">
      <c r="A1197" t="s">
        <v>31</v>
      </c>
      <c r="B1197" t="s">
        <v>92</v>
      </c>
      <c r="C1197" t="s">
        <v>2122</v>
      </c>
      <c r="D1197">
        <v>2</v>
      </c>
      <c r="E1197" s="358">
        <v>4</v>
      </c>
      <c r="F1197" s="358" t="s">
        <v>7</v>
      </c>
      <c r="G1197" s="358" t="s">
        <v>11</v>
      </c>
      <c r="H1197" s="358" t="s">
        <v>11</v>
      </c>
    </row>
    <row r="1198" spans="1:8" x14ac:dyDescent="0.3">
      <c r="A1198" t="s">
        <v>31</v>
      </c>
      <c r="B1198" t="s">
        <v>92</v>
      </c>
      <c r="C1198" t="s">
        <v>2123</v>
      </c>
      <c r="D1198">
        <v>1</v>
      </c>
      <c r="E1198" s="358">
        <v>4</v>
      </c>
      <c r="F1198" s="358" t="s">
        <v>7</v>
      </c>
      <c r="G1198" s="358" t="s">
        <v>11</v>
      </c>
      <c r="H1198" s="358" t="s">
        <v>11</v>
      </c>
    </row>
    <row r="1199" spans="1:8" x14ac:dyDescent="0.3">
      <c r="A1199" t="s">
        <v>31</v>
      </c>
      <c r="B1199" t="s">
        <v>92</v>
      </c>
      <c r="C1199" t="s">
        <v>2124</v>
      </c>
      <c r="D1199">
        <v>2</v>
      </c>
      <c r="E1199" s="358">
        <v>4</v>
      </c>
      <c r="F1199" s="358" t="s">
        <v>7</v>
      </c>
      <c r="G1199" s="358" t="s">
        <v>11</v>
      </c>
      <c r="H1199" s="358" t="s">
        <v>11</v>
      </c>
    </row>
    <row r="1200" spans="1:8" x14ac:dyDescent="0.3">
      <c r="A1200" t="s">
        <v>31</v>
      </c>
      <c r="B1200" t="s">
        <v>92</v>
      </c>
      <c r="C1200" t="s">
        <v>2125</v>
      </c>
      <c r="D1200">
        <v>1</v>
      </c>
      <c r="E1200" s="358">
        <v>4</v>
      </c>
      <c r="F1200" s="358" t="s">
        <v>7</v>
      </c>
      <c r="G1200" s="358" t="s">
        <v>11</v>
      </c>
      <c r="H1200" s="358" t="s">
        <v>11</v>
      </c>
    </row>
    <row r="1201" spans="1:8" x14ac:dyDescent="0.3">
      <c r="A1201" t="s">
        <v>31</v>
      </c>
      <c r="B1201" t="s">
        <v>92</v>
      </c>
      <c r="C1201" t="s">
        <v>2126</v>
      </c>
      <c r="D1201">
        <v>3</v>
      </c>
      <c r="E1201" s="358">
        <v>4</v>
      </c>
      <c r="F1201" s="358" t="s">
        <v>7</v>
      </c>
      <c r="G1201" s="358" t="s">
        <v>11</v>
      </c>
      <c r="H1201" s="358" t="s">
        <v>11</v>
      </c>
    </row>
    <row r="1202" spans="1:8" x14ac:dyDescent="0.3">
      <c r="A1202" t="s">
        <v>31</v>
      </c>
      <c r="B1202" t="s">
        <v>92</v>
      </c>
      <c r="C1202" t="s">
        <v>1433</v>
      </c>
      <c r="D1202">
        <v>1</v>
      </c>
      <c r="E1202" s="358">
        <v>4</v>
      </c>
      <c r="F1202" s="358" t="s">
        <v>7</v>
      </c>
      <c r="G1202" s="358" t="s">
        <v>11</v>
      </c>
      <c r="H1202" s="358" t="s">
        <v>11</v>
      </c>
    </row>
    <row r="1203" spans="1:8" x14ac:dyDescent="0.3">
      <c r="A1203" t="s">
        <v>31</v>
      </c>
      <c r="B1203" t="s">
        <v>92</v>
      </c>
      <c r="C1203" t="s">
        <v>2127</v>
      </c>
      <c r="D1203">
        <v>2</v>
      </c>
      <c r="E1203" s="358">
        <v>4</v>
      </c>
      <c r="F1203" s="358" t="s">
        <v>7</v>
      </c>
      <c r="G1203" s="358" t="s">
        <v>11</v>
      </c>
      <c r="H1203" s="358" t="s">
        <v>11</v>
      </c>
    </row>
    <row r="1204" spans="1:8" x14ac:dyDescent="0.3">
      <c r="A1204" t="s">
        <v>31</v>
      </c>
      <c r="B1204" t="s">
        <v>92</v>
      </c>
      <c r="C1204" t="s">
        <v>2128</v>
      </c>
      <c r="D1204">
        <v>2</v>
      </c>
      <c r="E1204" s="358">
        <v>4</v>
      </c>
      <c r="F1204" s="358" t="s">
        <v>7</v>
      </c>
      <c r="G1204" s="358" t="s">
        <v>11</v>
      </c>
      <c r="H1204" s="358" t="s">
        <v>11</v>
      </c>
    </row>
    <row r="1205" spans="1:8" x14ac:dyDescent="0.3">
      <c r="A1205" t="s">
        <v>31</v>
      </c>
      <c r="B1205" t="s">
        <v>92</v>
      </c>
      <c r="C1205" t="s">
        <v>2129</v>
      </c>
      <c r="D1205">
        <v>3</v>
      </c>
      <c r="E1205" s="358">
        <v>4</v>
      </c>
      <c r="F1205" s="358" t="s">
        <v>7</v>
      </c>
      <c r="G1205" s="358" t="s">
        <v>11</v>
      </c>
      <c r="H1205" s="358" t="s">
        <v>11</v>
      </c>
    </row>
    <row r="1206" spans="1:8" x14ac:dyDescent="0.3">
      <c r="A1206" t="s">
        <v>31</v>
      </c>
      <c r="B1206" t="s">
        <v>92</v>
      </c>
      <c r="C1206" t="s">
        <v>2130</v>
      </c>
      <c r="D1206">
        <v>1</v>
      </c>
      <c r="E1206" s="358">
        <v>4</v>
      </c>
      <c r="F1206" s="358" t="s">
        <v>7</v>
      </c>
      <c r="G1206" s="358" t="s">
        <v>11</v>
      </c>
      <c r="H1206" s="358" t="s">
        <v>11</v>
      </c>
    </row>
    <row r="1207" spans="1:8" x14ac:dyDescent="0.3">
      <c r="A1207" t="s">
        <v>31</v>
      </c>
      <c r="B1207" t="s">
        <v>92</v>
      </c>
      <c r="C1207" t="s">
        <v>2131</v>
      </c>
      <c r="D1207">
        <v>2</v>
      </c>
      <c r="E1207" s="358">
        <v>5</v>
      </c>
      <c r="F1207" s="358" t="s">
        <v>7</v>
      </c>
      <c r="G1207" s="358" t="s">
        <v>11</v>
      </c>
      <c r="H1207" s="358" t="s">
        <v>11</v>
      </c>
    </row>
    <row r="1208" spans="1:8" x14ac:dyDescent="0.3">
      <c r="A1208" t="s">
        <v>31</v>
      </c>
      <c r="B1208" t="s">
        <v>92</v>
      </c>
      <c r="C1208" t="s">
        <v>2132</v>
      </c>
      <c r="D1208">
        <v>1</v>
      </c>
      <c r="E1208" s="358">
        <v>4</v>
      </c>
      <c r="F1208" s="358" t="s">
        <v>7</v>
      </c>
      <c r="G1208" s="358" t="s">
        <v>11</v>
      </c>
      <c r="H1208" s="358" t="s">
        <v>11</v>
      </c>
    </row>
    <row r="1209" spans="1:8" x14ac:dyDescent="0.3">
      <c r="A1209" t="s">
        <v>31</v>
      </c>
      <c r="B1209" t="s">
        <v>92</v>
      </c>
      <c r="C1209" t="s">
        <v>1451</v>
      </c>
      <c r="D1209">
        <v>1</v>
      </c>
      <c r="E1209" s="358">
        <v>4</v>
      </c>
      <c r="F1209" s="358" t="s">
        <v>7</v>
      </c>
      <c r="G1209" s="358" t="s">
        <v>11</v>
      </c>
      <c r="H1209" s="358" t="s">
        <v>11</v>
      </c>
    </row>
    <row r="1210" spans="1:8" x14ac:dyDescent="0.3">
      <c r="A1210" t="s">
        <v>31</v>
      </c>
      <c r="B1210" t="s">
        <v>92</v>
      </c>
      <c r="C1210" t="s">
        <v>1603</v>
      </c>
      <c r="D1210">
        <v>3</v>
      </c>
      <c r="E1210" s="358">
        <v>4</v>
      </c>
      <c r="F1210" s="358" t="s">
        <v>7</v>
      </c>
      <c r="G1210" s="358" t="s">
        <v>11</v>
      </c>
      <c r="H1210" s="358" t="s">
        <v>11</v>
      </c>
    </row>
    <row r="1211" spans="1:8" x14ac:dyDescent="0.3">
      <c r="A1211" t="s">
        <v>31</v>
      </c>
      <c r="B1211" t="s">
        <v>92</v>
      </c>
      <c r="C1211" t="s">
        <v>1365</v>
      </c>
      <c r="D1211">
        <v>1</v>
      </c>
      <c r="E1211" s="358">
        <v>4</v>
      </c>
      <c r="F1211" s="358" t="s">
        <v>7</v>
      </c>
      <c r="G1211" s="358" t="s">
        <v>11</v>
      </c>
      <c r="H1211" s="358" t="s">
        <v>11</v>
      </c>
    </row>
    <row r="1212" spans="1:8" x14ac:dyDescent="0.3">
      <c r="A1212" t="s">
        <v>31</v>
      </c>
      <c r="B1212" t="s">
        <v>92</v>
      </c>
      <c r="C1212" t="s">
        <v>2133</v>
      </c>
      <c r="D1212">
        <v>2</v>
      </c>
      <c r="E1212" s="358">
        <v>4</v>
      </c>
      <c r="F1212" s="358" t="s">
        <v>7</v>
      </c>
      <c r="G1212" s="358" t="s">
        <v>11</v>
      </c>
      <c r="H1212" s="358" t="s">
        <v>11</v>
      </c>
    </row>
    <row r="1213" spans="1:8" x14ac:dyDescent="0.3">
      <c r="A1213" t="s">
        <v>31</v>
      </c>
      <c r="B1213" t="s">
        <v>92</v>
      </c>
      <c r="C1213" t="s">
        <v>2134</v>
      </c>
      <c r="D1213">
        <v>3</v>
      </c>
      <c r="E1213" s="358">
        <v>4</v>
      </c>
      <c r="F1213" s="358" t="s">
        <v>7</v>
      </c>
      <c r="G1213" s="358" t="s">
        <v>11</v>
      </c>
      <c r="H1213" s="358" t="s">
        <v>11</v>
      </c>
    </row>
    <row r="1214" spans="1:8" x14ac:dyDescent="0.3">
      <c r="A1214" t="s">
        <v>31</v>
      </c>
      <c r="B1214" t="s">
        <v>92</v>
      </c>
      <c r="C1214" t="s">
        <v>2135</v>
      </c>
      <c r="D1214">
        <v>2</v>
      </c>
      <c r="E1214" s="358">
        <v>4</v>
      </c>
      <c r="F1214" s="358" t="s">
        <v>7</v>
      </c>
      <c r="G1214" s="358" t="s">
        <v>11</v>
      </c>
      <c r="H1214" s="358" t="s">
        <v>11</v>
      </c>
    </row>
    <row r="1215" spans="1:8" x14ac:dyDescent="0.3">
      <c r="A1215" t="s">
        <v>31</v>
      </c>
      <c r="B1215" t="s">
        <v>92</v>
      </c>
      <c r="C1215" t="s">
        <v>2118</v>
      </c>
      <c r="D1215">
        <v>3</v>
      </c>
      <c r="E1215" s="358">
        <v>4</v>
      </c>
      <c r="F1215" s="358" t="s">
        <v>7</v>
      </c>
      <c r="G1215" s="358" t="s">
        <v>11</v>
      </c>
      <c r="H1215" s="358" t="s">
        <v>11</v>
      </c>
    </row>
    <row r="1216" spans="1:8" x14ac:dyDescent="0.3">
      <c r="A1216" t="s">
        <v>31</v>
      </c>
      <c r="B1216" t="s">
        <v>92</v>
      </c>
      <c r="C1216" t="s">
        <v>1742</v>
      </c>
      <c r="D1216">
        <v>3</v>
      </c>
      <c r="E1216" s="358">
        <v>4</v>
      </c>
      <c r="F1216" s="358" t="s">
        <v>7</v>
      </c>
      <c r="G1216" s="358" t="s">
        <v>11</v>
      </c>
      <c r="H1216" s="358" t="s">
        <v>11</v>
      </c>
    </row>
    <row r="1217" spans="1:8" x14ac:dyDescent="0.3">
      <c r="A1217" t="s">
        <v>31</v>
      </c>
      <c r="B1217" t="s">
        <v>92</v>
      </c>
      <c r="C1217" t="s">
        <v>1379</v>
      </c>
      <c r="D1217">
        <v>1</v>
      </c>
      <c r="E1217" s="358">
        <v>4</v>
      </c>
      <c r="F1217" s="358" t="s">
        <v>7</v>
      </c>
      <c r="G1217" s="358" t="s">
        <v>11</v>
      </c>
      <c r="H1217" s="358" t="s">
        <v>11</v>
      </c>
    </row>
    <row r="1218" spans="1:8" x14ac:dyDescent="0.3">
      <c r="A1218" t="s">
        <v>31</v>
      </c>
      <c r="B1218" t="s">
        <v>92</v>
      </c>
      <c r="C1218" t="s">
        <v>2136</v>
      </c>
      <c r="D1218">
        <v>3</v>
      </c>
      <c r="E1218" s="358">
        <v>4</v>
      </c>
      <c r="F1218" s="358" t="s">
        <v>7</v>
      </c>
      <c r="G1218" s="358" t="s">
        <v>11</v>
      </c>
      <c r="H1218" s="358" t="s">
        <v>11</v>
      </c>
    </row>
    <row r="1219" spans="1:8" x14ac:dyDescent="0.3">
      <c r="A1219" t="s">
        <v>31</v>
      </c>
      <c r="B1219" t="s">
        <v>92</v>
      </c>
      <c r="C1219" t="s">
        <v>2137</v>
      </c>
      <c r="D1219">
        <v>3</v>
      </c>
      <c r="E1219" s="358">
        <v>4</v>
      </c>
      <c r="F1219" s="358" t="s">
        <v>7</v>
      </c>
      <c r="G1219" s="358" t="s">
        <v>11</v>
      </c>
      <c r="H1219" s="358" t="s">
        <v>11</v>
      </c>
    </row>
    <row r="1220" spans="1:8" x14ac:dyDescent="0.3">
      <c r="A1220" t="s">
        <v>30</v>
      </c>
      <c r="B1220" t="s">
        <v>93</v>
      </c>
      <c r="C1220" t="s">
        <v>2138</v>
      </c>
      <c r="D1220">
        <v>2</v>
      </c>
      <c r="E1220" s="358">
        <v>5</v>
      </c>
      <c r="F1220" s="358" t="s">
        <v>7</v>
      </c>
      <c r="G1220" s="358" t="s">
        <v>11</v>
      </c>
      <c r="H1220" s="358" t="s">
        <v>11</v>
      </c>
    </row>
    <row r="1221" spans="1:8" x14ac:dyDescent="0.3">
      <c r="A1221" t="s">
        <v>30</v>
      </c>
      <c r="B1221" t="s">
        <v>93</v>
      </c>
      <c r="C1221" t="s">
        <v>2139</v>
      </c>
      <c r="D1221">
        <v>2</v>
      </c>
      <c r="E1221" s="358">
        <v>5</v>
      </c>
      <c r="F1221" s="358" t="s">
        <v>7</v>
      </c>
      <c r="G1221" s="358" t="s">
        <v>11</v>
      </c>
      <c r="H1221" s="358" t="s">
        <v>11</v>
      </c>
    </row>
    <row r="1222" spans="1:8" x14ac:dyDescent="0.3">
      <c r="A1222" t="s">
        <v>30</v>
      </c>
      <c r="B1222" t="s">
        <v>93</v>
      </c>
      <c r="C1222" t="s">
        <v>2140</v>
      </c>
      <c r="D1222">
        <v>2</v>
      </c>
      <c r="E1222" s="358">
        <v>5</v>
      </c>
      <c r="F1222" s="358" t="s">
        <v>7</v>
      </c>
      <c r="G1222" s="358" t="s">
        <v>11</v>
      </c>
      <c r="H1222" s="358" t="s">
        <v>11</v>
      </c>
    </row>
    <row r="1223" spans="1:8" x14ac:dyDescent="0.3">
      <c r="A1223" t="s">
        <v>30</v>
      </c>
      <c r="B1223" t="s">
        <v>93</v>
      </c>
      <c r="C1223" t="s">
        <v>2141</v>
      </c>
      <c r="D1223">
        <v>2</v>
      </c>
      <c r="E1223" s="358">
        <v>5</v>
      </c>
      <c r="F1223" s="358" t="s">
        <v>7</v>
      </c>
      <c r="G1223" s="358" t="s">
        <v>11</v>
      </c>
      <c r="H1223" s="358" t="s">
        <v>11</v>
      </c>
    </row>
    <row r="1224" spans="1:8" x14ac:dyDescent="0.3">
      <c r="A1224" t="s">
        <v>30</v>
      </c>
      <c r="B1224" t="s">
        <v>93</v>
      </c>
      <c r="C1224" t="s">
        <v>2142</v>
      </c>
      <c r="D1224">
        <v>1</v>
      </c>
      <c r="E1224" s="358">
        <v>5</v>
      </c>
      <c r="F1224" s="358" t="s">
        <v>7</v>
      </c>
      <c r="G1224" s="358" t="s">
        <v>11</v>
      </c>
      <c r="H1224" s="358" t="s">
        <v>11</v>
      </c>
    </row>
    <row r="1225" spans="1:8" x14ac:dyDescent="0.3">
      <c r="A1225" t="s">
        <v>30</v>
      </c>
      <c r="B1225" t="s">
        <v>93</v>
      </c>
      <c r="C1225" t="s">
        <v>1344</v>
      </c>
      <c r="D1225">
        <v>2</v>
      </c>
      <c r="E1225" s="358">
        <v>5</v>
      </c>
      <c r="F1225" s="358" t="s">
        <v>7</v>
      </c>
      <c r="G1225" s="358" t="s">
        <v>11</v>
      </c>
      <c r="H1225" s="358" t="s">
        <v>11</v>
      </c>
    </row>
    <row r="1226" spans="1:8" x14ac:dyDescent="0.3">
      <c r="A1226" t="s">
        <v>30</v>
      </c>
      <c r="B1226" t="s">
        <v>93</v>
      </c>
      <c r="C1226" t="s">
        <v>2143</v>
      </c>
      <c r="D1226">
        <v>2</v>
      </c>
      <c r="E1226" s="358">
        <v>5</v>
      </c>
      <c r="F1226" s="358" t="s">
        <v>7</v>
      </c>
      <c r="G1226" s="358" t="s">
        <v>11</v>
      </c>
      <c r="H1226" s="358" t="s">
        <v>11</v>
      </c>
    </row>
    <row r="1227" spans="1:8" x14ac:dyDescent="0.3">
      <c r="A1227" t="s">
        <v>30</v>
      </c>
      <c r="B1227" t="s">
        <v>93</v>
      </c>
      <c r="C1227" t="s">
        <v>2144</v>
      </c>
      <c r="D1227">
        <v>2</v>
      </c>
      <c r="E1227" s="358">
        <v>5</v>
      </c>
      <c r="F1227" s="358" t="s">
        <v>7</v>
      </c>
      <c r="G1227" s="358" t="s">
        <v>11</v>
      </c>
      <c r="H1227" s="358" t="s">
        <v>11</v>
      </c>
    </row>
    <row r="1228" spans="1:8" x14ac:dyDescent="0.3">
      <c r="A1228" t="s">
        <v>30</v>
      </c>
      <c r="B1228" t="s">
        <v>93</v>
      </c>
      <c r="C1228" t="s">
        <v>1598</v>
      </c>
      <c r="D1228">
        <v>1</v>
      </c>
      <c r="E1228" s="358">
        <v>5</v>
      </c>
      <c r="F1228" s="358" t="s">
        <v>7</v>
      </c>
      <c r="G1228" s="358" t="s">
        <v>11</v>
      </c>
      <c r="H1228" s="358" t="s">
        <v>11</v>
      </c>
    </row>
    <row r="1229" spans="1:8" x14ac:dyDescent="0.3">
      <c r="A1229" t="s">
        <v>30</v>
      </c>
      <c r="B1229" t="s">
        <v>93</v>
      </c>
      <c r="C1229" t="s">
        <v>2145</v>
      </c>
      <c r="D1229">
        <v>2</v>
      </c>
      <c r="E1229" s="358">
        <v>5</v>
      </c>
      <c r="F1229" s="358" t="s">
        <v>7</v>
      </c>
      <c r="G1229" s="358" t="s">
        <v>11</v>
      </c>
      <c r="H1229" s="358" t="s">
        <v>11</v>
      </c>
    </row>
    <row r="1230" spans="1:8" x14ac:dyDescent="0.3">
      <c r="A1230" t="s">
        <v>30</v>
      </c>
      <c r="B1230" t="s">
        <v>93</v>
      </c>
      <c r="C1230" t="s">
        <v>2146</v>
      </c>
      <c r="D1230">
        <v>2</v>
      </c>
      <c r="E1230" s="358">
        <v>5</v>
      </c>
      <c r="F1230" s="358" t="s">
        <v>7</v>
      </c>
      <c r="G1230" s="358" t="s">
        <v>11</v>
      </c>
      <c r="H1230" s="358" t="s">
        <v>11</v>
      </c>
    </row>
    <row r="1231" spans="1:8" x14ac:dyDescent="0.3">
      <c r="A1231" t="s">
        <v>30</v>
      </c>
      <c r="B1231" t="s">
        <v>93</v>
      </c>
      <c r="C1231" t="s">
        <v>1930</v>
      </c>
      <c r="D1231">
        <v>2</v>
      </c>
      <c r="E1231" s="358">
        <v>5</v>
      </c>
      <c r="F1231" s="358" t="s">
        <v>7</v>
      </c>
      <c r="G1231" s="358" t="s">
        <v>11</v>
      </c>
      <c r="H1231" s="358" t="s">
        <v>11</v>
      </c>
    </row>
    <row r="1232" spans="1:8" x14ac:dyDescent="0.3">
      <c r="A1232" t="s">
        <v>30</v>
      </c>
      <c r="B1232" t="s">
        <v>93</v>
      </c>
      <c r="C1232" t="s">
        <v>2147</v>
      </c>
      <c r="D1232">
        <v>3</v>
      </c>
      <c r="E1232" s="358">
        <v>5</v>
      </c>
      <c r="F1232" s="358" t="s">
        <v>7</v>
      </c>
      <c r="G1232" s="358" t="s">
        <v>11</v>
      </c>
      <c r="H1232" s="358" t="s">
        <v>11</v>
      </c>
    </row>
    <row r="1233" spans="1:8" x14ac:dyDescent="0.3">
      <c r="A1233" t="s">
        <v>30</v>
      </c>
      <c r="B1233" t="s">
        <v>93</v>
      </c>
      <c r="C1233" t="s">
        <v>2137</v>
      </c>
      <c r="D1233">
        <v>1</v>
      </c>
      <c r="E1233" s="358">
        <v>5</v>
      </c>
      <c r="F1233" s="358" t="s">
        <v>7</v>
      </c>
      <c r="G1233" s="358" t="s">
        <v>11</v>
      </c>
      <c r="H1233" s="358" t="s">
        <v>11</v>
      </c>
    </row>
    <row r="1234" spans="1:8" x14ac:dyDescent="0.3">
      <c r="A1234" t="s">
        <v>33</v>
      </c>
      <c r="B1234" t="s">
        <v>56</v>
      </c>
      <c r="C1234" t="s">
        <v>2148</v>
      </c>
      <c r="D1234">
        <v>2</v>
      </c>
      <c r="E1234" s="358">
        <v>6</v>
      </c>
      <c r="F1234" s="358" t="s">
        <v>7</v>
      </c>
      <c r="G1234" s="358" t="s">
        <v>11</v>
      </c>
      <c r="H1234" s="358" t="s">
        <v>11</v>
      </c>
    </row>
    <row r="1235" spans="1:8" x14ac:dyDescent="0.3">
      <c r="A1235" t="s">
        <v>33</v>
      </c>
      <c r="B1235" t="s">
        <v>56</v>
      </c>
      <c r="C1235" t="s">
        <v>2149</v>
      </c>
      <c r="D1235">
        <v>2</v>
      </c>
      <c r="E1235" s="358">
        <v>6</v>
      </c>
      <c r="F1235" s="358" t="s">
        <v>7</v>
      </c>
      <c r="G1235" s="358" t="s">
        <v>11</v>
      </c>
      <c r="H1235" s="358" t="s">
        <v>11</v>
      </c>
    </row>
    <row r="1236" spans="1:8" x14ac:dyDescent="0.3">
      <c r="A1236" t="s">
        <v>33</v>
      </c>
      <c r="B1236" t="s">
        <v>56</v>
      </c>
      <c r="C1236" t="s">
        <v>2150</v>
      </c>
      <c r="D1236">
        <v>3</v>
      </c>
      <c r="E1236" s="358">
        <v>5</v>
      </c>
      <c r="F1236" s="358" t="s">
        <v>7</v>
      </c>
      <c r="G1236" s="358" t="s">
        <v>11</v>
      </c>
      <c r="H1236" s="358" t="s">
        <v>11</v>
      </c>
    </row>
    <row r="1237" spans="1:8" x14ac:dyDescent="0.3">
      <c r="A1237" t="s">
        <v>33</v>
      </c>
      <c r="B1237" t="s">
        <v>56</v>
      </c>
      <c r="C1237" t="s">
        <v>2151</v>
      </c>
      <c r="D1237">
        <v>2</v>
      </c>
      <c r="E1237" s="358">
        <v>6</v>
      </c>
      <c r="F1237" s="358" t="s">
        <v>7</v>
      </c>
      <c r="G1237" s="358" t="s">
        <v>11</v>
      </c>
      <c r="H1237" s="358" t="s">
        <v>11</v>
      </c>
    </row>
    <row r="1238" spans="1:8" x14ac:dyDescent="0.3">
      <c r="A1238" t="s">
        <v>33</v>
      </c>
      <c r="B1238" t="s">
        <v>56</v>
      </c>
      <c r="C1238" t="s">
        <v>2152</v>
      </c>
      <c r="D1238">
        <v>2</v>
      </c>
      <c r="E1238" s="358">
        <v>6</v>
      </c>
      <c r="F1238" s="358" t="s">
        <v>7</v>
      </c>
      <c r="G1238" s="358" t="s">
        <v>11</v>
      </c>
      <c r="H1238" s="358" t="s">
        <v>11</v>
      </c>
    </row>
    <row r="1239" spans="1:8" x14ac:dyDescent="0.3">
      <c r="A1239" t="s">
        <v>33</v>
      </c>
      <c r="B1239" t="s">
        <v>56</v>
      </c>
      <c r="C1239" t="s">
        <v>2153</v>
      </c>
      <c r="D1239">
        <v>3</v>
      </c>
      <c r="E1239" s="358">
        <v>6</v>
      </c>
      <c r="F1239" s="358" t="s">
        <v>7</v>
      </c>
      <c r="G1239" s="358" t="s">
        <v>11</v>
      </c>
      <c r="H1239" s="358" t="s">
        <v>11</v>
      </c>
    </row>
    <row r="1240" spans="1:8" x14ac:dyDescent="0.3">
      <c r="A1240" t="s">
        <v>33</v>
      </c>
      <c r="B1240" t="s">
        <v>56</v>
      </c>
      <c r="C1240" t="s">
        <v>2154</v>
      </c>
      <c r="D1240">
        <v>2</v>
      </c>
      <c r="E1240" s="358">
        <v>7</v>
      </c>
      <c r="F1240" s="358" t="s">
        <v>11</v>
      </c>
      <c r="G1240" s="358" t="s">
        <v>11</v>
      </c>
      <c r="H1240" s="358" t="s">
        <v>11</v>
      </c>
    </row>
    <row r="1241" spans="1:8" x14ac:dyDescent="0.3">
      <c r="A1241" t="s">
        <v>33</v>
      </c>
      <c r="B1241" t="s">
        <v>56</v>
      </c>
      <c r="C1241" t="s">
        <v>2155</v>
      </c>
      <c r="D1241">
        <v>2</v>
      </c>
      <c r="E1241" s="358">
        <v>5</v>
      </c>
      <c r="F1241" s="358" t="s">
        <v>7</v>
      </c>
      <c r="G1241" s="358" t="s">
        <v>11</v>
      </c>
      <c r="H1241" s="358" t="s">
        <v>11</v>
      </c>
    </row>
    <row r="1242" spans="1:8" x14ac:dyDescent="0.3">
      <c r="A1242" t="s">
        <v>33</v>
      </c>
      <c r="B1242" t="s">
        <v>56</v>
      </c>
      <c r="C1242" t="s">
        <v>1609</v>
      </c>
      <c r="D1242">
        <v>3</v>
      </c>
      <c r="E1242" s="358">
        <v>5</v>
      </c>
      <c r="F1242" s="358" t="s">
        <v>7</v>
      </c>
      <c r="G1242" s="358" t="s">
        <v>11</v>
      </c>
      <c r="H1242" s="358" t="s">
        <v>11</v>
      </c>
    </row>
    <row r="1243" spans="1:8" x14ac:dyDescent="0.3">
      <c r="A1243" t="s">
        <v>33</v>
      </c>
      <c r="B1243" t="s">
        <v>56</v>
      </c>
      <c r="C1243" t="s">
        <v>2156</v>
      </c>
      <c r="D1243">
        <v>3</v>
      </c>
      <c r="E1243" s="358">
        <v>6</v>
      </c>
      <c r="F1243" s="358" t="s">
        <v>7</v>
      </c>
      <c r="G1243" s="358" t="s">
        <v>11</v>
      </c>
      <c r="H1243" s="358" t="s">
        <v>11</v>
      </c>
    </row>
    <row r="1244" spans="1:8" x14ac:dyDescent="0.3">
      <c r="A1244" t="s">
        <v>33</v>
      </c>
      <c r="B1244" t="s">
        <v>56</v>
      </c>
      <c r="C1244" t="s">
        <v>1663</v>
      </c>
      <c r="D1244">
        <v>3</v>
      </c>
      <c r="E1244" s="358">
        <v>5</v>
      </c>
      <c r="F1244" s="358" t="s">
        <v>7</v>
      </c>
      <c r="G1244" s="358" t="s">
        <v>11</v>
      </c>
      <c r="H1244" s="358" t="s">
        <v>11</v>
      </c>
    </row>
    <row r="1245" spans="1:8" x14ac:dyDescent="0.3">
      <c r="A1245" t="s">
        <v>33</v>
      </c>
      <c r="B1245" t="s">
        <v>56</v>
      </c>
      <c r="C1245" t="s">
        <v>2157</v>
      </c>
      <c r="D1245">
        <v>1</v>
      </c>
      <c r="E1245" s="358">
        <v>5</v>
      </c>
      <c r="F1245" s="358" t="s">
        <v>7</v>
      </c>
      <c r="G1245" s="358" t="s">
        <v>11</v>
      </c>
      <c r="H1245" s="358" t="s">
        <v>11</v>
      </c>
    </row>
    <row r="1246" spans="1:8" x14ac:dyDescent="0.3">
      <c r="A1246" t="s">
        <v>33</v>
      </c>
      <c r="B1246" t="s">
        <v>56</v>
      </c>
      <c r="C1246" t="s">
        <v>1322</v>
      </c>
      <c r="D1246">
        <v>1</v>
      </c>
      <c r="E1246" s="358">
        <v>5</v>
      </c>
      <c r="F1246" s="358" t="s">
        <v>7</v>
      </c>
      <c r="G1246" s="358" t="s">
        <v>11</v>
      </c>
      <c r="H1246" s="358" t="s">
        <v>11</v>
      </c>
    </row>
    <row r="1247" spans="1:8" x14ac:dyDescent="0.3">
      <c r="A1247" t="s">
        <v>33</v>
      </c>
      <c r="B1247" t="s">
        <v>56</v>
      </c>
      <c r="C1247" t="s">
        <v>1807</v>
      </c>
      <c r="D1247">
        <v>1</v>
      </c>
      <c r="E1247" s="358">
        <v>5</v>
      </c>
      <c r="F1247" s="358" t="s">
        <v>7</v>
      </c>
      <c r="G1247" s="358" t="s">
        <v>11</v>
      </c>
      <c r="H1247" s="358" t="s">
        <v>11</v>
      </c>
    </row>
    <row r="1248" spans="1:8" x14ac:dyDescent="0.3">
      <c r="A1248" t="s">
        <v>33</v>
      </c>
      <c r="B1248" t="s">
        <v>56</v>
      </c>
      <c r="C1248" t="s">
        <v>2158</v>
      </c>
      <c r="D1248">
        <v>2</v>
      </c>
      <c r="E1248" s="358">
        <v>6</v>
      </c>
      <c r="F1248" s="358" t="s">
        <v>7</v>
      </c>
      <c r="G1248" s="358" t="s">
        <v>11</v>
      </c>
      <c r="H1248" s="358" t="s">
        <v>11</v>
      </c>
    </row>
    <row r="1249" spans="1:8" x14ac:dyDescent="0.3">
      <c r="A1249" t="s">
        <v>33</v>
      </c>
      <c r="B1249" t="s">
        <v>56</v>
      </c>
      <c r="C1249" t="s">
        <v>2159</v>
      </c>
      <c r="D1249">
        <v>3</v>
      </c>
      <c r="E1249" s="358">
        <v>6</v>
      </c>
      <c r="F1249" s="358" t="s">
        <v>7</v>
      </c>
      <c r="G1249" s="358" t="s">
        <v>11</v>
      </c>
      <c r="H1249" s="358" t="s">
        <v>11</v>
      </c>
    </row>
    <row r="1250" spans="1:8" x14ac:dyDescent="0.3">
      <c r="A1250" t="s">
        <v>33</v>
      </c>
      <c r="B1250" t="s">
        <v>56</v>
      </c>
      <c r="C1250" t="s">
        <v>2160</v>
      </c>
      <c r="D1250">
        <v>3</v>
      </c>
      <c r="E1250" s="358">
        <v>7</v>
      </c>
      <c r="F1250" s="358" t="s">
        <v>11</v>
      </c>
      <c r="G1250" s="358" t="s">
        <v>11</v>
      </c>
      <c r="H1250" s="358" t="s">
        <v>11</v>
      </c>
    </row>
    <row r="1251" spans="1:8" x14ac:dyDescent="0.3">
      <c r="A1251" t="s">
        <v>33</v>
      </c>
      <c r="B1251" t="s">
        <v>56</v>
      </c>
      <c r="C1251" t="s">
        <v>2161</v>
      </c>
      <c r="D1251">
        <v>3</v>
      </c>
      <c r="E1251" s="358">
        <v>6</v>
      </c>
      <c r="F1251" s="358" t="s">
        <v>7</v>
      </c>
      <c r="G1251" s="358" t="s">
        <v>11</v>
      </c>
      <c r="H1251" s="358" t="s">
        <v>11</v>
      </c>
    </row>
    <row r="1252" spans="1:8" x14ac:dyDescent="0.3">
      <c r="A1252" t="s">
        <v>33</v>
      </c>
      <c r="B1252" t="s">
        <v>56</v>
      </c>
      <c r="C1252" t="s">
        <v>1810</v>
      </c>
      <c r="D1252">
        <v>2</v>
      </c>
      <c r="E1252" s="358">
        <v>5</v>
      </c>
      <c r="F1252" s="358" t="s">
        <v>7</v>
      </c>
      <c r="G1252" s="358" t="s">
        <v>11</v>
      </c>
      <c r="H1252" s="358" t="s">
        <v>11</v>
      </c>
    </row>
    <row r="1253" spans="1:8" x14ac:dyDescent="0.3">
      <c r="A1253" t="s">
        <v>33</v>
      </c>
      <c r="B1253" t="s">
        <v>56</v>
      </c>
      <c r="C1253" t="s">
        <v>1440</v>
      </c>
      <c r="D1253">
        <v>3</v>
      </c>
      <c r="E1253" s="358">
        <v>6</v>
      </c>
      <c r="F1253" s="358" t="s">
        <v>7</v>
      </c>
      <c r="G1253" s="358" t="s">
        <v>11</v>
      </c>
      <c r="H1253" s="358" t="s">
        <v>11</v>
      </c>
    </row>
    <row r="1254" spans="1:8" x14ac:dyDescent="0.3">
      <c r="A1254" t="s">
        <v>33</v>
      </c>
      <c r="B1254" t="s">
        <v>56</v>
      </c>
      <c r="C1254" t="s">
        <v>1555</v>
      </c>
      <c r="D1254">
        <v>3</v>
      </c>
      <c r="E1254" s="358">
        <v>6</v>
      </c>
      <c r="F1254" s="358" t="s">
        <v>7</v>
      </c>
      <c r="G1254" s="358" t="s">
        <v>11</v>
      </c>
      <c r="H1254" s="358" t="s">
        <v>11</v>
      </c>
    </row>
    <row r="1255" spans="1:8" x14ac:dyDescent="0.3">
      <c r="A1255" t="s">
        <v>33</v>
      </c>
      <c r="B1255" t="s">
        <v>56</v>
      </c>
      <c r="C1255" t="s">
        <v>1911</v>
      </c>
      <c r="D1255">
        <v>2</v>
      </c>
      <c r="E1255" s="358">
        <v>6</v>
      </c>
      <c r="F1255" s="358" t="s">
        <v>7</v>
      </c>
      <c r="G1255" s="358" t="s">
        <v>11</v>
      </c>
      <c r="H1255" s="358" t="s">
        <v>11</v>
      </c>
    </row>
    <row r="1256" spans="1:8" x14ac:dyDescent="0.3">
      <c r="A1256" t="s">
        <v>33</v>
      </c>
      <c r="B1256" t="s">
        <v>56</v>
      </c>
      <c r="C1256" t="s">
        <v>2162</v>
      </c>
      <c r="D1256">
        <v>2</v>
      </c>
      <c r="E1256" s="358">
        <v>5</v>
      </c>
      <c r="F1256" s="358" t="s">
        <v>7</v>
      </c>
      <c r="G1256" s="358" t="s">
        <v>11</v>
      </c>
      <c r="H1256" s="358" t="s">
        <v>11</v>
      </c>
    </row>
    <row r="1257" spans="1:8" x14ac:dyDescent="0.3">
      <c r="A1257" t="s">
        <v>33</v>
      </c>
      <c r="B1257" t="s">
        <v>56</v>
      </c>
      <c r="C1257" t="s">
        <v>1913</v>
      </c>
      <c r="D1257">
        <v>2</v>
      </c>
      <c r="E1257" s="358">
        <v>6</v>
      </c>
      <c r="F1257" s="358" t="s">
        <v>7</v>
      </c>
      <c r="G1257" s="358" t="s">
        <v>11</v>
      </c>
      <c r="H1257" s="358" t="s">
        <v>11</v>
      </c>
    </row>
    <row r="1258" spans="1:8" x14ac:dyDescent="0.3">
      <c r="A1258" t="s">
        <v>33</v>
      </c>
      <c r="B1258" t="s">
        <v>56</v>
      </c>
      <c r="C1258" t="s">
        <v>2163</v>
      </c>
      <c r="D1258">
        <v>2</v>
      </c>
      <c r="E1258" s="358">
        <v>5</v>
      </c>
      <c r="F1258" s="358" t="s">
        <v>7</v>
      </c>
      <c r="G1258" s="358" t="s">
        <v>11</v>
      </c>
      <c r="H1258" s="358" t="s">
        <v>11</v>
      </c>
    </row>
    <row r="1259" spans="1:8" x14ac:dyDescent="0.3">
      <c r="A1259" t="s">
        <v>33</v>
      </c>
      <c r="B1259" t="s">
        <v>56</v>
      </c>
      <c r="C1259" t="s">
        <v>2164</v>
      </c>
      <c r="D1259">
        <v>3</v>
      </c>
      <c r="E1259" s="358">
        <v>6</v>
      </c>
      <c r="F1259" s="358" t="s">
        <v>7</v>
      </c>
      <c r="G1259" s="358" t="s">
        <v>11</v>
      </c>
      <c r="H1259" s="358" t="s">
        <v>11</v>
      </c>
    </row>
    <row r="1260" spans="1:8" x14ac:dyDescent="0.3">
      <c r="A1260" t="s">
        <v>33</v>
      </c>
      <c r="B1260" t="s">
        <v>56</v>
      </c>
      <c r="C1260" t="s">
        <v>2165</v>
      </c>
      <c r="D1260">
        <v>2</v>
      </c>
      <c r="E1260" s="358">
        <v>7</v>
      </c>
      <c r="F1260" s="358" t="s">
        <v>11</v>
      </c>
      <c r="G1260" s="358" t="s">
        <v>11</v>
      </c>
      <c r="H1260" s="358" t="s">
        <v>11</v>
      </c>
    </row>
    <row r="1261" spans="1:8" x14ac:dyDescent="0.3">
      <c r="A1261" t="s">
        <v>33</v>
      </c>
      <c r="B1261" t="s">
        <v>56</v>
      </c>
      <c r="C1261" t="s">
        <v>2166</v>
      </c>
      <c r="D1261">
        <v>3</v>
      </c>
      <c r="E1261" s="358">
        <v>6</v>
      </c>
      <c r="F1261" s="358" t="s">
        <v>7</v>
      </c>
      <c r="G1261" s="358" t="s">
        <v>11</v>
      </c>
      <c r="H1261" s="358" t="s">
        <v>11</v>
      </c>
    </row>
    <row r="1262" spans="1:8" x14ac:dyDescent="0.3">
      <c r="A1262" t="s">
        <v>33</v>
      </c>
      <c r="B1262" t="s">
        <v>56</v>
      </c>
      <c r="C1262" t="s">
        <v>2167</v>
      </c>
      <c r="D1262">
        <v>3</v>
      </c>
      <c r="E1262" s="358">
        <v>5</v>
      </c>
      <c r="F1262" s="358" t="s">
        <v>7</v>
      </c>
      <c r="G1262" s="358" t="s">
        <v>11</v>
      </c>
      <c r="H1262" s="358" t="s">
        <v>11</v>
      </c>
    </row>
    <row r="1263" spans="1:8" x14ac:dyDescent="0.3">
      <c r="A1263" t="s">
        <v>33</v>
      </c>
      <c r="B1263" t="s">
        <v>56</v>
      </c>
      <c r="C1263" t="s">
        <v>2168</v>
      </c>
      <c r="D1263">
        <v>1</v>
      </c>
      <c r="E1263" s="358">
        <v>5</v>
      </c>
      <c r="F1263" s="358" t="s">
        <v>7</v>
      </c>
      <c r="G1263" s="358" t="s">
        <v>11</v>
      </c>
      <c r="H1263" s="358" t="s">
        <v>11</v>
      </c>
    </row>
    <row r="1264" spans="1:8" x14ac:dyDescent="0.3">
      <c r="A1264" t="s">
        <v>33</v>
      </c>
      <c r="B1264" t="s">
        <v>56</v>
      </c>
      <c r="C1264" t="s">
        <v>2169</v>
      </c>
      <c r="D1264">
        <v>2</v>
      </c>
      <c r="E1264" s="358">
        <v>7</v>
      </c>
      <c r="F1264" s="358" t="s">
        <v>11</v>
      </c>
      <c r="G1264" s="358" t="s">
        <v>11</v>
      </c>
      <c r="H1264" s="358" t="s">
        <v>11</v>
      </c>
    </row>
    <row r="1265" spans="1:8" x14ac:dyDescent="0.3">
      <c r="A1265" t="s">
        <v>33</v>
      </c>
      <c r="B1265" t="s">
        <v>56</v>
      </c>
      <c r="C1265" t="s">
        <v>2170</v>
      </c>
      <c r="D1265">
        <v>3</v>
      </c>
      <c r="E1265" s="358">
        <v>6</v>
      </c>
      <c r="F1265" s="358" t="s">
        <v>7</v>
      </c>
      <c r="G1265" s="358" t="s">
        <v>11</v>
      </c>
      <c r="H1265" s="358" t="s">
        <v>11</v>
      </c>
    </row>
    <row r="1266" spans="1:8" x14ac:dyDescent="0.3">
      <c r="A1266" t="s">
        <v>33</v>
      </c>
      <c r="B1266" t="s">
        <v>56</v>
      </c>
      <c r="C1266" t="s">
        <v>2171</v>
      </c>
      <c r="D1266">
        <v>2</v>
      </c>
      <c r="E1266" s="358">
        <v>5</v>
      </c>
      <c r="F1266" s="358" t="s">
        <v>7</v>
      </c>
      <c r="G1266" s="358" t="s">
        <v>11</v>
      </c>
      <c r="H1266" s="358" t="s">
        <v>11</v>
      </c>
    </row>
    <row r="1267" spans="1:8" x14ac:dyDescent="0.3">
      <c r="A1267" t="s">
        <v>33</v>
      </c>
      <c r="B1267" t="s">
        <v>56</v>
      </c>
      <c r="C1267" t="s">
        <v>2172</v>
      </c>
      <c r="D1267">
        <v>2</v>
      </c>
      <c r="E1267" s="358">
        <v>5</v>
      </c>
      <c r="F1267" s="358" t="s">
        <v>7</v>
      </c>
      <c r="G1267" s="358" t="s">
        <v>11</v>
      </c>
      <c r="H1267" s="358" t="s">
        <v>11</v>
      </c>
    </row>
    <row r="1268" spans="1:8" x14ac:dyDescent="0.3">
      <c r="A1268" t="s">
        <v>33</v>
      </c>
      <c r="B1268" t="s">
        <v>56</v>
      </c>
      <c r="C1268" t="s">
        <v>2173</v>
      </c>
      <c r="D1268">
        <v>3</v>
      </c>
      <c r="E1268" s="358">
        <v>6</v>
      </c>
      <c r="F1268" s="358" t="s">
        <v>7</v>
      </c>
      <c r="G1268" s="358" t="s">
        <v>11</v>
      </c>
      <c r="H1268" s="358" t="s">
        <v>11</v>
      </c>
    </row>
    <row r="1269" spans="1:8" x14ac:dyDescent="0.3">
      <c r="A1269" t="s">
        <v>33</v>
      </c>
      <c r="B1269" t="s">
        <v>56</v>
      </c>
      <c r="C1269" t="s">
        <v>2174</v>
      </c>
      <c r="D1269">
        <v>2</v>
      </c>
      <c r="E1269" s="358">
        <v>7</v>
      </c>
      <c r="F1269" s="358" t="s">
        <v>11</v>
      </c>
      <c r="G1269" s="358" t="s">
        <v>11</v>
      </c>
      <c r="H1269" s="358" t="s">
        <v>11</v>
      </c>
    </row>
    <row r="1270" spans="1:8" x14ac:dyDescent="0.3">
      <c r="A1270" t="s">
        <v>33</v>
      </c>
      <c r="B1270" t="s">
        <v>56</v>
      </c>
      <c r="C1270" t="s">
        <v>2175</v>
      </c>
      <c r="D1270">
        <v>3</v>
      </c>
      <c r="E1270" s="358">
        <v>6</v>
      </c>
      <c r="F1270" s="358" t="s">
        <v>7</v>
      </c>
      <c r="G1270" s="358" t="s">
        <v>11</v>
      </c>
      <c r="H1270" s="358" t="s">
        <v>11</v>
      </c>
    </row>
    <row r="1271" spans="1:8" x14ac:dyDescent="0.3">
      <c r="A1271" t="s">
        <v>33</v>
      </c>
      <c r="B1271" t="s">
        <v>56</v>
      </c>
      <c r="C1271" t="s">
        <v>1350</v>
      </c>
      <c r="D1271">
        <v>1</v>
      </c>
      <c r="E1271" s="358">
        <v>5</v>
      </c>
      <c r="F1271" s="358" t="s">
        <v>7</v>
      </c>
      <c r="G1271" s="358" t="s">
        <v>11</v>
      </c>
      <c r="H1271" s="358" t="s">
        <v>11</v>
      </c>
    </row>
    <row r="1272" spans="1:8" x14ac:dyDescent="0.3">
      <c r="A1272" t="s">
        <v>33</v>
      </c>
      <c r="B1272" t="s">
        <v>56</v>
      </c>
      <c r="C1272" t="s">
        <v>2176</v>
      </c>
      <c r="D1272">
        <v>1</v>
      </c>
      <c r="E1272" s="358">
        <v>5</v>
      </c>
      <c r="F1272" s="358" t="s">
        <v>7</v>
      </c>
      <c r="G1272" s="358" t="s">
        <v>11</v>
      </c>
      <c r="H1272" s="358" t="s">
        <v>11</v>
      </c>
    </row>
    <row r="1273" spans="1:8" x14ac:dyDescent="0.3">
      <c r="A1273" t="s">
        <v>33</v>
      </c>
      <c r="B1273" t="s">
        <v>56</v>
      </c>
      <c r="C1273" t="s">
        <v>2177</v>
      </c>
      <c r="D1273">
        <v>3</v>
      </c>
      <c r="E1273" s="358">
        <v>6</v>
      </c>
      <c r="F1273" s="358" t="s">
        <v>7</v>
      </c>
      <c r="G1273" s="358" t="s">
        <v>11</v>
      </c>
      <c r="H1273" s="358" t="s">
        <v>11</v>
      </c>
    </row>
    <row r="1274" spans="1:8" x14ac:dyDescent="0.3">
      <c r="A1274" t="s">
        <v>33</v>
      </c>
      <c r="B1274" t="s">
        <v>56</v>
      </c>
      <c r="C1274" t="s">
        <v>1603</v>
      </c>
      <c r="D1274">
        <v>2</v>
      </c>
      <c r="E1274" s="358">
        <v>5</v>
      </c>
      <c r="F1274" s="358" t="s">
        <v>7</v>
      </c>
      <c r="G1274" s="358" t="s">
        <v>11</v>
      </c>
      <c r="H1274" s="358" t="s">
        <v>11</v>
      </c>
    </row>
    <row r="1275" spans="1:8" x14ac:dyDescent="0.3">
      <c r="A1275" t="s">
        <v>33</v>
      </c>
      <c r="B1275" t="s">
        <v>56</v>
      </c>
      <c r="C1275" t="s">
        <v>2178</v>
      </c>
      <c r="D1275">
        <v>2</v>
      </c>
      <c r="E1275" s="358">
        <v>7</v>
      </c>
      <c r="F1275" s="358" t="s">
        <v>11</v>
      </c>
      <c r="G1275" s="358" t="s">
        <v>11</v>
      </c>
      <c r="H1275" s="358" t="s">
        <v>11</v>
      </c>
    </row>
    <row r="1276" spans="1:8" x14ac:dyDescent="0.3">
      <c r="A1276" t="s">
        <v>33</v>
      </c>
      <c r="B1276" t="s">
        <v>56</v>
      </c>
      <c r="C1276" t="s">
        <v>1500</v>
      </c>
      <c r="D1276">
        <v>3</v>
      </c>
      <c r="E1276" s="358">
        <v>6</v>
      </c>
      <c r="F1276" s="358" t="s">
        <v>7</v>
      </c>
      <c r="G1276" s="358" t="s">
        <v>11</v>
      </c>
      <c r="H1276" s="358" t="s">
        <v>11</v>
      </c>
    </row>
    <row r="1277" spans="1:8" x14ac:dyDescent="0.3">
      <c r="A1277" t="s">
        <v>33</v>
      </c>
      <c r="B1277" t="s">
        <v>56</v>
      </c>
      <c r="C1277" t="s">
        <v>2179</v>
      </c>
      <c r="D1277">
        <v>2</v>
      </c>
      <c r="E1277" s="358">
        <v>5</v>
      </c>
      <c r="F1277" s="358" t="s">
        <v>7</v>
      </c>
      <c r="G1277" s="358" t="s">
        <v>11</v>
      </c>
      <c r="H1277" s="358" t="s">
        <v>11</v>
      </c>
    </row>
    <row r="1278" spans="1:8" x14ac:dyDescent="0.3">
      <c r="A1278" t="s">
        <v>33</v>
      </c>
      <c r="B1278" t="s">
        <v>56</v>
      </c>
      <c r="C1278" t="s">
        <v>2180</v>
      </c>
      <c r="D1278">
        <v>2</v>
      </c>
      <c r="E1278" s="358">
        <v>6</v>
      </c>
      <c r="F1278" s="358" t="s">
        <v>7</v>
      </c>
      <c r="G1278" s="358" t="s">
        <v>11</v>
      </c>
      <c r="H1278" s="358" t="s">
        <v>11</v>
      </c>
    </row>
    <row r="1279" spans="1:8" x14ac:dyDescent="0.3">
      <c r="A1279" t="s">
        <v>33</v>
      </c>
      <c r="B1279" t="s">
        <v>56</v>
      </c>
      <c r="C1279" t="s">
        <v>2181</v>
      </c>
      <c r="D1279">
        <v>1</v>
      </c>
      <c r="E1279" s="358">
        <v>5</v>
      </c>
      <c r="F1279" s="358" t="s">
        <v>7</v>
      </c>
      <c r="G1279" s="358" t="s">
        <v>11</v>
      </c>
      <c r="H1279" s="358" t="s">
        <v>11</v>
      </c>
    </row>
    <row r="1280" spans="1:8" x14ac:dyDescent="0.3">
      <c r="A1280" t="s">
        <v>33</v>
      </c>
      <c r="B1280" t="s">
        <v>56</v>
      </c>
      <c r="C1280" t="s">
        <v>1830</v>
      </c>
      <c r="D1280">
        <v>2</v>
      </c>
      <c r="E1280" s="358">
        <v>5</v>
      </c>
      <c r="F1280" s="358" t="s">
        <v>7</v>
      </c>
      <c r="G1280" s="358" t="s">
        <v>11</v>
      </c>
      <c r="H1280" s="358" t="s">
        <v>11</v>
      </c>
    </row>
    <row r="1281" spans="1:8" x14ac:dyDescent="0.3">
      <c r="A1281" t="s">
        <v>33</v>
      </c>
      <c r="B1281" t="s">
        <v>56</v>
      </c>
      <c r="C1281" t="s">
        <v>2182</v>
      </c>
      <c r="D1281">
        <v>3</v>
      </c>
      <c r="E1281" s="358">
        <v>7</v>
      </c>
      <c r="F1281" s="358" t="s">
        <v>11</v>
      </c>
      <c r="G1281" s="358" t="s">
        <v>11</v>
      </c>
      <c r="H1281" s="358" t="s">
        <v>11</v>
      </c>
    </row>
    <row r="1282" spans="1:8" x14ac:dyDescent="0.3">
      <c r="A1282" t="s">
        <v>33</v>
      </c>
      <c r="B1282" t="s">
        <v>56</v>
      </c>
      <c r="C1282" t="s">
        <v>2183</v>
      </c>
      <c r="D1282">
        <v>3</v>
      </c>
      <c r="E1282" s="358">
        <v>7</v>
      </c>
      <c r="F1282" s="358" t="s">
        <v>11</v>
      </c>
      <c r="G1282" s="358" t="s">
        <v>11</v>
      </c>
      <c r="H1282" s="358" t="s">
        <v>11</v>
      </c>
    </row>
    <row r="1283" spans="1:8" x14ac:dyDescent="0.3">
      <c r="A1283" t="s">
        <v>33</v>
      </c>
      <c r="B1283" t="s">
        <v>56</v>
      </c>
      <c r="C1283" t="s">
        <v>2184</v>
      </c>
      <c r="D1283">
        <v>3</v>
      </c>
      <c r="E1283" s="358">
        <v>5</v>
      </c>
      <c r="F1283" s="358" t="s">
        <v>7</v>
      </c>
      <c r="G1283" s="358" t="s">
        <v>11</v>
      </c>
      <c r="H1283" s="358" t="s">
        <v>11</v>
      </c>
    </row>
    <row r="1284" spans="1:8" x14ac:dyDescent="0.3">
      <c r="A1284" t="s">
        <v>33</v>
      </c>
      <c r="B1284" t="s">
        <v>56</v>
      </c>
      <c r="C1284" t="s">
        <v>2185</v>
      </c>
      <c r="D1284">
        <v>3</v>
      </c>
      <c r="E1284" s="358">
        <v>6</v>
      </c>
      <c r="F1284" s="358" t="s">
        <v>7</v>
      </c>
      <c r="G1284" s="358" t="s">
        <v>11</v>
      </c>
      <c r="H1284" s="358" t="s">
        <v>11</v>
      </c>
    </row>
    <row r="1285" spans="1:8" x14ac:dyDescent="0.3">
      <c r="A1285" t="s">
        <v>33</v>
      </c>
      <c r="B1285" t="s">
        <v>56</v>
      </c>
      <c r="C1285" t="s">
        <v>2186</v>
      </c>
      <c r="D1285">
        <v>2</v>
      </c>
      <c r="E1285" s="358">
        <v>6</v>
      </c>
      <c r="F1285" s="358" t="s">
        <v>7</v>
      </c>
      <c r="G1285" s="358" t="s">
        <v>11</v>
      </c>
      <c r="H1285" s="358" t="s">
        <v>11</v>
      </c>
    </row>
    <row r="1286" spans="1:8" x14ac:dyDescent="0.3">
      <c r="A1286" t="s">
        <v>33</v>
      </c>
      <c r="B1286" t="s">
        <v>56</v>
      </c>
      <c r="C1286" t="s">
        <v>1832</v>
      </c>
      <c r="D1286">
        <v>3</v>
      </c>
      <c r="E1286" s="358">
        <v>6</v>
      </c>
      <c r="F1286" s="358" t="s">
        <v>7</v>
      </c>
      <c r="G1286" s="358" t="s">
        <v>11</v>
      </c>
      <c r="H1286" s="358" t="s">
        <v>11</v>
      </c>
    </row>
    <row r="1287" spans="1:8" x14ac:dyDescent="0.3">
      <c r="A1287" t="s">
        <v>33</v>
      </c>
      <c r="B1287" t="s">
        <v>56</v>
      </c>
      <c r="C1287" t="s">
        <v>2187</v>
      </c>
      <c r="D1287">
        <v>3</v>
      </c>
      <c r="E1287" s="358">
        <v>6</v>
      </c>
      <c r="F1287" s="358" t="s">
        <v>7</v>
      </c>
      <c r="G1287" s="358" t="s">
        <v>11</v>
      </c>
      <c r="H1287" s="358" t="s">
        <v>11</v>
      </c>
    </row>
    <row r="1288" spans="1:8" x14ac:dyDescent="0.3">
      <c r="A1288" t="s">
        <v>33</v>
      </c>
      <c r="B1288" t="s">
        <v>56</v>
      </c>
      <c r="C1288" t="s">
        <v>2188</v>
      </c>
      <c r="D1288">
        <v>2</v>
      </c>
      <c r="E1288" s="358">
        <v>6</v>
      </c>
      <c r="F1288" s="358" t="s">
        <v>7</v>
      </c>
      <c r="G1288" s="358" t="s">
        <v>11</v>
      </c>
      <c r="H1288" s="358" t="s">
        <v>11</v>
      </c>
    </row>
    <row r="1289" spans="1:8" x14ac:dyDescent="0.3">
      <c r="A1289" t="s">
        <v>33</v>
      </c>
      <c r="B1289" t="s">
        <v>56</v>
      </c>
      <c r="C1289" t="s">
        <v>2189</v>
      </c>
      <c r="D1289">
        <v>3</v>
      </c>
      <c r="E1289" s="358">
        <v>5</v>
      </c>
      <c r="F1289" s="358" t="s">
        <v>7</v>
      </c>
      <c r="G1289" s="358" t="s">
        <v>11</v>
      </c>
      <c r="H1289" s="358" t="s">
        <v>11</v>
      </c>
    </row>
    <row r="1290" spans="1:8" x14ac:dyDescent="0.3">
      <c r="A1290" t="s">
        <v>33</v>
      </c>
      <c r="B1290" t="s">
        <v>56</v>
      </c>
      <c r="C1290" t="s">
        <v>2190</v>
      </c>
      <c r="D1290">
        <v>3</v>
      </c>
      <c r="E1290" s="358">
        <v>6</v>
      </c>
      <c r="F1290" s="358" t="s">
        <v>7</v>
      </c>
      <c r="G1290" s="358" t="s">
        <v>11</v>
      </c>
      <c r="H1290" s="358" t="s">
        <v>11</v>
      </c>
    </row>
    <row r="1291" spans="1:8" x14ac:dyDescent="0.3">
      <c r="A1291" t="s">
        <v>33</v>
      </c>
      <c r="B1291" t="s">
        <v>56</v>
      </c>
      <c r="C1291" t="s">
        <v>1364</v>
      </c>
      <c r="D1291">
        <v>2</v>
      </c>
      <c r="E1291" s="358">
        <v>5</v>
      </c>
      <c r="F1291" s="358" t="s">
        <v>7</v>
      </c>
      <c r="G1291" s="358" t="s">
        <v>11</v>
      </c>
      <c r="H1291" s="358" t="s">
        <v>11</v>
      </c>
    </row>
    <row r="1292" spans="1:8" x14ac:dyDescent="0.3">
      <c r="A1292" t="s">
        <v>33</v>
      </c>
      <c r="B1292" t="s">
        <v>56</v>
      </c>
      <c r="C1292" t="s">
        <v>2191</v>
      </c>
      <c r="D1292">
        <v>2</v>
      </c>
      <c r="E1292" s="358">
        <v>5</v>
      </c>
      <c r="F1292" s="358" t="s">
        <v>7</v>
      </c>
      <c r="G1292" s="358" t="s">
        <v>11</v>
      </c>
      <c r="H1292" s="358" t="s">
        <v>11</v>
      </c>
    </row>
    <row r="1293" spans="1:8" x14ac:dyDescent="0.3">
      <c r="A1293" t="s">
        <v>33</v>
      </c>
      <c r="B1293" t="s">
        <v>56</v>
      </c>
      <c r="C1293" t="s">
        <v>2192</v>
      </c>
      <c r="D1293">
        <v>2</v>
      </c>
      <c r="E1293" s="358">
        <v>6</v>
      </c>
      <c r="F1293" s="358" t="s">
        <v>7</v>
      </c>
      <c r="G1293" s="358" t="s">
        <v>11</v>
      </c>
      <c r="H1293" s="358" t="s">
        <v>11</v>
      </c>
    </row>
    <row r="1294" spans="1:8" x14ac:dyDescent="0.3">
      <c r="A1294" t="s">
        <v>33</v>
      </c>
      <c r="B1294" t="s">
        <v>56</v>
      </c>
      <c r="C1294" t="s">
        <v>2193</v>
      </c>
      <c r="D1294">
        <v>3</v>
      </c>
      <c r="E1294" s="358">
        <v>5</v>
      </c>
      <c r="F1294" s="358" t="s">
        <v>7</v>
      </c>
      <c r="G1294" s="358" t="s">
        <v>11</v>
      </c>
      <c r="H1294" s="358" t="s">
        <v>11</v>
      </c>
    </row>
    <row r="1295" spans="1:8" x14ac:dyDescent="0.3">
      <c r="A1295" t="s">
        <v>33</v>
      </c>
      <c r="B1295" t="s">
        <v>56</v>
      </c>
      <c r="C1295" t="s">
        <v>2194</v>
      </c>
      <c r="D1295">
        <v>3</v>
      </c>
      <c r="E1295" s="358">
        <v>6</v>
      </c>
      <c r="F1295" s="358" t="s">
        <v>7</v>
      </c>
      <c r="G1295" s="358" t="s">
        <v>11</v>
      </c>
      <c r="H1295" s="358" t="s">
        <v>11</v>
      </c>
    </row>
    <row r="1296" spans="1:8" x14ac:dyDescent="0.3">
      <c r="A1296" t="s">
        <v>33</v>
      </c>
      <c r="B1296" t="s">
        <v>56</v>
      </c>
      <c r="C1296" t="s">
        <v>2195</v>
      </c>
      <c r="D1296">
        <v>2</v>
      </c>
      <c r="E1296" s="358">
        <v>5</v>
      </c>
      <c r="F1296" s="358" t="s">
        <v>7</v>
      </c>
      <c r="G1296" s="358" t="s">
        <v>11</v>
      </c>
      <c r="H1296" s="358" t="s">
        <v>11</v>
      </c>
    </row>
    <row r="1297" spans="1:8" x14ac:dyDescent="0.3">
      <c r="A1297" t="s">
        <v>33</v>
      </c>
      <c r="B1297" t="s">
        <v>56</v>
      </c>
      <c r="C1297" t="s">
        <v>2196</v>
      </c>
      <c r="D1297">
        <v>3</v>
      </c>
      <c r="E1297" s="358">
        <v>6</v>
      </c>
      <c r="F1297" s="358" t="s">
        <v>7</v>
      </c>
      <c r="G1297" s="358" t="s">
        <v>11</v>
      </c>
      <c r="H1297" s="358" t="s">
        <v>11</v>
      </c>
    </row>
    <row r="1298" spans="1:8" x14ac:dyDescent="0.3">
      <c r="A1298" t="s">
        <v>33</v>
      </c>
      <c r="B1298" t="s">
        <v>56</v>
      </c>
      <c r="C1298" t="s">
        <v>2197</v>
      </c>
      <c r="D1298">
        <v>3</v>
      </c>
      <c r="E1298" s="358">
        <v>6</v>
      </c>
      <c r="F1298" s="358" t="s">
        <v>7</v>
      </c>
      <c r="G1298" s="358" t="s">
        <v>11</v>
      </c>
      <c r="H1298" s="358" t="s">
        <v>11</v>
      </c>
    </row>
    <row r="1299" spans="1:8" x14ac:dyDescent="0.3">
      <c r="A1299" t="s">
        <v>33</v>
      </c>
      <c r="B1299" t="s">
        <v>56</v>
      </c>
      <c r="C1299" t="s">
        <v>2198</v>
      </c>
      <c r="D1299">
        <v>3</v>
      </c>
      <c r="E1299" s="358">
        <v>7</v>
      </c>
      <c r="F1299" s="358" t="s">
        <v>11</v>
      </c>
      <c r="G1299" s="358" t="s">
        <v>11</v>
      </c>
      <c r="H1299" s="358" t="s">
        <v>11</v>
      </c>
    </row>
    <row r="1300" spans="1:8" x14ac:dyDescent="0.3">
      <c r="A1300" t="s">
        <v>33</v>
      </c>
      <c r="B1300" t="s">
        <v>56</v>
      </c>
      <c r="C1300" t="s">
        <v>1641</v>
      </c>
      <c r="D1300">
        <v>3</v>
      </c>
      <c r="E1300" s="358">
        <v>6</v>
      </c>
      <c r="F1300" s="358" t="s">
        <v>7</v>
      </c>
      <c r="G1300" s="358" t="s">
        <v>11</v>
      </c>
      <c r="H1300" s="358" t="s">
        <v>11</v>
      </c>
    </row>
    <row r="1301" spans="1:8" x14ac:dyDescent="0.3">
      <c r="A1301" t="s">
        <v>33</v>
      </c>
      <c r="B1301" t="s">
        <v>56</v>
      </c>
      <c r="C1301" t="s">
        <v>2199</v>
      </c>
      <c r="D1301">
        <v>3</v>
      </c>
      <c r="E1301" s="358">
        <v>6</v>
      </c>
      <c r="F1301" s="358" t="s">
        <v>7</v>
      </c>
      <c r="G1301" s="358" t="s">
        <v>11</v>
      </c>
      <c r="H1301" s="358" t="s">
        <v>11</v>
      </c>
    </row>
    <row r="1302" spans="1:8" x14ac:dyDescent="0.3">
      <c r="A1302" t="s">
        <v>33</v>
      </c>
      <c r="B1302" t="s">
        <v>56</v>
      </c>
      <c r="C1302" t="s">
        <v>2200</v>
      </c>
      <c r="D1302">
        <v>2</v>
      </c>
      <c r="E1302" s="358">
        <v>6</v>
      </c>
      <c r="F1302" s="358" t="s">
        <v>7</v>
      </c>
      <c r="G1302" s="358" t="s">
        <v>11</v>
      </c>
      <c r="H1302" s="358" t="s">
        <v>11</v>
      </c>
    </row>
    <row r="1303" spans="1:8" x14ac:dyDescent="0.3">
      <c r="A1303" t="s">
        <v>33</v>
      </c>
      <c r="B1303" t="s">
        <v>56</v>
      </c>
      <c r="C1303" t="s">
        <v>1984</v>
      </c>
      <c r="D1303">
        <v>3</v>
      </c>
      <c r="E1303" s="358">
        <v>5</v>
      </c>
      <c r="F1303" s="358" t="s">
        <v>7</v>
      </c>
      <c r="G1303" s="358" t="s">
        <v>11</v>
      </c>
      <c r="H1303" s="358" t="s">
        <v>11</v>
      </c>
    </row>
    <row r="1304" spans="1:8" x14ac:dyDescent="0.3">
      <c r="A1304" t="s">
        <v>33</v>
      </c>
      <c r="B1304" t="s">
        <v>56</v>
      </c>
      <c r="C1304" t="s">
        <v>2201</v>
      </c>
      <c r="D1304">
        <v>2</v>
      </c>
      <c r="E1304" s="358">
        <v>6</v>
      </c>
      <c r="F1304" s="358" t="s">
        <v>7</v>
      </c>
      <c r="G1304" s="358" t="s">
        <v>11</v>
      </c>
      <c r="H1304" s="358" t="s">
        <v>11</v>
      </c>
    </row>
    <row r="1305" spans="1:8" x14ac:dyDescent="0.3">
      <c r="A1305" t="s">
        <v>33</v>
      </c>
      <c r="B1305" t="s">
        <v>56</v>
      </c>
      <c r="C1305" t="s">
        <v>2202</v>
      </c>
      <c r="D1305">
        <v>3</v>
      </c>
      <c r="E1305" s="358">
        <v>6</v>
      </c>
      <c r="F1305" s="358" t="s">
        <v>7</v>
      </c>
      <c r="G1305" s="358" t="s">
        <v>11</v>
      </c>
      <c r="H1305" s="358" t="s">
        <v>11</v>
      </c>
    </row>
    <row r="1306" spans="1:8" x14ac:dyDescent="0.3">
      <c r="A1306" t="s">
        <v>33</v>
      </c>
      <c r="B1306" t="s">
        <v>56</v>
      </c>
      <c r="C1306" t="s">
        <v>2203</v>
      </c>
      <c r="D1306">
        <v>3</v>
      </c>
      <c r="E1306" s="358">
        <v>5</v>
      </c>
      <c r="F1306" s="358" t="s">
        <v>7</v>
      </c>
      <c r="G1306" s="358" t="s">
        <v>11</v>
      </c>
      <c r="H1306" s="358" t="s">
        <v>11</v>
      </c>
    </row>
    <row r="1307" spans="1:8" x14ac:dyDescent="0.3">
      <c r="A1307" t="s">
        <v>33</v>
      </c>
      <c r="B1307" t="s">
        <v>56</v>
      </c>
      <c r="C1307" t="s">
        <v>1372</v>
      </c>
      <c r="D1307">
        <v>3</v>
      </c>
      <c r="E1307" s="358">
        <v>5</v>
      </c>
      <c r="F1307" s="358" t="s">
        <v>7</v>
      </c>
      <c r="G1307" s="358" t="s">
        <v>11</v>
      </c>
      <c r="H1307" s="358" t="s">
        <v>11</v>
      </c>
    </row>
    <row r="1308" spans="1:8" x14ac:dyDescent="0.3">
      <c r="A1308" t="s">
        <v>33</v>
      </c>
      <c r="B1308" t="s">
        <v>56</v>
      </c>
      <c r="C1308" t="s">
        <v>2204</v>
      </c>
      <c r="D1308">
        <v>1</v>
      </c>
      <c r="E1308" s="358">
        <v>5</v>
      </c>
      <c r="F1308" s="358" t="s">
        <v>7</v>
      </c>
      <c r="G1308" s="358" t="s">
        <v>11</v>
      </c>
      <c r="H1308" s="358" t="s">
        <v>11</v>
      </c>
    </row>
    <row r="1309" spans="1:8" x14ac:dyDescent="0.3">
      <c r="A1309" t="s">
        <v>33</v>
      </c>
      <c r="B1309" t="s">
        <v>56</v>
      </c>
      <c r="C1309" t="s">
        <v>2205</v>
      </c>
      <c r="D1309">
        <v>2</v>
      </c>
      <c r="E1309" s="358">
        <v>6</v>
      </c>
      <c r="F1309" s="358" t="s">
        <v>7</v>
      </c>
      <c r="G1309" s="358" t="s">
        <v>11</v>
      </c>
      <c r="H1309" s="358" t="s">
        <v>11</v>
      </c>
    </row>
    <row r="1310" spans="1:8" x14ac:dyDescent="0.3">
      <c r="A1310" t="s">
        <v>33</v>
      </c>
      <c r="B1310" t="s">
        <v>56</v>
      </c>
      <c r="C1310" t="s">
        <v>2206</v>
      </c>
      <c r="D1310">
        <v>3</v>
      </c>
      <c r="E1310" s="358">
        <v>7</v>
      </c>
      <c r="F1310" s="358" t="s">
        <v>11</v>
      </c>
      <c r="G1310" s="358" t="s">
        <v>11</v>
      </c>
      <c r="H1310" s="358" t="s">
        <v>11</v>
      </c>
    </row>
    <row r="1311" spans="1:8" x14ac:dyDescent="0.3">
      <c r="A1311" t="s">
        <v>33</v>
      </c>
      <c r="B1311" t="s">
        <v>56</v>
      </c>
      <c r="C1311" t="s">
        <v>2207</v>
      </c>
      <c r="D1311">
        <v>2</v>
      </c>
      <c r="E1311" s="358">
        <v>5</v>
      </c>
      <c r="F1311" s="358" t="s">
        <v>7</v>
      </c>
      <c r="G1311" s="358" t="s">
        <v>11</v>
      </c>
      <c r="H1311" s="358" t="s">
        <v>11</v>
      </c>
    </row>
    <row r="1312" spans="1:8" x14ac:dyDescent="0.3">
      <c r="A1312" t="s">
        <v>33</v>
      </c>
      <c r="B1312" t="s">
        <v>56</v>
      </c>
      <c r="C1312" t="s">
        <v>2208</v>
      </c>
      <c r="D1312">
        <v>3</v>
      </c>
      <c r="E1312" s="358">
        <v>5</v>
      </c>
      <c r="F1312" s="358" t="s">
        <v>7</v>
      </c>
      <c r="G1312" s="358" t="s">
        <v>11</v>
      </c>
      <c r="H1312" s="358" t="s">
        <v>11</v>
      </c>
    </row>
    <row r="1313" spans="1:8" x14ac:dyDescent="0.3">
      <c r="A1313" t="s">
        <v>33</v>
      </c>
      <c r="B1313" t="s">
        <v>56</v>
      </c>
      <c r="C1313" t="s">
        <v>1480</v>
      </c>
      <c r="D1313">
        <v>3</v>
      </c>
      <c r="E1313" s="358">
        <v>5</v>
      </c>
      <c r="F1313" s="358" t="s">
        <v>7</v>
      </c>
      <c r="G1313" s="358" t="s">
        <v>11</v>
      </c>
      <c r="H1313" s="358" t="s">
        <v>11</v>
      </c>
    </row>
    <row r="1314" spans="1:8" x14ac:dyDescent="0.3">
      <c r="A1314" t="s">
        <v>33</v>
      </c>
      <c r="B1314" t="s">
        <v>56</v>
      </c>
      <c r="C1314" t="s">
        <v>2209</v>
      </c>
      <c r="D1314">
        <v>1</v>
      </c>
      <c r="E1314" s="358">
        <v>5</v>
      </c>
      <c r="F1314" s="358" t="s">
        <v>7</v>
      </c>
      <c r="G1314" s="358" t="s">
        <v>11</v>
      </c>
      <c r="H1314" s="358" t="s">
        <v>11</v>
      </c>
    </row>
    <row r="1315" spans="1:8" x14ac:dyDescent="0.3">
      <c r="A1315" t="s">
        <v>33</v>
      </c>
      <c r="B1315" t="s">
        <v>56</v>
      </c>
      <c r="C1315" t="s">
        <v>1758</v>
      </c>
      <c r="D1315">
        <v>3</v>
      </c>
      <c r="E1315" s="358">
        <v>5</v>
      </c>
      <c r="F1315" s="358" t="s">
        <v>7</v>
      </c>
      <c r="G1315" s="358" t="s">
        <v>11</v>
      </c>
      <c r="H1315" s="358" t="s">
        <v>11</v>
      </c>
    </row>
    <row r="1316" spans="1:8" x14ac:dyDescent="0.3">
      <c r="A1316" t="s">
        <v>33</v>
      </c>
      <c r="B1316" t="s">
        <v>56</v>
      </c>
      <c r="C1316" t="s">
        <v>2210</v>
      </c>
      <c r="D1316">
        <v>3</v>
      </c>
      <c r="E1316" s="358">
        <v>6</v>
      </c>
      <c r="F1316" s="358" t="s">
        <v>7</v>
      </c>
      <c r="G1316" s="358" t="s">
        <v>11</v>
      </c>
      <c r="H1316" s="358" t="s">
        <v>11</v>
      </c>
    </row>
    <row r="1317" spans="1:8" x14ac:dyDescent="0.3">
      <c r="A1317" t="s">
        <v>34</v>
      </c>
      <c r="B1317" t="s">
        <v>67</v>
      </c>
      <c r="C1317" t="s">
        <v>2211</v>
      </c>
      <c r="D1317">
        <v>2</v>
      </c>
      <c r="E1317" s="358">
        <v>7</v>
      </c>
      <c r="F1317" s="358" t="s">
        <v>11</v>
      </c>
      <c r="G1317" s="358" t="s">
        <v>11</v>
      </c>
      <c r="H1317" s="358" t="s">
        <v>11</v>
      </c>
    </row>
    <row r="1318" spans="1:8" x14ac:dyDescent="0.3">
      <c r="A1318" t="s">
        <v>34</v>
      </c>
      <c r="B1318" t="s">
        <v>67</v>
      </c>
      <c r="C1318" t="s">
        <v>2212</v>
      </c>
      <c r="D1318">
        <v>2</v>
      </c>
      <c r="E1318" s="358">
        <v>6</v>
      </c>
      <c r="F1318" s="358" t="s">
        <v>7</v>
      </c>
      <c r="G1318" s="358" t="s">
        <v>11</v>
      </c>
      <c r="H1318" s="358" t="s">
        <v>11</v>
      </c>
    </row>
    <row r="1319" spans="1:8" x14ac:dyDescent="0.3">
      <c r="A1319" t="s">
        <v>34</v>
      </c>
      <c r="B1319" t="s">
        <v>67</v>
      </c>
      <c r="C1319" t="s">
        <v>2213</v>
      </c>
      <c r="D1319">
        <v>1</v>
      </c>
      <c r="E1319" s="358">
        <v>7</v>
      </c>
      <c r="F1319" s="358" t="s">
        <v>11</v>
      </c>
      <c r="G1319" s="358" t="s">
        <v>11</v>
      </c>
      <c r="H1319" s="358" t="s">
        <v>11</v>
      </c>
    </row>
    <row r="1320" spans="1:8" x14ac:dyDescent="0.3">
      <c r="A1320" t="s">
        <v>34</v>
      </c>
      <c r="B1320" t="s">
        <v>67</v>
      </c>
      <c r="C1320" t="s">
        <v>2214</v>
      </c>
      <c r="D1320">
        <v>2</v>
      </c>
      <c r="E1320" s="358">
        <v>7</v>
      </c>
      <c r="F1320" s="358" t="s">
        <v>11</v>
      </c>
      <c r="G1320" s="358" t="s">
        <v>11</v>
      </c>
      <c r="H1320" s="358" t="s">
        <v>11</v>
      </c>
    </row>
    <row r="1321" spans="1:8" x14ac:dyDescent="0.3">
      <c r="A1321" t="s">
        <v>34</v>
      </c>
      <c r="B1321" t="s">
        <v>67</v>
      </c>
      <c r="C1321" t="s">
        <v>1430</v>
      </c>
      <c r="D1321">
        <v>2</v>
      </c>
      <c r="E1321" s="358">
        <v>6</v>
      </c>
      <c r="F1321" s="358" t="s">
        <v>7</v>
      </c>
      <c r="G1321" s="358" t="s">
        <v>11</v>
      </c>
      <c r="H1321" s="358" t="s">
        <v>11</v>
      </c>
    </row>
    <row r="1322" spans="1:8" x14ac:dyDescent="0.3">
      <c r="A1322" t="s">
        <v>34</v>
      </c>
      <c r="B1322" t="s">
        <v>67</v>
      </c>
      <c r="C1322" t="s">
        <v>2215</v>
      </c>
      <c r="D1322">
        <v>1</v>
      </c>
      <c r="E1322" s="358">
        <v>6</v>
      </c>
      <c r="F1322" s="358" t="s">
        <v>7</v>
      </c>
      <c r="G1322" s="358" t="s">
        <v>11</v>
      </c>
      <c r="H1322" s="358" t="s">
        <v>11</v>
      </c>
    </row>
    <row r="1323" spans="1:8" x14ac:dyDescent="0.3">
      <c r="A1323" t="s">
        <v>34</v>
      </c>
      <c r="B1323" t="s">
        <v>67</v>
      </c>
      <c r="C1323" t="s">
        <v>2216</v>
      </c>
      <c r="D1323">
        <v>1</v>
      </c>
      <c r="E1323" s="358">
        <v>6</v>
      </c>
      <c r="F1323" s="358" t="s">
        <v>7</v>
      </c>
      <c r="G1323" s="358" t="s">
        <v>11</v>
      </c>
      <c r="H1323" s="358" t="s">
        <v>11</v>
      </c>
    </row>
    <row r="1324" spans="1:8" x14ac:dyDescent="0.3">
      <c r="A1324" t="s">
        <v>34</v>
      </c>
      <c r="B1324" t="s">
        <v>67</v>
      </c>
      <c r="C1324" t="s">
        <v>1805</v>
      </c>
      <c r="D1324">
        <v>1</v>
      </c>
      <c r="E1324" s="358">
        <v>6</v>
      </c>
      <c r="F1324" s="358" t="s">
        <v>7</v>
      </c>
      <c r="G1324" s="358" t="s">
        <v>11</v>
      </c>
      <c r="H1324" s="358" t="s">
        <v>11</v>
      </c>
    </row>
    <row r="1325" spans="1:8" x14ac:dyDescent="0.3">
      <c r="A1325" t="s">
        <v>34</v>
      </c>
      <c r="B1325" t="s">
        <v>67</v>
      </c>
      <c r="C1325" t="s">
        <v>2217</v>
      </c>
      <c r="D1325">
        <v>2</v>
      </c>
      <c r="E1325" s="358">
        <v>7</v>
      </c>
      <c r="F1325" s="358" t="s">
        <v>11</v>
      </c>
      <c r="G1325" s="358" t="s">
        <v>11</v>
      </c>
      <c r="H1325" s="358" t="s">
        <v>11</v>
      </c>
    </row>
    <row r="1326" spans="1:8" x14ac:dyDescent="0.3">
      <c r="A1326" t="s">
        <v>34</v>
      </c>
      <c r="B1326" t="s">
        <v>67</v>
      </c>
      <c r="C1326" t="s">
        <v>2218</v>
      </c>
      <c r="D1326">
        <v>1</v>
      </c>
      <c r="E1326" s="358">
        <v>6</v>
      </c>
      <c r="F1326" s="358" t="s">
        <v>7</v>
      </c>
      <c r="G1326" s="358" t="s">
        <v>11</v>
      </c>
      <c r="H1326" s="358" t="s">
        <v>11</v>
      </c>
    </row>
    <row r="1327" spans="1:8" x14ac:dyDescent="0.3">
      <c r="A1327" t="s">
        <v>34</v>
      </c>
      <c r="B1327" t="s">
        <v>67</v>
      </c>
      <c r="C1327" t="s">
        <v>1807</v>
      </c>
      <c r="D1327">
        <v>2</v>
      </c>
      <c r="E1327" s="358">
        <v>7</v>
      </c>
      <c r="F1327" s="358" t="s">
        <v>11</v>
      </c>
      <c r="G1327" s="358" t="s">
        <v>11</v>
      </c>
      <c r="H1327" s="358" t="s">
        <v>11</v>
      </c>
    </row>
    <row r="1328" spans="1:8" x14ac:dyDescent="0.3">
      <c r="A1328" t="s">
        <v>34</v>
      </c>
      <c r="B1328" t="s">
        <v>67</v>
      </c>
      <c r="C1328" t="s">
        <v>2160</v>
      </c>
      <c r="D1328">
        <v>1</v>
      </c>
      <c r="E1328" s="358">
        <v>6</v>
      </c>
      <c r="F1328" s="358" t="s">
        <v>7</v>
      </c>
      <c r="G1328" s="358" t="s">
        <v>11</v>
      </c>
      <c r="H1328" s="358" t="s">
        <v>11</v>
      </c>
    </row>
    <row r="1329" spans="1:8" x14ac:dyDescent="0.3">
      <c r="A1329" t="s">
        <v>34</v>
      </c>
      <c r="B1329" t="s">
        <v>67</v>
      </c>
      <c r="C1329" t="s">
        <v>2219</v>
      </c>
      <c r="D1329">
        <v>2</v>
      </c>
      <c r="E1329" s="358">
        <v>6</v>
      </c>
      <c r="F1329" s="358" t="s">
        <v>7</v>
      </c>
      <c r="G1329" s="358" t="s">
        <v>11</v>
      </c>
      <c r="H1329" s="358" t="s">
        <v>11</v>
      </c>
    </row>
    <row r="1330" spans="1:8" x14ac:dyDescent="0.3">
      <c r="A1330" t="s">
        <v>34</v>
      </c>
      <c r="B1330" t="s">
        <v>67</v>
      </c>
      <c r="C1330" t="s">
        <v>1328</v>
      </c>
      <c r="D1330">
        <v>1</v>
      </c>
      <c r="E1330" s="358">
        <v>7</v>
      </c>
      <c r="F1330" s="358" t="s">
        <v>11</v>
      </c>
      <c r="G1330" s="358" t="s">
        <v>11</v>
      </c>
      <c r="H1330" s="358" t="s">
        <v>11</v>
      </c>
    </row>
    <row r="1331" spans="1:8" x14ac:dyDescent="0.3">
      <c r="A1331" t="s">
        <v>34</v>
      </c>
      <c r="B1331" t="s">
        <v>67</v>
      </c>
      <c r="C1331" t="s">
        <v>1784</v>
      </c>
      <c r="D1331">
        <v>2</v>
      </c>
      <c r="E1331" s="358">
        <v>7</v>
      </c>
      <c r="F1331" s="358" t="s">
        <v>11</v>
      </c>
      <c r="G1331" s="358" t="s">
        <v>11</v>
      </c>
      <c r="H1331" s="358" t="s">
        <v>11</v>
      </c>
    </row>
    <row r="1332" spans="1:8" x14ac:dyDescent="0.3">
      <c r="A1332" t="s">
        <v>34</v>
      </c>
      <c r="B1332" t="s">
        <v>67</v>
      </c>
      <c r="C1332" t="s">
        <v>1682</v>
      </c>
      <c r="D1332">
        <v>2</v>
      </c>
      <c r="E1332" s="358">
        <v>7</v>
      </c>
      <c r="F1332" s="358" t="s">
        <v>11</v>
      </c>
      <c r="G1332" s="358" t="s">
        <v>11</v>
      </c>
      <c r="H1332" s="358" t="s">
        <v>11</v>
      </c>
    </row>
    <row r="1333" spans="1:8" x14ac:dyDescent="0.3">
      <c r="A1333" t="s">
        <v>34</v>
      </c>
      <c r="B1333" t="s">
        <v>67</v>
      </c>
      <c r="C1333" t="s">
        <v>2220</v>
      </c>
      <c r="D1333">
        <v>1</v>
      </c>
      <c r="E1333" s="358">
        <v>6</v>
      </c>
      <c r="F1333" s="358" t="s">
        <v>7</v>
      </c>
      <c r="G1333" s="358" t="s">
        <v>11</v>
      </c>
      <c r="H1333" s="358" t="s">
        <v>11</v>
      </c>
    </row>
    <row r="1334" spans="1:8" x14ac:dyDescent="0.3">
      <c r="A1334" t="s">
        <v>34</v>
      </c>
      <c r="B1334" t="s">
        <v>67</v>
      </c>
      <c r="C1334" t="s">
        <v>2221</v>
      </c>
      <c r="D1334">
        <v>2</v>
      </c>
      <c r="E1334" s="358">
        <v>7</v>
      </c>
      <c r="F1334" s="358" t="s">
        <v>11</v>
      </c>
      <c r="G1334" s="358" t="s">
        <v>11</v>
      </c>
      <c r="H1334" s="358" t="s">
        <v>11</v>
      </c>
    </row>
    <row r="1335" spans="1:8" x14ac:dyDescent="0.3">
      <c r="A1335" t="s">
        <v>34</v>
      </c>
      <c r="B1335" t="s">
        <v>67</v>
      </c>
      <c r="C1335" t="s">
        <v>2222</v>
      </c>
      <c r="D1335">
        <v>1</v>
      </c>
      <c r="E1335" s="358">
        <v>6</v>
      </c>
      <c r="F1335" s="358" t="s">
        <v>7</v>
      </c>
      <c r="G1335" s="358" t="s">
        <v>11</v>
      </c>
      <c r="H1335" s="358" t="s">
        <v>11</v>
      </c>
    </row>
    <row r="1336" spans="1:8" x14ac:dyDescent="0.3">
      <c r="A1336" t="s">
        <v>34</v>
      </c>
      <c r="B1336" t="s">
        <v>67</v>
      </c>
      <c r="C1336" t="s">
        <v>1689</v>
      </c>
      <c r="D1336">
        <v>1</v>
      </c>
      <c r="E1336" s="358">
        <v>6</v>
      </c>
      <c r="F1336" s="358" t="s">
        <v>7</v>
      </c>
      <c r="G1336" s="358" t="s">
        <v>11</v>
      </c>
      <c r="H1336" s="358" t="s">
        <v>11</v>
      </c>
    </row>
    <row r="1337" spans="1:8" x14ac:dyDescent="0.3">
      <c r="A1337" t="s">
        <v>34</v>
      </c>
      <c r="B1337" t="s">
        <v>67</v>
      </c>
      <c r="C1337" t="s">
        <v>1558</v>
      </c>
      <c r="D1337">
        <v>1</v>
      </c>
      <c r="E1337" s="358">
        <v>6</v>
      </c>
      <c r="F1337" s="358" t="s">
        <v>7</v>
      </c>
      <c r="G1337" s="358" t="s">
        <v>11</v>
      </c>
      <c r="H1337" s="358" t="s">
        <v>11</v>
      </c>
    </row>
    <row r="1338" spans="1:8" x14ac:dyDescent="0.3">
      <c r="A1338" t="s">
        <v>34</v>
      </c>
      <c r="B1338" t="s">
        <v>67</v>
      </c>
      <c r="C1338" t="s">
        <v>2223</v>
      </c>
      <c r="D1338">
        <v>1</v>
      </c>
      <c r="E1338" s="358">
        <v>6</v>
      </c>
      <c r="F1338" s="358" t="s">
        <v>7</v>
      </c>
      <c r="G1338" s="358" t="s">
        <v>11</v>
      </c>
      <c r="H1338" s="358" t="s">
        <v>11</v>
      </c>
    </row>
    <row r="1339" spans="1:8" x14ac:dyDescent="0.3">
      <c r="A1339" t="s">
        <v>34</v>
      </c>
      <c r="B1339" t="s">
        <v>67</v>
      </c>
      <c r="C1339" t="s">
        <v>2224</v>
      </c>
      <c r="D1339">
        <v>1</v>
      </c>
      <c r="E1339" s="358">
        <v>6</v>
      </c>
      <c r="F1339" s="358" t="s">
        <v>7</v>
      </c>
      <c r="G1339" s="358" t="s">
        <v>11</v>
      </c>
      <c r="H1339" s="358" t="s">
        <v>11</v>
      </c>
    </row>
    <row r="1340" spans="1:8" x14ac:dyDescent="0.3">
      <c r="A1340" t="s">
        <v>34</v>
      </c>
      <c r="B1340" t="s">
        <v>67</v>
      </c>
      <c r="C1340" t="s">
        <v>2225</v>
      </c>
      <c r="D1340">
        <v>1</v>
      </c>
      <c r="E1340" s="358">
        <v>6</v>
      </c>
      <c r="F1340" s="358" t="s">
        <v>7</v>
      </c>
      <c r="G1340" s="358" t="s">
        <v>11</v>
      </c>
      <c r="H1340" s="358" t="s">
        <v>11</v>
      </c>
    </row>
    <row r="1341" spans="1:8" x14ac:dyDescent="0.3">
      <c r="A1341" t="s">
        <v>34</v>
      </c>
      <c r="B1341" t="s">
        <v>67</v>
      </c>
      <c r="C1341" t="s">
        <v>2226</v>
      </c>
      <c r="D1341">
        <v>1</v>
      </c>
      <c r="E1341" s="358">
        <v>6</v>
      </c>
      <c r="F1341" s="358" t="s">
        <v>7</v>
      </c>
      <c r="G1341" s="358" t="s">
        <v>11</v>
      </c>
      <c r="H1341" s="358" t="s">
        <v>11</v>
      </c>
    </row>
    <row r="1342" spans="1:8" x14ac:dyDescent="0.3">
      <c r="A1342" t="s">
        <v>34</v>
      </c>
      <c r="B1342" t="s">
        <v>67</v>
      </c>
      <c r="C1342" t="s">
        <v>1448</v>
      </c>
      <c r="D1342">
        <v>1</v>
      </c>
      <c r="E1342" s="358">
        <v>7</v>
      </c>
      <c r="F1342" s="358" t="s">
        <v>11</v>
      </c>
      <c r="G1342" s="358" t="s">
        <v>11</v>
      </c>
      <c r="H1342" s="358" t="s">
        <v>11</v>
      </c>
    </row>
    <row r="1343" spans="1:8" x14ac:dyDescent="0.3">
      <c r="A1343" t="s">
        <v>34</v>
      </c>
      <c r="B1343" t="s">
        <v>67</v>
      </c>
      <c r="C1343" t="s">
        <v>2227</v>
      </c>
      <c r="D1343">
        <v>1</v>
      </c>
      <c r="E1343" s="358">
        <v>6</v>
      </c>
      <c r="F1343" s="358" t="s">
        <v>7</v>
      </c>
      <c r="G1343" s="358" t="s">
        <v>11</v>
      </c>
      <c r="H1343" s="358" t="s">
        <v>11</v>
      </c>
    </row>
    <row r="1344" spans="1:8" x14ac:dyDescent="0.3">
      <c r="A1344" t="s">
        <v>34</v>
      </c>
      <c r="B1344" t="s">
        <v>67</v>
      </c>
      <c r="C1344" t="s">
        <v>1349</v>
      </c>
      <c r="D1344">
        <v>1</v>
      </c>
      <c r="E1344" s="358">
        <v>6</v>
      </c>
      <c r="F1344" s="358" t="s">
        <v>7</v>
      </c>
      <c r="G1344" s="358" t="s">
        <v>11</v>
      </c>
      <c r="H1344" s="358" t="s">
        <v>11</v>
      </c>
    </row>
    <row r="1345" spans="1:8" x14ac:dyDescent="0.3">
      <c r="A1345" t="s">
        <v>34</v>
      </c>
      <c r="B1345" t="s">
        <v>67</v>
      </c>
      <c r="C1345" t="s">
        <v>2228</v>
      </c>
      <c r="D1345">
        <v>1</v>
      </c>
      <c r="E1345" s="358">
        <v>7</v>
      </c>
      <c r="F1345" s="358" t="s">
        <v>11</v>
      </c>
      <c r="G1345" s="358" t="s">
        <v>11</v>
      </c>
      <c r="H1345" s="358" t="s">
        <v>11</v>
      </c>
    </row>
    <row r="1346" spans="1:8" x14ac:dyDescent="0.3">
      <c r="A1346" t="s">
        <v>34</v>
      </c>
      <c r="B1346" t="s">
        <v>67</v>
      </c>
      <c r="C1346" t="s">
        <v>2229</v>
      </c>
      <c r="D1346">
        <v>2</v>
      </c>
      <c r="E1346" s="358">
        <v>6</v>
      </c>
      <c r="F1346" s="358" t="s">
        <v>7</v>
      </c>
      <c r="G1346" s="358" t="s">
        <v>11</v>
      </c>
      <c r="H1346" s="358" t="s">
        <v>11</v>
      </c>
    </row>
    <row r="1347" spans="1:8" x14ac:dyDescent="0.3">
      <c r="A1347" t="s">
        <v>34</v>
      </c>
      <c r="B1347" t="s">
        <v>67</v>
      </c>
      <c r="C1347" t="s">
        <v>2230</v>
      </c>
      <c r="D1347">
        <v>2</v>
      </c>
      <c r="E1347" s="358">
        <v>7</v>
      </c>
      <c r="F1347" s="358" t="s">
        <v>11</v>
      </c>
      <c r="G1347" s="358" t="s">
        <v>11</v>
      </c>
      <c r="H1347" s="358" t="s">
        <v>11</v>
      </c>
    </row>
    <row r="1348" spans="1:8" x14ac:dyDescent="0.3">
      <c r="A1348" t="s">
        <v>34</v>
      </c>
      <c r="B1348" t="s">
        <v>67</v>
      </c>
      <c r="C1348" t="s">
        <v>1350</v>
      </c>
      <c r="D1348">
        <v>1</v>
      </c>
      <c r="E1348" s="358">
        <v>6</v>
      </c>
      <c r="F1348" s="358" t="s">
        <v>7</v>
      </c>
      <c r="G1348" s="358" t="s">
        <v>11</v>
      </c>
      <c r="H1348" s="358" t="s">
        <v>11</v>
      </c>
    </row>
    <row r="1349" spans="1:8" x14ac:dyDescent="0.3">
      <c r="A1349" t="s">
        <v>34</v>
      </c>
      <c r="B1349" t="s">
        <v>67</v>
      </c>
      <c r="C1349" t="s">
        <v>2231</v>
      </c>
      <c r="D1349">
        <v>1</v>
      </c>
      <c r="E1349" s="358">
        <v>7</v>
      </c>
      <c r="F1349" s="358" t="s">
        <v>11</v>
      </c>
      <c r="G1349" s="358" t="s">
        <v>11</v>
      </c>
      <c r="H1349" s="358" t="s">
        <v>11</v>
      </c>
    </row>
    <row r="1350" spans="1:8" x14ac:dyDescent="0.3">
      <c r="A1350" t="s">
        <v>34</v>
      </c>
      <c r="B1350" t="s">
        <v>67</v>
      </c>
      <c r="C1350" t="s">
        <v>2232</v>
      </c>
      <c r="D1350">
        <v>1</v>
      </c>
      <c r="E1350" s="358">
        <v>6</v>
      </c>
      <c r="F1350" s="358" t="s">
        <v>7</v>
      </c>
      <c r="G1350" s="358" t="s">
        <v>11</v>
      </c>
      <c r="H1350" s="358" t="s">
        <v>11</v>
      </c>
    </row>
    <row r="1351" spans="1:8" x14ac:dyDescent="0.3">
      <c r="A1351" t="s">
        <v>34</v>
      </c>
      <c r="B1351" t="s">
        <v>67</v>
      </c>
      <c r="C1351" t="s">
        <v>2233</v>
      </c>
      <c r="D1351">
        <v>1</v>
      </c>
      <c r="E1351" s="358">
        <v>7</v>
      </c>
      <c r="F1351" s="358" t="s">
        <v>11</v>
      </c>
      <c r="G1351" s="358" t="s">
        <v>11</v>
      </c>
      <c r="H1351" s="358" t="s">
        <v>11</v>
      </c>
    </row>
    <row r="1352" spans="1:8" x14ac:dyDescent="0.3">
      <c r="A1352" t="s">
        <v>34</v>
      </c>
      <c r="B1352" t="s">
        <v>67</v>
      </c>
      <c r="C1352" t="s">
        <v>2234</v>
      </c>
      <c r="D1352">
        <v>2</v>
      </c>
      <c r="E1352" s="358">
        <v>7</v>
      </c>
      <c r="F1352" s="358" t="s">
        <v>11</v>
      </c>
      <c r="G1352" s="358" t="s">
        <v>11</v>
      </c>
      <c r="H1352" s="358" t="s">
        <v>11</v>
      </c>
    </row>
    <row r="1353" spans="1:8" x14ac:dyDescent="0.3">
      <c r="A1353" t="s">
        <v>34</v>
      </c>
      <c r="B1353" t="s">
        <v>67</v>
      </c>
      <c r="C1353" t="s">
        <v>2235</v>
      </c>
      <c r="D1353">
        <v>1</v>
      </c>
      <c r="E1353" s="358">
        <v>6</v>
      </c>
      <c r="F1353" s="358" t="s">
        <v>7</v>
      </c>
      <c r="G1353" s="358" t="s">
        <v>11</v>
      </c>
      <c r="H1353" s="358" t="s">
        <v>11</v>
      </c>
    </row>
    <row r="1354" spans="1:8" x14ac:dyDescent="0.3">
      <c r="A1354" t="s">
        <v>34</v>
      </c>
      <c r="B1354" t="s">
        <v>67</v>
      </c>
      <c r="C1354" t="s">
        <v>1500</v>
      </c>
      <c r="D1354">
        <v>2</v>
      </c>
      <c r="E1354" s="358">
        <v>7</v>
      </c>
      <c r="F1354" s="358" t="s">
        <v>11</v>
      </c>
      <c r="G1354" s="358" t="s">
        <v>11</v>
      </c>
      <c r="H1354" s="358" t="s">
        <v>11</v>
      </c>
    </row>
    <row r="1355" spans="1:8" x14ac:dyDescent="0.3">
      <c r="A1355" t="s">
        <v>34</v>
      </c>
      <c r="B1355" t="s">
        <v>67</v>
      </c>
      <c r="C1355" t="s">
        <v>2236</v>
      </c>
      <c r="D1355">
        <v>2</v>
      </c>
      <c r="E1355" s="358">
        <v>7</v>
      </c>
      <c r="F1355" s="358" t="s">
        <v>11</v>
      </c>
      <c r="G1355" s="358" t="s">
        <v>11</v>
      </c>
      <c r="H1355" s="358" t="s">
        <v>11</v>
      </c>
    </row>
    <row r="1356" spans="1:8" x14ac:dyDescent="0.3">
      <c r="A1356" t="s">
        <v>34</v>
      </c>
      <c r="B1356" t="s">
        <v>67</v>
      </c>
      <c r="C1356" t="s">
        <v>2237</v>
      </c>
      <c r="D1356">
        <v>1</v>
      </c>
      <c r="E1356" s="358">
        <v>6</v>
      </c>
      <c r="F1356" s="358" t="s">
        <v>7</v>
      </c>
      <c r="G1356" s="358" t="s">
        <v>11</v>
      </c>
      <c r="H1356" s="358" t="s">
        <v>11</v>
      </c>
    </row>
    <row r="1357" spans="1:8" x14ac:dyDescent="0.3">
      <c r="A1357" t="s">
        <v>34</v>
      </c>
      <c r="B1357" t="s">
        <v>67</v>
      </c>
      <c r="C1357" t="s">
        <v>1456</v>
      </c>
      <c r="D1357">
        <v>1</v>
      </c>
      <c r="E1357" s="358">
        <v>6</v>
      </c>
      <c r="F1357" s="358" t="s">
        <v>7</v>
      </c>
      <c r="G1357" s="358" t="s">
        <v>11</v>
      </c>
      <c r="H1357" s="358" t="s">
        <v>11</v>
      </c>
    </row>
    <row r="1358" spans="1:8" x14ac:dyDescent="0.3">
      <c r="A1358" t="s">
        <v>34</v>
      </c>
      <c r="B1358" t="s">
        <v>67</v>
      </c>
      <c r="C1358" t="s">
        <v>1922</v>
      </c>
      <c r="D1358">
        <v>1</v>
      </c>
      <c r="E1358" s="358">
        <v>6</v>
      </c>
      <c r="F1358" s="358" t="s">
        <v>7</v>
      </c>
      <c r="G1358" s="358" t="s">
        <v>11</v>
      </c>
      <c r="H1358" s="358" t="s">
        <v>11</v>
      </c>
    </row>
    <row r="1359" spans="1:8" x14ac:dyDescent="0.3">
      <c r="A1359" t="s">
        <v>34</v>
      </c>
      <c r="B1359" t="s">
        <v>67</v>
      </c>
      <c r="C1359" t="s">
        <v>2238</v>
      </c>
      <c r="D1359">
        <v>1</v>
      </c>
      <c r="E1359" s="358">
        <v>7</v>
      </c>
      <c r="F1359" s="358" t="s">
        <v>11</v>
      </c>
      <c r="G1359" s="358" t="s">
        <v>11</v>
      </c>
      <c r="H1359" s="358" t="s">
        <v>11</v>
      </c>
    </row>
    <row r="1360" spans="1:8" x14ac:dyDescent="0.3">
      <c r="A1360" t="s">
        <v>34</v>
      </c>
      <c r="B1360" t="s">
        <v>67</v>
      </c>
      <c r="C1360" t="s">
        <v>1362</v>
      </c>
      <c r="D1360">
        <v>1</v>
      </c>
      <c r="E1360" s="358">
        <v>7</v>
      </c>
      <c r="F1360" s="358" t="s">
        <v>11</v>
      </c>
      <c r="G1360" s="358" t="s">
        <v>11</v>
      </c>
      <c r="H1360" s="358" t="s">
        <v>11</v>
      </c>
    </row>
    <row r="1361" spans="1:8" x14ac:dyDescent="0.3">
      <c r="A1361" t="s">
        <v>34</v>
      </c>
      <c r="B1361" t="s">
        <v>67</v>
      </c>
      <c r="C1361" t="s">
        <v>1636</v>
      </c>
      <c r="D1361">
        <v>1</v>
      </c>
      <c r="E1361" s="358">
        <v>6</v>
      </c>
      <c r="F1361" s="358" t="s">
        <v>7</v>
      </c>
      <c r="G1361" s="358" t="s">
        <v>11</v>
      </c>
      <c r="H1361" s="358" t="s">
        <v>11</v>
      </c>
    </row>
    <row r="1362" spans="1:8" x14ac:dyDescent="0.3">
      <c r="A1362" t="s">
        <v>34</v>
      </c>
      <c r="B1362" t="s">
        <v>67</v>
      </c>
      <c r="C1362" t="s">
        <v>2239</v>
      </c>
      <c r="D1362">
        <v>1</v>
      </c>
      <c r="E1362" s="358">
        <v>6</v>
      </c>
      <c r="F1362" s="358" t="s">
        <v>7</v>
      </c>
      <c r="G1362" s="358" t="s">
        <v>11</v>
      </c>
      <c r="H1362" s="358" t="s">
        <v>11</v>
      </c>
    </row>
    <row r="1363" spans="1:8" x14ac:dyDescent="0.3">
      <c r="A1363" t="s">
        <v>34</v>
      </c>
      <c r="B1363" t="s">
        <v>67</v>
      </c>
      <c r="C1363" t="s">
        <v>2240</v>
      </c>
      <c r="D1363">
        <v>1</v>
      </c>
      <c r="E1363" s="358">
        <v>6</v>
      </c>
      <c r="F1363" s="358" t="s">
        <v>7</v>
      </c>
      <c r="G1363" s="358" t="s">
        <v>11</v>
      </c>
      <c r="H1363" s="358" t="s">
        <v>11</v>
      </c>
    </row>
    <row r="1364" spans="1:8" x14ac:dyDescent="0.3">
      <c r="A1364" t="s">
        <v>34</v>
      </c>
      <c r="B1364" t="s">
        <v>67</v>
      </c>
      <c r="C1364" t="s">
        <v>2241</v>
      </c>
      <c r="D1364">
        <v>2</v>
      </c>
      <c r="E1364" s="358">
        <v>7</v>
      </c>
      <c r="F1364" s="358" t="s">
        <v>11</v>
      </c>
      <c r="G1364" s="358" t="s">
        <v>11</v>
      </c>
      <c r="H1364" s="358" t="s">
        <v>11</v>
      </c>
    </row>
    <row r="1365" spans="1:8" x14ac:dyDescent="0.3">
      <c r="A1365" t="s">
        <v>34</v>
      </c>
      <c r="B1365" t="s">
        <v>67</v>
      </c>
      <c r="C1365" t="s">
        <v>2242</v>
      </c>
      <c r="D1365">
        <v>2</v>
      </c>
      <c r="E1365" s="358">
        <v>6</v>
      </c>
      <c r="F1365" s="358" t="s">
        <v>7</v>
      </c>
      <c r="G1365" s="358" t="s">
        <v>11</v>
      </c>
      <c r="H1365" s="358" t="s">
        <v>11</v>
      </c>
    </row>
    <row r="1366" spans="1:8" x14ac:dyDescent="0.3">
      <c r="A1366" t="s">
        <v>34</v>
      </c>
      <c r="B1366" t="s">
        <v>67</v>
      </c>
      <c r="C1366" t="s">
        <v>2243</v>
      </c>
      <c r="D1366">
        <v>1</v>
      </c>
      <c r="E1366" s="358">
        <v>6</v>
      </c>
      <c r="F1366" s="358" t="s">
        <v>7</v>
      </c>
      <c r="G1366" s="358" t="s">
        <v>11</v>
      </c>
      <c r="H1366" s="358" t="s">
        <v>11</v>
      </c>
    </row>
    <row r="1367" spans="1:8" x14ac:dyDescent="0.3">
      <c r="A1367" t="s">
        <v>34</v>
      </c>
      <c r="B1367" t="s">
        <v>67</v>
      </c>
      <c r="C1367" t="s">
        <v>1726</v>
      </c>
      <c r="D1367">
        <v>1</v>
      </c>
      <c r="E1367" s="358">
        <v>6</v>
      </c>
      <c r="F1367" s="358" t="s">
        <v>7</v>
      </c>
      <c r="G1367" s="358" t="s">
        <v>11</v>
      </c>
      <c r="H1367" s="358" t="s">
        <v>11</v>
      </c>
    </row>
    <row r="1368" spans="1:8" x14ac:dyDescent="0.3">
      <c r="A1368" t="s">
        <v>34</v>
      </c>
      <c r="B1368" t="s">
        <v>67</v>
      </c>
      <c r="C1368" t="s">
        <v>2244</v>
      </c>
      <c r="D1368">
        <v>1</v>
      </c>
      <c r="E1368" s="358">
        <v>6</v>
      </c>
      <c r="F1368" s="358" t="s">
        <v>7</v>
      </c>
      <c r="G1368" s="358" t="s">
        <v>11</v>
      </c>
      <c r="H1368" s="358" t="s">
        <v>11</v>
      </c>
    </row>
    <row r="1369" spans="1:8" x14ac:dyDescent="0.3">
      <c r="A1369" t="s">
        <v>34</v>
      </c>
      <c r="B1369" t="s">
        <v>67</v>
      </c>
      <c r="C1369" t="s">
        <v>2245</v>
      </c>
      <c r="D1369">
        <v>1</v>
      </c>
      <c r="E1369" s="358">
        <v>6</v>
      </c>
      <c r="F1369" s="358" t="s">
        <v>7</v>
      </c>
      <c r="G1369" s="358" t="s">
        <v>11</v>
      </c>
      <c r="H1369" s="358" t="s">
        <v>11</v>
      </c>
    </row>
    <row r="1370" spans="1:8" x14ac:dyDescent="0.3">
      <c r="A1370" t="s">
        <v>34</v>
      </c>
      <c r="B1370" t="s">
        <v>67</v>
      </c>
      <c r="C1370" t="s">
        <v>2246</v>
      </c>
      <c r="D1370">
        <v>1</v>
      </c>
      <c r="E1370" s="358">
        <v>7</v>
      </c>
      <c r="F1370" s="358" t="s">
        <v>11</v>
      </c>
      <c r="G1370" s="358" t="s">
        <v>11</v>
      </c>
      <c r="H1370" s="358" t="s">
        <v>11</v>
      </c>
    </row>
    <row r="1371" spans="1:8" x14ac:dyDescent="0.3">
      <c r="A1371" t="s">
        <v>34</v>
      </c>
      <c r="B1371" t="s">
        <v>67</v>
      </c>
      <c r="C1371" t="s">
        <v>2247</v>
      </c>
      <c r="D1371">
        <v>1</v>
      </c>
      <c r="E1371" s="358">
        <v>6</v>
      </c>
      <c r="F1371" s="358" t="s">
        <v>7</v>
      </c>
      <c r="G1371" s="358" t="s">
        <v>11</v>
      </c>
      <c r="H1371" s="358" t="s">
        <v>11</v>
      </c>
    </row>
    <row r="1372" spans="1:8" x14ac:dyDescent="0.3">
      <c r="A1372" t="s">
        <v>34</v>
      </c>
      <c r="B1372" t="s">
        <v>67</v>
      </c>
      <c r="C1372" t="s">
        <v>2248</v>
      </c>
      <c r="D1372">
        <v>1</v>
      </c>
      <c r="E1372" s="358">
        <v>7</v>
      </c>
      <c r="F1372" s="358" t="s">
        <v>11</v>
      </c>
      <c r="G1372" s="358" t="s">
        <v>11</v>
      </c>
      <c r="H1372" s="358" t="s">
        <v>11</v>
      </c>
    </row>
    <row r="1373" spans="1:8" x14ac:dyDescent="0.3">
      <c r="A1373" t="s">
        <v>34</v>
      </c>
      <c r="B1373" t="s">
        <v>67</v>
      </c>
      <c r="C1373" t="s">
        <v>2249</v>
      </c>
      <c r="D1373">
        <v>1</v>
      </c>
      <c r="E1373" s="358">
        <v>7</v>
      </c>
      <c r="F1373" s="358" t="s">
        <v>11</v>
      </c>
      <c r="G1373" s="358" t="s">
        <v>11</v>
      </c>
      <c r="H1373" s="358" t="s">
        <v>11</v>
      </c>
    </row>
    <row r="1374" spans="1:8" x14ac:dyDescent="0.3">
      <c r="A1374" t="s">
        <v>34</v>
      </c>
      <c r="B1374" t="s">
        <v>67</v>
      </c>
      <c r="C1374" t="s">
        <v>2250</v>
      </c>
      <c r="D1374">
        <v>2</v>
      </c>
      <c r="E1374" s="358">
        <v>7</v>
      </c>
      <c r="F1374" s="358" t="s">
        <v>11</v>
      </c>
      <c r="G1374" s="358" t="s">
        <v>11</v>
      </c>
      <c r="H1374" s="358" t="s">
        <v>11</v>
      </c>
    </row>
    <row r="1375" spans="1:8" x14ac:dyDescent="0.3">
      <c r="A1375" t="s">
        <v>34</v>
      </c>
      <c r="B1375" t="s">
        <v>67</v>
      </c>
      <c r="C1375" t="s">
        <v>2251</v>
      </c>
      <c r="D1375">
        <v>1</v>
      </c>
      <c r="E1375" s="358">
        <v>6</v>
      </c>
      <c r="F1375" s="358" t="s">
        <v>7</v>
      </c>
      <c r="G1375" s="358" t="s">
        <v>11</v>
      </c>
      <c r="H1375" s="358" t="s">
        <v>11</v>
      </c>
    </row>
    <row r="1376" spans="1:8" x14ac:dyDescent="0.3">
      <c r="A1376" t="s">
        <v>34</v>
      </c>
      <c r="B1376" t="s">
        <v>67</v>
      </c>
      <c r="C1376" t="s">
        <v>1467</v>
      </c>
      <c r="D1376">
        <v>1</v>
      </c>
      <c r="E1376" s="358">
        <v>7</v>
      </c>
      <c r="F1376" s="358" t="s">
        <v>11</v>
      </c>
      <c r="G1376" s="358" t="s">
        <v>11</v>
      </c>
      <c r="H1376" s="358" t="s">
        <v>11</v>
      </c>
    </row>
    <row r="1377" spans="1:8" x14ac:dyDescent="0.3">
      <c r="A1377" t="s">
        <v>34</v>
      </c>
      <c r="B1377" t="s">
        <v>67</v>
      </c>
      <c r="C1377" t="s">
        <v>1468</v>
      </c>
      <c r="D1377">
        <v>1</v>
      </c>
      <c r="E1377" s="358">
        <v>6</v>
      </c>
      <c r="F1377" s="358" t="s">
        <v>7</v>
      </c>
      <c r="G1377" s="358" t="s">
        <v>11</v>
      </c>
      <c r="H1377" s="358" t="s">
        <v>11</v>
      </c>
    </row>
    <row r="1378" spans="1:8" x14ac:dyDescent="0.3">
      <c r="A1378" t="s">
        <v>34</v>
      </c>
      <c r="B1378" t="s">
        <v>67</v>
      </c>
      <c r="C1378" t="s">
        <v>2252</v>
      </c>
      <c r="D1378">
        <v>1</v>
      </c>
      <c r="E1378" s="358">
        <v>6</v>
      </c>
      <c r="F1378" s="358" t="s">
        <v>7</v>
      </c>
      <c r="G1378" s="358" t="s">
        <v>11</v>
      </c>
      <c r="H1378" s="358" t="s">
        <v>11</v>
      </c>
    </row>
    <row r="1379" spans="1:8" x14ac:dyDescent="0.3">
      <c r="A1379" t="s">
        <v>34</v>
      </c>
      <c r="B1379" t="s">
        <v>67</v>
      </c>
      <c r="C1379" t="s">
        <v>2253</v>
      </c>
      <c r="D1379">
        <v>1</v>
      </c>
      <c r="E1379" s="358">
        <v>7</v>
      </c>
      <c r="F1379" s="358" t="s">
        <v>11</v>
      </c>
      <c r="G1379" s="358" t="s">
        <v>11</v>
      </c>
      <c r="H1379" s="358" t="s">
        <v>11</v>
      </c>
    </row>
    <row r="1380" spans="1:8" x14ac:dyDescent="0.3">
      <c r="A1380" t="s">
        <v>34</v>
      </c>
      <c r="B1380" t="s">
        <v>67</v>
      </c>
      <c r="C1380" t="s">
        <v>2254</v>
      </c>
      <c r="D1380">
        <v>1</v>
      </c>
      <c r="E1380" s="358">
        <v>6</v>
      </c>
      <c r="F1380" s="358" t="s">
        <v>7</v>
      </c>
      <c r="G1380" s="358" t="s">
        <v>11</v>
      </c>
      <c r="H1380" s="358" t="s">
        <v>11</v>
      </c>
    </row>
    <row r="1381" spans="1:8" x14ac:dyDescent="0.3">
      <c r="A1381" t="s">
        <v>34</v>
      </c>
      <c r="B1381" t="s">
        <v>67</v>
      </c>
      <c r="C1381" t="s">
        <v>2255</v>
      </c>
      <c r="D1381">
        <v>1</v>
      </c>
      <c r="E1381" s="358">
        <v>6</v>
      </c>
      <c r="F1381" s="358" t="s">
        <v>7</v>
      </c>
      <c r="G1381" s="358" t="s">
        <v>11</v>
      </c>
      <c r="H1381" s="358" t="s">
        <v>11</v>
      </c>
    </row>
    <row r="1382" spans="1:8" x14ac:dyDescent="0.3">
      <c r="A1382" t="s">
        <v>34</v>
      </c>
      <c r="B1382" t="s">
        <v>67</v>
      </c>
      <c r="C1382" t="s">
        <v>1991</v>
      </c>
      <c r="D1382">
        <v>1</v>
      </c>
      <c r="E1382" s="358">
        <v>6</v>
      </c>
      <c r="F1382" s="358" t="s">
        <v>7</v>
      </c>
      <c r="G1382" s="358" t="s">
        <v>11</v>
      </c>
      <c r="H1382" s="358" t="s">
        <v>11</v>
      </c>
    </row>
    <row r="1383" spans="1:8" x14ac:dyDescent="0.3">
      <c r="A1383" t="s">
        <v>34</v>
      </c>
      <c r="B1383" t="s">
        <v>67</v>
      </c>
      <c r="C1383" t="s">
        <v>2256</v>
      </c>
      <c r="D1383">
        <v>1</v>
      </c>
      <c r="E1383" s="358">
        <v>6</v>
      </c>
      <c r="F1383" s="358" t="s">
        <v>7</v>
      </c>
      <c r="G1383" s="358" t="s">
        <v>11</v>
      </c>
      <c r="H1383" s="358" t="s">
        <v>11</v>
      </c>
    </row>
    <row r="1384" spans="1:8" x14ac:dyDescent="0.3">
      <c r="A1384" t="s">
        <v>34</v>
      </c>
      <c r="B1384" t="s">
        <v>67</v>
      </c>
      <c r="C1384" t="s">
        <v>2257</v>
      </c>
      <c r="D1384">
        <v>1</v>
      </c>
      <c r="E1384" s="358">
        <v>7</v>
      </c>
      <c r="F1384" s="358" t="s">
        <v>11</v>
      </c>
      <c r="G1384" s="358" t="s">
        <v>11</v>
      </c>
      <c r="H1384" s="358" t="s">
        <v>11</v>
      </c>
    </row>
    <row r="1385" spans="1:8" x14ac:dyDescent="0.3">
      <c r="A1385" t="s">
        <v>34</v>
      </c>
      <c r="B1385" t="s">
        <v>67</v>
      </c>
      <c r="C1385" t="s">
        <v>2258</v>
      </c>
      <c r="D1385">
        <v>2</v>
      </c>
      <c r="E1385" s="358">
        <v>7</v>
      </c>
      <c r="F1385" s="358" t="s">
        <v>11</v>
      </c>
      <c r="G1385" s="358" t="s">
        <v>11</v>
      </c>
      <c r="H1385" s="358" t="s">
        <v>11</v>
      </c>
    </row>
    <row r="1386" spans="1:8" x14ac:dyDescent="0.3">
      <c r="A1386" t="s">
        <v>34</v>
      </c>
      <c r="B1386" t="s">
        <v>67</v>
      </c>
      <c r="C1386" t="s">
        <v>1473</v>
      </c>
      <c r="D1386">
        <v>1</v>
      </c>
      <c r="E1386" s="358">
        <v>6</v>
      </c>
      <c r="F1386" s="358" t="s">
        <v>7</v>
      </c>
      <c r="G1386" s="358" t="s">
        <v>11</v>
      </c>
      <c r="H1386" s="358" t="s">
        <v>11</v>
      </c>
    </row>
    <row r="1387" spans="1:8" x14ac:dyDescent="0.3">
      <c r="A1387" t="s">
        <v>34</v>
      </c>
      <c r="B1387" t="s">
        <v>67</v>
      </c>
      <c r="C1387" t="s">
        <v>2259</v>
      </c>
      <c r="D1387">
        <v>1</v>
      </c>
      <c r="E1387" s="358">
        <v>6</v>
      </c>
      <c r="F1387" s="358" t="s">
        <v>7</v>
      </c>
      <c r="G1387" s="358" t="s">
        <v>11</v>
      </c>
      <c r="H1387" s="358" t="s">
        <v>11</v>
      </c>
    </row>
    <row r="1388" spans="1:8" x14ac:dyDescent="0.3">
      <c r="A1388" t="s">
        <v>34</v>
      </c>
      <c r="B1388" t="s">
        <v>67</v>
      </c>
      <c r="C1388" t="s">
        <v>2260</v>
      </c>
      <c r="D1388">
        <v>1</v>
      </c>
      <c r="E1388" s="358">
        <v>6</v>
      </c>
      <c r="F1388" s="358" t="s">
        <v>7</v>
      </c>
      <c r="G1388" s="358" t="s">
        <v>11</v>
      </c>
      <c r="H1388" s="358" t="s">
        <v>11</v>
      </c>
    </row>
    <row r="1389" spans="1:8" x14ac:dyDescent="0.3">
      <c r="A1389" t="s">
        <v>34</v>
      </c>
      <c r="B1389" t="s">
        <v>67</v>
      </c>
      <c r="C1389" t="s">
        <v>2261</v>
      </c>
      <c r="D1389">
        <v>1</v>
      </c>
      <c r="E1389" s="358">
        <v>6</v>
      </c>
      <c r="F1389" s="358" t="s">
        <v>7</v>
      </c>
      <c r="G1389" s="358" t="s">
        <v>11</v>
      </c>
      <c r="H1389" s="358" t="s">
        <v>11</v>
      </c>
    </row>
    <row r="1390" spans="1:8" x14ac:dyDescent="0.3">
      <c r="A1390" t="s">
        <v>34</v>
      </c>
      <c r="B1390" t="s">
        <v>67</v>
      </c>
      <c r="C1390" t="s">
        <v>2262</v>
      </c>
      <c r="D1390">
        <v>1</v>
      </c>
      <c r="E1390" s="358">
        <v>6</v>
      </c>
      <c r="F1390" s="358" t="s">
        <v>7</v>
      </c>
      <c r="G1390" s="358" t="s">
        <v>11</v>
      </c>
      <c r="H1390" s="358" t="s">
        <v>11</v>
      </c>
    </row>
    <row r="1391" spans="1:8" x14ac:dyDescent="0.3">
      <c r="A1391" t="s">
        <v>34</v>
      </c>
      <c r="B1391" t="s">
        <v>67</v>
      </c>
      <c r="C1391" t="s">
        <v>2001</v>
      </c>
      <c r="D1391">
        <v>1</v>
      </c>
      <c r="E1391" s="358">
        <v>6</v>
      </c>
      <c r="F1391" s="358" t="s">
        <v>7</v>
      </c>
      <c r="G1391" s="358" t="s">
        <v>11</v>
      </c>
      <c r="H1391" s="358" t="s">
        <v>11</v>
      </c>
    </row>
    <row r="1392" spans="1:8" x14ac:dyDescent="0.3">
      <c r="A1392" t="s">
        <v>34</v>
      </c>
      <c r="B1392" t="s">
        <v>67</v>
      </c>
      <c r="C1392" t="s">
        <v>2263</v>
      </c>
      <c r="D1392">
        <v>1</v>
      </c>
      <c r="E1392" s="358">
        <v>6</v>
      </c>
      <c r="F1392" s="358" t="s">
        <v>7</v>
      </c>
      <c r="G1392" s="358" t="s">
        <v>11</v>
      </c>
      <c r="H1392" s="358" t="s">
        <v>11</v>
      </c>
    </row>
    <row r="1393" spans="1:8" x14ac:dyDescent="0.3">
      <c r="A1393" t="s">
        <v>34</v>
      </c>
      <c r="B1393" t="s">
        <v>67</v>
      </c>
      <c r="C1393" t="s">
        <v>2061</v>
      </c>
      <c r="D1393">
        <v>1</v>
      </c>
      <c r="E1393" s="358">
        <v>6</v>
      </c>
      <c r="F1393" s="358" t="s">
        <v>7</v>
      </c>
      <c r="G1393" s="358" t="s">
        <v>11</v>
      </c>
      <c r="H1393" s="358" t="s">
        <v>11</v>
      </c>
    </row>
    <row r="1394" spans="1:8" x14ac:dyDescent="0.3">
      <c r="A1394" t="s">
        <v>34</v>
      </c>
      <c r="B1394" t="s">
        <v>67</v>
      </c>
      <c r="C1394" t="s">
        <v>2264</v>
      </c>
      <c r="D1394">
        <v>1</v>
      </c>
      <c r="E1394" s="358">
        <v>6</v>
      </c>
      <c r="F1394" s="358" t="s">
        <v>7</v>
      </c>
      <c r="G1394" s="358" t="s">
        <v>11</v>
      </c>
      <c r="H1394" s="358" t="s">
        <v>11</v>
      </c>
    </row>
    <row r="1395" spans="1:8" x14ac:dyDescent="0.3">
      <c r="A1395" t="s">
        <v>34</v>
      </c>
      <c r="B1395" t="s">
        <v>67</v>
      </c>
      <c r="C1395" t="s">
        <v>2265</v>
      </c>
      <c r="D1395">
        <v>1</v>
      </c>
      <c r="E1395" s="358">
        <v>6</v>
      </c>
      <c r="F1395" s="358" t="s">
        <v>7</v>
      </c>
      <c r="G1395" s="358" t="s">
        <v>11</v>
      </c>
      <c r="H1395" s="358" t="s">
        <v>11</v>
      </c>
    </row>
    <row r="1396" spans="1:8" x14ac:dyDescent="0.3">
      <c r="A1396" t="s">
        <v>34</v>
      </c>
      <c r="B1396" t="s">
        <v>67</v>
      </c>
      <c r="C1396" t="s">
        <v>2266</v>
      </c>
      <c r="D1396">
        <v>1</v>
      </c>
      <c r="E1396" s="358">
        <v>7</v>
      </c>
      <c r="F1396" s="358" t="s">
        <v>11</v>
      </c>
      <c r="G1396" s="358" t="s">
        <v>11</v>
      </c>
      <c r="H1396" s="358" t="s">
        <v>11</v>
      </c>
    </row>
    <row r="1397" spans="1:8" x14ac:dyDescent="0.3">
      <c r="A1397" t="s">
        <v>34</v>
      </c>
      <c r="B1397" t="s">
        <v>67</v>
      </c>
      <c r="C1397" t="s">
        <v>2267</v>
      </c>
      <c r="D1397">
        <v>1</v>
      </c>
      <c r="E1397" s="358">
        <v>6</v>
      </c>
      <c r="F1397" s="358" t="s">
        <v>7</v>
      </c>
      <c r="G1397" s="358" t="s">
        <v>11</v>
      </c>
      <c r="H1397" s="358" t="s">
        <v>11</v>
      </c>
    </row>
    <row r="1398" spans="1:8" x14ac:dyDescent="0.3">
      <c r="A1398" t="s">
        <v>34</v>
      </c>
      <c r="B1398" t="s">
        <v>67</v>
      </c>
      <c r="C1398" t="s">
        <v>1379</v>
      </c>
      <c r="D1398">
        <v>1</v>
      </c>
      <c r="E1398" s="358">
        <v>6</v>
      </c>
      <c r="F1398" s="358" t="s">
        <v>7</v>
      </c>
      <c r="G1398" s="358" t="s">
        <v>11</v>
      </c>
      <c r="H1398" s="358" t="s">
        <v>11</v>
      </c>
    </row>
    <row r="1399" spans="1:8" x14ac:dyDescent="0.3">
      <c r="A1399" t="s">
        <v>34</v>
      </c>
      <c r="B1399" t="s">
        <v>67</v>
      </c>
      <c r="C1399" t="s">
        <v>2268</v>
      </c>
      <c r="D1399">
        <v>1</v>
      </c>
      <c r="E1399" s="358">
        <v>6</v>
      </c>
      <c r="F1399" s="358" t="s">
        <v>7</v>
      </c>
      <c r="G1399" s="358" t="s">
        <v>11</v>
      </c>
      <c r="H1399" s="358" t="s">
        <v>11</v>
      </c>
    </row>
    <row r="1400" spans="1:8" x14ac:dyDescent="0.3">
      <c r="A1400" t="s">
        <v>34</v>
      </c>
      <c r="B1400" t="s">
        <v>67</v>
      </c>
      <c r="C1400" t="s">
        <v>2269</v>
      </c>
      <c r="D1400">
        <v>1</v>
      </c>
      <c r="E1400" s="358">
        <v>7</v>
      </c>
      <c r="F1400" s="358" t="s">
        <v>11</v>
      </c>
      <c r="G1400" s="358" t="s">
        <v>11</v>
      </c>
      <c r="H1400" s="358" t="s">
        <v>11</v>
      </c>
    </row>
    <row r="1401" spans="1:8" x14ac:dyDescent="0.3">
      <c r="A1401" t="s">
        <v>34</v>
      </c>
      <c r="B1401" t="s">
        <v>67</v>
      </c>
      <c r="C1401" t="s">
        <v>2270</v>
      </c>
      <c r="D1401">
        <v>1</v>
      </c>
      <c r="E1401" s="358">
        <v>6</v>
      </c>
      <c r="F1401" s="358" t="s">
        <v>7</v>
      </c>
      <c r="G1401" s="358" t="s">
        <v>11</v>
      </c>
      <c r="H1401" s="358" t="s">
        <v>11</v>
      </c>
    </row>
    <row r="1402" spans="1:8" x14ac:dyDescent="0.3">
      <c r="A1402" t="s">
        <v>34</v>
      </c>
      <c r="B1402" t="s">
        <v>67</v>
      </c>
      <c r="C1402" t="s">
        <v>1942</v>
      </c>
      <c r="D1402">
        <v>1</v>
      </c>
      <c r="E1402" s="358">
        <v>6</v>
      </c>
      <c r="F1402" s="358" t="s">
        <v>7</v>
      </c>
      <c r="G1402" s="358" t="s">
        <v>11</v>
      </c>
      <c r="H1402" s="358" t="s">
        <v>11</v>
      </c>
    </row>
    <row r="1403" spans="1:8" x14ac:dyDescent="0.3">
      <c r="A1403" t="s">
        <v>34</v>
      </c>
      <c r="B1403" t="s">
        <v>67</v>
      </c>
      <c r="C1403" t="s">
        <v>2271</v>
      </c>
      <c r="D1403">
        <v>1</v>
      </c>
      <c r="E1403" s="358">
        <v>6</v>
      </c>
      <c r="F1403" s="358" t="s">
        <v>7</v>
      </c>
      <c r="G1403" s="358" t="s">
        <v>11</v>
      </c>
      <c r="H1403" s="358" t="s">
        <v>11</v>
      </c>
    </row>
    <row r="1404" spans="1:8" x14ac:dyDescent="0.3">
      <c r="A1404" t="s">
        <v>36</v>
      </c>
      <c r="B1404" t="s">
        <v>117</v>
      </c>
      <c r="C1404" t="s">
        <v>1540</v>
      </c>
      <c r="D1404">
        <v>3</v>
      </c>
      <c r="E1404" s="358">
        <v>3</v>
      </c>
      <c r="F1404" s="358" t="s">
        <v>7</v>
      </c>
      <c r="G1404" s="358" t="s">
        <v>115</v>
      </c>
      <c r="H1404" s="358" t="s">
        <v>11</v>
      </c>
    </row>
    <row r="1405" spans="1:8" x14ac:dyDescent="0.3">
      <c r="A1405" t="s">
        <v>36</v>
      </c>
      <c r="B1405" t="s">
        <v>117</v>
      </c>
      <c r="C1405" t="s">
        <v>2272</v>
      </c>
      <c r="D1405">
        <v>2</v>
      </c>
      <c r="E1405" s="358">
        <v>3</v>
      </c>
      <c r="F1405" s="358" t="s">
        <v>7</v>
      </c>
      <c r="G1405" s="358" t="s">
        <v>11</v>
      </c>
      <c r="H1405" s="358" t="s">
        <v>11</v>
      </c>
    </row>
    <row r="1406" spans="1:8" x14ac:dyDescent="0.3">
      <c r="A1406" t="s">
        <v>36</v>
      </c>
      <c r="B1406" t="s">
        <v>117</v>
      </c>
      <c r="C1406" t="s">
        <v>2273</v>
      </c>
      <c r="D1406">
        <v>3</v>
      </c>
      <c r="E1406" s="358">
        <v>3</v>
      </c>
      <c r="F1406" s="358" t="s">
        <v>7</v>
      </c>
      <c r="G1406" s="358" t="s">
        <v>115</v>
      </c>
      <c r="H1406" s="358" t="s">
        <v>11</v>
      </c>
    </row>
    <row r="1407" spans="1:8" x14ac:dyDescent="0.3">
      <c r="A1407" t="s">
        <v>36</v>
      </c>
      <c r="B1407" t="s">
        <v>117</v>
      </c>
      <c r="C1407" t="s">
        <v>2274</v>
      </c>
      <c r="D1407">
        <v>3</v>
      </c>
      <c r="E1407" s="358">
        <v>3</v>
      </c>
      <c r="F1407" s="358" t="s">
        <v>7</v>
      </c>
      <c r="G1407" s="358" t="s">
        <v>11</v>
      </c>
      <c r="H1407" s="358" t="s">
        <v>11</v>
      </c>
    </row>
    <row r="1408" spans="1:8" x14ac:dyDescent="0.3">
      <c r="A1408" t="s">
        <v>36</v>
      </c>
      <c r="B1408" t="s">
        <v>117</v>
      </c>
      <c r="C1408" t="s">
        <v>1430</v>
      </c>
      <c r="D1408">
        <v>3</v>
      </c>
      <c r="E1408" s="358">
        <v>3</v>
      </c>
      <c r="F1408" s="358" t="s">
        <v>7</v>
      </c>
      <c r="G1408" s="358" t="s">
        <v>11</v>
      </c>
      <c r="H1408" s="358" t="s">
        <v>11</v>
      </c>
    </row>
    <row r="1409" spans="1:8" x14ac:dyDescent="0.3">
      <c r="A1409" t="s">
        <v>36</v>
      </c>
      <c r="B1409" t="s">
        <v>117</v>
      </c>
      <c r="C1409" t="s">
        <v>2275</v>
      </c>
      <c r="D1409">
        <v>3</v>
      </c>
      <c r="E1409" s="358">
        <v>3</v>
      </c>
      <c r="F1409" s="358" t="s">
        <v>7</v>
      </c>
      <c r="G1409" s="358" t="s">
        <v>11</v>
      </c>
      <c r="H1409" s="358" t="s">
        <v>11</v>
      </c>
    </row>
    <row r="1410" spans="1:8" x14ac:dyDescent="0.3">
      <c r="A1410" t="s">
        <v>36</v>
      </c>
      <c r="B1410" t="s">
        <v>117</v>
      </c>
      <c r="C1410" t="s">
        <v>1322</v>
      </c>
      <c r="D1410">
        <v>3</v>
      </c>
      <c r="E1410" s="358">
        <v>3</v>
      </c>
      <c r="F1410" s="358" t="s">
        <v>7</v>
      </c>
      <c r="G1410" s="358" t="s">
        <v>11</v>
      </c>
      <c r="H1410" s="358" t="s">
        <v>11</v>
      </c>
    </row>
    <row r="1411" spans="1:8" x14ac:dyDescent="0.3">
      <c r="A1411" t="s">
        <v>36</v>
      </c>
      <c r="B1411" t="s">
        <v>117</v>
      </c>
      <c r="C1411" t="s">
        <v>1433</v>
      </c>
      <c r="D1411">
        <v>3</v>
      </c>
      <c r="E1411" s="358">
        <v>3</v>
      </c>
      <c r="F1411" s="358" t="s">
        <v>7</v>
      </c>
      <c r="G1411" s="358" t="s">
        <v>11</v>
      </c>
      <c r="H1411" s="358" t="s">
        <v>11</v>
      </c>
    </row>
    <row r="1412" spans="1:8" x14ac:dyDescent="0.3">
      <c r="A1412" t="s">
        <v>36</v>
      </c>
      <c r="B1412" t="s">
        <v>117</v>
      </c>
      <c r="C1412" t="s">
        <v>1908</v>
      </c>
      <c r="D1412">
        <v>2</v>
      </c>
      <c r="E1412" s="358">
        <v>3</v>
      </c>
      <c r="F1412" s="358" t="s">
        <v>7</v>
      </c>
      <c r="G1412" s="358" t="s">
        <v>11</v>
      </c>
      <c r="H1412" s="358" t="s">
        <v>11</v>
      </c>
    </row>
    <row r="1413" spans="1:8" x14ac:dyDescent="0.3">
      <c r="A1413" t="s">
        <v>36</v>
      </c>
      <c r="B1413" t="s">
        <v>117</v>
      </c>
      <c r="C1413" t="s">
        <v>1326</v>
      </c>
      <c r="D1413">
        <v>3</v>
      </c>
      <c r="E1413" s="358">
        <v>3</v>
      </c>
      <c r="F1413" s="358" t="s">
        <v>7</v>
      </c>
      <c r="G1413" s="358" t="s">
        <v>11</v>
      </c>
      <c r="H1413" s="358" t="s">
        <v>11</v>
      </c>
    </row>
    <row r="1414" spans="1:8" x14ac:dyDescent="0.3">
      <c r="A1414" t="s">
        <v>36</v>
      </c>
      <c r="B1414" t="s">
        <v>117</v>
      </c>
      <c r="C1414" t="s">
        <v>2076</v>
      </c>
      <c r="D1414">
        <v>3</v>
      </c>
      <c r="E1414" s="358">
        <v>3</v>
      </c>
      <c r="F1414" s="358" t="s">
        <v>7</v>
      </c>
      <c r="G1414" s="358" t="s">
        <v>115</v>
      </c>
      <c r="H1414" s="358" t="s">
        <v>11</v>
      </c>
    </row>
    <row r="1415" spans="1:8" x14ac:dyDescent="0.3">
      <c r="A1415" t="s">
        <v>36</v>
      </c>
      <c r="B1415" t="s">
        <v>117</v>
      </c>
      <c r="C1415" t="s">
        <v>1327</v>
      </c>
      <c r="D1415">
        <v>3</v>
      </c>
      <c r="E1415" s="358">
        <v>3</v>
      </c>
      <c r="F1415" s="358" t="s">
        <v>7</v>
      </c>
      <c r="G1415" s="358" t="s">
        <v>11</v>
      </c>
      <c r="H1415" s="358" t="s">
        <v>11</v>
      </c>
    </row>
    <row r="1416" spans="1:8" x14ac:dyDescent="0.3">
      <c r="A1416" t="s">
        <v>36</v>
      </c>
      <c r="B1416" t="s">
        <v>117</v>
      </c>
      <c r="C1416" t="s">
        <v>1328</v>
      </c>
      <c r="D1416">
        <v>2</v>
      </c>
      <c r="E1416" s="358">
        <v>3</v>
      </c>
      <c r="F1416" s="358" t="s">
        <v>7</v>
      </c>
      <c r="G1416" s="358" t="s">
        <v>11</v>
      </c>
      <c r="H1416" s="358" t="s">
        <v>11</v>
      </c>
    </row>
    <row r="1417" spans="1:8" x14ac:dyDescent="0.3">
      <c r="A1417" t="s">
        <v>36</v>
      </c>
      <c r="B1417" t="s">
        <v>117</v>
      </c>
      <c r="C1417" t="s">
        <v>2276</v>
      </c>
      <c r="D1417">
        <v>3</v>
      </c>
      <c r="E1417" s="358">
        <v>3</v>
      </c>
      <c r="F1417" s="358" t="s">
        <v>7</v>
      </c>
      <c r="G1417" s="358" t="s">
        <v>11</v>
      </c>
      <c r="H1417" s="358" t="s">
        <v>11</v>
      </c>
    </row>
    <row r="1418" spans="1:8" x14ac:dyDescent="0.3">
      <c r="A1418" t="s">
        <v>36</v>
      </c>
      <c r="B1418" t="s">
        <v>117</v>
      </c>
      <c r="C1418" t="s">
        <v>2277</v>
      </c>
      <c r="D1418">
        <v>3</v>
      </c>
      <c r="E1418" s="358">
        <v>3</v>
      </c>
      <c r="F1418" s="358" t="s">
        <v>7</v>
      </c>
      <c r="G1418" s="358" t="s">
        <v>115</v>
      </c>
      <c r="H1418" s="358" t="s">
        <v>11</v>
      </c>
    </row>
    <row r="1419" spans="1:8" x14ac:dyDescent="0.3">
      <c r="A1419" t="s">
        <v>36</v>
      </c>
      <c r="B1419" t="s">
        <v>117</v>
      </c>
      <c r="C1419" t="s">
        <v>1334</v>
      </c>
      <c r="D1419">
        <v>3</v>
      </c>
      <c r="E1419" s="358">
        <v>3</v>
      </c>
      <c r="F1419" s="358" t="s">
        <v>7</v>
      </c>
      <c r="G1419" s="358" t="s">
        <v>115</v>
      </c>
      <c r="H1419" s="358" t="s">
        <v>11</v>
      </c>
    </row>
    <row r="1420" spans="1:8" x14ac:dyDescent="0.3">
      <c r="A1420" t="s">
        <v>36</v>
      </c>
      <c r="B1420" t="s">
        <v>117</v>
      </c>
      <c r="C1420" t="s">
        <v>2278</v>
      </c>
      <c r="D1420">
        <v>3</v>
      </c>
      <c r="E1420" s="358">
        <v>3</v>
      </c>
      <c r="F1420" s="358" t="s">
        <v>7</v>
      </c>
      <c r="G1420" s="358" t="s">
        <v>11</v>
      </c>
      <c r="H1420" s="358" t="s">
        <v>11</v>
      </c>
    </row>
    <row r="1421" spans="1:8" x14ac:dyDescent="0.3">
      <c r="A1421" t="s">
        <v>36</v>
      </c>
      <c r="B1421" t="s">
        <v>117</v>
      </c>
      <c r="C1421" t="s">
        <v>2279</v>
      </c>
      <c r="D1421">
        <v>3</v>
      </c>
      <c r="E1421" s="358">
        <v>3</v>
      </c>
      <c r="F1421" s="358" t="s">
        <v>7</v>
      </c>
      <c r="G1421" s="358" t="s">
        <v>115</v>
      </c>
      <c r="H1421" s="358" t="s">
        <v>11</v>
      </c>
    </row>
    <row r="1422" spans="1:8" x14ac:dyDescent="0.3">
      <c r="A1422" t="s">
        <v>36</v>
      </c>
      <c r="B1422" t="s">
        <v>117</v>
      </c>
      <c r="C1422" t="s">
        <v>1344</v>
      </c>
      <c r="D1422">
        <v>3</v>
      </c>
      <c r="E1422" s="358">
        <v>3</v>
      </c>
      <c r="F1422" s="358" t="s">
        <v>7</v>
      </c>
      <c r="G1422" s="358" t="s">
        <v>115</v>
      </c>
      <c r="H1422" s="358" t="s">
        <v>11</v>
      </c>
    </row>
    <row r="1423" spans="1:8" x14ac:dyDescent="0.3">
      <c r="A1423" t="s">
        <v>36</v>
      </c>
      <c r="B1423" t="s">
        <v>117</v>
      </c>
      <c r="C1423" t="s">
        <v>2280</v>
      </c>
      <c r="D1423">
        <v>3</v>
      </c>
      <c r="E1423" s="358">
        <v>3</v>
      </c>
      <c r="F1423" s="358" t="s">
        <v>7</v>
      </c>
      <c r="G1423" s="358" t="s">
        <v>115</v>
      </c>
      <c r="H1423" s="358" t="s">
        <v>11</v>
      </c>
    </row>
    <row r="1424" spans="1:8" x14ac:dyDescent="0.3">
      <c r="A1424" t="s">
        <v>36</v>
      </c>
      <c r="B1424" t="s">
        <v>117</v>
      </c>
      <c r="C1424" t="s">
        <v>1346</v>
      </c>
      <c r="D1424">
        <v>3</v>
      </c>
      <c r="E1424" s="358">
        <v>3</v>
      </c>
      <c r="F1424" s="358" t="s">
        <v>7</v>
      </c>
      <c r="G1424" s="358" t="s">
        <v>115</v>
      </c>
      <c r="H1424" s="358" t="s">
        <v>11</v>
      </c>
    </row>
    <row r="1425" spans="1:8" x14ac:dyDescent="0.3">
      <c r="A1425" t="s">
        <v>36</v>
      </c>
      <c r="B1425" t="s">
        <v>117</v>
      </c>
      <c r="C1425" t="s">
        <v>2281</v>
      </c>
      <c r="D1425">
        <v>3</v>
      </c>
      <c r="E1425" s="358">
        <v>3</v>
      </c>
      <c r="F1425" s="358" t="s">
        <v>7</v>
      </c>
      <c r="G1425" s="358" t="s">
        <v>11</v>
      </c>
      <c r="H1425" s="358" t="s">
        <v>11</v>
      </c>
    </row>
    <row r="1426" spans="1:8" x14ac:dyDescent="0.3">
      <c r="A1426" t="s">
        <v>36</v>
      </c>
      <c r="B1426" t="s">
        <v>117</v>
      </c>
      <c r="C1426" t="s">
        <v>1708</v>
      </c>
      <c r="D1426">
        <v>3</v>
      </c>
      <c r="E1426" s="358">
        <v>2</v>
      </c>
      <c r="F1426" s="358" t="s">
        <v>7</v>
      </c>
      <c r="G1426" s="358" t="s">
        <v>115</v>
      </c>
      <c r="H1426" s="358" t="s">
        <v>11</v>
      </c>
    </row>
    <row r="1427" spans="1:8" x14ac:dyDescent="0.3">
      <c r="A1427" t="s">
        <v>36</v>
      </c>
      <c r="B1427" t="s">
        <v>117</v>
      </c>
      <c r="C1427" t="s">
        <v>1867</v>
      </c>
      <c r="D1427">
        <v>3</v>
      </c>
      <c r="E1427" s="358">
        <v>2</v>
      </c>
      <c r="F1427" s="358" t="s">
        <v>7</v>
      </c>
      <c r="G1427" s="358" t="s">
        <v>115</v>
      </c>
      <c r="H1427" s="358" t="s">
        <v>11</v>
      </c>
    </row>
    <row r="1428" spans="1:8" x14ac:dyDescent="0.3">
      <c r="A1428" t="s">
        <v>36</v>
      </c>
      <c r="B1428" t="s">
        <v>117</v>
      </c>
      <c r="C1428" t="s">
        <v>2282</v>
      </c>
      <c r="D1428">
        <v>3</v>
      </c>
      <c r="E1428" s="358">
        <v>3</v>
      </c>
      <c r="F1428" s="358" t="s">
        <v>7</v>
      </c>
      <c r="G1428" s="358" t="s">
        <v>115</v>
      </c>
      <c r="H1428" s="358" t="s">
        <v>11</v>
      </c>
    </row>
    <row r="1429" spans="1:8" x14ac:dyDescent="0.3">
      <c r="A1429" t="s">
        <v>36</v>
      </c>
      <c r="B1429" t="s">
        <v>117</v>
      </c>
      <c r="C1429" t="s">
        <v>1630</v>
      </c>
      <c r="D1429">
        <v>3</v>
      </c>
      <c r="E1429" s="358">
        <v>3</v>
      </c>
      <c r="F1429" s="358" t="s">
        <v>7</v>
      </c>
      <c r="G1429" s="358" t="s">
        <v>11</v>
      </c>
      <c r="H1429" s="358" t="s">
        <v>11</v>
      </c>
    </row>
    <row r="1430" spans="1:8" x14ac:dyDescent="0.3">
      <c r="A1430" t="s">
        <v>36</v>
      </c>
      <c r="B1430" t="s">
        <v>117</v>
      </c>
      <c r="C1430" t="s">
        <v>2283</v>
      </c>
      <c r="D1430">
        <v>3</v>
      </c>
      <c r="E1430" s="358">
        <v>3</v>
      </c>
      <c r="F1430" s="358" t="s">
        <v>7</v>
      </c>
      <c r="G1430" s="358" t="s">
        <v>11</v>
      </c>
      <c r="H1430" s="358" t="s">
        <v>11</v>
      </c>
    </row>
    <row r="1431" spans="1:8" x14ac:dyDescent="0.3">
      <c r="A1431" t="s">
        <v>36</v>
      </c>
      <c r="B1431" t="s">
        <v>117</v>
      </c>
      <c r="C1431" t="s">
        <v>2284</v>
      </c>
      <c r="D1431">
        <v>3</v>
      </c>
      <c r="E1431" s="358">
        <v>3</v>
      </c>
      <c r="F1431" s="358" t="s">
        <v>7</v>
      </c>
      <c r="G1431" s="358" t="s">
        <v>11</v>
      </c>
      <c r="H1431" s="358" t="s">
        <v>11</v>
      </c>
    </row>
    <row r="1432" spans="1:8" x14ac:dyDescent="0.3">
      <c r="A1432" t="s">
        <v>36</v>
      </c>
      <c r="B1432" t="s">
        <v>117</v>
      </c>
      <c r="C1432" t="s">
        <v>2285</v>
      </c>
      <c r="D1432">
        <v>3</v>
      </c>
      <c r="E1432" s="358">
        <v>3</v>
      </c>
      <c r="F1432" s="358" t="s">
        <v>7</v>
      </c>
      <c r="G1432" s="358" t="s">
        <v>11</v>
      </c>
      <c r="H1432" s="358" t="s">
        <v>11</v>
      </c>
    </row>
    <row r="1433" spans="1:8" x14ac:dyDescent="0.3">
      <c r="A1433" t="s">
        <v>36</v>
      </c>
      <c r="B1433" t="s">
        <v>117</v>
      </c>
      <c r="C1433" t="s">
        <v>1350</v>
      </c>
      <c r="D1433">
        <v>3</v>
      </c>
      <c r="E1433" s="358">
        <v>2</v>
      </c>
      <c r="F1433" s="358" t="s">
        <v>7</v>
      </c>
      <c r="G1433" s="358" t="s">
        <v>115</v>
      </c>
      <c r="H1433" s="358" t="s">
        <v>11</v>
      </c>
    </row>
    <row r="1434" spans="1:8" x14ac:dyDescent="0.3">
      <c r="A1434" t="s">
        <v>36</v>
      </c>
      <c r="B1434" t="s">
        <v>117</v>
      </c>
      <c r="C1434" t="s">
        <v>1714</v>
      </c>
      <c r="D1434">
        <v>3</v>
      </c>
      <c r="E1434" s="358">
        <v>3</v>
      </c>
      <c r="F1434" s="358" t="s">
        <v>7</v>
      </c>
      <c r="G1434" s="358" t="s">
        <v>11</v>
      </c>
      <c r="H1434" s="358" t="s">
        <v>11</v>
      </c>
    </row>
    <row r="1435" spans="1:8" x14ac:dyDescent="0.3">
      <c r="A1435" t="s">
        <v>36</v>
      </c>
      <c r="B1435" t="s">
        <v>117</v>
      </c>
      <c r="C1435" t="s">
        <v>1351</v>
      </c>
      <c r="D1435">
        <v>3</v>
      </c>
      <c r="E1435" s="358">
        <v>3</v>
      </c>
      <c r="F1435" s="358" t="s">
        <v>7</v>
      </c>
      <c r="G1435" s="358" t="s">
        <v>115</v>
      </c>
      <c r="H1435" s="358" t="s">
        <v>11</v>
      </c>
    </row>
    <row r="1436" spans="1:8" x14ac:dyDescent="0.3">
      <c r="A1436" t="s">
        <v>36</v>
      </c>
      <c r="B1436" t="s">
        <v>117</v>
      </c>
      <c r="C1436" t="s">
        <v>2084</v>
      </c>
      <c r="D1436">
        <v>3</v>
      </c>
      <c r="E1436" s="358">
        <v>3</v>
      </c>
      <c r="F1436" s="358" t="s">
        <v>7</v>
      </c>
      <c r="G1436" s="358" t="s">
        <v>115</v>
      </c>
      <c r="H1436" s="358" t="s">
        <v>11</v>
      </c>
    </row>
    <row r="1437" spans="1:8" x14ac:dyDescent="0.3">
      <c r="A1437" t="s">
        <v>36</v>
      </c>
      <c r="B1437" t="s">
        <v>117</v>
      </c>
      <c r="C1437" t="s">
        <v>1717</v>
      </c>
      <c r="D1437">
        <v>3</v>
      </c>
      <c r="E1437" s="358">
        <v>3</v>
      </c>
      <c r="F1437" s="358" t="s">
        <v>7</v>
      </c>
      <c r="G1437" s="358" t="s">
        <v>115</v>
      </c>
      <c r="H1437" s="358" t="s">
        <v>11</v>
      </c>
    </row>
    <row r="1438" spans="1:8" x14ac:dyDescent="0.3">
      <c r="A1438" t="s">
        <v>36</v>
      </c>
      <c r="B1438" t="s">
        <v>117</v>
      </c>
      <c r="C1438" t="s">
        <v>2286</v>
      </c>
      <c r="D1438">
        <v>3</v>
      </c>
      <c r="E1438" s="358">
        <v>3</v>
      </c>
      <c r="F1438" s="358" t="s">
        <v>7</v>
      </c>
      <c r="G1438" s="358" t="s">
        <v>11</v>
      </c>
      <c r="H1438" s="358" t="s">
        <v>11</v>
      </c>
    </row>
    <row r="1439" spans="1:8" x14ac:dyDescent="0.3">
      <c r="A1439" t="s">
        <v>36</v>
      </c>
      <c r="B1439" t="s">
        <v>117</v>
      </c>
      <c r="C1439" t="s">
        <v>1455</v>
      </c>
      <c r="D1439">
        <v>3</v>
      </c>
      <c r="E1439" s="358">
        <v>3</v>
      </c>
      <c r="F1439" s="358" t="s">
        <v>7</v>
      </c>
      <c r="G1439" s="358" t="s">
        <v>11</v>
      </c>
      <c r="H1439" s="358" t="s">
        <v>11</v>
      </c>
    </row>
    <row r="1440" spans="1:8" x14ac:dyDescent="0.3">
      <c r="A1440" t="s">
        <v>36</v>
      </c>
      <c r="B1440" t="s">
        <v>117</v>
      </c>
      <c r="C1440" t="s">
        <v>1352</v>
      </c>
      <c r="D1440">
        <v>3</v>
      </c>
      <c r="E1440" s="358">
        <v>3</v>
      </c>
      <c r="F1440" s="358" t="s">
        <v>7</v>
      </c>
      <c r="G1440" s="358" t="s">
        <v>115</v>
      </c>
      <c r="H1440" s="358" t="s">
        <v>11</v>
      </c>
    </row>
    <row r="1441" spans="1:8" x14ac:dyDescent="0.3">
      <c r="A1441" t="s">
        <v>36</v>
      </c>
      <c r="B1441" t="s">
        <v>117</v>
      </c>
      <c r="C1441" t="s">
        <v>1353</v>
      </c>
      <c r="D1441">
        <v>3</v>
      </c>
      <c r="E1441" s="358">
        <v>3</v>
      </c>
      <c r="F1441" s="358" t="s">
        <v>7</v>
      </c>
      <c r="G1441" s="358" t="s">
        <v>11</v>
      </c>
      <c r="H1441" s="358" t="s">
        <v>11</v>
      </c>
    </row>
    <row r="1442" spans="1:8" x14ac:dyDescent="0.3">
      <c r="A1442" t="s">
        <v>36</v>
      </c>
      <c r="B1442" t="s">
        <v>117</v>
      </c>
      <c r="C1442" t="s">
        <v>1354</v>
      </c>
      <c r="D1442">
        <v>3</v>
      </c>
      <c r="E1442" s="358">
        <v>3</v>
      </c>
      <c r="F1442" s="358" t="s">
        <v>7</v>
      </c>
      <c r="G1442" s="358" t="s">
        <v>115</v>
      </c>
      <c r="H1442" s="358" t="s">
        <v>11</v>
      </c>
    </row>
    <row r="1443" spans="1:8" x14ac:dyDescent="0.3">
      <c r="A1443" t="s">
        <v>36</v>
      </c>
      <c r="B1443" t="s">
        <v>117</v>
      </c>
      <c r="C1443" t="s">
        <v>2287</v>
      </c>
      <c r="D1443">
        <v>3</v>
      </c>
      <c r="E1443" s="358">
        <v>3</v>
      </c>
      <c r="F1443" s="358" t="s">
        <v>7</v>
      </c>
      <c r="G1443" s="358" t="s">
        <v>11</v>
      </c>
      <c r="H1443" s="358" t="s">
        <v>11</v>
      </c>
    </row>
    <row r="1444" spans="1:8" x14ac:dyDescent="0.3">
      <c r="A1444" t="s">
        <v>36</v>
      </c>
      <c r="B1444" t="s">
        <v>117</v>
      </c>
      <c r="C1444" t="s">
        <v>1355</v>
      </c>
      <c r="D1444">
        <v>2</v>
      </c>
      <c r="E1444" s="358">
        <v>3</v>
      </c>
      <c r="F1444" s="358" t="s">
        <v>7</v>
      </c>
      <c r="G1444" s="358" t="s">
        <v>11</v>
      </c>
      <c r="H1444" s="358" t="s">
        <v>11</v>
      </c>
    </row>
    <row r="1445" spans="1:8" x14ac:dyDescent="0.3">
      <c r="A1445" t="s">
        <v>36</v>
      </c>
      <c r="B1445" t="s">
        <v>117</v>
      </c>
      <c r="C1445" t="s">
        <v>2288</v>
      </c>
      <c r="D1445">
        <v>3</v>
      </c>
      <c r="E1445" s="358">
        <v>3</v>
      </c>
      <c r="F1445" s="358" t="s">
        <v>7</v>
      </c>
      <c r="G1445" s="358" t="s">
        <v>11</v>
      </c>
      <c r="H1445" s="358" t="s">
        <v>11</v>
      </c>
    </row>
    <row r="1446" spans="1:8" x14ac:dyDescent="0.3">
      <c r="A1446" t="s">
        <v>36</v>
      </c>
      <c r="B1446" t="s">
        <v>117</v>
      </c>
      <c r="C1446" t="s">
        <v>1456</v>
      </c>
      <c r="D1446">
        <v>3</v>
      </c>
      <c r="E1446" s="358">
        <v>3</v>
      </c>
      <c r="F1446" s="358" t="s">
        <v>7</v>
      </c>
      <c r="G1446" s="358" t="s">
        <v>115</v>
      </c>
      <c r="H1446" s="358" t="s">
        <v>11</v>
      </c>
    </row>
    <row r="1447" spans="1:8" x14ac:dyDescent="0.3">
      <c r="A1447" t="s">
        <v>36</v>
      </c>
      <c r="B1447" t="s">
        <v>117</v>
      </c>
      <c r="C1447" t="s">
        <v>1357</v>
      </c>
      <c r="D1447">
        <v>2</v>
      </c>
      <c r="E1447" s="358">
        <v>3</v>
      </c>
      <c r="F1447" s="358" t="s">
        <v>7</v>
      </c>
      <c r="G1447" s="358" t="s">
        <v>11</v>
      </c>
      <c r="H1447" s="358" t="s">
        <v>11</v>
      </c>
    </row>
    <row r="1448" spans="1:8" x14ac:dyDescent="0.3">
      <c r="A1448" t="s">
        <v>36</v>
      </c>
      <c r="B1448" t="s">
        <v>117</v>
      </c>
      <c r="C1448" t="s">
        <v>1359</v>
      </c>
      <c r="D1448">
        <v>3</v>
      </c>
      <c r="E1448" s="358">
        <v>3</v>
      </c>
      <c r="F1448" s="358" t="s">
        <v>7</v>
      </c>
      <c r="G1448" s="358" t="s">
        <v>11</v>
      </c>
      <c r="H1448" s="358" t="s">
        <v>11</v>
      </c>
    </row>
    <row r="1449" spans="1:8" x14ac:dyDescent="0.3">
      <c r="A1449" t="s">
        <v>36</v>
      </c>
      <c r="B1449" t="s">
        <v>117</v>
      </c>
      <c r="C1449" t="s">
        <v>1361</v>
      </c>
      <c r="D1449">
        <v>3</v>
      </c>
      <c r="E1449" s="358">
        <v>3</v>
      </c>
      <c r="F1449" s="358" t="s">
        <v>7</v>
      </c>
      <c r="G1449" s="358" t="s">
        <v>115</v>
      </c>
      <c r="H1449" s="358" t="s">
        <v>11</v>
      </c>
    </row>
    <row r="1450" spans="1:8" x14ac:dyDescent="0.3">
      <c r="A1450" t="s">
        <v>36</v>
      </c>
      <c r="B1450" t="s">
        <v>117</v>
      </c>
      <c r="C1450" t="s">
        <v>1362</v>
      </c>
      <c r="D1450">
        <v>3</v>
      </c>
      <c r="E1450" s="358">
        <v>3</v>
      </c>
      <c r="F1450" s="358" t="s">
        <v>7</v>
      </c>
      <c r="G1450" s="358" t="s">
        <v>11</v>
      </c>
      <c r="H1450" s="358" t="s">
        <v>11</v>
      </c>
    </row>
    <row r="1451" spans="1:8" x14ac:dyDescent="0.3">
      <c r="A1451" t="s">
        <v>36</v>
      </c>
      <c r="B1451" t="s">
        <v>117</v>
      </c>
      <c r="C1451" t="s">
        <v>1364</v>
      </c>
      <c r="D1451">
        <v>3</v>
      </c>
      <c r="E1451" s="358">
        <v>3</v>
      </c>
      <c r="F1451" s="358" t="s">
        <v>7</v>
      </c>
      <c r="G1451" s="358" t="s">
        <v>11</v>
      </c>
      <c r="H1451" s="358" t="s">
        <v>11</v>
      </c>
    </row>
    <row r="1452" spans="1:8" x14ac:dyDescent="0.3">
      <c r="A1452" t="s">
        <v>36</v>
      </c>
      <c r="B1452" t="s">
        <v>117</v>
      </c>
      <c r="C1452" t="s">
        <v>1365</v>
      </c>
      <c r="D1452">
        <v>3</v>
      </c>
      <c r="E1452" s="358">
        <v>3</v>
      </c>
      <c r="F1452" s="358" t="s">
        <v>7</v>
      </c>
      <c r="G1452" s="358" t="s">
        <v>11</v>
      </c>
      <c r="H1452" s="358" t="s">
        <v>11</v>
      </c>
    </row>
    <row r="1453" spans="1:8" x14ac:dyDescent="0.3">
      <c r="A1453" t="s">
        <v>36</v>
      </c>
      <c r="B1453" t="s">
        <v>117</v>
      </c>
      <c r="C1453" t="s">
        <v>2289</v>
      </c>
      <c r="D1453">
        <v>3</v>
      </c>
      <c r="E1453" s="358">
        <v>3</v>
      </c>
      <c r="F1453" s="358" t="s">
        <v>7</v>
      </c>
      <c r="G1453" s="358" t="s">
        <v>11</v>
      </c>
      <c r="H1453" s="358" t="s">
        <v>11</v>
      </c>
    </row>
    <row r="1454" spans="1:8" x14ac:dyDescent="0.3">
      <c r="A1454" t="s">
        <v>36</v>
      </c>
      <c r="B1454" t="s">
        <v>117</v>
      </c>
      <c r="C1454" t="s">
        <v>1463</v>
      </c>
      <c r="D1454">
        <v>3</v>
      </c>
      <c r="E1454" s="358">
        <v>3</v>
      </c>
      <c r="F1454" s="358" t="s">
        <v>7</v>
      </c>
      <c r="G1454" s="358" t="s">
        <v>11</v>
      </c>
      <c r="H1454" s="358" t="s">
        <v>11</v>
      </c>
    </row>
    <row r="1455" spans="1:8" x14ac:dyDescent="0.3">
      <c r="A1455" t="s">
        <v>36</v>
      </c>
      <c r="B1455" t="s">
        <v>117</v>
      </c>
      <c r="C1455" t="s">
        <v>2290</v>
      </c>
      <c r="D1455">
        <v>2</v>
      </c>
      <c r="E1455" s="358">
        <v>3</v>
      </c>
      <c r="F1455" s="358" t="s">
        <v>7</v>
      </c>
      <c r="G1455" s="358" t="s">
        <v>11</v>
      </c>
      <c r="H1455" s="358" t="s">
        <v>11</v>
      </c>
    </row>
    <row r="1456" spans="1:8" x14ac:dyDescent="0.3">
      <c r="A1456" t="s">
        <v>36</v>
      </c>
      <c r="B1456" t="s">
        <v>117</v>
      </c>
      <c r="C1456" t="s">
        <v>2291</v>
      </c>
      <c r="D1456">
        <v>3</v>
      </c>
      <c r="E1456" s="358">
        <v>3</v>
      </c>
      <c r="F1456" s="358" t="s">
        <v>7</v>
      </c>
      <c r="G1456" s="358" t="s">
        <v>11</v>
      </c>
      <c r="H1456" s="358" t="s">
        <v>11</v>
      </c>
    </row>
    <row r="1457" spans="1:8" x14ac:dyDescent="0.3">
      <c r="A1457" t="s">
        <v>36</v>
      </c>
      <c r="B1457" t="s">
        <v>117</v>
      </c>
      <c r="C1457" t="s">
        <v>2292</v>
      </c>
      <c r="D1457">
        <v>3</v>
      </c>
      <c r="E1457" s="358">
        <v>3</v>
      </c>
      <c r="F1457" s="358" t="s">
        <v>7</v>
      </c>
      <c r="G1457" s="358" t="s">
        <v>11</v>
      </c>
      <c r="H1457" s="358" t="s">
        <v>11</v>
      </c>
    </row>
    <row r="1458" spans="1:8" x14ac:dyDescent="0.3">
      <c r="A1458" t="s">
        <v>36</v>
      </c>
      <c r="B1458" t="s">
        <v>117</v>
      </c>
      <c r="C1458" t="s">
        <v>2293</v>
      </c>
      <c r="D1458">
        <v>3</v>
      </c>
      <c r="E1458" s="358">
        <v>2</v>
      </c>
      <c r="F1458" s="358" t="s">
        <v>7</v>
      </c>
      <c r="G1458" s="358" t="s">
        <v>115</v>
      </c>
      <c r="H1458" s="358" t="s">
        <v>11</v>
      </c>
    </row>
    <row r="1459" spans="1:8" x14ac:dyDescent="0.3">
      <c r="A1459" t="s">
        <v>36</v>
      </c>
      <c r="B1459" t="s">
        <v>117</v>
      </c>
      <c r="C1459" t="s">
        <v>1367</v>
      </c>
      <c r="D1459">
        <v>3</v>
      </c>
      <c r="E1459" s="358">
        <v>3</v>
      </c>
      <c r="F1459" s="358" t="s">
        <v>7</v>
      </c>
      <c r="G1459" s="358" t="s">
        <v>115</v>
      </c>
      <c r="H1459" s="358" t="s">
        <v>11</v>
      </c>
    </row>
    <row r="1460" spans="1:8" x14ac:dyDescent="0.3">
      <c r="A1460" t="s">
        <v>36</v>
      </c>
      <c r="B1460" t="s">
        <v>117</v>
      </c>
      <c r="C1460" t="s">
        <v>1369</v>
      </c>
      <c r="D1460">
        <v>3</v>
      </c>
      <c r="E1460" s="358">
        <v>3</v>
      </c>
      <c r="F1460" s="358" t="s">
        <v>7</v>
      </c>
      <c r="G1460" s="358" t="s">
        <v>115</v>
      </c>
      <c r="H1460" s="358" t="s">
        <v>11</v>
      </c>
    </row>
    <row r="1461" spans="1:8" x14ac:dyDescent="0.3">
      <c r="A1461" t="s">
        <v>36</v>
      </c>
      <c r="B1461" t="s">
        <v>117</v>
      </c>
      <c r="C1461" t="s">
        <v>2294</v>
      </c>
      <c r="D1461">
        <v>3</v>
      </c>
      <c r="E1461" s="358">
        <v>3</v>
      </c>
      <c r="F1461" s="358" t="s">
        <v>7</v>
      </c>
      <c r="G1461" s="358" t="s">
        <v>11</v>
      </c>
      <c r="H1461" s="358" t="s">
        <v>11</v>
      </c>
    </row>
    <row r="1462" spans="1:8" x14ac:dyDescent="0.3">
      <c r="A1462" t="s">
        <v>36</v>
      </c>
      <c r="B1462" t="s">
        <v>117</v>
      </c>
      <c r="C1462" t="s">
        <v>2295</v>
      </c>
      <c r="D1462">
        <v>3</v>
      </c>
      <c r="E1462" s="358">
        <v>3</v>
      </c>
      <c r="F1462" s="358" t="s">
        <v>7</v>
      </c>
      <c r="G1462" s="358" t="s">
        <v>11</v>
      </c>
      <c r="H1462" s="358" t="s">
        <v>11</v>
      </c>
    </row>
    <row r="1463" spans="1:8" x14ac:dyDescent="0.3">
      <c r="A1463" t="s">
        <v>36</v>
      </c>
      <c r="B1463" t="s">
        <v>117</v>
      </c>
      <c r="C1463" t="s">
        <v>1733</v>
      </c>
      <c r="D1463">
        <v>3</v>
      </c>
      <c r="E1463" s="358">
        <v>3</v>
      </c>
      <c r="F1463" s="358" t="s">
        <v>7</v>
      </c>
      <c r="G1463" s="358" t="s">
        <v>11</v>
      </c>
      <c r="H1463" s="358" t="s">
        <v>11</v>
      </c>
    </row>
    <row r="1464" spans="1:8" x14ac:dyDescent="0.3">
      <c r="A1464" t="s">
        <v>36</v>
      </c>
      <c r="B1464" t="s">
        <v>117</v>
      </c>
      <c r="C1464" t="s">
        <v>2296</v>
      </c>
      <c r="D1464">
        <v>3</v>
      </c>
      <c r="E1464" s="358">
        <v>3</v>
      </c>
      <c r="F1464" s="358" t="s">
        <v>7</v>
      </c>
      <c r="G1464" s="358" t="s">
        <v>115</v>
      </c>
      <c r="H1464" s="358" t="s">
        <v>11</v>
      </c>
    </row>
    <row r="1465" spans="1:8" x14ac:dyDescent="0.3">
      <c r="A1465" t="s">
        <v>36</v>
      </c>
      <c r="B1465" t="s">
        <v>117</v>
      </c>
      <c r="C1465" t="s">
        <v>1473</v>
      </c>
      <c r="D1465">
        <v>3</v>
      </c>
      <c r="E1465" s="358">
        <v>3</v>
      </c>
      <c r="F1465" s="358" t="s">
        <v>7</v>
      </c>
      <c r="G1465" s="358" t="s">
        <v>11</v>
      </c>
      <c r="H1465" s="358" t="s">
        <v>11</v>
      </c>
    </row>
    <row r="1466" spans="1:8" x14ac:dyDescent="0.3">
      <c r="A1466" t="s">
        <v>36</v>
      </c>
      <c r="B1466" t="s">
        <v>117</v>
      </c>
      <c r="C1466" t="s">
        <v>2297</v>
      </c>
      <c r="D1466">
        <v>3</v>
      </c>
      <c r="E1466" s="358">
        <v>3</v>
      </c>
      <c r="F1466" s="358" t="s">
        <v>7</v>
      </c>
      <c r="G1466" s="358" t="s">
        <v>11</v>
      </c>
      <c r="H1466" s="358" t="s">
        <v>11</v>
      </c>
    </row>
    <row r="1467" spans="1:8" x14ac:dyDescent="0.3">
      <c r="A1467" t="s">
        <v>36</v>
      </c>
      <c r="B1467" t="s">
        <v>117</v>
      </c>
      <c r="C1467" t="s">
        <v>2060</v>
      </c>
      <c r="D1467">
        <v>3</v>
      </c>
      <c r="E1467" s="358">
        <v>3</v>
      </c>
      <c r="F1467" s="358" t="s">
        <v>7</v>
      </c>
      <c r="G1467" s="358" t="s">
        <v>115</v>
      </c>
      <c r="H1467" s="358" t="s">
        <v>11</v>
      </c>
    </row>
    <row r="1468" spans="1:8" x14ac:dyDescent="0.3">
      <c r="A1468" t="s">
        <v>36</v>
      </c>
      <c r="B1468" t="s">
        <v>117</v>
      </c>
      <c r="C1468" t="s">
        <v>1998</v>
      </c>
      <c r="D1468">
        <v>3</v>
      </c>
      <c r="E1468" s="358">
        <v>3</v>
      </c>
      <c r="F1468" s="358" t="s">
        <v>7</v>
      </c>
      <c r="G1468" s="358" t="s">
        <v>115</v>
      </c>
      <c r="H1468" s="358" t="s">
        <v>11</v>
      </c>
    </row>
    <row r="1469" spans="1:8" x14ac:dyDescent="0.3">
      <c r="A1469" t="s">
        <v>36</v>
      </c>
      <c r="B1469" t="s">
        <v>117</v>
      </c>
      <c r="C1469" t="s">
        <v>1478</v>
      </c>
      <c r="D1469">
        <v>3</v>
      </c>
      <c r="E1469" s="358">
        <v>2</v>
      </c>
      <c r="F1469" s="358" t="s">
        <v>7</v>
      </c>
      <c r="G1469" s="358" t="s">
        <v>115</v>
      </c>
      <c r="H1469" s="358" t="s">
        <v>11</v>
      </c>
    </row>
    <row r="1470" spans="1:8" x14ac:dyDescent="0.3">
      <c r="A1470" t="s">
        <v>36</v>
      </c>
      <c r="B1470" t="s">
        <v>117</v>
      </c>
      <c r="C1470" t="s">
        <v>2298</v>
      </c>
      <c r="D1470">
        <v>3</v>
      </c>
      <c r="E1470" s="358">
        <v>3</v>
      </c>
      <c r="F1470" s="358" t="s">
        <v>7</v>
      </c>
      <c r="G1470" s="358" t="s">
        <v>11</v>
      </c>
      <c r="H1470" s="358" t="s">
        <v>11</v>
      </c>
    </row>
    <row r="1471" spans="1:8" x14ac:dyDescent="0.3">
      <c r="A1471" t="s">
        <v>36</v>
      </c>
      <c r="B1471" t="s">
        <v>117</v>
      </c>
      <c r="C1471" t="s">
        <v>2299</v>
      </c>
      <c r="D1471">
        <v>3</v>
      </c>
      <c r="E1471" s="358">
        <v>3</v>
      </c>
      <c r="F1471" s="358" t="s">
        <v>7</v>
      </c>
      <c r="G1471" s="358" t="s">
        <v>11</v>
      </c>
      <c r="H1471" s="358" t="s">
        <v>11</v>
      </c>
    </row>
    <row r="1472" spans="1:8" x14ac:dyDescent="0.3">
      <c r="A1472" t="s">
        <v>36</v>
      </c>
      <c r="B1472" t="s">
        <v>117</v>
      </c>
      <c r="C1472" t="s">
        <v>2300</v>
      </c>
      <c r="D1472">
        <v>3</v>
      </c>
      <c r="E1472" s="358">
        <v>3</v>
      </c>
      <c r="F1472" s="358" t="s">
        <v>7</v>
      </c>
      <c r="G1472" s="358" t="s">
        <v>11</v>
      </c>
      <c r="H1472" s="358" t="s">
        <v>11</v>
      </c>
    </row>
    <row r="1473" spans="1:8" x14ac:dyDescent="0.3">
      <c r="A1473" t="s">
        <v>36</v>
      </c>
      <c r="B1473" t="s">
        <v>117</v>
      </c>
      <c r="C1473" t="s">
        <v>2301</v>
      </c>
      <c r="D1473">
        <v>3</v>
      </c>
      <c r="E1473" s="358">
        <v>3</v>
      </c>
      <c r="F1473" s="358" t="s">
        <v>7</v>
      </c>
      <c r="G1473" s="358" t="s">
        <v>11</v>
      </c>
      <c r="H1473" s="358" t="s">
        <v>11</v>
      </c>
    </row>
    <row r="1474" spans="1:8" x14ac:dyDescent="0.3">
      <c r="A1474" t="s">
        <v>36</v>
      </c>
      <c r="B1474" t="s">
        <v>117</v>
      </c>
      <c r="C1474" t="s">
        <v>2302</v>
      </c>
      <c r="D1474">
        <v>3</v>
      </c>
      <c r="E1474" s="358">
        <v>3</v>
      </c>
      <c r="F1474" s="358" t="s">
        <v>7</v>
      </c>
      <c r="G1474" s="358" t="s">
        <v>11</v>
      </c>
      <c r="H1474" s="358" t="s">
        <v>11</v>
      </c>
    </row>
    <row r="1475" spans="1:8" x14ac:dyDescent="0.3">
      <c r="A1475" t="s">
        <v>36</v>
      </c>
      <c r="B1475" t="s">
        <v>117</v>
      </c>
      <c r="C1475" t="s">
        <v>2303</v>
      </c>
      <c r="D1475">
        <v>3</v>
      </c>
      <c r="E1475" s="358">
        <v>3</v>
      </c>
      <c r="F1475" s="358" t="s">
        <v>7</v>
      </c>
      <c r="G1475" s="358" t="s">
        <v>11</v>
      </c>
      <c r="H1475" s="358" t="s">
        <v>11</v>
      </c>
    </row>
    <row r="1476" spans="1:8" x14ac:dyDescent="0.3">
      <c r="A1476" t="s">
        <v>36</v>
      </c>
      <c r="B1476" t="s">
        <v>117</v>
      </c>
      <c r="C1476" t="s">
        <v>1479</v>
      </c>
      <c r="D1476">
        <v>3</v>
      </c>
      <c r="E1476" s="358">
        <v>3</v>
      </c>
      <c r="F1476" s="358" t="s">
        <v>7</v>
      </c>
      <c r="G1476" s="358" t="s">
        <v>11</v>
      </c>
      <c r="H1476" s="358" t="s">
        <v>11</v>
      </c>
    </row>
    <row r="1477" spans="1:8" x14ac:dyDescent="0.3">
      <c r="A1477" t="s">
        <v>36</v>
      </c>
      <c r="B1477" t="s">
        <v>117</v>
      </c>
      <c r="C1477" t="s">
        <v>2304</v>
      </c>
      <c r="D1477">
        <v>3</v>
      </c>
      <c r="E1477" s="358">
        <v>3</v>
      </c>
      <c r="F1477" s="358" t="s">
        <v>7</v>
      </c>
      <c r="G1477" s="358" t="s">
        <v>115</v>
      </c>
      <c r="H1477" s="358" t="s">
        <v>11</v>
      </c>
    </row>
    <row r="1478" spans="1:8" x14ac:dyDescent="0.3">
      <c r="A1478" t="s">
        <v>36</v>
      </c>
      <c r="B1478" t="s">
        <v>117</v>
      </c>
      <c r="C1478" t="s">
        <v>1757</v>
      </c>
      <c r="D1478">
        <v>3</v>
      </c>
      <c r="E1478" s="358">
        <v>3</v>
      </c>
      <c r="F1478" s="358" t="s">
        <v>7</v>
      </c>
      <c r="G1478" s="358" t="s">
        <v>115</v>
      </c>
      <c r="H1478" s="358" t="s">
        <v>11</v>
      </c>
    </row>
    <row r="1479" spans="1:8" x14ac:dyDescent="0.3">
      <c r="A1479" t="s">
        <v>36</v>
      </c>
      <c r="B1479" t="s">
        <v>117</v>
      </c>
      <c r="C1479" t="s">
        <v>1379</v>
      </c>
      <c r="D1479">
        <v>3</v>
      </c>
      <c r="E1479" s="358">
        <v>3</v>
      </c>
      <c r="F1479" s="358" t="s">
        <v>7</v>
      </c>
      <c r="G1479" s="358" t="s">
        <v>11</v>
      </c>
      <c r="H1479" s="358" t="s">
        <v>11</v>
      </c>
    </row>
    <row r="1480" spans="1:8" x14ac:dyDescent="0.3">
      <c r="A1480" t="s">
        <v>36</v>
      </c>
      <c r="B1480" t="s">
        <v>117</v>
      </c>
      <c r="C1480" t="s">
        <v>1758</v>
      </c>
      <c r="D1480">
        <v>3</v>
      </c>
      <c r="E1480" s="358">
        <v>3</v>
      </c>
      <c r="F1480" s="358" t="s">
        <v>7</v>
      </c>
      <c r="G1480" s="358" t="s">
        <v>115</v>
      </c>
      <c r="H1480" s="358" t="s">
        <v>11</v>
      </c>
    </row>
    <row r="1481" spans="1:8" x14ac:dyDescent="0.3">
      <c r="A1481" t="s">
        <v>36</v>
      </c>
      <c r="B1481" t="s">
        <v>117</v>
      </c>
      <c r="C1481" t="s">
        <v>1759</v>
      </c>
      <c r="D1481">
        <v>3</v>
      </c>
      <c r="E1481" s="358">
        <v>3</v>
      </c>
      <c r="F1481" s="358" t="s">
        <v>7</v>
      </c>
      <c r="G1481" s="358" t="s">
        <v>11</v>
      </c>
      <c r="H1481" s="358" t="s">
        <v>11</v>
      </c>
    </row>
    <row r="1482" spans="1:8" x14ac:dyDescent="0.3">
      <c r="A1482" t="s">
        <v>36</v>
      </c>
      <c r="B1482" t="s">
        <v>117</v>
      </c>
      <c r="C1482" t="s">
        <v>1763</v>
      </c>
      <c r="D1482">
        <v>3</v>
      </c>
      <c r="E1482" s="358">
        <v>3</v>
      </c>
      <c r="F1482" s="358" t="s">
        <v>7</v>
      </c>
      <c r="G1482" s="358" t="s">
        <v>115</v>
      </c>
      <c r="H1482" s="358" t="s">
        <v>11</v>
      </c>
    </row>
    <row r="1483" spans="1:8" x14ac:dyDescent="0.3">
      <c r="A1483" t="s">
        <v>36</v>
      </c>
      <c r="B1483" t="s">
        <v>117</v>
      </c>
      <c r="C1483" t="s">
        <v>1381</v>
      </c>
      <c r="D1483">
        <v>3</v>
      </c>
      <c r="E1483" s="358">
        <v>3</v>
      </c>
      <c r="F1483" s="358" t="s">
        <v>7</v>
      </c>
      <c r="G1483" s="358" t="s">
        <v>11</v>
      </c>
      <c r="H1483" s="358" t="s">
        <v>11</v>
      </c>
    </row>
    <row r="1484" spans="1:8" x14ac:dyDescent="0.3">
      <c r="A1484" t="s">
        <v>36</v>
      </c>
      <c r="B1484" t="s">
        <v>117</v>
      </c>
      <c r="C1484" t="s">
        <v>2305</v>
      </c>
      <c r="D1484">
        <v>3</v>
      </c>
      <c r="E1484" s="358">
        <v>3</v>
      </c>
      <c r="F1484" s="358" t="s">
        <v>7</v>
      </c>
      <c r="G1484" s="358" t="s">
        <v>11</v>
      </c>
      <c r="H1484" s="358" t="s">
        <v>11</v>
      </c>
    </row>
    <row r="1485" spans="1:8" x14ac:dyDescent="0.3">
      <c r="A1485" t="s">
        <v>36</v>
      </c>
      <c r="B1485" t="s">
        <v>117</v>
      </c>
      <c r="C1485" t="s">
        <v>2306</v>
      </c>
      <c r="D1485">
        <v>3</v>
      </c>
      <c r="E1485" s="358">
        <v>3</v>
      </c>
      <c r="F1485" s="358" t="s">
        <v>7</v>
      </c>
      <c r="G1485" s="358" t="s">
        <v>11</v>
      </c>
      <c r="H1485" s="358" t="s">
        <v>11</v>
      </c>
    </row>
    <row r="1486" spans="1:8" x14ac:dyDescent="0.3">
      <c r="A1486" t="s">
        <v>35</v>
      </c>
      <c r="B1486" t="s">
        <v>94</v>
      </c>
      <c r="C1486" t="s">
        <v>1898</v>
      </c>
      <c r="D1486">
        <v>2</v>
      </c>
      <c r="E1486" s="358">
        <v>5</v>
      </c>
      <c r="F1486" s="358" t="s">
        <v>7</v>
      </c>
      <c r="G1486" s="358" t="s">
        <v>11</v>
      </c>
      <c r="H1486" s="358" t="s">
        <v>11</v>
      </c>
    </row>
    <row r="1487" spans="1:8" x14ac:dyDescent="0.3">
      <c r="A1487" t="s">
        <v>35</v>
      </c>
      <c r="B1487" t="s">
        <v>94</v>
      </c>
      <c r="C1487" t="s">
        <v>2307</v>
      </c>
      <c r="D1487">
        <v>1</v>
      </c>
      <c r="E1487" s="358">
        <v>5</v>
      </c>
      <c r="F1487" s="358" t="s">
        <v>7</v>
      </c>
      <c r="G1487" s="358" t="s">
        <v>11</v>
      </c>
      <c r="H1487" s="358" t="s">
        <v>11</v>
      </c>
    </row>
    <row r="1488" spans="1:8" x14ac:dyDescent="0.3">
      <c r="A1488" t="s">
        <v>35</v>
      </c>
      <c r="B1488" t="s">
        <v>94</v>
      </c>
      <c r="C1488" t="s">
        <v>1944</v>
      </c>
      <c r="D1488">
        <v>1</v>
      </c>
      <c r="E1488" s="358">
        <v>5</v>
      </c>
      <c r="F1488" s="358" t="s">
        <v>7</v>
      </c>
      <c r="G1488" s="358" t="s">
        <v>11</v>
      </c>
      <c r="H1488" s="358" t="s">
        <v>11</v>
      </c>
    </row>
    <row r="1489" spans="1:8" x14ac:dyDescent="0.3">
      <c r="A1489" t="s">
        <v>35</v>
      </c>
      <c r="B1489" t="s">
        <v>94</v>
      </c>
      <c r="C1489" t="s">
        <v>2308</v>
      </c>
      <c r="D1489">
        <v>2</v>
      </c>
      <c r="E1489" s="358">
        <v>4</v>
      </c>
      <c r="F1489" s="358" t="s">
        <v>7</v>
      </c>
      <c r="G1489" s="358" t="s">
        <v>11</v>
      </c>
      <c r="H1489" s="358" t="s">
        <v>11</v>
      </c>
    </row>
    <row r="1490" spans="1:8" x14ac:dyDescent="0.3">
      <c r="A1490" t="s">
        <v>35</v>
      </c>
      <c r="B1490" t="s">
        <v>94</v>
      </c>
      <c r="C1490" t="s">
        <v>2155</v>
      </c>
      <c r="D1490">
        <v>2</v>
      </c>
      <c r="E1490" s="358">
        <v>4</v>
      </c>
      <c r="F1490" s="358" t="s">
        <v>7</v>
      </c>
      <c r="G1490" s="358" t="s">
        <v>11</v>
      </c>
      <c r="H1490" s="358" t="s">
        <v>11</v>
      </c>
    </row>
    <row r="1491" spans="1:8" x14ac:dyDescent="0.3">
      <c r="A1491" t="s">
        <v>35</v>
      </c>
      <c r="B1491" t="s">
        <v>94</v>
      </c>
      <c r="C1491" t="s">
        <v>1946</v>
      </c>
      <c r="D1491">
        <v>2</v>
      </c>
      <c r="E1491" s="358">
        <v>4</v>
      </c>
      <c r="F1491" s="358" t="s">
        <v>7</v>
      </c>
      <c r="G1491" s="358" t="s">
        <v>11</v>
      </c>
      <c r="H1491" s="358" t="s">
        <v>11</v>
      </c>
    </row>
    <row r="1492" spans="1:8" x14ac:dyDescent="0.3">
      <c r="A1492" t="s">
        <v>35</v>
      </c>
      <c r="B1492" t="s">
        <v>94</v>
      </c>
      <c r="C1492" t="s">
        <v>2309</v>
      </c>
      <c r="D1492">
        <v>2</v>
      </c>
      <c r="E1492" s="358">
        <v>4</v>
      </c>
      <c r="F1492" s="358" t="s">
        <v>7</v>
      </c>
      <c r="G1492" s="358" t="s">
        <v>11</v>
      </c>
      <c r="H1492" s="358" t="s">
        <v>11</v>
      </c>
    </row>
    <row r="1493" spans="1:8" x14ac:dyDescent="0.3">
      <c r="A1493" t="s">
        <v>35</v>
      </c>
      <c r="B1493" t="s">
        <v>94</v>
      </c>
      <c r="C1493" t="s">
        <v>1430</v>
      </c>
      <c r="D1493">
        <v>2</v>
      </c>
      <c r="E1493" s="358">
        <v>4</v>
      </c>
      <c r="F1493" s="358" t="s">
        <v>7</v>
      </c>
      <c r="G1493" s="358" t="s">
        <v>11</v>
      </c>
      <c r="H1493" s="358" t="s">
        <v>11</v>
      </c>
    </row>
    <row r="1494" spans="1:8" x14ac:dyDescent="0.3">
      <c r="A1494" t="s">
        <v>35</v>
      </c>
      <c r="B1494" t="s">
        <v>94</v>
      </c>
      <c r="C1494" t="s">
        <v>2310</v>
      </c>
      <c r="D1494">
        <v>2</v>
      </c>
      <c r="E1494" s="358">
        <v>4</v>
      </c>
      <c r="F1494" s="358" t="s">
        <v>7</v>
      </c>
      <c r="G1494" s="358" t="s">
        <v>11</v>
      </c>
      <c r="H1494" s="358" t="s">
        <v>11</v>
      </c>
    </row>
    <row r="1495" spans="1:8" x14ac:dyDescent="0.3">
      <c r="A1495" t="s">
        <v>35</v>
      </c>
      <c r="B1495" t="s">
        <v>94</v>
      </c>
      <c r="C1495" t="s">
        <v>1431</v>
      </c>
      <c r="D1495">
        <v>2</v>
      </c>
      <c r="E1495" s="358">
        <v>4</v>
      </c>
      <c r="F1495" s="358" t="s">
        <v>7</v>
      </c>
      <c r="G1495" s="358" t="s">
        <v>11</v>
      </c>
      <c r="H1495" s="358" t="s">
        <v>11</v>
      </c>
    </row>
    <row r="1496" spans="1:8" x14ac:dyDescent="0.3">
      <c r="A1496" t="s">
        <v>35</v>
      </c>
      <c r="B1496" t="s">
        <v>94</v>
      </c>
      <c r="C1496" t="s">
        <v>1904</v>
      </c>
      <c r="D1496">
        <v>1</v>
      </c>
      <c r="E1496" s="358">
        <v>5</v>
      </c>
      <c r="F1496" s="358" t="s">
        <v>7</v>
      </c>
      <c r="G1496" s="358" t="s">
        <v>11</v>
      </c>
      <c r="H1496" s="358" t="s">
        <v>11</v>
      </c>
    </row>
    <row r="1497" spans="1:8" x14ac:dyDescent="0.3">
      <c r="A1497" t="s">
        <v>35</v>
      </c>
      <c r="B1497" t="s">
        <v>94</v>
      </c>
      <c r="C1497" t="s">
        <v>1321</v>
      </c>
      <c r="D1497">
        <v>3</v>
      </c>
      <c r="E1497" s="358">
        <v>4</v>
      </c>
      <c r="F1497" s="358" t="s">
        <v>7</v>
      </c>
      <c r="G1497" s="358" t="s">
        <v>11</v>
      </c>
      <c r="H1497" s="358" t="s">
        <v>11</v>
      </c>
    </row>
    <row r="1498" spans="1:8" x14ac:dyDescent="0.3">
      <c r="A1498" t="s">
        <v>35</v>
      </c>
      <c r="B1498" t="s">
        <v>94</v>
      </c>
      <c r="C1498" t="s">
        <v>2020</v>
      </c>
      <c r="D1498">
        <v>2</v>
      </c>
      <c r="E1498" s="358">
        <v>5</v>
      </c>
      <c r="F1498" s="358" t="s">
        <v>7</v>
      </c>
      <c r="G1498" s="358" t="s">
        <v>11</v>
      </c>
      <c r="H1498" s="358" t="s">
        <v>11</v>
      </c>
    </row>
    <row r="1499" spans="1:8" x14ac:dyDescent="0.3">
      <c r="A1499" t="s">
        <v>35</v>
      </c>
      <c r="B1499" t="s">
        <v>94</v>
      </c>
      <c r="C1499" t="s">
        <v>2311</v>
      </c>
      <c r="D1499">
        <v>2</v>
      </c>
      <c r="E1499" s="358">
        <v>4</v>
      </c>
      <c r="F1499" s="358" t="s">
        <v>7</v>
      </c>
      <c r="G1499" s="358" t="s">
        <v>11</v>
      </c>
      <c r="H1499" s="358" t="s">
        <v>11</v>
      </c>
    </row>
    <row r="1500" spans="1:8" x14ac:dyDescent="0.3">
      <c r="A1500" t="s">
        <v>35</v>
      </c>
      <c r="B1500" t="s">
        <v>94</v>
      </c>
      <c r="C1500" t="s">
        <v>1671</v>
      </c>
      <c r="D1500">
        <v>2</v>
      </c>
      <c r="E1500" s="358">
        <v>4</v>
      </c>
      <c r="F1500" s="358" t="s">
        <v>7</v>
      </c>
      <c r="G1500" s="358" t="s">
        <v>11</v>
      </c>
      <c r="H1500" s="358" t="s">
        <v>11</v>
      </c>
    </row>
    <row r="1501" spans="1:8" x14ac:dyDescent="0.3">
      <c r="A1501" t="s">
        <v>35</v>
      </c>
      <c r="B1501" t="s">
        <v>94</v>
      </c>
      <c r="C1501" t="s">
        <v>2312</v>
      </c>
      <c r="D1501">
        <v>2</v>
      </c>
      <c r="E1501" s="358">
        <v>4</v>
      </c>
      <c r="F1501" s="358" t="s">
        <v>7</v>
      </c>
      <c r="G1501" s="358" t="s">
        <v>11</v>
      </c>
      <c r="H1501" s="358" t="s">
        <v>11</v>
      </c>
    </row>
    <row r="1502" spans="1:8" x14ac:dyDescent="0.3">
      <c r="A1502" t="s">
        <v>35</v>
      </c>
      <c r="B1502" t="s">
        <v>94</v>
      </c>
      <c r="C1502" t="s">
        <v>1433</v>
      </c>
      <c r="D1502">
        <v>2</v>
      </c>
      <c r="E1502" s="358">
        <v>4</v>
      </c>
      <c r="F1502" s="358" t="s">
        <v>7</v>
      </c>
      <c r="G1502" s="358" t="s">
        <v>11</v>
      </c>
      <c r="H1502" s="358" t="s">
        <v>11</v>
      </c>
    </row>
    <row r="1503" spans="1:8" x14ac:dyDescent="0.3">
      <c r="A1503" t="s">
        <v>35</v>
      </c>
      <c r="B1503" t="s">
        <v>94</v>
      </c>
      <c r="C1503" t="s">
        <v>2024</v>
      </c>
      <c r="D1503">
        <v>2</v>
      </c>
      <c r="E1503" s="358">
        <v>4</v>
      </c>
      <c r="F1503" s="358" t="s">
        <v>7</v>
      </c>
      <c r="G1503" s="358" t="s">
        <v>11</v>
      </c>
      <c r="H1503" s="358" t="s">
        <v>11</v>
      </c>
    </row>
    <row r="1504" spans="1:8" x14ac:dyDescent="0.3">
      <c r="A1504" t="s">
        <v>35</v>
      </c>
      <c r="B1504" t="s">
        <v>94</v>
      </c>
      <c r="C1504" t="s">
        <v>1807</v>
      </c>
      <c r="D1504">
        <v>1</v>
      </c>
      <c r="E1504" s="358">
        <v>4</v>
      </c>
      <c r="F1504" s="358" t="s">
        <v>7</v>
      </c>
      <c r="G1504" s="358" t="s">
        <v>11</v>
      </c>
      <c r="H1504" s="358" t="s">
        <v>11</v>
      </c>
    </row>
    <row r="1505" spans="1:8" x14ac:dyDescent="0.3">
      <c r="A1505" t="s">
        <v>35</v>
      </c>
      <c r="B1505" t="s">
        <v>94</v>
      </c>
      <c r="C1505" t="s">
        <v>1906</v>
      </c>
      <c r="D1505">
        <v>2</v>
      </c>
      <c r="E1505" s="358">
        <v>4</v>
      </c>
      <c r="F1505" s="358" t="s">
        <v>7</v>
      </c>
      <c r="G1505" s="358" t="s">
        <v>11</v>
      </c>
      <c r="H1505" s="358" t="s">
        <v>11</v>
      </c>
    </row>
    <row r="1506" spans="1:8" x14ac:dyDescent="0.3">
      <c r="A1506" t="s">
        <v>35</v>
      </c>
      <c r="B1506" t="s">
        <v>94</v>
      </c>
      <c r="C1506" t="s">
        <v>2313</v>
      </c>
      <c r="D1506">
        <v>2</v>
      </c>
      <c r="E1506" s="358">
        <v>5</v>
      </c>
      <c r="F1506" s="358" t="s">
        <v>7</v>
      </c>
      <c r="G1506" s="358" t="s">
        <v>11</v>
      </c>
      <c r="H1506" s="358" t="s">
        <v>11</v>
      </c>
    </row>
    <row r="1507" spans="1:8" x14ac:dyDescent="0.3">
      <c r="A1507" t="s">
        <v>35</v>
      </c>
      <c r="B1507" t="s">
        <v>94</v>
      </c>
      <c r="C1507" t="s">
        <v>1809</v>
      </c>
      <c r="D1507">
        <v>2</v>
      </c>
      <c r="E1507" s="358">
        <v>4</v>
      </c>
      <c r="F1507" s="358" t="s">
        <v>7</v>
      </c>
      <c r="G1507" s="358" t="s">
        <v>11</v>
      </c>
      <c r="H1507" s="358" t="s">
        <v>11</v>
      </c>
    </row>
    <row r="1508" spans="1:8" x14ac:dyDescent="0.3">
      <c r="A1508" t="s">
        <v>35</v>
      </c>
      <c r="B1508" t="s">
        <v>94</v>
      </c>
      <c r="C1508" t="s">
        <v>1435</v>
      </c>
      <c r="D1508">
        <v>2</v>
      </c>
      <c r="E1508" s="358">
        <v>5</v>
      </c>
      <c r="F1508" s="358" t="s">
        <v>7</v>
      </c>
      <c r="G1508" s="358" t="s">
        <v>11</v>
      </c>
      <c r="H1508" s="358" t="s">
        <v>11</v>
      </c>
    </row>
    <row r="1509" spans="1:8" x14ac:dyDescent="0.3">
      <c r="A1509" t="s">
        <v>35</v>
      </c>
      <c r="B1509" t="s">
        <v>94</v>
      </c>
      <c r="C1509" t="s">
        <v>1328</v>
      </c>
      <c r="D1509">
        <v>1</v>
      </c>
      <c r="E1509" s="358">
        <v>4</v>
      </c>
      <c r="F1509" s="358" t="s">
        <v>7</v>
      </c>
      <c r="G1509" s="358" t="s">
        <v>11</v>
      </c>
      <c r="H1509" s="358" t="s">
        <v>11</v>
      </c>
    </row>
    <row r="1510" spans="1:8" x14ac:dyDescent="0.3">
      <c r="A1510" t="s">
        <v>35</v>
      </c>
      <c r="B1510" t="s">
        <v>94</v>
      </c>
      <c r="C1510" t="s">
        <v>1810</v>
      </c>
      <c r="D1510">
        <v>1</v>
      </c>
      <c r="E1510" s="358">
        <v>5</v>
      </c>
      <c r="F1510" s="358" t="s">
        <v>7</v>
      </c>
      <c r="G1510" s="358" t="s">
        <v>11</v>
      </c>
      <c r="H1510" s="358" t="s">
        <v>11</v>
      </c>
    </row>
    <row r="1511" spans="1:8" x14ac:dyDescent="0.3">
      <c r="A1511" t="s">
        <v>35</v>
      </c>
      <c r="B1511" t="s">
        <v>94</v>
      </c>
      <c r="C1511" t="s">
        <v>2314</v>
      </c>
      <c r="D1511">
        <v>2</v>
      </c>
      <c r="E1511" s="358">
        <v>4</v>
      </c>
      <c r="F1511" s="358" t="s">
        <v>7</v>
      </c>
      <c r="G1511" s="358" t="s">
        <v>11</v>
      </c>
      <c r="H1511" s="358" t="s">
        <v>11</v>
      </c>
    </row>
    <row r="1512" spans="1:8" x14ac:dyDescent="0.3">
      <c r="A1512" t="s">
        <v>35</v>
      </c>
      <c r="B1512" t="s">
        <v>94</v>
      </c>
      <c r="C1512" t="s">
        <v>2315</v>
      </c>
      <c r="D1512">
        <v>2</v>
      </c>
      <c r="E1512" s="358">
        <v>4</v>
      </c>
      <c r="F1512" s="358" t="s">
        <v>7</v>
      </c>
      <c r="G1512" s="358" t="s">
        <v>11</v>
      </c>
      <c r="H1512" s="358" t="s">
        <v>11</v>
      </c>
    </row>
    <row r="1513" spans="1:8" x14ac:dyDescent="0.3">
      <c r="A1513" t="s">
        <v>35</v>
      </c>
      <c r="B1513" t="s">
        <v>94</v>
      </c>
      <c r="C1513" t="s">
        <v>1440</v>
      </c>
      <c r="D1513">
        <v>2</v>
      </c>
      <c r="E1513" s="358">
        <v>4</v>
      </c>
      <c r="F1513" s="358" t="s">
        <v>7</v>
      </c>
      <c r="G1513" s="358" t="s">
        <v>11</v>
      </c>
      <c r="H1513" s="358" t="s">
        <v>11</v>
      </c>
    </row>
    <row r="1514" spans="1:8" x14ac:dyDescent="0.3">
      <c r="A1514" t="s">
        <v>35</v>
      </c>
      <c r="B1514" t="s">
        <v>94</v>
      </c>
      <c r="C1514" t="s">
        <v>1685</v>
      </c>
      <c r="D1514">
        <v>2</v>
      </c>
      <c r="E1514" s="358">
        <v>4</v>
      </c>
      <c r="F1514" s="358" t="s">
        <v>7</v>
      </c>
      <c r="G1514" s="358" t="s">
        <v>11</v>
      </c>
      <c r="H1514" s="358" t="s">
        <v>11</v>
      </c>
    </row>
    <row r="1515" spans="1:8" x14ac:dyDescent="0.3">
      <c r="A1515" t="s">
        <v>35</v>
      </c>
      <c r="B1515" t="s">
        <v>94</v>
      </c>
      <c r="C1515" t="s">
        <v>1338</v>
      </c>
      <c r="D1515">
        <v>2</v>
      </c>
      <c r="E1515" s="358">
        <v>4</v>
      </c>
      <c r="F1515" s="358" t="s">
        <v>7</v>
      </c>
      <c r="G1515" s="358" t="s">
        <v>11</v>
      </c>
      <c r="H1515" s="358" t="s">
        <v>11</v>
      </c>
    </row>
    <row r="1516" spans="1:8" x14ac:dyDescent="0.3">
      <c r="A1516" t="s">
        <v>35</v>
      </c>
      <c r="B1516" t="s">
        <v>94</v>
      </c>
      <c r="C1516" t="s">
        <v>1860</v>
      </c>
      <c r="D1516">
        <v>2</v>
      </c>
      <c r="E1516" s="358">
        <v>5</v>
      </c>
      <c r="F1516" s="358" t="s">
        <v>7</v>
      </c>
      <c r="G1516" s="358" t="s">
        <v>11</v>
      </c>
      <c r="H1516" s="358" t="s">
        <v>11</v>
      </c>
    </row>
    <row r="1517" spans="1:8" x14ac:dyDescent="0.3">
      <c r="A1517" t="s">
        <v>35</v>
      </c>
      <c r="B1517" t="s">
        <v>94</v>
      </c>
      <c r="C1517" t="s">
        <v>1688</v>
      </c>
      <c r="D1517">
        <v>2</v>
      </c>
      <c r="E1517" s="358">
        <v>5</v>
      </c>
      <c r="F1517" s="358" t="s">
        <v>7</v>
      </c>
      <c r="G1517" s="358" t="s">
        <v>11</v>
      </c>
      <c r="H1517" s="358" t="s">
        <v>11</v>
      </c>
    </row>
    <row r="1518" spans="1:8" x14ac:dyDescent="0.3">
      <c r="A1518" t="s">
        <v>35</v>
      </c>
      <c r="B1518" t="s">
        <v>94</v>
      </c>
      <c r="C1518" t="s">
        <v>2316</v>
      </c>
      <c r="D1518">
        <v>2</v>
      </c>
      <c r="E1518" s="358">
        <v>4</v>
      </c>
      <c r="F1518" s="358" t="s">
        <v>7</v>
      </c>
      <c r="G1518" s="358" t="s">
        <v>11</v>
      </c>
      <c r="H1518" s="358" t="s">
        <v>11</v>
      </c>
    </row>
    <row r="1519" spans="1:8" x14ac:dyDescent="0.3">
      <c r="A1519" t="s">
        <v>35</v>
      </c>
      <c r="B1519" t="s">
        <v>94</v>
      </c>
      <c r="C1519" t="s">
        <v>1558</v>
      </c>
      <c r="D1519">
        <v>2</v>
      </c>
      <c r="E1519" s="358">
        <v>4</v>
      </c>
      <c r="F1519" s="358" t="s">
        <v>7</v>
      </c>
      <c r="G1519" s="358" t="s">
        <v>11</v>
      </c>
      <c r="H1519" s="358" t="s">
        <v>11</v>
      </c>
    </row>
    <row r="1520" spans="1:8" x14ac:dyDescent="0.3">
      <c r="A1520" t="s">
        <v>35</v>
      </c>
      <c r="B1520" t="s">
        <v>94</v>
      </c>
      <c r="C1520" t="s">
        <v>2317</v>
      </c>
      <c r="D1520">
        <v>3</v>
      </c>
      <c r="E1520" s="358">
        <v>4</v>
      </c>
      <c r="F1520" s="358" t="s">
        <v>7</v>
      </c>
      <c r="G1520" s="358" t="s">
        <v>11</v>
      </c>
      <c r="H1520" s="358" t="s">
        <v>11</v>
      </c>
    </row>
    <row r="1521" spans="1:8" x14ac:dyDescent="0.3">
      <c r="A1521" t="s">
        <v>35</v>
      </c>
      <c r="B1521" t="s">
        <v>94</v>
      </c>
      <c r="C1521" t="s">
        <v>1344</v>
      </c>
      <c r="D1521">
        <v>2</v>
      </c>
      <c r="E1521" s="358">
        <v>4</v>
      </c>
      <c r="F1521" s="358" t="s">
        <v>7</v>
      </c>
      <c r="G1521" s="358" t="s">
        <v>11</v>
      </c>
      <c r="H1521" s="358" t="s">
        <v>11</v>
      </c>
    </row>
    <row r="1522" spans="1:8" x14ac:dyDescent="0.3">
      <c r="A1522" t="s">
        <v>35</v>
      </c>
      <c r="B1522" t="s">
        <v>94</v>
      </c>
      <c r="C1522" t="s">
        <v>2318</v>
      </c>
      <c r="D1522">
        <v>2</v>
      </c>
      <c r="E1522" s="358">
        <v>4</v>
      </c>
      <c r="F1522" s="358" t="s">
        <v>7</v>
      </c>
      <c r="G1522" s="358" t="s">
        <v>11</v>
      </c>
      <c r="H1522" s="358" t="s">
        <v>11</v>
      </c>
    </row>
    <row r="1523" spans="1:8" x14ac:dyDescent="0.3">
      <c r="A1523" t="s">
        <v>35</v>
      </c>
      <c r="B1523" t="s">
        <v>94</v>
      </c>
      <c r="C1523" t="s">
        <v>2319</v>
      </c>
      <c r="D1523">
        <v>2</v>
      </c>
      <c r="E1523" s="358">
        <v>5</v>
      </c>
      <c r="F1523" s="358" t="s">
        <v>7</v>
      </c>
      <c r="G1523" s="358" t="s">
        <v>11</v>
      </c>
      <c r="H1523" s="358" t="s">
        <v>11</v>
      </c>
    </row>
    <row r="1524" spans="1:8" x14ac:dyDescent="0.3">
      <c r="A1524" t="s">
        <v>35</v>
      </c>
      <c r="B1524" t="s">
        <v>94</v>
      </c>
      <c r="C1524" t="s">
        <v>1346</v>
      </c>
      <c r="D1524">
        <v>2</v>
      </c>
      <c r="E1524" s="358">
        <v>4</v>
      </c>
      <c r="F1524" s="358" t="s">
        <v>7</v>
      </c>
      <c r="G1524" s="358" t="s">
        <v>11</v>
      </c>
      <c r="H1524" s="358" t="s">
        <v>11</v>
      </c>
    </row>
    <row r="1525" spans="1:8" x14ac:dyDescent="0.3">
      <c r="A1525" t="s">
        <v>35</v>
      </c>
      <c r="B1525" t="s">
        <v>94</v>
      </c>
      <c r="C1525" t="s">
        <v>1819</v>
      </c>
      <c r="D1525">
        <v>2</v>
      </c>
      <c r="E1525" s="358">
        <v>5</v>
      </c>
      <c r="F1525" s="358" t="s">
        <v>7</v>
      </c>
      <c r="G1525" s="358" t="s">
        <v>11</v>
      </c>
      <c r="H1525" s="358" t="s">
        <v>11</v>
      </c>
    </row>
    <row r="1526" spans="1:8" x14ac:dyDescent="0.3">
      <c r="A1526" t="s">
        <v>35</v>
      </c>
      <c r="B1526" t="s">
        <v>94</v>
      </c>
      <c r="C1526" t="s">
        <v>1867</v>
      </c>
      <c r="D1526">
        <v>2</v>
      </c>
      <c r="E1526" s="358">
        <v>5</v>
      </c>
      <c r="F1526" s="358" t="s">
        <v>7</v>
      </c>
      <c r="G1526" s="358" t="s">
        <v>11</v>
      </c>
      <c r="H1526" s="358" t="s">
        <v>11</v>
      </c>
    </row>
    <row r="1527" spans="1:8" x14ac:dyDescent="0.3">
      <c r="A1527" t="s">
        <v>35</v>
      </c>
      <c r="B1527" t="s">
        <v>94</v>
      </c>
      <c r="C1527" t="s">
        <v>1348</v>
      </c>
      <c r="D1527">
        <v>2</v>
      </c>
      <c r="E1527" s="358">
        <v>4</v>
      </c>
      <c r="F1527" s="358" t="s">
        <v>7</v>
      </c>
      <c r="G1527" s="358" t="s">
        <v>11</v>
      </c>
      <c r="H1527" s="358" t="s">
        <v>11</v>
      </c>
    </row>
    <row r="1528" spans="1:8" x14ac:dyDescent="0.3">
      <c r="A1528" t="s">
        <v>35</v>
      </c>
      <c r="B1528" t="s">
        <v>94</v>
      </c>
      <c r="C1528" t="s">
        <v>2320</v>
      </c>
      <c r="D1528">
        <v>2</v>
      </c>
      <c r="E1528" s="358">
        <v>4</v>
      </c>
      <c r="F1528" s="358" t="s">
        <v>7</v>
      </c>
      <c r="G1528" s="358" t="s">
        <v>11</v>
      </c>
      <c r="H1528" s="358" t="s">
        <v>11</v>
      </c>
    </row>
    <row r="1529" spans="1:8" x14ac:dyDescent="0.3">
      <c r="A1529" t="s">
        <v>35</v>
      </c>
      <c r="B1529" t="s">
        <v>94</v>
      </c>
      <c r="C1529" t="s">
        <v>2321</v>
      </c>
      <c r="D1529">
        <v>1</v>
      </c>
      <c r="E1529" s="358">
        <v>5</v>
      </c>
      <c r="F1529" s="358" t="s">
        <v>7</v>
      </c>
      <c r="G1529" s="358" t="s">
        <v>11</v>
      </c>
      <c r="H1529" s="358" t="s">
        <v>11</v>
      </c>
    </row>
    <row r="1530" spans="1:8" x14ac:dyDescent="0.3">
      <c r="A1530" t="s">
        <v>35</v>
      </c>
      <c r="B1530" t="s">
        <v>94</v>
      </c>
      <c r="C1530" t="s">
        <v>1451</v>
      </c>
      <c r="D1530">
        <v>2</v>
      </c>
      <c r="E1530" s="358">
        <v>4</v>
      </c>
      <c r="F1530" s="358" t="s">
        <v>7</v>
      </c>
      <c r="G1530" s="358" t="s">
        <v>11</v>
      </c>
      <c r="H1530" s="358" t="s">
        <v>11</v>
      </c>
    </row>
    <row r="1531" spans="1:8" x14ac:dyDescent="0.3">
      <c r="A1531" t="s">
        <v>35</v>
      </c>
      <c r="B1531" t="s">
        <v>94</v>
      </c>
      <c r="C1531" t="s">
        <v>2322</v>
      </c>
      <c r="D1531">
        <v>2</v>
      </c>
      <c r="E1531" s="358">
        <v>4</v>
      </c>
      <c r="F1531" s="358" t="s">
        <v>7</v>
      </c>
      <c r="G1531" s="358" t="s">
        <v>11</v>
      </c>
      <c r="H1531" s="358" t="s">
        <v>11</v>
      </c>
    </row>
    <row r="1532" spans="1:8" x14ac:dyDescent="0.3">
      <c r="A1532" t="s">
        <v>35</v>
      </c>
      <c r="B1532" t="s">
        <v>94</v>
      </c>
      <c r="C1532" t="s">
        <v>2174</v>
      </c>
      <c r="D1532">
        <v>1</v>
      </c>
      <c r="E1532" s="358">
        <v>4</v>
      </c>
      <c r="F1532" s="358" t="s">
        <v>7</v>
      </c>
      <c r="G1532" s="358" t="s">
        <v>11</v>
      </c>
      <c r="H1532" s="358" t="s">
        <v>11</v>
      </c>
    </row>
    <row r="1533" spans="1:8" x14ac:dyDescent="0.3">
      <c r="A1533" t="s">
        <v>35</v>
      </c>
      <c r="B1533" t="s">
        <v>94</v>
      </c>
      <c r="C1533" t="s">
        <v>1350</v>
      </c>
      <c r="D1533">
        <v>1</v>
      </c>
      <c r="E1533" s="358">
        <v>4</v>
      </c>
      <c r="F1533" s="358" t="s">
        <v>7</v>
      </c>
      <c r="G1533" s="358" t="s">
        <v>11</v>
      </c>
      <c r="H1533" s="358" t="s">
        <v>11</v>
      </c>
    </row>
    <row r="1534" spans="1:8" x14ac:dyDescent="0.3">
      <c r="A1534" t="s">
        <v>35</v>
      </c>
      <c r="B1534" t="s">
        <v>94</v>
      </c>
      <c r="C1534" t="s">
        <v>1714</v>
      </c>
      <c r="D1534">
        <v>2</v>
      </c>
      <c r="E1534" s="358">
        <v>4</v>
      </c>
      <c r="F1534" s="358" t="s">
        <v>7</v>
      </c>
      <c r="G1534" s="358" t="s">
        <v>11</v>
      </c>
      <c r="H1534" s="358" t="s">
        <v>11</v>
      </c>
    </row>
    <row r="1535" spans="1:8" x14ac:dyDescent="0.3">
      <c r="A1535" t="s">
        <v>35</v>
      </c>
      <c r="B1535" t="s">
        <v>94</v>
      </c>
      <c r="C1535" t="s">
        <v>1351</v>
      </c>
      <c r="D1535">
        <v>2</v>
      </c>
      <c r="E1535" s="358">
        <v>4</v>
      </c>
      <c r="F1535" s="358" t="s">
        <v>7</v>
      </c>
      <c r="G1535" s="358" t="s">
        <v>11</v>
      </c>
      <c r="H1535" s="358" t="s">
        <v>11</v>
      </c>
    </row>
    <row r="1536" spans="1:8" x14ac:dyDescent="0.3">
      <c r="A1536" t="s">
        <v>35</v>
      </c>
      <c r="B1536" t="s">
        <v>94</v>
      </c>
      <c r="C1536" t="s">
        <v>1454</v>
      </c>
      <c r="D1536">
        <v>2</v>
      </c>
      <c r="E1536" s="358">
        <v>4</v>
      </c>
      <c r="F1536" s="358" t="s">
        <v>7</v>
      </c>
      <c r="G1536" s="358" t="s">
        <v>11</v>
      </c>
      <c r="H1536" s="358" t="s">
        <v>11</v>
      </c>
    </row>
    <row r="1537" spans="1:8" x14ac:dyDescent="0.3">
      <c r="A1537" t="s">
        <v>35</v>
      </c>
      <c r="B1537" t="s">
        <v>94</v>
      </c>
      <c r="C1537" t="s">
        <v>1828</v>
      </c>
      <c r="D1537">
        <v>2</v>
      </c>
      <c r="E1537" s="358">
        <v>5</v>
      </c>
      <c r="F1537" s="358" t="s">
        <v>7</v>
      </c>
      <c r="G1537" s="358" t="s">
        <v>11</v>
      </c>
      <c r="H1537" s="358" t="s">
        <v>11</v>
      </c>
    </row>
    <row r="1538" spans="1:8" x14ac:dyDescent="0.3">
      <c r="A1538" t="s">
        <v>35</v>
      </c>
      <c r="B1538" t="s">
        <v>94</v>
      </c>
      <c r="C1538" t="s">
        <v>2323</v>
      </c>
      <c r="D1538">
        <v>2</v>
      </c>
      <c r="E1538" s="358">
        <v>4</v>
      </c>
      <c r="F1538" s="358" t="s">
        <v>7</v>
      </c>
      <c r="G1538" s="358" t="s">
        <v>11</v>
      </c>
      <c r="H1538" s="358" t="s">
        <v>11</v>
      </c>
    </row>
    <row r="1539" spans="1:8" x14ac:dyDescent="0.3">
      <c r="A1539" t="s">
        <v>35</v>
      </c>
      <c r="B1539" t="s">
        <v>94</v>
      </c>
      <c r="C1539" t="s">
        <v>1455</v>
      </c>
      <c r="D1539">
        <v>2</v>
      </c>
      <c r="E1539" s="358">
        <v>4</v>
      </c>
      <c r="F1539" s="358" t="s">
        <v>7</v>
      </c>
      <c r="G1539" s="358" t="s">
        <v>11</v>
      </c>
      <c r="H1539" s="358" t="s">
        <v>11</v>
      </c>
    </row>
    <row r="1540" spans="1:8" x14ac:dyDescent="0.3">
      <c r="A1540" t="s">
        <v>35</v>
      </c>
      <c r="B1540" t="s">
        <v>94</v>
      </c>
      <c r="C1540" t="s">
        <v>1354</v>
      </c>
      <c r="D1540">
        <v>2</v>
      </c>
      <c r="E1540" s="358">
        <v>4</v>
      </c>
      <c r="F1540" s="358" t="s">
        <v>7</v>
      </c>
      <c r="G1540" s="358" t="s">
        <v>11</v>
      </c>
      <c r="H1540" s="358" t="s">
        <v>11</v>
      </c>
    </row>
    <row r="1541" spans="1:8" x14ac:dyDescent="0.3">
      <c r="A1541" t="s">
        <v>35</v>
      </c>
      <c r="B1541" t="s">
        <v>94</v>
      </c>
      <c r="C1541" t="s">
        <v>1792</v>
      </c>
      <c r="D1541">
        <v>2</v>
      </c>
      <c r="E1541" s="358">
        <v>5</v>
      </c>
      <c r="F1541" s="358" t="s">
        <v>7</v>
      </c>
      <c r="G1541" s="358" t="s">
        <v>11</v>
      </c>
      <c r="H1541" s="358" t="s">
        <v>11</v>
      </c>
    </row>
    <row r="1542" spans="1:8" x14ac:dyDescent="0.3">
      <c r="A1542" t="s">
        <v>35</v>
      </c>
      <c r="B1542" t="s">
        <v>94</v>
      </c>
      <c r="C1542" t="s">
        <v>1456</v>
      </c>
      <c r="D1542">
        <v>2</v>
      </c>
      <c r="E1542" s="358">
        <v>4</v>
      </c>
      <c r="F1542" s="358" t="s">
        <v>7</v>
      </c>
      <c r="G1542" s="358" t="s">
        <v>11</v>
      </c>
      <c r="H1542" s="358" t="s">
        <v>11</v>
      </c>
    </row>
    <row r="1543" spans="1:8" x14ac:dyDescent="0.3">
      <c r="A1543" t="s">
        <v>35</v>
      </c>
      <c r="B1543" t="s">
        <v>94</v>
      </c>
      <c r="C1543" t="s">
        <v>1919</v>
      </c>
      <c r="D1543">
        <v>2</v>
      </c>
      <c r="E1543" s="358">
        <v>5</v>
      </c>
      <c r="F1543" s="358" t="s">
        <v>7</v>
      </c>
      <c r="G1543" s="358" t="s">
        <v>11</v>
      </c>
      <c r="H1543" s="358" t="s">
        <v>11</v>
      </c>
    </row>
    <row r="1544" spans="1:8" x14ac:dyDescent="0.3">
      <c r="A1544" t="s">
        <v>35</v>
      </c>
      <c r="B1544" t="s">
        <v>94</v>
      </c>
      <c r="C1544" t="s">
        <v>1830</v>
      </c>
      <c r="D1544">
        <v>2</v>
      </c>
      <c r="E1544" s="358">
        <v>5</v>
      </c>
      <c r="F1544" s="358" t="s">
        <v>7</v>
      </c>
      <c r="G1544" s="358" t="s">
        <v>11</v>
      </c>
      <c r="H1544" s="358" t="s">
        <v>11</v>
      </c>
    </row>
    <row r="1545" spans="1:8" x14ac:dyDescent="0.3">
      <c r="A1545" t="s">
        <v>35</v>
      </c>
      <c r="B1545" t="s">
        <v>94</v>
      </c>
      <c r="C1545" t="s">
        <v>1358</v>
      </c>
      <c r="D1545">
        <v>2</v>
      </c>
      <c r="E1545" s="358">
        <v>5</v>
      </c>
      <c r="F1545" s="358" t="s">
        <v>7</v>
      </c>
      <c r="G1545" s="358" t="s">
        <v>11</v>
      </c>
      <c r="H1545" s="358" t="s">
        <v>11</v>
      </c>
    </row>
    <row r="1546" spans="1:8" x14ac:dyDescent="0.3">
      <c r="A1546" t="s">
        <v>35</v>
      </c>
      <c r="B1546" t="s">
        <v>94</v>
      </c>
      <c r="C1546" t="s">
        <v>1359</v>
      </c>
      <c r="D1546">
        <v>2</v>
      </c>
      <c r="E1546" s="358">
        <v>4</v>
      </c>
      <c r="F1546" s="358" t="s">
        <v>7</v>
      </c>
      <c r="G1546" s="358" t="s">
        <v>11</v>
      </c>
      <c r="H1546" s="358" t="s">
        <v>11</v>
      </c>
    </row>
    <row r="1547" spans="1:8" x14ac:dyDescent="0.3">
      <c r="A1547" t="s">
        <v>35</v>
      </c>
      <c r="B1547" t="s">
        <v>94</v>
      </c>
      <c r="C1547" t="s">
        <v>2324</v>
      </c>
      <c r="D1547">
        <v>2</v>
      </c>
      <c r="E1547" s="358">
        <v>4</v>
      </c>
      <c r="F1547" s="358" t="s">
        <v>7</v>
      </c>
      <c r="G1547" s="358" t="s">
        <v>11</v>
      </c>
      <c r="H1547" s="358" t="s">
        <v>11</v>
      </c>
    </row>
    <row r="1548" spans="1:8" x14ac:dyDescent="0.3">
      <c r="A1548" t="s">
        <v>35</v>
      </c>
      <c r="B1548" t="s">
        <v>94</v>
      </c>
      <c r="C1548" t="s">
        <v>1361</v>
      </c>
      <c r="D1548">
        <v>2</v>
      </c>
      <c r="E1548" s="358">
        <v>5</v>
      </c>
      <c r="F1548" s="358" t="s">
        <v>7</v>
      </c>
      <c r="G1548" s="358" t="s">
        <v>11</v>
      </c>
      <c r="H1548" s="358" t="s">
        <v>11</v>
      </c>
    </row>
    <row r="1549" spans="1:8" x14ac:dyDescent="0.3">
      <c r="A1549" t="s">
        <v>35</v>
      </c>
      <c r="B1549" t="s">
        <v>94</v>
      </c>
      <c r="C1549" t="s">
        <v>2325</v>
      </c>
      <c r="D1549">
        <v>2</v>
      </c>
      <c r="E1549" s="358">
        <v>4</v>
      </c>
      <c r="F1549" s="358" t="s">
        <v>7</v>
      </c>
      <c r="G1549" s="358" t="s">
        <v>11</v>
      </c>
      <c r="H1549" s="358" t="s">
        <v>11</v>
      </c>
    </row>
    <row r="1550" spans="1:8" x14ac:dyDescent="0.3">
      <c r="A1550" t="s">
        <v>35</v>
      </c>
      <c r="B1550" t="s">
        <v>94</v>
      </c>
      <c r="C1550" t="s">
        <v>1838</v>
      </c>
      <c r="D1550">
        <v>2</v>
      </c>
      <c r="E1550" s="358">
        <v>5</v>
      </c>
      <c r="F1550" s="358" t="s">
        <v>7</v>
      </c>
      <c r="G1550" s="358" t="s">
        <v>11</v>
      </c>
      <c r="H1550" s="358" t="s">
        <v>11</v>
      </c>
    </row>
    <row r="1551" spans="1:8" x14ac:dyDescent="0.3">
      <c r="A1551" t="s">
        <v>35</v>
      </c>
      <c r="B1551" t="s">
        <v>94</v>
      </c>
      <c r="C1551" t="s">
        <v>1460</v>
      </c>
      <c r="D1551">
        <v>2</v>
      </c>
      <c r="E1551" s="358">
        <v>4</v>
      </c>
      <c r="F1551" s="358" t="s">
        <v>7</v>
      </c>
      <c r="G1551" s="358" t="s">
        <v>11</v>
      </c>
      <c r="H1551" s="358" t="s">
        <v>11</v>
      </c>
    </row>
    <row r="1552" spans="1:8" x14ac:dyDescent="0.3">
      <c r="A1552" t="s">
        <v>35</v>
      </c>
      <c r="B1552" t="s">
        <v>94</v>
      </c>
      <c r="C1552" t="s">
        <v>1461</v>
      </c>
      <c r="D1552">
        <v>3</v>
      </c>
      <c r="E1552" s="358">
        <v>4</v>
      </c>
      <c r="F1552" s="358" t="s">
        <v>7</v>
      </c>
      <c r="G1552" s="358" t="s">
        <v>11</v>
      </c>
      <c r="H1552" s="358" t="s">
        <v>11</v>
      </c>
    </row>
    <row r="1553" spans="1:8" x14ac:dyDescent="0.3">
      <c r="A1553" t="s">
        <v>35</v>
      </c>
      <c r="B1553" t="s">
        <v>94</v>
      </c>
      <c r="C1553" t="s">
        <v>2326</v>
      </c>
      <c r="D1553">
        <v>2</v>
      </c>
      <c r="E1553" s="358">
        <v>4</v>
      </c>
      <c r="F1553" s="358" t="s">
        <v>7</v>
      </c>
      <c r="G1553" s="358" t="s">
        <v>11</v>
      </c>
      <c r="H1553" s="358" t="s">
        <v>11</v>
      </c>
    </row>
    <row r="1554" spans="1:8" x14ac:dyDescent="0.3">
      <c r="A1554" t="s">
        <v>35</v>
      </c>
      <c r="B1554" t="s">
        <v>94</v>
      </c>
      <c r="C1554" t="s">
        <v>1364</v>
      </c>
      <c r="D1554">
        <v>2</v>
      </c>
      <c r="E1554" s="358">
        <v>4</v>
      </c>
      <c r="F1554" s="358" t="s">
        <v>7</v>
      </c>
      <c r="G1554" s="358" t="s">
        <v>11</v>
      </c>
      <c r="H1554" s="358" t="s">
        <v>11</v>
      </c>
    </row>
    <row r="1555" spans="1:8" x14ac:dyDescent="0.3">
      <c r="A1555" t="s">
        <v>35</v>
      </c>
      <c r="B1555" t="s">
        <v>94</v>
      </c>
      <c r="C1555" t="s">
        <v>1365</v>
      </c>
      <c r="D1555">
        <v>2</v>
      </c>
      <c r="E1555" s="358">
        <v>4</v>
      </c>
      <c r="F1555" s="358" t="s">
        <v>7</v>
      </c>
      <c r="G1555" s="358" t="s">
        <v>11</v>
      </c>
      <c r="H1555" s="358" t="s">
        <v>11</v>
      </c>
    </row>
    <row r="1556" spans="1:8" x14ac:dyDescent="0.3">
      <c r="A1556" t="s">
        <v>35</v>
      </c>
      <c r="B1556" t="s">
        <v>94</v>
      </c>
      <c r="C1556" t="s">
        <v>1366</v>
      </c>
      <c r="D1556">
        <v>2</v>
      </c>
      <c r="E1556" s="358">
        <v>4</v>
      </c>
      <c r="F1556" s="358" t="s">
        <v>7</v>
      </c>
      <c r="G1556" s="358" t="s">
        <v>11</v>
      </c>
      <c r="H1556" s="358" t="s">
        <v>11</v>
      </c>
    </row>
    <row r="1557" spans="1:8" x14ac:dyDescent="0.3">
      <c r="A1557" t="s">
        <v>35</v>
      </c>
      <c r="B1557" t="s">
        <v>94</v>
      </c>
      <c r="C1557" t="s">
        <v>2327</v>
      </c>
      <c r="D1557">
        <v>3</v>
      </c>
      <c r="E1557" s="358">
        <v>4</v>
      </c>
      <c r="F1557" s="358" t="s">
        <v>7</v>
      </c>
      <c r="G1557" s="358" t="s">
        <v>11</v>
      </c>
      <c r="H1557" s="358" t="s">
        <v>11</v>
      </c>
    </row>
    <row r="1558" spans="1:8" x14ac:dyDescent="0.3">
      <c r="A1558" t="s">
        <v>35</v>
      </c>
      <c r="B1558" t="s">
        <v>94</v>
      </c>
      <c r="C1558" t="s">
        <v>1463</v>
      </c>
      <c r="D1558">
        <v>2</v>
      </c>
      <c r="E1558" s="358">
        <v>4</v>
      </c>
      <c r="F1558" s="358" t="s">
        <v>7</v>
      </c>
      <c r="G1558" s="358" t="s">
        <v>11</v>
      </c>
      <c r="H1558" s="358" t="s">
        <v>11</v>
      </c>
    </row>
    <row r="1559" spans="1:8" x14ac:dyDescent="0.3">
      <c r="A1559" t="s">
        <v>35</v>
      </c>
      <c r="B1559" t="s">
        <v>94</v>
      </c>
      <c r="C1559" t="s">
        <v>2328</v>
      </c>
      <c r="D1559">
        <v>1</v>
      </c>
      <c r="E1559" s="358">
        <v>5</v>
      </c>
      <c r="F1559" s="358" t="s">
        <v>7</v>
      </c>
      <c r="G1559" s="358" t="s">
        <v>11</v>
      </c>
      <c r="H1559" s="358" t="s">
        <v>11</v>
      </c>
    </row>
    <row r="1560" spans="1:8" x14ac:dyDescent="0.3">
      <c r="A1560" t="s">
        <v>35</v>
      </c>
      <c r="B1560" t="s">
        <v>94</v>
      </c>
      <c r="C1560" t="s">
        <v>2329</v>
      </c>
      <c r="D1560">
        <v>2</v>
      </c>
      <c r="E1560" s="358">
        <v>4</v>
      </c>
      <c r="F1560" s="358" t="s">
        <v>7</v>
      </c>
      <c r="G1560" s="358" t="s">
        <v>11</v>
      </c>
      <c r="H1560" s="358" t="s">
        <v>11</v>
      </c>
    </row>
    <row r="1561" spans="1:8" x14ac:dyDescent="0.3">
      <c r="A1561" t="s">
        <v>35</v>
      </c>
      <c r="B1561" t="s">
        <v>94</v>
      </c>
      <c r="C1561" t="s">
        <v>1982</v>
      </c>
      <c r="D1561">
        <v>2</v>
      </c>
      <c r="E1561" s="358">
        <v>4</v>
      </c>
      <c r="F1561" s="358" t="s">
        <v>7</v>
      </c>
      <c r="G1561" s="358" t="s">
        <v>11</v>
      </c>
      <c r="H1561" s="358" t="s">
        <v>11</v>
      </c>
    </row>
    <row r="1562" spans="1:8" x14ac:dyDescent="0.3">
      <c r="A1562" t="s">
        <v>35</v>
      </c>
      <c r="B1562" t="s">
        <v>94</v>
      </c>
      <c r="C1562" t="s">
        <v>2330</v>
      </c>
      <c r="D1562">
        <v>2</v>
      </c>
      <c r="E1562" s="358">
        <v>4</v>
      </c>
      <c r="F1562" s="358" t="s">
        <v>7</v>
      </c>
      <c r="G1562" s="358" t="s">
        <v>11</v>
      </c>
      <c r="H1562" s="358" t="s">
        <v>11</v>
      </c>
    </row>
    <row r="1563" spans="1:8" x14ac:dyDescent="0.3">
      <c r="A1563" t="s">
        <v>35</v>
      </c>
      <c r="B1563" t="s">
        <v>94</v>
      </c>
      <c r="C1563" t="s">
        <v>2331</v>
      </c>
      <c r="D1563">
        <v>3</v>
      </c>
      <c r="E1563" s="358">
        <v>4</v>
      </c>
      <c r="F1563" s="358" t="s">
        <v>7</v>
      </c>
      <c r="G1563" s="358" t="s">
        <v>11</v>
      </c>
      <c r="H1563" s="358" t="s">
        <v>11</v>
      </c>
    </row>
    <row r="1564" spans="1:8" x14ac:dyDescent="0.3">
      <c r="A1564" t="s">
        <v>35</v>
      </c>
      <c r="B1564" t="s">
        <v>94</v>
      </c>
      <c r="C1564" t="s">
        <v>1367</v>
      </c>
      <c r="D1564">
        <v>2</v>
      </c>
      <c r="E1564" s="358">
        <v>4</v>
      </c>
      <c r="F1564" s="358" t="s">
        <v>7</v>
      </c>
      <c r="G1564" s="358" t="s">
        <v>11</v>
      </c>
      <c r="H1564" s="358" t="s">
        <v>11</v>
      </c>
    </row>
    <row r="1565" spans="1:8" x14ac:dyDescent="0.3">
      <c r="A1565" t="s">
        <v>35</v>
      </c>
      <c r="B1565" t="s">
        <v>94</v>
      </c>
      <c r="C1565" t="s">
        <v>2332</v>
      </c>
      <c r="D1565">
        <v>2</v>
      </c>
      <c r="E1565" s="358">
        <v>4</v>
      </c>
      <c r="F1565" s="358" t="s">
        <v>7</v>
      </c>
      <c r="G1565" s="358" t="s">
        <v>11</v>
      </c>
      <c r="H1565" s="358" t="s">
        <v>11</v>
      </c>
    </row>
    <row r="1566" spans="1:8" x14ac:dyDescent="0.3">
      <c r="A1566" t="s">
        <v>35</v>
      </c>
      <c r="B1566" t="s">
        <v>94</v>
      </c>
      <c r="C1566" t="s">
        <v>2333</v>
      </c>
      <c r="D1566">
        <v>2</v>
      </c>
      <c r="E1566" s="358">
        <v>4</v>
      </c>
      <c r="F1566" s="358" t="s">
        <v>7</v>
      </c>
      <c r="G1566" s="358" t="s">
        <v>11</v>
      </c>
      <c r="H1566" s="358" t="s">
        <v>11</v>
      </c>
    </row>
    <row r="1567" spans="1:8" x14ac:dyDescent="0.3">
      <c r="A1567" t="s">
        <v>35</v>
      </c>
      <c r="B1567" t="s">
        <v>94</v>
      </c>
      <c r="C1567" t="s">
        <v>1369</v>
      </c>
      <c r="D1567">
        <v>2</v>
      </c>
      <c r="E1567" s="358">
        <v>5</v>
      </c>
      <c r="F1567" s="358" t="s">
        <v>7</v>
      </c>
      <c r="G1567" s="358" t="s">
        <v>11</v>
      </c>
      <c r="H1567" s="358" t="s">
        <v>11</v>
      </c>
    </row>
    <row r="1568" spans="1:8" x14ac:dyDescent="0.3">
      <c r="A1568" t="s">
        <v>35</v>
      </c>
      <c r="B1568" t="s">
        <v>94</v>
      </c>
      <c r="C1568" t="s">
        <v>2334</v>
      </c>
      <c r="D1568">
        <v>1</v>
      </c>
      <c r="E1568" s="358">
        <v>4</v>
      </c>
      <c r="F1568" s="358" t="s">
        <v>7</v>
      </c>
      <c r="G1568" s="358" t="s">
        <v>11</v>
      </c>
      <c r="H1568" s="358" t="s">
        <v>11</v>
      </c>
    </row>
    <row r="1569" spans="1:8" x14ac:dyDescent="0.3">
      <c r="A1569" t="s">
        <v>35</v>
      </c>
      <c r="B1569" t="s">
        <v>94</v>
      </c>
      <c r="C1569" t="s">
        <v>1467</v>
      </c>
      <c r="D1569">
        <v>2</v>
      </c>
      <c r="E1569" s="358">
        <v>4</v>
      </c>
      <c r="F1569" s="358" t="s">
        <v>7</v>
      </c>
      <c r="G1569" s="358" t="s">
        <v>11</v>
      </c>
      <c r="H1569" s="358" t="s">
        <v>11</v>
      </c>
    </row>
    <row r="1570" spans="1:8" x14ac:dyDescent="0.3">
      <c r="A1570" t="s">
        <v>35</v>
      </c>
      <c r="B1570" t="s">
        <v>94</v>
      </c>
      <c r="C1570" t="s">
        <v>1470</v>
      </c>
      <c r="D1570">
        <v>2</v>
      </c>
      <c r="E1570" s="358">
        <v>4</v>
      </c>
      <c r="F1570" s="358" t="s">
        <v>7</v>
      </c>
      <c r="G1570" s="358" t="s">
        <v>11</v>
      </c>
      <c r="H1570" s="358" t="s">
        <v>11</v>
      </c>
    </row>
    <row r="1571" spans="1:8" x14ac:dyDescent="0.3">
      <c r="A1571" t="s">
        <v>35</v>
      </c>
      <c r="B1571" t="s">
        <v>94</v>
      </c>
      <c r="C1571" t="s">
        <v>1645</v>
      </c>
      <c r="D1571">
        <v>2</v>
      </c>
      <c r="E1571" s="358">
        <v>5</v>
      </c>
      <c r="F1571" s="358" t="s">
        <v>7</v>
      </c>
      <c r="G1571" s="358" t="s">
        <v>11</v>
      </c>
      <c r="H1571" s="358" t="s">
        <v>11</v>
      </c>
    </row>
    <row r="1572" spans="1:8" x14ac:dyDescent="0.3">
      <c r="A1572" t="s">
        <v>35</v>
      </c>
      <c r="B1572" t="s">
        <v>94</v>
      </c>
      <c r="C1572" t="s">
        <v>2335</v>
      </c>
      <c r="D1572">
        <v>2</v>
      </c>
      <c r="E1572" s="358">
        <v>5</v>
      </c>
      <c r="F1572" s="358" t="s">
        <v>7</v>
      </c>
      <c r="G1572" s="358" t="s">
        <v>11</v>
      </c>
      <c r="H1572" s="358" t="s">
        <v>11</v>
      </c>
    </row>
    <row r="1573" spans="1:8" x14ac:dyDescent="0.3">
      <c r="A1573" t="s">
        <v>35</v>
      </c>
      <c r="B1573" t="s">
        <v>94</v>
      </c>
      <c r="C1573" t="s">
        <v>1370</v>
      </c>
      <c r="D1573">
        <v>2</v>
      </c>
      <c r="E1573" s="358">
        <v>4</v>
      </c>
      <c r="F1573" s="358" t="s">
        <v>7</v>
      </c>
      <c r="G1573" s="358" t="s">
        <v>11</v>
      </c>
      <c r="H1573" s="358" t="s">
        <v>11</v>
      </c>
    </row>
    <row r="1574" spans="1:8" x14ac:dyDescent="0.3">
      <c r="A1574" t="s">
        <v>35</v>
      </c>
      <c r="B1574" t="s">
        <v>94</v>
      </c>
      <c r="C1574" t="s">
        <v>2336</v>
      </c>
      <c r="D1574">
        <v>2</v>
      </c>
      <c r="E1574" s="358">
        <v>4</v>
      </c>
      <c r="F1574" s="358" t="s">
        <v>7</v>
      </c>
      <c r="G1574" s="358" t="s">
        <v>11</v>
      </c>
      <c r="H1574" s="358" t="s">
        <v>11</v>
      </c>
    </row>
    <row r="1575" spans="1:8" x14ac:dyDescent="0.3">
      <c r="A1575" t="s">
        <v>35</v>
      </c>
      <c r="B1575" t="s">
        <v>94</v>
      </c>
      <c r="C1575" t="s">
        <v>2337</v>
      </c>
      <c r="D1575">
        <v>2</v>
      </c>
      <c r="E1575" s="358">
        <v>4</v>
      </c>
      <c r="F1575" s="358" t="s">
        <v>7</v>
      </c>
      <c r="G1575" s="358" t="s">
        <v>11</v>
      </c>
      <c r="H1575" s="358" t="s">
        <v>11</v>
      </c>
    </row>
    <row r="1576" spans="1:8" x14ac:dyDescent="0.3">
      <c r="A1576" t="s">
        <v>35</v>
      </c>
      <c r="B1576" t="s">
        <v>94</v>
      </c>
      <c r="C1576" t="s">
        <v>1882</v>
      </c>
      <c r="D1576">
        <v>2</v>
      </c>
      <c r="E1576" s="358">
        <v>4</v>
      </c>
      <c r="F1576" s="358" t="s">
        <v>7</v>
      </c>
      <c r="G1576" s="358" t="s">
        <v>11</v>
      </c>
      <c r="H1576" s="358" t="s">
        <v>11</v>
      </c>
    </row>
    <row r="1577" spans="1:8" x14ac:dyDescent="0.3">
      <c r="A1577" t="s">
        <v>35</v>
      </c>
      <c r="B1577" t="s">
        <v>94</v>
      </c>
      <c r="C1577" t="s">
        <v>2095</v>
      </c>
      <c r="D1577">
        <v>2</v>
      </c>
      <c r="E1577" s="358">
        <v>4</v>
      </c>
      <c r="F1577" s="358" t="s">
        <v>7</v>
      </c>
      <c r="G1577" s="358" t="s">
        <v>11</v>
      </c>
      <c r="H1577" s="358" t="s">
        <v>11</v>
      </c>
    </row>
    <row r="1578" spans="1:8" x14ac:dyDescent="0.3">
      <c r="A1578" t="s">
        <v>35</v>
      </c>
      <c r="B1578" t="s">
        <v>94</v>
      </c>
      <c r="C1578" t="s">
        <v>1372</v>
      </c>
      <c r="D1578">
        <v>2</v>
      </c>
      <c r="E1578" s="358">
        <v>4</v>
      </c>
      <c r="F1578" s="358" t="s">
        <v>7</v>
      </c>
      <c r="G1578" s="358" t="s">
        <v>11</v>
      </c>
      <c r="H1578" s="358" t="s">
        <v>11</v>
      </c>
    </row>
    <row r="1579" spans="1:8" x14ac:dyDescent="0.3">
      <c r="A1579" t="s">
        <v>35</v>
      </c>
      <c r="B1579" t="s">
        <v>94</v>
      </c>
      <c r="C1579" t="s">
        <v>2338</v>
      </c>
      <c r="D1579">
        <v>2</v>
      </c>
      <c r="E1579" s="358">
        <v>4</v>
      </c>
      <c r="F1579" s="358" t="s">
        <v>7</v>
      </c>
      <c r="G1579" s="358" t="s">
        <v>11</v>
      </c>
      <c r="H1579" s="358" t="s">
        <v>11</v>
      </c>
    </row>
    <row r="1580" spans="1:8" x14ac:dyDescent="0.3">
      <c r="A1580" t="s">
        <v>35</v>
      </c>
      <c r="B1580" t="s">
        <v>94</v>
      </c>
      <c r="C1580" t="s">
        <v>2258</v>
      </c>
      <c r="D1580">
        <v>2</v>
      </c>
      <c r="E1580" s="358">
        <v>4</v>
      </c>
      <c r="F1580" s="358" t="s">
        <v>7</v>
      </c>
      <c r="G1580" s="358" t="s">
        <v>11</v>
      </c>
      <c r="H1580" s="358" t="s">
        <v>11</v>
      </c>
    </row>
    <row r="1581" spans="1:8" x14ac:dyDescent="0.3">
      <c r="A1581" t="s">
        <v>35</v>
      </c>
      <c r="B1581" t="s">
        <v>94</v>
      </c>
      <c r="C1581" t="s">
        <v>2339</v>
      </c>
      <c r="D1581">
        <v>2</v>
      </c>
      <c r="E1581" s="358">
        <v>4</v>
      </c>
      <c r="F1581" s="358" t="s">
        <v>7</v>
      </c>
      <c r="G1581" s="358" t="s">
        <v>11</v>
      </c>
      <c r="H1581" s="358" t="s">
        <v>11</v>
      </c>
    </row>
    <row r="1582" spans="1:8" x14ac:dyDescent="0.3">
      <c r="A1582" t="s">
        <v>35</v>
      </c>
      <c r="B1582" t="s">
        <v>94</v>
      </c>
      <c r="C1582" t="s">
        <v>2340</v>
      </c>
      <c r="D1582">
        <v>2</v>
      </c>
      <c r="E1582" s="358">
        <v>4</v>
      </c>
      <c r="F1582" s="358" t="s">
        <v>7</v>
      </c>
      <c r="G1582" s="358" t="s">
        <v>11</v>
      </c>
      <c r="H1582" s="358" t="s">
        <v>11</v>
      </c>
    </row>
    <row r="1583" spans="1:8" x14ac:dyDescent="0.3">
      <c r="A1583" t="s">
        <v>35</v>
      </c>
      <c r="B1583" t="s">
        <v>94</v>
      </c>
      <c r="C1583" t="s">
        <v>1472</v>
      </c>
      <c r="D1583">
        <v>2</v>
      </c>
      <c r="E1583" s="358">
        <v>4</v>
      </c>
      <c r="F1583" s="358" t="s">
        <v>7</v>
      </c>
      <c r="G1583" s="358" t="s">
        <v>11</v>
      </c>
      <c r="H1583" s="358" t="s">
        <v>11</v>
      </c>
    </row>
    <row r="1584" spans="1:8" x14ac:dyDescent="0.3">
      <c r="A1584" t="s">
        <v>35</v>
      </c>
      <c r="B1584" t="s">
        <v>94</v>
      </c>
      <c r="C1584" t="s">
        <v>1846</v>
      </c>
      <c r="D1584">
        <v>2</v>
      </c>
      <c r="E1584" s="358">
        <v>5</v>
      </c>
      <c r="F1584" s="358" t="s">
        <v>7</v>
      </c>
      <c r="G1584" s="358" t="s">
        <v>11</v>
      </c>
      <c r="H1584" s="358" t="s">
        <v>11</v>
      </c>
    </row>
    <row r="1585" spans="1:8" x14ac:dyDescent="0.3">
      <c r="A1585" t="s">
        <v>35</v>
      </c>
      <c r="B1585" t="s">
        <v>94</v>
      </c>
      <c r="C1585" t="s">
        <v>2341</v>
      </c>
      <c r="D1585">
        <v>2</v>
      </c>
      <c r="E1585" s="358">
        <v>5</v>
      </c>
      <c r="F1585" s="358" t="s">
        <v>7</v>
      </c>
      <c r="G1585" s="358" t="s">
        <v>11</v>
      </c>
      <c r="H1585" s="358" t="s">
        <v>11</v>
      </c>
    </row>
    <row r="1586" spans="1:8" x14ac:dyDescent="0.3">
      <c r="A1586" t="s">
        <v>35</v>
      </c>
      <c r="B1586" t="s">
        <v>94</v>
      </c>
      <c r="C1586" t="s">
        <v>1473</v>
      </c>
      <c r="D1586">
        <v>3</v>
      </c>
      <c r="E1586" s="358">
        <v>4</v>
      </c>
      <c r="F1586" s="358" t="s">
        <v>7</v>
      </c>
      <c r="G1586" s="358" t="s">
        <v>11</v>
      </c>
      <c r="H1586" s="358" t="s">
        <v>11</v>
      </c>
    </row>
    <row r="1587" spans="1:8" x14ac:dyDescent="0.3">
      <c r="A1587" t="s">
        <v>35</v>
      </c>
      <c r="B1587" t="s">
        <v>94</v>
      </c>
      <c r="C1587" t="s">
        <v>2342</v>
      </c>
      <c r="D1587">
        <v>2</v>
      </c>
      <c r="E1587" s="358">
        <v>4</v>
      </c>
      <c r="F1587" s="358" t="s">
        <v>7</v>
      </c>
      <c r="G1587" s="358" t="s">
        <v>11</v>
      </c>
      <c r="H1587" s="358" t="s">
        <v>11</v>
      </c>
    </row>
    <row r="1588" spans="1:8" x14ac:dyDescent="0.3">
      <c r="A1588" t="s">
        <v>35</v>
      </c>
      <c r="B1588" t="s">
        <v>94</v>
      </c>
      <c r="C1588" t="s">
        <v>1373</v>
      </c>
      <c r="D1588">
        <v>2</v>
      </c>
      <c r="E1588" s="358">
        <v>5</v>
      </c>
      <c r="F1588" s="358" t="s">
        <v>7</v>
      </c>
      <c r="G1588" s="358" t="s">
        <v>11</v>
      </c>
      <c r="H1588" s="358" t="s">
        <v>11</v>
      </c>
    </row>
    <row r="1589" spans="1:8" x14ac:dyDescent="0.3">
      <c r="A1589" t="s">
        <v>35</v>
      </c>
      <c r="B1589" t="s">
        <v>94</v>
      </c>
      <c r="C1589" t="s">
        <v>2343</v>
      </c>
      <c r="D1589">
        <v>3</v>
      </c>
      <c r="E1589" s="358">
        <v>4</v>
      </c>
      <c r="F1589" s="358" t="s">
        <v>7</v>
      </c>
      <c r="G1589" s="358" t="s">
        <v>11</v>
      </c>
      <c r="H1589" s="358" t="s">
        <v>11</v>
      </c>
    </row>
    <row r="1590" spans="1:8" x14ac:dyDescent="0.3">
      <c r="A1590" t="s">
        <v>35</v>
      </c>
      <c r="B1590" t="s">
        <v>94</v>
      </c>
      <c r="C1590" t="s">
        <v>1478</v>
      </c>
      <c r="D1590">
        <v>2</v>
      </c>
      <c r="E1590" s="358">
        <v>4</v>
      </c>
      <c r="F1590" s="358" t="s">
        <v>7</v>
      </c>
      <c r="G1590" s="358" t="s">
        <v>11</v>
      </c>
      <c r="H1590" s="358" t="s">
        <v>11</v>
      </c>
    </row>
    <row r="1591" spans="1:8" x14ac:dyDescent="0.3">
      <c r="A1591" t="s">
        <v>35</v>
      </c>
      <c r="B1591" t="s">
        <v>94</v>
      </c>
      <c r="C1591" t="s">
        <v>1888</v>
      </c>
      <c r="D1591">
        <v>2</v>
      </c>
      <c r="E1591" s="358">
        <v>5</v>
      </c>
      <c r="F1591" s="358" t="s">
        <v>7</v>
      </c>
      <c r="G1591" s="358" t="s">
        <v>11</v>
      </c>
      <c r="H1591" s="358" t="s">
        <v>11</v>
      </c>
    </row>
    <row r="1592" spans="1:8" x14ac:dyDescent="0.3">
      <c r="A1592" t="s">
        <v>35</v>
      </c>
      <c r="B1592" t="s">
        <v>94</v>
      </c>
      <c r="C1592" t="s">
        <v>2344</v>
      </c>
      <c r="D1592">
        <v>2</v>
      </c>
      <c r="E1592" s="358">
        <v>4</v>
      </c>
      <c r="F1592" s="358" t="s">
        <v>7</v>
      </c>
      <c r="G1592" s="358" t="s">
        <v>11</v>
      </c>
      <c r="H1592" s="358" t="s">
        <v>11</v>
      </c>
    </row>
    <row r="1593" spans="1:8" x14ac:dyDescent="0.3">
      <c r="A1593" t="s">
        <v>35</v>
      </c>
      <c r="B1593" t="s">
        <v>94</v>
      </c>
      <c r="C1593" t="s">
        <v>2345</v>
      </c>
      <c r="D1593">
        <v>2</v>
      </c>
      <c r="E1593" s="358">
        <v>4</v>
      </c>
      <c r="F1593" s="358" t="s">
        <v>7</v>
      </c>
      <c r="G1593" s="358" t="s">
        <v>11</v>
      </c>
      <c r="H1593" s="358" t="s">
        <v>11</v>
      </c>
    </row>
    <row r="1594" spans="1:8" x14ac:dyDescent="0.3">
      <c r="A1594" t="s">
        <v>35</v>
      </c>
      <c r="B1594" t="s">
        <v>94</v>
      </c>
      <c r="C1594" t="s">
        <v>2106</v>
      </c>
      <c r="D1594">
        <v>2</v>
      </c>
      <c r="E1594" s="358">
        <v>4</v>
      </c>
      <c r="F1594" s="358" t="s">
        <v>7</v>
      </c>
      <c r="G1594" s="358" t="s">
        <v>11</v>
      </c>
      <c r="H1594" s="358" t="s">
        <v>11</v>
      </c>
    </row>
    <row r="1595" spans="1:8" x14ac:dyDescent="0.3">
      <c r="A1595" t="s">
        <v>35</v>
      </c>
      <c r="B1595" t="s">
        <v>94</v>
      </c>
      <c r="C1595" t="s">
        <v>1757</v>
      </c>
      <c r="D1595">
        <v>2</v>
      </c>
      <c r="E1595" s="358">
        <v>4</v>
      </c>
      <c r="F1595" s="358" t="s">
        <v>7</v>
      </c>
      <c r="G1595" s="358" t="s">
        <v>11</v>
      </c>
      <c r="H1595" s="358" t="s">
        <v>11</v>
      </c>
    </row>
    <row r="1596" spans="1:8" x14ac:dyDescent="0.3">
      <c r="A1596" t="s">
        <v>35</v>
      </c>
      <c r="B1596" t="s">
        <v>94</v>
      </c>
      <c r="C1596" t="s">
        <v>1379</v>
      </c>
      <c r="D1596">
        <v>2</v>
      </c>
      <c r="E1596" s="358">
        <v>4</v>
      </c>
      <c r="F1596" s="358" t="s">
        <v>7</v>
      </c>
      <c r="G1596" s="358" t="s">
        <v>11</v>
      </c>
      <c r="H1596" s="358" t="s">
        <v>11</v>
      </c>
    </row>
    <row r="1597" spans="1:8" x14ac:dyDescent="0.3">
      <c r="A1597" t="s">
        <v>35</v>
      </c>
      <c r="B1597" t="s">
        <v>94</v>
      </c>
      <c r="C1597" t="s">
        <v>1758</v>
      </c>
      <c r="D1597">
        <v>2</v>
      </c>
      <c r="E1597" s="358">
        <v>4</v>
      </c>
      <c r="F1597" s="358" t="s">
        <v>7</v>
      </c>
      <c r="G1597" s="358" t="s">
        <v>11</v>
      </c>
      <c r="H1597" s="358" t="s">
        <v>11</v>
      </c>
    </row>
    <row r="1598" spans="1:8" x14ac:dyDescent="0.3">
      <c r="A1598" t="s">
        <v>35</v>
      </c>
      <c r="B1598" t="s">
        <v>94</v>
      </c>
      <c r="C1598" t="s">
        <v>1759</v>
      </c>
      <c r="D1598">
        <v>2</v>
      </c>
      <c r="E1598" s="358">
        <v>4</v>
      </c>
      <c r="F1598" s="358" t="s">
        <v>7</v>
      </c>
      <c r="G1598" s="358" t="s">
        <v>11</v>
      </c>
      <c r="H1598" s="358" t="s">
        <v>11</v>
      </c>
    </row>
    <row r="1599" spans="1:8" x14ac:dyDescent="0.3">
      <c r="A1599" t="s">
        <v>35</v>
      </c>
      <c r="B1599" t="s">
        <v>94</v>
      </c>
      <c r="C1599" t="s">
        <v>1764</v>
      </c>
      <c r="D1599">
        <v>2</v>
      </c>
      <c r="E1599" s="358">
        <v>5</v>
      </c>
      <c r="F1599" s="358" t="s">
        <v>7</v>
      </c>
      <c r="G1599" s="358" t="s">
        <v>11</v>
      </c>
      <c r="H1599" s="358" t="s">
        <v>11</v>
      </c>
    </row>
    <row r="1600" spans="1:8" x14ac:dyDescent="0.3">
      <c r="A1600" t="s">
        <v>35</v>
      </c>
      <c r="B1600" t="s">
        <v>94</v>
      </c>
      <c r="C1600" t="s">
        <v>1942</v>
      </c>
      <c r="D1600">
        <v>2</v>
      </c>
      <c r="E1600" s="358">
        <v>4</v>
      </c>
      <c r="F1600" s="358" t="s">
        <v>7</v>
      </c>
      <c r="G1600" s="358" t="s">
        <v>11</v>
      </c>
      <c r="H1600" s="358" t="s">
        <v>11</v>
      </c>
    </row>
    <row r="1601" spans="1:8" x14ac:dyDescent="0.3">
      <c r="A1601" t="s">
        <v>37</v>
      </c>
      <c r="B1601" t="s">
        <v>78</v>
      </c>
      <c r="C1601" t="s">
        <v>2346</v>
      </c>
      <c r="D1601">
        <v>1</v>
      </c>
      <c r="E1601" s="358">
        <v>6</v>
      </c>
      <c r="F1601" s="358" t="s">
        <v>75</v>
      </c>
      <c r="G1601" s="358" t="s">
        <v>11</v>
      </c>
      <c r="H1601" s="358" t="s">
        <v>11</v>
      </c>
    </row>
    <row r="1602" spans="1:8" x14ac:dyDescent="0.3">
      <c r="A1602" t="s">
        <v>37</v>
      </c>
      <c r="B1602" t="s">
        <v>78</v>
      </c>
      <c r="C1602" t="s">
        <v>2347</v>
      </c>
      <c r="D1602">
        <v>1</v>
      </c>
      <c r="E1602" s="358">
        <v>6</v>
      </c>
      <c r="F1602" s="358" t="s">
        <v>75</v>
      </c>
      <c r="G1602" s="358" t="s">
        <v>11</v>
      </c>
      <c r="H1602" s="358" t="s">
        <v>11</v>
      </c>
    </row>
    <row r="1603" spans="1:8" x14ac:dyDescent="0.3">
      <c r="A1603" t="s">
        <v>37</v>
      </c>
      <c r="B1603" t="s">
        <v>78</v>
      </c>
      <c r="C1603" t="s">
        <v>1775</v>
      </c>
      <c r="D1603">
        <v>1</v>
      </c>
      <c r="E1603" s="358">
        <v>6</v>
      </c>
      <c r="F1603" s="358" t="s">
        <v>75</v>
      </c>
      <c r="G1603" s="358" t="s">
        <v>11</v>
      </c>
      <c r="H1603" s="358" t="s">
        <v>11</v>
      </c>
    </row>
    <row r="1604" spans="1:8" x14ac:dyDescent="0.3">
      <c r="A1604" t="s">
        <v>37</v>
      </c>
      <c r="B1604" t="s">
        <v>78</v>
      </c>
      <c r="C1604" t="s">
        <v>2348</v>
      </c>
      <c r="D1604">
        <v>1</v>
      </c>
      <c r="E1604" s="358">
        <v>6</v>
      </c>
      <c r="F1604" s="358" t="s">
        <v>75</v>
      </c>
      <c r="G1604" s="358" t="s">
        <v>11</v>
      </c>
      <c r="H1604" s="358" t="s">
        <v>11</v>
      </c>
    </row>
    <row r="1605" spans="1:8" x14ac:dyDescent="0.3">
      <c r="A1605" t="s">
        <v>37</v>
      </c>
      <c r="B1605" t="s">
        <v>78</v>
      </c>
      <c r="C1605" t="s">
        <v>2349</v>
      </c>
      <c r="D1605">
        <v>1</v>
      </c>
      <c r="E1605" s="358">
        <v>6</v>
      </c>
      <c r="F1605" s="358" t="s">
        <v>75</v>
      </c>
      <c r="G1605" s="358" t="s">
        <v>11</v>
      </c>
      <c r="H1605" s="358" t="s">
        <v>11</v>
      </c>
    </row>
    <row r="1606" spans="1:8" x14ac:dyDescent="0.3">
      <c r="A1606" t="s">
        <v>37</v>
      </c>
      <c r="B1606" t="s">
        <v>78</v>
      </c>
      <c r="C1606" t="s">
        <v>2024</v>
      </c>
      <c r="D1606">
        <v>1</v>
      </c>
      <c r="E1606" s="358">
        <v>6</v>
      </c>
      <c r="F1606" s="358" t="s">
        <v>75</v>
      </c>
      <c r="G1606" s="358" t="s">
        <v>11</v>
      </c>
      <c r="H1606" s="358" t="s">
        <v>11</v>
      </c>
    </row>
    <row r="1607" spans="1:8" x14ac:dyDescent="0.3">
      <c r="A1607" t="s">
        <v>37</v>
      </c>
      <c r="B1607" t="s">
        <v>78</v>
      </c>
      <c r="C1607" t="s">
        <v>2350</v>
      </c>
      <c r="D1607">
        <v>1</v>
      </c>
      <c r="E1607" s="358">
        <v>6</v>
      </c>
      <c r="F1607" s="358" t="s">
        <v>75</v>
      </c>
      <c r="G1607" s="358" t="s">
        <v>11</v>
      </c>
      <c r="H1607" s="358" t="s">
        <v>11</v>
      </c>
    </row>
    <row r="1608" spans="1:8" x14ac:dyDescent="0.3">
      <c r="A1608" t="s">
        <v>37</v>
      </c>
      <c r="B1608" t="s">
        <v>78</v>
      </c>
      <c r="C1608" t="s">
        <v>2351</v>
      </c>
      <c r="D1608">
        <v>1</v>
      </c>
      <c r="E1608" s="358">
        <v>6</v>
      </c>
      <c r="F1608" s="358" t="s">
        <v>75</v>
      </c>
      <c r="G1608" s="358" t="s">
        <v>11</v>
      </c>
      <c r="H1608" s="358" t="s">
        <v>11</v>
      </c>
    </row>
    <row r="1609" spans="1:8" x14ac:dyDescent="0.3">
      <c r="A1609" t="s">
        <v>37</v>
      </c>
      <c r="B1609" t="s">
        <v>78</v>
      </c>
      <c r="C1609" t="s">
        <v>1554</v>
      </c>
      <c r="D1609">
        <v>1</v>
      </c>
      <c r="E1609" s="358">
        <v>6</v>
      </c>
      <c r="F1609" s="358" t="s">
        <v>75</v>
      </c>
      <c r="G1609" s="358" t="s">
        <v>11</v>
      </c>
      <c r="H1609" s="358" t="s">
        <v>11</v>
      </c>
    </row>
    <row r="1610" spans="1:8" x14ac:dyDescent="0.3">
      <c r="A1610" t="s">
        <v>37</v>
      </c>
      <c r="B1610" t="s">
        <v>78</v>
      </c>
      <c r="C1610" t="s">
        <v>2352</v>
      </c>
      <c r="D1610">
        <v>1</v>
      </c>
      <c r="E1610" s="358">
        <v>6</v>
      </c>
      <c r="F1610" s="358" t="s">
        <v>75</v>
      </c>
      <c r="G1610" s="358" t="s">
        <v>11</v>
      </c>
      <c r="H1610" s="358" t="s">
        <v>11</v>
      </c>
    </row>
    <row r="1611" spans="1:8" x14ac:dyDescent="0.3">
      <c r="A1611" t="s">
        <v>37</v>
      </c>
      <c r="B1611" t="s">
        <v>78</v>
      </c>
      <c r="C1611" t="s">
        <v>1686</v>
      </c>
      <c r="D1611">
        <v>1</v>
      </c>
      <c r="E1611" s="358">
        <v>6</v>
      </c>
      <c r="F1611" s="358" t="s">
        <v>75</v>
      </c>
      <c r="G1611" s="358" t="s">
        <v>11</v>
      </c>
      <c r="H1611" s="358" t="s">
        <v>11</v>
      </c>
    </row>
    <row r="1612" spans="1:8" x14ac:dyDescent="0.3">
      <c r="A1612" t="s">
        <v>37</v>
      </c>
      <c r="B1612" t="s">
        <v>78</v>
      </c>
      <c r="C1612" t="s">
        <v>2353</v>
      </c>
      <c r="D1612">
        <v>1</v>
      </c>
      <c r="E1612" s="358">
        <v>6</v>
      </c>
      <c r="F1612" s="358" t="s">
        <v>75</v>
      </c>
      <c r="G1612" s="358" t="s">
        <v>11</v>
      </c>
      <c r="H1612" s="358" t="s">
        <v>11</v>
      </c>
    </row>
    <row r="1613" spans="1:8" x14ac:dyDescent="0.3">
      <c r="A1613" t="s">
        <v>37</v>
      </c>
      <c r="B1613" t="s">
        <v>78</v>
      </c>
      <c r="C1613" t="s">
        <v>2354</v>
      </c>
      <c r="D1613">
        <v>1</v>
      </c>
      <c r="E1613" s="358">
        <v>6</v>
      </c>
      <c r="F1613" s="358" t="s">
        <v>75</v>
      </c>
      <c r="G1613" s="358" t="s">
        <v>11</v>
      </c>
      <c r="H1613" s="358" t="s">
        <v>11</v>
      </c>
    </row>
    <row r="1614" spans="1:8" x14ac:dyDescent="0.3">
      <c r="A1614" t="s">
        <v>37</v>
      </c>
      <c r="B1614" t="s">
        <v>78</v>
      </c>
      <c r="C1614" t="s">
        <v>2355</v>
      </c>
      <c r="D1614">
        <v>1</v>
      </c>
      <c r="E1614" s="358">
        <v>6</v>
      </c>
      <c r="F1614" s="358" t="s">
        <v>75</v>
      </c>
      <c r="G1614" s="358" t="s">
        <v>11</v>
      </c>
      <c r="H1614" s="358" t="s">
        <v>11</v>
      </c>
    </row>
    <row r="1615" spans="1:8" x14ac:dyDescent="0.3">
      <c r="A1615" t="s">
        <v>37</v>
      </c>
      <c r="B1615" t="s">
        <v>78</v>
      </c>
      <c r="C1615" t="s">
        <v>2356</v>
      </c>
      <c r="D1615">
        <v>1</v>
      </c>
      <c r="E1615" s="358">
        <v>6</v>
      </c>
      <c r="F1615" s="358" t="s">
        <v>75</v>
      </c>
      <c r="G1615" s="358" t="s">
        <v>11</v>
      </c>
      <c r="H1615" s="358" t="s">
        <v>11</v>
      </c>
    </row>
    <row r="1616" spans="1:8" x14ac:dyDescent="0.3">
      <c r="A1616" t="s">
        <v>37</v>
      </c>
      <c r="B1616" t="s">
        <v>78</v>
      </c>
      <c r="C1616" t="s">
        <v>1818</v>
      </c>
      <c r="D1616">
        <v>1</v>
      </c>
      <c r="E1616" s="358">
        <v>6</v>
      </c>
      <c r="F1616" s="358" t="s">
        <v>75</v>
      </c>
      <c r="G1616" s="358" t="s">
        <v>11</v>
      </c>
      <c r="H1616" s="358" t="s">
        <v>11</v>
      </c>
    </row>
    <row r="1617" spans="1:8" x14ac:dyDescent="0.3">
      <c r="A1617" t="s">
        <v>37</v>
      </c>
      <c r="B1617" t="s">
        <v>78</v>
      </c>
      <c r="C1617" t="s">
        <v>1563</v>
      </c>
      <c r="D1617">
        <v>1</v>
      </c>
      <c r="E1617" s="358">
        <v>6</v>
      </c>
      <c r="F1617" s="358" t="s">
        <v>75</v>
      </c>
      <c r="G1617" s="358" t="s">
        <v>11</v>
      </c>
      <c r="H1617" s="358" t="s">
        <v>11</v>
      </c>
    </row>
    <row r="1618" spans="1:8" x14ac:dyDescent="0.3">
      <c r="A1618" t="s">
        <v>37</v>
      </c>
      <c r="B1618" t="s">
        <v>78</v>
      </c>
      <c r="C1618" t="s">
        <v>2357</v>
      </c>
      <c r="D1618">
        <v>1</v>
      </c>
      <c r="E1618" s="358">
        <v>6</v>
      </c>
      <c r="F1618" s="358" t="s">
        <v>75</v>
      </c>
      <c r="G1618" s="358" t="s">
        <v>11</v>
      </c>
      <c r="H1618" s="358" t="s">
        <v>11</v>
      </c>
    </row>
    <row r="1619" spans="1:8" x14ac:dyDescent="0.3">
      <c r="A1619" t="s">
        <v>37</v>
      </c>
      <c r="B1619" t="s">
        <v>78</v>
      </c>
      <c r="C1619" t="s">
        <v>2358</v>
      </c>
      <c r="D1619">
        <v>2</v>
      </c>
      <c r="E1619" s="358">
        <v>6</v>
      </c>
      <c r="F1619" s="358" t="s">
        <v>75</v>
      </c>
      <c r="G1619" s="358" t="s">
        <v>11</v>
      </c>
      <c r="H1619" s="358" t="s">
        <v>11</v>
      </c>
    </row>
    <row r="1620" spans="1:8" x14ac:dyDescent="0.3">
      <c r="A1620" t="s">
        <v>37</v>
      </c>
      <c r="B1620" t="s">
        <v>78</v>
      </c>
      <c r="C1620" t="s">
        <v>2359</v>
      </c>
      <c r="D1620">
        <v>1</v>
      </c>
      <c r="E1620" s="358">
        <v>6</v>
      </c>
      <c r="F1620" s="358" t="s">
        <v>75</v>
      </c>
      <c r="G1620" s="358" t="s">
        <v>11</v>
      </c>
      <c r="H1620" s="358" t="s">
        <v>11</v>
      </c>
    </row>
    <row r="1621" spans="1:8" x14ac:dyDescent="0.3">
      <c r="A1621" t="s">
        <v>37</v>
      </c>
      <c r="B1621" t="s">
        <v>78</v>
      </c>
      <c r="C1621" t="s">
        <v>2360</v>
      </c>
      <c r="D1621">
        <v>1</v>
      </c>
      <c r="E1621" s="358">
        <v>6</v>
      </c>
      <c r="F1621" s="358" t="s">
        <v>75</v>
      </c>
      <c r="G1621" s="358" t="s">
        <v>11</v>
      </c>
      <c r="H1621" s="358" t="s">
        <v>11</v>
      </c>
    </row>
    <row r="1622" spans="1:8" x14ac:dyDescent="0.3">
      <c r="A1622" t="s">
        <v>37</v>
      </c>
      <c r="B1622" t="s">
        <v>78</v>
      </c>
      <c r="C1622" t="s">
        <v>1351</v>
      </c>
      <c r="D1622">
        <v>1</v>
      </c>
      <c r="E1622" s="358">
        <v>6</v>
      </c>
      <c r="F1622" s="358" t="s">
        <v>75</v>
      </c>
      <c r="G1622" s="358" t="s">
        <v>11</v>
      </c>
      <c r="H1622" s="358" t="s">
        <v>11</v>
      </c>
    </row>
    <row r="1623" spans="1:8" x14ac:dyDescent="0.3">
      <c r="A1623" t="s">
        <v>37</v>
      </c>
      <c r="B1623" t="s">
        <v>78</v>
      </c>
      <c r="C1623" t="s">
        <v>2361</v>
      </c>
      <c r="D1623">
        <v>1</v>
      </c>
      <c r="E1623" s="358">
        <v>6</v>
      </c>
      <c r="F1623" s="358" t="s">
        <v>75</v>
      </c>
      <c r="G1623" s="358" t="s">
        <v>11</v>
      </c>
      <c r="H1623" s="358" t="s">
        <v>11</v>
      </c>
    </row>
    <row r="1624" spans="1:8" x14ac:dyDescent="0.3">
      <c r="A1624" t="s">
        <v>37</v>
      </c>
      <c r="B1624" t="s">
        <v>78</v>
      </c>
      <c r="C1624" t="s">
        <v>1500</v>
      </c>
      <c r="D1624">
        <v>1</v>
      </c>
      <c r="E1624" s="358">
        <v>6</v>
      </c>
      <c r="F1624" s="358" t="s">
        <v>75</v>
      </c>
      <c r="G1624" s="358" t="s">
        <v>11</v>
      </c>
      <c r="H1624" s="358" t="s">
        <v>11</v>
      </c>
    </row>
    <row r="1625" spans="1:8" x14ac:dyDescent="0.3">
      <c r="A1625" t="s">
        <v>37</v>
      </c>
      <c r="B1625" t="s">
        <v>78</v>
      </c>
      <c r="C1625" t="s">
        <v>2362</v>
      </c>
      <c r="D1625">
        <v>1</v>
      </c>
      <c r="E1625" s="358">
        <v>6</v>
      </c>
      <c r="F1625" s="358" t="s">
        <v>75</v>
      </c>
      <c r="G1625" s="358" t="s">
        <v>11</v>
      </c>
      <c r="H1625" s="358" t="s">
        <v>11</v>
      </c>
    </row>
    <row r="1626" spans="1:8" x14ac:dyDescent="0.3">
      <c r="A1626" t="s">
        <v>37</v>
      </c>
      <c r="B1626" t="s">
        <v>78</v>
      </c>
      <c r="C1626" t="s">
        <v>1634</v>
      </c>
      <c r="D1626">
        <v>1</v>
      </c>
      <c r="E1626" s="358">
        <v>6</v>
      </c>
      <c r="F1626" s="358" t="s">
        <v>75</v>
      </c>
      <c r="G1626" s="358" t="s">
        <v>11</v>
      </c>
      <c r="H1626" s="358" t="s">
        <v>11</v>
      </c>
    </row>
    <row r="1627" spans="1:8" x14ac:dyDescent="0.3">
      <c r="A1627" t="s">
        <v>37</v>
      </c>
      <c r="B1627" t="s">
        <v>78</v>
      </c>
      <c r="C1627" t="s">
        <v>1456</v>
      </c>
      <c r="D1627">
        <v>1</v>
      </c>
      <c r="E1627" s="358">
        <v>6</v>
      </c>
      <c r="F1627" s="358" t="s">
        <v>75</v>
      </c>
      <c r="G1627" s="358" t="s">
        <v>11</v>
      </c>
      <c r="H1627" s="358" t="s">
        <v>11</v>
      </c>
    </row>
    <row r="1628" spans="1:8" x14ac:dyDescent="0.3">
      <c r="A1628" t="s">
        <v>37</v>
      </c>
      <c r="B1628" t="s">
        <v>78</v>
      </c>
      <c r="C1628" t="s">
        <v>1359</v>
      </c>
      <c r="D1628">
        <v>1</v>
      </c>
      <c r="E1628" s="358">
        <v>6</v>
      </c>
      <c r="F1628" s="358" t="s">
        <v>75</v>
      </c>
      <c r="G1628" s="358" t="s">
        <v>11</v>
      </c>
      <c r="H1628" s="358" t="s">
        <v>11</v>
      </c>
    </row>
    <row r="1629" spans="1:8" x14ac:dyDescent="0.3">
      <c r="A1629" t="s">
        <v>37</v>
      </c>
      <c r="B1629" t="s">
        <v>78</v>
      </c>
      <c r="C1629" t="s">
        <v>2363</v>
      </c>
      <c r="D1629">
        <v>1</v>
      </c>
      <c r="E1629" s="358">
        <v>6</v>
      </c>
      <c r="F1629" s="358" t="s">
        <v>75</v>
      </c>
      <c r="G1629" s="358" t="s">
        <v>11</v>
      </c>
      <c r="H1629" s="358" t="s">
        <v>11</v>
      </c>
    </row>
    <row r="1630" spans="1:8" x14ac:dyDescent="0.3">
      <c r="A1630" t="s">
        <v>37</v>
      </c>
      <c r="B1630" t="s">
        <v>78</v>
      </c>
      <c r="C1630" t="s">
        <v>2364</v>
      </c>
      <c r="D1630">
        <v>1</v>
      </c>
      <c r="E1630" s="358">
        <v>6</v>
      </c>
      <c r="F1630" s="358" t="s">
        <v>75</v>
      </c>
      <c r="G1630" s="358" t="s">
        <v>11</v>
      </c>
      <c r="H1630" s="358" t="s">
        <v>11</v>
      </c>
    </row>
    <row r="1631" spans="1:8" x14ac:dyDescent="0.3">
      <c r="A1631" t="s">
        <v>37</v>
      </c>
      <c r="B1631" t="s">
        <v>78</v>
      </c>
      <c r="C1631" t="s">
        <v>1575</v>
      </c>
      <c r="D1631">
        <v>1</v>
      </c>
      <c r="E1631" s="358">
        <v>6</v>
      </c>
      <c r="F1631" s="358" t="s">
        <v>75</v>
      </c>
      <c r="G1631" s="358" t="s">
        <v>11</v>
      </c>
      <c r="H1631" s="358" t="s">
        <v>11</v>
      </c>
    </row>
    <row r="1632" spans="1:8" x14ac:dyDescent="0.3">
      <c r="A1632" t="s">
        <v>37</v>
      </c>
      <c r="B1632" t="s">
        <v>78</v>
      </c>
      <c r="C1632" t="s">
        <v>2365</v>
      </c>
      <c r="D1632">
        <v>1</v>
      </c>
      <c r="E1632" s="358">
        <v>6</v>
      </c>
      <c r="F1632" s="358" t="s">
        <v>75</v>
      </c>
      <c r="G1632" s="358" t="s">
        <v>11</v>
      </c>
      <c r="H1632" s="358" t="s">
        <v>11</v>
      </c>
    </row>
    <row r="1633" spans="1:8" x14ac:dyDescent="0.3">
      <c r="A1633" t="s">
        <v>37</v>
      </c>
      <c r="B1633" t="s">
        <v>78</v>
      </c>
      <c r="C1633" t="s">
        <v>2366</v>
      </c>
      <c r="D1633">
        <v>2</v>
      </c>
      <c r="E1633" s="358">
        <v>6</v>
      </c>
      <c r="F1633" s="358" t="s">
        <v>75</v>
      </c>
      <c r="G1633" s="358" t="s">
        <v>11</v>
      </c>
      <c r="H1633" s="358" t="s">
        <v>11</v>
      </c>
    </row>
    <row r="1634" spans="1:8" x14ac:dyDescent="0.3">
      <c r="A1634" t="s">
        <v>37</v>
      </c>
      <c r="B1634" t="s">
        <v>78</v>
      </c>
      <c r="C1634" t="s">
        <v>1581</v>
      </c>
      <c r="D1634">
        <v>1</v>
      </c>
      <c r="E1634" s="358">
        <v>6</v>
      </c>
      <c r="F1634" s="358" t="s">
        <v>75</v>
      </c>
      <c r="G1634" s="358" t="s">
        <v>11</v>
      </c>
      <c r="H1634" s="358" t="s">
        <v>11</v>
      </c>
    </row>
    <row r="1635" spans="1:8" x14ac:dyDescent="0.3">
      <c r="A1635" t="s">
        <v>37</v>
      </c>
      <c r="B1635" t="s">
        <v>78</v>
      </c>
      <c r="C1635" t="s">
        <v>2367</v>
      </c>
      <c r="D1635">
        <v>2</v>
      </c>
      <c r="E1635" s="358">
        <v>6</v>
      </c>
      <c r="F1635" s="358" t="s">
        <v>75</v>
      </c>
      <c r="G1635" s="358" t="s">
        <v>11</v>
      </c>
      <c r="H1635" s="358" t="s">
        <v>11</v>
      </c>
    </row>
    <row r="1636" spans="1:8" x14ac:dyDescent="0.3">
      <c r="A1636" t="s">
        <v>37</v>
      </c>
      <c r="B1636" t="s">
        <v>78</v>
      </c>
      <c r="C1636" t="s">
        <v>1465</v>
      </c>
      <c r="D1636">
        <v>1</v>
      </c>
      <c r="E1636" s="358">
        <v>6</v>
      </c>
      <c r="F1636" s="358" t="s">
        <v>75</v>
      </c>
      <c r="G1636" s="358" t="s">
        <v>11</v>
      </c>
      <c r="H1636" s="358" t="s">
        <v>11</v>
      </c>
    </row>
    <row r="1637" spans="1:8" x14ac:dyDescent="0.3">
      <c r="A1637" t="s">
        <v>37</v>
      </c>
      <c r="B1637" t="s">
        <v>78</v>
      </c>
      <c r="C1637" t="s">
        <v>2368</v>
      </c>
      <c r="D1637">
        <v>1</v>
      </c>
      <c r="E1637" s="358">
        <v>6</v>
      </c>
      <c r="F1637" s="358" t="s">
        <v>75</v>
      </c>
      <c r="G1637" s="358" t="s">
        <v>11</v>
      </c>
      <c r="H1637" s="358" t="s">
        <v>11</v>
      </c>
    </row>
    <row r="1638" spans="1:8" x14ac:dyDescent="0.3">
      <c r="A1638" t="s">
        <v>37</v>
      </c>
      <c r="B1638" t="s">
        <v>78</v>
      </c>
      <c r="C1638" t="s">
        <v>2369</v>
      </c>
      <c r="D1638">
        <v>1</v>
      </c>
      <c r="E1638" s="358">
        <v>6</v>
      </c>
      <c r="F1638" s="358" t="s">
        <v>75</v>
      </c>
      <c r="G1638" s="358" t="s">
        <v>11</v>
      </c>
      <c r="H1638" s="358" t="s">
        <v>11</v>
      </c>
    </row>
    <row r="1639" spans="1:8" x14ac:dyDescent="0.3">
      <c r="A1639" t="s">
        <v>37</v>
      </c>
      <c r="B1639" t="s">
        <v>78</v>
      </c>
      <c r="C1639" t="s">
        <v>2056</v>
      </c>
      <c r="D1639">
        <v>1</v>
      </c>
      <c r="E1639" s="358">
        <v>6</v>
      </c>
      <c r="F1639" s="358" t="s">
        <v>75</v>
      </c>
      <c r="G1639" s="358" t="s">
        <v>11</v>
      </c>
      <c r="H1639" s="358" t="s">
        <v>11</v>
      </c>
    </row>
    <row r="1640" spans="1:8" x14ac:dyDescent="0.3">
      <c r="A1640" t="s">
        <v>37</v>
      </c>
      <c r="B1640" t="s">
        <v>78</v>
      </c>
      <c r="C1640" t="s">
        <v>1469</v>
      </c>
      <c r="D1640">
        <v>1</v>
      </c>
      <c r="E1640" s="358">
        <v>6</v>
      </c>
      <c r="F1640" s="358" t="s">
        <v>75</v>
      </c>
      <c r="G1640" s="358" t="s">
        <v>11</v>
      </c>
      <c r="H1640" s="358" t="s">
        <v>11</v>
      </c>
    </row>
    <row r="1641" spans="1:8" x14ac:dyDescent="0.3">
      <c r="A1641" t="s">
        <v>37</v>
      </c>
      <c r="B1641" t="s">
        <v>78</v>
      </c>
      <c r="C1641" t="s">
        <v>2370</v>
      </c>
      <c r="D1641">
        <v>1</v>
      </c>
      <c r="E1641" s="358">
        <v>6</v>
      </c>
      <c r="F1641" s="358" t="s">
        <v>75</v>
      </c>
      <c r="G1641" s="358" t="s">
        <v>11</v>
      </c>
      <c r="H1641" s="358" t="s">
        <v>11</v>
      </c>
    </row>
    <row r="1642" spans="1:8" x14ac:dyDescent="0.3">
      <c r="A1642" t="s">
        <v>37</v>
      </c>
      <c r="B1642" t="s">
        <v>78</v>
      </c>
      <c r="C1642" t="s">
        <v>1843</v>
      </c>
      <c r="D1642">
        <v>1</v>
      </c>
      <c r="E1642" s="358">
        <v>6</v>
      </c>
      <c r="F1642" s="358" t="s">
        <v>75</v>
      </c>
      <c r="G1642" s="358" t="s">
        <v>11</v>
      </c>
      <c r="H1642" s="358" t="s">
        <v>11</v>
      </c>
    </row>
    <row r="1643" spans="1:8" x14ac:dyDescent="0.3">
      <c r="A1643" t="s">
        <v>37</v>
      </c>
      <c r="B1643" t="s">
        <v>78</v>
      </c>
      <c r="C1643" t="s">
        <v>2371</v>
      </c>
      <c r="D1643">
        <v>1</v>
      </c>
      <c r="E1643" s="358">
        <v>6</v>
      </c>
      <c r="F1643" s="358" t="s">
        <v>75</v>
      </c>
      <c r="G1643" s="358" t="s">
        <v>11</v>
      </c>
      <c r="H1643" s="358" t="s">
        <v>11</v>
      </c>
    </row>
    <row r="1644" spans="1:8" x14ac:dyDescent="0.3">
      <c r="A1644" t="s">
        <v>37</v>
      </c>
      <c r="B1644" t="s">
        <v>78</v>
      </c>
      <c r="C1644" t="s">
        <v>2372</v>
      </c>
      <c r="D1644">
        <v>1</v>
      </c>
      <c r="E1644" s="358">
        <v>6</v>
      </c>
      <c r="F1644" s="358" t="s">
        <v>75</v>
      </c>
      <c r="G1644" s="358" t="s">
        <v>11</v>
      </c>
      <c r="H1644" s="358" t="s">
        <v>11</v>
      </c>
    </row>
    <row r="1645" spans="1:8" x14ac:dyDescent="0.3">
      <c r="A1645" t="s">
        <v>37</v>
      </c>
      <c r="B1645" t="s">
        <v>78</v>
      </c>
      <c r="C1645" t="s">
        <v>2373</v>
      </c>
      <c r="D1645">
        <v>1</v>
      </c>
      <c r="E1645" s="358">
        <v>6</v>
      </c>
      <c r="F1645" s="358" t="s">
        <v>75</v>
      </c>
      <c r="G1645" s="358" t="s">
        <v>11</v>
      </c>
      <c r="H1645" s="358" t="s">
        <v>11</v>
      </c>
    </row>
    <row r="1646" spans="1:8" x14ac:dyDescent="0.3">
      <c r="A1646" t="s">
        <v>37</v>
      </c>
      <c r="B1646" t="s">
        <v>78</v>
      </c>
      <c r="C1646" t="s">
        <v>1996</v>
      </c>
      <c r="D1646">
        <v>1</v>
      </c>
      <c r="E1646" s="358">
        <v>6</v>
      </c>
      <c r="F1646" s="358" t="s">
        <v>75</v>
      </c>
      <c r="G1646" s="358" t="s">
        <v>11</v>
      </c>
      <c r="H1646" s="358" t="s">
        <v>11</v>
      </c>
    </row>
    <row r="1647" spans="1:8" x14ac:dyDescent="0.3">
      <c r="A1647" t="s">
        <v>37</v>
      </c>
      <c r="B1647" t="s">
        <v>78</v>
      </c>
      <c r="C1647" t="s">
        <v>2374</v>
      </c>
      <c r="D1647">
        <v>1</v>
      </c>
      <c r="E1647" s="358">
        <v>6</v>
      </c>
      <c r="F1647" s="358" t="s">
        <v>75</v>
      </c>
      <c r="G1647" s="358" t="s">
        <v>11</v>
      </c>
      <c r="H1647" s="358" t="s">
        <v>11</v>
      </c>
    </row>
    <row r="1648" spans="1:8" x14ac:dyDescent="0.3">
      <c r="A1648" t="s">
        <v>37</v>
      </c>
      <c r="B1648" t="s">
        <v>78</v>
      </c>
      <c r="C1648" t="s">
        <v>2375</v>
      </c>
      <c r="D1648">
        <v>1</v>
      </c>
      <c r="E1648" s="358">
        <v>6</v>
      </c>
      <c r="F1648" s="358" t="s">
        <v>75</v>
      </c>
      <c r="G1648" s="358" t="s">
        <v>11</v>
      </c>
      <c r="H1648" s="358" t="s">
        <v>11</v>
      </c>
    </row>
    <row r="1649" spans="1:8" x14ac:dyDescent="0.3">
      <c r="A1649" t="s">
        <v>37</v>
      </c>
      <c r="B1649" t="s">
        <v>78</v>
      </c>
      <c r="C1649" t="s">
        <v>2376</v>
      </c>
      <c r="D1649">
        <v>2</v>
      </c>
      <c r="E1649" s="358">
        <v>6</v>
      </c>
      <c r="F1649" s="358" t="s">
        <v>75</v>
      </c>
      <c r="G1649" s="358" t="s">
        <v>11</v>
      </c>
      <c r="H1649" s="358" t="s">
        <v>11</v>
      </c>
    </row>
    <row r="1650" spans="1:8" x14ac:dyDescent="0.3">
      <c r="A1650" t="s">
        <v>37</v>
      </c>
      <c r="B1650" t="s">
        <v>78</v>
      </c>
      <c r="C1650" t="s">
        <v>1800</v>
      </c>
      <c r="D1650">
        <v>1</v>
      </c>
      <c r="E1650" s="358">
        <v>6</v>
      </c>
      <c r="F1650" s="358" t="s">
        <v>75</v>
      </c>
      <c r="G1650" s="358" t="s">
        <v>11</v>
      </c>
      <c r="H1650" s="358" t="s">
        <v>11</v>
      </c>
    </row>
    <row r="1651" spans="1:8" x14ac:dyDescent="0.3">
      <c r="A1651" t="s">
        <v>37</v>
      </c>
      <c r="B1651" t="s">
        <v>78</v>
      </c>
      <c r="C1651" t="s">
        <v>2377</v>
      </c>
      <c r="D1651">
        <v>1</v>
      </c>
      <c r="E1651" s="358">
        <v>6</v>
      </c>
      <c r="F1651" s="358" t="s">
        <v>75</v>
      </c>
      <c r="G1651" s="358" t="s">
        <v>11</v>
      </c>
      <c r="H1651" s="358" t="s">
        <v>11</v>
      </c>
    </row>
    <row r="1652" spans="1:8" x14ac:dyDescent="0.3">
      <c r="A1652" t="s">
        <v>37</v>
      </c>
      <c r="B1652" t="s">
        <v>78</v>
      </c>
      <c r="C1652" t="s">
        <v>2378</v>
      </c>
      <c r="D1652">
        <v>2</v>
      </c>
      <c r="E1652" s="358">
        <v>6</v>
      </c>
      <c r="F1652" s="358" t="s">
        <v>75</v>
      </c>
      <c r="G1652" s="358" t="s">
        <v>11</v>
      </c>
      <c r="H1652" s="358" t="s">
        <v>11</v>
      </c>
    </row>
    <row r="1653" spans="1:8" x14ac:dyDescent="0.3">
      <c r="A1653" t="s">
        <v>37</v>
      </c>
      <c r="B1653" t="s">
        <v>78</v>
      </c>
      <c r="C1653" t="s">
        <v>1802</v>
      </c>
      <c r="D1653">
        <v>1</v>
      </c>
      <c r="E1653" s="358">
        <v>6</v>
      </c>
      <c r="F1653" s="358" t="s">
        <v>75</v>
      </c>
      <c r="G1653" s="358" t="s">
        <v>11</v>
      </c>
      <c r="H1653" s="358" t="s">
        <v>11</v>
      </c>
    </row>
    <row r="1654" spans="1:8" x14ac:dyDescent="0.3">
      <c r="A1654" t="s">
        <v>37</v>
      </c>
      <c r="B1654" t="s">
        <v>78</v>
      </c>
      <c r="C1654" t="s">
        <v>2379</v>
      </c>
      <c r="D1654">
        <v>2</v>
      </c>
      <c r="E1654" s="358">
        <v>6</v>
      </c>
      <c r="F1654" s="358" t="s">
        <v>75</v>
      </c>
      <c r="G1654" s="358" t="s">
        <v>11</v>
      </c>
      <c r="H1654" s="358" t="s">
        <v>11</v>
      </c>
    </row>
    <row r="1655" spans="1:8" x14ac:dyDescent="0.3">
      <c r="A1655" t="s">
        <v>37</v>
      </c>
      <c r="B1655" t="s">
        <v>78</v>
      </c>
      <c r="C1655" t="s">
        <v>2380</v>
      </c>
      <c r="D1655">
        <v>1</v>
      </c>
      <c r="E1655" s="358">
        <v>6</v>
      </c>
      <c r="F1655" s="358" t="s">
        <v>75</v>
      </c>
      <c r="G1655" s="358" t="s">
        <v>11</v>
      </c>
      <c r="H1655" s="358" t="s">
        <v>11</v>
      </c>
    </row>
    <row r="1656" spans="1:8" x14ac:dyDescent="0.3">
      <c r="A1656" t="s">
        <v>37</v>
      </c>
      <c r="B1656" t="s">
        <v>78</v>
      </c>
      <c r="C1656" t="s">
        <v>2381</v>
      </c>
      <c r="D1656">
        <v>2</v>
      </c>
      <c r="E1656" s="358">
        <v>6</v>
      </c>
      <c r="F1656" s="358" t="s">
        <v>75</v>
      </c>
      <c r="G1656" s="358" t="s">
        <v>11</v>
      </c>
      <c r="H1656" s="358" t="s">
        <v>11</v>
      </c>
    </row>
    <row r="1657" spans="1:8" x14ac:dyDescent="0.3">
      <c r="A1657" t="s">
        <v>41</v>
      </c>
      <c r="B1657" t="s">
        <v>95</v>
      </c>
      <c r="C1657" t="s">
        <v>1540</v>
      </c>
      <c r="D1657">
        <v>1</v>
      </c>
      <c r="E1657" s="358">
        <v>5</v>
      </c>
      <c r="F1657" s="358" t="s">
        <v>7</v>
      </c>
      <c r="G1657" s="358" t="s">
        <v>11</v>
      </c>
      <c r="H1657" s="358" t="s">
        <v>11</v>
      </c>
    </row>
    <row r="1658" spans="1:8" x14ac:dyDescent="0.3">
      <c r="A1658" t="s">
        <v>41</v>
      </c>
      <c r="B1658" t="s">
        <v>95</v>
      </c>
      <c r="C1658" t="s">
        <v>2382</v>
      </c>
      <c r="D1658">
        <v>2</v>
      </c>
      <c r="E1658" s="358">
        <v>5</v>
      </c>
      <c r="F1658" s="358" t="s">
        <v>7</v>
      </c>
      <c r="G1658" s="358" t="s">
        <v>11</v>
      </c>
      <c r="H1658" s="358" t="s">
        <v>11</v>
      </c>
    </row>
    <row r="1659" spans="1:8" x14ac:dyDescent="0.3">
      <c r="A1659" t="s">
        <v>41</v>
      </c>
      <c r="B1659" t="s">
        <v>95</v>
      </c>
      <c r="C1659" t="s">
        <v>2383</v>
      </c>
      <c r="D1659">
        <v>3</v>
      </c>
      <c r="E1659" s="358">
        <v>5</v>
      </c>
      <c r="F1659" s="358" t="s">
        <v>7</v>
      </c>
      <c r="G1659" s="358" t="s">
        <v>11</v>
      </c>
      <c r="H1659" s="358" t="s">
        <v>11</v>
      </c>
    </row>
    <row r="1660" spans="1:8" x14ac:dyDescent="0.3">
      <c r="A1660" t="s">
        <v>41</v>
      </c>
      <c r="B1660" t="s">
        <v>95</v>
      </c>
      <c r="C1660" t="s">
        <v>2384</v>
      </c>
      <c r="D1660">
        <v>2</v>
      </c>
      <c r="E1660" s="358">
        <v>5</v>
      </c>
      <c r="F1660" s="358" t="s">
        <v>7</v>
      </c>
      <c r="G1660" s="358" t="s">
        <v>11</v>
      </c>
      <c r="H1660" s="358" t="s">
        <v>11</v>
      </c>
    </row>
    <row r="1661" spans="1:8" x14ac:dyDescent="0.3">
      <c r="A1661" t="s">
        <v>41</v>
      </c>
      <c r="B1661" t="s">
        <v>95</v>
      </c>
      <c r="C1661" t="s">
        <v>1775</v>
      </c>
      <c r="D1661">
        <v>3</v>
      </c>
      <c r="E1661" s="358">
        <v>5</v>
      </c>
      <c r="F1661" s="358" t="s">
        <v>7</v>
      </c>
      <c r="G1661" s="358" t="s">
        <v>11</v>
      </c>
      <c r="H1661" s="358" t="s">
        <v>11</v>
      </c>
    </row>
    <row r="1662" spans="1:8" x14ac:dyDescent="0.3">
      <c r="A1662" t="s">
        <v>41</v>
      </c>
      <c r="B1662" t="s">
        <v>95</v>
      </c>
      <c r="C1662" t="s">
        <v>1431</v>
      </c>
      <c r="D1662">
        <v>1</v>
      </c>
      <c r="E1662" s="358">
        <v>5</v>
      </c>
      <c r="F1662" s="358" t="s">
        <v>7</v>
      </c>
      <c r="G1662" s="358" t="s">
        <v>11</v>
      </c>
      <c r="H1662" s="358" t="s">
        <v>11</v>
      </c>
    </row>
    <row r="1663" spans="1:8" x14ac:dyDescent="0.3">
      <c r="A1663" t="s">
        <v>41</v>
      </c>
      <c r="B1663" t="s">
        <v>95</v>
      </c>
      <c r="C1663" t="s">
        <v>2385</v>
      </c>
      <c r="D1663">
        <v>2</v>
      </c>
      <c r="E1663" s="358">
        <v>5</v>
      </c>
      <c r="F1663" s="358" t="s">
        <v>7</v>
      </c>
      <c r="G1663" s="358" t="s">
        <v>11</v>
      </c>
      <c r="H1663" s="358" t="s">
        <v>11</v>
      </c>
    </row>
    <row r="1664" spans="1:8" x14ac:dyDescent="0.3">
      <c r="A1664" t="s">
        <v>41</v>
      </c>
      <c r="B1664" t="s">
        <v>95</v>
      </c>
      <c r="C1664" t="s">
        <v>2014</v>
      </c>
      <c r="D1664">
        <v>1</v>
      </c>
      <c r="E1664" s="358">
        <v>5</v>
      </c>
      <c r="F1664" s="358" t="s">
        <v>7</v>
      </c>
      <c r="G1664" s="358" t="s">
        <v>11</v>
      </c>
      <c r="H1664" s="358" t="s">
        <v>11</v>
      </c>
    </row>
    <row r="1665" spans="1:8" x14ac:dyDescent="0.3">
      <c r="A1665" t="s">
        <v>41</v>
      </c>
      <c r="B1665" t="s">
        <v>95</v>
      </c>
      <c r="C1665" t="s">
        <v>1805</v>
      </c>
      <c r="D1665">
        <v>3</v>
      </c>
      <c r="E1665" s="358">
        <v>5</v>
      </c>
      <c r="F1665" s="358" t="s">
        <v>7</v>
      </c>
      <c r="G1665" s="358" t="s">
        <v>11</v>
      </c>
      <c r="H1665" s="358" t="s">
        <v>11</v>
      </c>
    </row>
    <row r="1666" spans="1:8" x14ac:dyDescent="0.3">
      <c r="A1666" t="s">
        <v>41</v>
      </c>
      <c r="B1666" t="s">
        <v>95</v>
      </c>
      <c r="C1666" t="s">
        <v>2386</v>
      </c>
      <c r="D1666">
        <v>2</v>
      </c>
      <c r="E1666" s="358">
        <v>5</v>
      </c>
      <c r="F1666" s="358" t="s">
        <v>7</v>
      </c>
      <c r="G1666" s="358" t="s">
        <v>11</v>
      </c>
      <c r="H1666" s="358" t="s">
        <v>11</v>
      </c>
    </row>
    <row r="1667" spans="1:8" x14ac:dyDescent="0.3">
      <c r="A1667" t="s">
        <v>41</v>
      </c>
      <c r="B1667" t="s">
        <v>95</v>
      </c>
      <c r="C1667" t="s">
        <v>2387</v>
      </c>
      <c r="D1667">
        <v>1</v>
      </c>
      <c r="E1667" s="358">
        <v>5</v>
      </c>
      <c r="F1667" s="358" t="s">
        <v>7</v>
      </c>
      <c r="G1667" s="358" t="s">
        <v>11</v>
      </c>
      <c r="H1667" s="358" t="s">
        <v>11</v>
      </c>
    </row>
    <row r="1668" spans="1:8" x14ac:dyDescent="0.3">
      <c r="A1668" t="s">
        <v>41</v>
      </c>
      <c r="B1668" t="s">
        <v>95</v>
      </c>
      <c r="C1668" t="s">
        <v>1321</v>
      </c>
      <c r="D1668">
        <v>1</v>
      </c>
      <c r="E1668" s="358">
        <v>5</v>
      </c>
      <c r="F1668" s="358" t="s">
        <v>7</v>
      </c>
      <c r="G1668" s="358" t="s">
        <v>11</v>
      </c>
      <c r="H1668" s="358" t="s">
        <v>11</v>
      </c>
    </row>
    <row r="1669" spans="1:8" x14ac:dyDescent="0.3">
      <c r="A1669" t="s">
        <v>41</v>
      </c>
      <c r="B1669" t="s">
        <v>95</v>
      </c>
      <c r="C1669" t="s">
        <v>1807</v>
      </c>
      <c r="D1669">
        <v>1</v>
      </c>
      <c r="E1669" s="358">
        <v>5</v>
      </c>
      <c r="F1669" s="358" t="s">
        <v>7</v>
      </c>
      <c r="G1669" s="358" t="s">
        <v>11</v>
      </c>
      <c r="H1669" s="358" t="s">
        <v>11</v>
      </c>
    </row>
    <row r="1670" spans="1:8" x14ac:dyDescent="0.3">
      <c r="A1670" t="s">
        <v>41</v>
      </c>
      <c r="B1670" t="s">
        <v>95</v>
      </c>
      <c r="C1670" t="s">
        <v>1906</v>
      </c>
      <c r="D1670">
        <v>1</v>
      </c>
      <c r="E1670" s="358">
        <v>5</v>
      </c>
      <c r="F1670" s="358" t="s">
        <v>7</v>
      </c>
      <c r="G1670" s="358" t="s">
        <v>11</v>
      </c>
      <c r="H1670" s="358" t="s">
        <v>11</v>
      </c>
    </row>
    <row r="1671" spans="1:8" x14ac:dyDescent="0.3">
      <c r="A1671" t="s">
        <v>41</v>
      </c>
      <c r="B1671" t="s">
        <v>95</v>
      </c>
      <c r="C1671" t="s">
        <v>1948</v>
      </c>
      <c r="D1671">
        <v>2</v>
      </c>
      <c r="E1671" s="358">
        <v>5</v>
      </c>
      <c r="F1671" s="358" t="s">
        <v>7</v>
      </c>
      <c r="G1671" s="358" t="s">
        <v>11</v>
      </c>
      <c r="H1671" s="358" t="s">
        <v>11</v>
      </c>
    </row>
    <row r="1672" spans="1:8" x14ac:dyDescent="0.3">
      <c r="A1672" t="s">
        <v>41</v>
      </c>
      <c r="B1672" t="s">
        <v>95</v>
      </c>
      <c r="C1672" t="s">
        <v>2388</v>
      </c>
      <c r="D1672">
        <v>3</v>
      </c>
      <c r="E1672" s="358">
        <v>5</v>
      </c>
      <c r="F1672" s="358" t="s">
        <v>7</v>
      </c>
      <c r="G1672" s="358" t="s">
        <v>11</v>
      </c>
      <c r="H1672" s="358" t="s">
        <v>11</v>
      </c>
    </row>
    <row r="1673" spans="1:8" x14ac:dyDescent="0.3">
      <c r="A1673" t="s">
        <v>41</v>
      </c>
      <c r="B1673" t="s">
        <v>95</v>
      </c>
      <c r="C1673" t="s">
        <v>1549</v>
      </c>
      <c r="D1673">
        <v>2</v>
      </c>
      <c r="E1673" s="358">
        <v>5</v>
      </c>
      <c r="F1673" s="358" t="s">
        <v>7</v>
      </c>
      <c r="G1673" s="358" t="s">
        <v>11</v>
      </c>
      <c r="H1673" s="358" t="s">
        <v>11</v>
      </c>
    </row>
    <row r="1674" spans="1:8" x14ac:dyDescent="0.3">
      <c r="A1674" t="s">
        <v>41</v>
      </c>
      <c r="B1674" t="s">
        <v>95</v>
      </c>
      <c r="C1674" t="s">
        <v>1328</v>
      </c>
      <c r="D1674">
        <v>1</v>
      </c>
      <c r="E1674" s="358">
        <v>5</v>
      </c>
      <c r="F1674" s="358" t="s">
        <v>7</v>
      </c>
      <c r="G1674" s="358" t="s">
        <v>11</v>
      </c>
      <c r="H1674" s="358" t="s">
        <v>11</v>
      </c>
    </row>
    <row r="1675" spans="1:8" x14ac:dyDescent="0.3">
      <c r="A1675" t="s">
        <v>41</v>
      </c>
      <c r="B1675" t="s">
        <v>95</v>
      </c>
      <c r="C1675" t="s">
        <v>2389</v>
      </c>
      <c r="D1675">
        <v>1</v>
      </c>
      <c r="E1675" s="358">
        <v>5</v>
      </c>
      <c r="F1675" s="358" t="s">
        <v>7</v>
      </c>
      <c r="G1675" s="358" t="s">
        <v>11</v>
      </c>
      <c r="H1675" s="358" t="s">
        <v>11</v>
      </c>
    </row>
    <row r="1676" spans="1:8" x14ac:dyDescent="0.3">
      <c r="A1676" t="s">
        <v>41</v>
      </c>
      <c r="B1676" t="s">
        <v>95</v>
      </c>
      <c r="C1676" t="s">
        <v>2390</v>
      </c>
      <c r="D1676">
        <v>1</v>
      </c>
      <c r="E1676" s="358">
        <v>5</v>
      </c>
      <c r="F1676" s="358" t="s">
        <v>7</v>
      </c>
      <c r="G1676" s="358" t="s">
        <v>11</v>
      </c>
      <c r="H1676" s="358" t="s">
        <v>11</v>
      </c>
    </row>
    <row r="1677" spans="1:8" x14ac:dyDescent="0.3">
      <c r="A1677" t="s">
        <v>41</v>
      </c>
      <c r="B1677" t="s">
        <v>95</v>
      </c>
      <c r="C1677" t="s">
        <v>1554</v>
      </c>
      <c r="D1677">
        <v>2</v>
      </c>
      <c r="E1677" s="358">
        <v>5</v>
      </c>
      <c r="F1677" s="358" t="s">
        <v>7</v>
      </c>
      <c r="G1677" s="358" t="s">
        <v>11</v>
      </c>
      <c r="H1677" s="358" t="s">
        <v>11</v>
      </c>
    </row>
    <row r="1678" spans="1:8" x14ac:dyDescent="0.3">
      <c r="A1678" t="s">
        <v>41</v>
      </c>
      <c r="B1678" t="s">
        <v>95</v>
      </c>
      <c r="C1678" t="s">
        <v>2222</v>
      </c>
      <c r="D1678">
        <v>1</v>
      </c>
      <c r="E1678" s="358">
        <v>5</v>
      </c>
      <c r="F1678" s="358" t="s">
        <v>7</v>
      </c>
      <c r="G1678" s="358" t="s">
        <v>11</v>
      </c>
      <c r="H1678" s="358" t="s">
        <v>11</v>
      </c>
    </row>
    <row r="1679" spans="1:8" x14ac:dyDescent="0.3">
      <c r="A1679" t="s">
        <v>41</v>
      </c>
      <c r="B1679" t="s">
        <v>95</v>
      </c>
      <c r="C1679" t="s">
        <v>2391</v>
      </c>
      <c r="D1679">
        <v>2</v>
      </c>
      <c r="E1679" s="358">
        <v>5</v>
      </c>
      <c r="F1679" s="358" t="s">
        <v>7</v>
      </c>
      <c r="G1679" s="358" t="s">
        <v>11</v>
      </c>
      <c r="H1679" s="358" t="s">
        <v>11</v>
      </c>
    </row>
    <row r="1680" spans="1:8" x14ac:dyDescent="0.3">
      <c r="A1680" t="s">
        <v>41</v>
      </c>
      <c r="B1680" t="s">
        <v>95</v>
      </c>
      <c r="C1680" t="s">
        <v>1686</v>
      </c>
      <c r="D1680">
        <v>2</v>
      </c>
      <c r="E1680" s="358">
        <v>5</v>
      </c>
      <c r="F1680" s="358" t="s">
        <v>7</v>
      </c>
      <c r="G1680" s="358" t="s">
        <v>11</v>
      </c>
      <c r="H1680" s="358" t="s">
        <v>11</v>
      </c>
    </row>
    <row r="1681" spans="1:8" x14ac:dyDescent="0.3">
      <c r="A1681" t="s">
        <v>41</v>
      </c>
      <c r="B1681" t="s">
        <v>95</v>
      </c>
      <c r="C1681" t="s">
        <v>2392</v>
      </c>
      <c r="D1681">
        <v>2</v>
      </c>
      <c r="E1681" s="358">
        <v>5</v>
      </c>
      <c r="F1681" s="358" t="s">
        <v>7</v>
      </c>
      <c r="G1681" s="358" t="s">
        <v>11</v>
      </c>
      <c r="H1681" s="358" t="s">
        <v>11</v>
      </c>
    </row>
    <row r="1682" spans="1:8" x14ac:dyDescent="0.3">
      <c r="A1682" t="s">
        <v>41</v>
      </c>
      <c r="B1682" t="s">
        <v>95</v>
      </c>
      <c r="C1682" t="s">
        <v>2393</v>
      </c>
      <c r="D1682">
        <v>1</v>
      </c>
      <c r="E1682" s="358">
        <v>5</v>
      </c>
      <c r="F1682" s="358" t="s">
        <v>7</v>
      </c>
      <c r="G1682" s="358" t="s">
        <v>11</v>
      </c>
      <c r="H1682" s="358" t="s">
        <v>11</v>
      </c>
    </row>
    <row r="1683" spans="1:8" x14ac:dyDescent="0.3">
      <c r="A1683" t="s">
        <v>41</v>
      </c>
      <c r="B1683" t="s">
        <v>95</v>
      </c>
      <c r="C1683" t="s">
        <v>1689</v>
      </c>
      <c r="D1683">
        <v>1</v>
      </c>
      <c r="E1683" s="358">
        <v>5</v>
      </c>
      <c r="F1683" s="358" t="s">
        <v>7</v>
      </c>
      <c r="G1683" s="358" t="s">
        <v>11</v>
      </c>
      <c r="H1683" s="358" t="s">
        <v>11</v>
      </c>
    </row>
    <row r="1684" spans="1:8" x14ac:dyDescent="0.3">
      <c r="A1684" t="s">
        <v>41</v>
      </c>
      <c r="B1684" t="s">
        <v>95</v>
      </c>
      <c r="C1684" t="s">
        <v>1558</v>
      </c>
      <c r="D1684">
        <v>1</v>
      </c>
      <c r="E1684" s="358">
        <v>5</v>
      </c>
      <c r="F1684" s="358" t="s">
        <v>7</v>
      </c>
      <c r="G1684" s="358" t="s">
        <v>11</v>
      </c>
      <c r="H1684" s="358" t="s">
        <v>11</v>
      </c>
    </row>
    <row r="1685" spans="1:8" x14ac:dyDescent="0.3">
      <c r="A1685" t="s">
        <v>41</v>
      </c>
      <c r="B1685" t="s">
        <v>95</v>
      </c>
      <c r="C1685" t="s">
        <v>2394</v>
      </c>
      <c r="D1685">
        <v>2</v>
      </c>
      <c r="E1685" s="358">
        <v>5</v>
      </c>
      <c r="F1685" s="358" t="s">
        <v>7</v>
      </c>
      <c r="G1685" s="358" t="s">
        <v>11</v>
      </c>
      <c r="H1685" s="358" t="s">
        <v>11</v>
      </c>
    </row>
    <row r="1686" spans="1:8" x14ac:dyDescent="0.3">
      <c r="A1686" t="s">
        <v>41</v>
      </c>
      <c r="B1686" t="s">
        <v>95</v>
      </c>
      <c r="C1686" t="s">
        <v>2224</v>
      </c>
      <c r="D1686">
        <v>1</v>
      </c>
      <c r="E1686" s="358">
        <v>5</v>
      </c>
      <c r="F1686" s="358" t="s">
        <v>7</v>
      </c>
      <c r="G1686" s="358" t="s">
        <v>11</v>
      </c>
      <c r="H1686" s="358" t="s">
        <v>11</v>
      </c>
    </row>
    <row r="1687" spans="1:8" x14ac:dyDescent="0.3">
      <c r="A1687" t="s">
        <v>41</v>
      </c>
      <c r="B1687" t="s">
        <v>95</v>
      </c>
      <c r="C1687" t="s">
        <v>1344</v>
      </c>
      <c r="D1687">
        <v>1</v>
      </c>
      <c r="E1687" s="358">
        <v>5</v>
      </c>
      <c r="F1687" s="358" t="s">
        <v>7</v>
      </c>
      <c r="G1687" s="358" t="s">
        <v>11</v>
      </c>
      <c r="H1687" s="358" t="s">
        <v>11</v>
      </c>
    </row>
    <row r="1688" spans="1:8" x14ac:dyDescent="0.3">
      <c r="A1688" t="s">
        <v>41</v>
      </c>
      <c r="B1688" t="s">
        <v>95</v>
      </c>
      <c r="C1688" t="s">
        <v>2395</v>
      </c>
      <c r="D1688">
        <v>1</v>
      </c>
      <c r="E1688" s="358">
        <v>5</v>
      </c>
      <c r="F1688" s="358" t="s">
        <v>7</v>
      </c>
      <c r="G1688" s="358" t="s">
        <v>11</v>
      </c>
      <c r="H1688" s="358" t="s">
        <v>11</v>
      </c>
    </row>
    <row r="1689" spans="1:8" x14ac:dyDescent="0.3">
      <c r="A1689" t="s">
        <v>41</v>
      </c>
      <c r="B1689" t="s">
        <v>95</v>
      </c>
      <c r="C1689" t="s">
        <v>2396</v>
      </c>
      <c r="D1689">
        <v>1</v>
      </c>
      <c r="E1689" s="358">
        <v>5</v>
      </c>
      <c r="F1689" s="358" t="s">
        <v>7</v>
      </c>
      <c r="G1689" s="358" t="s">
        <v>11</v>
      </c>
      <c r="H1689" s="358" t="s">
        <v>11</v>
      </c>
    </row>
    <row r="1690" spans="1:8" x14ac:dyDescent="0.3">
      <c r="A1690" t="s">
        <v>41</v>
      </c>
      <c r="B1690" t="s">
        <v>95</v>
      </c>
      <c r="C1690" t="s">
        <v>2397</v>
      </c>
      <c r="D1690">
        <v>1</v>
      </c>
      <c r="E1690" s="358">
        <v>5</v>
      </c>
      <c r="F1690" s="358" t="s">
        <v>7</v>
      </c>
      <c r="G1690" s="358" t="s">
        <v>11</v>
      </c>
      <c r="H1690" s="358" t="s">
        <v>11</v>
      </c>
    </row>
    <row r="1691" spans="1:8" x14ac:dyDescent="0.3">
      <c r="A1691" t="s">
        <v>41</v>
      </c>
      <c r="B1691" t="s">
        <v>95</v>
      </c>
      <c r="C1691" t="s">
        <v>2398</v>
      </c>
      <c r="D1691">
        <v>3</v>
      </c>
      <c r="E1691" s="358">
        <v>5</v>
      </c>
      <c r="F1691" s="358" t="s">
        <v>7</v>
      </c>
      <c r="G1691" s="358" t="s">
        <v>11</v>
      </c>
      <c r="H1691" s="358" t="s">
        <v>11</v>
      </c>
    </row>
    <row r="1692" spans="1:8" x14ac:dyDescent="0.3">
      <c r="A1692" t="s">
        <v>41</v>
      </c>
      <c r="B1692" t="s">
        <v>95</v>
      </c>
      <c r="C1692" t="s">
        <v>1563</v>
      </c>
      <c r="D1692">
        <v>3</v>
      </c>
      <c r="E1692" s="358">
        <v>5</v>
      </c>
      <c r="F1692" s="358" t="s">
        <v>7</v>
      </c>
      <c r="G1692" s="358" t="s">
        <v>11</v>
      </c>
      <c r="H1692" s="358" t="s">
        <v>11</v>
      </c>
    </row>
    <row r="1693" spans="1:8" x14ac:dyDescent="0.3">
      <c r="A1693" t="s">
        <v>41</v>
      </c>
      <c r="B1693" t="s">
        <v>95</v>
      </c>
      <c r="C1693" t="s">
        <v>2399</v>
      </c>
      <c r="D1693">
        <v>1</v>
      </c>
      <c r="E1693" s="358">
        <v>5</v>
      </c>
      <c r="F1693" s="358" t="s">
        <v>7</v>
      </c>
      <c r="G1693" s="358" t="s">
        <v>11</v>
      </c>
      <c r="H1693" s="358" t="s">
        <v>11</v>
      </c>
    </row>
    <row r="1694" spans="1:8" x14ac:dyDescent="0.3">
      <c r="A1694" t="s">
        <v>41</v>
      </c>
      <c r="B1694" t="s">
        <v>95</v>
      </c>
      <c r="C1694" t="s">
        <v>1448</v>
      </c>
      <c r="D1694">
        <v>3</v>
      </c>
      <c r="E1694" s="358">
        <v>5</v>
      </c>
      <c r="F1694" s="358" t="s">
        <v>7</v>
      </c>
      <c r="G1694" s="358" t="s">
        <v>11</v>
      </c>
      <c r="H1694" s="358" t="s">
        <v>11</v>
      </c>
    </row>
    <row r="1695" spans="1:8" x14ac:dyDescent="0.3">
      <c r="A1695" t="s">
        <v>41</v>
      </c>
      <c r="B1695" t="s">
        <v>95</v>
      </c>
      <c r="C1695" t="s">
        <v>1962</v>
      </c>
      <c r="D1695">
        <v>1</v>
      </c>
      <c r="E1695" s="358">
        <v>5</v>
      </c>
      <c r="F1695" s="358" t="s">
        <v>7</v>
      </c>
      <c r="G1695" s="358" t="s">
        <v>11</v>
      </c>
      <c r="H1695" s="358" t="s">
        <v>11</v>
      </c>
    </row>
    <row r="1696" spans="1:8" x14ac:dyDescent="0.3">
      <c r="A1696" t="s">
        <v>41</v>
      </c>
      <c r="B1696" t="s">
        <v>95</v>
      </c>
      <c r="C1696" t="s">
        <v>1707</v>
      </c>
      <c r="D1696">
        <v>2</v>
      </c>
      <c r="E1696" s="358">
        <v>5</v>
      </c>
      <c r="F1696" s="358" t="s">
        <v>7</v>
      </c>
      <c r="G1696" s="358" t="s">
        <v>11</v>
      </c>
      <c r="H1696" s="358" t="s">
        <v>11</v>
      </c>
    </row>
    <row r="1697" spans="1:8" x14ac:dyDescent="0.3">
      <c r="A1697" t="s">
        <v>41</v>
      </c>
      <c r="B1697" t="s">
        <v>95</v>
      </c>
      <c r="C1697" t="s">
        <v>1624</v>
      </c>
      <c r="D1697">
        <v>1</v>
      </c>
      <c r="E1697" s="358">
        <v>5</v>
      </c>
      <c r="F1697" s="358" t="s">
        <v>7</v>
      </c>
      <c r="G1697" s="358" t="s">
        <v>11</v>
      </c>
      <c r="H1697" s="358" t="s">
        <v>11</v>
      </c>
    </row>
    <row r="1698" spans="1:8" x14ac:dyDescent="0.3">
      <c r="A1698" t="s">
        <v>41</v>
      </c>
      <c r="B1698" t="s">
        <v>95</v>
      </c>
      <c r="C1698" t="s">
        <v>2035</v>
      </c>
      <c r="D1698">
        <v>1</v>
      </c>
      <c r="E1698" s="358">
        <v>5</v>
      </c>
      <c r="F1698" s="358" t="s">
        <v>7</v>
      </c>
      <c r="G1698" s="358" t="s">
        <v>11</v>
      </c>
      <c r="H1698" s="358" t="s">
        <v>11</v>
      </c>
    </row>
    <row r="1699" spans="1:8" x14ac:dyDescent="0.3">
      <c r="A1699" t="s">
        <v>41</v>
      </c>
      <c r="B1699" t="s">
        <v>95</v>
      </c>
      <c r="C1699" t="s">
        <v>2400</v>
      </c>
      <c r="D1699">
        <v>1</v>
      </c>
      <c r="E1699" s="358">
        <v>5</v>
      </c>
      <c r="F1699" s="358" t="s">
        <v>7</v>
      </c>
      <c r="G1699" s="358" t="s">
        <v>11</v>
      </c>
      <c r="H1699" s="358" t="s">
        <v>11</v>
      </c>
    </row>
    <row r="1700" spans="1:8" x14ac:dyDescent="0.3">
      <c r="A1700" t="s">
        <v>41</v>
      </c>
      <c r="B1700" t="s">
        <v>95</v>
      </c>
      <c r="C1700" t="s">
        <v>2401</v>
      </c>
      <c r="D1700">
        <v>1</v>
      </c>
      <c r="E1700" s="358">
        <v>5</v>
      </c>
      <c r="F1700" s="358" t="s">
        <v>7</v>
      </c>
      <c r="G1700" s="358" t="s">
        <v>11</v>
      </c>
      <c r="H1700" s="358" t="s">
        <v>11</v>
      </c>
    </row>
    <row r="1701" spans="1:8" x14ac:dyDescent="0.3">
      <c r="A1701" t="s">
        <v>41</v>
      </c>
      <c r="B1701" t="s">
        <v>95</v>
      </c>
      <c r="C1701" t="s">
        <v>2321</v>
      </c>
      <c r="D1701">
        <v>3</v>
      </c>
      <c r="E1701" s="358">
        <v>5</v>
      </c>
      <c r="F1701" s="358" t="s">
        <v>7</v>
      </c>
      <c r="G1701" s="358" t="s">
        <v>11</v>
      </c>
      <c r="H1701" s="358" t="s">
        <v>11</v>
      </c>
    </row>
    <row r="1702" spans="1:8" x14ac:dyDescent="0.3">
      <c r="A1702" t="s">
        <v>41</v>
      </c>
      <c r="B1702" t="s">
        <v>95</v>
      </c>
      <c r="C1702" t="s">
        <v>2402</v>
      </c>
      <c r="D1702">
        <v>3</v>
      </c>
      <c r="E1702" s="358">
        <v>5</v>
      </c>
      <c r="F1702" s="358" t="s">
        <v>7</v>
      </c>
      <c r="G1702" s="358" t="s">
        <v>11</v>
      </c>
      <c r="H1702" s="358" t="s">
        <v>11</v>
      </c>
    </row>
    <row r="1703" spans="1:8" x14ac:dyDescent="0.3">
      <c r="A1703" t="s">
        <v>41</v>
      </c>
      <c r="B1703" t="s">
        <v>95</v>
      </c>
      <c r="C1703" t="s">
        <v>1451</v>
      </c>
      <c r="D1703">
        <v>2</v>
      </c>
      <c r="E1703" s="358">
        <v>5</v>
      </c>
      <c r="F1703" s="358" t="s">
        <v>7</v>
      </c>
      <c r="G1703" s="358" t="s">
        <v>11</v>
      </c>
      <c r="H1703" s="358" t="s">
        <v>11</v>
      </c>
    </row>
    <row r="1704" spans="1:8" x14ac:dyDescent="0.3">
      <c r="A1704" t="s">
        <v>41</v>
      </c>
      <c r="B1704" t="s">
        <v>95</v>
      </c>
      <c r="C1704" t="s">
        <v>1351</v>
      </c>
      <c r="D1704">
        <v>1</v>
      </c>
      <c r="E1704" s="358">
        <v>5</v>
      </c>
      <c r="F1704" s="358" t="s">
        <v>7</v>
      </c>
      <c r="G1704" s="358" t="s">
        <v>11</v>
      </c>
      <c r="H1704" s="358" t="s">
        <v>11</v>
      </c>
    </row>
    <row r="1705" spans="1:8" x14ac:dyDescent="0.3">
      <c r="A1705" t="s">
        <v>41</v>
      </c>
      <c r="B1705" t="s">
        <v>95</v>
      </c>
      <c r="C1705" t="s">
        <v>1454</v>
      </c>
      <c r="D1705">
        <v>1</v>
      </c>
      <c r="E1705" s="358">
        <v>5</v>
      </c>
      <c r="F1705" s="358" t="s">
        <v>7</v>
      </c>
      <c r="G1705" s="358" t="s">
        <v>11</v>
      </c>
      <c r="H1705" s="358" t="s">
        <v>11</v>
      </c>
    </row>
    <row r="1706" spans="1:8" x14ac:dyDescent="0.3">
      <c r="A1706" t="s">
        <v>41</v>
      </c>
      <c r="B1706" t="s">
        <v>95</v>
      </c>
      <c r="C1706" t="s">
        <v>2403</v>
      </c>
      <c r="D1706">
        <v>1</v>
      </c>
      <c r="E1706" s="358">
        <v>5</v>
      </c>
      <c r="F1706" s="358" t="s">
        <v>7</v>
      </c>
      <c r="G1706" s="358" t="s">
        <v>11</v>
      </c>
      <c r="H1706" s="358" t="s">
        <v>11</v>
      </c>
    </row>
    <row r="1707" spans="1:8" x14ac:dyDescent="0.3">
      <c r="A1707" t="s">
        <v>41</v>
      </c>
      <c r="B1707" t="s">
        <v>95</v>
      </c>
      <c r="C1707" t="s">
        <v>2404</v>
      </c>
      <c r="D1707">
        <v>2</v>
      </c>
      <c r="E1707" s="358">
        <v>5</v>
      </c>
      <c r="F1707" s="358" t="s">
        <v>7</v>
      </c>
      <c r="G1707" s="358" t="s">
        <v>11</v>
      </c>
      <c r="H1707" s="358" t="s">
        <v>11</v>
      </c>
    </row>
    <row r="1708" spans="1:8" x14ac:dyDescent="0.3">
      <c r="A1708" t="s">
        <v>41</v>
      </c>
      <c r="B1708" t="s">
        <v>95</v>
      </c>
      <c r="C1708" t="s">
        <v>2405</v>
      </c>
      <c r="D1708">
        <v>2</v>
      </c>
      <c r="E1708" s="358">
        <v>5</v>
      </c>
      <c r="F1708" s="358" t="s">
        <v>7</v>
      </c>
      <c r="G1708" s="358" t="s">
        <v>11</v>
      </c>
      <c r="H1708" s="358" t="s">
        <v>11</v>
      </c>
    </row>
    <row r="1709" spans="1:8" x14ac:dyDescent="0.3">
      <c r="A1709" t="s">
        <v>41</v>
      </c>
      <c r="B1709" t="s">
        <v>95</v>
      </c>
      <c r="C1709" t="s">
        <v>2406</v>
      </c>
      <c r="D1709">
        <v>2</v>
      </c>
      <c r="E1709" s="358">
        <v>5</v>
      </c>
      <c r="F1709" s="358" t="s">
        <v>7</v>
      </c>
      <c r="G1709" s="358" t="s">
        <v>11</v>
      </c>
      <c r="H1709" s="358" t="s">
        <v>11</v>
      </c>
    </row>
    <row r="1710" spans="1:8" x14ac:dyDescent="0.3">
      <c r="A1710" t="s">
        <v>41</v>
      </c>
      <c r="B1710" t="s">
        <v>95</v>
      </c>
      <c r="C1710" t="s">
        <v>1828</v>
      </c>
      <c r="D1710">
        <v>1</v>
      </c>
      <c r="E1710" s="358">
        <v>5</v>
      </c>
      <c r="F1710" s="358" t="s">
        <v>7</v>
      </c>
      <c r="G1710" s="358" t="s">
        <v>11</v>
      </c>
      <c r="H1710" s="358" t="s">
        <v>11</v>
      </c>
    </row>
    <row r="1711" spans="1:8" x14ac:dyDescent="0.3">
      <c r="A1711" t="s">
        <v>41</v>
      </c>
      <c r="B1711" t="s">
        <v>95</v>
      </c>
      <c r="C1711" t="s">
        <v>2407</v>
      </c>
      <c r="D1711">
        <v>1</v>
      </c>
      <c r="E1711" s="358">
        <v>5</v>
      </c>
      <c r="F1711" s="358" t="s">
        <v>7</v>
      </c>
      <c r="G1711" s="358" t="s">
        <v>11</v>
      </c>
      <c r="H1711" s="358" t="s">
        <v>11</v>
      </c>
    </row>
    <row r="1712" spans="1:8" x14ac:dyDescent="0.3">
      <c r="A1712" t="s">
        <v>41</v>
      </c>
      <c r="B1712" t="s">
        <v>95</v>
      </c>
      <c r="C1712" t="s">
        <v>1456</v>
      </c>
      <c r="D1712">
        <v>3</v>
      </c>
      <c r="E1712" s="358">
        <v>5</v>
      </c>
      <c r="F1712" s="358" t="s">
        <v>7</v>
      </c>
      <c r="G1712" s="358" t="s">
        <v>11</v>
      </c>
      <c r="H1712" s="358" t="s">
        <v>11</v>
      </c>
    </row>
    <row r="1713" spans="1:8" x14ac:dyDescent="0.3">
      <c r="A1713" t="s">
        <v>41</v>
      </c>
      <c r="B1713" t="s">
        <v>95</v>
      </c>
      <c r="C1713" t="s">
        <v>1458</v>
      </c>
      <c r="D1713">
        <v>3</v>
      </c>
      <c r="E1713" s="358">
        <v>5</v>
      </c>
      <c r="F1713" s="358" t="s">
        <v>7</v>
      </c>
      <c r="G1713" s="358" t="s">
        <v>11</v>
      </c>
      <c r="H1713" s="358" t="s">
        <v>11</v>
      </c>
    </row>
    <row r="1714" spans="1:8" x14ac:dyDescent="0.3">
      <c r="A1714" t="s">
        <v>41</v>
      </c>
      <c r="B1714" t="s">
        <v>95</v>
      </c>
      <c r="C1714" t="s">
        <v>2408</v>
      </c>
      <c r="D1714">
        <v>3</v>
      </c>
      <c r="E1714" s="358">
        <v>5</v>
      </c>
      <c r="F1714" s="358" t="s">
        <v>7</v>
      </c>
      <c r="G1714" s="358" t="s">
        <v>11</v>
      </c>
      <c r="H1714" s="358" t="s">
        <v>11</v>
      </c>
    </row>
    <row r="1715" spans="1:8" x14ac:dyDescent="0.3">
      <c r="A1715" t="s">
        <v>41</v>
      </c>
      <c r="B1715" t="s">
        <v>95</v>
      </c>
      <c r="C1715" t="s">
        <v>1359</v>
      </c>
      <c r="D1715">
        <v>1</v>
      </c>
      <c r="E1715" s="358">
        <v>5</v>
      </c>
      <c r="F1715" s="358" t="s">
        <v>7</v>
      </c>
      <c r="G1715" s="358" t="s">
        <v>11</v>
      </c>
      <c r="H1715" s="358" t="s">
        <v>11</v>
      </c>
    </row>
    <row r="1716" spans="1:8" x14ac:dyDescent="0.3">
      <c r="A1716" t="s">
        <v>41</v>
      </c>
      <c r="B1716" t="s">
        <v>95</v>
      </c>
      <c r="C1716" t="s">
        <v>1974</v>
      </c>
      <c r="D1716">
        <v>3</v>
      </c>
      <c r="E1716" s="358">
        <v>5</v>
      </c>
      <c r="F1716" s="358" t="s">
        <v>7</v>
      </c>
      <c r="G1716" s="358" t="s">
        <v>11</v>
      </c>
      <c r="H1716" s="358" t="s">
        <v>11</v>
      </c>
    </row>
    <row r="1717" spans="1:8" x14ac:dyDescent="0.3">
      <c r="A1717" t="s">
        <v>41</v>
      </c>
      <c r="B1717" t="s">
        <v>95</v>
      </c>
      <c r="C1717" t="s">
        <v>2409</v>
      </c>
      <c r="D1717">
        <v>2</v>
      </c>
      <c r="E1717" s="358">
        <v>5</v>
      </c>
      <c r="F1717" s="358" t="s">
        <v>7</v>
      </c>
      <c r="G1717" s="358" t="s">
        <v>11</v>
      </c>
      <c r="H1717" s="358" t="s">
        <v>11</v>
      </c>
    </row>
    <row r="1718" spans="1:8" x14ac:dyDescent="0.3">
      <c r="A1718" t="s">
        <v>41</v>
      </c>
      <c r="B1718" t="s">
        <v>95</v>
      </c>
      <c r="C1718" t="s">
        <v>2410</v>
      </c>
      <c r="D1718">
        <v>2</v>
      </c>
      <c r="E1718" s="358">
        <v>5</v>
      </c>
      <c r="F1718" s="358" t="s">
        <v>7</v>
      </c>
      <c r="G1718" s="358" t="s">
        <v>11</v>
      </c>
      <c r="H1718" s="358" t="s">
        <v>11</v>
      </c>
    </row>
    <row r="1719" spans="1:8" x14ac:dyDescent="0.3">
      <c r="A1719" t="s">
        <v>41</v>
      </c>
      <c r="B1719" t="s">
        <v>95</v>
      </c>
      <c r="C1719" t="s">
        <v>2411</v>
      </c>
      <c r="D1719">
        <v>1</v>
      </c>
      <c r="E1719" s="358">
        <v>5</v>
      </c>
      <c r="F1719" s="358" t="s">
        <v>7</v>
      </c>
      <c r="G1719" s="358" t="s">
        <v>11</v>
      </c>
      <c r="H1719" s="358" t="s">
        <v>11</v>
      </c>
    </row>
    <row r="1720" spans="1:8" x14ac:dyDescent="0.3">
      <c r="A1720" t="s">
        <v>41</v>
      </c>
      <c r="B1720" t="s">
        <v>95</v>
      </c>
      <c r="C1720" t="s">
        <v>1978</v>
      </c>
      <c r="D1720">
        <v>1</v>
      </c>
      <c r="E1720" s="358">
        <v>5</v>
      </c>
      <c r="F1720" s="358" t="s">
        <v>7</v>
      </c>
      <c r="G1720" s="358" t="s">
        <v>11</v>
      </c>
      <c r="H1720" s="358" t="s">
        <v>11</v>
      </c>
    </row>
    <row r="1721" spans="1:8" x14ac:dyDescent="0.3">
      <c r="A1721" t="s">
        <v>41</v>
      </c>
      <c r="B1721" t="s">
        <v>95</v>
      </c>
      <c r="C1721" t="s">
        <v>2412</v>
      </c>
      <c r="D1721">
        <v>1</v>
      </c>
      <c r="E1721" s="358">
        <v>5</v>
      </c>
      <c r="F1721" s="358" t="s">
        <v>7</v>
      </c>
      <c r="G1721" s="358" t="s">
        <v>11</v>
      </c>
      <c r="H1721" s="358" t="s">
        <v>11</v>
      </c>
    </row>
    <row r="1722" spans="1:8" x14ac:dyDescent="0.3">
      <c r="A1722" t="s">
        <v>41</v>
      </c>
      <c r="B1722" t="s">
        <v>95</v>
      </c>
      <c r="C1722" t="s">
        <v>2413</v>
      </c>
      <c r="D1722">
        <v>1</v>
      </c>
      <c r="E1722" s="358">
        <v>5</v>
      </c>
      <c r="F1722" s="358" t="s">
        <v>7</v>
      </c>
      <c r="G1722" s="358" t="s">
        <v>11</v>
      </c>
      <c r="H1722" s="358" t="s">
        <v>11</v>
      </c>
    </row>
    <row r="1723" spans="1:8" x14ac:dyDescent="0.3">
      <c r="A1723" t="s">
        <v>41</v>
      </c>
      <c r="B1723" t="s">
        <v>95</v>
      </c>
      <c r="C1723" t="s">
        <v>1985</v>
      </c>
      <c r="D1723">
        <v>1</v>
      </c>
      <c r="E1723" s="358">
        <v>5</v>
      </c>
      <c r="F1723" s="358" t="s">
        <v>7</v>
      </c>
      <c r="G1723" s="358" t="s">
        <v>11</v>
      </c>
      <c r="H1723" s="358" t="s">
        <v>11</v>
      </c>
    </row>
    <row r="1724" spans="1:8" x14ac:dyDescent="0.3">
      <c r="A1724" t="s">
        <v>41</v>
      </c>
      <c r="B1724" t="s">
        <v>95</v>
      </c>
      <c r="C1724" t="s">
        <v>2414</v>
      </c>
      <c r="D1724">
        <v>2</v>
      </c>
      <c r="E1724" s="358">
        <v>5</v>
      </c>
      <c r="F1724" s="358" t="s">
        <v>7</v>
      </c>
      <c r="G1724" s="358" t="s">
        <v>11</v>
      </c>
      <c r="H1724" s="358" t="s">
        <v>11</v>
      </c>
    </row>
    <row r="1725" spans="1:8" x14ac:dyDescent="0.3">
      <c r="A1725" t="s">
        <v>41</v>
      </c>
      <c r="B1725" t="s">
        <v>95</v>
      </c>
      <c r="C1725" t="s">
        <v>2333</v>
      </c>
      <c r="D1725">
        <v>1</v>
      </c>
      <c r="E1725" s="358">
        <v>5</v>
      </c>
      <c r="F1725" s="358" t="s">
        <v>7</v>
      </c>
      <c r="G1725" s="358" t="s">
        <v>11</v>
      </c>
      <c r="H1725" s="358" t="s">
        <v>11</v>
      </c>
    </row>
    <row r="1726" spans="1:8" x14ac:dyDescent="0.3">
      <c r="A1726" t="s">
        <v>41</v>
      </c>
      <c r="B1726" t="s">
        <v>95</v>
      </c>
      <c r="C1726" t="s">
        <v>1732</v>
      </c>
      <c r="D1726">
        <v>1</v>
      </c>
      <c r="E1726" s="358">
        <v>5</v>
      </c>
      <c r="F1726" s="358" t="s">
        <v>7</v>
      </c>
      <c r="G1726" s="358" t="s">
        <v>11</v>
      </c>
      <c r="H1726" s="358" t="s">
        <v>11</v>
      </c>
    </row>
    <row r="1727" spans="1:8" x14ac:dyDescent="0.3">
      <c r="A1727" t="s">
        <v>41</v>
      </c>
      <c r="B1727" t="s">
        <v>95</v>
      </c>
      <c r="C1727" t="s">
        <v>2334</v>
      </c>
      <c r="D1727">
        <v>1</v>
      </c>
      <c r="E1727" s="358">
        <v>5</v>
      </c>
      <c r="F1727" s="358" t="s">
        <v>7</v>
      </c>
      <c r="G1727" s="358" t="s">
        <v>11</v>
      </c>
      <c r="H1727" s="358" t="s">
        <v>11</v>
      </c>
    </row>
    <row r="1728" spans="1:8" x14ac:dyDescent="0.3">
      <c r="A1728" t="s">
        <v>41</v>
      </c>
      <c r="B1728" t="s">
        <v>95</v>
      </c>
      <c r="C1728" t="s">
        <v>1467</v>
      </c>
      <c r="D1728">
        <v>1</v>
      </c>
      <c r="E1728" s="358">
        <v>5</v>
      </c>
      <c r="F1728" s="358" t="s">
        <v>7</v>
      </c>
      <c r="G1728" s="358" t="s">
        <v>11</v>
      </c>
      <c r="H1728" s="358" t="s">
        <v>11</v>
      </c>
    </row>
    <row r="1729" spans="1:8" x14ac:dyDescent="0.3">
      <c r="A1729" t="s">
        <v>41</v>
      </c>
      <c r="B1729" t="s">
        <v>95</v>
      </c>
      <c r="C1729" t="s">
        <v>2415</v>
      </c>
      <c r="D1729">
        <v>1</v>
      </c>
      <c r="E1729" s="358">
        <v>5</v>
      </c>
      <c r="F1729" s="358" t="s">
        <v>7</v>
      </c>
      <c r="G1729" s="358" t="s">
        <v>11</v>
      </c>
      <c r="H1729" s="358" t="s">
        <v>11</v>
      </c>
    </row>
    <row r="1730" spans="1:8" x14ac:dyDescent="0.3">
      <c r="A1730" t="s">
        <v>41</v>
      </c>
      <c r="B1730" t="s">
        <v>95</v>
      </c>
      <c r="C1730" t="s">
        <v>2416</v>
      </c>
      <c r="D1730">
        <v>1</v>
      </c>
      <c r="E1730" s="358">
        <v>5</v>
      </c>
      <c r="F1730" s="358" t="s">
        <v>7</v>
      </c>
      <c r="G1730" s="358" t="s">
        <v>11</v>
      </c>
      <c r="H1730" s="358" t="s">
        <v>11</v>
      </c>
    </row>
    <row r="1731" spans="1:8" x14ac:dyDescent="0.3">
      <c r="A1731" t="s">
        <v>41</v>
      </c>
      <c r="B1731" t="s">
        <v>95</v>
      </c>
      <c r="C1731" t="s">
        <v>2256</v>
      </c>
      <c r="D1731">
        <v>3</v>
      </c>
      <c r="E1731" s="358">
        <v>5</v>
      </c>
      <c r="F1731" s="358" t="s">
        <v>7</v>
      </c>
      <c r="G1731" s="358" t="s">
        <v>11</v>
      </c>
      <c r="H1731" s="358" t="s">
        <v>11</v>
      </c>
    </row>
    <row r="1732" spans="1:8" x14ac:dyDescent="0.3">
      <c r="A1732" t="s">
        <v>41</v>
      </c>
      <c r="B1732" t="s">
        <v>95</v>
      </c>
      <c r="C1732" t="s">
        <v>1472</v>
      </c>
      <c r="D1732">
        <v>1</v>
      </c>
      <c r="E1732" s="358">
        <v>5</v>
      </c>
      <c r="F1732" s="358" t="s">
        <v>7</v>
      </c>
      <c r="G1732" s="358" t="s">
        <v>11</v>
      </c>
      <c r="H1732" s="358" t="s">
        <v>11</v>
      </c>
    </row>
    <row r="1733" spans="1:8" x14ac:dyDescent="0.3">
      <c r="A1733" t="s">
        <v>41</v>
      </c>
      <c r="B1733" t="s">
        <v>95</v>
      </c>
      <c r="C1733" t="s">
        <v>2417</v>
      </c>
      <c r="D1733">
        <v>1</v>
      </c>
      <c r="E1733" s="358">
        <v>5</v>
      </c>
      <c r="F1733" s="358" t="s">
        <v>7</v>
      </c>
      <c r="G1733" s="358" t="s">
        <v>11</v>
      </c>
      <c r="H1733" s="358" t="s">
        <v>11</v>
      </c>
    </row>
    <row r="1734" spans="1:8" x14ac:dyDescent="0.3">
      <c r="A1734" t="s">
        <v>41</v>
      </c>
      <c r="B1734" t="s">
        <v>95</v>
      </c>
      <c r="C1734" t="s">
        <v>2418</v>
      </c>
      <c r="D1734">
        <v>1</v>
      </c>
      <c r="E1734" s="358">
        <v>5</v>
      </c>
      <c r="F1734" s="358" t="s">
        <v>7</v>
      </c>
      <c r="G1734" s="358" t="s">
        <v>11</v>
      </c>
      <c r="H1734" s="358" t="s">
        <v>11</v>
      </c>
    </row>
    <row r="1735" spans="1:8" x14ac:dyDescent="0.3">
      <c r="A1735" t="s">
        <v>41</v>
      </c>
      <c r="B1735" t="s">
        <v>95</v>
      </c>
      <c r="C1735" t="s">
        <v>2419</v>
      </c>
      <c r="D1735">
        <v>2</v>
      </c>
      <c r="E1735" s="358">
        <v>5</v>
      </c>
      <c r="F1735" s="358" t="s">
        <v>7</v>
      </c>
      <c r="G1735" s="358" t="s">
        <v>11</v>
      </c>
      <c r="H1735" s="358" t="s">
        <v>11</v>
      </c>
    </row>
    <row r="1736" spans="1:8" x14ac:dyDescent="0.3">
      <c r="A1736" t="s">
        <v>41</v>
      </c>
      <c r="B1736" t="s">
        <v>95</v>
      </c>
      <c r="C1736" t="s">
        <v>1994</v>
      </c>
      <c r="D1736">
        <v>1</v>
      </c>
      <c r="E1736" s="358">
        <v>5</v>
      </c>
      <c r="F1736" s="358" t="s">
        <v>7</v>
      </c>
      <c r="G1736" s="358" t="s">
        <v>11</v>
      </c>
      <c r="H1736" s="358" t="s">
        <v>11</v>
      </c>
    </row>
    <row r="1737" spans="1:8" x14ac:dyDescent="0.3">
      <c r="A1737" t="s">
        <v>41</v>
      </c>
      <c r="B1737" t="s">
        <v>95</v>
      </c>
      <c r="C1737" t="s">
        <v>1996</v>
      </c>
      <c r="D1737">
        <v>2</v>
      </c>
      <c r="E1737" s="358">
        <v>5</v>
      </c>
      <c r="F1737" s="358" t="s">
        <v>7</v>
      </c>
      <c r="G1737" s="358" t="s">
        <v>11</v>
      </c>
      <c r="H1737" s="358" t="s">
        <v>11</v>
      </c>
    </row>
    <row r="1738" spans="1:8" x14ac:dyDescent="0.3">
      <c r="A1738" t="s">
        <v>41</v>
      </c>
      <c r="B1738" t="s">
        <v>95</v>
      </c>
      <c r="C1738" t="s">
        <v>1997</v>
      </c>
      <c r="D1738">
        <v>2</v>
      </c>
      <c r="E1738" s="358">
        <v>5</v>
      </c>
      <c r="F1738" s="358" t="s">
        <v>7</v>
      </c>
      <c r="G1738" s="358" t="s">
        <v>11</v>
      </c>
      <c r="H1738" s="358" t="s">
        <v>11</v>
      </c>
    </row>
    <row r="1739" spans="1:8" x14ac:dyDescent="0.3">
      <c r="A1739" t="s">
        <v>41</v>
      </c>
      <c r="B1739" t="s">
        <v>95</v>
      </c>
      <c r="C1739" t="s">
        <v>1936</v>
      </c>
      <c r="D1739">
        <v>2</v>
      </c>
      <c r="E1739" s="358">
        <v>5</v>
      </c>
      <c r="F1739" s="358" t="s">
        <v>7</v>
      </c>
      <c r="G1739" s="358" t="s">
        <v>11</v>
      </c>
      <c r="H1739" s="358" t="s">
        <v>11</v>
      </c>
    </row>
    <row r="1740" spans="1:8" x14ac:dyDescent="0.3">
      <c r="A1740" t="s">
        <v>41</v>
      </c>
      <c r="B1740" t="s">
        <v>95</v>
      </c>
      <c r="C1740" t="s">
        <v>2000</v>
      </c>
      <c r="D1740">
        <v>1</v>
      </c>
      <c r="E1740" s="358">
        <v>5</v>
      </c>
      <c r="F1740" s="358" t="s">
        <v>7</v>
      </c>
      <c r="G1740" s="358" t="s">
        <v>11</v>
      </c>
      <c r="H1740" s="358" t="s">
        <v>11</v>
      </c>
    </row>
    <row r="1741" spans="1:8" x14ac:dyDescent="0.3">
      <c r="A1741" t="s">
        <v>41</v>
      </c>
      <c r="B1741" t="s">
        <v>95</v>
      </c>
      <c r="C1741" t="s">
        <v>2420</v>
      </c>
      <c r="D1741">
        <v>1</v>
      </c>
      <c r="E1741" s="358">
        <v>5</v>
      </c>
      <c r="F1741" s="358" t="s">
        <v>7</v>
      </c>
      <c r="G1741" s="358" t="s">
        <v>11</v>
      </c>
      <c r="H1741" s="358" t="s">
        <v>11</v>
      </c>
    </row>
    <row r="1742" spans="1:8" x14ac:dyDescent="0.3">
      <c r="A1742" t="s">
        <v>41</v>
      </c>
      <c r="B1742" t="s">
        <v>95</v>
      </c>
      <c r="C1742" t="s">
        <v>1747</v>
      </c>
      <c r="D1742">
        <v>3</v>
      </c>
      <c r="E1742" s="358">
        <v>5</v>
      </c>
      <c r="F1742" s="358" t="s">
        <v>7</v>
      </c>
      <c r="G1742" s="358" t="s">
        <v>11</v>
      </c>
      <c r="H1742" s="358" t="s">
        <v>11</v>
      </c>
    </row>
    <row r="1743" spans="1:8" x14ac:dyDescent="0.3">
      <c r="A1743" t="s">
        <v>41</v>
      </c>
      <c r="B1743" t="s">
        <v>95</v>
      </c>
      <c r="C1743" t="s">
        <v>2421</v>
      </c>
      <c r="D1743">
        <v>1</v>
      </c>
      <c r="E1743" s="358">
        <v>5</v>
      </c>
      <c r="F1743" s="358" t="s">
        <v>7</v>
      </c>
      <c r="G1743" s="358" t="s">
        <v>11</v>
      </c>
      <c r="H1743" s="358" t="s">
        <v>11</v>
      </c>
    </row>
    <row r="1744" spans="1:8" x14ac:dyDescent="0.3">
      <c r="A1744" t="s">
        <v>41</v>
      </c>
      <c r="B1744" t="s">
        <v>95</v>
      </c>
      <c r="C1744" t="s">
        <v>1802</v>
      </c>
      <c r="D1744">
        <v>2</v>
      </c>
      <c r="E1744" s="358">
        <v>5</v>
      </c>
      <c r="F1744" s="358" t="s">
        <v>7</v>
      </c>
      <c r="G1744" s="358" t="s">
        <v>11</v>
      </c>
      <c r="H1744" s="358" t="s">
        <v>11</v>
      </c>
    </row>
    <row r="1745" spans="1:8" x14ac:dyDescent="0.3">
      <c r="A1745" t="s">
        <v>41</v>
      </c>
      <c r="B1745" t="s">
        <v>95</v>
      </c>
      <c r="C1745" t="s">
        <v>1379</v>
      </c>
      <c r="D1745">
        <v>1</v>
      </c>
      <c r="E1745" s="358">
        <v>5</v>
      </c>
      <c r="F1745" s="358" t="s">
        <v>7</v>
      </c>
      <c r="G1745" s="358" t="s">
        <v>11</v>
      </c>
      <c r="H1745" s="358" t="s">
        <v>11</v>
      </c>
    </row>
    <row r="1746" spans="1:8" x14ac:dyDescent="0.3">
      <c r="A1746" t="s">
        <v>41</v>
      </c>
      <c r="B1746" t="s">
        <v>95</v>
      </c>
      <c r="C1746" t="s">
        <v>1758</v>
      </c>
      <c r="D1746">
        <v>1</v>
      </c>
      <c r="E1746" s="358">
        <v>5</v>
      </c>
      <c r="F1746" s="358" t="s">
        <v>7</v>
      </c>
      <c r="G1746" s="358" t="s">
        <v>11</v>
      </c>
      <c r="H1746" s="358" t="s">
        <v>11</v>
      </c>
    </row>
    <row r="1747" spans="1:8" x14ac:dyDescent="0.3">
      <c r="A1747" t="s">
        <v>41</v>
      </c>
      <c r="B1747" t="s">
        <v>95</v>
      </c>
      <c r="C1747" t="s">
        <v>1759</v>
      </c>
      <c r="D1747">
        <v>1</v>
      </c>
      <c r="E1747" s="358">
        <v>5</v>
      </c>
      <c r="F1747" s="358" t="s">
        <v>7</v>
      </c>
      <c r="G1747" s="358" t="s">
        <v>11</v>
      </c>
      <c r="H1747" s="358" t="s">
        <v>11</v>
      </c>
    </row>
    <row r="1748" spans="1:8" x14ac:dyDescent="0.3">
      <c r="A1748" t="s">
        <v>41</v>
      </c>
      <c r="B1748" t="s">
        <v>95</v>
      </c>
      <c r="C1748" t="s">
        <v>1760</v>
      </c>
      <c r="D1748">
        <v>3</v>
      </c>
      <c r="E1748" s="358">
        <v>5</v>
      </c>
      <c r="F1748" s="358" t="s">
        <v>7</v>
      </c>
      <c r="G1748" s="358" t="s">
        <v>11</v>
      </c>
      <c r="H1748" s="358" t="s">
        <v>11</v>
      </c>
    </row>
    <row r="1749" spans="1:8" x14ac:dyDescent="0.3">
      <c r="A1749" t="s">
        <v>41</v>
      </c>
      <c r="B1749" t="s">
        <v>95</v>
      </c>
      <c r="C1749" t="s">
        <v>2120</v>
      </c>
      <c r="D1749">
        <v>1</v>
      </c>
      <c r="E1749" s="358">
        <v>5</v>
      </c>
      <c r="F1749" s="358" t="s">
        <v>7</v>
      </c>
      <c r="G1749" s="358" t="s">
        <v>11</v>
      </c>
      <c r="H1749" s="358" t="s">
        <v>11</v>
      </c>
    </row>
    <row r="1750" spans="1:8" x14ac:dyDescent="0.3">
      <c r="A1750" t="s">
        <v>45</v>
      </c>
      <c r="B1750" t="s">
        <v>96</v>
      </c>
      <c r="C1750" t="s">
        <v>2422</v>
      </c>
      <c r="D1750">
        <v>1</v>
      </c>
      <c r="E1750" s="358">
        <v>5</v>
      </c>
      <c r="F1750" s="358" t="s">
        <v>75</v>
      </c>
      <c r="G1750" s="358" t="s">
        <v>11</v>
      </c>
      <c r="H1750" s="358" t="s">
        <v>11</v>
      </c>
    </row>
    <row r="1751" spans="1:8" x14ac:dyDescent="0.3">
      <c r="A1751" t="s">
        <v>45</v>
      </c>
      <c r="B1751" t="s">
        <v>96</v>
      </c>
      <c r="C1751" t="s">
        <v>2423</v>
      </c>
      <c r="D1751">
        <v>2</v>
      </c>
      <c r="E1751" s="358">
        <v>5</v>
      </c>
      <c r="F1751" s="358" t="s">
        <v>75</v>
      </c>
      <c r="G1751" s="358" t="s">
        <v>11</v>
      </c>
      <c r="H1751" s="358" t="s">
        <v>11</v>
      </c>
    </row>
    <row r="1752" spans="1:8" x14ac:dyDescent="0.3">
      <c r="A1752" t="s">
        <v>45</v>
      </c>
      <c r="B1752" t="s">
        <v>96</v>
      </c>
      <c r="C1752" t="s">
        <v>1435</v>
      </c>
      <c r="D1752">
        <v>3</v>
      </c>
      <c r="E1752" s="358">
        <v>3</v>
      </c>
      <c r="F1752" s="358" t="s">
        <v>75</v>
      </c>
      <c r="G1752" s="358" t="s">
        <v>11</v>
      </c>
      <c r="H1752" s="358" t="s">
        <v>11</v>
      </c>
    </row>
    <row r="1753" spans="1:8" x14ac:dyDescent="0.3">
      <c r="A1753" t="s">
        <v>45</v>
      </c>
      <c r="B1753" t="s">
        <v>96</v>
      </c>
      <c r="C1753" t="s">
        <v>1558</v>
      </c>
      <c r="D1753">
        <v>1</v>
      </c>
      <c r="E1753" s="358">
        <v>5</v>
      </c>
      <c r="F1753" s="358" t="s">
        <v>75</v>
      </c>
      <c r="G1753" s="358" t="s">
        <v>11</v>
      </c>
      <c r="H1753" s="358" t="s">
        <v>11</v>
      </c>
    </row>
    <row r="1754" spans="1:8" x14ac:dyDescent="0.3">
      <c r="A1754" t="s">
        <v>45</v>
      </c>
      <c r="B1754" t="s">
        <v>96</v>
      </c>
      <c r="C1754" t="s">
        <v>2424</v>
      </c>
      <c r="D1754">
        <v>2</v>
      </c>
      <c r="E1754" s="358">
        <v>5</v>
      </c>
      <c r="F1754" s="358" t="s">
        <v>75</v>
      </c>
      <c r="G1754" s="358" t="s">
        <v>11</v>
      </c>
      <c r="H1754" s="358" t="s">
        <v>11</v>
      </c>
    </row>
    <row r="1755" spans="1:8" x14ac:dyDescent="0.3">
      <c r="A1755" t="s">
        <v>45</v>
      </c>
      <c r="B1755" t="s">
        <v>96</v>
      </c>
      <c r="C1755" t="s">
        <v>2425</v>
      </c>
      <c r="D1755">
        <v>2</v>
      </c>
      <c r="E1755" s="358">
        <v>5</v>
      </c>
      <c r="F1755" s="358" t="s">
        <v>75</v>
      </c>
      <c r="G1755" s="358" t="s">
        <v>11</v>
      </c>
      <c r="H1755" s="358" t="s">
        <v>11</v>
      </c>
    </row>
    <row r="1756" spans="1:8" x14ac:dyDescent="0.3">
      <c r="A1756" t="s">
        <v>45</v>
      </c>
      <c r="B1756" t="s">
        <v>96</v>
      </c>
      <c r="C1756" t="s">
        <v>2426</v>
      </c>
      <c r="D1756">
        <v>1</v>
      </c>
      <c r="E1756" s="358">
        <v>5</v>
      </c>
      <c r="F1756" s="358" t="s">
        <v>75</v>
      </c>
      <c r="G1756" s="358" t="s">
        <v>11</v>
      </c>
      <c r="H1756" s="358" t="s">
        <v>11</v>
      </c>
    </row>
    <row r="1757" spans="1:8" x14ac:dyDescent="0.3">
      <c r="A1757" t="s">
        <v>45</v>
      </c>
      <c r="B1757" t="s">
        <v>96</v>
      </c>
      <c r="C1757" t="s">
        <v>1495</v>
      </c>
      <c r="D1757">
        <v>2</v>
      </c>
      <c r="E1757" s="358">
        <v>5</v>
      </c>
      <c r="F1757" s="358" t="s">
        <v>75</v>
      </c>
      <c r="G1757" s="358" t="s">
        <v>11</v>
      </c>
      <c r="H1757" s="358" t="s">
        <v>11</v>
      </c>
    </row>
    <row r="1758" spans="1:8" x14ac:dyDescent="0.3">
      <c r="A1758" t="s">
        <v>45</v>
      </c>
      <c r="B1758" t="s">
        <v>96</v>
      </c>
      <c r="C1758" t="s">
        <v>2427</v>
      </c>
      <c r="D1758">
        <v>1</v>
      </c>
      <c r="E1758" s="358">
        <v>5</v>
      </c>
      <c r="F1758" s="358" t="s">
        <v>75</v>
      </c>
      <c r="G1758" s="358" t="s">
        <v>11</v>
      </c>
      <c r="H1758" s="358" t="s">
        <v>11</v>
      </c>
    </row>
    <row r="1759" spans="1:8" x14ac:dyDescent="0.3">
      <c r="A1759" t="s">
        <v>45</v>
      </c>
      <c r="B1759" t="s">
        <v>96</v>
      </c>
      <c r="C1759" t="s">
        <v>1456</v>
      </c>
      <c r="D1759">
        <v>1</v>
      </c>
      <c r="E1759" s="358">
        <v>5</v>
      </c>
      <c r="F1759" s="358" t="s">
        <v>75</v>
      </c>
      <c r="G1759" s="358" t="s">
        <v>11</v>
      </c>
      <c r="H1759" s="358" t="s">
        <v>11</v>
      </c>
    </row>
    <row r="1760" spans="1:8" x14ac:dyDescent="0.3">
      <c r="A1760" t="s">
        <v>45</v>
      </c>
      <c r="B1760" t="s">
        <v>96</v>
      </c>
      <c r="C1760" t="s">
        <v>1922</v>
      </c>
      <c r="D1760">
        <v>1</v>
      </c>
      <c r="E1760" s="358">
        <v>5</v>
      </c>
      <c r="F1760" s="358" t="s">
        <v>75</v>
      </c>
      <c r="G1760" s="358" t="s">
        <v>11</v>
      </c>
      <c r="H1760" s="358" t="s">
        <v>11</v>
      </c>
    </row>
    <row r="1761" spans="1:8" x14ac:dyDescent="0.3">
      <c r="A1761" t="s">
        <v>45</v>
      </c>
      <c r="B1761" t="s">
        <v>96</v>
      </c>
      <c r="C1761" t="s">
        <v>1575</v>
      </c>
      <c r="D1761">
        <v>1</v>
      </c>
      <c r="E1761" s="358">
        <v>5</v>
      </c>
      <c r="F1761" s="358" t="s">
        <v>75</v>
      </c>
      <c r="G1761" s="358" t="s">
        <v>11</v>
      </c>
      <c r="H1761" s="358" t="s">
        <v>11</v>
      </c>
    </row>
    <row r="1762" spans="1:8" x14ac:dyDescent="0.3">
      <c r="A1762" t="s">
        <v>45</v>
      </c>
      <c r="B1762" t="s">
        <v>96</v>
      </c>
      <c r="C1762" t="s">
        <v>2428</v>
      </c>
      <c r="D1762">
        <v>2</v>
      </c>
      <c r="E1762" s="358">
        <v>5</v>
      </c>
      <c r="F1762" s="358" t="s">
        <v>75</v>
      </c>
      <c r="G1762" s="358" t="s">
        <v>11</v>
      </c>
      <c r="H1762" s="358" t="s">
        <v>11</v>
      </c>
    </row>
    <row r="1763" spans="1:8" x14ac:dyDescent="0.3">
      <c r="A1763" t="s">
        <v>45</v>
      </c>
      <c r="B1763" t="s">
        <v>96</v>
      </c>
      <c r="C1763" t="s">
        <v>2429</v>
      </c>
      <c r="D1763">
        <v>1</v>
      </c>
      <c r="E1763" s="358">
        <v>5</v>
      </c>
      <c r="F1763" s="358" t="s">
        <v>75</v>
      </c>
      <c r="G1763" s="358" t="s">
        <v>11</v>
      </c>
      <c r="H1763" s="358" t="s">
        <v>11</v>
      </c>
    </row>
    <row r="1764" spans="1:8" x14ac:dyDescent="0.3">
      <c r="A1764" t="s">
        <v>45</v>
      </c>
      <c r="B1764" t="s">
        <v>96</v>
      </c>
      <c r="C1764" t="s">
        <v>2430</v>
      </c>
      <c r="D1764">
        <v>2</v>
      </c>
      <c r="E1764" s="358">
        <v>5</v>
      </c>
      <c r="F1764" s="358" t="s">
        <v>75</v>
      </c>
      <c r="G1764" s="358" t="s">
        <v>11</v>
      </c>
      <c r="H1764" s="358" t="s">
        <v>11</v>
      </c>
    </row>
    <row r="1765" spans="1:8" x14ac:dyDescent="0.3">
      <c r="A1765" t="s">
        <v>45</v>
      </c>
      <c r="B1765" t="s">
        <v>96</v>
      </c>
      <c r="C1765" t="s">
        <v>2431</v>
      </c>
      <c r="D1765">
        <v>2</v>
      </c>
      <c r="E1765" s="358">
        <v>5</v>
      </c>
      <c r="F1765" s="358" t="s">
        <v>75</v>
      </c>
      <c r="G1765" s="358" t="s">
        <v>11</v>
      </c>
      <c r="H1765" s="358" t="s">
        <v>11</v>
      </c>
    </row>
    <row r="1766" spans="1:8" x14ac:dyDescent="0.3">
      <c r="A1766" t="s">
        <v>45</v>
      </c>
      <c r="B1766" t="s">
        <v>96</v>
      </c>
      <c r="C1766" t="s">
        <v>2432</v>
      </c>
      <c r="D1766">
        <v>1</v>
      </c>
      <c r="E1766" s="358">
        <v>5</v>
      </c>
      <c r="F1766" s="358" t="s">
        <v>75</v>
      </c>
      <c r="G1766" s="358" t="s">
        <v>11</v>
      </c>
      <c r="H1766" s="358" t="s">
        <v>11</v>
      </c>
    </row>
    <row r="1767" spans="1:8" x14ac:dyDescent="0.3">
      <c r="A1767" t="s">
        <v>42</v>
      </c>
      <c r="B1767" t="s">
        <v>79</v>
      </c>
      <c r="C1767" t="s">
        <v>2433</v>
      </c>
      <c r="D1767">
        <v>2</v>
      </c>
      <c r="E1767" s="358">
        <v>6</v>
      </c>
      <c r="F1767" s="358" t="s">
        <v>7</v>
      </c>
      <c r="G1767" s="358" t="s">
        <v>11</v>
      </c>
      <c r="H1767" s="358" t="s">
        <v>11</v>
      </c>
    </row>
    <row r="1768" spans="1:8" x14ac:dyDescent="0.3">
      <c r="A1768" t="s">
        <v>42</v>
      </c>
      <c r="B1768" t="s">
        <v>79</v>
      </c>
      <c r="C1768" t="s">
        <v>1433</v>
      </c>
      <c r="D1768">
        <v>1</v>
      </c>
      <c r="E1768" s="358">
        <v>6</v>
      </c>
      <c r="F1768" s="358" t="s">
        <v>7</v>
      </c>
      <c r="G1768" s="358" t="s">
        <v>11</v>
      </c>
      <c r="H1768" s="358" t="s">
        <v>11</v>
      </c>
    </row>
    <row r="1769" spans="1:8" x14ac:dyDescent="0.3">
      <c r="A1769" t="s">
        <v>42</v>
      </c>
      <c r="B1769" t="s">
        <v>79</v>
      </c>
      <c r="C1769" t="s">
        <v>2434</v>
      </c>
      <c r="D1769">
        <v>2</v>
      </c>
      <c r="E1769" s="358">
        <v>5</v>
      </c>
      <c r="F1769" s="358" t="s">
        <v>7</v>
      </c>
      <c r="G1769" s="358" t="s">
        <v>11</v>
      </c>
      <c r="H1769" s="358" t="s">
        <v>11</v>
      </c>
    </row>
    <row r="1770" spans="1:8" x14ac:dyDescent="0.3">
      <c r="A1770" t="s">
        <v>42</v>
      </c>
      <c r="B1770" t="s">
        <v>79</v>
      </c>
      <c r="C1770" t="s">
        <v>2435</v>
      </c>
      <c r="D1770">
        <v>2</v>
      </c>
      <c r="E1770" s="358">
        <v>6</v>
      </c>
      <c r="F1770" s="358" t="s">
        <v>7</v>
      </c>
      <c r="G1770" s="358" t="s">
        <v>11</v>
      </c>
      <c r="H1770" s="358" t="s">
        <v>11</v>
      </c>
    </row>
    <row r="1771" spans="1:8" x14ac:dyDescent="0.3">
      <c r="A1771" t="s">
        <v>42</v>
      </c>
      <c r="B1771" t="s">
        <v>79</v>
      </c>
      <c r="C1771" t="s">
        <v>2436</v>
      </c>
      <c r="D1771">
        <v>2</v>
      </c>
      <c r="E1771" s="358">
        <v>6</v>
      </c>
      <c r="F1771" s="358" t="s">
        <v>7</v>
      </c>
      <c r="G1771" s="358" t="s">
        <v>11</v>
      </c>
      <c r="H1771" s="358" t="s">
        <v>11</v>
      </c>
    </row>
    <row r="1772" spans="1:8" x14ac:dyDescent="0.3">
      <c r="A1772" t="s">
        <v>42</v>
      </c>
      <c r="B1772" t="s">
        <v>79</v>
      </c>
      <c r="C1772" t="s">
        <v>1629</v>
      </c>
      <c r="D1772">
        <v>2</v>
      </c>
      <c r="E1772" s="358">
        <v>5</v>
      </c>
      <c r="F1772" s="358" t="s">
        <v>7</v>
      </c>
      <c r="G1772" s="358" t="s">
        <v>11</v>
      </c>
      <c r="H1772" s="358" t="s">
        <v>11</v>
      </c>
    </row>
    <row r="1773" spans="1:8" x14ac:dyDescent="0.3">
      <c r="A1773" t="s">
        <v>42</v>
      </c>
      <c r="B1773" t="s">
        <v>79</v>
      </c>
      <c r="C1773" t="s">
        <v>2437</v>
      </c>
      <c r="D1773">
        <v>2</v>
      </c>
      <c r="E1773" s="358">
        <v>6</v>
      </c>
      <c r="F1773" s="358" t="s">
        <v>7</v>
      </c>
      <c r="G1773" s="358" t="s">
        <v>11</v>
      </c>
      <c r="H1773" s="358" t="s">
        <v>11</v>
      </c>
    </row>
    <row r="1774" spans="1:8" x14ac:dyDescent="0.3">
      <c r="A1774" t="s">
        <v>42</v>
      </c>
      <c r="B1774" t="s">
        <v>79</v>
      </c>
      <c r="C1774" t="s">
        <v>2438</v>
      </c>
      <c r="D1774">
        <v>2</v>
      </c>
      <c r="E1774" s="358">
        <v>5</v>
      </c>
      <c r="F1774" s="358" t="s">
        <v>7</v>
      </c>
      <c r="G1774" s="358" t="s">
        <v>11</v>
      </c>
      <c r="H1774" s="358" t="s">
        <v>11</v>
      </c>
    </row>
    <row r="1775" spans="1:8" x14ac:dyDescent="0.3">
      <c r="A1775" t="s">
        <v>42</v>
      </c>
      <c r="B1775" t="s">
        <v>79</v>
      </c>
      <c r="C1775" t="s">
        <v>2439</v>
      </c>
      <c r="D1775">
        <v>2</v>
      </c>
      <c r="E1775" s="358">
        <v>5</v>
      </c>
      <c r="F1775" s="358" t="s">
        <v>7</v>
      </c>
      <c r="G1775" s="358" t="s">
        <v>11</v>
      </c>
      <c r="H1775" s="358" t="s">
        <v>11</v>
      </c>
    </row>
    <row r="1776" spans="1:8" x14ac:dyDescent="0.3">
      <c r="A1776" t="s">
        <v>42</v>
      </c>
      <c r="B1776" t="s">
        <v>79</v>
      </c>
      <c r="C1776" t="s">
        <v>1888</v>
      </c>
      <c r="D1776">
        <v>2</v>
      </c>
      <c r="E1776" s="358">
        <v>6</v>
      </c>
      <c r="F1776" s="358" t="s">
        <v>7</v>
      </c>
      <c r="G1776" s="358" t="s">
        <v>11</v>
      </c>
      <c r="H1776" s="358" t="s">
        <v>11</v>
      </c>
    </row>
    <row r="1777" spans="1:8" x14ac:dyDescent="0.3">
      <c r="A1777" t="s">
        <v>43</v>
      </c>
      <c r="B1777" t="s">
        <v>97</v>
      </c>
      <c r="C1777" t="s">
        <v>2440</v>
      </c>
      <c r="D1777">
        <v>3</v>
      </c>
      <c r="E1777" s="358">
        <v>4</v>
      </c>
      <c r="F1777" s="358" t="s">
        <v>7</v>
      </c>
      <c r="G1777" s="358" t="s">
        <v>11</v>
      </c>
      <c r="H1777" s="358" t="s">
        <v>11</v>
      </c>
    </row>
    <row r="1778" spans="1:8" x14ac:dyDescent="0.3">
      <c r="A1778" t="s">
        <v>43</v>
      </c>
      <c r="B1778" t="s">
        <v>97</v>
      </c>
      <c r="C1778" t="s">
        <v>2441</v>
      </c>
      <c r="D1778">
        <v>2</v>
      </c>
      <c r="E1778" s="358">
        <v>5</v>
      </c>
      <c r="F1778" s="358" t="s">
        <v>7</v>
      </c>
      <c r="G1778" s="358" t="s">
        <v>11</v>
      </c>
      <c r="H1778" s="358" t="s">
        <v>11</v>
      </c>
    </row>
    <row r="1779" spans="1:8" x14ac:dyDescent="0.3">
      <c r="A1779" t="s">
        <v>43</v>
      </c>
      <c r="B1779" t="s">
        <v>97</v>
      </c>
      <c r="C1779" t="s">
        <v>2442</v>
      </c>
      <c r="D1779">
        <v>2</v>
      </c>
      <c r="E1779" s="358">
        <v>4</v>
      </c>
      <c r="F1779" s="358" t="s">
        <v>7</v>
      </c>
      <c r="G1779" s="358" t="s">
        <v>11</v>
      </c>
      <c r="H1779" s="358" t="s">
        <v>11</v>
      </c>
    </row>
    <row r="1780" spans="1:8" x14ac:dyDescent="0.3">
      <c r="A1780" t="s">
        <v>43</v>
      </c>
      <c r="B1780" t="s">
        <v>97</v>
      </c>
      <c r="C1780" t="s">
        <v>1671</v>
      </c>
      <c r="D1780">
        <v>2</v>
      </c>
      <c r="E1780" s="358">
        <v>4</v>
      </c>
      <c r="F1780" s="358" t="s">
        <v>7</v>
      </c>
      <c r="G1780" s="358" t="s">
        <v>11</v>
      </c>
      <c r="H1780" s="358" t="s">
        <v>11</v>
      </c>
    </row>
    <row r="1781" spans="1:8" x14ac:dyDescent="0.3">
      <c r="A1781" t="s">
        <v>43</v>
      </c>
      <c r="B1781" t="s">
        <v>97</v>
      </c>
      <c r="C1781" t="s">
        <v>2443</v>
      </c>
      <c r="D1781">
        <v>3</v>
      </c>
      <c r="E1781" s="358">
        <v>4</v>
      </c>
      <c r="F1781" s="358" t="s">
        <v>7</v>
      </c>
      <c r="G1781" s="358" t="s">
        <v>11</v>
      </c>
      <c r="H1781" s="358" t="s">
        <v>11</v>
      </c>
    </row>
    <row r="1782" spans="1:8" x14ac:dyDescent="0.3">
      <c r="A1782" t="s">
        <v>43</v>
      </c>
      <c r="B1782" t="s">
        <v>97</v>
      </c>
      <c r="C1782" t="s">
        <v>1812</v>
      </c>
      <c r="D1782">
        <v>2</v>
      </c>
      <c r="E1782" s="358">
        <v>4</v>
      </c>
      <c r="F1782" s="358" t="s">
        <v>7</v>
      </c>
      <c r="G1782" s="358" t="s">
        <v>11</v>
      </c>
      <c r="H1782" s="358" t="s">
        <v>11</v>
      </c>
    </row>
    <row r="1783" spans="1:8" x14ac:dyDescent="0.3">
      <c r="A1783" t="s">
        <v>43</v>
      </c>
      <c r="B1783" t="s">
        <v>97</v>
      </c>
      <c r="C1783" t="s">
        <v>2142</v>
      </c>
      <c r="D1783">
        <v>2</v>
      </c>
      <c r="E1783" s="358">
        <v>4</v>
      </c>
      <c r="F1783" s="358" t="s">
        <v>7</v>
      </c>
      <c r="G1783" s="358" t="s">
        <v>11</v>
      </c>
      <c r="H1783" s="358" t="s">
        <v>11</v>
      </c>
    </row>
    <row r="1784" spans="1:8" x14ac:dyDescent="0.3">
      <c r="A1784" t="s">
        <v>43</v>
      </c>
      <c r="B1784" t="s">
        <v>97</v>
      </c>
      <c r="C1784" t="s">
        <v>2444</v>
      </c>
      <c r="D1784">
        <v>2</v>
      </c>
      <c r="E1784" s="358">
        <v>4</v>
      </c>
      <c r="F1784" s="358" t="s">
        <v>7</v>
      </c>
      <c r="G1784" s="358" t="s">
        <v>11</v>
      </c>
      <c r="H1784" s="358" t="s">
        <v>11</v>
      </c>
    </row>
    <row r="1785" spans="1:8" x14ac:dyDescent="0.3">
      <c r="A1785" t="s">
        <v>43</v>
      </c>
      <c r="B1785" t="s">
        <v>97</v>
      </c>
      <c r="C1785" t="s">
        <v>2445</v>
      </c>
      <c r="D1785">
        <v>2</v>
      </c>
      <c r="E1785" s="358">
        <v>4</v>
      </c>
      <c r="F1785" s="358" t="s">
        <v>7</v>
      </c>
      <c r="G1785" s="358" t="s">
        <v>11</v>
      </c>
      <c r="H1785" s="358" t="s">
        <v>11</v>
      </c>
    </row>
    <row r="1786" spans="1:8" x14ac:dyDescent="0.3">
      <c r="A1786" t="s">
        <v>43</v>
      </c>
      <c r="B1786" t="s">
        <v>97</v>
      </c>
      <c r="C1786" t="s">
        <v>2446</v>
      </c>
      <c r="D1786">
        <v>1</v>
      </c>
      <c r="E1786" s="358">
        <v>5</v>
      </c>
      <c r="F1786" s="358" t="s">
        <v>7</v>
      </c>
      <c r="G1786" s="358" t="s">
        <v>11</v>
      </c>
      <c r="H1786" s="358" t="s">
        <v>11</v>
      </c>
    </row>
    <row r="1787" spans="1:8" x14ac:dyDescent="0.3">
      <c r="A1787" t="s">
        <v>43</v>
      </c>
      <c r="B1787" t="s">
        <v>97</v>
      </c>
      <c r="C1787" t="s">
        <v>1838</v>
      </c>
      <c r="D1787">
        <v>1</v>
      </c>
      <c r="E1787" s="358">
        <v>5</v>
      </c>
      <c r="F1787" s="358" t="s">
        <v>7</v>
      </c>
      <c r="G1787" s="358" t="s">
        <v>11</v>
      </c>
      <c r="H1787" s="358" t="s">
        <v>11</v>
      </c>
    </row>
    <row r="1788" spans="1:8" x14ac:dyDescent="0.3">
      <c r="A1788" t="s">
        <v>43</v>
      </c>
      <c r="B1788" t="s">
        <v>97</v>
      </c>
      <c r="C1788" t="s">
        <v>1598</v>
      </c>
      <c r="D1788">
        <v>2</v>
      </c>
      <c r="E1788" s="358">
        <v>4</v>
      </c>
      <c r="F1788" s="358" t="s">
        <v>7</v>
      </c>
      <c r="G1788" s="358" t="s">
        <v>11</v>
      </c>
      <c r="H1788" s="358" t="s">
        <v>11</v>
      </c>
    </row>
    <row r="1789" spans="1:8" x14ac:dyDescent="0.3">
      <c r="A1789" t="s">
        <v>43</v>
      </c>
      <c r="B1789" t="s">
        <v>97</v>
      </c>
      <c r="C1789" t="s">
        <v>2447</v>
      </c>
      <c r="D1789">
        <v>1</v>
      </c>
      <c r="E1789" s="358">
        <v>4</v>
      </c>
      <c r="F1789" s="358" t="s">
        <v>7</v>
      </c>
      <c r="G1789" s="358" t="s">
        <v>11</v>
      </c>
      <c r="H1789" s="358" t="s">
        <v>11</v>
      </c>
    </row>
    <row r="1790" spans="1:8" x14ac:dyDescent="0.3">
      <c r="A1790" t="s">
        <v>43</v>
      </c>
      <c r="B1790" t="s">
        <v>97</v>
      </c>
      <c r="C1790" t="s">
        <v>1976</v>
      </c>
      <c r="D1790">
        <v>1</v>
      </c>
      <c r="E1790" s="358">
        <v>5</v>
      </c>
      <c r="F1790" s="358" t="s">
        <v>7</v>
      </c>
      <c r="G1790" s="358" t="s">
        <v>11</v>
      </c>
      <c r="H1790" s="358" t="s">
        <v>11</v>
      </c>
    </row>
    <row r="1791" spans="1:8" x14ac:dyDescent="0.3">
      <c r="A1791" t="s">
        <v>43</v>
      </c>
      <c r="B1791" t="s">
        <v>97</v>
      </c>
      <c r="C1791" t="s">
        <v>2448</v>
      </c>
      <c r="D1791">
        <v>3</v>
      </c>
      <c r="E1791" s="358">
        <v>4</v>
      </c>
      <c r="F1791" s="358" t="s">
        <v>7</v>
      </c>
      <c r="G1791" s="358" t="s">
        <v>11</v>
      </c>
      <c r="H1791" s="358" t="s">
        <v>11</v>
      </c>
    </row>
    <row r="1792" spans="1:8" x14ac:dyDescent="0.3">
      <c r="A1792" t="s">
        <v>43</v>
      </c>
      <c r="B1792" t="s">
        <v>97</v>
      </c>
      <c r="C1792" t="s">
        <v>2449</v>
      </c>
      <c r="D1792">
        <v>2</v>
      </c>
      <c r="E1792" s="358">
        <v>5</v>
      </c>
      <c r="F1792" s="358" t="s">
        <v>7</v>
      </c>
      <c r="G1792" s="358" t="s">
        <v>11</v>
      </c>
      <c r="H1792" s="358" t="s">
        <v>11</v>
      </c>
    </row>
    <row r="1793" spans="1:8" x14ac:dyDescent="0.3">
      <c r="A1793" t="s">
        <v>43</v>
      </c>
      <c r="B1793" t="s">
        <v>97</v>
      </c>
      <c r="C1793" t="s">
        <v>2450</v>
      </c>
      <c r="D1793">
        <v>2</v>
      </c>
      <c r="E1793" s="358">
        <v>4</v>
      </c>
      <c r="F1793" s="358" t="s">
        <v>7</v>
      </c>
      <c r="G1793" s="358" t="s">
        <v>11</v>
      </c>
      <c r="H1793" s="358" t="s">
        <v>11</v>
      </c>
    </row>
    <row r="1794" spans="1:8" x14ac:dyDescent="0.3">
      <c r="A1794" t="s">
        <v>43</v>
      </c>
      <c r="B1794" t="s">
        <v>97</v>
      </c>
      <c r="C1794" t="s">
        <v>2118</v>
      </c>
      <c r="D1794">
        <v>1</v>
      </c>
      <c r="E1794" s="358">
        <v>5</v>
      </c>
      <c r="F1794" s="358" t="s">
        <v>7</v>
      </c>
      <c r="G1794" s="358" t="s">
        <v>11</v>
      </c>
      <c r="H1794" s="358" t="s">
        <v>11</v>
      </c>
    </row>
    <row r="1795" spans="1:8" x14ac:dyDescent="0.3">
      <c r="A1795" t="s">
        <v>43</v>
      </c>
      <c r="B1795" t="s">
        <v>97</v>
      </c>
      <c r="C1795" t="s">
        <v>1605</v>
      </c>
      <c r="D1795">
        <v>1</v>
      </c>
      <c r="E1795" s="358">
        <v>5</v>
      </c>
      <c r="F1795" s="358" t="s">
        <v>7</v>
      </c>
      <c r="G1795" s="358" t="s">
        <v>11</v>
      </c>
      <c r="H1795" s="358" t="s">
        <v>11</v>
      </c>
    </row>
    <row r="1796" spans="1:8" x14ac:dyDescent="0.3">
      <c r="A1796" t="s">
        <v>43</v>
      </c>
      <c r="B1796" t="s">
        <v>97</v>
      </c>
      <c r="C1796" t="s">
        <v>1479</v>
      </c>
      <c r="D1796">
        <v>2</v>
      </c>
      <c r="E1796" s="358">
        <v>4</v>
      </c>
      <c r="F1796" s="358" t="s">
        <v>7</v>
      </c>
      <c r="G1796" s="358" t="s">
        <v>11</v>
      </c>
      <c r="H1796" s="358" t="s">
        <v>11</v>
      </c>
    </row>
    <row r="1797" spans="1:8" x14ac:dyDescent="0.3">
      <c r="A1797" t="s">
        <v>43</v>
      </c>
      <c r="B1797" t="s">
        <v>97</v>
      </c>
      <c r="C1797" t="s">
        <v>1757</v>
      </c>
      <c r="D1797">
        <v>1</v>
      </c>
      <c r="E1797" s="358">
        <v>5</v>
      </c>
      <c r="F1797" s="358" t="s">
        <v>7</v>
      </c>
      <c r="G1797" s="358" t="s">
        <v>11</v>
      </c>
      <c r="H1797" s="358" t="s">
        <v>11</v>
      </c>
    </row>
    <row r="1798" spans="1:8" x14ac:dyDescent="0.3">
      <c r="A1798" t="s">
        <v>44</v>
      </c>
      <c r="B1798" t="s">
        <v>98</v>
      </c>
      <c r="C1798" t="s">
        <v>2451</v>
      </c>
      <c r="D1798">
        <v>1</v>
      </c>
      <c r="E1798" s="358">
        <v>4</v>
      </c>
      <c r="F1798" s="358" t="s">
        <v>75</v>
      </c>
      <c r="G1798" s="358" t="s">
        <v>11</v>
      </c>
      <c r="H1798" s="358" t="s">
        <v>11</v>
      </c>
    </row>
    <row r="1799" spans="1:8" x14ac:dyDescent="0.3">
      <c r="A1799" t="s">
        <v>44</v>
      </c>
      <c r="B1799" t="s">
        <v>98</v>
      </c>
      <c r="C1799" t="s">
        <v>2452</v>
      </c>
      <c r="D1799">
        <v>2</v>
      </c>
      <c r="E1799" s="358">
        <v>5</v>
      </c>
      <c r="F1799" s="358" t="s">
        <v>75</v>
      </c>
      <c r="G1799" s="358" t="s">
        <v>11</v>
      </c>
      <c r="H1799" s="358" t="s">
        <v>11</v>
      </c>
    </row>
    <row r="1800" spans="1:8" x14ac:dyDescent="0.3">
      <c r="A1800" t="s">
        <v>44</v>
      </c>
      <c r="B1800" t="s">
        <v>98</v>
      </c>
      <c r="C1800" t="s">
        <v>2453</v>
      </c>
      <c r="D1800">
        <v>2</v>
      </c>
      <c r="E1800" s="358">
        <v>3</v>
      </c>
      <c r="F1800" s="358" t="s">
        <v>75</v>
      </c>
      <c r="G1800" s="358" t="s">
        <v>11</v>
      </c>
      <c r="H1800" s="358" t="s">
        <v>11</v>
      </c>
    </row>
    <row r="1801" spans="1:8" x14ac:dyDescent="0.3">
      <c r="A1801" t="s">
        <v>44</v>
      </c>
      <c r="B1801" t="s">
        <v>98</v>
      </c>
      <c r="C1801" t="s">
        <v>2454</v>
      </c>
      <c r="D1801">
        <v>2</v>
      </c>
      <c r="E1801" s="358">
        <v>4</v>
      </c>
      <c r="F1801" s="358" t="s">
        <v>75</v>
      </c>
      <c r="G1801" s="358" t="s">
        <v>11</v>
      </c>
      <c r="H1801" s="358" t="s">
        <v>11</v>
      </c>
    </row>
    <row r="1802" spans="1:8" x14ac:dyDescent="0.3">
      <c r="A1802" t="s">
        <v>44</v>
      </c>
      <c r="B1802" t="s">
        <v>98</v>
      </c>
      <c r="C1802" t="s">
        <v>2389</v>
      </c>
      <c r="D1802">
        <v>1</v>
      </c>
      <c r="E1802" s="358">
        <v>5</v>
      </c>
      <c r="F1802" s="358" t="s">
        <v>75</v>
      </c>
      <c r="G1802" s="358" t="s">
        <v>11</v>
      </c>
      <c r="H1802" s="358" t="s">
        <v>11</v>
      </c>
    </row>
    <row r="1803" spans="1:8" x14ac:dyDescent="0.3">
      <c r="A1803" t="s">
        <v>44</v>
      </c>
      <c r="B1803" t="s">
        <v>98</v>
      </c>
      <c r="C1803" t="s">
        <v>2455</v>
      </c>
      <c r="D1803">
        <v>2</v>
      </c>
      <c r="E1803" s="358">
        <v>4</v>
      </c>
      <c r="F1803" s="358" t="s">
        <v>75</v>
      </c>
      <c r="G1803" s="358" t="s">
        <v>11</v>
      </c>
      <c r="H1803" s="358" t="s">
        <v>11</v>
      </c>
    </row>
    <row r="1804" spans="1:8" x14ac:dyDescent="0.3">
      <c r="A1804" t="s">
        <v>44</v>
      </c>
      <c r="B1804" t="s">
        <v>98</v>
      </c>
      <c r="C1804" t="s">
        <v>2456</v>
      </c>
      <c r="D1804">
        <v>2</v>
      </c>
      <c r="E1804" s="358">
        <v>4</v>
      </c>
      <c r="F1804" s="358" t="s">
        <v>75</v>
      </c>
      <c r="G1804" s="358" t="s">
        <v>11</v>
      </c>
      <c r="H1804" s="358" t="s">
        <v>11</v>
      </c>
    </row>
    <row r="1805" spans="1:8" x14ac:dyDescent="0.3">
      <c r="A1805" t="s">
        <v>44</v>
      </c>
      <c r="B1805" t="s">
        <v>98</v>
      </c>
      <c r="C1805" t="s">
        <v>2457</v>
      </c>
      <c r="D1805">
        <v>2</v>
      </c>
      <c r="E1805" s="358">
        <v>3</v>
      </c>
      <c r="F1805" s="358" t="s">
        <v>75</v>
      </c>
      <c r="G1805" s="358" t="s">
        <v>11</v>
      </c>
      <c r="H1805" s="358" t="s">
        <v>11</v>
      </c>
    </row>
    <row r="1806" spans="1:8" x14ac:dyDescent="0.3">
      <c r="A1806" t="s">
        <v>44</v>
      </c>
      <c r="B1806" t="s">
        <v>98</v>
      </c>
      <c r="C1806" t="s">
        <v>2458</v>
      </c>
      <c r="D1806">
        <v>2</v>
      </c>
      <c r="E1806" s="358">
        <v>3</v>
      </c>
      <c r="F1806" s="358" t="s">
        <v>75</v>
      </c>
      <c r="G1806" s="358" t="s">
        <v>11</v>
      </c>
      <c r="H1806" s="358" t="s">
        <v>11</v>
      </c>
    </row>
    <row r="1807" spans="1:8" x14ac:dyDescent="0.3">
      <c r="A1807" t="s">
        <v>44</v>
      </c>
      <c r="B1807" t="s">
        <v>98</v>
      </c>
      <c r="C1807" t="s">
        <v>1448</v>
      </c>
      <c r="D1807">
        <v>2</v>
      </c>
      <c r="E1807" s="358">
        <v>4</v>
      </c>
      <c r="F1807" s="358" t="s">
        <v>75</v>
      </c>
      <c r="G1807" s="358" t="s">
        <v>11</v>
      </c>
      <c r="H1807" s="358" t="s">
        <v>11</v>
      </c>
    </row>
    <row r="1808" spans="1:8" x14ac:dyDescent="0.3">
      <c r="A1808" t="s">
        <v>44</v>
      </c>
      <c r="B1808" t="s">
        <v>98</v>
      </c>
      <c r="C1808" t="s">
        <v>2459</v>
      </c>
      <c r="D1808">
        <v>2</v>
      </c>
      <c r="E1808" s="358">
        <v>4</v>
      </c>
      <c r="F1808" s="358" t="s">
        <v>75</v>
      </c>
      <c r="G1808" s="358" t="s">
        <v>11</v>
      </c>
      <c r="H1808" s="358" t="s">
        <v>11</v>
      </c>
    </row>
    <row r="1809" spans="1:8" x14ac:dyDescent="0.3">
      <c r="A1809" t="s">
        <v>44</v>
      </c>
      <c r="B1809" t="s">
        <v>98</v>
      </c>
      <c r="C1809" t="s">
        <v>2460</v>
      </c>
      <c r="D1809">
        <v>2</v>
      </c>
      <c r="E1809" s="358">
        <v>5</v>
      </c>
      <c r="F1809" s="358" t="s">
        <v>75</v>
      </c>
      <c r="G1809" s="358" t="s">
        <v>11</v>
      </c>
      <c r="H1809" s="358" t="s">
        <v>11</v>
      </c>
    </row>
    <row r="1810" spans="1:8" x14ac:dyDescent="0.3">
      <c r="A1810" t="s">
        <v>44</v>
      </c>
      <c r="B1810" t="s">
        <v>98</v>
      </c>
      <c r="C1810" t="s">
        <v>2461</v>
      </c>
      <c r="D1810">
        <v>2</v>
      </c>
      <c r="E1810" s="358">
        <v>3</v>
      </c>
      <c r="F1810" s="358" t="s">
        <v>75</v>
      </c>
      <c r="G1810" s="358" t="s">
        <v>11</v>
      </c>
      <c r="H1810" s="358" t="s">
        <v>11</v>
      </c>
    </row>
    <row r="1811" spans="1:8" x14ac:dyDescent="0.3">
      <c r="A1811" t="s">
        <v>44</v>
      </c>
      <c r="B1811" t="s">
        <v>98</v>
      </c>
      <c r="C1811" t="s">
        <v>2462</v>
      </c>
      <c r="D1811">
        <v>2</v>
      </c>
      <c r="E1811" s="358">
        <v>3</v>
      </c>
      <c r="F1811" s="358" t="s">
        <v>75</v>
      </c>
      <c r="G1811" s="358" t="s">
        <v>11</v>
      </c>
      <c r="H1811" s="358" t="s">
        <v>11</v>
      </c>
    </row>
    <row r="1812" spans="1:8" x14ac:dyDescent="0.3">
      <c r="A1812" t="s">
        <v>44</v>
      </c>
      <c r="B1812" t="s">
        <v>98</v>
      </c>
      <c r="C1812" t="s">
        <v>1456</v>
      </c>
      <c r="D1812">
        <v>2</v>
      </c>
      <c r="E1812" s="358">
        <v>4</v>
      </c>
      <c r="F1812" s="358" t="s">
        <v>75</v>
      </c>
      <c r="G1812" s="358" t="s">
        <v>11</v>
      </c>
      <c r="H1812" s="358" t="s">
        <v>11</v>
      </c>
    </row>
    <row r="1813" spans="1:8" x14ac:dyDescent="0.3">
      <c r="A1813" t="s">
        <v>44</v>
      </c>
      <c r="B1813" t="s">
        <v>98</v>
      </c>
      <c r="C1813" t="s">
        <v>2463</v>
      </c>
      <c r="D1813">
        <v>2</v>
      </c>
      <c r="E1813" s="358">
        <v>5</v>
      </c>
      <c r="F1813" s="358" t="s">
        <v>75</v>
      </c>
      <c r="G1813" s="358" t="s">
        <v>11</v>
      </c>
      <c r="H1813" s="358" t="s">
        <v>11</v>
      </c>
    </row>
    <row r="1814" spans="1:8" x14ac:dyDescent="0.3">
      <c r="A1814" t="s">
        <v>44</v>
      </c>
      <c r="B1814" t="s">
        <v>98</v>
      </c>
      <c r="C1814" t="s">
        <v>2464</v>
      </c>
      <c r="D1814">
        <v>2</v>
      </c>
      <c r="E1814" s="358">
        <v>3</v>
      </c>
      <c r="F1814" s="358" t="s">
        <v>75</v>
      </c>
      <c r="G1814" s="358" t="s">
        <v>11</v>
      </c>
      <c r="H1814" s="358" t="s">
        <v>11</v>
      </c>
    </row>
    <row r="1815" spans="1:8" x14ac:dyDescent="0.3">
      <c r="A1815" t="s">
        <v>44</v>
      </c>
      <c r="B1815" t="s">
        <v>98</v>
      </c>
      <c r="C1815" t="s">
        <v>2465</v>
      </c>
      <c r="D1815">
        <v>2</v>
      </c>
      <c r="E1815" s="358">
        <v>5</v>
      </c>
      <c r="F1815" s="358" t="s">
        <v>75</v>
      </c>
      <c r="G1815" s="358" t="s">
        <v>11</v>
      </c>
      <c r="H1815" s="358" t="s">
        <v>11</v>
      </c>
    </row>
    <row r="1816" spans="1:8" x14ac:dyDescent="0.3">
      <c r="A1816" t="s">
        <v>44</v>
      </c>
      <c r="B1816" t="s">
        <v>98</v>
      </c>
      <c r="C1816" t="s">
        <v>2466</v>
      </c>
      <c r="D1816">
        <v>1</v>
      </c>
      <c r="E1816" s="358">
        <v>5</v>
      </c>
      <c r="F1816" s="358" t="s">
        <v>75</v>
      </c>
      <c r="G1816" s="358" t="s">
        <v>11</v>
      </c>
      <c r="H1816" s="358" t="s">
        <v>11</v>
      </c>
    </row>
    <row r="1817" spans="1:8" x14ac:dyDescent="0.3">
      <c r="A1817" t="s">
        <v>44</v>
      </c>
      <c r="B1817" t="s">
        <v>98</v>
      </c>
      <c r="C1817" t="s">
        <v>1579</v>
      </c>
      <c r="D1817">
        <v>2</v>
      </c>
      <c r="E1817" s="358">
        <v>3</v>
      </c>
      <c r="F1817" s="358" t="s">
        <v>75</v>
      </c>
      <c r="G1817" s="358" t="s">
        <v>11</v>
      </c>
      <c r="H1817" s="358" t="s">
        <v>11</v>
      </c>
    </row>
    <row r="1818" spans="1:8" x14ac:dyDescent="0.3">
      <c r="A1818" t="s">
        <v>44</v>
      </c>
      <c r="B1818" t="s">
        <v>98</v>
      </c>
      <c r="C1818" t="s">
        <v>2467</v>
      </c>
      <c r="D1818">
        <v>2</v>
      </c>
      <c r="E1818" s="358">
        <v>4</v>
      </c>
      <c r="F1818" s="358" t="s">
        <v>75</v>
      </c>
      <c r="G1818" s="358" t="s">
        <v>11</v>
      </c>
      <c r="H1818" s="358" t="s">
        <v>11</v>
      </c>
    </row>
    <row r="1819" spans="1:8" x14ac:dyDescent="0.3">
      <c r="A1819" t="s">
        <v>44</v>
      </c>
      <c r="B1819" t="s">
        <v>98</v>
      </c>
      <c r="C1819" t="s">
        <v>2468</v>
      </c>
      <c r="D1819">
        <v>1</v>
      </c>
      <c r="E1819" s="358">
        <v>5</v>
      </c>
      <c r="F1819" s="358" t="s">
        <v>75</v>
      </c>
      <c r="G1819" s="358" t="s">
        <v>11</v>
      </c>
      <c r="H1819" s="358" t="s">
        <v>11</v>
      </c>
    </row>
    <row r="1820" spans="1:8" x14ac:dyDescent="0.3">
      <c r="A1820" t="s">
        <v>44</v>
      </c>
      <c r="B1820" t="s">
        <v>98</v>
      </c>
      <c r="C1820" t="s">
        <v>2371</v>
      </c>
      <c r="D1820">
        <v>2</v>
      </c>
      <c r="E1820" s="358">
        <v>4</v>
      </c>
      <c r="F1820" s="358" t="s">
        <v>75</v>
      </c>
      <c r="G1820" s="358" t="s">
        <v>11</v>
      </c>
      <c r="H1820" s="358" t="s">
        <v>11</v>
      </c>
    </row>
    <row r="1821" spans="1:8" x14ac:dyDescent="0.3">
      <c r="A1821" t="s">
        <v>44</v>
      </c>
      <c r="B1821" t="s">
        <v>98</v>
      </c>
      <c r="C1821" t="s">
        <v>1589</v>
      </c>
      <c r="D1821">
        <v>2</v>
      </c>
      <c r="E1821" s="358">
        <v>5</v>
      </c>
      <c r="F1821" s="358" t="s">
        <v>75</v>
      </c>
      <c r="G1821" s="358" t="s">
        <v>11</v>
      </c>
      <c r="H1821" s="358" t="s">
        <v>11</v>
      </c>
    </row>
    <row r="1822" spans="1:8" x14ac:dyDescent="0.3">
      <c r="A1822" t="s">
        <v>44</v>
      </c>
      <c r="B1822" t="s">
        <v>98</v>
      </c>
      <c r="C1822" t="s">
        <v>1590</v>
      </c>
      <c r="D1822">
        <v>1</v>
      </c>
      <c r="E1822" s="358">
        <v>5</v>
      </c>
      <c r="F1822" s="358" t="s">
        <v>75</v>
      </c>
      <c r="G1822" s="358" t="s">
        <v>11</v>
      </c>
      <c r="H1822" s="358" t="s">
        <v>11</v>
      </c>
    </row>
    <row r="1823" spans="1:8" x14ac:dyDescent="0.3">
      <c r="A1823" t="s">
        <v>44</v>
      </c>
      <c r="B1823" t="s">
        <v>98</v>
      </c>
      <c r="C1823" t="s">
        <v>2469</v>
      </c>
      <c r="D1823">
        <v>2</v>
      </c>
      <c r="E1823" s="358">
        <v>5</v>
      </c>
      <c r="F1823" s="358" t="s">
        <v>75</v>
      </c>
      <c r="G1823" s="358" t="s">
        <v>11</v>
      </c>
      <c r="H1823" s="358" t="s">
        <v>11</v>
      </c>
    </row>
    <row r="1824" spans="1:8" x14ac:dyDescent="0.3">
      <c r="A1824" t="s">
        <v>44</v>
      </c>
      <c r="B1824" t="s">
        <v>98</v>
      </c>
      <c r="C1824" t="s">
        <v>2470</v>
      </c>
      <c r="D1824">
        <v>1</v>
      </c>
      <c r="E1824" s="358">
        <v>5</v>
      </c>
      <c r="F1824" s="358" t="s">
        <v>75</v>
      </c>
      <c r="G1824" s="358" t="s">
        <v>11</v>
      </c>
      <c r="H1824" s="358" t="s">
        <v>11</v>
      </c>
    </row>
    <row r="1825" spans="1:8" x14ac:dyDescent="0.3">
      <c r="A1825" t="s">
        <v>44</v>
      </c>
      <c r="B1825" t="s">
        <v>98</v>
      </c>
      <c r="C1825" t="s">
        <v>1527</v>
      </c>
      <c r="D1825">
        <v>2</v>
      </c>
      <c r="E1825" s="358">
        <v>4</v>
      </c>
      <c r="F1825" s="358" t="s">
        <v>75</v>
      </c>
      <c r="G1825" s="358" t="s">
        <v>11</v>
      </c>
      <c r="H1825" s="358" t="s">
        <v>11</v>
      </c>
    </row>
    <row r="1826" spans="1:8" x14ac:dyDescent="0.3">
      <c r="A1826" t="s">
        <v>44</v>
      </c>
      <c r="B1826" t="s">
        <v>98</v>
      </c>
      <c r="C1826" t="s">
        <v>2471</v>
      </c>
      <c r="D1826">
        <v>2</v>
      </c>
      <c r="E1826" s="358">
        <v>4</v>
      </c>
      <c r="F1826" s="358" t="s">
        <v>75</v>
      </c>
      <c r="G1826" s="358" t="s">
        <v>11</v>
      </c>
      <c r="H1826" s="358" t="s">
        <v>11</v>
      </c>
    </row>
    <row r="1827" spans="1:8" x14ac:dyDescent="0.3">
      <c r="A1827" t="s">
        <v>44</v>
      </c>
      <c r="B1827" t="s">
        <v>98</v>
      </c>
      <c r="C1827" t="s">
        <v>2472</v>
      </c>
      <c r="D1827">
        <v>1</v>
      </c>
      <c r="E1827" s="358">
        <v>5</v>
      </c>
      <c r="F1827" s="358" t="s">
        <v>75</v>
      </c>
      <c r="G1827" s="358" t="s">
        <v>11</v>
      </c>
      <c r="H1827" s="358" t="s">
        <v>11</v>
      </c>
    </row>
    <row r="1828" spans="1:8" x14ac:dyDescent="0.3">
      <c r="A1828" t="s">
        <v>44</v>
      </c>
      <c r="B1828" t="s">
        <v>98</v>
      </c>
      <c r="C1828" t="s">
        <v>2473</v>
      </c>
      <c r="D1828">
        <v>2</v>
      </c>
      <c r="E1828" s="358">
        <v>5</v>
      </c>
      <c r="F1828" s="358" t="s">
        <v>75</v>
      </c>
      <c r="G1828" s="358" t="s">
        <v>11</v>
      </c>
      <c r="H1828" s="358" t="s">
        <v>11</v>
      </c>
    </row>
    <row r="1829" spans="1:8" x14ac:dyDescent="0.3">
      <c r="A1829" t="s">
        <v>44</v>
      </c>
      <c r="B1829" t="s">
        <v>98</v>
      </c>
      <c r="C1829" t="s">
        <v>1479</v>
      </c>
      <c r="D1829">
        <v>2</v>
      </c>
      <c r="E1829" s="358">
        <v>4</v>
      </c>
      <c r="F1829" s="358" t="s">
        <v>75</v>
      </c>
      <c r="G1829" s="358" t="s">
        <v>11</v>
      </c>
      <c r="H1829" s="358" t="s">
        <v>11</v>
      </c>
    </row>
    <row r="1830" spans="1:8" x14ac:dyDescent="0.3">
      <c r="A1830" t="s">
        <v>44</v>
      </c>
      <c r="B1830" t="s">
        <v>98</v>
      </c>
      <c r="C1830" t="s">
        <v>2474</v>
      </c>
      <c r="D1830">
        <v>2</v>
      </c>
      <c r="E1830" s="358">
        <v>4</v>
      </c>
      <c r="F1830" s="358" t="s">
        <v>75</v>
      </c>
      <c r="G1830" s="358" t="s">
        <v>11</v>
      </c>
      <c r="H1830" s="358" t="s">
        <v>11</v>
      </c>
    </row>
    <row r="1831" spans="1:8" x14ac:dyDescent="0.3">
      <c r="A1831" t="s">
        <v>46</v>
      </c>
      <c r="B1831" t="s">
        <v>80</v>
      </c>
      <c r="C1831" t="s">
        <v>2475</v>
      </c>
      <c r="D1831">
        <v>1</v>
      </c>
      <c r="E1831" s="358">
        <v>5</v>
      </c>
      <c r="F1831" s="358" t="s">
        <v>7</v>
      </c>
      <c r="G1831" s="358" t="s">
        <v>11</v>
      </c>
      <c r="H1831" s="358" t="s">
        <v>11</v>
      </c>
    </row>
    <row r="1832" spans="1:8" x14ac:dyDescent="0.3">
      <c r="A1832" t="s">
        <v>46</v>
      </c>
      <c r="B1832" t="s">
        <v>80</v>
      </c>
      <c r="C1832" t="s">
        <v>2121</v>
      </c>
      <c r="D1832">
        <v>1</v>
      </c>
      <c r="E1832" s="358">
        <v>6</v>
      </c>
      <c r="F1832" s="358" t="s">
        <v>7</v>
      </c>
      <c r="G1832" s="358" t="s">
        <v>11</v>
      </c>
      <c r="H1832" s="358" t="s">
        <v>11</v>
      </c>
    </row>
    <row r="1833" spans="1:8" x14ac:dyDescent="0.3">
      <c r="A1833" t="s">
        <v>46</v>
      </c>
      <c r="B1833" t="s">
        <v>80</v>
      </c>
      <c r="C1833" t="s">
        <v>2476</v>
      </c>
      <c r="D1833">
        <v>3</v>
      </c>
      <c r="E1833" s="358">
        <v>4</v>
      </c>
      <c r="F1833" s="358" t="s">
        <v>7</v>
      </c>
      <c r="G1833" s="358" t="s">
        <v>11</v>
      </c>
      <c r="H1833" s="358" t="s">
        <v>11</v>
      </c>
    </row>
    <row r="1834" spans="1:8" x14ac:dyDescent="0.3">
      <c r="A1834" t="s">
        <v>46</v>
      </c>
      <c r="B1834" t="s">
        <v>80</v>
      </c>
      <c r="C1834" t="s">
        <v>2477</v>
      </c>
      <c r="D1834">
        <v>1</v>
      </c>
      <c r="E1834" s="358">
        <v>6</v>
      </c>
      <c r="F1834" s="358" t="s">
        <v>7</v>
      </c>
      <c r="G1834" s="358" t="s">
        <v>11</v>
      </c>
      <c r="H1834" s="358" t="s">
        <v>11</v>
      </c>
    </row>
    <row r="1835" spans="1:8" x14ac:dyDescent="0.3">
      <c r="A1835" t="s">
        <v>46</v>
      </c>
      <c r="B1835" t="s">
        <v>80</v>
      </c>
      <c r="C1835" t="s">
        <v>2478</v>
      </c>
      <c r="D1835">
        <v>1</v>
      </c>
      <c r="E1835" s="358">
        <v>6</v>
      </c>
      <c r="F1835" s="358" t="s">
        <v>7</v>
      </c>
      <c r="G1835" s="358" t="s">
        <v>11</v>
      </c>
      <c r="H1835" s="358" t="s">
        <v>11</v>
      </c>
    </row>
    <row r="1836" spans="1:8" x14ac:dyDescent="0.3">
      <c r="A1836" t="s">
        <v>46</v>
      </c>
      <c r="B1836" t="s">
        <v>80</v>
      </c>
      <c r="C1836" t="s">
        <v>2479</v>
      </c>
      <c r="D1836">
        <v>1</v>
      </c>
      <c r="E1836" s="358">
        <v>5</v>
      </c>
      <c r="F1836" s="358" t="s">
        <v>7</v>
      </c>
      <c r="G1836" s="358" t="s">
        <v>11</v>
      </c>
      <c r="H1836" s="358" t="s">
        <v>11</v>
      </c>
    </row>
    <row r="1837" spans="1:8" x14ac:dyDescent="0.3">
      <c r="A1837" t="s">
        <v>46</v>
      </c>
      <c r="B1837" t="s">
        <v>80</v>
      </c>
      <c r="C1837" t="s">
        <v>1949</v>
      </c>
      <c r="D1837">
        <v>1</v>
      </c>
      <c r="E1837" s="358">
        <v>5</v>
      </c>
      <c r="F1837" s="358" t="s">
        <v>7</v>
      </c>
      <c r="G1837" s="358" t="s">
        <v>11</v>
      </c>
      <c r="H1837" s="358" t="s">
        <v>11</v>
      </c>
    </row>
    <row r="1838" spans="1:8" x14ac:dyDescent="0.3">
      <c r="A1838" t="s">
        <v>46</v>
      </c>
      <c r="B1838" t="s">
        <v>80</v>
      </c>
      <c r="C1838" t="s">
        <v>2480</v>
      </c>
      <c r="D1838">
        <v>1</v>
      </c>
      <c r="E1838" s="358">
        <v>5</v>
      </c>
      <c r="F1838" s="358" t="s">
        <v>7</v>
      </c>
      <c r="G1838" s="358" t="s">
        <v>11</v>
      </c>
      <c r="H1838" s="358" t="s">
        <v>11</v>
      </c>
    </row>
    <row r="1839" spans="1:8" x14ac:dyDescent="0.3">
      <c r="A1839" t="s">
        <v>46</v>
      </c>
      <c r="B1839" t="s">
        <v>80</v>
      </c>
      <c r="C1839" t="s">
        <v>2481</v>
      </c>
      <c r="D1839">
        <v>1</v>
      </c>
      <c r="E1839" s="358">
        <v>6</v>
      </c>
      <c r="F1839" s="358" t="s">
        <v>7</v>
      </c>
      <c r="G1839" s="358" t="s">
        <v>11</v>
      </c>
      <c r="H1839" s="358" t="s">
        <v>11</v>
      </c>
    </row>
    <row r="1840" spans="1:8" x14ac:dyDescent="0.3">
      <c r="A1840" t="s">
        <v>46</v>
      </c>
      <c r="B1840" t="s">
        <v>80</v>
      </c>
      <c r="C1840" t="s">
        <v>1810</v>
      </c>
      <c r="D1840">
        <v>2</v>
      </c>
      <c r="E1840" s="358">
        <v>6</v>
      </c>
      <c r="F1840" s="358" t="s">
        <v>7</v>
      </c>
      <c r="G1840" s="358" t="s">
        <v>11</v>
      </c>
      <c r="H1840" s="358" t="s">
        <v>11</v>
      </c>
    </row>
    <row r="1841" spans="1:8" x14ac:dyDescent="0.3">
      <c r="A1841" t="s">
        <v>46</v>
      </c>
      <c r="B1841" t="s">
        <v>80</v>
      </c>
      <c r="C1841" t="s">
        <v>1437</v>
      </c>
      <c r="D1841">
        <v>1</v>
      </c>
      <c r="E1841" s="358">
        <v>5</v>
      </c>
      <c r="F1841" s="358" t="s">
        <v>7</v>
      </c>
      <c r="G1841" s="358" t="s">
        <v>11</v>
      </c>
      <c r="H1841" s="358" t="s">
        <v>11</v>
      </c>
    </row>
    <row r="1842" spans="1:8" x14ac:dyDescent="0.3">
      <c r="A1842" t="s">
        <v>46</v>
      </c>
      <c r="B1842" t="s">
        <v>80</v>
      </c>
      <c r="C1842" t="s">
        <v>2482</v>
      </c>
      <c r="D1842">
        <v>1</v>
      </c>
      <c r="E1842" s="358">
        <v>5</v>
      </c>
      <c r="F1842" s="358" t="s">
        <v>7</v>
      </c>
      <c r="G1842" s="358" t="s">
        <v>11</v>
      </c>
      <c r="H1842" s="358" t="s">
        <v>11</v>
      </c>
    </row>
    <row r="1843" spans="1:8" x14ac:dyDescent="0.3">
      <c r="A1843" t="s">
        <v>46</v>
      </c>
      <c r="B1843" t="s">
        <v>80</v>
      </c>
      <c r="C1843" t="s">
        <v>1862</v>
      </c>
      <c r="D1843">
        <v>1</v>
      </c>
      <c r="E1843" s="358">
        <v>6</v>
      </c>
      <c r="F1843" s="358" t="s">
        <v>7</v>
      </c>
      <c r="G1843" s="358" t="s">
        <v>11</v>
      </c>
      <c r="H1843" s="358" t="s">
        <v>11</v>
      </c>
    </row>
    <row r="1844" spans="1:8" x14ac:dyDescent="0.3">
      <c r="A1844" t="s">
        <v>46</v>
      </c>
      <c r="B1844" t="s">
        <v>80</v>
      </c>
      <c r="C1844" t="s">
        <v>2483</v>
      </c>
      <c r="D1844">
        <v>1</v>
      </c>
      <c r="E1844" s="358">
        <v>5</v>
      </c>
      <c r="F1844" s="358" t="s">
        <v>7</v>
      </c>
      <c r="G1844" s="358" t="s">
        <v>11</v>
      </c>
      <c r="H1844" s="358" t="s">
        <v>11</v>
      </c>
    </row>
    <row r="1845" spans="1:8" x14ac:dyDescent="0.3">
      <c r="A1845" t="s">
        <v>46</v>
      </c>
      <c r="B1845" t="s">
        <v>80</v>
      </c>
      <c r="C1845" t="s">
        <v>2484</v>
      </c>
      <c r="D1845">
        <v>1</v>
      </c>
      <c r="E1845" s="358">
        <v>5</v>
      </c>
      <c r="F1845" s="358" t="s">
        <v>7</v>
      </c>
      <c r="G1845" s="358" t="s">
        <v>11</v>
      </c>
      <c r="H1845" s="358" t="s">
        <v>11</v>
      </c>
    </row>
    <row r="1846" spans="1:8" x14ac:dyDescent="0.3">
      <c r="A1846" t="s">
        <v>46</v>
      </c>
      <c r="B1846" t="s">
        <v>80</v>
      </c>
      <c r="C1846" t="s">
        <v>2142</v>
      </c>
      <c r="D1846">
        <v>3</v>
      </c>
      <c r="E1846" s="358">
        <v>6</v>
      </c>
      <c r="F1846" s="358" t="s">
        <v>7</v>
      </c>
      <c r="G1846" s="358" t="s">
        <v>11</v>
      </c>
      <c r="H1846" s="358" t="s">
        <v>11</v>
      </c>
    </row>
    <row r="1847" spans="1:8" x14ac:dyDescent="0.3">
      <c r="A1847" t="s">
        <v>46</v>
      </c>
      <c r="B1847" t="s">
        <v>80</v>
      </c>
      <c r="C1847" t="s">
        <v>1344</v>
      </c>
      <c r="D1847">
        <v>3</v>
      </c>
      <c r="E1847" s="358">
        <v>6</v>
      </c>
      <c r="F1847" s="358" t="s">
        <v>7</v>
      </c>
      <c r="G1847" s="358" t="s">
        <v>11</v>
      </c>
      <c r="H1847" s="358" t="s">
        <v>11</v>
      </c>
    </row>
    <row r="1848" spans="1:8" x14ac:dyDescent="0.3">
      <c r="A1848" t="s">
        <v>46</v>
      </c>
      <c r="B1848" t="s">
        <v>80</v>
      </c>
      <c r="C1848" t="s">
        <v>1446</v>
      </c>
      <c r="D1848">
        <v>3</v>
      </c>
      <c r="E1848" s="358">
        <v>6</v>
      </c>
      <c r="F1848" s="358" t="s">
        <v>7</v>
      </c>
      <c r="G1848" s="358" t="s">
        <v>11</v>
      </c>
      <c r="H1848" s="358" t="s">
        <v>11</v>
      </c>
    </row>
    <row r="1849" spans="1:8" x14ac:dyDescent="0.3">
      <c r="A1849" t="s">
        <v>46</v>
      </c>
      <c r="B1849" t="s">
        <v>80</v>
      </c>
      <c r="C1849" t="s">
        <v>2163</v>
      </c>
      <c r="D1849">
        <v>1</v>
      </c>
      <c r="E1849" s="358">
        <v>5</v>
      </c>
      <c r="F1849" s="358" t="s">
        <v>7</v>
      </c>
      <c r="G1849" s="358" t="s">
        <v>11</v>
      </c>
      <c r="H1849" s="358" t="s">
        <v>11</v>
      </c>
    </row>
    <row r="1850" spans="1:8" x14ac:dyDescent="0.3">
      <c r="A1850" t="s">
        <v>46</v>
      </c>
      <c r="B1850" t="s">
        <v>80</v>
      </c>
      <c r="C1850" t="s">
        <v>1346</v>
      </c>
      <c r="D1850">
        <v>1</v>
      </c>
      <c r="E1850" s="358">
        <v>5</v>
      </c>
      <c r="F1850" s="358" t="s">
        <v>7</v>
      </c>
      <c r="G1850" s="358" t="s">
        <v>11</v>
      </c>
      <c r="H1850" s="358" t="s">
        <v>11</v>
      </c>
    </row>
    <row r="1851" spans="1:8" x14ac:dyDescent="0.3">
      <c r="A1851" t="s">
        <v>46</v>
      </c>
      <c r="B1851" t="s">
        <v>80</v>
      </c>
      <c r="C1851" t="s">
        <v>1624</v>
      </c>
      <c r="D1851">
        <v>3</v>
      </c>
      <c r="E1851" s="358">
        <v>6</v>
      </c>
      <c r="F1851" s="358" t="s">
        <v>7</v>
      </c>
      <c r="G1851" s="358" t="s">
        <v>11</v>
      </c>
      <c r="H1851" s="358" t="s">
        <v>11</v>
      </c>
    </row>
    <row r="1852" spans="1:8" x14ac:dyDescent="0.3">
      <c r="A1852" t="s">
        <v>46</v>
      </c>
      <c r="B1852" t="s">
        <v>80</v>
      </c>
      <c r="C1852" t="s">
        <v>2485</v>
      </c>
      <c r="D1852">
        <v>3</v>
      </c>
      <c r="E1852" s="358">
        <v>6</v>
      </c>
      <c r="F1852" s="358" t="s">
        <v>7</v>
      </c>
      <c r="G1852" s="358" t="s">
        <v>11</v>
      </c>
      <c r="H1852" s="358" t="s">
        <v>11</v>
      </c>
    </row>
    <row r="1853" spans="1:8" x14ac:dyDescent="0.3">
      <c r="A1853" t="s">
        <v>46</v>
      </c>
      <c r="B1853" t="s">
        <v>80</v>
      </c>
      <c r="C1853" t="s">
        <v>1351</v>
      </c>
      <c r="D1853">
        <v>2</v>
      </c>
      <c r="E1853" s="358">
        <v>6</v>
      </c>
      <c r="F1853" s="358" t="s">
        <v>7</v>
      </c>
      <c r="G1853" s="358" t="s">
        <v>11</v>
      </c>
      <c r="H1853" s="358" t="s">
        <v>11</v>
      </c>
    </row>
    <row r="1854" spans="1:8" x14ac:dyDescent="0.3">
      <c r="A1854" t="s">
        <v>46</v>
      </c>
      <c r="B1854" t="s">
        <v>80</v>
      </c>
      <c r="C1854" t="s">
        <v>1499</v>
      </c>
      <c r="D1854">
        <v>3</v>
      </c>
      <c r="E1854" s="358">
        <v>4</v>
      </c>
      <c r="F1854" s="358" t="s">
        <v>7</v>
      </c>
      <c r="G1854" s="358" t="s">
        <v>11</v>
      </c>
      <c r="H1854" s="358" t="s">
        <v>11</v>
      </c>
    </row>
    <row r="1855" spans="1:8" x14ac:dyDescent="0.3">
      <c r="A1855" t="s">
        <v>46</v>
      </c>
      <c r="B1855" t="s">
        <v>80</v>
      </c>
      <c r="C1855" t="s">
        <v>1792</v>
      </c>
      <c r="D1855">
        <v>2</v>
      </c>
      <c r="E1855" s="358">
        <v>6</v>
      </c>
      <c r="F1855" s="358" t="s">
        <v>7</v>
      </c>
      <c r="G1855" s="358" t="s">
        <v>11</v>
      </c>
      <c r="H1855" s="358" t="s">
        <v>11</v>
      </c>
    </row>
    <row r="1856" spans="1:8" x14ac:dyDescent="0.3">
      <c r="A1856" t="s">
        <v>46</v>
      </c>
      <c r="B1856" t="s">
        <v>80</v>
      </c>
      <c r="C1856" t="s">
        <v>1830</v>
      </c>
      <c r="D1856">
        <v>1</v>
      </c>
      <c r="E1856" s="358">
        <v>5</v>
      </c>
      <c r="F1856" s="358" t="s">
        <v>7</v>
      </c>
      <c r="G1856" s="358" t="s">
        <v>11</v>
      </c>
      <c r="H1856" s="358" t="s">
        <v>11</v>
      </c>
    </row>
    <row r="1857" spans="1:8" x14ac:dyDescent="0.3">
      <c r="A1857" t="s">
        <v>46</v>
      </c>
      <c r="B1857" t="s">
        <v>80</v>
      </c>
      <c r="C1857" t="s">
        <v>1359</v>
      </c>
      <c r="D1857">
        <v>1</v>
      </c>
      <c r="E1857" s="358">
        <v>6</v>
      </c>
      <c r="F1857" s="358" t="s">
        <v>7</v>
      </c>
      <c r="G1857" s="358" t="s">
        <v>11</v>
      </c>
      <c r="H1857" s="358" t="s">
        <v>11</v>
      </c>
    </row>
    <row r="1858" spans="1:8" x14ac:dyDescent="0.3">
      <c r="A1858" t="s">
        <v>46</v>
      </c>
      <c r="B1858" t="s">
        <v>80</v>
      </c>
      <c r="C1858" t="s">
        <v>1364</v>
      </c>
      <c r="D1858">
        <v>2</v>
      </c>
      <c r="E1858" s="358">
        <v>5</v>
      </c>
      <c r="F1858" s="358" t="s">
        <v>7</v>
      </c>
      <c r="G1858" s="358" t="s">
        <v>11</v>
      </c>
      <c r="H1858" s="358" t="s">
        <v>11</v>
      </c>
    </row>
    <row r="1859" spans="1:8" x14ac:dyDescent="0.3">
      <c r="A1859" t="s">
        <v>46</v>
      </c>
      <c r="B1859" t="s">
        <v>80</v>
      </c>
      <c r="C1859" t="s">
        <v>1365</v>
      </c>
      <c r="D1859">
        <v>2</v>
      </c>
      <c r="E1859" s="358">
        <v>6</v>
      </c>
      <c r="F1859" s="358" t="s">
        <v>7</v>
      </c>
      <c r="G1859" s="358" t="s">
        <v>11</v>
      </c>
      <c r="H1859" s="358" t="s">
        <v>11</v>
      </c>
    </row>
    <row r="1860" spans="1:8" x14ac:dyDescent="0.3">
      <c r="A1860" t="s">
        <v>46</v>
      </c>
      <c r="B1860" t="s">
        <v>80</v>
      </c>
      <c r="C1860" t="s">
        <v>1638</v>
      </c>
      <c r="D1860">
        <v>3</v>
      </c>
      <c r="E1860" s="358">
        <v>4</v>
      </c>
      <c r="F1860" s="358" t="s">
        <v>7</v>
      </c>
      <c r="G1860" s="358" t="s">
        <v>11</v>
      </c>
      <c r="H1860" s="358" t="s">
        <v>11</v>
      </c>
    </row>
    <row r="1861" spans="1:8" x14ac:dyDescent="0.3">
      <c r="A1861" t="s">
        <v>46</v>
      </c>
      <c r="B1861" t="s">
        <v>80</v>
      </c>
      <c r="C1861" t="s">
        <v>2486</v>
      </c>
      <c r="D1861">
        <v>3</v>
      </c>
      <c r="E1861" s="358">
        <v>4</v>
      </c>
      <c r="F1861" s="358" t="s">
        <v>7</v>
      </c>
      <c r="G1861" s="358" t="s">
        <v>11</v>
      </c>
      <c r="H1861" s="358" t="s">
        <v>11</v>
      </c>
    </row>
    <row r="1862" spans="1:8" x14ac:dyDescent="0.3">
      <c r="A1862" t="s">
        <v>46</v>
      </c>
      <c r="B1862" t="s">
        <v>80</v>
      </c>
      <c r="C1862" t="s">
        <v>2487</v>
      </c>
      <c r="D1862">
        <v>2</v>
      </c>
      <c r="E1862" s="358">
        <v>5</v>
      </c>
      <c r="F1862" s="358" t="s">
        <v>7</v>
      </c>
      <c r="G1862" s="358" t="s">
        <v>11</v>
      </c>
      <c r="H1862" s="358" t="s">
        <v>11</v>
      </c>
    </row>
    <row r="1863" spans="1:8" x14ac:dyDescent="0.3">
      <c r="A1863" t="s">
        <v>46</v>
      </c>
      <c r="B1863" t="s">
        <v>80</v>
      </c>
      <c r="C1863" t="s">
        <v>1795</v>
      </c>
      <c r="D1863">
        <v>2</v>
      </c>
      <c r="E1863" s="358">
        <v>6</v>
      </c>
      <c r="F1863" s="358" t="s">
        <v>7</v>
      </c>
      <c r="G1863" s="358" t="s">
        <v>11</v>
      </c>
      <c r="H1863" s="358" t="s">
        <v>11</v>
      </c>
    </row>
    <row r="1864" spans="1:8" x14ac:dyDescent="0.3">
      <c r="A1864" t="s">
        <v>46</v>
      </c>
      <c r="B1864" t="s">
        <v>80</v>
      </c>
      <c r="C1864" t="s">
        <v>2488</v>
      </c>
      <c r="D1864">
        <v>1</v>
      </c>
      <c r="E1864" s="358">
        <v>5</v>
      </c>
      <c r="F1864" s="358" t="s">
        <v>7</v>
      </c>
      <c r="G1864" s="358" t="s">
        <v>11</v>
      </c>
      <c r="H1864" s="358" t="s">
        <v>11</v>
      </c>
    </row>
    <row r="1865" spans="1:8" x14ac:dyDescent="0.3">
      <c r="A1865" t="s">
        <v>46</v>
      </c>
      <c r="B1865" t="s">
        <v>80</v>
      </c>
      <c r="C1865" t="s">
        <v>2489</v>
      </c>
      <c r="D1865">
        <v>1</v>
      </c>
      <c r="E1865" s="358">
        <v>5</v>
      </c>
      <c r="F1865" s="358" t="s">
        <v>7</v>
      </c>
      <c r="G1865" s="358" t="s">
        <v>11</v>
      </c>
      <c r="H1865" s="358" t="s">
        <v>11</v>
      </c>
    </row>
    <row r="1866" spans="1:8" x14ac:dyDescent="0.3">
      <c r="A1866" t="s">
        <v>46</v>
      </c>
      <c r="B1866" t="s">
        <v>80</v>
      </c>
      <c r="C1866" t="s">
        <v>1512</v>
      </c>
      <c r="D1866">
        <v>1</v>
      </c>
      <c r="E1866" s="358">
        <v>5</v>
      </c>
      <c r="F1866" s="358" t="s">
        <v>7</v>
      </c>
      <c r="G1866" s="358" t="s">
        <v>11</v>
      </c>
      <c r="H1866" s="358" t="s">
        <v>11</v>
      </c>
    </row>
    <row r="1867" spans="1:8" x14ac:dyDescent="0.3">
      <c r="A1867" t="s">
        <v>46</v>
      </c>
      <c r="B1867" t="s">
        <v>80</v>
      </c>
      <c r="C1867" t="s">
        <v>2088</v>
      </c>
      <c r="D1867">
        <v>2</v>
      </c>
      <c r="E1867" s="358">
        <v>5</v>
      </c>
      <c r="F1867" s="358" t="s">
        <v>7</v>
      </c>
      <c r="G1867" s="358" t="s">
        <v>11</v>
      </c>
      <c r="H1867" s="358" t="s">
        <v>11</v>
      </c>
    </row>
    <row r="1868" spans="1:8" x14ac:dyDescent="0.3">
      <c r="A1868" t="s">
        <v>46</v>
      </c>
      <c r="B1868" t="s">
        <v>80</v>
      </c>
      <c r="C1868" t="s">
        <v>2490</v>
      </c>
      <c r="D1868">
        <v>2</v>
      </c>
      <c r="E1868" s="358">
        <v>5</v>
      </c>
      <c r="F1868" s="358" t="s">
        <v>7</v>
      </c>
      <c r="G1868" s="358" t="s">
        <v>11</v>
      </c>
      <c r="H1868" s="358" t="s">
        <v>11</v>
      </c>
    </row>
    <row r="1869" spans="1:8" x14ac:dyDescent="0.3">
      <c r="A1869" t="s">
        <v>46</v>
      </c>
      <c r="B1869" t="s">
        <v>80</v>
      </c>
      <c r="C1869" t="s">
        <v>2200</v>
      </c>
      <c r="D1869">
        <v>1</v>
      </c>
      <c r="E1869" s="358">
        <v>6</v>
      </c>
      <c r="F1869" s="358" t="s">
        <v>7</v>
      </c>
      <c r="G1869" s="358" t="s">
        <v>11</v>
      </c>
      <c r="H1869" s="358" t="s">
        <v>11</v>
      </c>
    </row>
    <row r="1870" spans="1:8" x14ac:dyDescent="0.3">
      <c r="A1870" t="s">
        <v>46</v>
      </c>
      <c r="B1870" t="s">
        <v>80</v>
      </c>
      <c r="C1870" t="s">
        <v>1645</v>
      </c>
      <c r="D1870">
        <v>1</v>
      </c>
      <c r="E1870" s="358">
        <v>5</v>
      </c>
      <c r="F1870" s="358" t="s">
        <v>7</v>
      </c>
      <c r="G1870" s="358" t="s">
        <v>11</v>
      </c>
      <c r="H1870" s="358" t="s">
        <v>11</v>
      </c>
    </row>
    <row r="1871" spans="1:8" x14ac:dyDescent="0.3">
      <c r="A1871" t="s">
        <v>46</v>
      </c>
      <c r="B1871" t="s">
        <v>80</v>
      </c>
      <c r="C1871" t="s">
        <v>2491</v>
      </c>
      <c r="D1871">
        <v>3</v>
      </c>
      <c r="E1871" s="358">
        <v>4</v>
      </c>
      <c r="F1871" s="358" t="s">
        <v>7</v>
      </c>
      <c r="G1871" s="358" t="s">
        <v>11</v>
      </c>
      <c r="H1871" s="358" t="s">
        <v>11</v>
      </c>
    </row>
    <row r="1872" spans="1:8" x14ac:dyDescent="0.3">
      <c r="A1872" t="s">
        <v>46</v>
      </c>
      <c r="B1872" t="s">
        <v>80</v>
      </c>
      <c r="C1872" t="s">
        <v>2492</v>
      </c>
      <c r="D1872">
        <v>1</v>
      </c>
      <c r="E1872" s="358">
        <v>5</v>
      </c>
      <c r="F1872" s="358" t="s">
        <v>7</v>
      </c>
      <c r="G1872" s="358" t="s">
        <v>11</v>
      </c>
      <c r="H1872" s="358" t="s">
        <v>11</v>
      </c>
    </row>
    <row r="1873" spans="1:8" x14ac:dyDescent="0.3">
      <c r="A1873" t="s">
        <v>46</v>
      </c>
      <c r="B1873" t="s">
        <v>80</v>
      </c>
      <c r="C1873" t="s">
        <v>1735</v>
      </c>
      <c r="D1873">
        <v>3</v>
      </c>
      <c r="E1873" s="358">
        <v>4</v>
      </c>
      <c r="F1873" s="358" t="s">
        <v>7</v>
      </c>
      <c r="G1873" s="358" t="s">
        <v>11</v>
      </c>
      <c r="H1873" s="358" t="s">
        <v>11</v>
      </c>
    </row>
    <row r="1874" spans="1:8" x14ac:dyDescent="0.3">
      <c r="A1874" t="s">
        <v>46</v>
      </c>
      <c r="B1874" t="s">
        <v>80</v>
      </c>
      <c r="C1874" t="s">
        <v>2493</v>
      </c>
      <c r="D1874">
        <v>3</v>
      </c>
      <c r="E1874" s="358">
        <v>5</v>
      </c>
      <c r="F1874" s="358" t="s">
        <v>7</v>
      </c>
      <c r="G1874" s="358" t="s">
        <v>11</v>
      </c>
      <c r="H1874" s="358" t="s">
        <v>11</v>
      </c>
    </row>
    <row r="1875" spans="1:8" x14ac:dyDescent="0.3">
      <c r="A1875" t="s">
        <v>46</v>
      </c>
      <c r="B1875" t="s">
        <v>80</v>
      </c>
      <c r="C1875" t="s">
        <v>2494</v>
      </c>
      <c r="D1875">
        <v>2</v>
      </c>
      <c r="E1875" s="358">
        <v>6</v>
      </c>
      <c r="F1875" s="358" t="s">
        <v>7</v>
      </c>
      <c r="G1875" s="358" t="s">
        <v>11</v>
      </c>
      <c r="H1875" s="358" t="s">
        <v>11</v>
      </c>
    </row>
    <row r="1876" spans="1:8" x14ac:dyDescent="0.3">
      <c r="A1876" t="s">
        <v>46</v>
      </c>
      <c r="B1876" t="s">
        <v>80</v>
      </c>
      <c r="C1876" t="s">
        <v>2495</v>
      </c>
      <c r="D1876">
        <v>2</v>
      </c>
      <c r="E1876" s="358">
        <v>5</v>
      </c>
      <c r="F1876" s="358" t="s">
        <v>7</v>
      </c>
      <c r="G1876" s="358" t="s">
        <v>11</v>
      </c>
      <c r="H1876" s="358" t="s">
        <v>11</v>
      </c>
    </row>
    <row r="1877" spans="1:8" x14ac:dyDescent="0.3">
      <c r="A1877" t="s">
        <v>46</v>
      </c>
      <c r="B1877" t="s">
        <v>80</v>
      </c>
      <c r="C1877" t="s">
        <v>2496</v>
      </c>
      <c r="D1877">
        <v>2</v>
      </c>
      <c r="E1877" s="358">
        <v>5</v>
      </c>
      <c r="F1877" s="358" t="s">
        <v>7</v>
      </c>
      <c r="G1877" s="358" t="s">
        <v>11</v>
      </c>
      <c r="H1877" s="358" t="s">
        <v>11</v>
      </c>
    </row>
    <row r="1878" spans="1:8" x14ac:dyDescent="0.3">
      <c r="A1878" t="s">
        <v>46</v>
      </c>
      <c r="B1878" t="s">
        <v>80</v>
      </c>
      <c r="C1878" t="s">
        <v>2497</v>
      </c>
      <c r="D1878">
        <v>1</v>
      </c>
      <c r="E1878" s="358">
        <v>6</v>
      </c>
      <c r="F1878" s="358" t="s">
        <v>7</v>
      </c>
      <c r="G1878" s="358" t="s">
        <v>11</v>
      </c>
      <c r="H1878" s="358" t="s">
        <v>11</v>
      </c>
    </row>
    <row r="1879" spans="1:8" x14ac:dyDescent="0.3">
      <c r="A1879" t="s">
        <v>46</v>
      </c>
      <c r="B1879" t="s">
        <v>80</v>
      </c>
      <c r="C1879" t="s">
        <v>1846</v>
      </c>
      <c r="D1879">
        <v>1</v>
      </c>
      <c r="E1879" s="358">
        <v>6</v>
      </c>
      <c r="F1879" s="358" t="s">
        <v>7</v>
      </c>
      <c r="G1879" s="358" t="s">
        <v>11</v>
      </c>
      <c r="H1879" s="358" t="s">
        <v>11</v>
      </c>
    </row>
    <row r="1880" spans="1:8" x14ac:dyDescent="0.3">
      <c r="A1880" t="s">
        <v>46</v>
      </c>
      <c r="B1880" t="s">
        <v>80</v>
      </c>
      <c r="C1880" t="s">
        <v>2498</v>
      </c>
      <c r="D1880">
        <v>1</v>
      </c>
      <c r="E1880" s="358">
        <v>5</v>
      </c>
      <c r="F1880" s="358" t="s">
        <v>7</v>
      </c>
      <c r="G1880" s="358" t="s">
        <v>11</v>
      </c>
      <c r="H1880" s="358" t="s">
        <v>11</v>
      </c>
    </row>
    <row r="1881" spans="1:8" x14ac:dyDescent="0.3">
      <c r="A1881" t="s">
        <v>46</v>
      </c>
      <c r="B1881" t="s">
        <v>80</v>
      </c>
      <c r="C1881" t="s">
        <v>1887</v>
      </c>
      <c r="D1881">
        <v>1</v>
      </c>
      <c r="E1881" s="358">
        <v>6</v>
      </c>
      <c r="F1881" s="358" t="s">
        <v>7</v>
      </c>
      <c r="G1881" s="358" t="s">
        <v>11</v>
      </c>
      <c r="H1881" s="358" t="s">
        <v>11</v>
      </c>
    </row>
    <row r="1882" spans="1:8" x14ac:dyDescent="0.3">
      <c r="A1882" t="s">
        <v>46</v>
      </c>
      <c r="B1882" t="s">
        <v>80</v>
      </c>
      <c r="C1882" t="s">
        <v>2147</v>
      </c>
      <c r="D1882">
        <v>3</v>
      </c>
      <c r="E1882" s="358">
        <v>4</v>
      </c>
      <c r="F1882" s="358" t="s">
        <v>7</v>
      </c>
      <c r="G1882" s="358" t="s">
        <v>11</v>
      </c>
      <c r="H1882" s="358" t="s">
        <v>11</v>
      </c>
    </row>
    <row r="1883" spans="1:8" x14ac:dyDescent="0.3">
      <c r="A1883" t="s">
        <v>46</v>
      </c>
      <c r="B1883" t="s">
        <v>80</v>
      </c>
      <c r="C1883" t="s">
        <v>1888</v>
      </c>
      <c r="D1883">
        <v>1</v>
      </c>
      <c r="E1883" s="358">
        <v>6</v>
      </c>
      <c r="F1883" s="358" t="s">
        <v>7</v>
      </c>
      <c r="G1883" s="358" t="s">
        <v>11</v>
      </c>
      <c r="H1883" s="358" t="s">
        <v>11</v>
      </c>
    </row>
    <row r="1884" spans="1:8" x14ac:dyDescent="0.3">
      <c r="A1884" t="s">
        <v>46</v>
      </c>
      <c r="B1884" t="s">
        <v>80</v>
      </c>
      <c r="C1884" t="s">
        <v>2499</v>
      </c>
      <c r="D1884">
        <v>1</v>
      </c>
      <c r="E1884" s="358">
        <v>5</v>
      </c>
      <c r="F1884" s="358" t="s">
        <v>7</v>
      </c>
      <c r="G1884" s="358" t="s">
        <v>11</v>
      </c>
      <c r="H1884" s="358" t="s">
        <v>11</v>
      </c>
    </row>
    <row r="1885" spans="1:8" x14ac:dyDescent="0.3">
      <c r="A1885" t="s">
        <v>46</v>
      </c>
      <c r="B1885" t="s">
        <v>80</v>
      </c>
      <c r="C1885" t="s">
        <v>2500</v>
      </c>
      <c r="D1885">
        <v>1</v>
      </c>
      <c r="E1885" s="358">
        <v>6</v>
      </c>
      <c r="F1885" s="358" t="s">
        <v>7</v>
      </c>
      <c r="G1885" s="358" t="s">
        <v>11</v>
      </c>
      <c r="H1885" s="358" t="s">
        <v>11</v>
      </c>
    </row>
    <row r="1886" spans="1:8" x14ac:dyDescent="0.3">
      <c r="A1886" t="s">
        <v>46</v>
      </c>
      <c r="B1886" t="s">
        <v>80</v>
      </c>
      <c r="C1886" t="s">
        <v>2501</v>
      </c>
      <c r="D1886">
        <v>1</v>
      </c>
      <c r="E1886" s="358">
        <v>6</v>
      </c>
      <c r="F1886" s="358" t="s">
        <v>7</v>
      </c>
      <c r="G1886" s="358" t="s">
        <v>11</v>
      </c>
      <c r="H1886" s="358" t="s">
        <v>11</v>
      </c>
    </row>
    <row r="1887" spans="1:8" x14ac:dyDescent="0.3">
      <c r="A1887" t="s">
        <v>46</v>
      </c>
      <c r="B1887" t="s">
        <v>80</v>
      </c>
      <c r="C1887" t="s">
        <v>1757</v>
      </c>
      <c r="D1887">
        <v>3</v>
      </c>
      <c r="E1887" s="358">
        <v>6</v>
      </c>
      <c r="F1887" s="358" t="s">
        <v>7</v>
      </c>
      <c r="G1887" s="358" t="s">
        <v>11</v>
      </c>
      <c r="H1887" s="358" t="s">
        <v>11</v>
      </c>
    </row>
    <row r="1888" spans="1:8" x14ac:dyDescent="0.3">
      <c r="A1888" t="s">
        <v>46</v>
      </c>
      <c r="B1888" t="s">
        <v>80</v>
      </c>
      <c r="C1888" t="s">
        <v>1379</v>
      </c>
      <c r="D1888">
        <v>1</v>
      </c>
      <c r="E1888" s="358">
        <v>5</v>
      </c>
      <c r="F1888" s="358" t="s">
        <v>7</v>
      </c>
      <c r="G1888" s="358" t="s">
        <v>11</v>
      </c>
      <c r="H1888" s="358" t="s">
        <v>11</v>
      </c>
    </row>
    <row r="1889" spans="1:8" x14ac:dyDescent="0.3">
      <c r="A1889" t="s">
        <v>46</v>
      </c>
      <c r="B1889" t="s">
        <v>80</v>
      </c>
      <c r="C1889" t="s">
        <v>1758</v>
      </c>
      <c r="D1889">
        <v>2</v>
      </c>
      <c r="E1889" s="358">
        <v>5</v>
      </c>
      <c r="F1889" s="358" t="s">
        <v>7</v>
      </c>
      <c r="G1889" s="358" t="s">
        <v>11</v>
      </c>
      <c r="H1889" s="358" t="s">
        <v>11</v>
      </c>
    </row>
    <row r="1890" spans="1:8" x14ac:dyDescent="0.3">
      <c r="A1890" t="s">
        <v>46</v>
      </c>
      <c r="B1890" t="s">
        <v>80</v>
      </c>
      <c r="C1890" t="s">
        <v>2502</v>
      </c>
      <c r="D1890">
        <v>3</v>
      </c>
      <c r="E1890" s="358">
        <v>4</v>
      </c>
      <c r="F1890" s="358" t="s">
        <v>7</v>
      </c>
      <c r="G1890" s="358" t="s">
        <v>11</v>
      </c>
      <c r="H1890" s="358" t="s">
        <v>11</v>
      </c>
    </row>
    <row r="1891" spans="1:8" x14ac:dyDescent="0.3">
      <c r="A1891" t="s">
        <v>46</v>
      </c>
      <c r="B1891" t="s">
        <v>80</v>
      </c>
      <c r="C1891" t="s">
        <v>2503</v>
      </c>
      <c r="D1891">
        <v>1</v>
      </c>
      <c r="E1891" s="358">
        <v>6</v>
      </c>
      <c r="F1891" s="358" t="s">
        <v>7</v>
      </c>
      <c r="G1891" s="358" t="s">
        <v>11</v>
      </c>
      <c r="H1891" s="358" t="s">
        <v>11</v>
      </c>
    </row>
    <row r="1892" spans="1:8" x14ac:dyDescent="0.3">
      <c r="A1892" t="s">
        <v>46</v>
      </c>
      <c r="B1892" t="s">
        <v>80</v>
      </c>
      <c r="C1892" t="s">
        <v>2504</v>
      </c>
      <c r="D1892">
        <v>1</v>
      </c>
      <c r="E1892" s="358">
        <v>5</v>
      </c>
      <c r="F1892" s="358" t="s">
        <v>7</v>
      </c>
      <c r="G1892" s="358" t="s">
        <v>11</v>
      </c>
      <c r="H1892" s="358" t="s">
        <v>11</v>
      </c>
    </row>
    <row r="1893" spans="1:8" x14ac:dyDescent="0.3">
      <c r="A1893" t="s">
        <v>38</v>
      </c>
      <c r="B1893" t="s">
        <v>99</v>
      </c>
      <c r="C1893" t="s">
        <v>2505</v>
      </c>
      <c r="D1893">
        <v>3</v>
      </c>
      <c r="E1893" s="358">
        <v>4</v>
      </c>
      <c r="F1893" s="358" t="s">
        <v>7</v>
      </c>
      <c r="G1893" s="358" t="s">
        <v>11</v>
      </c>
      <c r="H1893" s="358" t="s">
        <v>11</v>
      </c>
    </row>
    <row r="1894" spans="1:8" x14ac:dyDescent="0.3">
      <c r="A1894" t="s">
        <v>38</v>
      </c>
      <c r="B1894" t="s">
        <v>99</v>
      </c>
      <c r="C1894" t="s">
        <v>1803</v>
      </c>
      <c r="D1894">
        <v>2</v>
      </c>
      <c r="E1894" s="358">
        <v>4</v>
      </c>
      <c r="F1894" s="358" t="s">
        <v>7</v>
      </c>
      <c r="G1894" s="358" t="s">
        <v>11</v>
      </c>
      <c r="H1894" s="358" t="s">
        <v>11</v>
      </c>
    </row>
    <row r="1895" spans="1:8" x14ac:dyDescent="0.3">
      <c r="A1895" t="s">
        <v>38</v>
      </c>
      <c r="B1895" t="s">
        <v>99</v>
      </c>
      <c r="C1895" t="s">
        <v>2506</v>
      </c>
      <c r="D1895">
        <v>1</v>
      </c>
      <c r="E1895" s="358">
        <v>5</v>
      </c>
      <c r="F1895" s="358" t="s">
        <v>7</v>
      </c>
      <c r="G1895" s="358" t="s">
        <v>11</v>
      </c>
      <c r="H1895" s="358" t="s">
        <v>11</v>
      </c>
    </row>
    <row r="1896" spans="1:8" x14ac:dyDescent="0.3">
      <c r="A1896" t="s">
        <v>38</v>
      </c>
      <c r="B1896" t="s">
        <v>99</v>
      </c>
      <c r="C1896" t="s">
        <v>2507</v>
      </c>
      <c r="D1896">
        <v>3</v>
      </c>
      <c r="E1896" s="358">
        <v>3</v>
      </c>
      <c r="F1896" s="358" t="s">
        <v>7</v>
      </c>
      <c r="G1896" s="358" t="s">
        <v>11</v>
      </c>
      <c r="H1896" s="358" t="s">
        <v>11</v>
      </c>
    </row>
    <row r="1897" spans="1:8" x14ac:dyDescent="0.3">
      <c r="A1897" t="s">
        <v>38</v>
      </c>
      <c r="B1897" t="s">
        <v>99</v>
      </c>
      <c r="C1897" t="s">
        <v>2508</v>
      </c>
      <c r="D1897">
        <v>2</v>
      </c>
      <c r="E1897" s="358">
        <v>5</v>
      </c>
      <c r="F1897" s="358" t="s">
        <v>7</v>
      </c>
      <c r="G1897" s="358" t="s">
        <v>11</v>
      </c>
      <c r="H1897" s="358" t="s">
        <v>11</v>
      </c>
    </row>
    <row r="1898" spans="1:8" x14ac:dyDescent="0.3">
      <c r="A1898" t="s">
        <v>38</v>
      </c>
      <c r="B1898" t="s">
        <v>99</v>
      </c>
      <c r="C1898" t="s">
        <v>2509</v>
      </c>
      <c r="D1898">
        <v>2</v>
      </c>
      <c r="E1898" s="358">
        <v>5</v>
      </c>
      <c r="F1898" s="358" t="s">
        <v>7</v>
      </c>
      <c r="G1898" s="358" t="s">
        <v>11</v>
      </c>
      <c r="H1898" s="358" t="s">
        <v>11</v>
      </c>
    </row>
    <row r="1899" spans="1:8" x14ac:dyDescent="0.3">
      <c r="A1899" t="s">
        <v>38</v>
      </c>
      <c r="B1899" t="s">
        <v>99</v>
      </c>
      <c r="C1899" t="s">
        <v>2510</v>
      </c>
      <c r="D1899">
        <v>3</v>
      </c>
      <c r="E1899" s="358">
        <v>3</v>
      </c>
      <c r="F1899" s="358" t="s">
        <v>7</v>
      </c>
      <c r="G1899" s="358" t="s">
        <v>11</v>
      </c>
      <c r="H1899" s="358" t="s">
        <v>11</v>
      </c>
    </row>
    <row r="1900" spans="1:8" x14ac:dyDescent="0.3">
      <c r="A1900" t="s">
        <v>38</v>
      </c>
      <c r="B1900" t="s">
        <v>99</v>
      </c>
      <c r="C1900" t="s">
        <v>2511</v>
      </c>
      <c r="D1900">
        <v>3</v>
      </c>
      <c r="E1900" s="358">
        <v>4</v>
      </c>
      <c r="F1900" s="358" t="s">
        <v>7</v>
      </c>
      <c r="G1900" s="358" t="s">
        <v>11</v>
      </c>
      <c r="H1900" s="358" t="s">
        <v>11</v>
      </c>
    </row>
    <row r="1901" spans="1:8" x14ac:dyDescent="0.3">
      <c r="A1901" t="s">
        <v>38</v>
      </c>
      <c r="B1901" t="s">
        <v>99</v>
      </c>
      <c r="C1901" t="s">
        <v>2512</v>
      </c>
      <c r="D1901">
        <v>3</v>
      </c>
      <c r="E1901" s="358">
        <v>3</v>
      </c>
      <c r="F1901" s="358" t="s">
        <v>7</v>
      </c>
      <c r="G1901" s="358" t="s">
        <v>11</v>
      </c>
      <c r="H1901" s="358" t="s">
        <v>11</v>
      </c>
    </row>
    <row r="1902" spans="1:8" x14ac:dyDescent="0.3">
      <c r="A1902" t="s">
        <v>38</v>
      </c>
      <c r="B1902" t="s">
        <v>99</v>
      </c>
      <c r="C1902" t="s">
        <v>2513</v>
      </c>
      <c r="D1902">
        <v>3</v>
      </c>
      <c r="E1902" s="358">
        <v>3</v>
      </c>
      <c r="F1902" s="358" t="s">
        <v>7</v>
      </c>
      <c r="G1902" s="358" t="s">
        <v>115</v>
      </c>
      <c r="H1902" s="358" t="s">
        <v>11</v>
      </c>
    </row>
    <row r="1903" spans="1:8" x14ac:dyDescent="0.3">
      <c r="A1903" t="s">
        <v>38</v>
      </c>
      <c r="B1903" t="s">
        <v>99</v>
      </c>
      <c r="C1903" t="s">
        <v>2514</v>
      </c>
      <c r="D1903">
        <v>1</v>
      </c>
      <c r="E1903" s="358">
        <v>4</v>
      </c>
      <c r="F1903" s="358" t="s">
        <v>7</v>
      </c>
      <c r="G1903" s="358" t="s">
        <v>11</v>
      </c>
      <c r="H1903" s="358" t="s">
        <v>11</v>
      </c>
    </row>
    <row r="1904" spans="1:8" x14ac:dyDescent="0.3">
      <c r="A1904" t="s">
        <v>38</v>
      </c>
      <c r="B1904" t="s">
        <v>99</v>
      </c>
      <c r="C1904" t="s">
        <v>1669</v>
      </c>
      <c r="D1904">
        <v>2</v>
      </c>
      <c r="E1904" s="358">
        <v>4</v>
      </c>
      <c r="F1904" s="358" t="s">
        <v>7</v>
      </c>
      <c r="G1904" s="358" t="s">
        <v>11</v>
      </c>
      <c r="H1904" s="358" t="s">
        <v>11</v>
      </c>
    </row>
    <row r="1905" spans="1:8" x14ac:dyDescent="0.3">
      <c r="A1905" t="s">
        <v>38</v>
      </c>
      <c r="B1905" t="s">
        <v>99</v>
      </c>
      <c r="C1905" t="s">
        <v>2515</v>
      </c>
      <c r="D1905">
        <v>3</v>
      </c>
      <c r="E1905" s="358">
        <v>3</v>
      </c>
      <c r="F1905" s="358" t="s">
        <v>7</v>
      </c>
      <c r="G1905" s="358" t="s">
        <v>11</v>
      </c>
      <c r="H1905" s="358" t="s">
        <v>11</v>
      </c>
    </row>
    <row r="1906" spans="1:8" x14ac:dyDescent="0.3">
      <c r="A1906" t="s">
        <v>38</v>
      </c>
      <c r="B1906" t="s">
        <v>99</v>
      </c>
      <c r="C1906" t="s">
        <v>2020</v>
      </c>
      <c r="D1906">
        <v>2</v>
      </c>
      <c r="E1906" s="358">
        <v>4</v>
      </c>
      <c r="F1906" s="358" t="s">
        <v>7</v>
      </c>
      <c r="G1906" s="358" t="s">
        <v>11</v>
      </c>
      <c r="H1906" s="358" t="s">
        <v>11</v>
      </c>
    </row>
    <row r="1907" spans="1:8" x14ac:dyDescent="0.3">
      <c r="A1907" t="s">
        <v>38</v>
      </c>
      <c r="B1907" t="s">
        <v>99</v>
      </c>
      <c r="C1907" t="s">
        <v>1671</v>
      </c>
      <c r="D1907">
        <v>3</v>
      </c>
      <c r="E1907" s="358">
        <v>3</v>
      </c>
      <c r="F1907" s="358" t="s">
        <v>7</v>
      </c>
      <c r="G1907" s="358" t="s">
        <v>11</v>
      </c>
      <c r="H1907" s="358" t="s">
        <v>11</v>
      </c>
    </row>
    <row r="1908" spans="1:8" x14ac:dyDescent="0.3">
      <c r="A1908" t="s">
        <v>38</v>
      </c>
      <c r="B1908" t="s">
        <v>99</v>
      </c>
      <c r="C1908" t="s">
        <v>2516</v>
      </c>
      <c r="D1908">
        <v>3</v>
      </c>
      <c r="E1908" s="358">
        <v>3</v>
      </c>
      <c r="F1908" s="358" t="s">
        <v>7</v>
      </c>
      <c r="G1908" s="358" t="s">
        <v>115</v>
      </c>
      <c r="H1908" s="358" t="s">
        <v>11</v>
      </c>
    </row>
    <row r="1909" spans="1:8" x14ac:dyDescent="0.3">
      <c r="A1909" t="s">
        <v>38</v>
      </c>
      <c r="B1909" t="s">
        <v>99</v>
      </c>
      <c r="C1909" t="s">
        <v>2517</v>
      </c>
      <c r="D1909">
        <v>2</v>
      </c>
      <c r="E1909" s="358">
        <v>4</v>
      </c>
      <c r="F1909" s="358" t="s">
        <v>7</v>
      </c>
      <c r="G1909" s="358" t="s">
        <v>11</v>
      </c>
      <c r="H1909" s="358" t="s">
        <v>11</v>
      </c>
    </row>
    <row r="1910" spans="1:8" x14ac:dyDescent="0.3">
      <c r="A1910" t="s">
        <v>38</v>
      </c>
      <c r="B1910" t="s">
        <v>99</v>
      </c>
      <c r="C1910" t="s">
        <v>2518</v>
      </c>
      <c r="D1910">
        <v>2</v>
      </c>
      <c r="E1910" s="358">
        <v>4</v>
      </c>
      <c r="F1910" s="358" t="s">
        <v>7</v>
      </c>
      <c r="G1910" s="358" t="s">
        <v>11</v>
      </c>
      <c r="H1910" s="358" t="s">
        <v>11</v>
      </c>
    </row>
    <row r="1911" spans="1:8" x14ac:dyDescent="0.3">
      <c r="A1911" t="s">
        <v>38</v>
      </c>
      <c r="B1911" t="s">
        <v>99</v>
      </c>
      <c r="C1911" t="s">
        <v>1675</v>
      </c>
      <c r="D1911">
        <v>3</v>
      </c>
      <c r="E1911" s="358">
        <v>4</v>
      </c>
      <c r="F1911" s="358" t="s">
        <v>7</v>
      </c>
      <c r="G1911" s="358" t="s">
        <v>11</v>
      </c>
      <c r="H1911" s="358" t="s">
        <v>11</v>
      </c>
    </row>
    <row r="1912" spans="1:8" x14ac:dyDescent="0.3">
      <c r="A1912" t="s">
        <v>38</v>
      </c>
      <c r="B1912" t="s">
        <v>99</v>
      </c>
      <c r="C1912" t="s">
        <v>1324</v>
      </c>
      <c r="D1912">
        <v>1</v>
      </c>
      <c r="E1912" s="358">
        <v>4</v>
      </c>
      <c r="F1912" s="358" t="s">
        <v>7</v>
      </c>
      <c r="G1912" s="358" t="s">
        <v>11</v>
      </c>
      <c r="H1912" s="358" t="s">
        <v>11</v>
      </c>
    </row>
    <row r="1913" spans="1:8" x14ac:dyDescent="0.3">
      <c r="A1913" t="s">
        <v>38</v>
      </c>
      <c r="B1913" t="s">
        <v>99</v>
      </c>
      <c r="C1913" t="s">
        <v>2519</v>
      </c>
      <c r="D1913">
        <v>3</v>
      </c>
      <c r="E1913" s="358">
        <v>3</v>
      </c>
      <c r="F1913" s="358" t="s">
        <v>7</v>
      </c>
      <c r="G1913" s="358" t="s">
        <v>11</v>
      </c>
      <c r="H1913" s="358" t="s">
        <v>11</v>
      </c>
    </row>
    <row r="1914" spans="1:8" x14ac:dyDescent="0.3">
      <c r="A1914" t="s">
        <v>38</v>
      </c>
      <c r="B1914" t="s">
        <v>99</v>
      </c>
      <c r="C1914" t="s">
        <v>1328</v>
      </c>
      <c r="D1914">
        <v>2</v>
      </c>
      <c r="E1914" s="358">
        <v>4</v>
      </c>
      <c r="F1914" s="358" t="s">
        <v>7</v>
      </c>
      <c r="G1914" s="358" t="s">
        <v>11</v>
      </c>
      <c r="H1914" s="358" t="s">
        <v>11</v>
      </c>
    </row>
    <row r="1915" spans="1:8" x14ac:dyDescent="0.3">
      <c r="A1915" t="s">
        <v>38</v>
      </c>
      <c r="B1915" t="s">
        <v>99</v>
      </c>
      <c r="C1915" t="s">
        <v>1436</v>
      </c>
      <c r="D1915">
        <v>2</v>
      </c>
      <c r="E1915" s="358">
        <v>4</v>
      </c>
      <c r="F1915" s="358" t="s">
        <v>7</v>
      </c>
      <c r="G1915" s="358" t="s">
        <v>11</v>
      </c>
      <c r="H1915" s="358" t="s">
        <v>11</v>
      </c>
    </row>
    <row r="1916" spans="1:8" x14ac:dyDescent="0.3">
      <c r="A1916" t="s">
        <v>38</v>
      </c>
      <c r="B1916" t="s">
        <v>99</v>
      </c>
      <c r="C1916" t="s">
        <v>2520</v>
      </c>
      <c r="D1916">
        <v>3</v>
      </c>
      <c r="E1916" s="358">
        <v>3</v>
      </c>
      <c r="F1916" s="358" t="s">
        <v>7</v>
      </c>
      <c r="G1916" s="358" t="s">
        <v>115</v>
      </c>
      <c r="H1916" s="358" t="s">
        <v>11</v>
      </c>
    </row>
    <row r="1917" spans="1:8" x14ac:dyDescent="0.3">
      <c r="A1917" t="s">
        <v>38</v>
      </c>
      <c r="B1917" t="s">
        <v>99</v>
      </c>
      <c r="C1917" t="s">
        <v>2521</v>
      </c>
      <c r="D1917">
        <v>3</v>
      </c>
      <c r="E1917" s="358">
        <v>3</v>
      </c>
      <c r="F1917" s="358" t="s">
        <v>7</v>
      </c>
      <c r="G1917" s="358" t="s">
        <v>11</v>
      </c>
      <c r="H1917" s="358" t="s">
        <v>11</v>
      </c>
    </row>
    <row r="1918" spans="1:8" x14ac:dyDescent="0.3">
      <c r="A1918" t="s">
        <v>38</v>
      </c>
      <c r="B1918" t="s">
        <v>99</v>
      </c>
      <c r="C1918" t="s">
        <v>1812</v>
      </c>
      <c r="D1918">
        <v>3</v>
      </c>
      <c r="E1918" s="358">
        <v>3</v>
      </c>
      <c r="F1918" s="358" t="s">
        <v>7</v>
      </c>
      <c r="G1918" s="358" t="s">
        <v>11</v>
      </c>
      <c r="H1918" s="358" t="s">
        <v>11</v>
      </c>
    </row>
    <row r="1919" spans="1:8" x14ac:dyDescent="0.3">
      <c r="A1919" t="s">
        <v>38</v>
      </c>
      <c r="B1919" t="s">
        <v>99</v>
      </c>
      <c r="C1919" t="s">
        <v>2522</v>
      </c>
      <c r="D1919">
        <v>3</v>
      </c>
      <c r="E1919" s="358">
        <v>3</v>
      </c>
      <c r="F1919" s="358" t="s">
        <v>7</v>
      </c>
      <c r="G1919" s="358" t="s">
        <v>11</v>
      </c>
      <c r="H1919" s="358" t="s">
        <v>11</v>
      </c>
    </row>
    <row r="1920" spans="1:8" x14ac:dyDescent="0.3">
      <c r="A1920" t="s">
        <v>38</v>
      </c>
      <c r="B1920" t="s">
        <v>99</v>
      </c>
      <c r="C1920" t="s">
        <v>2523</v>
      </c>
      <c r="D1920">
        <v>3</v>
      </c>
      <c r="E1920" s="358">
        <v>3</v>
      </c>
      <c r="F1920" s="358" t="s">
        <v>7</v>
      </c>
      <c r="G1920" s="358" t="s">
        <v>11</v>
      </c>
      <c r="H1920" s="358" t="s">
        <v>11</v>
      </c>
    </row>
    <row r="1921" spans="1:8" x14ac:dyDescent="0.3">
      <c r="A1921" t="s">
        <v>38</v>
      </c>
      <c r="B1921" t="s">
        <v>99</v>
      </c>
      <c r="C1921" t="s">
        <v>2524</v>
      </c>
      <c r="D1921">
        <v>3</v>
      </c>
      <c r="E1921" s="358">
        <v>3</v>
      </c>
      <c r="F1921" s="358" t="s">
        <v>7</v>
      </c>
      <c r="G1921" s="358" t="s">
        <v>11</v>
      </c>
      <c r="H1921" s="358" t="s">
        <v>11</v>
      </c>
    </row>
    <row r="1922" spans="1:8" x14ac:dyDescent="0.3">
      <c r="A1922" t="s">
        <v>38</v>
      </c>
      <c r="B1922" t="s">
        <v>99</v>
      </c>
      <c r="C1922" t="s">
        <v>2525</v>
      </c>
      <c r="D1922">
        <v>3</v>
      </c>
      <c r="E1922" s="358">
        <v>4</v>
      </c>
      <c r="F1922" s="358" t="s">
        <v>7</v>
      </c>
      <c r="G1922" s="358" t="s">
        <v>11</v>
      </c>
      <c r="H1922" s="358" t="s">
        <v>11</v>
      </c>
    </row>
    <row r="1923" spans="1:8" x14ac:dyDescent="0.3">
      <c r="A1923" t="s">
        <v>38</v>
      </c>
      <c r="B1923" t="s">
        <v>99</v>
      </c>
      <c r="C1923" t="s">
        <v>2526</v>
      </c>
      <c r="D1923">
        <v>3</v>
      </c>
      <c r="E1923" s="358">
        <v>3</v>
      </c>
      <c r="F1923" s="358" t="s">
        <v>7</v>
      </c>
      <c r="G1923" s="358" t="s">
        <v>11</v>
      </c>
      <c r="H1923" s="358" t="s">
        <v>11</v>
      </c>
    </row>
    <row r="1924" spans="1:8" x14ac:dyDescent="0.3">
      <c r="A1924" t="s">
        <v>38</v>
      </c>
      <c r="B1924" t="s">
        <v>99</v>
      </c>
      <c r="C1924" t="s">
        <v>2527</v>
      </c>
      <c r="D1924">
        <v>3</v>
      </c>
      <c r="E1924" s="358">
        <v>4</v>
      </c>
      <c r="F1924" s="358" t="s">
        <v>7</v>
      </c>
      <c r="G1924" s="358" t="s">
        <v>11</v>
      </c>
      <c r="H1924" s="358" t="s">
        <v>11</v>
      </c>
    </row>
    <row r="1925" spans="1:8" x14ac:dyDescent="0.3">
      <c r="A1925" t="s">
        <v>38</v>
      </c>
      <c r="B1925" t="s">
        <v>99</v>
      </c>
      <c r="C1925" t="s">
        <v>2528</v>
      </c>
      <c r="D1925">
        <v>3</v>
      </c>
      <c r="E1925" s="358">
        <v>3</v>
      </c>
      <c r="F1925" s="358" t="s">
        <v>7</v>
      </c>
      <c r="G1925" s="358" t="s">
        <v>11</v>
      </c>
      <c r="H1925" s="358" t="s">
        <v>11</v>
      </c>
    </row>
    <row r="1926" spans="1:8" x14ac:dyDescent="0.3">
      <c r="A1926" t="s">
        <v>38</v>
      </c>
      <c r="B1926" t="s">
        <v>99</v>
      </c>
      <c r="C1926" t="s">
        <v>1699</v>
      </c>
      <c r="D1926">
        <v>2</v>
      </c>
      <c r="E1926" s="358">
        <v>4</v>
      </c>
      <c r="F1926" s="358" t="s">
        <v>7</v>
      </c>
      <c r="G1926" s="358" t="s">
        <v>11</v>
      </c>
      <c r="H1926" s="358" t="s">
        <v>11</v>
      </c>
    </row>
    <row r="1927" spans="1:8" x14ac:dyDescent="0.3">
      <c r="A1927" t="s">
        <v>38</v>
      </c>
      <c r="B1927" t="s">
        <v>99</v>
      </c>
      <c r="C1927" t="s">
        <v>1344</v>
      </c>
      <c r="D1927">
        <v>2</v>
      </c>
      <c r="E1927" s="358">
        <v>4</v>
      </c>
      <c r="F1927" s="358" t="s">
        <v>7</v>
      </c>
      <c r="G1927" s="358" t="s">
        <v>11</v>
      </c>
      <c r="H1927" s="358" t="s">
        <v>11</v>
      </c>
    </row>
    <row r="1928" spans="1:8" x14ac:dyDescent="0.3">
      <c r="A1928" t="s">
        <v>38</v>
      </c>
      <c r="B1928" t="s">
        <v>99</v>
      </c>
      <c r="C1928" t="s">
        <v>2529</v>
      </c>
      <c r="D1928">
        <v>2</v>
      </c>
      <c r="E1928" s="358">
        <v>3</v>
      </c>
      <c r="F1928" s="358" t="s">
        <v>7</v>
      </c>
      <c r="G1928" s="358" t="s">
        <v>11</v>
      </c>
      <c r="H1928" s="358" t="s">
        <v>11</v>
      </c>
    </row>
    <row r="1929" spans="1:8" x14ac:dyDescent="0.3">
      <c r="A1929" t="s">
        <v>38</v>
      </c>
      <c r="B1929" t="s">
        <v>99</v>
      </c>
      <c r="C1929" t="s">
        <v>2530</v>
      </c>
      <c r="D1929">
        <v>3</v>
      </c>
      <c r="E1929" s="358">
        <v>4</v>
      </c>
      <c r="F1929" s="358" t="s">
        <v>7</v>
      </c>
      <c r="G1929" s="358" t="s">
        <v>11</v>
      </c>
      <c r="H1929" s="358" t="s">
        <v>11</v>
      </c>
    </row>
    <row r="1930" spans="1:8" x14ac:dyDescent="0.3">
      <c r="A1930" t="s">
        <v>38</v>
      </c>
      <c r="B1930" t="s">
        <v>99</v>
      </c>
      <c r="C1930" t="s">
        <v>1416</v>
      </c>
      <c r="D1930">
        <v>2</v>
      </c>
      <c r="E1930" s="358">
        <v>4</v>
      </c>
      <c r="F1930" s="358" t="s">
        <v>7</v>
      </c>
      <c r="G1930" s="358" t="s">
        <v>11</v>
      </c>
      <c r="H1930" s="358" t="s">
        <v>11</v>
      </c>
    </row>
    <row r="1931" spans="1:8" x14ac:dyDescent="0.3">
      <c r="A1931" t="s">
        <v>38</v>
      </c>
      <c r="B1931" t="s">
        <v>99</v>
      </c>
      <c r="C1931" t="s">
        <v>2531</v>
      </c>
      <c r="D1931">
        <v>3</v>
      </c>
      <c r="E1931" s="358">
        <v>4</v>
      </c>
      <c r="F1931" s="358" t="s">
        <v>7</v>
      </c>
      <c r="G1931" s="358" t="s">
        <v>11</v>
      </c>
      <c r="H1931" s="358" t="s">
        <v>11</v>
      </c>
    </row>
    <row r="1932" spans="1:8" x14ac:dyDescent="0.3">
      <c r="A1932" t="s">
        <v>38</v>
      </c>
      <c r="B1932" t="s">
        <v>99</v>
      </c>
      <c r="C1932" t="s">
        <v>1346</v>
      </c>
      <c r="D1932">
        <v>3</v>
      </c>
      <c r="E1932" s="358">
        <v>3</v>
      </c>
      <c r="F1932" s="358" t="s">
        <v>7</v>
      </c>
      <c r="G1932" s="358" t="s">
        <v>11</v>
      </c>
      <c r="H1932" s="358" t="s">
        <v>11</v>
      </c>
    </row>
    <row r="1933" spans="1:8" x14ac:dyDescent="0.3">
      <c r="A1933" t="s">
        <v>38</v>
      </c>
      <c r="B1933" t="s">
        <v>99</v>
      </c>
      <c r="C1933" t="s">
        <v>2532</v>
      </c>
      <c r="D1933">
        <v>3</v>
      </c>
      <c r="E1933" s="358">
        <v>4</v>
      </c>
      <c r="F1933" s="358" t="s">
        <v>7</v>
      </c>
      <c r="G1933" s="358" t="s">
        <v>11</v>
      </c>
      <c r="H1933" s="358" t="s">
        <v>11</v>
      </c>
    </row>
    <row r="1934" spans="1:8" x14ac:dyDescent="0.3">
      <c r="A1934" t="s">
        <v>38</v>
      </c>
      <c r="B1934" t="s">
        <v>99</v>
      </c>
      <c r="C1934" t="s">
        <v>2533</v>
      </c>
      <c r="D1934">
        <v>3</v>
      </c>
      <c r="E1934" s="358">
        <v>4</v>
      </c>
      <c r="F1934" s="358" t="s">
        <v>7</v>
      </c>
      <c r="G1934" s="358" t="s">
        <v>11</v>
      </c>
      <c r="H1934" s="358" t="s">
        <v>11</v>
      </c>
    </row>
    <row r="1935" spans="1:8" x14ac:dyDescent="0.3">
      <c r="A1935" t="s">
        <v>38</v>
      </c>
      <c r="B1935" t="s">
        <v>99</v>
      </c>
      <c r="C1935" t="s">
        <v>2534</v>
      </c>
      <c r="D1935">
        <v>3</v>
      </c>
      <c r="E1935" s="358">
        <v>4</v>
      </c>
      <c r="F1935" s="358" t="s">
        <v>7</v>
      </c>
      <c r="G1935" s="358" t="s">
        <v>11</v>
      </c>
      <c r="H1935" s="358" t="s">
        <v>11</v>
      </c>
    </row>
    <row r="1936" spans="1:8" x14ac:dyDescent="0.3">
      <c r="A1936" t="s">
        <v>38</v>
      </c>
      <c r="B1936" t="s">
        <v>99</v>
      </c>
      <c r="C1936" t="s">
        <v>2535</v>
      </c>
      <c r="D1936">
        <v>2</v>
      </c>
      <c r="E1936" s="358">
        <v>4</v>
      </c>
      <c r="F1936" s="358" t="s">
        <v>7</v>
      </c>
      <c r="G1936" s="358" t="s">
        <v>11</v>
      </c>
      <c r="H1936" s="358" t="s">
        <v>11</v>
      </c>
    </row>
    <row r="1937" spans="1:8" x14ac:dyDescent="0.3">
      <c r="A1937" t="s">
        <v>38</v>
      </c>
      <c r="B1937" t="s">
        <v>99</v>
      </c>
      <c r="C1937" t="s">
        <v>1821</v>
      </c>
      <c r="D1937">
        <v>1</v>
      </c>
      <c r="E1937" s="358">
        <v>4</v>
      </c>
      <c r="F1937" s="358" t="s">
        <v>7</v>
      </c>
      <c r="G1937" s="358" t="s">
        <v>11</v>
      </c>
      <c r="H1937" s="358" t="s">
        <v>11</v>
      </c>
    </row>
    <row r="1938" spans="1:8" x14ac:dyDescent="0.3">
      <c r="A1938" t="s">
        <v>38</v>
      </c>
      <c r="B1938" t="s">
        <v>99</v>
      </c>
      <c r="C1938" t="s">
        <v>2536</v>
      </c>
      <c r="D1938">
        <v>3</v>
      </c>
      <c r="E1938" s="358">
        <v>4</v>
      </c>
      <c r="F1938" s="358" t="s">
        <v>7</v>
      </c>
      <c r="G1938" s="358" t="s">
        <v>11</v>
      </c>
      <c r="H1938" s="358" t="s">
        <v>11</v>
      </c>
    </row>
    <row r="1939" spans="1:8" x14ac:dyDescent="0.3">
      <c r="A1939" t="s">
        <v>38</v>
      </c>
      <c r="B1939" t="s">
        <v>99</v>
      </c>
      <c r="C1939" t="s">
        <v>2537</v>
      </c>
      <c r="D1939">
        <v>3</v>
      </c>
      <c r="E1939" s="358">
        <v>3</v>
      </c>
      <c r="F1939" s="358" t="s">
        <v>7</v>
      </c>
      <c r="G1939" s="358" t="s">
        <v>11</v>
      </c>
      <c r="H1939" s="358" t="s">
        <v>11</v>
      </c>
    </row>
    <row r="1940" spans="1:8" x14ac:dyDescent="0.3">
      <c r="A1940" t="s">
        <v>38</v>
      </c>
      <c r="B1940" t="s">
        <v>99</v>
      </c>
      <c r="C1940" t="s">
        <v>2538</v>
      </c>
      <c r="D1940">
        <v>3</v>
      </c>
      <c r="E1940" s="358">
        <v>3</v>
      </c>
      <c r="F1940" s="358" t="s">
        <v>7</v>
      </c>
      <c r="G1940" s="358" t="s">
        <v>11</v>
      </c>
      <c r="H1940" s="358" t="s">
        <v>11</v>
      </c>
    </row>
    <row r="1941" spans="1:8" x14ac:dyDescent="0.3">
      <c r="A1941" t="s">
        <v>38</v>
      </c>
      <c r="B1941" t="s">
        <v>99</v>
      </c>
      <c r="C1941" t="s">
        <v>2539</v>
      </c>
      <c r="D1941">
        <v>2</v>
      </c>
      <c r="E1941" s="358">
        <v>4</v>
      </c>
      <c r="F1941" s="358" t="s">
        <v>7</v>
      </c>
      <c r="G1941" s="358" t="s">
        <v>11</v>
      </c>
      <c r="H1941" s="358" t="s">
        <v>11</v>
      </c>
    </row>
    <row r="1942" spans="1:8" x14ac:dyDescent="0.3">
      <c r="A1942" t="s">
        <v>38</v>
      </c>
      <c r="B1942" t="s">
        <v>99</v>
      </c>
      <c r="C1942" t="s">
        <v>1350</v>
      </c>
      <c r="D1942">
        <v>2</v>
      </c>
      <c r="E1942" s="358">
        <v>4</v>
      </c>
      <c r="F1942" s="358" t="s">
        <v>7</v>
      </c>
      <c r="G1942" s="358" t="s">
        <v>11</v>
      </c>
      <c r="H1942" s="358" t="s">
        <v>11</v>
      </c>
    </row>
    <row r="1943" spans="1:8" x14ac:dyDescent="0.3">
      <c r="A1943" t="s">
        <v>38</v>
      </c>
      <c r="B1943" t="s">
        <v>99</v>
      </c>
      <c r="C1943" t="s">
        <v>2540</v>
      </c>
      <c r="D1943">
        <v>3</v>
      </c>
      <c r="E1943" s="358">
        <v>3</v>
      </c>
      <c r="F1943" s="358" t="s">
        <v>7</v>
      </c>
      <c r="G1943" s="358" t="s">
        <v>11</v>
      </c>
      <c r="H1943" s="358" t="s">
        <v>11</v>
      </c>
    </row>
    <row r="1944" spans="1:8" x14ac:dyDescent="0.3">
      <c r="A1944" t="s">
        <v>38</v>
      </c>
      <c r="B1944" t="s">
        <v>99</v>
      </c>
      <c r="C1944" t="s">
        <v>1717</v>
      </c>
      <c r="D1944">
        <v>3</v>
      </c>
      <c r="E1944" s="358">
        <v>3</v>
      </c>
      <c r="F1944" s="358" t="s">
        <v>7</v>
      </c>
      <c r="G1944" s="358" t="s">
        <v>11</v>
      </c>
      <c r="H1944" s="358" t="s">
        <v>11</v>
      </c>
    </row>
    <row r="1945" spans="1:8" x14ac:dyDescent="0.3">
      <c r="A1945" t="s">
        <v>38</v>
      </c>
      <c r="B1945" t="s">
        <v>99</v>
      </c>
      <c r="C1945" t="s">
        <v>1355</v>
      </c>
      <c r="D1945">
        <v>3</v>
      </c>
      <c r="E1945" s="358">
        <v>4</v>
      </c>
      <c r="F1945" s="358" t="s">
        <v>7</v>
      </c>
      <c r="G1945" s="358" t="s">
        <v>11</v>
      </c>
      <c r="H1945" s="358" t="s">
        <v>11</v>
      </c>
    </row>
    <row r="1946" spans="1:8" x14ac:dyDescent="0.3">
      <c r="A1946" t="s">
        <v>38</v>
      </c>
      <c r="B1946" t="s">
        <v>99</v>
      </c>
      <c r="C1946" t="s">
        <v>2541</v>
      </c>
      <c r="D1946">
        <v>3</v>
      </c>
      <c r="E1946" s="358">
        <v>3</v>
      </c>
      <c r="F1946" s="358" t="s">
        <v>7</v>
      </c>
      <c r="G1946" s="358" t="s">
        <v>11</v>
      </c>
      <c r="H1946" s="358" t="s">
        <v>11</v>
      </c>
    </row>
    <row r="1947" spans="1:8" x14ac:dyDescent="0.3">
      <c r="A1947" t="s">
        <v>38</v>
      </c>
      <c r="B1947" t="s">
        <v>99</v>
      </c>
      <c r="C1947" t="s">
        <v>1456</v>
      </c>
      <c r="D1947">
        <v>2</v>
      </c>
      <c r="E1947" s="358">
        <v>4</v>
      </c>
      <c r="F1947" s="358" t="s">
        <v>7</v>
      </c>
      <c r="G1947" s="358" t="s">
        <v>11</v>
      </c>
      <c r="H1947" s="358" t="s">
        <v>11</v>
      </c>
    </row>
    <row r="1948" spans="1:8" x14ac:dyDescent="0.3">
      <c r="A1948" t="s">
        <v>38</v>
      </c>
      <c r="B1948" t="s">
        <v>99</v>
      </c>
      <c r="C1948" t="s">
        <v>1358</v>
      </c>
      <c r="D1948">
        <v>2</v>
      </c>
      <c r="E1948" s="358">
        <v>4</v>
      </c>
      <c r="F1948" s="358" t="s">
        <v>7</v>
      </c>
      <c r="G1948" s="358" t="s">
        <v>11</v>
      </c>
      <c r="H1948" s="358" t="s">
        <v>11</v>
      </c>
    </row>
    <row r="1949" spans="1:8" x14ac:dyDescent="0.3">
      <c r="A1949" t="s">
        <v>38</v>
      </c>
      <c r="B1949" t="s">
        <v>99</v>
      </c>
      <c r="C1949" t="s">
        <v>1359</v>
      </c>
      <c r="D1949">
        <v>2</v>
      </c>
      <c r="E1949" s="358">
        <v>4</v>
      </c>
      <c r="F1949" s="358" t="s">
        <v>7</v>
      </c>
      <c r="G1949" s="358" t="s">
        <v>11</v>
      </c>
      <c r="H1949" s="358" t="s">
        <v>11</v>
      </c>
    </row>
    <row r="1950" spans="1:8" x14ac:dyDescent="0.3">
      <c r="A1950" t="s">
        <v>38</v>
      </c>
      <c r="B1950" t="s">
        <v>99</v>
      </c>
      <c r="C1950" t="s">
        <v>1636</v>
      </c>
      <c r="D1950">
        <v>3</v>
      </c>
      <c r="E1950" s="358">
        <v>3</v>
      </c>
      <c r="F1950" s="358" t="s">
        <v>7</v>
      </c>
      <c r="G1950" s="358" t="s">
        <v>11</v>
      </c>
      <c r="H1950" s="358" t="s">
        <v>11</v>
      </c>
    </row>
    <row r="1951" spans="1:8" x14ac:dyDescent="0.3">
      <c r="A1951" t="s">
        <v>38</v>
      </c>
      <c r="B1951" t="s">
        <v>99</v>
      </c>
      <c r="C1951" t="s">
        <v>2542</v>
      </c>
      <c r="D1951">
        <v>2</v>
      </c>
      <c r="E1951" s="358">
        <v>4</v>
      </c>
      <c r="F1951" s="358" t="s">
        <v>7</v>
      </c>
      <c r="G1951" s="358" t="s">
        <v>11</v>
      </c>
      <c r="H1951" s="358" t="s">
        <v>11</v>
      </c>
    </row>
    <row r="1952" spans="1:8" x14ac:dyDescent="0.3">
      <c r="A1952" t="s">
        <v>38</v>
      </c>
      <c r="B1952" t="s">
        <v>99</v>
      </c>
      <c r="C1952" t="s">
        <v>2543</v>
      </c>
      <c r="D1952">
        <v>3</v>
      </c>
      <c r="E1952" s="358">
        <v>3</v>
      </c>
      <c r="F1952" s="358" t="s">
        <v>7</v>
      </c>
      <c r="G1952" s="358" t="s">
        <v>11</v>
      </c>
      <c r="H1952" s="358" t="s">
        <v>11</v>
      </c>
    </row>
    <row r="1953" spans="1:8" x14ac:dyDescent="0.3">
      <c r="A1953" t="s">
        <v>38</v>
      </c>
      <c r="B1953" t="s">
        <v>99</v>
      </c>
      <c r="C1953" t="s">
        <v>1725</v>
      </c>
      <c r="D1953">
        <v>1</v>
      </c>
      <c r="E1953" s="358">
        <v>5</v>
      </c>
      <c r="F1953" s="358" t="s">
        <v>7</v>
      </c>
      <c r="G1953" s="358" t="s">
        <v>11</v>
      </c>
      <c r="H1953" s="358" t="s">
        <v>11</v>
      </c>
    </row>
    <row r="1954" spans="1:8" x14ac:dyDescent="0.3">
      <c r="A1954" t="s">
        <v>38</v>
      </c>
      <c r="B1954" t="s">
        <v>99</v>
      </c>
      <c r="C1954" t="s">
        <v>1365</v>
      </c>
      <c r="D1954">
        <v>3</v>
      </c>
      <c r="E1954" s="358">
        <v>3</v>
      </c>
      <c r="F1954" s="358" t="s">
        <v>7</v>
      </c>
      <c r="G1954" s="358" t="s">
        <v>11</v>
      </c>
      <c r="H1954" s="358" t="s">
        <v>11</v>
      </c>
    </row>
    <row r="1955" spans="1:8" x14ac:dyDescent="0.3">
      <c r="A1955" t="s">
        <v>38</v>
      </c>
      <c r="B1955" t="s">
        <v>99</v>
      </c>
      <c r="C1955" t="s">
        <v>2544</v>
      </c>
      <c r="D1955">
        <v>3</v>
      </c>
      <c r="E1955" s="358">
        <v>3</v>
      </c>
      <c r="F1955" s="358" t="s">
        <v>7</v>
      </c>
      <c r="G1955" s="358" t="s">
        <v>11</v>
      </c>
      <c r="H1955" s="358" t="s">
        <v>11</v>
      </c>
    </row>
    <row r="1956" spans="1:8" x14ac:dyDescent="0.3">
      <c r="A1956" t="s">
        <v>38</v>
      </c>
      <c r="B1956" t="s">
        <v>99</v>
      </c>
      <c r="C1956" t="s">
        <v>2545</v>
      </c>
      <c r="D1956">
        <v>3</v>
      </c>
      <c r="E1956" s="358">
        <v>4</v>
      </c>
      <c r="F1956" s="358" t="s">
        <v>7</v>
      </c>
      <c r="G1956" s="358" t="s">
        <v>11</v>
      </c>
      <c r="H1956" s="358" t="s">
        <v>11</v>
      </c>
    </row>
    <row r="1957" spans="1:8" x14ac:dyDescent="0.3">
      <c r="A1957" t="s">
        <v>38</v>
      </c>
      <c r="B1957" t="s">
        <v>99</v>
      </c>
      <c r="C1957" t="s">
        <v>2546</v>
      </c>
      <c r="D1957">
        <v>3</v>
      </c>
      <c r="E1957" s="358">
        <v>3</v>
      </c>
      <c r="F1957" s="358" t="s">
        <v>7</v>
      </c>
      <c r="G1957" s="358" t="s">
        <v>115</v>
      </c>
      <c r="H1957" s="358" t="s">
        <v>11</v>
      </c>
    </row>
    <row r="1958" spans="1:8" x14ac:dyDescent="0.3">
      <c r="A1958" t="s">
        <v>38</v>
      </c>
      <c r="B1958" t="s">
        <v>99</v>
      </c>
      <c r="C1958" t="s">
        <v>2547</v>
      </c>
      <c r="D1958">
        <v>3</v>
      </c>
      <c r="E1958" s="358">
        <v>4</v>
      </c>
      <c r="F1958" s="358" t="s">
        <v>7</v>
      </c>
      <c r="G1958" s="358" t="s">
        <v>11</v>
      </c>
      <c r="H1958" s="358" t="s">
        <v>11</v>
      </c>
    </row>
    <row r="1959" spans="1:8" x14ac:dyDescent="0.3">
      <c r="A1959" t="s">
        <v>38</v>
      </c>
      <c r="B1959" t="s">
        <v>99</v>
      </c>
      <c r="C1959" t="s">
        <v>2548</v>
      </c>
      <c r="D1959">
        <v>3</v>
      </c>
      <c r="E1959" s="358">
        <v>3</v>
      </c>
      <c r="F1959" s="358" t="s">
        <v>7</v>
      </c>
      <c r="G1959" s="358" t="s">
        <v>115</v>
      </c>
      <c r="H1959" s="358" t="s">
        <v>11</v>
      </c>
    </row>
    <row r="1960" spans="1:8" x14ac:dyDescent="0.3">
      <c r="A1960" t="s">
        <v>38</v>
      </c>
      <c r="B1960" t="s">
        <v>99</v>
      </c>
      <c r="C1960" t="s">
        <v>1512</v>
      </c>
      <c r="D1960">
        <v>3</v>
      </c>
      <c r="E1960" s="358">
        <v>4</v>
      </c>
      <c r="F1960" s="358" t="s">
        <v>7</v>
      </c>
      <c r="G1960" s="358" t="s">
        <v>11</v>
      </c>
      <c r="H1960" s="358" t="s">
        <v>11</v>
      </c>
    </row>
    <row r="1961" spans="1:8" x14ac:dyDescent="0.3">
      <c r="A1961" t="s">
        <v>38</v>
      </c>
      <c r="B1961" t="s">
        <v>99</v>
      </c>
      <c r="C1961" t="s">
        <v>2549</v>
      </c>
      <c r="D1961">
        <v>3</v>
      </c>
      <c r="E1961" s="358">
        <v>3</v>
      </c>
      <c r="F1961" s="358" t="s">
        <v>7</v>
      </c>
      <c r="G1961" s="358" t="s">
        <v>11</v>
      </c>
      <c r="H1961" s="358" t="s">
        <v>11</v>
      </c>
    </row>
    <row r="1962" spans="1:8" x14ac:dyDescent="0.3">
      <c r="A1962" t="s">
        <v>38</v>
      </c>
      <c r="B1962" t="s">
        <v>99</v>
      </c>
      <c r="C1962" t="s">
        <v>2550</v>
      </c>
      <c r="D1962">
        <v>3</v>
      </c>
      <c r="E1962" s="358">
        <v>3</v>
      </c>
      <c r="F1962" s="358" t="s">
        <v>7</v>
      </c>
      <c r="G1962" s="358" t="s">
        <v>11</v>
      </c>
      <c r="H1962" s="358" t="s">
        <v>11</v>
      </c>
    </row>
    <row r="1963" spans="1:8" x14ac:dyDescent="0.3">
      <c r="A1963" t="s">
        <v>38</v>
      </c>
      <c r="B1963" t="s">
        <v>99</v>
      </c>
      <c r="C1963" t="s">
        <v>2551</v>
      </c>
      <c r="D1963">
        <v>3</v>
      </c>
      <c r="E1963" s="358">
        <v>3</v>
      </c>
      <c r="F1963" s="358" t="s">
        <v>7</v>
      </c>
      <c r="G1963" s="358" t="s">
        <v>115</v>
      </c>
      <c r="H1963" s="358" t="s">
        <v>11</v>
      </c>
    </row>
    <row r="1964" spans="1:8" x14ac:dyDescent="0.3">
      <c r="A1964" t="s">
        <v>38</v>
      </c>
      <c r="B1964" t="s">
        <v>99</v>
      </c>
      <c r="C1964" t="s">
        <v>2552</v>
      </c>
      <c r="D1964">
        <v>3</v>
      </c>
      <c r="E1964" s="358">
        <v>3</v>
      </c>
      <c r="F1964" s="358" t="s">
        <v>7</v>
      </c>
      <c r="G1964" s="358" t="s">
        <v>11</v>
      </c>
      <c r="H1964" s="358" t="s">
        <v>11</v>
      </c>
    </row>
    <row r="1965" spans="1:8" x14ac:dyDescent="0.3">
      <c r="A1965" t="s">
        <v>38</v>
      </c>
      <c r="B1965" t="s">
        <v>99</v>
      </c>
      <c r="C1965" t="s">
        <v>2553</v>
      </c>
      <c r="D1965">
        <v>3</v>
      </c>
      <c r="E1965" s="358">
        <v>4</v>
      </c>
      <c r="F1965" s="358" t="s">
        <v>7</v>
      </c>
      <c r="G1965" s="358" t="s">
        <v>11</v>
      </c>
      <c r="H1965" s="358" t="s">
        <v>11</v>
      </c>
    </row>
    <row r="1966" spans="1:8" x14ac:dyDescent="0.3">
      <c r="A1966" t="s">
        <v>38</v>
      </c>
      <c r="B1966" t="s">
        <v>99</v>
      </c>
      <c r="C1966" t="s">
        <v>2554</v>
      </c>
      <c r="D1966">
        <v>3</v>
      </c>
      <c r="E1966" s="358">
        <v>3</v>
      </c>
      <c r="F1966" s="358" t="s">
        <v>7</v>
      </c>
      <c r="G1966" s="358" t="s">
        <v>11</v>
      </c>
      <c r="H1966" s="358" t="s">
        <v>11</v>
      </c>
    </row>
    <row r="1967" spans="1:8" x14ac:dyDescent="0.3">
      <c r="A1967" t="s">
        <v>38</v>
      </c>
      <c r="B1967" t="s">
        <v>99</v>
      </c>
      <c r="C1967" t="s">
        <v>1467</v>
      </c>
      <c r="D1967">
        <v>2</v>
      </c>
      <c r="E1967" s="358">
        <v>4</v>
      </c>
      <c r="F1967" s="358" t="s">
        <v>7</v>
      </c>
      <c r="G1967" s="358" t="s">
        <v>11</v>
      </c>
      <c r="H1967" s="358" t="s">
        <v>11</v>
      </c>
    </row>
    <row r="1968" spans="1:8" x14ac:dyDescent="0.3">
      <c r="A1968" t="s">
        <v>38</v>
      </c>
      <c r="B1968" t="s">
        <v>99</v>
      </c>
      <c r="C1968" t="s">
        <v>1370</v>
      </c>
      <c r="D1968">
        <v>3</v>
      </c>
      <c r="E1968" s="358">
        <v>3</v>
      </c>
      <c r="F1968" s="358" t="s">
        <v>7</v>
      </c>
      <c r="G1968" s="358" t="s">
        <v>11</v>
      </c>
      <c r="H1968" s="358" t="s">
        <v>11</v>
      </c>
    </row>
    <row r="1969" spans="1:8" x14ac:dyDescent="0.3">
      <c r="A1969" t="s">
        <v>38</v>
      </c>
      <c r="B1969" t="s">
        <v>99</v>
      </c>
      <c r="C1969" t="s">
        <v>1735</v>
      </c>
      <c r="D1969">
        <v>3</v>
      </c>
      <c r="E1969" s="358">
        <v>3</v>
      </c>
      <c r="F1969" s="358" t="s">
        <v>7</v>
      </c>
      <c r="G1969" s="358" t="s">
        <v>11</v>
      </c>
      <c r="H1969" s="358" t="s">
        <v>11</v>
      </c>
    </row>
    <row r="1970" spans="1:8" x14ac:dyDescent="0.3">
      <c r="A1970" t="s">
        <v>38</v>
      </c>
      <c r="B1970" t="s">
        <v>99</v>
      </c>
      <c r="C1970" t="s">
        <v>2555</v>
      </c>
      <c r="D1970">
        <v>3</v>
      </c>
      <c r="E1970" s="358">
        <v>3</v>
      </c>
      <c r="F1970" s="358" t="s">
        <v>7</v>
      </c>
      <c r="G1970" s="358" t="s">
        <v>11</v>
      </c>
      <c r="H1970" s="358" t="s">
        <v>11</v>
      </c>
    </row>
    <row r="1971" spans="1:8" x14ac:dyDescent="0.3">
      <c r="A1971" t="s">
        <v>38</v>
      </c>
      <c r="B1971" t="s">
        <v>99</v>
      </c>
      <c r="C1971" t="s">
        <v>2438</v>
      </c>
      <c r="D1971">
        <v>1</v>
      </c>
      <c r="E1971" s="358">
        <v>4</v>
      </c>
      <c r="F1971" s="358" t="s">
        <v>7</v>
      </c>
      <c r="G1971" s="358" t="s">
        <v>11</v>
      </c>
      <c r="H1971" s="358" t="s">
        <v>11</v>
      </c>
    </row>
    <row r="1972" spans="1:8" x14ac:dyDescent="0.3">
      <c r="A1972" t="s">
        <v>38</v>
      </c>
      <c r="B1972" t="s">
        <v>99</v>
      </c>
      <c r="C1972" t="s">
        <v>2059</v>
      </c>
      <c r="D1972">
        <v>3</v>
      </c>
      <c r="E1972" s="358">
        <v>3</v>
      </c>
      <c r="F1972" s="358" t="s">
        <v>7</v>
      </c>
      <c r="G1972" s="358" t="s">
        <v>11</v>
      </c>
      <c r="H1972" s="358" t="s">
        <v>11</v>
      </c>
    </row>
    <row r="1973" spans="1:8" x14ac:dyDescent="0.3">
      <c r="A1973" t="s">
        <v>38</v>
      </c>
      <c r="B1973" t="s">
        <v>99</v>
      </c>
      <c r="C1973" t="s">
        <v>2556</v>
      </c>
      <c r="D1973">
        <v>2</v>
      </c>
      <c r="E1973" s="358">
        <v>4</v>
      </c>
      <c r="F1973" s="358" t="s">
        <v>7</v>
      </c>
      <c r="G1973" s="358" t="s">
        <v>11</v>
      </c>
      <c r="H1973" s="358" t="s">
        <v>11</v>
      </c>
    </row>
    <row r="1974" spans="1:8" x14ac:dyDescent="0.3">
      <c r="A1974" t="s">
        <v>38</v>
      </c>
      <c r="B1974" t="s">
        <v>99</v>
      </c>
      <c r="C1974" t="s">
        <v>2557</v>
      </c>
      <c r="D1974">
        <v>3</v>
      </c>
      <c r="E1974" s="358">
        <v>3</v>
      </c>
      <c r="F1974" s="358" t="s">
        <v>7</v>
      </c>
      <c r="G1974" s="358" t="s">
        <v>11</v>
      </c>
      <c r="H1974" s="358" t="s">
        <v>11</v>
      </c>
    </row>
    <row r="1975" spans="1:8" x14ac:dyDescent="0.3">
      <c r="A1975" t="s">
        <v>38</v>
      </c>
      <c r="B1975" t="s">
        <v>99</v>
      </c>
      <c r="C1975" t="s">
        <v>2341</v>
      </c>
      <c r="D1975">
        <v>3</v>
      </c>
      <c r="E1975" s="358">
        <v>3</v>
      </c>
      <c r="F1975" s="358" t="s">
        <v>7</v>
      </c>
      <c r="G1975" s="358" t="s">
        <v>11</v>
      </c>
      <c r="H1975" s="358" t="s">
        <v>11</v>
      </c>
    </row>
    <row r="1976" spans="1:8" x14ac:dyDescent="0.3">
      <c r="A1976" t="s">
        <v>38</v>
      </c>
      <c r="B1976" t="s">
        <v>99</v>
      </c>
      <c r="C1976" t="s">
        <v>2558</v>
      </c>
      <c r="D1976">
        <v>3</v>
      </c>
      <c r="E1976" s="358">
        <v>3</v>
      </c>
      <c r="F1976" s="358" t="s">
        <v>7</v>
      </c>
      <c r="G1976" s="358" t="s">
        <v>11</v>
      </c>
      <c r="H1976" s="358" t="s">
        <v>11</v>
      </c>
    </row>
    <row r="1977" spans="1:8" x14ac:dyDescent="0.3">
      <c r="A1977" t="s">
        <v>38</v>
      </c>
      <c r="B1977" t="s">
        <v>99</v>
      </c>
      <c r="C1977" t="s">
        <v>2559</v>
      </c>
      <c r="D1977">
        <v>2</v>
      </c>
      <c r="E1977" s="358">
        <v>4</v>
      </c>
      <c r="F1977" s="358" t="s">
        <v>7</v>
      </c>
      <c r="G1977" s="358" t="s">
        <v>11</v>
      </c>
      <c r="H1977" s="358" t="s">
        <v>11</v>
      </c>
    </row>
    <row r="1978" spans="1:8" x14ac:dyDescent="0.3">
      <c r="A1978" t="s">
        <v>38</v>
      </c>
      <c r="B1978" t="s">
        <v>99</v>
      </c>
      <c r="C1978" t="s">
        <v>2560</v>
      </c>
      <c r="D1978">
        <v>2</v>
      </c>
      <c r="E1978" s="358">
        <v>4</v>
      </c>
      <c r="F1978" s="358" t="s">
        <v>7</v>
      </c>
      <c r="G1978" s="358" t="s">
        <v>11</v>
      </c>
      <c r="H1978" s="358" t="s">
        <v>11</v>
      </c>
    </row>
    <row r="1979" spans="1:8" x14ac:dyDescent="0.3">
      <c r="A1979" t="s">
        <v>38</v>
      </c>
      <c r="B1979" t="s">
        <v>99</v>
      </c>
      <c r="C1979" t="s">
        <v>2561</v>
      </c>
      <c r="D1979">
        <v>2</v>
      </c>
      <c r="E1979" s="358">
        <v>4</v>
      </c>
      <c r="F1979" s="358" t="s">
        <v>7</v>
      </c>
      <c r="G1979" s="358" t="s">
        <v>11</v>
      </c>
      <c r="H1979" s="358" t="s">
        <v>11</v>
      </c>
    </row>
    <row r="1980" spans="1:8" x14ac:dyDescent="0.3">
      <c r="A1980" t="s">
        <v>38</v>
      </c>
      <c r="B1980" t="s">
        <v>99</v>
      </c>
      <c r="C1980" t="s">
        <v>2562</v>
      </c>
      <c r="D1980">
        <v>1</v>
      </c>
      <c r="E1980" s="358">
        <v>4</v>
      </c>
      <c r="F1980" s="358" t="s">
        <v>7</v>
      </c>
      <c r="G1980" s="358" t="s">
        <v>11</v>
      </c>
      <c r="H1980" s="358" t="s">
        <v>11</v>
      </c>
    </row>
    <row r="1981" spans="1:8" x14ac:dyDescent="0.3">
      <c r="A1981" t="s">
        <v>38</v>
      </c>
      <c r="B1981" t="s">
        <v>99</v>
      </c>
      <c r="C1981" t="s">
        <v>2563</v>
      </c>
      <c r="D1981">
        <v>3</v>
      </c>
      <c r="E1981" s="358">
        <v>3</v>
      </c>
      <c r="F1981" s="358" t="s">
        <v>7</v>
      </c>
      <c r="G1981" s="358" t="s">
        <v>11</v>
      </c>
      <c r="H1981" s="358" t="s">
        <v>11</v>
      </c>
    </row>
    <row r="1982" spans="1:8" x14ac:dyDescent="0.3">
      <c r="A1982" t="s">
        <v>38</v>
      </c>
      <c r="B1982" t="s">
        <v>99</v>
      </c>
      <c r="C1982" t="s">
        <v>1479</v>
      </c>
      <c r="D1982">
        <v>3</v>
      </c>
      <c r="E1982" s="358">
        <v>3</v>
      </c>
      <c r="F1982" s="358" t="s">
        <v>7</v>
      </c>
      <c r="G1982" s="358" t="s">
        <v>11</v>
      </c>
      <c r="H1982" s="358" t="s">
        <v>11</v>
      </c>
    </row>
    <row r="1983" spans="1:8" x14ac:dyDescent="0.3">
      <c r="A1983" t="s">
        <v>38</v>
      </c>
      <c r="B1983" t="s">
        <v>99</v>
      </c>
      <c r="C1983" t="s">
        <v>2564</v>
      </c>
      <c r="D1983">
        <v>2</v>
      </c>
      <c r="E1983" s="358">
        <v>4</v>
      </c>
      <c r="F1983" s="358" t="s">
        <v>7</v>
      </c>
      <c r="G1983" s="358" t="s">
        <v>11</v>
      </c>
      <c r="H1983" s="358" t="s">
        <v>11</v>
      </c>
    </row>
    <row r="1984" spans="1:8" x14ac:dyDescent="0.3">
      <c r="A1984" t="s">
        <v>38</v>
      </c>
      <c r="B1984" t="s">
        <v>99</v>
      </c>
      <c r="C1984" t="s">
        <v>2565</v>
      </c>
      <c r="D1984">
        <v>2</v>
      </c>
      <c r="E1984" s="358">
        <v>4</v>
      </c>
      <c r="F1984" s="358" t="s">
        <v>7</v>
      </c>
      <c r="G1984" s="358" t="s">
        <v>11</v>
      </c>
      <c r="H1984" s="358" t="s">
        <v>11</v>
      </c>
    </row>
    <row r="1985" spans="1:8" x14ac:dyDescent="0.3">
      <c r="A1985" t="s">
        <v>38</v>
      </c>
      <c r="B1985" t="s">
        <v>99</v>
      </c>
      <c r="C1985" t="s">
        <v>1757</v>
      </c>
      <c r="D1985">
        <v>2</v>
      </c>
      <c r="E1985" s="358">
        <v>4</v>
      </c>
      <c r="F1985" s="358" t="s">
        <v>7</v>
      </c>
      <c r="G1985" s="358" t="s">
        <v>11</v>
      </c>
      <c r="H1985" s="358" t="s">
        <v>11</v>
      </c>
    </row>
    <row r="1986" spans="1:8" x14ac:dyDescent="0.3">
      <c r="A1986" t="s">
        <v>38</v>
      </c>
      <c r="B1986" t="s">
        <v>99</v>
      </c>
      <c r="C1986" t="s">
        <v>1379</v>
      </c>
      <c r="D1986">
        <v>3</v>
      </c>
      <c r="E1986" s="358">
        <v>3</v>
      </c>
      <c r="F1986" s="358" t="s">
        <v>7</v>
      </c>
      <c r="G1986" s="358" t="s">
        <v>11</v>
      </c>
      <c r="H1986" s="358" t="s">
        <v>11</v>
      </c>
    </row>
    <row r="1987" spans="1:8" x14ac:dyDescent="0.3">
      <c r="A1987" t="s">
        <v>38</v>
      </c>
      <c r="B1987" t="s">
        <v>99</v>
      </c>
      <c r="C1987" t="s">
        <v>2566</v>
      </c>
      <c r="D1987">
        <v>1</v>
      </c>
      <c r="E1987" s="358">
        <v>5</v>
      </c>
      <c r="F1987" s="358" t="s">
        <v>7</v>
      </c>
      <c r="G1987" s="358" t="s">
        <v>11</v>
      </c>
      <c r="H1987" s="358" t="s">
        <v>11</v>
      </c>
    </row>
    <row r="1988" spans="1:8" x14ac:dyDescent="0.3">
      <c r="A1988" t="s">
        <v>38</v>
      </c>
      <c r="B1988" t="s">
        <v>99</v>
      </c>
      <c r="C1988" t="s">
        <v>1758</v>
      </c>
      <c r="D1988">
        <v>3</v>
      </c>
      <c r="E1988" s="358">
        <v>3</v>
      </c>
      <c r="F1988" s="358" t="s">
        <v>7</v>
      </c>
      <c r="G1988" s="358" t="s">
        <v>11</v>
      </c>
      <c r="H1988" s="358" t="s">
        <v>11</v>
      </c>
    </row>
    <row r="1989" spans="1:8" x14ac:dyDescent="0.3">
      <c r="A1989" t="s">
        <v>38</v>
      </c>
      <c r="B1989" t="s">
        <v>99</v>
      </c>
      <c r="C1989" t="s">
        <v>1762</v>
      </c>
      <c r="D1989">
        <v>2</v>
      </c>
      <c r="E1989" s="358">
        <v>4</v>
      </c>
      <c r="F1989" s="358" t="s">
        <v>7</v>
      </c>
      <c r="G1989" s="358" t="s">
        <v>11</v>
      </c>
      <c r="H1989" s="358" t="s">
        <v>11</v>
      </c>
    </row>
    <row r="1990" spans="1:8" x14ac:dyDescent="0.3">
      <c r="A1990" t="s">
        <v>38</v>
      </c>
      <c r="B1990" t="s">
        <v>99</v>
      </c>
      <c r="C1990" t="s">
        <v>2007</v>
      </c>
      <c r="D1990">
        <v>3</v>
      </c>
      <c r="E1990" s="358">
        <v>3</v>
      </c>
      <c r="F1990" s="358" t="s">
        <v>7</v>
      </c>
      <c r="G1990" s="358" t="s">
        <v>11</v>
      </c>
      <c r="H1990" s="358" t="s">
        <v>11</v>
      </c>
    </row>
    <row r="1991" spans="1:8" x14ac:dyDescent="0.3">
      <c r="A1991" t="s">
        <v>38</v>
      </c>
      <c r="B1991" t="s">
        <v>99</v>
      </c>
      <c r="C1991" t="s">
        <v>2567</v>
      </c>
      <c r="D1991">
        <v>2</v>
      </c>
      <c r="E1991" s="358">
        <v>4</v>
      </c>
      <c r="F1991" s="358" t="s">
        <v>7</v>
      </c>
      <c r="G1991" s="358" t="s">
        <v>11</v>
      </c>
      <c r="H1991" s="358" t="s">
        <v>11</v>
      </c>
    </row>
    <row r="1992" spans="1:8" x14ac:dyDescent="0.3">
      <c r="A1992" t="s">
        <v>38</v>
      </c>
      <c r="B1992" t="s">
        <v>99</v>
      </c>
      <c r="C1992" t="s">
        <v>2568</v>
      </c>
      <c r="D1992">
        <v>2</v>
      </c>
      <c r="E1992" s="358">
        <v>5</v>
      </c>
      <c r="F1992" s="358" t="s">
        <v>7</v>
      </c>
      <c r="G1992" s="358" t="s">
        <v>11</v>
      </c>
      <c r="H1992" s="358" t="s">
        <v>11</v>
      </c>
    </row>
    <row r="1993" spans="1:8" x14ac:dyDescent="0.3">
      <c r="A1993" t="s">
        <v>39</v>
      </c>
      <c r="B1993" t="s">
        <v>71</v>
      </c>
      <c r="C1993" t="s">
        <v>1540</v>
      </c>
      <c r="D1993">
        <v>1</v>
      </c>
      <c r="E1993" s="358">
        <v>6</v>
      </c>
      <c r="F1993" s="358" t="s">
        <v>7</v>
      </c>
      <c r="G1993" s="358" t="s">
        <v>11</v>
      </c>
      <c r="H1993" s="358" t="s">
        <v>11</v>
      </c>
    </row>
    <row r="1994" spans="1:8" x14ac:dyDescent="0.3">
      <c r="A1994" t="s">
        <v>39</v>
      </c>
      <c r="B1994" t="s">
        <v>71</v>
      </c>
      <c r="C1994" t="s">
        <v>2569</v>
      </c>
      <c r="D1994">
        <v>1</v>
      </c>
      <c r="E1994" s="358">
        <v>7</v>
      </c>
      <c r="F1994" s="358" t="s">
        <v>11</v>
      </c>
      <c r="G1994" s="358" t="s">
        <v>11</v>
      </c>
      <c r="H1994" s="358" t="s">
        <v>11</v>
      </c>
    </row>
    <row r="1995" spans="1:8" x14ac:dyDescent="0.3">
      <c r="A1995" t="s">
        <v>39</v>
      </c>
      <c r="B1995" t="s">
        <v>71</v>
      </c>
      <c r="C1995" t="s">
        <v>2570</v>
      </c>
      <c r="D1995">
        <v>1</v>
      </c>
      <c r="E1995" s="358">
        <v>7</v>
      </c>
      <c r="F1995" s="358" t="s">
        <v>11</v>
      </c>
      <c r="G1995" s="358" t="s">
        <v>11</v>
      </c>
      <c r="H1995" s="358" t="s">
        <v>11</v>
      </c>
    </row>
    <row r="1996" spans="1:8" x14ac:dyDescent="0.3">
      <c r="A1996" t="s">
        <v>39</v>
      </c>
      <c r="B1996" t="s">
        <v>71</v>
      </c>
      <c r="C1996" t="s">
        <v>2571</v>
      </c>
      <c r="D1996">
        <v>1</v>
      </c>
      <c r="E1996" s="358">
        <v>6</v>
      </c>
      <c r="F1996" s="358" t="s">
        <v>7</v>
      </c>
      <c r="G1996" s="358" t="s">
        <v>11</v>
      </c>
      <c r="H1996" s="358" t="s">
        <v>11</v>
      </c>
    </row>
    <row r="1997" spans="1:8" x14ac:dyDescent="0.3">
      <c r="A1997" t="s">
        <v>39</v>
      </c>
      <c r="B1997" t="s">
        <v>71</v>
      </c>
      <c r="C1997" t="s">
        <v>2572</v>
      </c>
      <c r="D1997">
        <v>1</v>
      </c>
      <c r="E1997" s="358">
        <v>7</v>
      </c>
      <c r="F1997" s="358" t="s">
        <v>11</v>
      </c>
      <c r="G1997" s="358" t="s">
        <v>11</v>
      </c>
      <c r="H1997" s="358" t="s">
        <v>11</v>
      </c>
    </row>
    <row r="1998" spans="1:8" x14ac:dyDescent="0.3">
      <c r="A1998" t="s">
        <v>39</v>
      </c>
      <c r="B1998" t="s">
        <v>71</v>
      </c>
      <c r="C1998" t="s">
        <v>2573</v>
      </c>
      <c r="D1998">
        <v>1</v>
      </c>
      <c r="E1998" s="358">
        <v>6</v>
      </c>
      <c r="F1998" s="358" t="s">
        <v>7</v>
      </c>
      <c r="G1998" s="358" t="s">
        <v>11</v>
      </c>
      <c r="H1998" s="358" t="s">
        <v>11</v>
      </c>
    </row>
    <row r="1999" spans="1:8" x14ac:dyDescent="0.3">
      <c r="A1999" t="s">
        <v>39</v>
      </c>
      <c r="B1999" t="s">
        <v>71</v>
      </c>
      <c r="C1999" t="s">
        <v>1669</v>
      </c>
      <c r="D1999">
        <v>1</v>
      </c>
      <c r="E1999" s="358">
        <v>7</v>
      </c>
      <c r="F1999" s="358" t="s">
        <v>11</v>
      </c>
      <c r="G1999" s="358" t="s">
        <v>11</v>
      </c>
      <c r="H1999" s="358" t="s">
        <v>11</v>
      </c>
    </row>
    <row r="2000" spans="1:8" x14ac:dyDescent="0.3">
      <c r="A2000" t="s">
        <v>39</v>
      </c>
      <c r="B2000" t="s">
        <v>71</v>
      </c>
      <c r="C2000" t="s">
        <v>2574</v>
      </c>
      <c r="D2000">
        <v>1</v>
      </c>
      <c r="E2000" s="358">
        <v>6</v>
      </c>
      <c r="F2000" s="358" t="s">
        <v>7</v>
      </c>
      <c r="G2000" s="358" t="s">
        <v>11</v>
      </c>
      <c r="H2000" s="358" t="s">
        <v>11</v>
      </c>
    </row>
    <row r="2001" spans="1:8" x14ac:dyDescent="0.3">
      <c r="A2001" t="s">
        <v>39</v>
      </c>
      <c r="B2001" t="s">
        <v>71</v>
      </c>
      <c r="C2001" t="s">
        <v>1807</v>
      </c>
      <c r="D2001">
        <v>1</v>
      </c>
      <c r="E2001" s="358">
        <v>7</v>
      </c>
      <c r="F2001" s="358" t="s">
        <v>11</v>
      </c>
      <c r="G2001" s="358" t="s">
        <v>11</v>
      </c>
      <c r="H2001" s="358" t="s">
        <v>11</v>
      </c>
    </row>
    <row r="2002" spans="1:8" x14ac:dyDescent="0.3">
      <c r="A2002" t="s">
        <v>39</v>
      </c>
      <c r="B2002" t="s">
        <v>71</v>
      </c>
      <c r="C2002" t="s">
        <v>2575</v>
      </c>
      <c r="D2002">
        <v>1</v>
      </c>
      <c r="E2002" s="358">
        <v>7</v>
      </c>
      <c r="F2002" s="358" t="s">
        <v>11</v>
      </c>
      <c r="G2002" s="358" t="s">
        <v>11</v>
      </c>
      <c r="H2002" s="358" t="s">
        <v>11</v>
      </c>
    </row>
    <row r="2003" spans="1:8" x14ac:dyDescent="0.3">
      <c r="A2003" t="s">
        <v>39</v>
      </c>
      <c r="B2003" t="s">
        <v>71</v>
      </c>
      <c r="C2003" t="s">
        <v>2576</v>
      </c>
      <c r="D2003">
        <v>1</v>
      </c>
      <c r="E2003" s="358">
        <v>6</v>
      </c>
      <c r="F2003" s="358" t="s">
        <v>7</v>
      </c>
      <c r="G2003" s="358" t="s">
        <v>11</v>
      </c>
      <c r="H2003" s="358" t="s">
        <v>11</v>
      </c>
    </row>
    <row r="2004" spans="1:8" x14ac:dyDescent="0.3">
      <c r="A2004" t="s">
        <v>39</v>
      </c>
      <c r="B2004" t="s">
        <v>71</v>
      </c>
      <c r="C2004" t="s">
        <v>2577</v>
      </c>
      <c r="D2004">
        <v>1</v>
      </c>
      <c r="E2004" s="358">
        <v>7</v>
      </c>
      <c r="F2004" s="358" t="s">
        <v>11</v>
      </c>
      <c r="G2004" s="358" t="s">
        <v>11</v>
      </c>
      <c r="H2004" s="358" t="s">
        <v>11</v>
      </c>
    </row>
    <row r="2005" spans="1:8" x14ac:dyDescent="0.3">
      <c r="A2005" t="s">
        <v>39</v>
      </c>
      <c r="B2005" t="s">
        <v>71</v>
      </c>
      <c r="C2005" t="s">
        <v>2578</v>
      </c>
      <c r="D2005">
        <v>1</v>
      </c>
      <c r="E2005" s="358">
        <v>6</v>
      </c>
      <c r="F2005" s="358" t="s">
        <v>7</v>
      </c>
      <c r="G2005" s="358" t="s">
        <v>11</v>
      </c>
      <c r="H2005" s="358" t="s">
        <v>11</v>
      </c>
    </row>
    <row r="2006" spans="1:8" x14ac:dyDescent="0.3">
      <c r="A2006" t="s">
        <v>39</v>
      </c>
      <c r="B2006" t="s">
        <v>71</v>
      </c>
      <c r="C2006" t="s">
        <v>2458</v>
      </c>
      <c r="D2006">
        <v>1</v>
      </c>
      <c r="E2006" s="358">
        <v>7</v>
      </c>
      <c r="F2006" s="358" t="s">
        <v>11</v>
      </c>
      <c r="G2006" s="358" t="s">
        <v>11</v>
      </c>
      <c r="H2006" s="358" t="s">
        <v>11</v>
      </c>
    </row>
    <row r="2007" spans="1:8" x14ac:dyDescent="0.3">
      <c r="A2007" t="s">
        <v>39</v>
      </c>
      <c r="B2007" t="s">
        <v>71</v>
      </c>
      <c r="C2007" t="s">
        <v>2579</v>
      </c>
      <c r="D2007">
        <v>1</v>
      </c>
      <c r="E2007" s="358">
        <v>6</v>
      </c>
      <c r="F2007" s="358" t="s">
        <v>7</v>
      </c>
      <c r="G2007" s="358" t="s">
        <v>11</v>
      </c>
      <c r="H2007" s="358" t="s">
        <v>11</v>
      </c>
    </row>
    <row r="2008" spans="1:8" x14ac:dyDescent="0.3">
      <c r="A2008" t="s">
        <v>39</v>
      </c>
      <c r="B2008" t="s">
        <v>71</v>
      </c>
      <c r="C2008" t="s">
        <v>2580</v>
      </c>
      <c r="D2008">
        <v>1</v>
      </c>
      <c r="E2008" s="358">
        <v>7</v>
      </c>
      <c r="F2008" s="358" t="s">
        <v>11</v>
      </c>
      <c r="G2008" s="358" t="s">
        <v>11</v>
      </c>
      <c r="H2008" s="358" t="s">
        <v>11</v>
      </c>
    </row>
    <row r="2009" spans="1:8" x14ac:dyDescent="0.3">
      <c r="A2009" t="s">
        <v>39</v>
      </c>
      <c r="B2009" t="s">
        <v>71</v>
      </c>
      <c r="C2009" t="s">
        <v>2358</v>
      </c>
      <c r="D2009">
        <v>1</v>
      </c>
      <c r="E2009" s="358">
        <v>6</v>
      </c>
      <c r="F2009" s="358" t="s">
        <v>7</v>
      </c>
      <c r="G2009" s="358" t="s">
        <v>11</v>
      </c>
      <c r="H2009" s="358" t="s">
        <v>11</v>
      </c>
    </row>
    <row r="2010" spans="1:8" x14ac:dyDescent="0.3">
      <c r="A2010" t="s">
        <v>39</v>
      </c>
      <c r="B2010" t="s">
        <v>71</v>
      </c>
      <c r="C2010" t="s">
        <v>2581</v>
      </c>
      <c r="D2010">
        <v>1</v>
      </c>
      <c r="E2010" s="358">
        <v>7</v>
      </c>
      <c r="F2010" s="358" t="s">
        <v>11</v>
      </c>
      <c r="G2010" s="358" t="s">
        <v>11</v>
      </c>
      <c r="H2010" s="358" t="s">
        <v>11</v>
      </c>
    </row>
    <row r="2011" spans="1:8" x14ac:dyDescent="0.3">
      <c r="A2011" t="s">
        <v>39</v>
      </c>
      <c r="B2011" t="s">
        <v>71</v>
      </c>
      <c r="C2011" t="s">
        <v>1448</v>
      </c>
      <c r="D2011">
        <v>1</v>
      </c>
      <c r="E2011" s="358">
        <v>6</v>
      </c>
      <c r="F2011" s="358" t="s">
        <v>7</v>
      </c>
      <c r="G2011" s="358" t="s">
        <v>11</v>
      </c>
      <c r="H2011" s="358" t="s">
        <v>11</v>
      </c>
    </row>
    <row r="2012" spans="1:8" x14ac:dyDescent="0.3">
      <c r="A2012" t="s">
        <v>39</v>
      </c>
      <c r="B2012" t="s">
        <v>71</v>
      </c>
      <c r="C2012" t="s">
        <v>2582</v>
      </c>
      <c r="D2012">
        <v>1</v>
      </c>
      <c r="E2012" s="358">
        <v>7</v>
      </c>
      <c r="F2012" s="358" t="s">
        <v>11</v>
      </c>
      <c r="G2012" s="358" t="s">
        <v>11</v>
      </c>
      <c r="H2012" s="358" t="s">
        <v>11</v>
      </c>
    </row>
    <row r="2013" spans="1:8" x14ac:dyDescent="0.3">
      <c r="A2013" t="s">
        <v>39</v>
      </c>
      <c r="B2013" t="s">
        <v>71</v>
      </c>
      <c r="C2013" t="s">
        <v>2583</v>
      </c>
      <c r="D2013">
        <v>1</v>
      </c>
      <c r="E2013" s="358">
        <v>6</v>
      </c>
      <c r="F2013" s="358" t="s">
        <v>7</v>
      </c>
      <c r="G2013" s="358" t="s">
        <v>11</v>
      </c>
      <c r="H2013" s="358" t="s">
        <v>11</v>
      </c>
    </row>
    <row r="2014" spans="1:8" x14ac:dyDescent="0.3">
      <c r="A2014" t="s">
        <v>39</v>
      </c>
      <c r="B2014" t="s">
        <v>71</v>
      </c>
      <c r="C2014" t="s">
        <v>2584</v>
      </c>
      <c r="D2014">
        <v>1</v>
      </c>
      <c r="E2014" s="358">
        <v>7</v>
      </c>
      <c r="F2014" s="358" t="s">
        <v>11</v>
      </c>
      <c r="G2014" s="358" t="s">
        <v>11</v>
      </c>
      <c r="H2014" s="358" t="s">
        <v>11</v>
      </c>
    </row>
    <row r="2015" spans="1:8" x14ac:dyDescent="0.3">
      <c r="A2015" t="s">
        <v>39</v>
      </c>
      <c r="B2015" t="s">
        <v>71</v>
      </c>
      <c r="C2015" t="s">
        <v>2585</v>
      </c>
      <c r="D2015">
        <v>1</v>
      </c>
      <c r="E2015" s="358">
        <v>6</v>
      </c>
      <c r="F2015" s="358" t="s">
        <v>7</v>
      </c>
      <c r="G2015" s="358" t="s">
        <v>11</v>
      </c>
      <c r="H2015" s="358" t="s">
        <v>11</v>
      </c>
    </row>
    <row r="2016" spans="1:8" x14ac:dyDescent="0.3">
      <c r="A2016" t="s">
        <v>39</v>
      </c>
      <c r="B2016" t="s">
        <v>71</v>
      </c>
      <c r="C2016" t="s">
        <v>1458</v>
      </c>
      <c r="D2016">
        <v>1</v>
      </c>
      <c r="E2016" s="358">
        <v>6</v>
      </c>
      <c r="F2016" s="358" t="s">
        <v>7</v>
      </c>
      <c r="G2016" s="358" t="s">
        <v>11</v>
      </c>
      <c r="H2016" s="358" t="s">
        <v>11</v>
      </c>
    </row>
    <row r="2017" spans="1:8" x14ac:dyDescent="0.3">
      <c r="A2017" t="s">
        <v>39</v>
      </c>
      <c r="B2017" t="s">
        <v>71</v>
      </c>
      <c r="C2017" t="s">
        <v>1835</v>
      </c>
      <c r="D2017">
        <v>1</v>
      </c>
      <c r="E2017" s="358">
        <v>7</v>
      </c>
      <c r="F2017" s="358" t="s">
        <v>11</v>
      </c>
      <c r="G2017" s="358" t="s">
        <v>11</v>
      </c>
      <c r="H2017" s="358" t="s">
        <v>11</v>
      </c>
    </row>
    <row r="2018" spans="1:8" x14ac:dyDescent="0.3">
      <c r="A2018" t="s">
        <v>39</v>
      </c>
      <c r="B2018" t="s">
        <v>71</v>
      </c>
      <c r="C2018" t="s">
        <v>1723</v>
      </c>
      <c r="D2018">
        <v>1</v>
      </c>
      <c r="E2018" s="358">
        <v>6</v>
      </c>
      <c r="F2018" s="358" t="s">
        <v>7</v>
      </c>
      <c r="G2018" s="358" t="s">
        <v>11</v>
      </c>
      <c r="H2018" s="358" t="s">
        <v>11</v>
      </c>
    </row>
    <row r="2019" spans="1:8" x14ac:dyDescent="0.3">
      <c r="A2019" t="s">
        <v>39</v>
      </c>
      <c r="B2019" t="s">
        <v>71</v>
      </c>
      <c r="C2019" t="s">
        <v>2586</v>
      </c>
      <c r="D2019">
        <v>1</v>
      </c>
      <c r="E2019" s="358">
        <v>6</v>
      </c>
      <c r="F2019" s="358" t="s">
        <v>7</v>
      </c>
      <c r="G2019" s="358" t="s">
        <v>11</v>
      </c>
      <c r="H2019" s="358" t="s">
        <v>11</v>
      </c>
    </row>
    <row r="2020" spans="1:8" x14ac:dyDescent="0.3">
      <c r="A2020" t="s">
        <v>39</v>
      </c>
      <c r="B2020" t="s">
        <v>71</v>
      </c>
      <c r="C2020" t="s">
        <v>1836</v>
      </c>
      <c r="D2020">
        <v>1</v>
      </c>
      <c r="E2020" s="358">
        <v>7</v>
      </c>
      <c r="F2020" s="358" t="s">
        <v>11</v>
      </c>
      <c r="G2020" s="358" t="s">
        <v>11</v>
      </c>
      <c r="H2020" s="358" t="s">
        <v>11</v>
      </c>
    </row>
    <row r="2021" spans="1:8" x14ac:dyDescent="0.3">
      <c r="A2021" t="s">
        <v>39</v>
      </c>
      <c r="B2021" t="s">
        <v>71</v>
      </c>
      <c r="C2021" t="s">
        <v>1838</v>
      </c>
      <c r="D2021">
        <v>1</v>
      </c>
      <c r="E2021" s="358">
        <v>6</v>
      </c>
      <c r="F2021" s="358" t="s">
        <v>7</v>
      </c>
      <c r="G2021" s="358" t="s">
        <v>11</v>
      </c>
      <c r="H2021" s="358" t="s">
        <v>11</v>
      </c>
    </row>
    <row r="2022" spans="1:8" x14ac:dyDescent="0.3">
      <c r="A2022" t="s">
        <v>39</v>
      </c>
      <c r="B2022" t="s">
        <v>71</v>
      </c>
      <c r="C2022" t="s">
        <v>1977</v>
      </c>
      <c r="D2022">
        <v>1</v>
      </c>
      <c r="E2022" s="358">
        <v>6</v>
      </c>
      <c r="F2022" s="358" t="s">
        <v>7</v>
      </c>
      <c r="G2022" s="358" t="s">
        <v>11</v>
      </c>
      <c r="H2022" s="358" t="s">
        <v>11</v>
      </c>
    </row>
    <row r="2023" spans="1:8" x14ac:dyDescent="0.3">
      <c r="A2023" t="s">
        <v>39</v>
      </c>
      <c r="B2023" t="s">
        <v>71</v>
      </c>
      <c r="C2023" t="s">
        <v>2587</v>
      </c>
      <c r="D2023">
        <v>1</v>
      </c>
      <c r="E2023" s="358">
        <v>7</v>
      </c>
      <c r="F2023" s="358" t="s">
        <v>11</v>
      </c>
      <c r="G2023" s="358" t="s">
        <v>11</v>
      </c>
      <c r="H2023" s="358" t="s">
        <v>11</v>
      </c>
    </row>
    <row r="2024" spans="1:8" x14ac:dyDescent="0.3">
      <c r="A2024" t="s">
        <v>39</v>
      </c>
      <c r="B2024" t="s">
        <v>71</v>
      </c>
      <c r="C2024" t="s">
        <v>2051</v>
      </c>
      <c r="D2024">
        <v>1</v>
      </c>
      <c r="E2024" s="358">
        <v>7</v>
      </c>
      <c r="F2024" s="358" t="s">
        <v>11</v>
      </c>
      <c r="G2024" s="358" t="s">
        <v>11</v>
      </c>
      <c r="H2024" s="358" t="s">
        <v>11</v>
      </c>
    </row>
    <row r="2025" spans="1:8" x14ac:dyDescent="0.3">
      <c r="A2025" t="s">
        <v>39</v>
      </c>
      <c r="B2025" t="s">
        <v>71</v>
      </c>
      <c r="C2025" t="s">
        <v>2588</v>
      </c>
      <c r="D2025">
        <v>1</v>
      </c>
      <c r="E2025" s="358">
        <v>6</v>
      </c>
      <c r="F2025" s="358" t="s">
        <v>7</v>
      </c>
      <c r="G2025" s="358" t="s">
        <v>11</v>
      </c>
      <c r="H2025" s="358" t="s">
        <v>11</v>
      </c>
    </row>
    <row r="2026" spans="1:8" x14ac:dyDescent="0.3">
      <c r="A2026" t="s">
        <v>39</v>
      </c>
      <c r="B2026" t="s">
        <v>71</v>
      </c>
      <c r="C2026" t="s">
        <v>2589</v>
      </c>
      <c r="D2026">
        <v>1</v>
      </c>
      <c r="E2026" s="358">
        <v>7</v>
      </c>
      <c r="F2026" s="358" t="s">
        <v>11</v>
      </c>
      <c r="G2026" s="358" t="s">
        <v>11</v>
      </c>
      <c r="H2026" s="358" t="s">
        <v>11</v>
      </c>
    </row>
    <row r="2027" spans="1:8" x14ac:dyDescent="0.3">
      <c r="A2027" t="s">
        <v>39</v>
      </c>
      <c r="B2027" t="s">
        <v>71</v>
      </c>
      <c r="C2027" t="s">
        <v>1732</v>
      </c>
      <c r="D2027">
        <v>1</v>
      </c>
      <c r="E2027" s="358">
        <v>7</v>
      </c>
      <c r="F2027" s="358" t="s">
        <v>11</v>
      </c>
      <c r="G2027" s="358" t="s">
        <v>11</v>
      </c>
      <c r="H2027" s="358" t="s">
        <v>11</v>
      </c>
    </row>
    <row r="2028" spans="1:8" x14ac:dyDescent="0.3">
      <c r="A2028" t="s">
        <v>39</v>
      </c>
      <c r="B2028" t="s">
        <v>71</v>
      </c>
      <c r="C2028" t="s">
        <v>2252</v>
      </c>
      <c r="D2028">
        <v>1</v>
      </c>
      <c r="E2028" s="358">
        <v>7</v>
      </c>
      <c r="F2028" s="358" t="s">
        <v>11</v>
      </c>
      <c r="G2028" s="358" t="s">
        <v>11</v>
      </c>
      <c r="H2028" s="358" t="s">
        <v>11</v>
      </c>
    </row>
    <row r="2029" spans="1:8" x14ac:dyDescent="0.3">
      <c r="A2029" t="s">
        <v>39</v>
      </c>
      <c r="B2029" t="s">
        <v>71</v>
      </c>
      <c r="C2029" t="s">
        <v>2590</v>
      </c>
      <c r="D2029">
        <v>1</v>
      </c>
      <c r="E2029" s="358">
        <v>6</v>
      </c>
      <c r="F2029" s="358" t="s">
        <v>7</v>
      </c>
      <c r="G2029" s="358" t="s">
        <v>11</v>
      </c>
      <c r="H2029" s="358" t="s">
        <v>11</v>
      </c>
    </row>
    <row r="2030" spans="1:8" x14ac:dyDescent="0.3">
      <c r="A2030" t="s">
        <v>39</v>
      </c>
      <c r="B2030" t="s">
        <v>71</v>
      </c>
      <c r="C2030" t="s">
        <v>2255</v>
      </c>
      <c r="D2030">
        <v>1</v>
      </c>
      <c r="E2030" s="358">
        <v>7</v>
      </c>
      <c r="F2030" s="358" t="s">
        <v>11</v>
      </c>
      <c r="G2030" s="358" t="s">
        <v>11</v>
      </c>
      <c r="H2030" s="358" t="s">
        <v>11</v>
      </c>
    </row>
    <row r="2031" spans="1:8" x14ac:dyDescent="0.3">
      <c r="A2031" t="s">
        <v>39</v>
      </c>
      <c r="B2031" t="s">
        <v>71</v>
      </c>
      <c r="C2031" t="s">
        <v>1843</v>
      </c>
      <c r="D2031">
        <v>1</v>
      </c>
      <c r="E2031" s="358">
        <v>6</v>
      </c>
      <c r="F2031" s="358" t="s">
        <v>7</v>
      </c>
      <c r="G2031" s="358" t="s">
        <v>11</v>
      </c>
      <c r="H2031" s="358" t="s">
        <v>11</v>
      </c>
    </row>
    <row r="2032" spans="1:8" x14ac:dyDescent="0.3">
      <c r="A2032" t="s">
        <v>39</v>
      </c>
      <c r="B2032" t="s">
        <v>71</v>
      </c>
      <c r="C2032" t="s">
        <v>2591</v>
      </c>
      <c r="D2032">
        <v>1</v>
      </c>
      <c r="E2032" s="358">
        <v>7</v>
      </c>
      <c r="F2032" s="358" t="s">
        <v>11</v>
      </c>
      <c r="G2032" s="358" t="s">
        <v>11</v>
      </c>
      <c r="H2032" s="358" t="s">
        <v>11</v>
      </c>
    </row>
    <row r="2033" spans="1:8" x14ac:dyDescent="0.3">
      <c r="A2033" t="s">
        <v>39</v>
      </c>
      <c r="B2033" t="s">
        <v>71</v>
      </c>
      <c r="C2033" t="s">
        <v>2592</v>
      </c>
      <c r="D2033">
        <v>1</v>
      </c>
      <c r="E2033" s="358">
        <v>6</v>
      </c>
      <c r="F2033" s="358" t="s">
        <v>7</v>
      </c>
      <c r="G2033" s="358" t="s">
        <v>11</v>
      </c>
      <c r="H2033" s="358" t="s">
        <v>11</v>
      </c>
    </row>
    <row r="2034" spans="1:8" x14ac:dyDescent="0.3">
      <c r="A2034" t="s">
        <v>39</v>
      </c>
      <c r="B2034" t="s">
        <v>71</v>
      </c>
      <c r="C2034" t="s">
        <v>1996</v>
      </c>
      <c r="D2034">
        <v>1</v>
      </c>
      <c r="E2034" s="358">
        <v>7</v>
      </c>
      <c r="F2034" s="358" t="s">
        <v>11</v>
      </c>
      <c r="G2034" s="358" t="s">
        <v>11</v>
      </c>
      <c r="H2034" s="358" t="s">
        <v>11</v>
      </c>
    </row>
    <row r="2035" spans="1:8" x14ac:dyDescent="0.3">
      <c r="A2035" t="s">
        <v>39</v>
      </c>
      <c r="B2035" t="s">
        <v>71</v>
      </c>
      <c r="C2035" t="s">
        <v>1936</v>
      </c>
      <c r="D2035">
        <v>1</v>
      </c>
      <c r="E2035" s="358">
        <v>6</v>
      </c>
      <c r="F2035" s="358" t="s">
        <v>7</v>
      </c>
      <c r="G2035" s="358" t="s">
        <v>11</v>
      </c>
      <c r="H2035" s="358" t="s">
        <v>11</v>
      </c>
    </row>
    <row r="2036" spans="1:8" x14ac:dyDescent="0.3">
      <c r="A2036" t="s">
        <v>39</v>
      </c>
      <c r="B2036" t="s">
        <v>71</v>
      </c>
      <c r="C2036" t="s">
        <v>2593</v>
      </c>
      <c r="D2036">
        <v>1</v>
      </c>
      <c r="E2036" s="358">
        <v>6</v>
      </c>
      <c r="F2036" s="358" t="s">
        <v>7</v>
      </c>
      <c r="G2036" s="358" t="s">
        <v>11</v>
      </c>
      <c r="H2036" s="358" t="s">
        <v>11</v>
      </c>
    </row>
    <row r="2037" spans="1:8" x14ac:dyDescent="0.3">
      <c r="A2037" t="s">
        <v>39</v>
      </c>
      <c r="B2037" t="s">
        <v>71</v>
      </c>
      <c r="C2037" t="s">
        <v>1847</v>
      </c>
      <c r="D2037">
        <v>1</v>
      </c>
      <c r="E2037" s="358">
        <v>6</v>
      </c>
      <c r="F2037" s="358" t="s">
        <v>7</v>
      </c>
      <c r="G2037" s="358" t="s">
        <v>11</v>
      </c>
      <c r="H2037" s="358" t="s">
        <v>11</v>
      </c>
    </row>
    <row r="2038" spans="1:8" x14ac:dyDescent="0.3">
      <c r="A2038" t="s">
        <v>39</v>
      </c>
      <c r="B2038" t="s">
        <v>71</v>
      </c>
      <c r="C2038" t="s">
        <v>2262</v>
      </c>
      <c r="D2038">
        <v>1</v>
      </c>
      <c r="E2038" s="358">
        <v>7</v>
      </c>
      <c r="F2038" s="358" t="s">
        <v>11</v>
      </c>
      <c r="G2038" s="358" t="s">
        <v>11</v>
      </c>
      <c r="H2038" s="358" t="s">
        <v>11</v>
      </c>
    </row>
    <row r="2039" spans="1:8" x14ac:dyDescent="0.3">
      <c r="A2039" t="s">
        <v>39</v>
      </c>
      <c r="B2039" t="s">
        <v>71</v>
      </c>
      <c r="C2039" t="s">
        <v>2594</v>
      </c>
      <c r="D2039">
        <v>1</v>
      </c>
      <c r="E2039" s="358">
        <v>7</v>
      </c>
      <c r="F2039" s="358" t="s">
        <v>11</v>
      </c>
      <c r="G2039" s="358" t="s">
        <v>11</v>
      </c>
      <c r="H2039" s="358" t="s">
        <v>11</v>
      </c>
    </row>
    <row r="2040" spans="1:8" x14ac:dyDescent="0.3">
      <c r="A2040" t="s">
        <v>39</v>
      </c>
      <c r="B2040" t="s">
        <v>71</v>
      </c>
      <c r="C2040" t="s">
        <v>2595</v>
      </c>
      <c r="D2040">
        <v>1</v>
      </c>
      <c r="E2040" s="358">
        <v>7</v>
      </c>
      <c r="F2040" s="358" t="s">
        <v>11</v>
      </c>
      <c r="G2040" s="358" t="s">
        <v>11</v>
      </c>
      <c r="H2040" s="358" t="s">
        <v>11</v>
      </c>
    </row>
    <row r="2041" spans="1:8" x14ac:dyDescent="0.3">
      <c r="A2041" t="s">
        <v>39</v>
      </c>
      <c r="B2041" t="s">
        <v>71</v>
      </c>
      <c r="C2041" t="s">
        <v>2596</v>
      </c>
      <c r="D2041">
        <v>1</v>
      </c>
      <c r="E2041" s="358">
        <v>7</v>
      </c>
      <c r="F2041" s="358" t="s">
        <v>11</v>
      </c>
      <c r="G2041" s="358" t="s">
        <v>11</v>
      </c>
      <c r="H2041" s="358" t="s">
        <v>11</v>
      </c>
    </row>
    <row r="2042" spans="1:8" x14ac:dyDescent="0.3">
      <c r="A2042" t="s">
        <v>39</v>
      </c>
      <c r="B2042" t="s">
        <v>71</v>
      </c>
      <c r="C2042" t="s">
        <v>2597</v>
      </c>
      <c r="D2042">
        <v>1</v>
      </c>
      <c r="E2042" s="358">
        <v>7</v>
      </c>
      <c r="F2042" s="358" t="s">
        <v>11</v>
      </c>
      <c r="G2042" s="358" t="s">
        <v>11</v>
      </c>
      <c r="H2042" s="358" t="s">
        <v>11</v>
      </c>
    </row>
    <row r="2043" spans="1:8" x14ac:dyDescent="0.3">
      <c r="A2043" t="s">
        <v>39</v>
      </c>
      <c r="B2043" t="s">
        <v>71</v>
      </c>
      <c r="C2043" t="s">
        <v>2598</v>
      </c>
      <c r="D2043">
        <v>1</v>
      </c>
      <c r="E2043" s="358">
        <v>7</v>
      </c>
      <c r="F2043" s="358" t="s">
        <v>11</v>
      </c>
      <c r="G2043" s="358" t="s">
        <v>11</v>
      </c>
      <c r="H2043" s="358" t="s">
        <v>11</v>
      </c>
    </row>
    <row r="2044" spans="1:8" x14ac:dyDescent="0.3">
      <c r="A2044" t="s">
        <v>39</v>
      </c>
      <c r="B2044" t="s">
        <v>71</v>
      </c>
      <c r="C2044" t="s">
        <v>1896</v>
      </c>
      <c r="D2044">
        <v>1</v>
      </c>
      <c r="E2044" s="358">
        <v>7</v>
      </c>
      <c r="F2044" s="358" t="s">
        <v>11</v>
      </c>
      <c r="G2044" s="358" t="s">
        <v>11</v>
      </c>
      <c r="H2044" s="358" t="s">
        <v>11</v>
      </c>
    </row>
    <row r="2045" spans="1:8" x14ac:dyDescent="0.3">
      <c r="A2045" t="s">
        <v>39</v>
      </c>
      <c r="B2045" t="s">
        <v>71</v>
      </c>
      <c r="C2045" t="s">
        <v>2599</v>
      </c>
      <c r="D2045">
        <v>1</v>
      </c>
      <c r="E2045" s="358">
        <v>7</v>
      </c>
      <c r="F2045" s="358" t="s">
        <v>11</v>
      </c>
      <c r="G2045" s="358" t="s">
        <v>11</v>
      </c>
      <c r="H2045" s="358" t="s">
        <v>11</v>
      </c>
    </row>
    <row r="2046" spans="1:8" x14ac:dyDescent="0.3">
      <c r="A2046" t="s">
        <v>68</v>
      </c>
      <c r="C2046" t="s">
        <v>2600</v>
      </c>
      <c r="D2046" t="s">
        <v>11</v>
      </c>
      <c r="E2046" s="358">
        <v>1</v>
      </c>
      <c r="F2046" s="358" t="s">
        <v>7</v>
      </c>
      <c r="G2046" s="358" t="s">
        <v>115</v>
      </c>
      <c r="H2046" s="358" t="s">
        <v>3678</v>
      </c>
    </row>
    <row r="2047" spans="1:8" x14ac:dyDescent="0.3">
      <c r="A2047" t="s">
        <v>47</v>
      </c>
      <c r="B2047" t="s">
        <v>100</v>
      </c>
      <c r="C2047" t="s">
        <v>1540</v>
      </c>
      <c r="D2047">
        <v>1</v>
      </c>
      <c r="E2047" s="358">
        <v>4</v>
      </c>
      <c r="F2047" s="358" t="s">
        <v>7</v>
      </c>
      <c r="G2047" s="358" t="s">
        <v>11</v>
      </c>
      <c r="H2047" s="358" t="s">
        <v>11</v>
      </c>
    </row>
    <row r="2048" spans="1:8" x14ac:dyDescent="0.3">
      <c r="A2048" t="s">
        <v>47</v>
      </c>
      <c r="B2048" t="s">
        <v>100</v>
      </c>
      <c r="C2048" t="s">
        <v>1857</v>
      </c>
      <c r="D2048">
        <v>1</v>
      </c>
      <c r="E2048" s="358">
        <v>5</v>
      </c>
      <c r="F2048" s="358" t="s">
        <v>7</v>
      </c>
      <c r="G2048" s="358" t="s">
        <v>11</v>
      </c>
      <c r="H2048" s="358" t="s">
        <v>11</v>
      </c>
    </row>
    <row r="2049" spans="1:8" x14ac:dyDescent="0.3">
      <c r="A2049" t="s">
        <v>47</v>
      </c>
      <c r="B2049" t="s">
        <v>100</v>
      </c>
      <c r="C2049" t="s">
        <v>2601</v>
      </c>
      <c r="D2049">
        <v>1</v>
      </c>
      <c r="E2049" s="358">
        <v>5</v>
      </c>
      <c r="F2049" s="358" t="s">
        <v>7</v>
      </c>
      <c r="G2049" s="358" t="s">
        <v>11</v>
      </c>
      <c r="H2049" s="358" t="s">
        <v>11</v>
      </c>
    </row>
    <row r="2050" spans="1:8" x14ac:dyDescent="0.3">
      <c r="A2050" t="s">
        <v>47</v>
      </c>
      <c r="B2050" t="s">
        <v>100</v>
      </c>
      <c r="C2050" t="s">
        <v>2602</v>
      </c>
      <c r="D2050">
        <v>2</v>
      </c>
      <c r="E2050" s="358">
        <v>5</v>
      </c>
      <c r="F2050" s="358" t="s">
        <v>7</v>
      </c>
      <c r="G2050" s="358" t="s">
        <v>11</v>
      </c>
      <c r="H2050" s="358" t="s">
        <v>11</v>
      </c>
    </row>
    <row r="2051" spans="1:8" x14ac:dyDescent="0.3">
      <c r="A2051" t="s">
        <v>47</v>
      </c>
      <c r="B2051" t="s">
        <v>100</v>
      </c>
      <c r="C2051" t="s">
        <v>2603</v>
      </c>
      <c r="D2051">
        <v>2</v>
      </c>
      <c r="E2051" s="358">
        <v>5</v>
      </c>
      <c r="F2051" s="358" t="s">
        <v>7</v>
      </c>
      <c r="G2051" s="358" t="s">
        <v>11</v>
      </c>
      <c r="H2051" s="358" t="s">
        <v>11</v>
      </c>
    </row>
    <row r="2052" spans="1:8" x14ac:dyDescent="0.3">
      <c r="A2052" t="s">
        <v>47</v>
      </c>
      <c r="B2052" t="s">
        <v>100</v>
      </c>
      <c r="C2052" t="s">
        <v>2604</v>
      </c>
      <c r="D2052">
        <v>1</v>
      </c>
      <c r="E2052" s="358">
        <v>5</v>
      </c>
      <c r="F2052" s="358" t="s">
        <v>7</v>
      </c>
      <c r="G2052" s="358" t="s">
        <v>11</v>
      </c>
      <c r="H2052" s="358" t="s">
        <v>11</v>
      </c>
    </row>
    <row r="2053" spans="1:8" x14ac:dyDescent="0.3">
      <c r="A2053" t="s">
        <v>47</v>
      </c>
      <c r="B2053" t="s">
        <v>100</v>
      </c>
      <c r="C2053" t="s">
        <v>2605</v>
      </c>
      <c r="D2053">
        <v>1</v>
      </c>
      <c r="E2053" s="358">
        <v>5</v>
      </c>
      <c r="F2053" s="358" t="s">
        <v>7</v>
      </c>
      <c r="G2053" s="358" t="s">
        <v>11</v>
      </c>
      <c r="H2053" s="358" t="s">
        <v>11</v>
      </c>
    </row>
    <row r="2054" spans="1:8" x14ac:dyDescent="0.3">
      <c r="A2054" t="s">
        <v>47</v>
      </c>
      <c r="B2054" t="s">
        <v>100</v>
      </c>
      <c r="C2054" t="s">
        <v>1805</v>
      </c>
      <c r="D2054">
        <v>2</v>
      </c>
      <c r="E2054" s="358">
        <v>4</v>
      </c>
      <c r="F2054" s="358" t="s">
        <v>7</v>
      </c>
      <c r="G2054" s="358" t="s">
        <v>11</v>
      </c>
      <c r="H2054" s="358" t="s">
        <v>11</v>
      </c>
    </row>
    <row r="2055" spans="1:8" x14ac:dyDescent="0.3">
      <c r="A2055" t="s">
        <v>47</v>
      </c>
      <c r="B2055" t="s">
        <v>100</v>
      </c>
      <c r="C2055" t="s">
        <v>1321</v>
      </c>
      <c r="D2055">
        <v>1</v>
      </c>
      <c r="E2055" s="358">
        <v>5</v>
      </c>
      <c r="F2055" s="358" t="s">
        <v>7</v>
      </c>
      <c r="G2055" s="358" t="s">
        <v>11</v>
      </c>
      <c r="H2055" s="358" t="s">
        <v>11</v>
      </c>
    </row>
    <row r="2056" spans="1:8" x14ac:dyDescent="0.3">
      <c r="A2056" t="s">
        <v>47</v>
      </c>
      <c r="B2056" t="s">
        <v>100</v>
      </c>
      <c r="C2056" t="s">
        <v>1433</v>
      </c>
      <c r="D2056">
        <v>1</v>
      </c>
      <c r="E2056" s="358">
        <v>5</v>
      </c>
      <c r="F2056" s="358" t="s">
        <v>7</v>
      </c>
      <c r="G2056" s="358" t="s">
        <v>11</v>
      </c>
      <c r="H2056" s="358" t="s">
        <v>11</v>
      </c>
    </row>
    <row r="2057" spans="1:8" x14ac:dyDescent="0.3">
      <c r="A2057" t="s">
        <v>47</v>
      </c>
      <c r="B2057" t="s">
        <v>100</v>
      </c>
      <c r="C2057" t="s">
        <v>1808</v>
      </c>
      <c r="D2057">
        <v>1</v>
      </c>
      <c r="E2057" s="358">
        <v>5</v>
      </c>
      <c r="F2057" s="358" t="s">
        <v>7</v>
      </c>
      <c r="G2057" s="358" t="s">
        <v>11</v>
      </c>
      <c r="H2057" s="358" t="s">
        <v>11</v>
      </c>
    </row>
    <row r="2058" spans="1:8" x14ac:dyDescent="0.3">
      <c r="A2058" t="s">
        <v>47</v>
      </c>
      <c r="B2058" t="s">
        <v>100</v>
      </c>
      <c r="C2058" t="s">
        <v>1435</v>
      </c>
      <c r="D2058">
        <v>1</v>
      </c>
      <c r="E2058" s="358">
        <v>5</v>
      </c>
      <c r="F2058" s="358" t="s">
        <v>7</v>
      </c>
      <c r="G2058" s="358" t="s">
        <v>11</v>
      </c>
      <c r="H2058" s="358" t="s">
        <v>11</v>
      </c>
    </row>
    <row r="2059" spans="1:8" x14ac:dyDescent="0.3">
      <c r="A2059" t="s">
        <v>47</v>
      </c>
      <c r="B2059" t="s">
        <v>100</v>
      </c>
      <c r="C2059" t="s">
        <v>2606</v>
      </c>
      <c r="D2059">
        <v>2</v>
      </c>
      <c r="E2059" s="358">
        <v>4</v>
      </c>
      <c r="F2059" s="358" t="s">
        <v>7</v>
      </c>
      <c r="G2059" s="358" t="s">
        <v>11</v>
      </c>
      <c r="H2059" s="358" t="s">
        <v>11</v>
      </c>
    </row>
    <row r="2060" spans="1:8" x14ac:dyDescent="0.3">
      <c r="A2060" t="s">
        <v>47</v>
      </c>
      <c r="B2060" t="s">
        <v>100</v>
      </c>
      <c r="C2060" t="s">
        <v>1810</v>
      </c>
      <c r="D2060">
        <v>1</v>
      </c>
      <c r="E2060" s="358">
        <v>5</v>
      </c>
      <c r="F2060" s="358" t="s">
        <v>7</v>
      </c>
      <c r="G2060" s="358" t="s">
        <v>11</v>
      </c>
      <c r="H2060" s="358" t="s">
        <v>11</v>
      </c>
    </row>
    <row r="2061" spans="1:8" x14ac:dyDescent="0.3">
      <c r="A2061" t="s">
        <v>47</v>
      </c>
      <c r="B2061" t="s">
        <v>100</v>
      </c>
      <c r="C2061" t="s">
        <v>2607</v>
      </c>
      <c r="D2061">
        <v>1</v>
      </c>
      <c r="E2061" s="358">
        <v>5</v>
      </c>
      <c r="F2061" s="358" t="s">
        <v>7</v>
      </c>
      <c r="G2061" s="358" t="s">
        <v>11</v>
      </c>
      <c r="H2061" s="358" t="s">
        <v>11</v>
      </c>
    </row>
    <row r="2062" spans="1:8" x14ac:dyDescent="0.3">
      <c r="A2062" t="s">
        <v>47</v>
      </c>
      <c r="B2062" t="s">
        <v>100</v>
      </c>
      <c r="C2062" t="s">
        <v>2608</v>
      </c>
      <c r="D2062">
        <v>1</v>
      </c>
      <c r="E2062" s="358">
        <v>5</v>
      </c>
      <c r="F2062" s="358" t="s">
        <v>7</v>
      </c>
      <c r="G2062" s="358" t="s">
        <v>11</v>
      </c>
      <c r="H2062" s="358" t="s">
        <v>11</v>
      </c>
    </row>
    <row r="2063" spans="1:8" x14ac:dyDescent="0.3">
      <c r="A2063" t="s">
        <v>47</v>
      </c>
      <c r="B2063" t="s">
        <v>100</v>
      </c>
      <c r="C2063" t="s">
        <v>1440</v>
      </c>
      <c r="D2063">
        <v>1</v>
      </c>
      <c r="E2063" s="358">
        <v>5</v>
      </c>
      <c r="F2063" s="358" t="s">
        <v>7</v>
      </c>
      <c r="G2063" s="358" t="s">
        <v>11</v>
      </c>
      <c r="H2063" s="358" t="s">
        <v>11</v>
      </c>
    </row>
    <row r="2064" spans="1:8" x14ac:dyDescent="0.3">
      <c r="A2064" t="s">
        <v>47</v>
      </c>
      <c r="B2064" t="s">
        <v>100</v>
      </c>
      <c r="C2064" t="s">
        <v>2609</v>
      </c>
      <c r="D2064">
        <v>2</v>
      </c>
      <c r="E2064" s="358">
        <v>5</v>
      </c>
      <c r="F2064" s="358" t="s">
        <v>7</v>
      </c>
      <c r="G2064" s="358" t="s">
        <v>11</v>
      </c>
      <c r="H2064" s="358" t="s">
        <v>11</v>
      </c>
    </row>
    <row r="2065" spans="1:8" x14ac:dyDescent="0.3">
      <c r="A2065" t="s">
        <v>47</v>
      </c>
      <c r="B2065" t="s">
        <v>100</v>
      </c>
      <c r="C2065" t="s">
        <v>2610</v>
      </c>
      <c r="D2065">
        <v>1</v>
      </c>
      <c r="E2065" s="358">
        <v>5</v>
      </c>
      <c r="F2065" s="358" t="s">
        <v>7</v>
      </c>
      <c r="G2065" s="358" t="s">
        <v>11</v>
      </c>
      <c r="H2065" s="358" t="s">
        <v>11</v>
      </c>
    </row>
    <row r="2066" spans="1:8" x14ac:dyDescent="0.3">
      <c r="A2066" t="s">
        <v>47</v>
      </c>
      <c r="B2066" t="s">
        <v>100</v>
      </c>
      <c r="C2066" t="s">
        <v>2611</v>
      </c>
      <c r="D2066">
        <v>2</v>
      </c>
      <c r="E2066" s="358">
        <v>5</v>
      </c>
      <c r="F2066" s="358" t="s">
        <v>7</v>
      </c>
      <c r="G2066" s="358" t="s">
        <v>11</v>
      </c>
      <c r="H2066" s="358" t="s">
        <v>11</v>
      </c>
    </row>
    <row r="2067" spans="1:8" x14ac:dyDescent="0.3">
      <c r="A2067" t="s">
        <v>47</v>
      </c>
      <c r="B2067" t="s">
        <v>100</v>
      </c>
      <c r="C2067" t="s">
        <v>1862</v>
      </c>
      <c r="D2067">
        <v>1</v>
      </c>
      <c r="E2067" s="358">
        <v>5</v>
      </c>
      <c r="F2067" s="358" t="s">
        <v>7</v>
      </c>
      <c r="G2067" s="358" t="s">
        <v>11</v>
      </c>
      <c r="H2067" s="358" t="s">
        <v>11</v>
      </c>
    </row>
    <row r="2068" spans="1:8" x14ac:dyDescent="0.3">
      <c r="A2068" t="s">
        <v>47</v>
      </c>
      <c r="B2068" t="s">
        <v>100</v>
      </c>
      <c r="C2068" t="s">
        <v>2484</v>
      </c>
      <c r="D2068">
        <v>2</v>
      </c>
      <c r="E2068" s="358">
        <v>5</v>
      </c>
      <c r="F2068" s="358" t="s">
        <v>7</v>
      </c>
      <c r="G2068" s="358" t="s">
        <v>11</v>
      </c>
      <c r="H2068" s="358" t="s">
        <v>11</v>
      </c>
    </row>
    <row r="2069" spans="1:8" x14ac:dyDescent="0.3">
      <c r="A2069" t="s">
        <v>47</v>
      </c>
      <c r="B2069" t="s">
        <v>100</v>
      </c>
      <c r="C2069" t="s">
        <v>1595</v>
      </c>
      <c r="D2069">
        <v>1</v>
      </c>
      <c r="E2069" s="358">
        <v>5</v>
      </c>
      <c r="F2069" s="358" t="s">
        <v>7</v>
      </c>
      <c r="G2069" s="358" t="s">
        <v>11</v>
      </c>
      <c r="H2069" s="358" t="s">
        <v>11</v>
      </c>
    </row>
    <row r="2070" spans="1:8" x14ac:dyDescent="0.3">
      <c r="A2070" t="s">
        <v>47</v>
      </c>
      <c r="B2070" t="s">
        <v>100</v>
      </c>
      <c r="C2070" t="s">
        <v>1343</v>
      </c>
      <c r="D2070">
        <v>1</v>
      </c>
      <c r="E2070" s="358">
        <v>5</v>
      </c>
      <c r="F2070" s="358" t="s">
        <v>7</v>
      </c>
      <c r="G2070" s="358" t="s">
        <v>11</v>
      </c>
      <c r="H2070" s="358" t="s">
        <v>11</v>
      </c>
    </row>
    <row r="2071" spans="1:8" x14ac:dyDescent="0.3">
      <c r="A2071" t="s">
        <v>47</v>
      </c>
      <c r="B2071" t="s">
        <v>100</v>
      </c>
      <c r="C2071" t="s">
        <v>1344</v>
      </c>
      <c r="D2071">
        <v>1</v>
      </c>
      <c r="E2071" s="358">
        <v>5</v>
      </c>
      <c r="F2071" s="358" t="s">
        <v>7</v>
      </c>
      <c r="G2071" s="358" t="s">
        <v>11</v>
      </c>
      <c r="H2071" s="358" t="s">
        <v>11</v>
      </c>
    </row>
    <row r="2072" spans="1:8" x14ac:dyDescent="0.3">
      <c r="A2072" t="s">
        <v>47</v>
      </c>
      <c r="B2072" t="s">
        <v>100</v>
      </c>
      <c r="C2072" t="s">
        <v>1446</v>
      </c>
      <c r="D2072">
        <v>2</v>
      </c>
      <c r="E2072" s="358">
        <v>5</v>
      </c>
      <c r="F2072" s="358" t="s">
        <v>7</v>
      </c>
      <c r="G2072" s="358" t="s">
        <v>11</v>
      </c>
      <c r="H2072" s="358" t="s">
        <v>11</v>
      </c>
    </row>
    <row r="2073" spans="1:8" x14ac:dyDescent="0.3">
      <c r="A2073" t="s">
        <v>47</v>
      </c>
      <c r="B2073" t="s">
        <v>100</v>
      </c>
      <c r="C2073" t="s">
        <v>2612</v>
      </c>
      <c r="D2073">
        <v>2</v>
      </c>
      <c r="E2073" s="358">
        <v>4</v>
      </c>
      <c r="F2073" s="358" t="s">
        <v>7</v>
      </c>
      <c r="G2073" s="358" t="s">
        <v>11</v>
      </c>
      <c r="H2073" s="358" t="s">
        <v>11</v>
      </c>
    </row>
    <row r="2074" spans="1:8" x14ac:dyDescent="0.3">
      <c r="A2074" t="s">
        <v>47</v>
      </c>
      <c r="B2074" t="s">
        <v>100</v>
      </c>
      <c r="C2074" t="s">
        <v>2613</v>
      </c>
      <c r="D2074">
        <v>2</v>
      </c>
      <c r="E2074" s="358">
        <v>5</v>
      </c>
      <c r="F2074" s="358" t="s">
        <v>7</v>
      </c>
      <c r="G2074" s="358" t="s">
        <v>11</v>
      </c>
      <c r="H2074" s="358" t="s">
        <v>11</v>
      </c>
    </row>
    <row r="2075" spans="1:8" x14ac:dyDescent="0.3">
      <c r="A2075" t="s">
        <v>47</v>
      </c>
      <c r="B2075" t="s">
        <v>100</v>
      </c>
      <c r="C2075" t="s">
        <v>1346</v>
      </c>
      <c r="D2075">
        <v>1</v>
      </c>
      <c r="E2075" s="358">
        <v>5</v>
      </c>
      <c r="F2075" s="358" t="s">
        <v>7</v>
      </c>
      <c r="G2075" s="358" t="s">
        <v>11</v>
      </c>
      <c r="H2075" s="358" t="s">
        <v>11</v>
      </c>
    </row>
    <row r="2076" spans="1:8" x14ac:dyDescent="0.3">
      <c r="A2076" t="s">
        <v>47</v>
      </c>
      <c r="B2076" t="s">
        <v>100</v>
      </c>
      <c r="C2076" t="s">
        <v>2614</v>
      </c>
      <c r="D2076">
        <v>1</v>
      </c>
      <c r="E2076" s="358">
        <v>5</v>
      </c>
      <c r="F2076" s="358" t="s">
        <v>7</v>
      </c>
      <c r="G2076" s="358" t="s">
        <v>11</v>
      </c>
      <c r="H2076" s="358" t="s">
        <v>11</v>
      </c>
    </row>
    <row r="2077" spans="1:8" x14ac:dyDescent="0.3">
      <c r="A2077" t="s">
        <v>47</v>
      </c>
      <c r="B2077" t="s">
        <v>100</v>
      </c>
      <c r="C2077" t="s">
        <v>1624</v>
      </c>
      <c r="D2077">
        <v>1</v>
      </c>
      <c r="E2077" s="358">
        <v>4</v>
      </c>
      <c r="F2077" s="358" t="s">
        <v>7</v>
      </c>
      <c r="G2077" s="358" t="s">
        <v>11</v>
      </c>
      <c r="H2077" s="358" t="s">
        <v>11</v>
      </c>
    </row>
    <row r="2078" spans="1:8" x14ac:dyDescent="0.3">
      <c r="A2078" t="s">
        <v>47</v>
      </c>
      <c r="B2078" t="s">
        <v>100</v>
      </c>
      <c r="C2078" t="s">
        <v>1708</v>
      </c>
      <c r="D2078">
        <v>1</v>
      </c>
      <c r="E2078" s="358">
        <v>5</v>
      </c>
      <c r="F2078" s="358" t="s">
        <v>7</v>
      </c>
      <c r="G2078" s="358" t="s">
        <v>11</v>
      </c>
      <c r="H2078" s="358" t="s">
        <v>11</v>
      </c>
    </row>
    <row r="2079" spans="1:8" x14ac:dyDescent="0.3">
      <c r="A2079" t="s">
        <v>47</v>
      </c>
      <c r="B2079" t="s">
        <v>100</v>
      </c>
      <c r="C2079" t="s">
        <v>1820</v>
      </c>
      <c r="D2079">
        <v>1</v>
      </c>
      <c r="E2079" s="358">
        <v>5</v>
      </c>
      <c r="F2079" s="358" t="s">
        <v>7</v>
      </c>
      <c r="G2079" s="358" t="s">
        <v>11</v>
      </c>
      <c r="H2079" s="358" t="s">
        <v>11</v>
      </c>
    </row>
    <row r="2080" spans="1:8" x14ac:dyDescent="0.3">
      <c r="A2080" t="s">
        <v>47</v>
      </c>
      <c r="B2080" t="s">
        <v>100</v>
      </c>
      <c r="C2080" t="s">
        <v>1867</v>
      </c>
      <c r="D2080">
        <v>1</v>
      </c>
      <c r="E2080" s="358">
        <v>5</v>
      </c>
      <c r="F2080" s="358" t="s">
        <v>7</v>
      </c>
      <c r="G2080" s="358" t="s">
        <v>11</v>
      </c>
      <c r="H2080" s="358" t="s">
        <v>11</v>
      </c>
    </row>
    <row r="2081" spans="1:8" x14ac:dyDescent="0.3">
      <c r="A2081" t="s">
        <v>47</v>
      </c>
      <c r="B2081" t="s">
        <v>100</v>
      </c>
      <c r="C2081" t="s">
        <v>1348</v>
      </c>
      <c r="D2081">
        <v>2</v>
      </c>
      <c r="E2081" s="358">
        <v>5</v>
      </c>
      <c r="F2081" s="358" t="s">
        <v>7</v>
      </c>
      <c r="G2081" s="358" t="s">
        <v>11</v>
      </c>
      <c r="H2081" s="358" t="s">
        <v>11</v>
      </c>
    </row>
    <row r="2082" spans="1:8" x14ac:dyDescent="0.3">
      <c r="A2082" t="s">
        <v>47</v>
      </c>
      <c r="B2082" t="s">
        <v>100</v>
      </c>
      <c r="C2082" t="s">
        <v>2615</v>
      </c>
      <c r="D2082">
        <v>2</v>
      </c>
      <c r="E2082" s="358">
        <v>5</v>
      </c>
      <c r="F2082" s="358" t="s">
        <v>7</v>
      </c>
      <c r="G2082" s="358" t="s">
        <v>11</v>
      </c>
      <c r="H2082" s="358" t="s">
        <v>11</v>
      </c>
    </row>
    <row r="2083" spans="1:8" x14ac:dyDescent="0.3">
      <c r="A2083" t="s">
        <v>47</v>
      </c>
      <c r="B2083" t="s">
        <v>100</v>
      </c>
      <c r="C2083" t="s">
        <v>2616</v>
      </c>
      <c r="D2083">
        <v>2</v>
      </c>
      <c r="E2083" s="358">
        <v>5</v>
      </c>
      <c r="F2083" s="358" t="s">
        <v>7</v>
      </c>
      <c r="G2083" s="358" t="s">
        <v>11</v>
      </c>
      <c r="H2083" s="358" t="s">
        <v>11</v>
      </c>
    </row>
    <row r="2084" spans="1:8" x14ac:dyDescent="0.3">
      <c r="A2084" t="s">
        <v>47</v>
      </c>
      <c r="B2084" t="s">
        <v>100</v>
      </c>
      <c r="C2084" t="s">
        <v>1630</v>
      </c>
      <c r="D2084">
        <v>1</v>
      </c>
      <c r="E2084" s="358">
        <v>5</v>
      </c>
      <c r="F2084" s="358" t="s">
        <v>7</v>
      </c>
      <c r="G2084" s="358" t="s">
        <v>11</v>
      </c>
      <c r="H2084" s="358" t="s">
        <v>11</v>
      </c>
    </row>
    <row r="2085" spans="1:8" x14ac:dyDescent="0.3">
      <c r="A2085" t="s">
        <v>47</v>
      </c>
      <c r="B2085" t="s">
        <v>100</v>
      </c>
      <c r="C2085" t="s">
        <v>2170</v>
      </c>
      <c r="D2085">
        <v>1</v>
      </c>
      <c r="E2085" s="358">
        <v>5</v>
      </c>
      <c r="F2085" s="358" t="s">
        <v>7</v>
      </c>
      <c r="G2085" s="358" t="s">
        <v>11</v>
      </c>
      <c r="H2085" s="358" t="s">
        <v>11</v>
      </c>
    </row>
    <row r="2086" spans="1:8" x14ac:dyDescent="0.3">
      <c r="A2086" t="s">
        <v>47</v>
      </c>
      <c r="B2086" t="s">
        <v>100</v>
      </c>
      <c r="C2086" t="s">
        <v>1350</v>
      </c>
      <c r="D2086">
        <v>2</v>
      </c>
      <c r="E2086" s="358">
        <v>5</v>
      </c>
      <c r="F2086" s="358" t="s">
        <v>7</v>
      </c>
      <c r="G2086" s="358" t="s">
        <v>11</v>
      </c>
      <c r="H2086" s="358" t="s">
        <v>11</v>
      </c>
    </row>
    <row r="2087" spans="1:8" x14ac:dyDescent="0.3">
      <c r="A2087" t="s">
        <v>47</v>
      </c>
      <c r="B2087" t="s">
        <v>100</v>
      </c>
      <c r="C2087" t="s">
        <v>1351</v>
      </c>
      <c r="D2087">
        <v>1</v>
      </c>
      <c r="E2087" s="358">
        <v>5</v>
      </c>
      <c r="F2087" s="358" t="s">
        <v>7</v>
      </c>
      <c r="G2087" s="358" t="s">
        <v>11</v>
      </c>
      <c r="H2087" s="358" t="s">
        <v>11</v>
      </c>
    </row>
    <row r="2088" spans="1:8" x14ac:dyDescent="0.3">
      <c r="A2088" t="s">
        <v>47</v>
      </c>
      <c r="B2088" t="s">
        <v>100</v>
      </c>
      <c r="C2088" t="s">
        <v>1828</v>
      </c>
      <c r="D2088">
        <v>1</v>
      </c>
      <c r="E2088" s="358">
        <v>5</v>
      </c>
      <c r="F2088" s="358" t="s">
        <v>7</v>
      </c>
      <c r="G2088" s="358" t="s">
        <v>11</v>
      </c>
      <c r="H2088" s="358" t="s">
        <v>11</v>
      </c>
    </row>
    <row r="2089" spans="1:8" x14ac:dyDescent="0.3">
      <c r="A2089" t="s">
        <v>47</v>
      </c>
      <c r="B2089" t="s">
        <v>100</v>
      </c>
      <c r="C2089" t="s">
        <v>1500</v>
      </c>
      <c r="D2089">
        <v>2</v>
      </c>
      <c r="E2089" s="358">
        <v>5</v>
      </c>
      <c r="F2089" s="358" t="s">
        <v>7</v>
      </c>
      <c r="G2089" s="358" t="s">
        <v>11</v>
      </c>
      <c r="H2089" s="358" t="s">
        <v>11</v>
      </c>
    </row>
    <row r="2090" spans="1:8" x14ac:dyDescent="0.3">
      <c r="A2090" t="s">
        <v>47</v>
      </c>
      <c r="B2090" t="s">
        <v>100</v>
      </c>
      <c r="C2090" t="s">
        <v>1354</v>
      </c>
      <c r="D2090">
        <v>2</v>
      </c>
      <c r="E2090" s="358">
        <v>4</v>
      </c>
      <c r="F2090" s="358" t="s">
        <v>7</v>
      </c>
      <c r="G2090" s="358" t="s">
        <v>11</v>
      </c>
      <c r="H2090" s="358" t="s">
        <v>11</v>
      </c>
    </row>
    <row r="2091" spans="1:8" x14ac:dyDescent="0.3">
      <c r="A2091" t="s">
        <v>47</v>
      </c>
      <c r="B2091" t="s">
        <v>100</v>
      </c>
      <c r="C2091" t="s">
        <v>2617</v>
      </c>
      <c r="D2091">
        <v>1</v>
      </c>
      <c r="E2091" s="358">
        <v>5</v>
      </c>
      <c r="F2091" s="358" t="s">
        <v>7</v>
      </c>
      <c r="G2091" s="358" t="s">
        <v>11</v>
      </c>
      <c r="H2091" s="358" t="s">
        <v>11</v>
      </c>
    </row>
    <row r="2092" spans="1:8" x14ac:dyDescent="0.3">
      <c r="A2092" t="s">
        <v>47</v>
      </c>
      <c r="B2092" t="s">
        <v>100</v>
      </c>
      <c r="C2092" t="s">
        <v>1458</v>
      </c>
      <c r="D2092">
        <v>1</v>
      </c>
      <c r="E2092" s="358">
        <v>5</v>
      </c>
      <c r="F2092" s="358" t="s">
        <v>7</v>
      </c>
      <c r="G2092" s="358" t="s">
        <v>11</v>
      </c>
      <c r="H2092" s="358" t="s">
        <v>11</v>
      </c>
    </row>
    <row r="2093" spans="1:8" x14ac:dyDescent="0.3">
      <c r="A2093" t="s">
        <v>47</v>
      </c>
      <c r="B2093" t="s">
        <v>100</v>
      </c>
      <c r="C2093" t="s">
        <v>2618</v>
      </c>
      <c r="D2093">
        <v>2</v>
      </c>
      <c r="E2093" s="358">
        <v>5</v>
      </c>
      <c r="F2093" s="358" t="s">
        <v>7</v>
      </c>
      <c r="G2093" s="358" t="s">
        <v>11</v>
      </c>
      <c r="H2093" s="358" t="s">
        <v>11</v>
      </c>
    </row>
    <row r="2094" spans="1:8" x14ac:dyDescent="0.3">
      <c r="A2094" t="s">
        <v>47</v>
      </c>
      <c r="B2094" t="s">
        <v>100</v>
      </c>
      <c r="C2094" t="s">
        <v>1921</v>
      </c>
      <c r="D2094">
        <v>2</v>
      </c>
      <c r="E2094" s="358">
        <v>5</v>
      </c>
      <c r="F2094" s="358" t="s">
        <v>7</v>
      </c>
      <c r="G2094" s="358" t="s">
        <v>11</v>
      </c>
      <c r="H2094" s="358" t="s">
        <v>11</v>
      </c>
    </row>
    <row r="2095" spans="1:8" x14ac:dyDescent="0.3">
      <c r="A2095" t="s">
        <v>47</v>
      </c>
      <c r="B2095" t="s">
        <v>100</v>
      </c>
      <c r="C2095" t="s">
        <v>1359</v>
      </c>
      <c r="D2095">
        <v>1</v>
      </c>
      <c r="E2095" s="358">
        <v>5</v>
      </c>
      <c r="F2095" s="358" t="s">
        <v>7</v>
      </c>
      <c r="G2095" s="358" t="s">
        <v>11</v>
      </c>
      <c r="H2095" s="358" t="s">
        <v>11</v>
      </c>
    </row>
    <row r="2096" spans="1:8" x14ac:dyDescent="0.3">
      <c r="A2096" t="s">
        <v>47</v>
      </c>
      <c r="B2096" t="s">
        <v>100</v>
      </c>
      <c r="C2096" t="s">
        <v>2619</v>
      </c>
      <c r="D2096">
        <v>2</v>
      </c>
      <c r="E2096" s="358">
        <v>5</v>
      </c>
      <c r="F2096" s="358" t="s">
        <v>7</v>
      </c>
      <c r="G2096" s="358" t="s">
        <v>11</v>
      </c>
      <c r="H2096" s="358" t="s">
        <v>11</v>
      </c>
    </row>
    <row r="2097" spans="1:8" x14ac:dyDescent="0.3">
      <c r="A2097" t="s">
        <v>47</v>
      </c>
      <c r="B2097" t="s">
        <v>100</v>
      </c>
      <c r="C2097" t="s">
        <v>1361</v>
      </c>
      <c r="D2097">
        <v>1</v>
      </c>
      <c r="E2097" s="358">
        <v>5</v>
      </c>
      <c r="F2097" s="358" t="s">
        <v>7</v>
      </c>
      <c r="G2097" s="358" t="s">
        <v>11</v>
      </c>
      <c r="H2097" s="358" t="s">
        <v>11</v>
      </c>
    </row>
    <row r="2098" spans="1:8" x14ac:dyDescent="0.3">
      <c r="A2098" t="s">
        <v>47</v>
      </c>
      <c r="B2098" t="s">
        <v>100</v>
      </c>
      <c r="C2098" t="s">
        <v>2620</v>
      </c>
      <c r="D2098">
        <v>2</v>
      </c>
      <c r="E2098" s="358">
        <v>5</v>
      </c>
      <c r="F2098" s="358" t="s">
        <v>7</v>
      </c>
      <c r="G2098" s="358" t="s">
        <v>11</v>
      </c>
      <c r="H2098" s="358" t="s">
        <v>11</v>
      </c>
    </row>
    <row r="2099" spans="1:8" x14ac:dyDescent="0.3">
      <c r="A2099" t="s">
        <v>47</v>
      </c>
      <c r="B2099" t="s">
        <v>100</v>
      </c>
      <c r="C2099" t="s">
        <v>2621</v>
      </c>
      <c r="D2099">
        <v>2</v>
      </c>
      <c r="E2099" s="358">
        <v>5</v>
      </c>
      <c r="F2099" s="358" t="s">
        <v>7</v>
      </c>
      <c r="G2099" s="358" t="s">
        <v>11</v>
      </c>
      <c r="H2099" s="358" t="s">
        <v>11</v>
      </c>
    </row>
    <row r="2100" spans="1:8" x14ac:dyDescent="0.3">
      <c r="A2100" t="s">
        <v>47</v>
      </c>
      <c r="B2100" t="s">
        <v>100</v>
      </c>
      <c r="C2100" t="s">
        <v>1838</v>
      </c>
      <c r="D2100">
        <v>1</v>
      </c>
      <c r="E2100" s="358">
        <v>5</v>
      </c>
      <c r="F2100" s="358" t="s">
        <v>7</v>
      </c>
      <c r="G2100" s="358" t="s">
        <v>11</v>
      </c>
      <c r="H2100" s="358" t="s">
        <v>11</v>
      </c>
    </row>
    <row r="2101" spans="1:8" x14ac:dyDescent="0.3">
      <c r="A2101" t="s">
        <v>47</v>
      </c>
      <c r="B2101" t="s">
        <v>100</v>
      </c>
      <c r="C2101" t="s">
        <v>1875</v>
      </c>
      <c r="D2101">
        <v>1</v>
      </c>
      <c r="E2101" s="358">
        <v>5</v>
      </c>
      <c r="F2101" s="358" t="s">
        <v>7</v>
      </c>
      <c r="G2101" s="358" t="s">
        <v>11</v>
      </c>
      <c r="H2101" s="358" t="s">
        <v>11</v>
      </c>
    </row>
    <row r="2102" spans="1:8" x14ac:dyDescent="0.3">
      <c r="A2102" t="s">
        <v>47</v>
      </c>
      <c r="B2102" t="s">
        <v>100</v>
      </c>
      <c r="C2102" t="s">
        <v>1364</v>
      </c>
      <c r="D2102">
        <v>2</v>
      </c>
      <c r="E2102" s="358">
        <v>5</v>
      </c>
      <c r="F2102" s="358" t="s">
        <v>7</v>
      </c>
      <c r="G2102" s="358" t="s">
        <v>11</v>
      </c>
      <c r="H2102" s="358" t="s">
        <v>11</v>
      </c>
    </row>
    <row r="2103" spans="1:8" x14ac:dyDescent="0.3">
      <c r="A2103" t="s">
        <v>47</v>
      </c>
      <c r="B2103" t="s">
        <v>100</v>
      </c>
      <c r="C2103" t="s">
        <v>1365</v>
      </c>
      <c r="D2103">
        <v>1</v>
      </c>
      <c r="E2103" s="358">
        <v>5</v>
      </c>
      <c r="F2103" s="358" t="s">
        <v>7</v>
      </c>
      <c r="G2103" s="358" t="s">
        <v>11</v>
      </c>
      <c r="H2103" s="358" t="s">
        <v>11</v>
      </c>
    </row>
    <row r="2104" spans="1:8" x14ac:dyDescent="0.3">
      <c r="A2104" t="s">
        <v>47</v>
      </c>
      <c r="B2104" t="s">
        <v>100</v>
      </c>
      <c r="C2104" t="s">
        <v>1366</v>
      </c>
      <c r="D2104">
        <v>2</v>
      </c>
      <c r="E2104" s="358">
        <v>5</v>
      </c>
      <c r="F2104" s="358" t="s">
        <v>7</v>
      </c>
      <c r="G2104" s="358" t="s">
        <v>11</v>
      </c>
      <c r="H2104" s="358" t="s">
        <v>11</v>
      </c>
    </row>
    <row r="2105" spans="1:8" x14ac:dyDescent="0.3">
      <c r="A2105" t="s">
        <v>47</v>
      </c>
      <c r="B2105" t="s">
        <v>100</v>
      </c>
      <c r="C2105" t="s">
        <v>2622</v>
      </c>
      <c r="D2105">
        <v>1</v>
      </c>
      <c r="E2105" s="358">
        <v>5</v>
      </c>
      <c r="F2105" s="358" t="s">
        <v>7</v>
      </c>
      <c r="G2105" s="358" t="s">
        <v>11</v>
      </c>
      <c r="H2105" s="358" t="s">
        <v>11</v>
      </c>
    </row>
    <row r="2106" spans="1:8" x14ac:dyDescent="0.3">
      <c r="A2106" t="s">
        <v>47</v>
      </c>
      <c r="B2106" t="s">
        <v>100</v>
      </c>
      <c r="C2106" t="s">
        <v>2623</v>
      </c>
      <c r="D2106">
        <v>1</v>
      </c>
      <c r="E2106" s="358">
        <v>5</v>
      </c>
      <c r="F2106" s="358" t="s">
        <v>7</v>
      </c>
      <c r="G2106" s="358" t="s">
        <v>11</v>
      </c>
      <c r="H2106" s="358" t="s">
        <v>11</v>
      </c>
    </row>
    <row r="2107" spans="1:8" x14ac:dyDescent="0.3">
      <c r="A2107" t="s">
        <v>47</v>
      </c>
      <c r="B2107" t="s">
        <v>100</v>
      </c>
      <c r="C2107" t="s">
        <v>1876</v>
      </c>
      <c r="D2107">
        <v>2</v>
      </c>
      <c r="E2107" s="358">
        <v>5</v>
      </c>
      <c r="F2107" s="358" t="s">
        <v>7</v>
      </c>
      <c r="G2107" s="358" t="s">
        <v>11</v>
      </c>
      <c r="H2107" s="358" t="s">
        <v>11</v>
      </c>
    </row>
    <row r="2108" spans="1:8" x14ac:dyDescent="0.3">
      <c r="A2108" t="s">
        <v>47</v>
      </c>
      <c r="B2108" t="s">
        <v>100</v>
      </c>
      <c r="C2108" t="s">
        <v>1984</v>
      </c>
      <c r="D2108">
        <v>2</v>
      </c>
      <c r="E2108" s="358">
        <v>5</v>
      </c>
      <c r="F2108" s="358" t="s">
        <v>7</v>
      </c>
      <c r="G2108" s="358" t="s">
        <v>11</v>
      </c>
      <c r="H2108" s="358" t="s">
        <v>11</v>
      </c>
    </row>
    <row r="2109" spans="1:8" x14ac:dyDescent="0.3">
      <c r="A2109" t="s">
        <v>47</v>
      </c>
      <c r="B2109" t="s">
        <v>100</v>
      </c>
      <c r="C2109" t="s">
        <v>1730</v>
      </c>
      <c r="D2109">
        <v>2</v>
      </c>
      <c r="E2109" s="358">
        <v>5</v>
      </c>
      <c r="F2109" s="358" t="s">
        <v>7</v>
      </c>
      <c r="G2109" s="358" t="s">
        <v>11</v>
      </c>
      <c r="H2109" s="358" t="s">
        <v>11</v>
      </c>
    </row>
    <row r="2110" spans="1:8" x14ac:dyDescent="0.3">
      <c r="A2110" t="s">
        <v>47</v>
      </c>
      <c r="B2110" t="s">
        <v>100</v>
      </c>
      <c r="C2110" t="s">
        <v>1367</v>
      </c>
      <c r="D2110">
        <v>1</v>
      </c>
      <c r="E2110" s="358">
        <v>5</v>
      </c>
      <c r="F2110" s="358" t="s">
        <v>7</v>
      </c>
      <c r="G2110" s="358" t="s">
        <v>11</v>
      </c>
      <c r="H2110" s="358" t="s">
        <v>11</v>
      </c>
    </row>
    <row r="2111" spans="1:8" x14ac:dyDescent="0.3">
      <c r="A2111" t="s">
        <v>47</v>
      </c>
      <c r="B2111" t="s">
        <v>100</v>
      </c>
      <c r="C2111" t="s">
        <v>2624</v>
      </c>
      <c r="D2111">
        <v>1</v>
      </c>
      <c r="E2111" s="358">
        <v>5</v>
      </c>
      <c r="F2111" s="358" t="s">
        <v>7</v>
      </c>
      <c r="G2111" s="358" t="s">
        <v>11</v>
      </c>
      <c r="H2111" s="358" t="s">
        <v>11</v>
      </c>
    </row>
    <row r="2112" spans="1:8" x14ac:dyDescent="0.3">
      <c r="A2112" t="s">
        <v>47</v>
      </c>
      <c r="B2112" t="s">
        <v>100</v>
      </c>
      <c r="C2112" t="s">
        <v>1369</v>
      </c>
      <c r="D2112">
        <v>1</v>
      </c>
      <c r="E2112" s="358">
        <v>4</v>
      </c>
      <c r="F2112" s="358" t="s">
        <v>7</v>
      </c>
      <c r="G2112" s="358" t="s">
        <v>11</v>
      </c>
      <c r="H2112" s="358" t="s">
        <v>11</v>
      </c>
    </row>
    <row r="2113" spans="1:8" x14ac:dyDescent="0.3">
      <c r="A2113" t="s">
        <v>47</v>
      </c>
      <c r="B2113" t="s">
        <v>100</v>
      </c>
      <c r="C2113" t="s">
        <v>2625</v>
      </c>
      <c r="D2113">
        <v>2</v>
      </c>
      <c r="E2113" s="358">
        <v>5</v>
      </c>
      <c r="F2113" s="358" t="s">
        <v>7</v>
      </c>
      <c r="G2113" s="358" t="s">
        <v>11</v>
      </c>
      <c r="H2113" s="358" t="s">
        <v>11</v>
      </c>
    </row>
    <row r="2114" spans="1:8" x14ac:dyDescent="0.3">
      <c r="A2114" t="s">
        <v>47</v>
      </c>
      <c r="B2114" t="s">
        <v>100</v>
      </c>
      <c r="C2114" t="s">
        <v>2626</v>
      </c>
      <c r="D2114">
        <v>1</v>
      </c>
      <c r="E2114" s="358">
        <v>5</v>
      </c>
      <c r="F2114" s="358" t="s">
        <v>7</v>
      </c>
      <c r="G2114" s="358" t="s">
        <v>11</v>
      </c>
      <c r="H2114" s="358" t="s">
        <v>11</v>
      </c>
    </row>
    <row r="2115" spans="1:8" x14ac:dyDescent="0.3">
      <c r="A2115" t="s">
        <v>47</v>
      </c>
      <c r="B2115" t="s">
        <v>100</v>
      </c>
      <c r="C2115" t="s">
        <v>1645</v>
      </c>
      <c r="D2115">
        <v>2</v>
      </c>
      <c r="E2115" s="358">
        <v>5</v>
      </c>
      <c r="F2115" s="358" t="s">
        <v>7</v>
      </c>
      <c r="G2115" s="358" t="s">
        <v>11</v>
      </c>
      <c r="H2115" s="358" t="s">
        <v>11</v>
      </c>
    </row>
    <row r="2116" spans="1:8" x14ac:dyDescent="0.3">
      <c r="A2116" t="s">
        <v>47</v>
      </c>
      <c r="B2116" t="s">
        <v>100</v>
      </c>
      <c r="C2116" t="s">
        <v>1843</v>
      </c>
      <c r="D2116">
        <v>1</v>
      </c>
      <c r="E2116" s="358">
        <v>5</v>
      </c>
      <c r="F2116" s="358" t="s">
        <v>7</v>
      </c>
      <c r="G2116" s="358" t="s">
        <v>11</v>
      </c>
      <c r="H2116" s="358" t="s">
        <v>11</v>
      </c>
    </row>
    <row r="2117" spans="1:8" x14ac:dyDescent="0.3">
      <c r="A2117" t="s">
        <v>47</v>
      </c>
      <c r="B2117" t="s">
        <v>100</v>
      </c>
      <c r="C2117" t="s">
        <v>2627</v>
      </c>
      <c r="D2117">
        <v>1</v>
      </c>
      <c r="E2117" s="358">
        <v>5</v>
      </c>
      <c r="F2117" s="358" t="s">
        <v>7</v>
      </c>
      <c r="G2117" s="358" t="s">
        <v>11</v>
      </c>
      <c r="H2117" s="358" t="s">
        <v>11</v>
      </c>
    </row>
    <row r="2118" spans="1:8" x14ac:dyDescent="0.3">
      <c r="A2118" t="s">
        <v>47</v>
      </c>
      <c r="B2118" t="s">
        <v>100</v>
      </c>
      <c r="C2118" t="s">
        <v>2628</v>
      </c>
      <c r="D2118">
        <v>2</v>
      </c>
      <c r="E2118" s="358">
        <v>5</v>
      </c>
      <c r="F2118" s="358" t="s">
        <v>7</v>
      </c>
      <c r="G2118" s="358" t="s">
        <v>11</v>
      </c>
      <c r="H2118" s="358" t="s">
        <v>11</v>
      </c>
    </row>
    <row r="2119" spans="1:8" x14ac:dyDescent="0.3">
      <c r="A2119" t="s">
        <v>47</v>
      </c>
      <c r="B2119" t="s">
        <v>100</v>
      </c>
      <c r="C2119" t="s">
        <v>2629</v>
      </c>
      <c r="D2119">
        <v>2</v>
      </c>
      <c r="E2119" s="358">
        <v>4</v>
      </c>
      <c r="F2119" s="358" t="s">
        <v>7</v>
      </c>
      <c r="G2119" s="358" t="s">
        <v>11</v>
      </c>
      <c r="H2119" s="358" t="s">
        <v>11</v>
      </c>
    </row>
    <row r="2120" spans="1:8" x14ac:dyDescent="0.3">
      <c r="A2120" t="s">
        <v>47</v>
      </c>
      <c r="B2120" t="s">
        <v>100</v>
      </c>
      <c r="C2120" t="s">
        <v>2498</v>
      </c>
      <c r="D2120">
        <v>1</v>
      </c>
      <c r="E2120" s="358">
        <v>5</v>
      </c>
      <c r="F2120" s="358" t="s">
        <v>7</v>
      </c>
      <c r="G2120" s="358" t="s">
        <v>11</v>
      </c>
      <c r="H2120" s="358" t="s">
        <v>11</v>
      </c>
    </row>
    <row r="2121" spans="1:8" x14ac:dyDescent="0.3">
      <c r="A2121" t="s">
        <v>47</v>
      </c>
      <c r="B2121" t="s">
        <v>100</v>
      </c>
      <c r="C2121" t="s">
        <v>1373</v>
      </c>
      <c r="D2121">
        <v>1</v>
      </c>
      <c r="E2121" s="358">
        <v>5</v>
      </c>
      <c r="F2121" s="358" t="s">
        <v>7</v>
      </c>
      <c r="G2121" s="358" t="s">
        <v>11</v>
      </c>
      <c r="H2121" s="358" t="s">
        <v>11</v>
      </c>
    </row>
    <row r="2122" spans="1:8" x14ac:dyDescent="0.3">
      <c r="A2122" t="s">
        <v>47</v>
      </c>
      <c r="B2122" t="s">
        <v>100</v>
      </c>
      <c r="C2122" t="s">
        <v>1847</v>
      </c>
      <c r="D2122">
        <v>1</v>
      </c>
      <c r="E2122" s="358">
        <v>5</v>
      </c>
      <c r="F2122" s="358" t="s">
        <v>7</v>
      </c>
      <c r="G2122" s="358" t="s">
        <v>11</v>
      </c>
      <c r="H2122" s="358" t="s">
        <v>11</v>
      </c>
    </row>
    <row r="2123" spans="1:8" x14ac:dyDescent="0.3">
      <c r="A2123" t="s">
        <v>47</v>
      </c>
      <c r="B2123" t="s">
        <v>100</v>
      </c>
      <c r="C2123" t="s">
        <v>1592</v>
      </c>
      <c r="D2123">
        <v>1</v>
      </c>
      <c r="E2123" s="358">
        <v>5</v>
      </c>
      <c r="F2123" s="358" t="s">
        <v>7</v>
      </c>
      <c r="G2123" s="358" t="s">
        <v>11</v>
      </c>
      <c r="H2123" s="358" t="s">
        <v>11</v>
      </c>
    </row>
    <row r="2124" spans="1:8" x14ac:dyDescent="0.3">
      <c r="A2124" t="s">
        <v>47</v>
      </c>
      <c r="B2124" t="s">
        <v>100</v>
      </c>
      <c r="C2124" t="s">
        <v>2630</v>
      </c>
      <c r="D2124">
        <v>2</v>
      </c>
      <c r="E2124" s="358">
        <v>5</v>
      </c>
      <c r="F2124" s="358" t="s">
        <v>7</v>
      </c>
      <c r="G2124" s="358" t="s">
        <v>11</v>
      </c>
      <c r="H2124" s="358" t="s">
        <v>11</v>
      </c>
    </row>
    <row r="2125" spans="1:8" x14ac:dyDescent="0.3">
      <c r="A2125" t="s">
        <v>47</v>
      </c>
      <c r="B2125" t="s">
        <v>100</v>
      </c>
      <c r="C2125" t="s">
        <v>2631</v>
      </c>
      <c r="D2125">
        <v>1</v>
      </c>
      <c r="E2125" s="358">
        <v>5</v>
      </c>
      <c r="F2125" s="358" t="s">
        <v>7</v>
      </c>
      <c r="G2125" s="358" t="s">
        <v>11</v>
      </c>
      <c r="H2125" s="358" t="s">
        <v>11</v>
      </c>
    </row>
    <row r="2126" spans="1:8" x14ac:dyDescent="0.3">
      <c r="A2126" t="s">
        <v>47</v>
      </c>
      <c r="B2126" t="s">
        <v>100</v>
      </c>
      <c r="C2126" t="s">
        <v>1479</v>
      </c>
      <c r="D2126">
        <v>1</v>
      </c>
      <c r="E2126" s="358">
        <v>5</v>
      </c>
      <c r="F2126" s="358" t="s">
        <v>7</v>
      </c>
      <c r="G2126" s="358" t="s">
        <v>11</v>
      </c>
      <c r="H2126" s="358" t="s">
        <v>11</v>
      </c>
    </row>
    <row r="2127" spans="1:8" x14ac:dyDescent="0.3">
      <c r="A2127" t="s">
        <v>47</v>
      </c>
      <c r="B2127" t="s">
        <v>100</v>
      </c>
      <c r="C2127" t="s">
        <v>2632</v>
      </c>
      <c r="D2127">
        <v>1</v>
      </c>
      <c r="E2127" s="358">
        <v>5</v>
      </c>
      <c r="F2127" s="358" t="s">
        <v>7</v>
      </c>
      <c r="G2127" s="358" t="s">
        <v>11</v>
      </c>
      <c r="H2127" s="358" t="s">
        <v>11</v>
      </c>
    </row>
    <row r="2128" spans="1:8" x14ac:dyDescent="0.3">
      <c r="A2128" t="s">
        <v>47</v>
      </c>
      <c r="B2128" t="s">
        <v>100</v>
      </c>
      <c r="C2128" t="s">
        <v>2633</v>
      </c>
      <c r="D2128">
        <v>2</v>
      </c>
      <c r="E2128" s="358">
        <v>5</v>
      </c>
      <c r="F2128" s="358" t="s">
        <v>7</v>
      </c>
      <c r="G2128" s="358" t="s">
        <v>11</v>
      </c>
      <c r="H2128" s="358" t="s">
        <v>11</v>
      </c>
    </row>
    <row r="2129" spans="1:8" x14ac:dyDescent="0.3">
      <c r="A2129" t="s">
        <v>47</v>
      </c>
      <c r="B2129" t="s">
        <v>100</v>
      </c>
      <c r="C2129" t="s">
        <v>1757</v>
      </c>
      <c r="D2129">
        <v>1</v>
      </c>
      <c r="E2129" s="358">
        <v>5</v>
      </c>
      <c r="F2129" s="358" t="s">
        <v>7</v>
      </c>
      <c r="G2129" s="358" t="s">
        <v>11</v>
      </c>
      <c r="H2129" s="358" t="s">
        <v>11</v>
      </c>
    </row>
    <row r="2130" spans="1:8" x14ac:dyDescent="0.3">
      <c r="A2130" t="s">
        <v>47</v>
      </c>
      <c r="B2130" t="s">
        <v>100</v>
      </c>
      <c r="C2130" t="s">
        <v>1379</v>
      </c>
      <c r="D2130">
        <v>2</v>
      </c>
      <c r="E2130" s="358">
        <v>4</v>
      </c>
      <c r="F2130" s="358" t="s">
        <v>7</v>
      </c>
      <c r="G2130" s="358" t="s">
        <v>11</v>
      </c>
      <c r="H2130" s="358" t="s">
        <v>11</v>
      </c>
    </row>
    <row r="2131" spans="1:8" x14ac:dyDescent="0.3">
      <c r="A2131" t="s">
        <v>47</v>
      </c>
      <c r="B2131" t="s">
        <v>100</v>
      </c>
      <c r="C2131" t="s">
        <v>1758</v>
      </c>
      <c r="D2131">
        <v>1</v>
      </c>
      <c r="E2131" s="358">
        <v>5</v>
      </c>
      <c r="F2131" s="358" t="s">
        <v>7</v>
      </c>
      <c r="G2131" s="358" t="s">
        <v>11</v>
      </c>
      <c r="H2131" s="358" t="s">
        <v>11</v>
      </c>
    </row>
    <row r="2132" spans="1:8" x14ac:dyDescent="0.3">
      <c r="A2132" t="s">
        <v>47</v>
      </c>
      <c r="B2132" t="s">
        <v>100</v>
      </c>
      <c r="C2132" t="s">
        <v>2599</v>
      </c>
      <c r="D2132">
        <v>2</v>
      </c>
      <c r="E2132" s="358">
        <v>5</v>
      </c>
      <c r="F2132" s="358" t="s">
        <v>7</v>
      </c>
      <c r="G2132" s="358" t="s">
        <v>11</v>
      </c>
      <c r="H2132" s="358" t="s">
        <v>11</v>
      </c>
    </row>
    <row r="2133" spans="1:8" x14ac:dyDescent="0.3">
      <c r="A2133" t="s">
        <v>47</v>
      </c>
      <c r="B2133" t="s">
        <v>100</v>
      </c>
      <c r="C2133" t="s">
        <v>2634</v>
      </c>
      <c r="D2133">
        <v>2</v>
      </c>
      <c r="E2133" s="358">
        <v>5</v>
      </c>
      <c r="F2133" s="358" t="s">
        <v>7</v>
      </c>
      <c r="G2133" s="358" t="s">
        <v>11</v>
      </c>
      <c r="H2133" s="358" t="s">
        <v>11</v>
      </c>
    </row>
    <row r="2134" spans="1:8" x14ac:dyDescent="0.3">
      <c r="A2134" t="s">
        <v>47</v>
      </c>
      <c r="B2134" t="s">
        <v>100</v>
      </c>
      <c r="C2134" t="s">
        <v>2635</v>
      </c>
      <c r="D2134">
        <v>1</v>
      </c>
      <c r="E2134" s="358">
        <v>5</v>
      </c>
      <c r="F2134" s="358" t="s">
        <v>7</v>
      </c>
      <c r="G2134" s="358" t="s">
        <v>11</v>
      </c>
      <c r="H2134" s="358" t="s">
        <v>11</v>
      </c>
    </row>
    <row r="2135" spans="1:8" x14ac:dyDescent="0.3">
      <c r="A2135" t="s">
        <v>48</v>
      </c>
      <c r="B2135" t="s">
        <v>110</v>
      </c>
      <c r="C2135" t="s">
        <v>1898</v>
      </c>
      <c r="D2135">
        <v>2</v>
      </c>
      <c r="E2135" s="358">
        <v>3</v>
      </c>
      <c r="F2135" s="358" t="s">
        <v>7</v>
      </c>
      <c r="G2135" s="358" t="s">
        <v>11</v>
      </c>
      <c r="H2135" s="358" t="s">
        <v>11</v>
      </c>
    </row>
    <row r="2136" spans="1:8" x14ac:dyDescent="0.3">
      <c r="A2136" t="s">
        <v>48</v>
      </c>
      <c r="B2136" t="s">
        <v>110</v>
      </c>
      <c r="C2136" t="s">
        <v>2636</v>
      </c>
      <c r="D2136">
        <v>3</v>
      </c>
      <c r="E2136" s="358">
        <v>3</v>
      </c>
      <c r="F2136" s="358" t="s">
        <v>7</v>
      </c>
      <c r="G2136" s="358" t="s">
        <v>11</v>
      </c>
      <c r="H2136" s="358" t="s">
        <v>11</v>
      </c>
    </row>
    <row r="2137" spans="1:8" x14ac:dyDescent="0.3">
      <c r="A2137" t="s">
        <v>48</v>
      </c>
      <c r="B2137" t="s">
        <v>110</v>
      </c>
      <c r="C2137" t="s">
        <v>2637</v>
      </c>
      <c r="D2137">
        <v>3</v>
      </c>
      <c r="E2137" s="358">
        <v>3</v>
      </c>
      <c r="F2137" s="358" t="s">
        <v>7</v>
      </c>
      <c r="G2137" s="358" t="s">
        <v>11</v>
      </c>
      <c r="H2137" s="358" t="s">
        <v>11</v>
      </c>
    </row>
    <row r="2138" spans="1:8" x14ac:dyDescent="0.3">
      <c r="A2138" t="s">
        <v>48</v>
      </c>
      <c r="B2138" t="s">
        <v>110</v>
      </c>
      <c r="C2138" t="s">
        <v>2638</v>
      </c>
      <c r="D2138">
        <v>2</v>
      </c>
      <c r="E2138" s="358">
        <v>4</v>
      </c>
      <c r="F2138" s="358" t="s">
        <v>75</v>
      </c>
      <c r="G2138" s="358" t="s">
        <v>11</v>
      </c>
      <c r="H2138" s="358" t="s">
        <v>11</v>
      </c>
    </row>
    <row r="2139" spans="1:8" x14ac:dyDescent="0.3">
      <c r="A2139" t="s">
        <v>48</v>
      </c>
      <c r="B2139" t="s">
        <v>110</v>
      </c>
      <c r="C2139" t="s">
        <v>2639</v>
      </c>
      <c r="D2139">
        <v>3</v>
      </c>
      <c r="E2139" s="358">
        <v>3</v>
      </c>
      <c r="F2139" s="358" t="s">
        <v>7</v>
      </c>
      <c r="G2139" s="358" t="s">
        <v>11</v>
      </c>
      <c r="H2139" s="358" t="s">
        <v>11</v>
      </c>
    </row>
    <row r="2140" spans="1:8" x14ac:dyDescent="0.3">
      <c r="A2140" t="s">
        <v>48</v>
      </c>
      <c r="B2140" t="s">
        <v>110</v>
      </c>
      <c r="C2140" t="s">
        <v>1775</v>
      </c>
      <c r="D2140">
        <v>3</v>
      </c>
      <c r="E2140" s="358">
        <v>3</v>
      </c>
      <c r="F2140" s="358" t="s">
        <v>7</v>
      </c>
      <c r="G2140" s="358" t="s">
        <v>11</v>
      </c>
      <c r="H2140" s="358" t="s">
        <v>11</v>
      </c>
    </row>
    <row r="2141" spans="1:8" x14ac:dyDescent="0.3">
      <c r="A2141" t="s">
        <v>48</v>
      </c>
      <c r="B2141" t="s">
        <v>110</v>
      </c>
      <c r="C2141" t="s">
        <v>1667</v>
      </c>
      <c r="D2141">
        <v>3</v>
      </c>
      <c r="E2141" s="358">
        <v>3</v>
      </c>
      <c r="F2141" s="358" t="s">
        <v>7</v>
      </c>
      <c r="G2141" s="358" t="s">
        <v>11</v>
      </c>
      <c r="H2141" s="358" t="s">
        <v>11</v>
      </c>
    </row>
    <row r="2142" spans="1:8" x14ac:dyDescent="0.3">
      <c r="A2142" t="s">
        <v>48</v>
      </c>
      <c r="B2142" t="s">
        <v>110</v>
      </c>
      <c r="C2142" t="s">
        <v>2072</v>
      </c>
      <c r="D2142">
        <v>3</v>
      </c>
      <c r="E2142" s="358">
        <v>3</v>
      </c>
      <c r="F2142" s="358" t="s">
        <v>7</v>
      </c>
      <c r="G2142" s="358" t="s">
        <v>11</v>
      </c>
      <c r="H2142" s="358" t="s">
        <v>11</v>
      </c>
    </row>
    <row r="2143" spans="1:8" x14ac:dyDescent="0.3">
      <c r="A2143" t="s">
        <v>48</v>
      </c>
      <c r="B2143" t="s">
        <v>110</v>
      </c>
      <c r="C2143" t="s">
        <v>2640</v>
      </c>
      <c r="D2143">
        <v>3</v>
      </c>
      <c r="E2143" s="358">
        <v>3</v>
      </c>
      <c r="F2143" s="358" t="s">
        <v>7</v>
      </c>
      <c r="G2143" s="358" t="s">
        <v>11</v>
      </c>
      <c r="H2143" s="358" t="s">
        <v>11</v>
      </c>
    </row>
    <row r="2144" spans="1:8" x14ac:dyDescent="0.3">
      <c r="A2144" t="s">
        <v>48</v>
      </c>
      <c r="B2144" t="s">
        <v>110</v>
      </c>
      <c r="C2144" t="s">
        <v>2024</v>
      </c>
      <c r="D2144">
        <v>3</v>
      </c>
      <c r="E2144" s="358">
        <v>3</v>
      </c>
      <c r="F2144" s="358" t="s">
        <v>7</v>
      </c>
      <c r="G2144" s="358" t="s">
        <v>11</v>
      </c>
      <c r="H2144" s="358" t="s">
        <v>11</v>
      </c>
    </row>
    <row r="2145" spans="1:8" x14ac:dyDescent="0.3">
      <c r="A2145" t="s">
        <v>48</v>
      </c>
      <c r="B2145" t="s">
        <v>110</v>
      </c>
      <c r="C2145" t="s">
        <v>1324</v>
      </c>
      <c r="D2145">
        <v>2</v>
      </c>
      <c r="E2145" s="358">
        <v>3</v>
      </c>
      <c r="F2145" s="358" t="s">
        <v>7</v>
      </c>
      <c r="G2145" s="358" t="s">
        <v>11</v>
      </c>
      <c r="H2145" s="358" t="s">
        <v>11</v>
      </c>
    </row>
    <row r="2146" spans="1:8" x14ac:dyDescent="0.3">
      <c r="A2146" t="s">
        <v>48</v>
      </c>
      <c r="B2146" t="s">
        <v>110</v>
      </c>
      <c r="C2146" t="s">
        <v>1326</v>
      </c>
      <c r="D2146">
        <v>3</v>
      </c>
      <c r="E2146" s="358">
        <v>3</v>
      </c>
      <c r="F2146" s="358" t="s">
        <v>7</v>
      </c>
      <c r="G2146" s="358" t="s">
        <v>11</v>
      </c>
      <c r="H2146" s="358" t="s">
        <v>11</v>
      </c>
    </row>
    <row r="2147" spans="1:8" x14ac:dyDescent="0.3">
      <c r="A2147" t="s">
        <v>48</v>
      </c>
      <c r="B2147" t="s">
        <v>110</v>
      </c>
      <c r="C2147" t="s">
        <v>2641</v>
      </c>
      <c r="D2147">
        <v>2</v>
      </c>
      <c r="E2147" s="358">
        <v>4</v>
      </c>
      <c r="F2147" s="358" t="s">
        <v>75</v>
      </c>
      <c r="G2147" s="358" t="s">
        <v>11</v>
      </c>
      <c r="H2147" s="358" t="s">
        <v>11</v>
      </c>
    </row>
    <row r="2148" spans="1:8" x14ac:dyDescent="0.3">
      <c r="A2148" t="s">
        <v>48</v>
      </c>
      <c r="B2148" t="s">
        <v>110</v>
      </c>
      <c r="C2148" t="s">
        <v>1436</v>
      </c>
      <c r="D2148">
        <v>3</v>
      </c>
      <c r="E2148" s="358">
        <v>3</v>
      </c>
      <c r="F2148" s="358" t="s">
        <v>7</v>
      </c>
      <c r="G2148" s="358" t="s">
        <v>11</v>
      </c>
      <c r="H2148" s="358" t="s">
        <v>11</v>
      </c>
    </row>
    <row r="2149" spans="1:8" x14ac:dyDescent="0.3">
      <c r="A2149" t="s">
        <v>48</v>
      </c>
      <c r="B2149" t="s">
        <v>110</v>
      </c>
      <c r="C2149" t="s">
        <v>2642</v>
      </c>
      <c r="D2149">
        <v>3</v>
      </c>
      <c r="E2149" s="358">
        <v>3</v>
      </c>
      <c r="F2149" s="358" t="s">
        <v>7</v>
      </c>
      <c r="G2149" s="358" t="s">
        <v>11</v>
      </c>
      <c r="H2149" s="358" t="s">
        <v>11</v>
      </c>
    </row>
    <row r="2150" spans="1:8" x14ac:dyDescent="0.3">
      <c r="A2150" t="s">
        <v>48</v>
      </c>
      <c r="B2150" t="s">
        <v>110</v>
      </c>
      <c r="C2150" t="s">
        <v>1952</v>
      </c>
      <c r="D2150">
        <v>3</v>
      </c>
      <c r="E2150" s="358">
        <v>3</v>
      </c>
      <c r="F2150" s="358" t="s">
        <v>7</v>
      </c>
      <c r="G2150" s="358" t="s">
        <v>11</v>
      </c>
      <c r="H2150" s="358" t="s">
        <v>11</v>
      </c>
    </row>
    <row r="2151" spans="1:8" x14ac:dyDescent="0.3">
      <c r="A2151" t="s">
        <v>48</v>
      </c>
      <c r="B2151" t="s">
        <v>110</v>
      </c>
      <c r="C2151" t="s">
        <v>2643</v>
      </c>
      <c r="D2151">
        <v>3</v>
      </c>
      <c r="E2151" s="358">
        <v>3</v>
      </c>
      <c r="F2151" s="358" t="s">
        <v>7</v>
      </c>
      <c r="G2151" s="358" t="s">
        <v>11</v>
      </c>
      <c r="H2151" s="358" t="s">
        <v>11</v>
      </c>
    </row>
    <row r="2152" spans="1:8" x14ac:dyDescent="0.3">
      <c r="A2152" t="s">
        <v>48</v>
      </c>
      <c r="B2152" t="s">
        <v>110</v>
      </c>
      <c r="C2152" t="s">
        <v>2644</v>
      </c>
      <c r="D2152">
        <v>3</v>
      </c>
      <c r="E2152" s="358">
        <v>3</v>
      </c>
      <c r="F2152" s="358" t="s">
        <v>7</v>
      </c>
      <c r="G2152" s="358" t="s">
        <v>11</v>
      </c>
      <c r="H2152" s="358" t="s">
        <v>11</v>
      </c>
    </row>
    <row r="2153" spans="1:8" x14ac:dyDescent="0.3">
      <c r="A2153" t="s">
        <v>48</v>
      </c>
      <c r="B2153" t="s">
        <v>110</v>
      </c>
      <c r="C2153" t="s">
        <v>2645</v>
      </c>
      <c r="D2153">
        <v>3</v>
      </c>
      <c r="E2153" s="358">
        <v>3</v>
      </c>
      <c r="F2153" s="358" t="s">
        <v>7</v>
      </c>
      <c r="G2153" s="358" t="s">
        <v>11</v>
      </c>
      <c r="H2153" s="358" t="s">
        <v>11</v>
      </c>
    </row>
    <row r="2154" spans="1:8" x14ac:dyDescent="0.3">
      <c r="A2154" t="s">
        <v>48</v>
      </c>
      <c r="B2154" t="s">
        <v>110</v>
      </c>
      <c r="C2154" t="s">
        <v>1554</v>
      </c>
      <c r="D2154">
        <v>3</v>
      </c>
      <c r="E2154" s="358">
        <v>3</v>
      </c>
      <c r="F2154" s="358" t="s">
        <v>7</v>
      </c>
      <c r="G2154" s="358" t="s">
        <v>11</v>
      </c>
      <c r="H2154" s="358" t="s">
        <v>11</v>
      </c>
    </row>
    <row r="2155" spans="1:8" x14ac:dyDescent="0.3">
      <c r="A2155" t="s">
        <v>48</v>
      </c>
      <c r="B2155" t="s">
        <v>110</v>
      </c>
      <c r="C2155" t="s">
        <v>1862</v>
      </c>
      <c r="D2155">
        <v>2</v>
      </c>
      <c r="E2155" s="358">
        <v>3</v>
      </c>
      <c r="F2155" s="358" t="s">
        <v>7</v>
      </c>
      <c r="G2155" s="358" t="s">
        <v>11</v>
      </c>
      <c r="H2155" s="358" t="s">
        <v>11</v>
      </c>
    </row>
    <row r="2156" spans="1:8" x14ac:dyDescent="0.3">
      <c r="A2156" t="s">
        <v>48</v>
      </c>
      <c r="B2156" t="s">
        <v>110</v>
      </c>
      <c r="C2156" t="s">
        <v>2646</v>
      </c>
      <c r="D2156">
        <v>3</v>
      </c>
      <c r="E2156" s="358">
        <v>3</v>
      </c>
      <c r="F2156" s="358" t="s">
        <v>7</v>
      </c>
      <c r="G2156" s="358" t="s">
        <v>11</v>
      </c>
      <c r="H2156" s="358" t="s">
        <v>11</v>
      </c>
    </row>
    <row r="2157" spans="1:8" x14ac:dyDescent="0.3">
      <c r="A2157" t="s">
        <v>48</v>
      </c>
      <c r="B2157" t="s">
        <v>110</v>
      </c>
      <c r="C2157" t="s">
        <v>1956</v>
      </c>
      <c r="D2157">
        <v>2</v>
      </c>
      <c r="E2157" s="358">
        <v>3</v>
      </c>
      <c r="F2157" s="358" t="s">
        <v>7</v>
      </c>
      <c r="G2157" s="358" t="s">
        <v>11</v>
      </c>
      <c r="H2157" s="358" t="s">
        <v>11</v>
      </c>
    </row>
    <row r="2158" spans="1:8" x14ac:dyDescent="0.3">
      <c r="A2158" t="s">
        <v>48</v>
      </c>
      <c r="B2158" t="s">
        <v>110</v>
      </c>
      <c r="C2158" t="s">
        <v>1563</v>
      </c>
      <c r="D2158">
        <v>3</v>
      </c>
      <c r="E2158" s="358">
        <v>3</v>
      </c>
      <c r="F2158" s="358" t="s">
        <v>7</v>
      </c>
      <c r="G2158" s="358" t="s">
        <v>11</v>
      </c>
      <c r="H2158" s="358" t="s">
        <v>11</v>
      </c>
    </row>
    <row r="2159" spans="1:8" x14ac:dyDescent="0.3">
      <c r="A2159" t="s">
        <v>48</v>
      </c>
      <c r="B2159" t="s">
        <v>110</v>
      </c>
      <c r="C2159" t="s">
        <v>2647</v>
      </c>
      <c r="D2159">
        <v>3</v>
      </c>
      <c r="E2159" s="358">
        <v>3</v>
      </c>
      <c r="F2159" s="358" t="s">
        <v>7</v>
      </c>
      <c r="G2159" s="358" t="s">
        <v>11</v>
      </c>
      <c r="H2159" s="358" t="s">
        <v>11</v>
      </c>
    </row>
    <row r="2160" spans="1:8" x14ac:dyDescent="0.3">
      <c r="A2160" t="s">
        <v>48</v>
      </c>
      <c r="B2160" t="s">
        <v>110</v>
      </c>
      <c r="C2160" t="s">
        <v>1704</v>
      </c>
      <c r="D2160">
        <v>3</v>
      </c>
      <c r="E2160" s="358">
        <v>3</v>
      </c>
      <c r="F2160" s="358" t="s">
        <v>7</v>
      </c>
      <c r="G2160" s="358" t="s">
        <v>11</v>
      </c>
      <c r="H2160" s="358" t="s">
        <v>11</v>
      </c>
    </row>
    <row r="2161" spans="1:8" x14ac:dyDescent="0.3">
      <c r="A2161" t="s">
        <v>48</v>
      </c>
      <c r="B2161" t="s">
        <v>110</v>
      </c>
      <c r="C2161" t="s">
        <v>1448</v>
      </c>
      <c r="D2161">
        <v>3</v>
      </c>
      <c r="E2161" s="358">
        <v>3</v>
      </c>
      <c r="F2161" s="358" t="s">
        <v>7</v>
      </c>
      <c r="G2161" s="358" t="s">
        <v>11</v>
      </c>
      <c r="H2161" s="358" t="s">
        <v>11</v>
      </c>
    </row>
    <row r="2162" spans="1:8" x14ac:dyDescent="0.3">
      <c r="A2162" t="s">
        <v>48</v>
      </c>
      <c r="B2162" t="s">
        <v>110</v>
      </c>
      <c r="C2162" t="s">
        <v>2648</v>
      </c>
      <c r="D2162">
        <v>3</v>
      </c>
      <c r="E2162" s="358">
        <v>3</v>
      </c>
      <c r="F2162" s="358" t="s">
        <v>7</v>
      </c>
      <c r="G2162" s="358" t="s">
        <v>11</v>
      </c>
      <c r="H2162" s="358" t="s">
        <v>11</v>
      </c>
    </row>
    <row r="2163" spans="1:8" x14ac:dyDescent="0.3">
      <c r="A2163" t="s">
        <v>48</v>
      </c>
      <c r="B2163" t="s">
        <v>110</v>
      </c>
      <c r="C2163" t="s">
        <v>2649</v>
      </c>
      <c r="D2163">
        <v>3</v>
      </c>
      <c r="E2163" s="358">
        <v>3</v>
      </c>
      <c r="F2163" s="358" t="s">
        <v>7</v>
      </c>
      <c r="G2163" s="358" t="s">
        <v>11</v>
      </c>
      <c r="H2163" s="358" t="s">
        <v>11</v>
      </c>
    </row>
    <row r="2164" spans="1:8" x14ac:dyDescent="0.3">
      <c r="A2164" t="s">
        <v>48</v>
      </c>
      <c r="B2164" t="s">
        <v>110</v>
      </c>
      <c r="C2164" t="s">
        <v>1964</v>
      </c>
      <c r="D2164">
        <v>3</v>
      </c>
      <c r="E2164" s="358">
        <v>3</v>
      </c>
      <c r="F2164" s="358" t="s">
        <v>7</v>
      </c>
      <c r="G2164" s="358" t="s">
        <v>11</v>
      </c>
      <c r="H2164" s="358" t="s">
        <v>11</v>
      </c>
    </row>
    <row r="2165" spans="1:8" x14ac:dyDescent="0.3">
      <c r="A2165" t="s">
        <v>48</v>
      </c>
      <c r="B2165" t="s">
        <v>110</v>
      </c>
      <c r="C2165" t="s">
        <v>1966</v>
      </c>
      <c r="D2165">
        <v>3</v>
      </c>
      <c r="E2165" s="358">
        <v>3</v>
      </c>
      <c r="F2165" s="358" t="s">
        <v>7</v>
      </c>
      <c r="G2165" s="358" t="s">
        <v>11</v>
      </c>
      <c r="H2165" s="358" t="s">
        <v>11</v>
      </c>
    </row>
    <row r="2166" spans="1:8" x14ac:dyDescent="0.3">
      <c r="A2166" t="s">
        <v>48</v>
      </c>
      <c r="B2166" t="s">
        <v>110</v>
      </c>
      <c r="C2166" t="s">
        <v>2650</v>
      </c>
      <c r="D2166">
        <v>3</v>
      </c>
      <c r="E2166" s="358">
        <v>3</v>
      </c>
      <c r="F2166" s="358" t="s">
        <v>7</v>
      </c>
      <c r="G2166" s="358" t="s">
        <v>11</v>
      </c>
      <c r="H2166" s="358" t="s">
        <v>11</v>
      </c>
    </row>
    <row r="2167" spans="1:8" x14ac:dyDescent="0.3">
      <c r="A2167" t="s">
        <v>48</v>
      </c>
      <c r="B2167" t="s">
        <v>110</v>
      </c>
      <c r="C2167" t="s">
        <v>1350</v>
      </c>
      <c r="D2167">
        <v>3</v>
      </c>
      <c r="E2167" s="358">
        <v>3</v>
      </c>
      <c r="F2167" s="358" t="s">
        <v>7</v>
      </c>
      <c r="G2167" s="358" t="s">
        <v>11</v>
      </c>
      <c r="H2167" s="358" t="s">
        <v>11</v>
      </c>
    </row>
    <row r="2168" spans="1:8" x14ac:dyDescent="0.3">
      <c r="A2168" t="s">
        <v>48</v>
      </c>
      <c r="B2168" t="s">
        <v>110</v>
      </c>
      <c r="C2168" t="s">
        <v>1351</v>
      </c>
      <c r="D2168">
        <v>3</v>
      </c>
      <c r="E2168" s="358">
        <v>3</v>
      </c>
      <c r="F2168" s="358" t="s">
        <v>7</v>
      </c>
      <c r="G2168" s="358" t="s">
        <v>11</v>
      </c>
      <c r="H2168" s="358" t="s">
        <v>11</v>
      </c>
    </row>
    <row r="2169" spans="1:8" x14ac:dyDescent="0.3">
      <c r="A2169" t="s">
        <v>48</v>
      </c>
      <c r="B2169" t="s">
        <v>110</v>
      </c>
      <c r="C2169" t="s">
        <v>2540</v>
      </c>
      <c r="D2169">
        <v>3</v>
      </c>
      <c r="E2169" s="358">
        <v>3</v>
      </c>
      <c r="F2169" s="358" t="s">
        <v>7</v>
      </c>
      <c r="G2169" s="358" t="s">
        <v>11</v>
      </c>
      <c r="H2169" s="358" t="s">
        <v>11</v>
      </c>
    </row>
    <row r="2170" spans="1:8" x14ac:dyDescent="0.3">
      <c r="A2170" t="s">
        <v>48</v>
      </c>
      <c r="B2170" t="s">
        <v>110</v>
      </c>
      <c r="C2170" t="s">
        <v>2651</v>
      </c>
      <c r="D2170">
        <v>3</v>
      </c>
      <c r="E2170" s="358">
        <v>3</v>
      </c>
      <c r="F2170" s="358" t="s">
        <v>7</v>
      </c>
      <c r="G2170" s="358" t="s">
        <v>11</v>
      </c>
      <c r="H2170" s="358" t="s">
        <v>11</v>
      </c>
    </row>
    <row r="2171" spans="1:8" x14ac:dyDescent="0.3">
      <c r="A2171" t="s">
        <v>48</v>
      </c>
      <c r="B2171" t="s">
        <v>110</v>
      </c>
      <c r="C2171" t="s">
        <v>2652</v>
      </c>
      <c r="D2171">
        <v>3</v>
      </c>
      <c r="E2171" s="358">
        <v>3</v>
      </c>
      <c r="F2171" s="358" t="s">
        <v>7</v>
      </c>
      <c r="G2171" s="358" t="s">
        <v>11</v>
      </c>
      <c r="H2171" s="358" t="s">
        <v>11</v>
      </c>
    </row>
    <row r="2172" spans="1:8" x14ac:dyDescent="0.3">
      <c r="A2172" t="s">
        <v>48</v>
      </c>
      <c r="B2172" t="s">
        <v>110</v>
      </c>
      <c r="C2172" t="s">
        <v>1569</v>
      </c>
      <c r="D2172">
        <v>3</v>
      </c>
      <c r="E2172" s="358">
        <v>3</v>
      </c>
      <c r="F2172" s="358" t="s">
        <v>7</v>
      </c>
      <c r="G2172" s="358" t="s">
        <v>11</v>
      </c>
      <c r="H2172" s="358" t="s">
        <v>11</v>
      </c>
    </row>
    <row r="2173" spans="1:8" x14ac:dyDescent="0.3">
      <c r="A2173" t="s">
        <v>48</v>
      </c>
      <c r="B2173" t="s">
        <v>110</v>
      </c>
      <c r="C2173" t="s">
        <v>2653</v>
      </c>
      <c r="D2173">
        <v>3</v>
      </c>
      <c r="E2173" s="358">
        <v>3</v>
      </c>
      <c r="F2173" s="358" t="s">
        <v>7</v>
      </c>
      <c r="G2173" s="358" t="s">
        <v>11</v>
      </c>
      <c r="H2173" s="358" t="s">
        <v>11</v>
      </c>
    </row>
    <row r="2174" spans="1:8" x14ac:dyDescent="0.3">
      <c r="A2174" t="s">
        <v>48</v>
      </c>
      <c r="B2174" t="s">
        <v>110</v>
      </c>
      <c r="C2174" t="s">
        <v>2654</v>
      </c>
      <c r="D2174">
        <v>3</v>
      </c>
      <c r="E2174" s="358">
        <v>3</v>
      </c>
      <c r="F2174" s="358" t="s">
        <v>7</v>
      </c>
      <c r="G2174" s="358" t="s">
        <v>11</v>
      </c>
      <c r="H2174" s="358" t="s">
        <v>11</v>
      </c>
    </row>
    <row r="2175" spans="1:8" x14ac:dyDescent="0.3">
      <c r="A2175" t="s">
        <v>48</v>
      </c>
      <c r="B2175" t="s">
        <v>110</v>
      </c>
      <c r="C2175" t="s">
        <v>1456</v>
      </c>
      <c r="D2175">
        <v>3</v>
      </c>
      <c r="E2175" s="358">
        <v>3</v>
      </c>
      <c r="F2175" s="358" t="s">
        <v>7</v>
      </c>
      <c r="G2175" s="358" t="s">
        <v>11</v>
      </c>
      <c r="H2175" s="358" t="s">
        <v>11</v>
      </c>
    </row>
    <row r="2176" spans="1:8" x14ac:dyDescent="0.3">
      <c r="A2176" t="s">
        <v>48</v>
      </c>
      <c r="B2176" t="s">
        <v>110</v>
      </c>
      <c r="C2176" t="s">
        <v>1458</v>
      </c>
      <c r="D2176">
        <v>3</v>
      </c>
      <c r="E2176" s="358">
        <v>3</v>
      </c>
      <c r="F2176" s="358" t="s">
        <v>7</v>
      </c>
      <c r="G2176" s="358" t="s">
        <v>11</v>
      </c>
      <c r="H2176" s="358" t="s">
        <v>11</v>
      </c>
    </row>
    <row r="2177" spans="1:8" x14ac:dyDescent="0.3">
      <c r="A2177" t="s">
        <v>48</v>
      </c>
      <c r="B2177" t="s">
        <v>110</v>
      </c>
      <c r="C2177" t="s">
        <v>2655</v>
      </c>
      <c r="D2177">
        <v>3</v>
      </c>
      <c r="E2177" s="358">
        <v>3</v>
      </c>
      <c r="F2177" s="358" t="s">
        <v>7</v>
      </c>
      <c r="G2177" s="358" t="s">
        <v>11</v>
      </c>
      <c r="H2177" s="358" t="s">
        <v>11</v>
      </c>
    </row>
    <row r="2178" spans="1:8" x14ac:dyDescent="0.3">
      <c r="A2178" t="s">
        <v>48</v>
      </c>
      <c r="B2178" t="s">
        <v>110</v>
      </c>
      <c r="C2178" t="s">
        <v>2656</v>
      </c>
      <c r="D2178">
        <v>3</v>
      </c>
      <c r="E2178" s="358">
        <v>3</v>
      </c>
      <c r="F2178" s="358" t="s">
        <v>7</v>
      </c>
      <c r="G2178" s="358" t="s">
        <v>11</v>
      </c>
      <c r="H2178" s="358" t="s">
        <v>11</v>
      </c>
    </row>
    <row r="2179" spans="1:8" x14ac:dyDescent="0.3">
      <c r="A2179" t="s">
        <v>48</v>
      </c>
      <c r="B2179" t="s">
        <v>110</v>
      </c>
      <c r="C2179" t="s">
        <v>1362</v>
      </c>
      <c r="D2179">
        <v>3</v>
      </c>
      <c r="E2179" s="358">
        <v>3</v>
      </c>
      <c r="F2179" s="358" t="s">
        <v>7</v>
      </c>
      <c r="G2179" s="358" t="s">
        <v>11</v>
      </c>
      <c r="H2179" s="358" t="s">
        <v>11</v>
      </c>
    </row>
    <row r="2180" spans="1:8" x14ac:dyDescent="0.3">
      <c r="A2180" t="s">
        <v>48</v>
      </c>
      <c r="B2180" t="s">
        <v>110</v>
      </c>
      <c r="C2180" t="s">
        <v>2657</v>
      </c>
      <c r="D2180">
        <v>2</v>
      </c>
      <c r="E2180" s="358">
        <v>3</v>
      </c>
      <c r="F2180" s="358" t="s">
        <v>7</v>
      </c>
      <c r="G2180" s="358" t="s">
        <v>11</v>
      </c>
      <c r="H2180" s="358" t="s">
        <v>11</v>
      </c>
    </row>
    <row r="2181" spans="1:8" x14ac:dyDescent="0.3">
      <c r="A2181" t="s">
        <v>48</v>
      </c>
      <c r="B2181" t="s">
        <v>110</v>
      </c>
      <c r="C2181" t="s">
        <v>2658</v>
      </c>
      <c r="D2181">
        <v>3</v>
      </c>
      <c r="E2181" s="358">
        <v>3</v>
      </c>
      <c r="F2181" s="358" t="s">
        <v>7</v>
      </c>
      <c r="G2181" s="358" t="s">
        <v>11</v>
      </c>
      <c r="H2181" s="358" t="s">
        <v>11</v>
      </c>
    </row>
    <row r="2182" spans="1:8" x14ac:dyDescent="0.3">
      <c r="A2182" t="s">
        <v>48</v>
      </c>
      <c r="B2182" t="s">
        <v>110</v>
      </c>
      <c r="C2182" t="s">
        <v>2659</v>
      </c>
      <c r="D2182">
        <v>3</v>
      </c>
      <c r="E2182" s="358">
        <v>3</v>
      </c>
      <c r="F2182" s="358" t="s">
        <v>7</v>
      </c>
      <c r="G2182" s="358" t="s">
        <v>11</v>
      </c>
      <c r="H2182" s="358" t="s">
        <v>11</v>
      </c>
    </row>
    <row r="2183" spans="1:8" x14ac:dyDescent="0.3">
      <c r="A2183" t="s">
        <v>48</v>
      </c>
      <c r="B2183" t="s">
        <v>110</v>
      </c>
      <c r="C2183" t="s">
        <v>1723</v>
      </c>
      <c r="D2183">
        <v>3</v>
      </c>
      <c r="E2183" s="358">
        <v>3</v>
      </c>
      <c r="F2183" s="358" t="s">
        <v>7</v>
      </c>
      <c r="G2183" s="358" t="s">
        <v>11</v>
      </c>
      <c r="H2183" s="358" t="s">
        <v>11</v>
      </c>
    </row>
    <row r="2184" spans="1:8" x14ac:dyDescent="0.3">
      <c r="A2184" t="s">
        <v>48</v>
      </c>
      <c r="B2184" t="s">
        <v>110</v>
      </c>
      <c r="C2184" t="s">
        <v>1726</v>
      </c>
      <c r="D2184">
        <v>3</v>
      </c>
      <c r="E2184" s="358">
        <v>3</v>
      </c>
      <c r="F2184" s="358" t="s">
        <v>7</v>
      </c>
      <c r="G2184" s="358" t="s">
        <v>11</v>
      </c>
      <c r="H2184" s="358" t="s">
        <v>11</v>
      </c>
    </row>
    <row r="2185" spans="1:8" x14ac:dyDescent="0.3">
      <c r="A2185" t="s">
        <v>48</v>
      </c>
      <c r="B2185" t="s">
        <v>110</v>
      </c>
      <c r="C2185" t="s">
        <v>2660</v>
      </c>
      <c r="D2185">
        <v>3</v>
      </c>
      <c r="E2185" s="358">
        <v>3</v>
      </c>
      <c r="F2185" s="358" t="s">
        <v>7</v>
      </c>
      <c r="G2185" s="358" t="s">
        <v>11</v>
      </c>
      <c r="H2185" s="358" t="s">
        <v>11</v>
      </c>
    </row>
    <row r="2186" spans="1:8" x14ac:dyDescent="0.3">
      <c r="A2186" t="s">
        <v>48</v>
      </c>
      <c r="B2186" t="s">
        <v>110</v>
      </c>
      <c r="C2186" t="s">
        <v>1876</v>
      </c>
      <c r="D2186">
        <v>3</v>
      </c>
      <c r="E2186" s="358">
        <v>3</v>
      </c>
      <c r="F2186" s="358" t="s">
        <v>7</v>
      </c>
      <c r="G2186" s="358" t="s">
        <v>11</v>
      </c>
      <c r="H2186" s="358" t="s">
        <v>11</v>
      </c>
    </row>
    <row r="2187" spans="1:8" x14ac:dyDescent="0.3">
      <c r="A2187" t="s">
        <v>48</v>
      </c>
      <c r="B2187" t="s">
        <v>110</v>
      </c>
      <c r="C2187" t="s">
        <v>2661</v>
      </c>
      <c r="D2187">
        <v>3</v>
      </c>
      <c r="E2187" s="358">
        <v>3</v>
      </c>
      <c r="F2187" s="358" t="s">
        <v>7</v>
      </c>
      <c r="G2187" s="358" t="s">
        <v>11</v>
      </c>
      <c r="H2187" s="358" t="s">
        <v>11</v>
      </c>
    </row>
    <row r="2188" spans="1:8" x14ac:dyDescent="0.3">
      <c r="A2188" t="s">
        <v>48</v>
      </c>
      <c r="B2188" t="s">
        <v>110</v>
      </c>
      <c r="C2188" t="s">
        <v>2662</v>
      </c>
      <c r="D2188">
        <v>3</v>
      </c>
      <c r="E2188" s="358">
        <v>3</v>
      </c>
      <c r="F2188" s="358" t="s">
        <v>7</v>
      </c>
      <c r="G2188" s="358" t="s">
        <v>11</v>
      </c>
      <c r="H2188" s="358" t="s">
        <v>11</v>
      </c>
    </row>
    <row r="2189" spans="1:8" x14ac:dyDescent="0.3">
      <c r="A2189" t="s">
        <v>48</v>
      </c>
      <c r="B2189" t="s">
        <v>110</v>
      </c>
      <c r="C2189" t="s">
        <v>2663</v>
      </c>
      <c r="D2189">
        <v>3</v>
      </c>
      <c r="E2189" s="358">
        <v>3</v>
      </c>
      <c r="F2189" s="358" t="s">
        <v>7</v>
      </c>
      <c r="G2189" s="358" t="s">
        <v>11</v>
      </c>
      <c r="H2189" s="358" t="s">
        <v>11</v>
      </c>
    </row>
    <row r="2190" spans="1:8" x14ac:dyDescent="0.3">
      <c r="A2190" t="s">
        <v>48</v>
      </c>
      <c r="B2190" t="s">
        <v>110</v>
      </c>
      <c r="C2190" t="s">
        <v>2664</v>
      </c>
      <c r="D2190">
        <v>3</v>
      </c>
      <c r="E2190" s="358">
        <v>3</v>
      </c>
      <c r="F2190" s="358" t="s">
        <v>7</v>
      </c>
      <c r="G2190" s="358" t="s">
        <v>11</v>
      </c>
      <c r="H2190" s="358" t="s">
        <v>11</v>
      </c>
    </row>
    <row r="2191" spans="1:8" x14ac:dyDescent="0.3">
      <c r="A2191" t="s">
        <v>48</v>
      </c>
      <c r="B2191" t="s">
        <v>110</v>
      </c>
      <c r="C2191" t="s">
        <v>1982</v>
      </c>
      <c r="D2191">
        <v>3</v>
      </c>
      <c r="E2191" s="358">
        <v>3</v>
      </c>
      <c r="F2191" s="358" t="s">
        <v>7</v>
      </c>
      <c r="G2191" s="358" t="s">
        <v>11</v>
      </c>
      <c r="H2191" s="358" t="s">
        <v>11</v>
      </c>
    </row>
    <row r="2192" spans="1:8" x14ac:dyDescent="0.3">
      <c r="A2192" t="s">
        <v>48</v>
      </c>
      <c r="B2192" t="s">
        <v>110</v>
      </c>
      <c r="C2192" t="s">
        <v>1984</v>
      </c>
      <c r="D2192">
        <v>3</v>
      </c>
      <c r="E2192" s="358">
        <v>3</v>
      </c>
      <c r="F2192" s="358" t="s">
        <v>7</v>
      </c>
      <c r="G2192" s="358" t="s">
        <v>11</v>
      </c>
      <c r="H2192" s="358" t="s">
        <v>11</v>
      </c>
    </row>
    <row r="2193" spans="1:8" x14ac:dyDescent="0.3">
      <c r="A2193" t="s">
        <v>48</v>
      </c>
      <c r="B2193" t="s">
        <v>110</v>
      </c>
      <c r="C2193" t="s">
        <v>1985</v>
      </c>
      <c r="D2193">
        <v>3</v>
      </c>
      <c r="E2193" s="358">
        <v>3</v>
      </c>
      <c r="F2193" s="358" t="s">
        <v>7</v>
      </c>
      <c r="G2193" s="358" t="s">
        <v>11</v>
      </c>
      <c r="H2193" s="358" t="s">
        <v>11</v>
      </c>
    </row>
    <row r="2194" spans="1:8" x14ac:dyDescent="0.3">
      <c r="A2194" t="s">
        <v>48</v>
      </c>
      <c r="B2194" t="s">
        <v>110</v>
      </c>
      <c r="C2194" t="s">
        <v>2665</v>
      </c>
      <c r="D2194">
        <v>3</v>
      </c>
      <c r="E2194" s="358">
        <v>3</v>
      </c>
      <c r="F2194" s="358" t="s">
        <v>7</v>
      </c>
      <c r="G2194" s="358" t="s">
        <v>11</v>
      </c>
      <c r="H2194" s="358" t="s">
        <v>11</v>
      </c>
    </row>
    <row r="2195" spans="1:8" x14ac:dyDescent="0.3">
      <c r="A2195" t="s">
        <v>48</v>
      </c>
      <c r="B2195" t="s">
        <v>110</v>
      </c>
      <c r="C2195" t="s">
        <v>2666</v>
      </c>
      <c r="D2195">
        <v>3</v>
      </c>
      <c r="E2195" s="358">
        <v>3</v>
      </c>
      <c r="F2195" s="358" t="s">
        <v>7</v>
      </c>
      <c r="G2195" s="358" t="s">
        <v>11</v>
      </c>
      <c r="H2195" s="358" t="s">
        <v>11</v>
      </c>
    </row>
    <row r="2196" spans="1:8" x14ac:dyDescent="0.3">
      <c r="A2196" t="s">
        <v>48</v>
      </c>
      <c r="B2196" t="s">
        <v>110</v>
      </c>
      <c r="C2196" t="s">
        <v>2294</v>
      </c>
      <c r="D2196">
        <v>3</v>
      </c>
      <c r="E2196" s="358">
        <v>3</v>
      </c>
      <c r="F2196" s="358" t="s">
        <v>7</v>
      </c>
      <c r="G2196" s="358" t="s">
        <v>11</v>
      </c>
      <c r="H2196" s="358" t="s">
        <v>11</v>
      </c>
    </row>
    <row r="2197" spans="1:8" x14ac:dyDescent="0.3">
      <c r="A2197" t="s">
        <v>48</v>
      </c>
      <c r="B2197" t="s">
        <v>110</v>
      </c>
      <c r="C2197" t="s">
        <v>1986</v>
      </c>
      <c r="D2197">
        <v>3</v>
      </c>
      <c r="E2197" s="358">
        <v>3</v>
      </c>
      <c r="F2197" s="358" t="s">
        <v>7</v>
      </c>
      <c r="G2197" s="358" t="s">
        <v>11</v>
      </c>
      <c r="H2197" s="358" t="s">
        <v>11</v>
      </c>
    </row>
    <row r="2198" spans="1:8" x14ac:dyDescent="0.3">
      <c r="A2198" t="s">
        <v>48</v>
      </c>
      <c r="B2198" t="s">
        <v>110</v>
      </c>
      <c r="C2198" t="s">
        <v>2667</v>
      </c>
      <c r="D2198">
        <v>3</v>
      </c>
      <c r="E2198" s="358">
        <v>3</v>
      </c>
      <c r="F2198" s="358" t="s">
        <v>7</v>
      </c>
      <c r="G2198" s="358" t="s">
        <v>11</v>
      </c>
      <c r="H2198" s="358" t="s">
        <v>11</v>
      </c>
    </row>
    <row r="2199" spans="1:8" x14ac:dyDescent="0.3">
      <c r="A2199" t="s">
        <v>48</v>
      </c>
      <c r="B2199" t="s">
        <v>110</v>
      </c>
      <c r="C2199" t="s">
        <v>2668</v>
      </c>
      <c r="D2199">
        <v>3</v>
      </c>
      <c r="E2199" s="358">
        <v>3</v>
      </c>
      <c r="F2199" s="358" t="s">
        <v>7</v>
      </c>
      <c r="G2199" s="358" t="s">
        <v>11</v>
      </c>
      <c r="H2199" s="358" t="s">
        <v>11</v>
      </c>
    </row>
    <row r="2200" spans="1:8" x14ac:dyDescent="0.3">
      <c r="A2200" t="s">
        <v>48</v>
      </c>
      <c r="B2200" t="s">
        <v>110</v>
      </c>
      <c r="C2200" t="s">
        <v>2669</v>
      </c>
      <c r="D2200">
        <v>3</v>
      </c>
      <c r="E2200" s="358">
        <v>3</v>
      </c>
      <c r="F2200" s="358" t="s">
        <v>7</v>
      </c>
      <c r="G2200" s="358" t="s">
        <v>11</v>
      </c>
      <c r="H2200" s="358" t="s">
        <v>11</v>
      </c>
    </row>
    <row r="2201" spans="1:8" x14ac:dyDescent="0.3">
      <c r="A2201" t="s">
        <v>48</v>
      </c>
      <c r="B2201" t="s">
        <v>110</v>
      </c>
      <c r="C2201" t="s">
        <v>1650</v>
      </c>
      <c r="D2201">
        <v>3</v>
      </c>
      <c r="E2201" s="358">
        <v>3</v>
      </c>
      <c r="F2201" s="358" t="s">
        <v>7</v>
      </c>
      <c r="G2201" s="358" t="s">
        <v>11</v>
      </c>
      <c r="H2201" s="358" t="s">
        <v>11</v>
      </c>
    </row>
    <row r="2202" spans="1:8" x14ac:dyDescent="0.3">
      <c r="A2202" t="s">
        <v>48</v>
      </c>
      <c r="B2202" t="s">
        <v>110</v>
      </c>
      <c r="C2202" t="s">
        <v>2670</v>
      </c>
      <c r="D2202">
        <v>2</v>
      </c>
      <c r="E2202" s="358">
        <v>3</v>
      </c>
      <c r="F2202" s="358" t="s">
        <v>7</v>
      </c>
      <c r="G2202" s="358" t="s">
        <v>11</v>
      </c>
      <c r="H2202" s="358" t="s">
        <v>11</v>
      </c>
    </row>
    <row r="2203" spans="1:8" x14ac:dyDescent="0.3">
      <c r="A2203" t="s">
        <v>48</v>
      </c>
      <c r="B2203" t="s">
        <v>110</v>
      </c>
      <c r="C2203" t="s">
        <v>1740</v>
      </c>
      <c r="D2203">
        <v>3</v>
      </c>
      <c r="E2203" s="358">
        <v>3</v>
      </c>
      <c r="F2203" s="358" t="s">
        <v>7</v>
      </c>
      <c r="G2203" s="358" t="s">
        <v>11</v>
      </c>
      <c r="H2203" s="358" t="s">
        <v>11</v>
      </c>
    </row>
    <row r="2204" spans="1:8" x14ac:dyDescent="0.3">
      <c r="A2204" t="s">
        <v>48</v>
      </c>
      <c r="B2204" t="s">
        <v>110</v>
      </c>
      <c r="C2204" t="s">
        <v>2345</v>
      </c>
      <c r="D2204">
        <v>2</v>
      </c>
      <c r="E2204" s="358">
        <v>4</v>
      </c>
      <c r="F2204" s="358" t="s">
        <v>75</v>
      </c>
      <c r="G2204" s="358" t="s">
        <v>11</v>
      </c>
      <c r="H2204" s="358" t="s">
        <v>11</v>
      </c>
    </row>
    <row r="2205" spans="1:8" x14ac:dyDescent="0.3">
      <c r="A2205" t="s">
        <v>48</v>
      </c>
      <c r="B2205" t="s">
        <v>110</v>
      </c>
      <c r="C2205" t="s">
        <v>2671</v>
      </c>
      <c r="D2205">
        <v>3</v>
      </c>
      <c r="E2205" s="358">
        <v>3</v>
      </c>
      <c r="F2205" s="358" t="s">
        <v>7</v>
      </c>
      <c r="G2205" s="358" t="s">
        <v>11</v>
      </c>
      <c r="H2205" s="358" t="s">
        <v>11</v>
      </c>
    </row>
    <row r="2206" spans="1:8" x14ac:dyDescent="0.3">
      <c r="A2206" t="s">
        <v>48</v>
      </c>
      <c r="B2206" t="s">
        <v>110</v>
      </c>
      <c r="C2206" t="s">
        <v>2672</v>
      </c>
      <c r="D2206">
        <v>3</v>
      </c>
      <c r="E2206" s="358">
        <v>3</v>
      </c>
      <c r="F2206" s="358" t="s">
        <v>7</v>
      </c>
      <c r="G2206" s="358" t="s">
        <v>11</v>
      </c>
      <c r="H2206" s="358" t="s">
        <v>11</v>
      </c>
    </row>
    <row r="2207" spans="1:8" x14ac:dyDescent="0.3">
      <c r="A2207" t="s">
        <v>48</v>
      </c>
      <c r="B2207" t="s">
        <v>110</v>
      </c>
      <c r="C2207" t="s">
        <v>2673</v>
      </c>
      <c r="D2207">
        <v>3</v>
      </c>
      <c r="E2207" s="358">
        <v>3</v>
      </c>
      <c r="F2207" s="358" t="s">
        <v>7</v>
      </c>
      <c r="G2207" s="358" t="s">
        <v>11</v>
      </c>
      <c r="H2207" s="358" t="s">
        <v>11</v>
      </c>
    </row>
    <row r="2208" spans="1:8" x14ac:dyDescent="0.3">
      <c r="A2208" t="s">
        <v>48</v>
      </c>
      <c r="B2208" t="s">
        <v>110</v>
      </c>
      <c r="C2208" t="s">
        <v>1379</v>
      </c>
      <c r="D2208">
        <v>3</v>
      </c>
      <c r="E2208" s="358">
        <v>3</v>
      </c>
      <c r="F2208" s="358" t="s">
        <v>7</v>
      </c>
      <c r="G2208" s="358" t="s">
        <v>11</v>
      </c>
      <c r="H2208" s="358" t="s">
        <v>11</v>
      </c>
    </row>
    <row r="2209" spans="1:8" x14ac:dyDescent="0.3">
      <c r="A2209" t="s">
        <v>48</v>
      </c>
      <c r="B2209" t="s">
        <v>110</v>
      </c>
      <c r="C2209" t="s">
        <v>2674</v>
      </c>
      <c r="D2209">
        <v>3</v>
      </c>
      <c r="E2209" s="358">
        <v>3</v>
      </c>
      <c r="F2209" s="358" t="s">
        <v>7</v>
      </c>
      <c r="G2209" s="358" t="s">
        <v>11</v>
      </c>
      <c r="H2209" s="358" t="s">
        <v>11</v>
      </c>
    </row>
    <row r="2210" spans="1:8" x14ac:dyDescent="0.3">
      <c r="A2210" t="s">
        <v>48</v>
      </c>
      <c r="B2210" t="s">
        <v>110</v>
      </c>
      <c r="C2210" t="s">
        <v>2675</v>
      </c>
      <c r="D2210">
        <v>3</v>
      </c>
      <c r="E2210" s="358">
        <v>3</v>
      </c>
      <c r="F2210" s="358" t="s">
        <v>7</v>
      </c>
      <c r="G2210" s="358" t="s">
        <v>11</v>
      </c>
      <c r="H2210" s="358" t="s">
        <v>11</v>
      </c>
    </row>
    <row r="2211" spans="1:8" x14ac:dyDescent="0.3">
      <c r="A2211" t="s">
        <v>48</v>
      </c>
      <c r="B2211" t="s">
        <v>110</v>
      </c>
      <c r="C2211" t="s">
        <v>2676</v>
      </c>
      <c r="D2211">
        <v>3</v>
      </c>
      <c r="E2211" s="358">
        <v>3</v>
      </c>
      <c r="F2211" s="358" t="s">
        <v>7</v>
      </c>
      <c r="G2211" s="358" t="s">
        <v>11</v>
      </c>
      <c r="H2211" s="358" t="s">
        <v>11</v>
      </c>
    </row>
    <row r="2212" spans="1:8" x14ac:dyDescent="0.3">
      <c r="A2212" t="s">
        <v>49</v>
      </c>
      <c r="B2212" t="s">
        <v>101</v>
      </c>
      <c r="C2212" t="s">
        <v>1608</v>
      </c>
      <c r="D2212">
        <v>2</v>
      </c>
      <c r="E2212" s="358">
        <v>5</v>
      </c>
      <c r="F2212" s="358" t="s">
        <v>75</v>
      </c>
      <c r="G2212" s="358" t="s">
        <v>11</v>
      </c>
      <c r="H2212" s="358" t="s">
        <v>11</v>
      </c>
    </row>
    <row r="2213" spans="1:8" x14ac:dyDescent="0.3">
      <c r="A2213" t="s">
        <v>49</v>
      </c>
      <c r="B2213" t="s">
        <v>101</v>
      </c>
      <c r="C2213" t="s">
        <v>1430</v>
      </c>
      <c r="D2213">
        <v>3</v>
      </c>
      <c r="E2213" s="358">
        <v>4</v>
      </c>
      <c r="F2213" s="358" t="s">
        <v>105</v>
      </c>
      <c r="G2213" s="358" t="s">
        <v>11</v>
      </c>
      <c r="H2213" s="358" t="s">
        <v>11</v>
      </c>
    </row>
    <row r="2214" spans="1:8" x14ac:dyDescent="0.3">
      <c r="A2214" t="s">
        <v>49</v>
      </c>
      <c r="B2214" t="s">
        <v>101</v>
      </c>
      <c r="C2214" t="s">
        <v>2677</v>
      </c>
      <c r="D2214">
        <v>3</v>
      </c>
      <c r="E2214" s="358">
        <v>4</v>
      </c>
      <c r="F2214" s="358" t="s">
        <v>105</v>
      </c>
      <c r="G2214" s="358" t="s">
        <v>11</v>
      </c>
      <c r="H2214" s="358" t="s">
        <v>11</v>
      </c>
    </row>
    <row r="2215" spans="1:8" x14ac:dyDescent="0.3">
      <c r="A2215" t="s">
        <v>49</v>
      </c>
      <c r="B2215" t="s">
        <v>101</v>
      </c>
      <c r="C2215" t="s">
        <v>2678</v>
      </c>
      <c r="D2215">
        <v>2</v>
      </c>
      <c r="E2215" s="358">
        <v>4</v>
      </c>
      <c r="F2215" s="358" t="s">
        <v>105</v>
      </c>
      <c r="G2215" s="358" t="s">
        <v>11</v>
      </c>
      <c r="H2215" s="358" t="s">
        <v>11</v>
      </c>
    </row>
    <row r="2216" spans="1:8" x14ac:dyDescent="0.3">
      <c r="A2216" t="s">
        <v>49</v>
      </c>
      <c r="B2216" t="s">
        <v>101</v>
      </c>
      <c r="C2216" t="s">
        <v>1437</v>
      </c>
      <c r="D2216">
        <v>2</v>
      </c>
      <c r="E2216" s="358">
        <v>4</v>
      </c>
      <c r="F2216" s="358" t="s">
        <v>105</v>
      </c>
      <c r="G2216" s="358" t="s">
        <v>11</v>
      </c>
      <c r="H2216" s="358" t="s">
        <v>11</v>
      </c>
    </row>
    <row r="2217" spans="1:8" x14ac:dyDescent="0.3">
      <c r="A2217" t="s">
        <v>49</v>
      </c>
      <c r="B2217" t="s">
        <v>101</v>
      </c>
      <c r="C2217" t="s">
        <v>2435</v>
      </c>
      <c r="D2217">
        <v>3</v>
      </c>
      <c r="E2217" s="358">
        <v>4</v>
      </c>
      <c r="F2217" s="358" t="s">
        <v>105</v>
      </c>
      <c r="G2217" s="358" t="s">
        <v>11</v>
      </c>
      <c r="H2217" s="358" t="s">
        <v>11</v>
      </c>
    </row>
    <row r="2218" spans="1:8" x14ac:dyDescent="0.3">
      <c r="A2218" t="s">
        <v>49</v>
      </c>
      <c r="B2218" t="s">
        <v>101</v>
      </c>
      <c r="C2218" t="s">
        <v>2679</v>
      </c>
      <c r="D2218">
        <v>2</v>
      </c>
      <c r="E2218" s="358">
        <v>5</v>
      </c>
      <c r="F2218" s="358" t="s">
        <v>75</v>
      </c>
      <c r="G2218" s="358" t="s">
        <v>11</v>
      </c>
      <c r="H2218" s="358" t="s">
        <v>11</v>
      </c>
    </row>
    <row r="2219" spans="1:8" x14ac:dyDescent="0.3">
      <c r="A2219" t="s">
        <v>49</v>
      </c>
      <c r="B2219" t="s">
        <v>101</v>
      </c>
      <c r="C2219" t="s">
        <v>2455</v>
      </c>
      <c r="D2219">
        <v>3</v>
      </c>
      <c r="E2219" s="358">
        <v>4</v>
      </c>
      <c r="F2219" s="358" t="s">
        <v>105</v>
      </c>
      <c r="G2219" s="358" t="s">
        <v>11</v>
      </c>
      <c r="H2219" s="358" t="s">
        <v>11</v>
      </c>
    </row>
    <row r="2220" spans="1:8" x14ac:dyDescent="0.3">
      <c r="A2220" t="s">
        <v>49</v>
      </c>
      <c r="B2220" t="s">
        <v>101</v>
      </c>
      <c r="C2220" t="s">
        <v>2680</v>
      </c>
      <c r="D2220">
        <v>3</v>
      </c>
      <c r="E2220" s="358">
        <v>5</v>
      </c>
      <c r="F2220" s="358" t="s">
        <v>75</v>
      </c>
      <c r="G2220" s="358" t="s">
        <v>11</v>
      </c>
      <c r="H2220" s="358" t="s">
        <v>11</v>
      </c>
    </row>
    <row r="2221" spans="1:8" x14ac:dyDescent="0.3">
      <c r="A2221" t="s">
        <v>49</v>
      </c>
      <c r="B2221" t="s">
        <v>101</v>
      </c>
      <c r="C2221" t="s">
        <v>1558</v>
      </c>
      <c r="D2221">
        <v>3</v>
      </c>
      <c r="E2221" s="358">
        <v>4</v>
      </c>
      <c r="F2221" s="358" t="s">
        <v>105</v>
      </c>
      <c r="G2221" s="358" t="s">
        <v>11</v>
      </c>
      <c r="H2221" s="358" t="s">
        <v>11</v>
      </c>
    </row>
    <row r="2222" spans="1:8" x14ac:dyDescent="0.3">
      <c r="A2222" t="s">
        <v>49</v>
      </c>
      <c r="B2222" t="s">
        <v>101</v>
      </c>
      <c r="C2222" t="s">
        <v>2681</v>
      </c>
      <c r="D2222">
        <v>2</v>
      </c>
      <c r="E2222" s="358">
        <v>5</v>
      </c>
      <c r="F2222" s="358" t="s">
        <v>75</v>
      </c>
      <c r="G2222" s="358" t="s">
        <v>11</v>
      </c>
      <c r="H2222" s="358" t="s">
        <v>11</v>
      </c>
    </row>
    <row r="2223" spans="1:8" x14ac:dyDescent="0.3">
      <c r="A2223" t="s">
        <v>49</v>
      </c>
      <c r="B2223" t="s">
        <v>101</v>
      </c>
      <c r="C2223" t="s">
        <v>1448</v>
      </c>
      <c r="D2223">
        <v>2</v>
      </c>
      <c r="E2223" s="358">
        <v>5</v>
      </c>
      <c r="F2223" s="358" t="s">
        <v>75</v>
      </c>
      <c r="G2223" s="358" t="s">
        <v>11</v>
      </c>
      <c r="H2223" s="358" t="s">
        <v>11</v>
      </c>
    </row>
    <row r="2224" spans="1:8" x14ac:dyDescent="0.3">
      <c r="A2224" t="s">
        <v>49</v>
      </c>
      <c r="B2224" t="s">
        <v>101</v>
      </c>
      <c r="C2224" t="s">
        <v>2682</v>
      </c>
      <c r="D2224">
        <v>2</v>
      </c>
      <c r="E2224" s="358">
        <v>5</v>
      </c>
      <c r="F2224" s="358" t="s">
        <v>75</v>
      </c>
      <c r="G2224" s="358" t="s">
        <v>11</v>
      </c>
      <c r="H2224" s="358" t="s">
        <v>11</v>
      </c>
    </row>
    <row r="2225" spans="1:8" x14ac:dyDescent="0.3">
      <c r="A2225" t="s">
        <v>49</v>
      </c>
      <c r="B2225" t="s">
        <v>101</v>
      </c>
      <c r="C2225" t="s">
        <v>2683</v>
      </c>
      <c r="D2225">
        <v>2</v>
      </c>
      <c r="E2225" s="358">
        <v>5</v>
      </c>
      <c r="F2225" s="358" t="s">
        <v>75</v>
      </c>
      <c r="G2225" s="358" t="s">
        <v>11</v>
      </c>
      <c r="H2225" s="358" t="s">
        <v>11</v>
      </c>
    </row>
    <row r="2226" spans="1:8" x14ac:dyDescent="0.3">
      <c r="A2226" t="s">
        <v>49</v>
      </c>
      <c r="B2226" t="s">
        <v>101</v>
      </c>
      <c r="C2226" t="s">
        <v>1350</v>
      </c>
      <c r="D2226">
        <v>3</v>
      </c>
      <c r="E2226" s="358">
        <v>4</v>
      </c>
      <c r="F2226" s="358" t="s">
        <v>105</v>
      </c>
      <c r="G2226" s="358" t="s">
        <v>11</v>
      </c>
      <c r="H2226" s="358" t="s">
        <v>11</v>
      </c>
    </row>
    <row r="2227" spans="1:8" x14ac:dyDescent="0.3">
      <c r="A2227" t="s">
        <v>49</v>
      </c>
      <c r="B2227" t="s">
        <v>101</v>
      </c>
      <c r="C2227" t="s">
        <v>1351</v>
      </c>
      <c r="D2227">
        <v>2</v>
      </c>
      <c r="E2227" s="358">
        <v>5</v>
      </c>
      <c r="F2227" s="358" t="s">
        <v>75</v>
      </c>
      <c r="G2227" s="358" t="s">
        <v>11</v>
      </c>
      <c r="H2227" s="358" t="s">
        <v>11</v>
      </c>
    </row>
    <row r="2228" spans="1:8" x14ac:dyDescent="0.3">
      <c r="A2228" t="s">
        <v>49</v>
      </c>
      <c r="B2228" t="s">
        <v>101</v>
      </c>
      <c r="C2228" t="s">
        <v>2684</v>
      </c>
      <c r="D2228">
        <v>3</v>
      </c>
      <c r="E2228" s="358">
        <v>4</v>
      </c>
      <c r="F2228" s="358" t="s">
        <v>105</v>
      </c>
      <c r="G2228" s="358" t="s">
        <v>11</v>
      </c>
      <c r="H2228" s="358" t="s">
        <v>11</v>
      </c>
    </row>
    <row r="2229" spans="1:8" x14ac:dyDescent="0.3">
      <c r="A2229" t="s">
        <v>49</v>
      </c>
      <c r="B2229" t="s">
        <v>101</v>
      </c>
      <c r="C2229" t="s">
        <v>2685</v>
      </c>
      <c r="D2229">
        <v>2</v>
      </c>
      <c r="E2229" s="358">
        <v>5</v>
      </c>
      <c r="F2229" s="358" t="s">
        <v>75</v>
      </c>
      <c r="G2229" s="358" t="s">
        <v>11</v>
      </c>
      <c r="H2229" s="358" t="s">
        <v>11</v>
      </c>
    </row>
    <row r="2230" spans="1:8" x14ac:dyDescent="0.3">
      <c r="A2230" t="s">
        <v>49</v>
      </c>
      <c r="B2230" t="s">
        <v>101</v>
      </c>
      <c r="C2230" t="s">
        <v>1500</v>
      </c>
      <c r="D2230">
        <v>2</v>
      </c>
      <c r="E2230" s="358">
        <v>5</v>
      </c>
      <c r="F2230" s="358" t="s">
        <v>75</v>
      </c>
      <c r="G2230" s="358" t="s">
        <v>11</v>
      </c>
      <c r="H2230" s="358" t="s">
        <v>11</v>
      </c>
    </row>
    <row r="2231" spans="1:8" x14ac:dyDescent="0.3">
      <c r="A2231" t="s">
        <v>49</v>
      </c>
      <c r="B2231" t="s">
        <v>101</v>
      </c>
      <c r="C2231" t="s">
        <v>1972</v>
      </c>
      <c r="D2231">
        <v>3</v>
      </c>
      <c r="E2231" s="358">
        <v>4</v>
      </c>
      <c r="F2231" s="358" t="s">
        <v>105</v>
      </c>
      <c r="G2231" s="358" t="s">
        <v>11</v>
      </c>
      <c r="H2231" s="358" t="s">
        <v>11</v>
      </c>
    </row>
    <row r="2232" spans="1:8" x14ac:dyDescent="0.3">
      <c r="A2232" t="s">
        <v>49</v>
      </c>
      <c r="B2232" t="s">
        <v>101</v>
      </c>
      <c r="C2232" t="s">
        <v>1456</v>
      </c>
      <c r="D2232">
        <v>3</v>
      </c>
      <c r="E2232" s="358">
        <v>4</v>
      </c>
      <c r="F2232" s="358" t="s">
        <v>105</v>
      </c>
      <c r="G2232" s="358" t="s">
        <v>11</v>
      </c>
      <c r="H2232" s="358" t="s">
        <v>11</v>
      </c>
    </row>
    <row r="2233" spans="1:8" x14ac:dyDescent="0.3">
      <c r="A2233" t="s">
        <v>49</v>
      </c>
      <c r="B2233" t="s">
        <v>101</v>
      </c>
      <c r="C2233" t="s">
        <v>1919</v>
      </c>
      <c r="D2233">
        <v>3</v>
      </c>
      <c r="E2233" s="358">
        <v>4</v>
      </c>
      <c r="F2233" s="358" t="s">
        <v>105</v>
      </c>
      <c r="G2233" s="358" t="s">
        <v>11</v>
      </c>
      <c r="H2233" s="358" t="s">
        <v>11</v>
      </c>
    </row>
    <row r="2234" spans="1:8" x14ac:dyDescent="0.3">
      <c r="A2234" t="s">
        <v>49</v>
      </c>
      <c r="B2234" t="s">
        <v>101</v>
      </c>
      <c r="C2234" t="s">
        <v>2686</v>
      </c>
      <c r="D2234">
        <v>2</v>
      </c>
      <c r="E2234" s="358">
        <v>5</v>
      </c>
      <c r="F2234" s="358" t="s">
        <v>75</v>
      </c>
      <c r="G2234" s="358" t="s">
        <v>11</v>
      </c>
      <c r="H2234" s="358" t="s">
        <v>11</v>
      </c>
    </row>
    <row r="2235" spans="1:8" x14ac:dyDescent="0.3">
      <c r="A2235" t="s">
        <v>49</v>
      </c>
      <c r="B2235" t="s">
        <v>101</v>
      </c>
      <c r="C2235" t="s">
        <v>1361</v>
      </c>
      <c r="D2235">
        <v>3</v>
      </c>
      <c r="E2235" s="358">
        <v>4</v>
      </c>
      <c r="F2235" s="358" t="s">
        <v>105</v>
      </c>
      <c r="G2235" s="358" t="s">
        <v>11</v>
      </c>
      <c r="H2235" s="358" t="s">
        <v>11</v>
      </c>
    </row>
    <row r="2236" spans="1:8" x14ac:dyDescent="0.3">
      <c r="A2236" t="s">
        <v>49</v>
      </c>
      <c r="B2236" t="s">
        <v>101</v>
      </c>
      <c r="C2236" t="s">
        <v>2622</v>
      </c>
      <c r="D2236">
        <v>2</v>
      </c>
      <c r="E2236" s="358">
        <v>5</v>
      </c>
      <c r="F2236" s="358" t="s">
        <v>75</v>
      </c>
      <c r="G2236" s="358" t="s">
        <v>11</v>
      </c>
      <c r="H2236" s="358" t="s">
        <v>11</v>
      </c>
    </row>
    <row r="2237" spans="1:8" x14ac:dyDescent="0.3">
      <c r="A2237" t="s">
        <v>49</v>
      </c>
      <c r="B2237" t="s">
        <v>101</v>
      </c>
      <c r="C2237" t="s">
        <v>2687</v>
      </c>
      <c r="D2237">
        <v>2</v>
      </c>
      <c r="E2237" s="358">
        <v>4</v>
      </c>
      <c r="F2237" s="358" t="s">
        <v>105</v>
      </c>
      <c r="G2237" s="358" t="s">
        <v>11</v>
      </c>
      <c r="H2237" s="358" t="s">
        <v>11</v>
      </c>
    </row>
    <row r="2238" spans="1:8" x14ac:dyDescent="0.3">
      <c r="A2238" t="s">
        <v>49</v>
      </c>
      <c r="B2238" t="s">
        <v>101</v>
      </c>
      <c r="C2238" t="s">
        <v>1467</v>
      </c>
      <c r="D2238">
        <v>3</v>
      </c>
      <c r="E2238" s="358">
        <v>4</v>
      </c>
      <c r="F2238" s="358" t="s">
        <v>105</v>
      </c>
      <c r="G2238" s="358" t="s">
        <v>11</v>
      </c>
      <c r="H2238" s="358" t="s">
        <v>11</v>
      </c>
    </row>
    <row r="2239" spans="1:8" x14ac:dyDescent="0.3">
      <c r="A2239" t="s">
        <v>49</v>
      </c>
      <c r="B2239" t="s">
        <v>101</v>
      </c>
      <c r="C2239" t="s">
        <v>1997</v>
      </c>
      <c r="D2239">
        <v>2</v>
      </c>
      <c r="E2239" s="358">
        <v>5</v>
      </c>
      <c r="F2239" s="358" t="s">
        <v>75</v>
      </c>
      <c r="G2239" s="358" t="s">
        <v>11</v>
      </c>
      <c r="H2239" s="358" t="s">
        <v>11</v>
      </c>
    </row>
    <row r="2240" spans="1:8" x14ac:dyDescent="0.3">
      <c r="A2240" t="s">
        <v>49</v>
      </c>
      <c r="B2240" t="s">
        <v>101</v>
      </c>
      <c r="C2240" t="s">
        <v>2688</v>
      </c>
      <c r="D2240">
        <v>3</v>
      </c>
      <c r="E2240" s="358">
        <v>4</v>
      </c>
      <c r="F2240" s="358" t="s">
        <v>105</v>
      </c>
      <c r="G2240" s="358" t="s">
        <v>11</v>
      </c>
      <c r="H2240" s="358" t="s">
        <v>11</v>
      </c>
    </row>
    <row r="2241" spans="1:8" x14ac:dyDescent="0.3">
      <c r="A2241" t="s">
        <v>49</v>
      </c>
      <c r="B2241" t="s">
        <v>101</v>
      </c>
      <c r="C2241" t="s">
        <v>2689</v>
      </c>
      <c r="D2241">
        <v>2</v>
      </c>
      <c r="E2241" s="358">
        <v>5</v>
      </c>
      <c r="F2241" s="358" t="s">
        <v>75</v>
      </c>
      <c r="G2241" s="358" t="s">
        <v>11</v>
      </c>
      <c r="H2241" s="358" t="s">
        <v>11</v>
      </c>
    </row>
    <row r="2242" spans="1:8" x14ac:dyDescent="0.3">
      <c r="A2242" t="s">
        <v>49</v>
      </c>
      <c r="B2242" t="s">
        <v>101</v>
      </c>
      <c r="C2242" t="s">
        <v>1479</v>
      </c>
      <c r="D2242">
        <v>2</v>
      </c>
      <c r="E2242" s="358">
        <v>5</v>
      </c>
      <c r="F2242" s="358" t="s">
        <v>75</v>
      </c>
      <c r="G2242" s="358" t="s">
        <v>11</v>
      </c>
      <c r="H2242" s="358" t="s">
        <v>11</v>
      </c>
    </row>
    <row r="2243" spans="1:8" x14ac:dyDescent="0.3">
      <c r="A2243" t="s">
        <v>49</v>
      </c>
      <c r="B2243" t="s">
        <v>101</v>
      </c>
      <c r="C2243" t="s">
        <v>2690</v>
      </c>
      <c r="D2243">
        <v>3</v>
      </c>
      <c r="E2243" s="358">
        <v>5</v>
      </c>
      <c r="F2243" s="358" t="s">
        <v>75</v>
      </c>
      <c r="G2243" s="358" t="s">
        <v>11</v>
      </c>
      <c r="H2243" s="358" t="s">
        <v>11</v>
      </c>
    </row>
    <row r="2244" spans="1:8" x14ac:dyDescent="0.3">
      <c r="A2244" t="s">
        <v>49</v>
      </c>
      <c r="B2244" t="s">
        <v>101</v>
      </c>
      <c r="C2244" t="s">
        <v>2691</v>
      </c>
      <c r="D2244">
        <v>2</v>
      </c>
      <c r="E2244" s="358">
        <v>5</v>
      </c>
      <c r="F2244" s="358" t="s">
        <v>75</v>
      </c>
      <c r="G2244" s="358" t="s">
        <v>11</v>
      </c>
      <c r="H2244" s="358" t="s">
        <v>11</v>
      </c>
    </row>
    <row r="2245" spans="1:8" x14ac:dyDescent="0.3">
      <c r="A2245" t="s">
        <v>49</v>
      </c>
      <c r="B2245" t="s">
        <v>101</v>
      </c>
      <c r="C2245" t="s">
        <v>1379</v>
      </c>
      <c r="D2245">
        <v>2</v>
      </c>
      <c r="E2245" s="358">
        <v>4</v>
      </c>
      <c r="F2245" s="358" t="s">
        <v>105</v>
      </c>
      <c r="G2245" s="358" t="s">
        <v>11</v>
      </c>
      <c r="H2245" s="358" t="s">
        <v>11</v>
      </c>
    </row>
    <row r="2246" spans="1:8" x14ac:dyDescent="0.3">
      <c r="A2246" t="s">
        <v>49</v>
      </c>
      <c r="B2246" t="s">
        <v>101</v>
      </c>
      <c r="C2246" t="s">
        <v>1760</v>
      </c>
      <c r="D2246">
        <v>2</v>
      </c>
      <c r="E2246" s="358">
        <v>5</v>
      </c>
      <c r="F2246" s="358" t="s">
        <v>75</v>
      </c>
      <c r="G2246" s="358" t="s">
        <v>11</v>
      </c>
      <c r="H2246" s="358" t="s">
        <v>11</v>
      </c>
    </row>
    <row r="2247" spans="1:8" x14ac:dyDescent="0.3">
      <c r="A2247" t="s">
        <v>49</v>
      </c>
      <c r="B2247" t="s">
        <v>101</v>
      </c>
      <c r="C2247" t="s">
        <v>2692</v>
      </c>
      <c r="D2247">
        <v>2</v>
      </c>
      <c r="E2247" s="358">
        <v>4</v>
      </c>
      <c r="F2247" s="358" t="s">
        <v>105</v>
      </c>
      <c r="G2247" s="358" t="s">
        <v>11</v>
      </c>
      <c r="H2247" s="358" t="s">
        <v>11</v>
      </c>
    </row>
    <row r="2248" spans="1:8" x14ac:dyDescent="0.3">
      <c r="A2248" t="s">
        <v>50</v>
      </c>
      <c r="B2248" t="s">
        <v>81</v>
      </c>
      <c r="C2248" t="s">
        <v>1540</v>
      </c>
      <c r="D2248">
        <v>1</v>
      </c>
      <c r="E2248" s="358">
        <v>5</v>
      </c>
      <c r="F2248" s="358" t="s">
        <v>7</v>
      </c>
      <c r="G2248" s="358" t="s">
        <v>11</v>
      </c>
      <c r="H2248" s="358" t="s">
        <v>11</v>
      </c>
    </row>
    <row r="2249" spans="1:8" x14ac:dyDescent="0.3">
      <c r="A2249" t="s">
        <v>50</v>
      </c>
      <c r="B2249" t="s">
        <v>81</v>
      </c>
      <c r="C2249" t="s">
        <v>2693</v>
      </c>
      <c r="D2249">
        <v>1</v>
      </c>
      <c r="E2249" s="358">
        <v>5</v>
      </c>
      <c r="F2249" s="358" t="s">
        <v>7</v>
      </c>
      <c r="G2249" s="358" t="s">
        <v>11</v>
      </c>
      <c r="H2249" s="358" t="s">
        <v>11</v>
      </c>
    </row>
    <row r="2250" spans="1:8" x14ac:dyDescent="0.3">
      <c r="A2250" t="s">
        <v>50</v>
      </c>
      <c r="B2250" t="s">
        <v>81</v>
      </c>
      <c r="C2250" t="s">
        <v>2694</v>
      </c>
      <c r="D2250">
        <v>1</v>
      </c>
      <c r="E2250" s="358">
        <v>5</v>
      </c>
      <c r="F2250" s="358" t="s">
        <v>7</v>
      </c>
      <c r="G2250" s="358" t="s">
        <v>11</v>
      </c>
      <c r="H2250" s="358" t="s">
        <v>11</v>
      </c>
    </row>
    <row r="2251" spans="1:8" x14ac:dyDescent="0.3">
      <c r="A2251" t="s">
        <v>50</v>
      </c>
      <c r="B2251" t="s">
        <v>81</v>
      </c>
      <c r="C2251" t="s">
        <v>2638</v>
      </c>
      <c r="D2251">
        <v>1</v>
      </c>
      <c r="E2251" s="358">
        <v>5</v>
      </c>
      <c r="F2251" s="358" t="s">
        <v>7</v>
      </c>
      <c r="G2251" s="358" t="s">
        <v>11</v>
      </c>
      <c r="H2251" s="358" t="s">
        <v>11</v>
      </c>
    </row>
    <row r="2252" spans="1:8" x14ac:dyDescent="0.3">
      <c r="A2252" t="s">
        <v>50</v>
      </c>
      <c r="B2252" t="s">
        <v>81</v>
      </c>
      <c r="C2252" t="s">
        <v>2695</v>
      </c>
      <c r="D2252">
        <v>1</v>
      </c>
      <c r="E2252" s="358">
        <v>5</v>
      </c>
      <c r="F2252" s="358" t="s">
        <v>7</v>
      </c>
      <c r="G2252" s="358" t="s">
        <v>11</v>
      </c>
      <c r="H2252" s="358" t="s">
        <v>11</v>
      </c>
    </row>
    <row r="2253" spans="1:8" x14ac:dyDescent="0.3">
      <c r="A2253" t="s">
        <v>50</v>
      </c>
      <c r="B2253" t="s">
        <v>81</v>
      </c>
      <c r="C2253" t="s">
        <v>2696</v>
      </c>
      <c r="D2253">
        <v>1</v>
      </c>
      <c r="E2253" s="358">
        <v>5</v>
      </c>
      <c r="F2253" s="358" t="s">
        <v>7</v>
      </c>
      <c r="G2253" s="358" t="s">
        <v>11</v>
      </c>
      <c r="H2253" s="358" t="s">
        <v>11</v>
      </c>
    </row>
    <row r="2254" spans="1:8" x14ac:dyDescent="0.3">
      <c r="A2254" t="s">
        <v>50</v>
      </c>
      <c r="B2254" t="s">
        <v>81</v>
      </c>
      <c r="C2254" t="s">
        <v>2697</v>
      </c>
      <c r="D2254">
        <v>1</v>
      </c>
      <c r="E2254" s="358">
        <v>5</v>
      </c>
      <c r="F2254" s="358" t="s">
        <v>7</v>
      </c>
      <c r="G2254" s="358" t="s">
        <v>11</v>
      </c>
      <c r="H2254" s="358" t="s">
        <v>11</v>
      </c>
    </row>
    <row r="2255" spans="1:8" x14ac:dyDescent="0.3">
      <c r="A2255" t="s">
        <v>50</v>
      </c>
      <c r="B2255" t="s">
        <v>81</v>
      </c>
      <c r="C2255" t="s">
        <v>1610</v>
      </c>
      <c r="D2255">
        <v>1</v>
      </c>
      <c r="E2255" s="358">
        <v>5</v>
      </c>
      <c r="F2255" s="358" t="s">
        <v>7</v>
      </c>
      <c r="G2255" s="358" t="s">
        <v>11</v>
      </c>
      <c r="H2255" s="358" t="s">
        <v>11</v>
      </c>
    </row>
    <row r="2256" spans="1:8" x14ac:dyDescent="0.3">
      <c r="A2256" t="s">
        <v>50</v>
      </c>
      <c r="B2256" t="s">
        <v>81</v>
      </c>
      <c r="C2256" t="s">
        <v>2698</v>
      </c>
      <c r="D2256">
        <v>1</v>
      </c>
      <c r="E2256" s="358">
        <v>4</v>
      </c>
      <c r="F2256" s="358" t="s">
        <v>7</v>
      </c>
      <c r="G2256" s="358" t="s">
        <v>11</v>
      </c>
      <c r="H2256" s="358" t="s">
        <v>11</v>
      </c>
    </row>
    <row r="2257" spans="1:8" x14ac:dyDescent="0.3">
      <c r="A2257" t="s">
        <v>50</v>
      </c>
      <c r="B2257" t="s">
        <v>81</v>
      </c>
      <c r="C2257" t="s">
        <v>1321</v>
      </c>
      <c r="D2257">
        <v>1</v>
      </c>
      <c r="E2257" s="358">
        <v>5</v>
      </c>
      <c r="F2257" s="358" t="s">
        <v>7</v>
      </c>
      <c r="G2257" s="358" t="s">
        <v>11</v>
      </c>
      <c r="H2257" s="358" t="s">
        <v>11</v>
      </c>
    </row>
    <row r="2258" spans="1:8" x14ac:dyDescent="0.3">
      <c r="A2258" t="s">
        <v>50</v>
      </c>
      <c r="B2258" t="s">
        <v>81</v>
      </c>
      <c r="C2258" t="s">
        <v>2699</v>
      </c>
      <c r="D2258">
        <v>2</v>
      </c>
      <c r="E2258" s="358">
        <v>5</v>
      </c>
      <c r="F2258" s="358" t="s">
        <v>7</v>
      </c>
      <c r="G2258" s="358" t="s">
        <v>11</v>
      </c>
      <c r="H2258" s="358" t="s">
        <v>11</v>
      </c>
    </row>
    <row r="2259" spans="1:8" x14ac:dyDescent="0.3">
      <c r="A2259" t="s">
        <v>50</v>
      </c>
      <c r="B2259" t="s">
        <v>81</v>
      </c>
      <c r="C2259" t="s">
        <v>2074</v>
      </c>
      <c r="D2259">
        <v>1</v>
      </c>
      <c r="E2259" s="358">
        <v>6</v>
      </c>
      <c r="F2259" s="358" t="s">
        <v>7</v>
      </c>
      <c r="G2259" s="358" t="s">
        <v>11</v>
      </c>
      <c r="H2259" s="358" t="s">
        <v>11</v>
      </c>
    </row>
    <row r="2260" spans="1:8" x14ac:dyDescent="0.3">
      <c r="A2260" t="s">
        <v>50</v>
      </c>
      <c r="B2260" t="s">
        <v>81</v>
      </c>
      <c r="C2260" t="s">
        <v>2349</v>
      </c>
      <c r="D2260">
        <v>1</v>
      </c>
      <c r="E2260" s="358">
        <v>5</v>
      </c>
      <c r="F2260" s="358" t="s">
        <v>7</v>
      </c>
      <c r="G2260" s="358" t="s">
        <v>11</v>
      </c>
      <c r="H2260" s="358" t="s">
        <v>11</v>
      </c>
    </row>
    <row r="2261" spans="1:8" x14ac:dyDescent="0.3">
      <c r="A2261" t="s">
        <v>50</v>
      </c>
      <c r="B2261" t="s">
        <v>81</v>
      </c>
      <c r="C2261" t="s">
        <v>2700</v>
      </c>
      <c r="D2261">
        <v>1</v>
      </c>
      <c r="E2261" s="358">
        <v>5</v>
      </c>
      <c r="F2261" s="358" t="s">
        <v>7</v>
      </c>
      <c r="G2261" s="358" t="s">
        <v>11</v>
      </c>
      <c r="H2261" s="358" t="s">
        <v>11</v>
      </c>
    </row>
    <row r="2262" spans="1:8" x14ac:dyDescent="0.3">
      <c r="A2262" t="s">
        <v>50</v>
      </c>
      <c r="B2262" t="s">
        <v>81</v>
      </c>
      <c r="C2262" t="s">
        <v>2701</v>
      </c>
      <c r="D2262">
        <v>1</v>
      </c>
      <c r="E2262" s="358">
        <v>4</v>
      </c>
      <c r="F2262" s="358" t="s">
        <v>7</v>
      </c>
      <c r="G2262" s="358" t="s">
        <v>11</v>
      </c>
      <c r="H2262" s="358" t="s">
        <v>11</v>
      </c>
    </row>
    <row r="2263" spans="1:8" x14ac:dyDescent="0.3">
      <c r="A2263" t="s">
        <v>50</v>
      </c>
      <c r="B2263" t="s">
        <v>81</v>
      </c>
      <c r="C2263" t="s">
        <v>2702</v>
      </c>
      <c r="D2263">
        <v>1</v>
      </c>
      <c r="E2263" s="358">
        <v>5</v>
      </c>
      <c r="F2263" s="358" t="s">
        <v>7</v>
      </c>
      <c r="G2263" s="358" t="s">
        <v>11</v>
      </c>
      <c r="H2263" s="358" t="s">
        <v>11</v>
      </c>
    </row>
    <row r="2264" spans="1:8" x14ac:dyDescent="0.3">
      <c r="A2264" t="s">
        <v>50</v>
      </c>
      <c r="B2264" t="s">
        <v>81</v>
      </c>
      <c r="C2264" t="s">
        <v>2703</v>
      </c>
      <c r="D2264">
        <v>1</v>
      </c>
      <c r="E2264" s="358">
        <v>6</v>
      </c>
      <c r="F2264" s="358" t="s">
        <v>7</v>
      </c>
      <c r="G2264" s="358" t="s">
        <v>11</v>
      </c>
      <c r="H2264" s="358" t="s">
        <v>11</v>
      </c>
    </row>
    <row r="2265" spans="1:8" x14ac:dyDescent="0.3">
      <c r="A2265" t="s">
        <v>50</v>
      </c>
      <c r="B2265" t="s">
        <v>81</v>
      </c>
      <c r="C2265" t="s">
        <v>1810</v>
      </c>
      <c r="D2265">
        <v>1</v>
      </c>
      <c r="E2265" s="358">
        <v>5</v>
      </c>
      <c r="F2265" s="358" t="s">
        <v>7</v>
      </c>
      <c r="G2265" s="358" t="s">
        <v>11</v>
      </c>
      <c r="H2265" s="358" t="s">
        <v>11</v>
      </c>
    </row>
    <row r="2266" spans="1:8" x14ac:dyDescent="0.3">
      <c r="A2266" t="s">
        <v>50</v>
      </c>
      <c r="B2266" t="s">
        <v>81</v>
      </c>
      <c r="C2266" t="s">
        <v>1437</v>
      </c>
      <c r="D2266">
        <v>1</v>
      </c>
      <c r="E2266" s="358">
        <v>5</v>
      </c>
      <c r="F2266" s="358" t="s">
        <v>7</v>
      </c>
      <c r="G2266" s="358" t="s">
        <v>11</v>
      </c>
      <c r="H2266" s="358" t="s">
        <v>11</v>
      </c>
    </row>
    <row r="2267" spans="1:8" x14ac:dyDescent="0.3">
      <c r="A2267" t="s">
        <v>50</v>
      </c>
      <c r="B2267" t="s">
        <v>81</v>
      </c>
      <c r="C2267" t="s">
        <v>1440</v>
      </c>
      <c r="D2267">
        <v>2</v>
      </c>
      <c r="E2267" s="358">
        <v>5</v>
      </c>
      <c r="F2267" s="358" t="s">
        <v>7</v>
      </c>
      <c r="G2267" s="358" t="s">
        <v>11</v>
      </c>
      <c r="H2267" s="358" t="s">
        <v>11</v>
      </c>
    </row>
    <row r="2268" spans="1:8" x14ac:dyDescent="0.3">
      <c r="A2268" t="s">
        <v>50</v>
      </c>
      <c r="B2268" t="s">
        <v>81</v>
      </c>
      <c r="C2268" t="s">
        <v>1812</v>
      </c>
      <c r="D2268">
        <v>1</v>
      </c>
      <c r="E2268" s="358">
        <v>5</v>
      </c>
      <c r="F2268" s="358" t="s">
        <v>7</v>
      </c>
      <c r="G2268" s="358" t="s">
        <v>11</v>
      </c>
      <c r="H2268" s="358" t="s">
        <v>11</v>
      </c>
    </row>
    <row r="2269" spans="1:8" x14ac:dyDescent="0.3">
      <c r="A2269" t="s">
        <v>50</v>
      </c>
      <c r="B2269" t="s">
        <v>81</v>
      </c>
      <c r="C2269" t="s">
        <v>2704</v>
      </c>
      <c r="D2269">
        <v>1</v>
      </c>
      <c r="E2269" s="358">
        <v>5</v>
      </c>
      <c r="F2269" s="358" t="s">
        <v>7</v>
      </c>
      <c r="G2269" s="358" t="s">
        <v>11</v>
      </c>
      <c r="H2269" s="358" t="s">
        <v>11</v>
      </c>
    </row>
    <row r="2270" spans="1:8" x14ac:dyDescent="0.3">
      <c r="A2270" t="s">
        <v>50</v>
      </c>
      <c r="B2270" t="s">
        <v>81</v>
      </c>
      <c r="C2270" t="s">
        <v>1862</v>
      </c>
      <c r="D2270">
        <v>1</v>
      </c>
      <c r="E2270" s="358">
        <v>4</v>
      </c>
      <c r="F2270" s="358" t="s">
        <v>7</v>
      </c>
      <c r="G2270" s="358" t="s">
        <v>11</v>
      </c>
      <c r="H2270" s="358" t="s">
        <v>11</v>
      </c>
    </row>
    <row r="2271" spans="1:8" x14ac:dyDescent="0.3">
      <c r="A2271" t="s">
        <v>50</v>
      </c>
      <c r="B2271" t="s">
        <v>81</v>
      </c>
      <c r="C2271" t="s">
        <v>1955</v>
      </c>
      <c r="D2271">
        <v>2</v>
      </c>
      <c r="E2271" s="358">
        <v>6</v>
      </c>
      <c r="F2271" s="358" t="s">
        <v>7</v>
      </c>
      <c r="G2271" s="358" t="s">
        <v>11</v>
      </c>
      <c r="H2271" s="358" t="s">
        <v>11</v>
      </c>
    </row>
    <row r="2272" spans="1:8" x14ac:dyDescent="0.3">
      <c r="A2272" t="s">
        <v>50</v>
      </c>
      <c r="B2272" t="s">
        <v>81</v>
      </c>
      <c r="C2272" t="s">
        <v>2484</v>
      </c>
      <c r="D2272">
        <v>2</v>
      </c>
      <c r="E2272" s="358">
        <v>5</v>
      </c>
      <c r="F2272" s="358" t="s">
        <v>7</v>
      </c>
      <c r="G2272" s="358" t="s">
        <v>11</v>
      </c>
      <c r="H2272" s="358" t="s">
        <v>11</v>
      </c>
    </row>
    <row r="2273" spans="1:8" x14ac:dyDescent="0.3">
      <c r="A2273" t="s">
        <v>50</v>
      </c>
      <c r="B2273" t="s">
        <v>81</v>
      </c>
      <c r="C2273" t="s">
        <v>1343</v>
      </c>
      <c r="D2273">
        <v>2</v>
      </c>
      <c r="E2273" s="358">
        <v>5</v>
      </c>
      <c r="F2273" s="358" t="s">
        <v>7</v>
      </c>
      <c r="G2273" s="358" t="s">
        <v>11</v>
      </c>
      <c r="H2273" s="358" t="s">
        <v>11</v>
      </c>
    </row>
    <row r="2274" spans="1:8" x14ac:dyDescent="0.3">
      <c r="A2274" t="s">
        <v>50</v>
      </c>
      <c r="B2274" t="s">
        <v>81</v>
      </c>
      <c r="C2274" t="s">
        <v>2705</v>
      </c>
      <c r="D2274">
        <v>2</v>
      </c>
      <c r="E2274" s="358">
        <v>5</v>
      </c>
      <c r="F2274" s="358" t="s">
        <v>7</v>
      </c>
      <c r="G2274" s="358" t="s">
        <v>11</v>
      </c>
      <c r="H2274" s="358" t="s">
        <v>11</v>
      </c>
    </row>
    <row r="2275" spans="1:8" x14ac:dyDescent="0.3">
      <c r="A2275" t="s">
        <v>50</v>
      </c>
      <c r="B2275" t="s">
        <v>81</v>
      </c>
      <c r="C2275" t="s">
        <v>1344</v>
      </c>
      <c r="D2275">
        <v>1</v>
      </c>
      <c r="E2275" s="358">
        <v>5</v>
      </c>
      <c r="F2275" s="358" t="s">
        <v>7</v>
      </c>
      <c r="G2275" s="358" t="s">
        <v>11</v>
      </c>
      <c r="H2275" s="358" t="s">
        <v>11</v>
      </c>
    </row>
    <row r="2276" spans="1:8" x14ac:dyDescent="0.3">
      <c r="A2276" t="s">
        <v>50</v>
      </c>
      <c r="B2276" t="s">
        <v>81</v>
      </c>
      <c r="C2276" t="s">
        <v>1446</v>
      </c>
      <c r="D2276">
        <v>1</v>
      </c>
      <c r="E2276" s="358">
        <v>5</v>
      </c>
      <c r="F2276" s="358" t="s">
        <v>7</v>
      </c>
      <c r="G2276" s="358" t="s">
        <v>11</v>
      </c>
      <c r="H2276" s="358" t="s">
        <v>11</v>
      </c>
    </row>
    <row r="2277" spans="1:8" x14ac:dyDescent="0.3">
      <c r="A2277" t="s">
        <v>50</v>
      </c>
      <c r="B2277" t="s">
        <v>81</v>
      </c>
      <c r="C2277" t="s">
        <v>1346</v>
      </c>
      <c r="D2277">
        <v>2</v>
      </c>
      <c r="E2277" s="358">
        <v>5</v>
      </c>
      <c r="F2277" s="358" t="s">
        <v>7</v>
      </c>
      <c r="G2277" s="358" t="s">
        <v>11</v>
      </c>
      <c r="H2277" s="358" t="s">
        <v>11</v>
      </c>
    </row>
    <row r="2278" spans="1:8" x14ac:dyDescent="0.3">
      <c r="A2278" t="s">
        <v>50</v>
      </c>
      <c r="B2278" t="s">
        <v>81</v>
      </c>
      <c r="C2278" t="s">
        <v>2706</v>
      </c>
      <c r="D2278">
        <v>1</v>
      </c>
      <c r="E2278" s="358">
        <v>5</v>
      </c>
      <c r="F2278" s="358" t="s">
        <v>7</v>
      </c>
      <c r="G2278" s="358" t="s">
        <v>11</v>
      </c>
      <c r="H2278" s="358" t="s">
        <v>11</v>
      </c>
    </row>
    <row r="2279" spans="1:8" x14ac:dyDescent="0.3">
      <c r="A2279" t="s">
        <v>50</v>
      </c>
      <c r="B2279" t="s">
        <v>81</v>
      </c>
      <c r="C2279" t="s">
        <v>2707</v>
      </c>
      <c r="D2279">
        <v>1</v>
      </c>
      <c r="E2279" s="358">
        <v>5</v>
      </c>
      <c r="F2279" s="358" t="s">
        <v>7</v>
      </c>
      <c r="G2279" s="358" t="s">
        <v>11</v>
      </c>
      <c r="H2279" s="358" t="s">
        <v>11</v>
      </c>
    </row>
    <row r="2280" spans="1:8" x14ac:dyDescent="0.3">
      <c r="A2280" t="s">
        <v>50</v>
      </c>
      <c r="B2280" t="s">
        <v>81</v>
      </c>
      <c r="C2280" t="s">
        <v>1351</v>
      </c>
      <c r="D2280">
        <v>2</v>
      </c>
      <c r="E2280" s="358">
        <v>5</v>
      </c>
      <c r="F2280" s="358" t="s">
        <v>7</v>
      </c>
      <c r="G2280" s="358" t="s">
        <v>11</v>
      </c>
      <c r="H2280" s="358" t="s">
        <v>11</v>
      </c>
    </row>
    <row r="2281" spans="1:8" x14ac:dyDescent="0.3">
      <c r="A2281" t="s">
        <v>50</v>
      </c>
      <c r="B2281" t="s">
        <v>81</v>
      </c>
      <c r="C2281" t="s">
        <v>2708</v>
      </c>
      <c r="D2281">
        <v>1</v>
      </c>
      <c r="E2281" s="358">
        <v>5</v>
      </c>
      <c r="F2281" s="358" t="s">
        <v>7</v>
      </c>
      <c r="G2281" s="358" t="s">
        <v>11</v>
      </c>
      <c r="H2281" s="358" t="s">
        <v>11</v>
      </c>
    </row>
    <row r="2282" spans="1:8" x14ac:dyDescent="0.3">
      <c r="A2282" t="s">
        <v>50</v>
      </c>
      <c r="B2282" t="s">
        <v>81</v>
      </c>
      <c r="C2282" t="s">
        <v>2709</v>
      </c>
      <c r="D2282">
        <v>1</v>
      </c>
      <c r="E2282" s="358">
        <v>5</v>
      </c>
      <c r="F2282" s="358" t="s">
        <v>7</v>
      </c>
      <c r="G2282" s="358" t="s">
        <v>11</v>
      </c>
      <c r="H2282" s="358" t="s">
        <v>11</v>
      </c>
    </row>
    <row r="2283" spans="1:8" x14ac:dyDescent="0.3">
      <c r="A2283" t="s">
        <v>50</v>
      </c>
      <c r="B2283" t="s">
        <v>81</v>
      </c>
      <c r="C2283" t="s">
        <v>2407</v>
      </c>
      <c r="D2283">
        <v>1</v>
      </c>
      <c r="E2283" s="358">
        <v>5</v>
      </c>
      <c r="F2283" s="358" t="s">
        <v>7</v>
      </c>
      <c r="G2283" s="358" t="s">
        <v>11</v>
      </c>
      <c r="H2283" s="358" t="s">
        <v>11</v>
      </c>
    </row>
    <row r="2284" spans="1:8" x14ac:dyDescent="0.3">
      <c r="A2284" t="s">
        <v>50</v>
      </c>
      <c r="B2284" t="s">
        <v>81</v>
      </c>
      <c r="C2284" t="s">
        <v>1354</v>
      </c>
      <c r="D2284">
        <v>2</v>
      </c>
      <c r="E2284" s="358">
        <v>5</v>
      </c>
      <c r="F2284" s="358" t="s">
        <v>7</v>
      </c>
      <c r="G2284" s="358" t="s">
        <v>11</v>
      </c>
      <c r="H2284" s="358" t="s">
        <v>11</v>
      </c>
    </row>
    <row r="2285" spans="1:8" x14ac:dyDescent="0.3">
      <c r="A2285" t="s">
        <v>50</v>
      </c>
      <c r="B2285" t="s">
        <v>81</v>
      </c>
      <c r="C2285" t="s">
        <v>2710</v>
      </c>
      <c r="D2285">
        <v>1</v>
      </c>
      <c r="E2285" s="358">
        <v>5</v>
      </c>
      <c r="F2285" s="358" t="s">
        <v>7</v>
      </c>
      <c r="G2285" s="358" t="s">
        <v>11</v>
      </c>
      <c r="H2285" s="358" t="s">
        <v>11</v>
      </c>
    </row>
    <row r="2286" spans="1:8" x14ac:dyDescent="0.3">
      <c r="A2286" t="s">
        <v>50</v>
      </c>
      <c r="B2286" t="s">
        <v>81</v>
      </c>
      <c r="C2286" t="s">
        <v>2711</v>
      </c>
      <c r="D2286">
        <v>1</v>
      </c>
      <c r="E2286" s="358">
        <v>5</v>
      </c>
      <c r="F2286" s="358" t="s">
        <v>7</v>
      </c>
      <c r="G2286" s="358" t="s">
        <v>11</v>
      </c>
      <c r="H2286" s="358" t="s">
        <v>11</v>
      </c>
    </row>
    <row r="2287" spans="1:8" x14ac:dyDescent="0.3">
      <c r="A2287" t="s">
        <v>50</v>
      </c>
      <c r="B2287" t="s">
        <v>81</v>
      </c>
      <c r="C2287" t="s">
        <v>2712</v>
      </c>
      <c r="D2287">
        <v>1</v>
      </c>
      <c r="E2287" s="358">
        <v>5</v>
      </c>
      <c r="F2287" s="358" t="s">
        <v>7</v>
      </c>
      <c r="G2287" s="358" t="s">
        <v>11</v>
      </c>
      <c r="H2287" s="358" t="s">
        <v>11</v>
      </c>
    </row>
    <row r="2288" spans="1:8" x14ac:dyDescent="0.3">
      <c r="A2288" t="s">
        <v>50</v>
      </c>
      <c r="B2288" t="s">
        <v>81</v>
      </c>
      <c r="C2288" t="s">
        <v>2713</v>
      </c>
      <c r="D2288">
        <v>1</v>
      </c>
      <c r="E2288" s="358">
        <v>5</v>
      </c>
      <c r="F2288" s="358" t="s">
        <v>7</v>
      </c>
      <c r="G2288" s="358" t="s">
        <v>11</v>
      </c>
      <c r="H2288" s="358" t="s">
        <v>11</v>
      </c>
    </row>
    <row r="2289" spans="1:8" x14ac:dyDescent="0.3">
      <c r="A2289" t="s">
        <v>50</v>
      </c>
      <c r="B2289" t="s">
        <v>81</v>
      </c>
      <c r="C2289" t="s">
        <v>2714</v>
      </c>
      <c r="D2289">
        <v>2</v>
      </c>
      <c r="E2289" s="358">
        <v>6</v>
      </c>
      <c r="F2289" s="358" t="s">
        <v>7</v>
      </c>
      <c r="G2289" s="358" t="s">
        <v>11</v>
      </c>
      <c r="H2289" s="358" t="s">
        <v>11</v>
      </c>
    </row>
    <row r="2290" spans="1:8" x14ac:dyDescent="0.3">
      <c r="A2290" t="s">
        <v>50</v>
      </c>
      <c r="B2290" t="s">
        <v>81</v>
      </c>
      <c r="C2290" t="s">
        <v>1838</v>
      </c>
      <c r="D2290">
        <v>2</v>
      </c>
      <c r="E2290" s="358">
        <v>5</v>
      </c>
      <c r="F2290" s="358" t="s">
        <v>7</v>
      </c>
      <c r="G2290" s="358" t="s">
        <v>11</v>
      </c>
      <c r="H2290" s="358" t="s">
        <v>11</v>
      </c>
    </row>
    <row r="2291" spans="1:8" x14ac:dyDescent="0.3">
      <c r="A2291" t="s">
        <v>50</v>
      </c>
      <c r="B2291" t="s">
        <v>81</v>
      </c>
      <c r="C2291" t="s">
        <v>2715</v>
      </c>
      <c r="D2291">
        <v>1</v>
      </c>
      <c r="E2291" s="358">
        <v>5</v>
      </c>
      <c r="F2291" s="358" t="s">
        <v>7</v>
      </c>
      <c r="G2291" s="358" t="s">
        <v>11</v>
      </c>
      <c r="H2291" s="358" t="s">
        <v>11</v>
      </c>
    </row>
    <row r="2292" spans="1:8" x14ac:dyDescent="0.3">
      <c r="A2292" t="s">
        <v>50</v>
      </c>
      <c r="B2292" t="s">
        <v>81</v>
      </c>
      <c r="C2292" t="s">
        <v>1364</v>
      </c>
      <c r="D2292">
        <v>1</v>
      </c>
      <c r="E2292" s="358">
        <v>5</v>
      </c>
      <c r="F2292" s="358" t="s">
        <v>7</v>
      </c>
      <c r="G2292" s="358" t="s">
        <v>11</v>
      </c>
      <c r="H2292" s="358" t="s">
        <v>11</v>
      </c>
    </row>
    <row r="2293" spans="1:8" x14ac:dyDescent="0.3">
      <c r="A2293" t="s">
        <v>50</v>
      </c>
      <c r="B2293" t="s">
        <v>81</v>
      </c>
      <c r="C2293" t="s">
        <v>1365</v>
      </c>
      <c r="D2293">
        <v>1</v>
      </c>
      <c r="E2293" s="358">
        <v>4</v>
      </c>
      <c r="F2293" s="358" t="s">
        <v>7</v>
      </c>
      <c r="G2293" s="358" t="s">
        <v>11</v>
      </c>
      <c r="H2293" s="358" t="s">
        <v>11</v>
      </c>
    </row>
    <row r="2294" spans="1:8" x14ac:dyDescent="0.3">
      <c r="A2294" t="s">
        <v>50</v>
      </c>
      <c r="B2294" t="s">
        <v>81</v>
      </c>
      <c r="C2294" t="s">
        <v>2716</v>
      </c>
      <c r="D2294">
        <v>1</v>
      </c>
      <c r="E2294" s="358">
        <v>5</v>
      </c>
      <c r="F2294" s="358" t="s">
        <v>7</v>
      </c>
      <c r="G2294" s="358" t="s">
        <v>11</v>
      </c>
      <c r="H2294" s="358" t="s">
        <v>11</v>
      </c>
    </row>
    <row r="2295" spans="1:8" x14ac:dyDescent="0.3">
      <c r="A2295" t="s">
        <v>50</v>
      </c>
      <c r="B2295" t="s">
        <v>81</v>
      </c>
      <c r="C2295" t="s">
        <v>2547</v>
      </c>
      <c r="D2295">
        <v>1</v>
      </c>
      <c r="E2295" s="358">
        <v>5</v>
      </c>
      <c r="F2295" s="358" t="s">
        <v>7</v>
      </c>
      <c r="G2295" s="358" t="s">
        <v>11</v>
      </c>
      <c r="H2295" s="358" t="s">
        <v>11</v>
      </c>
    </row>
    <row r="2296" spans="1:8" x14ac:dyDescent="0.3">
      <c r="A2296" t="s">
        <v>50</v>
      </c>
      <c r="B2296" t="s">
        <v>81</v>
      </c>
      <c r="C2296" t="s">
        <v>2717</v>
      </c>
      <c r="D2296">
        <v>1</v>
      </c>
      <c r="E2296" s="358">
        <v>5</v>
      </c>
      <c r="F2296" s="358" t="s">
        <v>7</v>
      </c>
      <c r="G2296" s="358" t="s">
        <v>11</v>
      </c>
      <c r="H2296" s="358" t="s">
        <v>11</v>
      </c>
    </row>
    <row r="2297" spans="1:8" x14ac:dyDescent="0.3">
      <c r="A2297" t="s">
        <v>50</v>
      </c>
      <c r="B2297" t="s">
        <v>81</v>
      </c>
      <c r="C2297" t="s">
        <v>1367</v>
      </c>
      <c r="D2297">
        <v>1</v>
      </c>
      <c r="E2297" s="358">
        <v>5</v>
      </c>
      <c r="F2297" s="358" t="s">
        <v>7</v>
      </c>
      <c r="G2297" s="358" t="s">
        <v>11</v>
      </c>
      <c r="H2297" s="358" t="s">
        <v>11</v>
      </c>
    </row>
    <row r="2298" spans="1:8" x14ac:dyDescent="0.3">
      <c r="A2298" t="s">
        <v>50</v>
      </c>
      <c r="B2298" t="s">
        <v>81</v>
      </c>
      <c r="C2298" t="s">
        <v>2718</v>
      </c>
      <c r="D2298">
        <v>3</v>
      </c>
      <c r="E2298" s="358">
        <v>4</v>
      </c>
      <c r="F2298" s="358" t="s">
        <v>7</v>
      </c>
      <c r="G2298" s="358" t="s">
        <v>11</v>
      </c>
      <c r="H2298" s="358" t="s">
        <v>11</v>
      </c>
    </row>
    <row r="2299" spans="1:8" x14ac:dyDescent="0.3">
      <c r="A2299" t="s">
        <v>50</v>
      </c>
      <c r="B2299" t="s">
        <v>81</v>
      </c>
      <c r="C2299" t="s">
        <v>1369</v>
      </c>
      <c r="D2299">
        <v>2</v>
      </c>
      <c r="E2299" s="358">
        <v>5</v>
      </c>
      <c r="F2299" s="358" t="s">
        <v>7</v>
      </c>
      <c r="G2299" s="358" t="s">
        <v>11</v>
      </c>
      <c r="H2299" s="358" t="s">
        <v>11</v>
      </c>
    </row>
    <row r="2300" spans="1:8" x14ac:dyDescent="0.3">
      <c r="A2300" t="s">
        <v>50</v>
      </c>
      <c r="B2300" t="s">
        <v>81</v>
      </c>
      <c r="C2300" t="s">
        <v>2719</v>
      </c>
      <c r="D2300">
        <v>2</v>
      </c>
      <c r="E2300" s="358">
        <v>6</v>
      </c>
      <c r="F2300" s="358" t="s">
        <v>7</v>
      </c>
      <c r="G2300" s="358" t="s">
        <v>11</v>
      </c>
      <c r="H2300" s="358" t="s">
        <v>11</v>
      </c>
    </row>
    <row r="2301" spans="1:8" x14ac:dyDescent="0.3">
      <c r="A2301" t="s">
        <v>50</v>
      </c>
      <c r="B2301" t="s">
        <v>81</v>
      </c>
      <c r="C2301" t="s">
        <v>2720</v>
      </c>
      <c r="D2301">
        <v>1</v>
      </c>
      <c r="E2301" s="358">
        <v>5</v>
      </c>
      <c r="F2301" s="358" t="s">
        <v>7</v>
      </c>
      <c r="G2301" s="358" t="s">
        <v>11</v>
      </c>
      <c r="H2301" s="358" t="s">
        <v>11</v>
      </c>
    </row>
    <row r="2302" spans="1:8" x14ac:dyDescent="0.3">
      <c r="A2302" t="s">
        <v>50</v>
      </c>
      <c r="B2302" t="s">
        <v>81</v>
      </c>
      <c r="C2302" t="s">
        <v>2721</v>
      </c>
      <c r="D2302">
        <v>1</v>
      </c>
      <c r="E2302" s="358">
        <v>5</v>
      </c>
      <c r="F2302" s="358" t="s">
        <v>7</v>
      </c>
      <c r="G2302" s="358" t="s">
        <v>11</v>
      </c>
      <c r="H2302" s="358" t="s">
        <v>11</v>
      </c>
    </row>
    <row r="2303" spans="1:8" x14ac:dyDescent="0.3">
      <c r="A2303" t="s">
        <v>50</v>
      </c>
      <c r="B2303" t="s">
        <v>81</v>
      </c>
      <c r="C2303" t="s">
        <v>2118</v>
      </c>
      <c r="D2303">
        <v>2</v>
      </c>
      <c r="E2303" s="358">
        <v>5</v>
      </c>
      <c r="F2303" s="358" t="s">
        <v>7</v>
      </c>
      <c r="G2303" s="358" t="s">
        <v>11</v>
      </c>
      <c r="H2303" s="358" t="s">
        <v>11</v>
      </c>
    </row>
    <row r="2304" spans="1:8" x14ac:dyDescent="0.3">
      <c r="A2304" t="s">
        <v>50</v>
      </c>
      <c r="B2304" t="s">
        <v>81</v>
      </c>
      <c r="C2304" t="s">
        <v>1888</v>
      </c>
      <c r="D2304">
        <v>1</v>
      </c>
      <c r="E2304" s="358">
        <v>5</v>
      </c>
      <c r="F2304" s="358" t="s">
        <v>7</v>
      </c>
      <c r="G2304" s="358" t="s">
        <v>11</v>
      </c>
      <c r="H2304" s="358" t="s">
        <v>11</v>
      </c>
    </row>
    <row r="2305" spans="1:8" x14ac:dyDescent="0.3">
      <c r="A2305" t="s">
        <v>50</v>
      </c>
      <c r="B2305" t="s">
        <v>81</v>
      </c>
      <c r="C2305" t="s">
        <v>2722</v>
      </c>
      <c r="D2305">
        <v>1</v>
      </c>
      <c r="E2305" s="358">
        <v>6</v>
      </c>
      <c r="F2305" s="358" t="s">
        <v>7</v>
      </c>
      <c r="G2305" s="358" t="s">
        <v>11</v>
      </c>
      <c r="H2305" s="358" t="s">
        <v>11</v>
      </c>
    </row>
    <row r="2306" spans="1:8" x14ac:dyDescent="0.3">
      <c r="A2306" t="s">
        <v>50</v>
      </c>
      <c r="B2306" t="s">
        <v>81</v>
      </c>
      <c r="C2306" t="s">
        <v>2499</v>
      </c>
      <c r="D2306">
        <v>1</v>
      </c>
      <c r="E2306" s="358">
        <v>6</v>
      </c>
      <c r="F2306" s="358" t="s">
        <v>7</v>
      </c>
      <c r="G2306" s="358" t="s">
        <v>11</v>
      </c>
      <c r="H2306" s="358" t="s">
        <v>11</v>
      </c>
    </row>
    <row r="2307" spans="1:8" x14ac:dyDescent="0.3">
      <c r="A2307" t="s">
        <v>50</v>
      </c>
      <c r="B2307" t="s">
        <v>81</v>
      </c>
      <c r="C2307" t="s">
        <v>1479</v>
      </c>
      <c r="D2307">
        <v>1</v>
      </c>
      <c r="E2307" s="358">
        <v>5</v>
      </c>
      <c r="F2307" s="358" t="s">
        <v>7</v>
      </c>
      <c r="G2307" s="358" t="s">
        <v>11</v>
      </c>
      <c r="H2307" s="358" t="s">
        <v>11</v>
      </c>
    </row>
    <row r="2308" spans="1:8" x14ac:dyDescent="0.3">
      <c r="A2308" t="s">
        <v>50</v>
      </c>
      <c r="B2308" t="s">
        <v>81</v>
      </c>
      <c r="C2308" t="s">
        <v>2723</v>
      </c>
      <c r="D2308">
        <v>1</v>
      </c>
      <c r="E2308" s="358">
        <v>5</v>
      </c>
      <c r="F2308" s="358" t="s">
        <v>7</v>
      </c>
      <c r="G2308" s="358" t="s">
        <v>11</v>
      </c>
      <c r="H2308" s="358" t="s">
        <v>11</v>
      </c>
    </row>
    <row r="2309" spans="1:8" x14ac:dyDescent="0.3">
      <c r="A2309" t="s">
        <v>50</v>
      </c>
      <c r="B2309" t="s">
        <v>81</v>
      </c>
      <c r="C2309" t="s">
        <v>1757</v>
      </c>
      <c r="D2309">
        <v>2</v>
      </c>
      <c r="E2309" s="358">
        <v>5</v>
      </c>
      <c r="F2309" s="358" t="s">
        <v>7</v>
      </c>
      <c r="G2309" s="358" t="s">
        <v>11</v>
      </c>
      <c r="H2309" s="358" t="s">
        <v>11</v>
      </c>
    </row>
    <row r="2310" spans="1:8" x14ac:dyDescent="0.3">
      <c r="A2310" t="s">
        <v>50</v>
      </c>
      <c r="B2310" t="s">
        <v>81</v>
      </c>
      <c r="C2310" t="s">
        <v>1379</v>
      </c>
      <c r="D2310">
        <v>2</v>
      </c>
      <c r="E2310" s="358">
        <v>5</v>
      </c>
      <c r="F2310" s="358" t="s">
        <v>7</v>
      </c>
      <c r="G2310" s="358" t="s">
        <v>11</v>
      </c>
      <c r="H2310" s="358" t="s">
        <v>11</v>
      </c>
    </row>
    <row r="2311" spans="1:8" x14ac:dyDescent="0.3">
      <c r="A2311" t="s">
        <v>50</v>
      </c>
      <c r="B2311" t="s">
        <v>81</v>
      </c>
      <c r="C2311" t="s">
        <v>1758</v>
      </c>
      <c r="D2311">
        <v>2</v>
      </c>
      <c r="E2311" s="358">
        <v>6</v>
      </c>
      <c r="F2311" s="358" t="s">
        <v>7</v>
      </c>
      <c r="G2311" s="358" t="s">
        <v>11</v>
      </c>
      <c r="H2311" s="358" t="s">
        <v>11</v>
      </c>
    </row>
    <row r="2312" spans="1:8" x14ac:dyDescent="0.3">
      <c r="A2312" t="s">
        <v>50</v>
      </c>
      <c r="B2312" t="s">
        <v>81</v>
      </c>
      <c r="C2312" t="s">
        <v>2724</v>
      </c>
      <c r="D2312">
        <v>1</v>
      </c>
      <c r="E2312" s="358">
        <v>5</v>
      </c>
      <c r="F2312" s="358" t="s">
        <v>7</v>
      </c>
      <c r="G2312" s="358" t="s">
        <v>11</v>
      </c>
      <c r="H2312" s="358" t="s">
        <v>11</v>
      </c>
    </row>
    <row r="2313" spans="1:8" x14ac:dyDescent="0.3">
      <c r="A2313" t="s">
        <v>50</v>
      </c>
      <c r="B2313" t="s">
        <v>81</v>
      </c>
      <c r="C2313" t="s">
        <v>2503</v>
      </c>
      <c r="D2313">
        <v>1</v>
      </c>
      <c r="E2313" s="358">
        <v>5</v>
      </c>
      <c r="F2313" s="358" t="s">
        <v>7</v>
      </c>
      <c r="G2313" s="358" t="s">
        <v>11</v>
      </c>
      <c r="H2313" s="358" t="s">
        <v>11</v>
      </c>
    </row>
    <row r="2314" spans="1:8" x14ac:dyDescent="0.3">
      <c r="A2314" t="s">
        <v>50</v>
      </c>
      <c r="B2314" t="s">
        <v>81</v>
      </c>
      <c r="C2314" t="s">
        <v>2120</v>
      </c>
      <c r="D2314">
        <v>1</v>
      </c>
      <c r="E2314" s="358">
        <v>4</v>
      </c>
      <c r="F2314" s="358" t="s">
        <v>7</v>
      </c>
      <c r="G2314" s="358" t="s">
        <v>11</v>
      </c>
      <c r="H2314" s="358" t="s">
        <v>11</v>
      </c>
    </row>
    <row r="2315" spans="1:8" x14ac:dyDescent="0.3">
      <c r="A2315" t="s">
        <v>69</v>
      </c>
      <c r="C2315" t="s">
        <v>2725</v>
      </c>
      <c r="D2315">
        <v>2</v>
      </c>
      <c r="E2315" s="358">
        <v>1</v>
      </c>
      <c r="F2315" s="358" t="s">
        <v>7</v>
      </c>
      <c r="G2315" s="358" t="s">
        <v>115</v>
      </c>
      <c r="H2315" s="358" t="s">
        <v>3678</v>
      </c>
    </row>
    <row r="2316" spans="1:8" x14ac:dyDescent="0.3">
      <c r="A2316" t="s">
        <v>51</v>
      </c>
      <c r="B2316" t="s">
        <v>102</v>
      </c>
      <c r="C2316" t="s">
        <v>2140</v>
      </c>
      <c r="D2316">
        <v>3</v>
      </c>
      <c r="E2316" s="358">
        <v>5</v>
      </c>
      <c r="F2316" s="358" t="s">
        <v>7</v>
      </c>
      <c r="G2316" s="358" t="s">
        <v>11</v>
      </c>
      <c r="H2316" s="358" t="s">
        <v>11</v>
      </c>
    </row>
    <row r="2317" spans="1:8" x14ac:dyDescent="0.3">
      <c r="A2317" t="s">
        <v>51</v>
      </c>
      <c r="B2317" t="s">
        <v>102</v>
      </c>
      <c r="C2317" t="s">
        <v>1603</v>
      </c>
      <c r="D2317">
        <v>1</v>
      </c>
      <c r="E2317" s="358">
        <v>5</v>
      </c>
      <c r="F2317" s="358" t="s">
        <v>7</v>
      </c>
      <c r="G2317" s="358" t="s">
        <v>11</v>
      </c>
      <c r="H2317" s="358" t="s">
        <v>11</v>
      </c>
    </row>
    <row r="2318" spans="1:8" x14ac:dyDescent="0.3">
      <c r="A2318" t="s">
        <v>51</v>
      </c>
      <c r="B2318" t="s">
        <v>102</v>
      </c>
      <c r="C2318" t="s">
        <v>2726</v>
      </c>
      <c r="D2318">
        <v>2</v>
      </c>
      <c r="E2318" s="358">
        <v>5</v>
      </c>
      <c r="F2318" s="358" t="s">
        <v>7</v>
      </c>
      <c r="G2318" s="358" t="s">
        <v>11</v>
      </c>
      <c r="H2318" s="358" t="s">
        <v>11</v>
      </c>
    </row>
    <row r="2319" spans="1:8" x14ac:dyDescent="0.3">
      <c r="A2319" t="s">
        <v>51</v>
      </c>
      <c r="B2319" t="s">
        <v>102</v>
      </c>
      <c r="C2319" t="s">
        <v>2727</v>
      </c>
      <c r="D2319">
        <v>2</v>
      </c>
      <c r="E2319" s="358">
        <v>5</v>
      </c>
      <c r="F2319" s="358" t="s">
        <v>7</v>
      </c>
      <c r="G2319" s="358" t="s">
        <v>11</v>
      </c>
      <c r="H2319" s="358" t="s">
        <v>11</v>
      </c>
    </row>
    <row r="2320" spans="1:8" x14ac:dyDescent="0.3">
      <c r="A2320" t="s">
        <v>51</v>
      </c>
      <c r="B2320" t="s">
        <v>102</v>
      </c>
      <c r="C2320" t="s">
        <v>1379</v>
      </c>
      <c r="D2320">
        <v>1</v>
      </c>
      <c r="E2320" s="358">
        <v>5</v>
      </c>
      <c r="F2320" s="358" t="s">
        <v>7</v>
      </c>
      <c r="G2320" s="358" t="s">
        <v>11</v>
      </c>
      <c r="H2320" s="358" t="s">
        <v>11</v>
      </c>
    </row>
    <row r="2321" spans="1:8" x14ac:dyDescent="0.3">
      <c r="A2321" t="s">
        <v>52</v>
      </c>
      <c r="B2321" t="s">
        <v>118</v>
      </c>
      <c r="C2321" t="s">
        <v>2728</v>
      </c>
      <c r="D2321">
        <v>2</v>
      </c>
      <c r="E2321" s="358">
        <v>3</v>
      </c>
      <c r="F2321" s="358" t="s">
        <v>7</v>
      </c>
      <c r="G2321" s="358" t="s">
        <v>11</v>
      </c>
      <c r="H2321" s="358" t="s">
        <v>11</v>
      </c>
    </row>
    <row r="2322" spans="1:8" x14ac:dyDescent="0.3">
      <c r="A2322" t="s">
        <v>52</v>
      </c>
      <c r="B2322" t="s">
        <v>118</v>
      </c>
      <c r="C2322" t="s">
        <v>2729</v>
      </c>
      <c r="D2322">
        <v>3</v>
      </c>
      <c r="E2322" s="358">
        <v>3</v>
      </c>
      <c r="F2322" s="358" t="s">
        <v>7</v>
      </c>
      <c r="G2322" s="358" t="s">
        <v>11</v>
      </c>
      <c r="H2322" s="358" t="s">
        <v>11</v>
      </c>
    </row>
    <row r="2323" spans="1:8" x14ac:dyDescent="0.3">
      <c r="A2323" t="s">
        <v>52</v>
      </c>
      <c r="B2323" t="s">
        <v>118</v>
      </c>
      <c r="C2323" t="s">
        <v>2730</v>
      </c>
      <c r="D2323">
        <v>3</v>
      </c>
      <c r="E2323" s="358">
        <v>3</v>
      </c>
      <c r="F2323" s="358" t="s">
        <v>7</v>
      </c>
      <c r="G2323" s="358" t="s">
        <v>115</v>
      </c>
      <c r="H2323" s="358" t="s">
        <v>11</v>
      </c>
    </row>
    <row r="2324" spans="1:8" x14ac:dyDescent="0.3">
      <c r="A2324" t="s">
        <v>52</v>
      </c>
      <c r="B2324" t="s">
        <v>118</v>
      </c>
      <c r="C2324" t="s">
        <v>1943</v>
      </c>
      <c r="D2324">
        <v>2</v>
      </c>
      <c r="E2324" s="358">
        <v>3</v>
      </c>
      <c r="F2324" s="358" t="s">
        <v>7</v>
      </c>
      <c r="G2324" s="358" t="s">
        <v>11</v>
      </c>
      <c r="H2324" s="358" t="s">
        <v>11</v>
      </c>
    </row>
    <row r="2325" spans="1:8" x14ac:dyDescent="0.3">
      <c r="A2325" t="s">
        <v>52</v>
      </c>
      <c r="B2325" t="s">
        <v>118</v>
      </c>
      <c r="C2325" t="s">
        <v>2731</v>
      </c>
      <c r="D2325">
        <v>3</v>
      </c>
      <c r="E2325" s="358">
        <v>3</v>
      </c>
      <c r="F2325" s="358" t="s">
        <v>7</v>
      </c>
      <c r="G2325" s="358" t="s">
        <v>115</v>
      </c>
      <c r="H2325" s="358" t="s">
        <v>11</v>
      </c>
    </row>
    <row r="2326" spans="1:8" x14ac:dyDescent="0.3">
      <c r="A2326" t="s">
        <v>52</v>
      </c>
      <c r="B2326" t="s">
        <v>118</v>
      </c>
      <c r="C2326" t="s">
        <v>2732</v>
      </c>
      <c r="D2326">
        <v>3</v>
      </c>
      <c r="E2326" s="358">
        <v>3</v>
      </c>
      <c r="F2326" s="358" t="s">
        <v>7</v>
      </c>
      <c r="G2326" s="358" t="s">
        <v>115</v>
      </c>
      <c r="H2326" s="358" t="s">
        <v>11</v>
      </c>
    </row>
    <row r="2327" spans="1:8" x14ac:dyDescent="0.3">
      <c r="A2327" t="s">
        <v>52</v>
      </c>
      <c r="B2327" t="s">
        <v>118</v>
      </c>
      <c r="C2327" t="s">
        <v>2510</v>
      </c>
      <c r="D2327">
        <v>3</v>
      </c>
      <c r="E2327" s="358">
        <v>3</v>
      </c>
      <c r="F2327" s="358" t="s">
        <v>7</v>
      </c>
      <c r="G2327" s="358" t="s">
        <v>115</v>
      </c>
      <c r="H2327" s="358" t="s">
        <v>11</v>
      </c>
    </row>
    <row r="2328" spans="1:8" x14ac:dyDescent="0.3">
      <c r="A2328" t="s">
        <v>52</v>
      </c>
      <c r="B2328" t="s">
        <v>118</v>
      </c>
      <c r="C2328" t="s">
        <v>2733</v>
      </c>
      <c r="D2328">
        <v>3</v>
      </c>
      <c r="E2328" s="358">
        <v>3</v>
      </c>
      <c r="F2328" s="358" t="s">
        <v>7</v>
      </c>
      <c r="G2328" s="358" t="s">
        <v>115</v>
      </c>
      <c r="H2328" s="358" t="s">
        <v>11</v>
      </c>
    </row>
    <row r="2329" spans="1:8" x14ac:dyDescent="0.3">
      <c r="A2329" t="s">
        <v>52</v>
      </c>
      <c r="B2329" t="s">
        <v>118</v>
      </c>
      <c r="C2329" t="s">
        <v>1322</v>
      </c>
      <c r="D2329">
        <v>3</v>
      </c>
      <c r="E2329" s="358">
        <v>3</v>
      </c>
      <c r="F2329" s="358" t="s">
        <v>7</v>
      </c>
      <c r="G2329" s="358" t="s">
        <v>11</v>
      </c>
      <c r="H2329" s="358" t="s">
        <v>11</v>
      </c>
    </row>
    <row r="2330" spans="1:8" x14ac:dyDescent="0.3">
      <c r="A2330" t="s">
        <v>52</v>
      </c>
      <c r="B2330" t="s">
        <v>118</v>
      </c>
      <c r="C2330" t="s">
        <v>2734</v>
      </c>
      <c r="D2330">
        <v>3</v>
      </c>
      <c r="E2330" s="358">
        <v>3</v>
      </c>
      <c r="F2330" s="358" t="s">
        <v>7</v>
      </c>
      <c r="G2330" s="358" t="s">
        <v>115</v>
      </c>
      <c r="H2330" s="358" t="s">
        <v>11</v>
      </c>
    </row>
    <row r="2331" spans="1:8" x14ac:dyDescent="0.3">
      <c r="A2331" t="s">
        <v>52</v>
      </c>
      <c r="B2331" t="s">
        <v>118</v>
      </c>
      <c r="C2331" t="s">
        <v>1324</v>
      </c>
      <c r="D2331">
        <v>2</v>
      </c>
      <c r="E2331" s="358">
        <v>3</v>
      </c>
      <c r="F2331" s="358" t="s">
        <v>7</v>
      </c>
      <c r="G2331" s="358" t="s">
        <v>11</v>
      </c>
      <c r="H2331" s="358" t="s">
        <v>11</v>
      </c>
    </row>
    <row r="2332" spans="1:8" x14ac:dyDescent="0.3">
      <c r="A2332" t="s">
        <v>52</v>
      </c>
      <c r="B2332" t="s">
        <v>118</v>
      </c>
      <c r="C2332" t="s">
        <v>2701</v>
      </c>
      <c r="D2332">
        <v>3</v>
      </c>
      <c r="E2332" s="358">
        <v>3</v>
      </c>
      <c r="F2332" s="358" t="s">
        <v>7</v>
      </c>
      <c r="G2332" s="358" t="s">
        <v>11</v>
      </c>
      <c r="H2332" s="358" t="s">
        <v>11</v>
      </c>
    </row>
    <row r="2333" spans="1:8" x14ac:dyDescent="0.3">
      <c r="A2333" t="s">
        <v>52</v>
      </c>
      <c r="B2333" t="s">
        <v>118</v>
      </c>
      <c r="C2333" t="s">
        <v>2735</v>
      </c>
      <c r="D2333">
        <v>3</v>
      </c>
      <c r="E2333" s="358">
        <v>3</v>
      </c>
      <c r="F2333" s="358" t="s">
        <v>7</v>
      </c>
      <c r="G2333" s="358" t="s">
        <v>11</v>
      </c>
      <c r="H2333" s="358" t="s">
        <v>11</v>
      </c>
    </row>
    <row r="2334" spans="1:8" x14ac:dyDescent="0.3">
      <c r="A2334" t="s">
        <v>52</v>
      </c>
      <c r="B2334" t="s">
        <v>118</v>
      </c>
      <c r="C2334" t="s">
        <v>2736</v>
      </c>
      <c r="D2334">
        <v>3</v>
      </c>
      <c r="E2334" s="358">
        <v>3</v>
      </c>
      <c r="F2334" s="358" t="s">
        <v>7</v>
      </c>
      <c r="G2334" s="358" t="s">
        <v>11</v>
      </c>
      <c r="H2334" s="358" t="s">
        <v>11</v>
      </c>
    </row>
    <row r="2335" spans="1:8" x14ac:dyDescent="0.3">
      <c r="A2335" t="s">
        <v>52</v>
      </c>
      <c r="B2335" t="s">
        <v>118</v>
      </c>
      <c r="C2335" t="s">
        <v>2737</v>
      </c>
      <c r="D2335">
        <v>3</v>
      </c>
      <c r="E2335" s="358">
        <v>3</v>
      </c>
      <c r="F2335" s="358" t="s">
        <v>7</v>
      </c>
      <c r="G2335" s="358" t="s">
        <v>115</v>
      </c>
      <c r="H2335" s="358" t="s">
        <v>11</v>
      </c>
    </row>
    <row r="2336" spans="1:8" x14ac:dyDescent="0.3">
      <c r="A2336" t="s">
        <v>52</v>
      </c>
      <c r="B2336" t="s">
        <v>118</v>
      </c>
      <c r="C2336" t="s">
        <v>2738</v>
      </c>
      <c r="D2336">
        <v>3</v>
      </c>
      <c r="E2336" s="358">
        <v>3</v>
      </c>
      <c r="F2336" s="358" t="s">
        <v>7</v>
      </c>
      <c r="G2336" s="358" t="s">
        <v>11</v>
      </c>
      <c r="H2336" s="358" t="s">
        <v>11</v>
      </c>
    </row>
    <row r="2337" spans="1:8" x14ac:dyDescent="0.3">
      <c r="A2337" t="s">
        <v>52</v>
      </c>
      <c r="B2337" t="s">
        <v>118</v>
      </c>
      <c r="C2337" t="s">
        <v>2739</v>
      </c>
      <c r="D2337">
        <v>3</v>
      </c>
      <c r="E2337" s="358">
        <v>3</v>
      </c>
      <c r="F2337" s="358" t="s">
        <v>7</v>
      </c>
      <c r="G2337" s="358" t="s">
        <v>11</v>
      </c>
      <c r="H2337" s="358" t="s">
        <v>11</v>
      </c>
    </row>
    <row r="2338" spans="1:8" x14ac:dyDescent="0.3">
      <c r="A2338" t="s">
        <v>52</v>
      </c>
      <c r="B2338" t="s">
        <v>118</v>
      </c>
      <c r="C2338" t="s">
        <v>2129</v>
      </c>
      <c r="D2338">
        <v>3</v>
      </c>
      <c r="E2338" s="358">
        <v>3</v>
      </c>
      <c r="F2338" s="358" t="s">
        <v>7</v>
      </c>
      <c r="G2338" s="358" t="s">
        <v>115</v>
      </c>
      <c r="H2338" s="358" t="s">
        <v>11</v>
      </c>
    </row>
    <row r="2339" spans="1:8" x14ac:dyDescent="0.3">
      <c r="A2339" t="s">
        <v>52</v>
      </c>
      <c r="B2339" t="s">
        <v>118</v>
      </c>
      <c r="C2339" t="s">
        <v>2740</v>
      </c>
      <c r="D2339">
        <v>3</v>
      </c>
      <c r="E2339" s="358">
        <v>3</v>
      </c>
      <c r="F2339" s="358" t="s">
        <v>7</v>
      </c>
      <c r="G2339" s="358" t="s">
        <v>11</v>
      </c>
      <c r="H2339" s="358" t="s">
        <v>11</v>
      </c>
    </row>
    <row r="2340" spans="1:8" x14ac:dyDescent="0.3">
      <c r="A2340" t="s">
        <v>52</v>
      </c>
      <c r="B2340" t="s">
        <v>118</v>
      </c>
      <c r="C2340" t="s">
        <v>1595</v>
      </c>
      <c r="D2340">
        <v>3</v>
      </c>
      <c r="E2340" s="358">
        <v>3</v>
      </c>
      <c r="F2340" s="358" t="s">
        <v>7</v>
      </c>
      <c r="G2340" s="358" t="s">
        <v>11</v>
      </c>
      <c r="H2340" s="358" t="s">
        <v>11</v>
      </c>
    </row>
    <row r="2341" spans="1:8" x14ac:dyDescent="0.3">
      <c r="A2341" t="s">
        <v>52</v>
      </c>
      <c r="B2341" t="s">
        <v>118</v>
      </c>
      <c r="C2341" t="s">
        <v>2741</v>
      </c>
      <c r="D2341">
        <v>3</v>
      </c>
      <c r="E2341" s="358">
        <v>3</v>
      </c>
      <c r="F2341" s="358" t="s">
        <v>7</v>
      </c>
      <c r="G2341" s="358" t="s">
        <v>11</v>
      </c>
      <c r="H2341" s="358" t="s">
        <v>11</v>
      </c>
    </row>
    <row r="2342" spans="1:8" x14ac:dyDescent="0.3">
      <c r="A2342" t="s">
        <v>52</v>
      </c>
      <c r="B2342" t="s">
        <v>118</v>
      </c>
      <c r="C2342" t="s">
        <v>2742</v>
      </c>
      <c r="D2342">
        <v>3</v>
      </c>
      <c r="E2342" s="358">
        <v>3</v>
      </c>
      <c r="F2342" s="358" t="s">
        <v>7</v>
      </c>
      <c r="G2342" s="358" t="s">
        <v>115</v>
      </c>
      <c r="H2342" s="358" t="s">
        <v>11</v>
      </c>
    </row>
    <row r="2343" spans="1:8" x14ac:dyDescent="0.3">
      <c r="A2343" t="s">
        <v>52</v>
      </c>
      <c r="B2343" t="s">
        <v>118</v>
      </c>
      <c r="C2343" t="s">
        <v>2743</v>
      </c>
      <c r="D2343">
        <v>1</v>
      </c>
      <c r="E2343" s="358">
        <v>3</v>
      </c>
      <c r="F2343" s="358" t="s">
        <v>7</v>
      </c>
      <c r="G2343" s="358" t="s">
        <v>11</v>
      </c>
      <c r="H2343" s="358" t="s">
        <v>11</v>
      </c>
    </row>
    <row r="2344" spans="1:8" x14ac:dyDescent="0.3">
      <c r="A2344" t="s">
        <v>52</v>
      </c>
      <c r="B2344" t="s">
        <v>118</v>
      </c>
      <c r="C2344" t="s">
        <v>1963</v>
      </c>
      <c r="D2344">
        <v>3</v>
      </c>
      <c r="E2344" s="358">
        <v>3</v>
      </c>
      <c r="F2344" s="358" t="s">
        <v>7</v>
      </c>
      <c r="G2344" s="358" t="s">
        <v>11</v>
      </c>
      <c r="H2344" s="358" t="s">
        <v>11</v>
      </c>
    </row>
    <row r="2345" spans="1:8" x14ac:dyDescent="0.3">
      <c r="A2345" t="s">
        <v>52</v>
      </c>
      <c r="B2345" t="s">
        <v>118</v>
      </c>
      <c r="C2345" t="s">
        <v>2744</v>
      </c>
      <c r="D2345">
        <v>3</v>
      </c>
      <c r="E2345" s="358">
        <v>3</v>
      </c>
      <c r="F2345" s="358" t="s">
        <v>7</v>
      </c>
      <c r="G2345" s="358" t="s">
        <v>115</v>
      </c>
      <c r="H2345" s="358" t="s">
        <v>11</v>
      </c>
    </row>
    <row r="2346" spans="1:8" x14ac:dyDescent="0.3">
      <c r="A2346" t="s">
        <v>52</v>
      </c>
      <c r="B2346" t="s">
        <v>118</v>
      </c>
      <c r="C2346" t="s">
        <v>2745</v>
      </c>
      <c r="D2346">
        <v>3</v>
      </c>
      <c r="E2346" s="358">
        <v>3</v>
      </c>
      <c r="F2346" s="358" t="s">
        <v>7</v>
      </c>
      <c r="G2346" s="358" t="s">
        <v>115</v>
      </c>
      <c r="H2346" s="358" t="s">
        <v>11</v>
      </c>
    </row>
    <row r="2347" spans="1:8" x14ac:dyDescent="0.3">
      <c r="A2347" t="s">
        <v>52</v>
      </c>
      <c r="B2347" t="s">
        <v>118</v>
      </c>
      <c r="C2347" t="s">
        <v>1714</v>
      </c>
      <c r="D2347">
        <v>3</v>
      </c>
      <c r="E2347" s="358">
        <v>3</v>
      </c>
      <c r="F2347" s="358" t="s">
        <v>7</v>
      </c>
      <c r="G2347" s="358" t="s">
        <v>115</v>
      </c>
      <c r="H2347" s="358" t="s">
        <v>11</v>
      </c>
    </row>
    <row r="2348" spans="1:8" x14ac:dyDescent="0.3">
      <c r="A2348" t="s">
        <v>52</v>
      </c>
      <c r="B2348" t="s">
        <v>118</v>
      </c>
      <c r="C2348" t="s">
        <v>2746</v>
      </c>
      <c r="D2348">
        <v>3</v>
      </c>
      <c r="E2348" s="358">
        <v>3</v>
      </c>
      <c r="F2348" s="358" t="s">
        <v>7</v>
      </c>
      <c r="G2348" s="358" t="s">
        <v>11</v>
      </c>
      <c r="H2348" s="358" t="s">
        <v>11</v>
      </c>
    </row>
    <row r="2349" spans="1:8" x14ac:dyDescent="0.3">
      <c r="A2349" t="s">
        <v>52</v>
      </c>
      <c r="B2349" t="s">
        <v>118</v>
      </c>
      <c r="C2349" t="s">
        <v>2407</v>
      </c>
      <c r="D2349">
        <v>3</v>
      </c>
      <c r="E2349" s="358">
        <v>3</v>
      </c>
      <c r="F2349" s="358" t="s">
        <v>7</v>
      </c>
      <c r="G2349" s="358" t="s">
        <v>11</v>
      </c>
      <c r="H2349" s="358" t="s">
        <v>11</v>
      </c>
    </row>
    <row r="2350" spans="1:8" x14ac:dyDescent="0.3">
      <c r="A2350" t="s">
        <v>52</v>
      </c>
      <c r="B2350" t="s">
        <v>118</v>
      </c>
      <c r="C2350" t="s">
        <v>1719</v>
      </c>
      <c r="D2350">
        <v>2</v>
      </c>
      <c r="E2350" s="358">
        <v>3</v>
      </c>
      <c r="F2350" s="358" t="s">
        <v>7</v>
      </c>
      <c r="G2350" s="358" t="s">
        <v>11</v>
      </c>
      <c r="H2350" s="358" t="s">
        <v>11</v>
      </c>
    </row>
    <row r="2351" spans="1:8" x14ac:dyDescent="0.3">
      <c r="A2351" t="s">
        <v>52</v>
      </c>
      <c r="B2351" t="s">
        <v>118</v>
      </c>
      <c r="C2351" t="s">
        <v>1355</v>
      </c>
      <c r="D2351">
        <v>3</v>
      </c>
      <c r="E2351" s="358">
        <v>3</v>
      </c>
      <c r="F2351" s="358" t="s">
        <v>7</v>
      </c>
      <c r="G2351" s="358" t="s">
        <v>11</v>
      </c>
      <c r="H2351" s="358" t="s">
        <v>11</v>
      </c>
    </row>
    <row r="2352" spans="1:8" x14ac:dyDescent="0.3">
      <c r="A2352" t="s">
        <v>52</v>
      </c>
      <c r="B2352" t="s">
        <v>118</v>
      </c>
      <c r="C2352" t="s">
        <v>2747</v>
      </c>
      <c r="D2352">
        <v>3</v>
      </c>
      <c r="E2352" s="358">
        <v>3</v>
      </c>
      <c r="F2352" s="358" t="s">
        <v>7</v>
      </c>
      <c r="G2352" s="358" t="s">
        <v>11</v>
      </c>
      <c r="H2352" s="358" t="s">
        <v>11</v>
      </c>
    </row>
    <row r="2353" spans="1:8" x14ac:dyDescent="0.3">
      <c r="A2353" t="s">
        <v>52</v>
      </c>
      <c r="B2353" t="s">
        <v>118</v>
      </c>
      <c r="C2353" t="s">
        <v>1361</v>
      </c>
      <c r="D2353">
        <v>3</v>
      </c>
      <c r="E2353" s="358">
        <v>3</v>
      </c>
      <c r="F2353" s="358" t="s">
        <v>7</v>
      </c>
      <c r="G2353" s="358" t="s">
        <v>11</v>
      </c>
      <c r="H2353" s="358" t="s">
        <v>11</v>
      </c>
    </row>
    <row r="2354" spans="1:8" x14ac:dyDescent="0.3">
      <c r="A2354" t="s">
        <v>52</v>
      </c>
      <c r="B2354" t="s">
        <v>118</v>
      </c>
      <c r="C2354" t="s">
        <v>2748</v>
      </c>
      <c r="D2354">
        <v>3</v>
      </c>
      <c r="E2354" s="358">
        <v>3</v>
      </c>
      <c r="F2354" s="358" t="s">
        <v>7</v>
      </c>
      <c r="G2354" s="358" t="s">
        <v>11</v>
      </c>
      <c r="H2354" s="358" t="s">
        <v>11</v>
      </c>
    </row>
    <row r="2355" spans="1:8" x14ac:dyDescent="0.3">
      <c r="A2355" t="s">
        <v>52</v>
      </c>
      <c r="B2355" t="s">
        <v>118</v>
      </c>
      <c r="C2355" t="s">
        <v>2749</v>
      </c>
      <c r="D2355">
        <v>3</v>
      </c>
      <c r="E2355" s="358">
        <v>3</v>
      </c>
      <c r="F2355" s="358" t="s">
        <v>7</v>
      </c>
      <c r="G2355" s="358" t="s">
        <v>11</v>
      </c>
      <c r="H2355" s="358" t="s">
        <v>11</v>
      </c>
    </row>
    <row r="2356" spans="1:8" x14ac:dyDescent="0.3">
      <c r="A2356" t="s">
        <v>52</v>
      </c>
      <c r="B2356" t="s">
        <v>118</v>
      </c>
      <c r="C2356" t="s">
        <v>2750</v>
      </c>
      <c r="D2356">
        <v>3</v>
      </c>
      <c r="E2356" s="358">
        <v>3</v>
      </c>
      <c r="F2356" s="358" t="s">
        <v>7</v>
      </c>
      <c r="G2356" s="358" t="s">
        <v>11</v>
      </c>
      <c r="H2356" s="358" t="s">
        <v>11</v>
      </c>
    </row>
    <row r="2357" spans="1:8" x14ac:dyDescent="0.3">
      <c r="A2357" t="s">
        <v>52</v>
      </c>
      <c r="B2357" t="s">
        <v>118</v>
      </c>
      <c r="C2357" t="s">
        <v>1728</v>
      </c>
      <c r="D2357">
        <v>2</v>
      </c>
      <c r="E2357" s="358">
        <v>3</v>
      </c>
      <c r="F2357" s="358" t="s">
        <v>7</v>
      </c>
      <c r="G2357" s="358" t="s">
        <v>11</v>
      </c>
      <c r="H2357" s="358" t="s">
        <v>11</v>
      </c>
    </row>
    <row r="2358" spans="1:8" x14ac:dyDescent="0.3">
      <c r="A2358" t="s">
        <v>52</v>
      </c>
      <c r="B2358" t="s">
        <v>118</v>
      </c>
      <c r="C2358" t="s">
        <v>2751</v>
      </c>
      <c r="D2358">
        <v>3</v>
      </c>
      <c r="E2358" s="358">
        <v>3</v>
      </c>
      <c r="F2358" s="358" t="s">
        <v>7</v>
      </c>
      <c r="G2358" s="358" t="s">
        <v>11</v>
      </c>
      <c r="H2358" s="358" t="s">
        <v>11</v>
      </c>
    </row>
    <row r="2359" spans="1:8" x14ac:dyDescent="0.3">
      <c r="A2359" t="s">
        <v>52</v>
      </c>
      <c r="B2359" t="s">
        <v>118</v>
      </c>
      <c r="C2359" t="s">
        <v>1368</v>
      </c>
      <c r="D2359">
        <v>2</v>
      </c>
      <c r="E2359" s="358">
        <v>3</v>
      </c>
      <c r="F2359" s="358" t="s">
        <v>7</v>
      </c>
      <c r="G2359" s="358" t="s">
        <v>11</v>
      </c>
      <c r="H2359" s="358" t="s">
        <v>11</v>
      </c>
    </row>
    <row r="2360" spans="1:8" x14ac:dyDescent="0.3">
      <c r="A2360" t="s">
        <v>52</v>
      </c>
      <c r="B2360" t="s">
        <v>118</v>
      </c>
      <c r="C2360" t="s">
        <v>1843</v>
      </c>
      <c r="D2360">
        <v>3</v>
      </c>
      <c r="E2360" s="358">
        <v>3</v>
      </c>
      <c r="F2360" s="358" t="s">
        <v>7</v>
      </c>
      <c r="G2360" s="358" t="s">
        <v>11</v>
      </c>
      <c r="H2360" s="358" t="s">
        <v>11</v>
      </c>
    </row>
    <row r="2361" spans="1:8" x14ac:dyDescent="0.3">
      <c r="A2361" t="s">
        <v>52</v>
      </c>
      <c r="B2361" t="s">
        <v>118</v>
      </c>
      <c r="C2361" t="s">
        <v>2752</v>
      </c>
      <c r="D2361">
        <v>3</v>
      </c>
      <c r="E2361" s="358">
        <v>3</v>
      </c>
      <c r="F2361" s="358" t="s">
        <v>7</v>
      </c>
      <c r="G2361" s="358" t="s">
        <v>11</v>
      </c>
      <c r="H2361" s="358" t="s">
        <v>11</v>
      </c>
    </row>
    <row r="2362" spans="1:8" x14ac:dyDescent="0.3">
      <c r="A2362" t="s">
        <v>52</v>
      </c>
      <c r="B2362" t="s">
        <v>118</v>
      </c>
      <c r="C2362" t="s">
        <v>2753</v>
      </c>
      <c r="D2362">
        <v>2</v>
      </c>
      <c r="E2362" s="358">
        <v>3</v>
      </c>
      <c r="F2362" s="358" t="s">
        <v>7</v>
      </c>
      <c r="G2362" s="358" t="s">
        <v>11</v>
      </c>
      <c r="H2362" s="358" t="s">
        <v>11</v>
      </c>
    </row>
    <row r="2363" spans="1:8" x14ac:dyDescent="0.3">
      <c r="A2363" t="s">
        <v>52</v>
      </c>
      <c r="B2363" t="s">
        <v>118</v>
      </c>
      <c r="C2363" t="s">
        <v>1374</v>
      </c>
      <c r="D2363">
        <v>3</v>
      </c>
      <c r="E2363" s="358">
        <v>3</v>
      </c>
      <c r="F2363" s="358" t="s">
        <v>7</v>
      </c>
      <c r="G2363" s="358" t="s">
        <v>11</v>
      </c>
      <c r="H2363" s="358" t="s">
        <v>11</v>
      </c>
    </row>
    <row r="2364" spans="1:8" x14ac:dyDescent="0.3">
      <c r="A2364" t="s">
        <v>52</v>
      </c>
      <c r="B2364" t="s">
        <v>118</v>
      </c>
      <c r="C2364" t="s">
        <v>1479</v>
      </c>
      <c r="D2364">
        <v>3</v>
      </c>
      <c r="E2364" s="358">
        <v>3</v>
      </c>
      <c r="F2364" s="358" t="s">
        <v>7</v>
      </c>
      <c r="G2364" s="358" t="s">
        <v>11</v>
      </c>
      <c r="H2364" s="358" t="s">
        <v>11</v>
      </c>
    </row>
    <row r="2365" spans="1:8" x14ac:dyDescent="0.3">
      <c r="A2365" t="s">
        <v>52</v>
      </c>
      <c r="B2365" t="s">
        <v>118</v>
      </c>
      <c r="C2365" t="s">
        <v>2754</v>
      </c>
      <c r="D2365">
        <v>3</v>
      </c>
      <c r="E2365" s="358">
        <v>3</v>
      </c>
      <c r="F2365" s="358" t="s">
        <v>7</v>
      </c>
      <c r="G2365" s="358" t="s">
        <v>11</v>
      </c>
      <c r="H2365" s="358" t="s">
        <v>11</v>
      </c>
    </row>
    <row r="2366" spans="1:8" x14ac:dyDescent="0.3">
      <c r="A2366" t="s">
        <v>52</v>
      </c>
      <c r="B2366" t="s">
        <v>118</v>
      </c>
      <c r="C2366" t="s">
        <v>2120</v>
      </c>
      <c r="D2366">
        <v>2</v>
      </c>
      <c r="E2366" s="358">
        <v>3</v>
      </c>
      <c r="F2366" s="358" t="s">
        <v>7</v>
      </c>
      <c r="G2366" s="358" t="s">
        <v>11</v>
      </c>
      <c r="H2366" s="358" t="s">
        <v>11</v>
      </c>
    </row>
    <row r="2367" spans="1:8" x14ac:dyDescent="0.3">
      <c r="A2367" t="s">
        <v>53</v>
      </c>
      <c r="B2367" t="s">
        <v>82</v>
      </c>
      <c r="C2367" t="s">
        <v>2755</v>
      </c>
      <c r="D2367">
        <v>1</v>
      </c>
      <c r="E2367" s="358">
        <v>6</v>
      </c>
      <c r="F2367" s="358" t="s">
        <v>7</v>
      </c>
      <c r="G2367" s="358" t="s">
        <v>11</v>
      </c>
      <c r="H2367" s="358" t="s">
        <v>11</v>
      </c>
    </row>
    <row r="2368" spans="1:8" x14ac:dyDescent="0.3">
      <c r="A2368" t="s">
        <v>53</v>
      </c>
      <c r="B2368" t="s">
        <v>82</v>
      </c>
      <c r="C2368" t="s">
        <v>2756</v>
      </c>
      <c r="D2368">
        <v>1</v>
      </c>
      <c r="E2368" s="358">
        <v>6</v>
      </c>
      <c r="F2368" s="358" t="s">
        <v>7</v>
      </c>
      <c r="G2368" s="358" t="s">
        <v>11</v>
      </c>
      <c r="H2368" s="358" t="s">
        <v>11</v>
      </c>
    </row>
    <row r="2369" spans="1:8" x14ac:dyDescent="0.3">
      <c r="A2369" t="s">
        <v>53</v>
      </c>
      <c r="B2369" t="s">
        <v>82</v>
      </c>
      <c r="C2369" t="s">
        <v>2757</v>
      </c>
      <c r="D2369">
        <v>2</v>
      </c>
      <c r="E2369" s="358">
        <v>5</v>
      </c>
      <c r="F2369" s="358" t="s">
        <v>7</v>
      </c>
      <c r="G2369" s="358" t="s">
        <v>11</v>
      </c>
      <c r="H2369" s="358" t="s">
        <v>11</v>
      </c>
    </row>
    <row r="2370" spans="1:8" x14ac:dyDescent="0.3">
      <c r="A2370" t="s">
        <v>53</v>
      </c>
      <c r="B2370" t="s">
        <v>82</v>
      </c>
      <c r="C2370" t="s">
        <v>2758</v>
      </c>
      <c r="D2370">
        <v>1</v>
      </c>
      <c r="E2370" s="358">
        <v>5</v>
      </c>
      <c r="F2370" s="358" t="s">
        <v>7</v>
      </c>
      <c r="G2370" s="358" t="s">
        <v>11</v>
      </c>
      <c r="H2370" s="358" t="s">
        <v>11</v>
      </c>
    </row>
    <row r="2371" spans="1:8" x14ac:dyDescent="0.3">
      <c r="A2371" t="s">
        <v>53</v>
      </c>
      <c r="B2371" t="s">
        <v>82</v>
      </c>
      <c r="C2371" t="s">
        <v>2759</v>
      </c>
      <c r="D2371">
        <v>1</v>
      </c>
      <c r="E2371" s="358">
        <v>6</v>
      </c>
      <c r="F2371" s="358" t="s">
        <v>7</v>
      </c>
      <c r="G2371" s="358" t="s">
        <v>11</v>
      </c>
      <c r="H2371" s="358" t="s">
        <v>11</v>
      </c>
    </row>
    <row r="2372" spans="1:8" x14ac:dyDescent="0.3">
      <c r="A2372" t="s">
        <v>53</v>
      </c>
      <c r="B2372" t="s">
        <v>82</v>
      </c>
      <c r="C2372" t="s">
        <v>1805</v>
      </c>
      <c r="D2372">
        <v>1</v>
      </c>
      <c r="E2372" s="358">
        <v>6</v>
      </c>
      <c r="F2372" s="358" t="s">
        <v>7</v>
      </c>
      <c r="G2372" s="358" t="s">
        <v>11</v>
      </c>
      <c r="H2372" s="358" t="s">
        <v>11</v>
      </c>
    </row>
    <row r="2373" spans="1:8" x14ac:dyDescent="0.3">
      <c r="A2373" t="s">
        <v>53</v>
      </c>
      <c r="B2373" t="s">
        <v>82</v>
      </c>
      <c r="C2373" t="s">
        <v>2760</v>
      </c>
      <c r="D2373">
        <v>1</v>
      </c>
      <c r="E2373" s="358">
        <v>6</v>
      </c>
      <c r="F2373" s="358" t="s">
        <v>7</v>
      </c>
      <c r="G2373" s="358" t="s">
        <v>11</v>
      </c>
      <c r="H2373" s="358" t="s">
        <v>11</v>
      </c>
    </row>
    <row r="2374" spans="1:8" x14ac:dyDescent="0.3">
      <c r="A2374" t="s">
        <v>53</v>
      </c>
      <c r="B2374" t="s">
        <v>82</v>
      </c>
      <c r="C2374" t="s">
        <v>2386</v>
      </c>
      <c r="D2374">
        <v>1</v>
      </c>
      <c r="E2374" s="358">
        <v>6</v>
      </c>
      <c r="F2374" s="358" t="s">
        <v>7</v>
      </c>
      <c r="G2374" s="358" t="s">
        <v>11</v>
      </c>
      <c r="H2374" s="358" t="s">
        <v>11</v>
      </c>
    </row>
    <row r="2375" spans="1:8" x14ac:dyDescent="0.3">
      <c r="A2375" t="s">
        <v>53</v>
      </c>
      <c r="B2375" t="s">
        <v>82</v>
      </c>
      <c r="C2375" t="s">
        <v>1487</v>
      </c>
      <c r="D2375">
        <v>2</v>
      </c>
      <c r="E2375" s="358">
        <v>6</v>
      </c>
      <c r="F2375" s="358" t="s">
        <v>7</v>
      </c>
      <c r="G2375" s="358" t="s">
        <v>11</v>
      </c>
      <c r="H2375" s="358" t="s">
        <v>11</v>
      </c>
    </row>
    <row r="2376" spans="1:8" x14ac:dyDescent="0.3">
      <c r="A2376" t="s">
        <v>53</v>
      </c>
      <c r="B2376" t="s">
        <v>82</v>
      </c>
      <c r="C2376" t="s">
        <v>2022</v>
      </c>
      <c r="D2376">
        <v>1</v>
      </c>
      <c r="E2376" s="358">
        <v>6</v>
      </c>
      <c r="F2376" s="358" t="s">
        <v>7</v>
      </c>
      <c r="G2376" s="358" t="s">
        <v>11</v>
      </c>
      <c r="H2376" s="358" t="s">
        <v>11</v>
      </c>
    </row>
    <row r="2377" spans="1:8" x14ac:dyDescent="0.3">
      <c r="A2377" t="s">
        <v>53</v>
      </c>
      <c r="B2377" t="s">
        <v>82</v>
      </c>
      <c r="C2377" t="s">
        <v>2761</v>
      </c>
      <c r="D2377">
        <v>1</v>
      </c>
      <c r="E2377" s="358">
        <v>5</v>
      </c>
      <c r="F2377" s="358" t="s">
        <v>7</v>
      </c>
      <c r="G2377" s="358" t="s">
        <v>11</v>
      </c>
      <c r="H2377" s="358" t="s">
        <v>11</v>
      </c>
    </row>
    <row r="2378" spans="1:8" x14ac:dyDescent="0.3">
      <c r="A2378" t="s">
        <v>53</v>
      </c>
      <c r="B2378" t="s">
        <v>82</v>
      </c>
      <c r="C2378" t="s">
        <v>1435</v>
      </c>
      <c r="D2378">
        <v>1</v>
      </c>
      <c r="E2378" s="358">
        <v>6</v>
      </c>
      <c r="F2378" s="358" t="s">
        <v>7</v>
      </c>
      <c r="G2378" s="358" t="s">
        <v>11</v>
      </c>
      <c r="H2378" s="358" t="s">
        <v>11</v>
      </c>
    </row>
    <row r="2379" spans="1:8" x14ac:dyDescent="0.3">
      <c r="A2379" t="s">
        <v>53</v>
      </c>
      <c r="B2379" t="s">
        <v>82</v>
      </c>
      <c r="C2379" t="s">
        <v>1328</v>
      </c>
      <c r="D2379">
        <v>1</v>
      </c>
      <c r="E2379" s="358">
        <v>5</v>
      </c>
      <c r="F2379" s="358" t="s">
        <v>7</v>
      </c>
      <c r="G2379" s="358" t="s">
        <v>11</v>
      </c>
      <c r="H2379" s="358" t="s">
        <v>11</v>
      </c>
    </row>
    <row r="2380" spans="1:8" x14ac:dyDescent="0.3">
      <c r="A2380" t="s">
        <v>53</v>
      </c>
      <c r="B2380" t="s">
        <v>82</v>
      </c>
      <c r="C2380" t="s">
        <v>2762</v>
      </c>
      <c r="D2380">
        <v>1</v>
      </c>
      <c r="E2380" s="358">
        <v>6</v>
      </c>
      <c r="F2380" s="358" t="s">
        <v>7</v>
      </c>
      <c r="G2380" s="358" t="s">
        <v>11</v>
      </c>
      <c r="H2380" s="358" t="s">
        <v>11</v>
      </c>
    </row>
    <row r="2381" spans="1:8" x14ac:dyDescent="0.3">
      <c r="A2381" t="s">
        <v>53</v>
      </c>
      <c r="B2381" t="s">
        <v>82</v>
      </c>
      <c r="C2381" t="s">
        <v>2763</v>
      </c>
      <c r="D2381">
        <v>1</v>
      </c>
      <c r="E2381" s="358">
        <v>6</v>
      </c>
      <c r="F2381" s="358" t="s">
        <v>7</v>
      </c>
      <c r="G2381" s="358" t="s">
        <v>11</v>
      </c>
      <c r="H2381" s="358" t="s">
        <v>11</v>
      </c>
    </row>
    <row r="2382" spans="1:8" x14ac:dyDescent="0.3">
      <c r="A2382" t="s">
        <v>53</v>
      </c>
      <c r="B2382" t="s">
        <v>82</v>
      </c>
      <c r="C2382" t="s">
        <v>1554</v>
      </c>
      <c r="D2382">
        <v>2</v>
      </c>
      <c r="E2382" s="358">
        <v>6</v>
      </c>
      <c r="F2382" s="358" t="s">
        <v>7</v>
      </c>
      <c r="G2382" s="358" t="s">
        <v>11</v>
      </c>
      <c r="H2382" s="358" t="s">
        <v>11</v>
      </c>
    </row>
    <row r="2383" spans="1:8" x14ac:dyDescent="0.3">
      <c r="A2383" t="s">
        <v>53</v>
      </c>
      <c r="B2383" t="s">
        <v>82</v>
      </c>
      <c r="C2383" t="s">
        <v>2764</v>
      </c>
      <c r="D2383">
        <v>1</v>
      </c>
      <c r="E2383" s="358">
        <v>6</v>
      </c>
      <c r="F2383" s="358" t="s">
        <v>7</v>
      </c>
      <c r="G2383" s="358" t="s">
        <v>11</v>
      </c>
      <c r="H2383" s="358" t="s">
        <v>11</v>
      </c>
    </row>
    <row r="2384" spans="1:8" x14ac:dyDescent="0.3">
      <c r="A2384" t="s">
        <v>53</v>
      </c>
      <c r="B2384" t="s">
        <v>82</v>
      </c>
      <c r="C2384" t="s">
        <v>2765</v>
      </c>
      <c r="D2384">
        <v>1</v>
      </c>
      <c r="E2384" s="358">
        <v>6</v>
      </c>
      <c r="F2384" s="358" t="s">
        <v>7</v>
      </c>
      <c r="G2384" s="358" t="s">
        <v>11</v>
      </c>
      <c r="H2384" s="358" t="s">
        <v>11</v>
      </c>
    </row>
    <row r="2385" spans="1:8" x14ac:dyDescent="0.3">
      <c r="A2385" t="s">
        <v>53</v>
      </c>
      <c r="B2385" t="s">
        <v>82</v>
      </c>
      <c r="C2385" t="s">
        <v>2392</v>
      </c>
      <c r="D2385">
        <v>1</v>
      </c>
      <c r="E2385" s="358">
        <v>6</v>
      </c>
      <c r="F2385" s="358" t="s">
        <v>7</v>
      </c>
      <c r="G2385" s="358" t="s">
        <v>11</v>
      </c>
      <c r="H2385" s="358" t="s">
        <v>11</v>
      </c>
    </row>
    <row r="2386" spans="1:8" x14ac:dyDescent="0.3">
      <c r="A2386" t="s">
        <v>53</v>
      </c>
      <c r="B2386" t="s">
        <v>82</v>
      </c>
      <c r="C2386" t="s">
        <v>2646</v>
      </c>
      <c r="D2386">
        <v>2</v>
      </c>
      <c r="E2386" s="358">
        <v>6</v>
      </c>
      <c r="F2386" s="358" t="s">
        <v>7</v>
      </c>
      <c r="G2386" s="358" t="s">
        <v>11</v>
      </c>
      <c r="H2386" s="358" t="s">
        <v>11</v>
      </c>
    </row>
    <row r="2387" spans="1:8" x14ac:dyDescent="0.3">
      <c r="A2387" t="s">
        <v>53</v>
      </c>
      <c r="B2387" t="s">
        <v>82</v>
      </c>
      <c r="C2387" t="s">
        <v>1558</v>
      </c>
      <c r="D2387">
        <v>1</v>
      </c>
      <c r="E2387" s="358">
        <v>5</v>
      </c>
      <c r="F2387" s="358" t="s">
        <v>7</v>
      </c>
      <c r="G2387" s="358" t="s">
        <v>11</v>
      </c>
      <c r="H2387" s="358" t="s">
        <v>11</v>
      </c>
    </row>
    <row r="2388" spans="1:8" x14ac:dyDescent="0.3">
      <c r="A2388" t="s">
        <v>53</v>
      </c>
      <c r="B2388" t="s">
        <v>82</v>
      </c>
      <c r="C2388" t="s">
        <v>2766</v>
      </c>
      <c r="D2388">
        <v>1</v>
      </c>
      <c r="E2388" s="358">
        <v>6</v>
      </c>
      <c r="F2388" s="358" t="s">
        <v>7</v>
      </c>
      <c r="G2388" s="358" t="s">
        <v>11</v>
      </c>
      <c r="H2388" s="358" t="s">
        <v>11</v>
      </c>
    </row>
    <row r="2389" spans="1:8" x14ac:dyDescent="0.3">
      <c r="A2389" t="s">
        <v>53</v>
      </c>
      <c r="B2389" t="s">
        <v>82</v>
      </c>
      <c r="C2389" t="s">
        <v>2767</v>
      </c>
      <c r="D2389">
        <v>2</v>
      </c>
      <c r="E2389" s="358">
        <v>6</v>
      </c>
      <c r="F2389" s="358" t="s">
        <v>7</v>
      </c>
      <c r="G2389" s="358" t="s">
        <v>11</v>
      </c>
      <c r="H2389" s="358" t="s">
        <v>11</v>
      </c>
    </row>
    <row r="2390" spans="1:8" x14ac:dyDescent="0.3">
      <c r="A2390" t="s">
        <v>53</v>
      </c>
      <c r="B2390" t="s">
        <v>82</v>
      </c>
      <c r="C2390" t="s">
        <v>2768</v>
      </c>
      <c r="D2390">
        <v>1</v>
      </c>
      <c r="E2390" s="358">
        <v>6</v>
      </c>
      <c r="F2390" s="358" t="s">
        <v>7</v>
      </c>
      <c r="G2390" s="358" t="s">
        <v>11</v>
      </c>
      <c r="H2390" s="358" t="s">
        <v>11</v>
      </c>
    </row>
    <row r="2391" spans="1:8" x14ac:dyDescent="0.3">
      <c r="A2391" t="s">
        <v>53</v>
      </c>
      <c r="B2391" t="s">
        <v>82</v>
      </c>
      <c r="C2391" t="s">
        <v>1448</v>
      </c>
      <c r="D2391">
        <v>1</v>
      </c>
      <c r="E2391" s="358">
        <v>6</v>
      </c>
      <c r="F2391" s="358" t="s">
        <v>7</v>
      </c>
      <c r="G2391" s="358" t="s">
        <v>11</v>
      </c>
      <c r="H2391" s="358" t="s">
        <v>11</v>
      </c>
    </row>
    <row r="2392" spans="1:8" x14ac:dyDescent="0.3">
      <c r="A2392" t="s">
        <v>53</v>
      </c>
      <c r="B2392" t="s">
        <v>82</v>
      </c>
      <c r="C2392" t="s">
        <v>2769</v>
      </c>
      <c r="D2392">
        <v>2</v>
      </c>
      <c r="E2392" s="358">
        <v>5</v>
      </c>
      <c r="F2392" s="358" t="s">
        <v>7</v>
      </c>
      <c r="G2392" s="358" t="s">
        <v>11</v>
      </c>
      <c r="H2392" s="358" t="s">
        <v>11</v>
      </c>
    </row>
    <row r="2393" spans="1:8" x14ac:dyDescent="0.3">
      <c r="A2393" t="s">
        <v>53</v>
      </c>
      <c r="B2393" t="s">
        <v>82</v>
      </c>
      <c r="C2393" t="s">
        <v>2770</v>
      </c>
      <c r="D2393">
        <v>2</v>
      </c>
      <c r="E2393" s="358">
        <v>6</v>
      </c>
      <c r="F2393" s="358" t="s">
        <v>7</v>
      </c>
      <c r="G2393" s="358" t="s">
        <v>11</v>
      </c>
      <c r="H2393" s="358" t="s">
        <v>11</v>
      </c>
    </row>
    <row r="2394" spans="1:8" x14ac:dyDescent="0.3">
      <c r="A2394" t="s">
        <v>53</v>
      </c>
      <c r="B2394" t="s">
        <v>82</v>
      </c>
      <c r="C2394" t="s">
        <v>2771</v>
      </c>
      <c r="D2394">
        <v>1</v>
      </c>
      <c r="E2394" s="358">
        <v>6</v>
      </c>
      <c r="F2394" s="358" t="s">
        <v>7</v>
      </c>
      <c r="G2394" s="358" t="s">
        <v>11</v>
      </c>
      <c r="H2394" s="358" t="s">
        <v>11</v>
      </c>
    </row>
    <row r="2395" spans="1:8" x14ac:dyDescent="0.3">
      <c r="A2395" t="s">
        <v>53</v>
      </c>
      <c r="B2395" t="s">
        <v>82</v>
      </c>
      <c r="C2395" t="s">
        <v>2772</v>
      </c>
      <c r="D2395">
        <v>1</v>
      </c>
      <c r="E2395" s="358">
        <v>6</v>
      </c>
      <c r="F2395" s="358" t="s">
        <v>7</v>
      </c>
      <c r="G2395" s="358" t="s">
        <v>11</v>
      </c>
      <c r="H2395" s="358" t="s">
        <v>11</v>
      </c>
    </row>
    <row r="2396" spans="1:8" x14ac:dyDescent="0.3">
      <c r="A2396" t="s">
        <v>53</v>
      </c>
      <c r="B2396" t="s">
        <v>82</v>
      </c>
      <c r="C2396" t="s">
        <v>2773</v>
      </c>
      <c r="D2396">
        <v>1</v>
      </c>
      <c r="E2396" s="358">
        <v>6</v>
      </c>
      <c r="F2396" s="358" t="s">
        <v>7</v>
      </c>
      <c r="G2396" s="358" t="s">
        <v>11</v>
      </c>
      <c r="H2396" s="358" t="s">
        <v>11</v>
      </c>
    </row>
    <row r="2397" spans="1:8" x14ac:dyDescent="0.3">
      <c r="A2397" t="s">
        <v>53</v>
      </c>
      <c r="B2397" t="s">
        <v>82</v>
      </c>
      <c r="C2397" t="s">
        <v>2460</v>
      </c>
      <c r="D2397">
        <v>2</v>
      </c>
      <c r="E2397" s="358">
        <v>6</v>
      </c>
      <c r="F2397" s="358" t="s">
        <v>7</v>
      </c>
      <c r="G2397" s="358" t="s">
        <v>11</v>
      </c>
      <c r="H2397" s="358" t="s">
        <v>11</v>
      </c>
    </row>
    <row r="2398" spans="1:8" x14ac:dyDescent="0.3">
      <c r="A2398" t="s">
        <v>53</v>
      </c>
      <c r="B2398" t="s">
        <v>82</v>
      </c>
      <c r="C2398" t="s">
        <v>2650</v>
      </c>
      <c r="D2398">
        <v>1</v>
      </c>
      <c r="E2398" s="358">
        <v>6</v>
      </c>
      <c r="F2398" s="358" t="s">
        <v>7</v>
      </c>
      <c r="G2398" s="358" t="s">
        <v>11</v>
      </c>
      <c r="H2398" s="358" t="s">
        <v>11</v>
      </c>
    </row>
    <row r="2399" spans="1:8" x14ac:dyDescent="0.3">
      <c r="A2399" t="s">
        <v>53</v>
      </c>
      <c r="B2399" t="s">
        <v>82</v>
      </c>
      <c r="C2399" t="s">
        <v>2774</v>
      </c>
      <c r="D2399">
        <v>1</v>
      </c>
      <c r="E2399" s="358">
        <v>5</v>
      </c>
      <c r="F2399" s="358" t="s">
        <v>7</v>
      </c>
      <c r="G2399" s="358" t="s">
        <v>11</v>
      </c>
      <c r="H2399" s="358" t="s">
        <v>11</v>
      </c>
    </row>
    <row r="2400" spans="1:8" x14ac:dyDescent="0.3">
      <c r="A2400" t="s">
        <v>53</v>
      </c>
      <c r="B2400" t="s">
        <v>82</v>
      </c>
      <c r="C2400" t="s">
        <v>2538</v>
      </c>
      <c r="D2400">
        <v>1</v>
      </c>
      <c r="E2400" s="358">
        <v>6</v>
      </c>
      <c r="F2400" s="358" t="s">
        <v>7</v>
      </c>
      <c r="G2400" s="358" t="s">
        <v>11</v>
      </c>
      <c r="H2400" s="358" t="s">
        <v>11</v>
      </c>
    </row>
    <row r="2401" spans="1:8" x14ac:dyDescent="0.3">
      <c r="A2401" t="s">
        <v>53</v>
      </c>
      <c r="B2401" t="s">
        <v>82</v>
      </c>
      <c r="C2401" t="s">
        <v>1350</v>
      </c>
      <c r="D2401">
        <v>2</v>
      </c>
      <c r="E2401" s="358">
        <v>5</v>
      </c>
      <c r="F2401" s="358" t="s">
        <v>7</v>
      </c>
      <c r="G2401" s="358" t="s">
        <v>11</v>
      </c>
      <c r="H2401" s="358" t="s">
        <v>11</v>
      </c>
    </row>
    <row r="2402" spans="1:8" x14ac:dyDescent="0.3">
      <c r="A2402" t="s">
        <v>53</v>
      </c>
      <c r="B2402" t="s">
        <v>82</v>
      </c>
      <c r="C2402" t="s">
        <v>2775</v>
      </c>
      <c r="D2402">
        <v>1</v>
      </c>
      <c r="E2402" s="358">
        <v>6</v>
      </c>
      <c r="F2402" s="358" t="s">
        <v>7</v>
      </c>
      <c r="G2402" s="358" t="s">
        <v>11</v>
      </c>
      <c r="H2402" s="358" t="s">
        <v>11</v>
      </c>
    </row>
    <row r="2403" spans="1:8" x14ac:dyDescent="0.3">
      <c r="A2403" t="s">
        <v>53</v>
      </c>
      <c r="B2403" t="s">
        <v>82</v>
      </c>
      <c r="C2403" t="s">
        <v>1717</v>
      </c>
      <c r="D2403">
        <v>2</v>
      </c>
      <c r="E2403" s="358">
        <v>6</v>
      </c>
      <c r="F2403" s="358" t="s">
        <v>7</v>
      </c>
      <c r="G2403" s="358" t="s">
        <v>11</v>
      </c>
      <c r="H2403" s="358" t="s">
        <v>11</v>
      </c>
    </row>
    <row r="2404" spans="1:8" x14ac:dyDescent="0.3">
      <c r="A2404" t="s">
        <v>53</v>
      </c>
      <c r="B2404" t="s">
        <v>82</v>
      </c>
      <c r="C2404" t="s">
        <v>2776</v>
      </c>
      <c r="D2404">
        <v>1</v>
      </c>
      <c r="E2404" s="358">
        <v>6</v>
      </c>
      <c r="F2404" s="358" t="s">
        <v>7</v>
      </c>
      <c r="G2404" s="358" t="s">
        <v>11</v>
      </c>
      <c r="H2404" s="358" t="s">
        <v>11</v>
      </c>
    </row>
    <row r="2405" spans="1:8" x14ac:dyDescent="0.3">
      <c r="A2405" t="s">
        <v>53</v>
      </c>
      <c r="B2405" t="s">
        <v>82</v>
      </c>
      <c r="C2405" t="s">
        <v>1500</v>
      </c>
      <c r="D2405">
        <v>1</v>
      </c>
      <c r="E2405" s="358">
        <v>6</v>
      </c>
      <c r="F2405" s="358" t="s">
        <v>7</v>
      </c>
      <c r="G2405" s="358" t="s">
        <v>11</v>
      </c>
      <c r="H2405" s="358" t="s">
        <v>11</v>
      </c>
    </row>
    <row r="2406" spans="1:8" x14ac:dyDescent="0.3">
      <c r="A2406" t="s">
        <v>53</v>
      </c>
      <c r="B2406" t="s">
        <v>82</v>
      </c>
      <c r="C2406" t="s">
        <v>1354</v>
      </c>
      <c r="D2406">
        <v>2</v>
      </c>
      <c r="E2406" s="358">
        <v>6</v>
      </c>
      <c r="F2406" s="358" t="s">
        <v>7</v>
      </c>
      <c r="G2406" s="358" t="s">
        <v>11</v>
      </c>
      <c r="H2406" s="358" t="s">
        <v>11</v>
      </c>
    </row>
    <row r="2407" spans="1:8" x14ac:dyDescent="0.3">
      <c r="A2407" t="s">
        <v>53</v>
      </c>
      <c r="B2407" t="s">
        <v>82</v>
      </c>
      <c r="C2407" t="s">
        <v>1456</v>
      </c>
      <c r="D2407">
        <v>1</v>
      </c>
      <c r="E2407" s="358">
        <v>6</v>
      </c>
      <c r="F2407" s="358" t="s">
        <v>7</v>
      </c>
      <c r="G2407" s="358" t="s">
        <v>11</v>
      </c>
      <c r="H2407" s="358" t="s">
        <v>11</v>
      </c>
    </row>
    <row r="2408" spans="1:8" x14ac:dyDescent="0.3">
      <c r="A2408" t="s">
        <v>53</v>
      </c>
      <c r="B2408" t="s">
        <v>82</v>
      </c>
      <c r="C2408" t="s">
        <v>2777</v>
      </c>
      <c r="D2408">
        <v>1</v>
      </c>
      <c r="E2408" s="358">
        <v>6</v>
      </c>
      <c r="F2408" s="358" t="s">
        <v>7</v>
      </c>
      <c r="G2408" s="358" t="s">
        <v>11</v>
      </c>
      <c r="H2408" s="358" t="s">
        <v>11</v>
      </c>
    </row>
    <row r="2409" spans="1:8" x14ac:dyDescent="0.3">
      <c r="A2409" t="s">
        <v>53</v>
      </c>
      <c r="B2409" t="s">
        <v>82</v>
      </c>
      <c r="C2409" t="s">
        <v>1362</v>
      </c>
      <c r="D2409">
        <v>1</v>
      </c>
      <c r="E2409" s="358">
        <v>6</v>
      </c>
      <c r="F2409" s="358" t="s">
        <v>7</v>
      </c>
      <c r="G2409" s="358" t="s">
        <v>11</v>
      </c>
      <c r="H2409" s="358" t="s">
        <v>11</v>
      </c>
    </row>
    <row r="2410" spans="1:8" x14ac:dyDescent="0.3">
      <c r="A2410" t="s">
        <v>53</v>
      </c>
      <c r="B2410" t="s">
        <v>82</v>
      </c>
      <c r="C2410" t="s">
        <v>2778</v>
      </c>
      <c r="D2410">
        <v>1</v>
      </c>
      <c r="E2410" s="358">
        <v>6</v>
      </c>
      <c r="F2410" s="358" t="s">
        <v>7</v>
      </c>
      <c r="G2410" s="358" t="s">
        <v>11</v>
      </c>
      <c r="H2410" s="358" t="s">
        <v>11</v>
      </c>
    </row>
    <row r="2411" spans="1:8" x14ac:dyDescent="0.3">
      <c r="A2411" t="s">
        <v>53</v>
      </c>
      <c r="B2411" t="s">
        <v>82</v>
      </c>
      <c r="C2411" t="s">
        <v>1974</v>
      </c>
      <c r="D2411">
        <v>1</v>
      </c>
      <c r="E2411" s="358">
        <v>6</v>
      </c>
      <c r="F2411" s="358" t="s">
        <v>7</v>
      </c>
      <c r="G2411" s="358" t="s">
        <v>11</v>
      </c>
      <c r="H2411" s="358" t="s">
        <v>11</v>
      </c>
    </row>
    <row r="2412" spans="1:8" x14ac:dyDescent="0.3">
      <c r="A2412" t="s">
        <v>53</v>
      </c>
      <c r="B2412" t="s">
        <v>82</v>
      </c>
      <c r="C2412" t="s">
        <v>1975</v>
      </c>
      <c r="D2412">
        <v>2</v>
      </c>
      <c r="E2412" s="358">
        <v>6</v>
      </c>
      <c r="F2412" s="358" t="s">
        <v>7</v>
      </c>
      <c r="G2412" s="358" t="s">
        <v>11</v>
      </c>
      <c r="H2412" s="358" t="s">
        <v>11</v>
      </c>
    </row>
    <row r="2413" spans="1:8" x14ac:dyDescent="0.3">
      <c r="A2413" t="s">
        <v>53</v>
      </c>
      <c r="B2413" t="s">
        <v>82</v>
      </c>
      <c r="C2413" t="s">
        <v>2779</v>
      </c>
      <c r="D2413">
        <v>2</v>
      </c>
      <c r="E2413" s="358">
        <v>5</v>
      </c>
      <c r="F2413" s="358" t="s">
        <v>7</v>
      </c>
      <c r="G2413" s="358" t="s">
        <v>11</v>
      </c>
      <c r="H2413" s="358" t="s">
        <v>11</v>
      </c>
    </row>
    <row r="2414" spans="1:8" x14ac:dyDescent="0.3">
      <c r="A2414" t="s">
        <v>53</v>
      </c>
      <c r="B2414" t="s">
        <v>82</v>
      </c>
      <c r="C2414" t="s">
        <v>2780</v>
      </c>
      <c r="D2414">
        <v>1</v>
      </c>
      <c r="E2414" s="358">
        <v>6</v>
      </c>
      <c r="F2414" s="358" t="s">
        <v>7</v>
      </c>
      <c r="G2414" s="358" t="s">
        <v>11</v>
      </c>
      <c r="H2414" s="358" t="s">
        <v>11</v>
      </c>
    </row>
    <row r="2415" spans="1:8" x14ac:dyDescent="0.3">
      <c r="A2415" t="s">
        <v>53</v>
      </c>
      <c r="B2415" t="s">
        <v>82</v>
      </c>
      <c r="C2415" t="s">
        <v>2781</v>
      </c>
      <c r="D2415">
        <v>1</v>
      </c>
      <c r="E2415" s="358">
        <v>6</v>
      </c>
      <c r="F2415" s="358" t="s">
        <v>7</v>
      </c>
      <c r="G2415" s="358" t="s">
        <v>11</v>
      </c>
      <c r="H2415" s="358" t="s">
        <v>11</v>
      </c>
    </row>
    <row r="2416" spans="1:8" x14ac:dyDescent="0.3">
      <c r="A2416" t="s">
        <v>53</v>
      </c>
      <c r="B2416" t="s">
        <v>82</v>
      </c>
      <c r="C2416" t="s">
        <v>2782</v>
      </c>
      <c r="D2416">
        <v>1</v>
      </c>
      <c r="E2416" s="358">
        <v>6</v>
      </c>
      <c r="F2416" s="358" t="s">
        <v>7</v>
      </c>
      <c r="G2416" s="358" t="s">
        <v>11</v>
      </c>
      <c r="H2416" s="358" t="s">
        <v>11</v>
      </c>
    </row>
    <row r="2417" spans="1:8" x14ac:dyDescent="0.3">
      <c r="A2417" t="s">
        <v>53</v>
      </c>
      <c r="B2417" t="s">
        <v>82</v>
      </c>
      <c r="C2417" t="s">
        <v>2249</v>
      </c>
      <c r="D2417">
        <v>2</v>
      </c>
      <c r="E2417" s="358">
        <v>6</v>
      </c>
      <c r="F2417" s="358" t="s">
        <v>7</v>
      </c>
      <c r="G2417" s="358" t="s">
        <v>11</v>
      </c>
      <c r="H2417" s="358" t="s">
        <v>11</v>
      </c>
    </row>
    <row r="2418" spans="1:8" x14ac:dyDescent="0.3">
      <c r="A2418" t="s">
        <v>53</v>
      </c>
      <c r="B2418" t="s">
        <v>82</v>
      </c>
      <c r="C2418" t="s">
        <v>2414</v>
      </c>
      <c r="D2418">
        <v>1</v>
      </c>
      <c r="E2418" s="358">
        <v>6</v>
      </c>
      <c r="F2418" s="358" t="s">
        <v>7</v>
      </c>
      <c r="G2418" s="358" t="s">
        <v>11</v>
      </c>
      <c r="H2418" s="358" t="s">
        <v>11</v>
      </c>
    </row>
    <row r="2419" spans="1:8" x14ac:dyDescent="0.3">
      <c r="A2419" t="s">
        <v>53</v>
      </c>
      <c r="B2419" t="s">
        <v>82</v>
      </c>
      <c r="C2419" t="s">
        <v>2719</v>
      </c>
      <c r="D2419">
        <v>1</v>
      </c>
      <c r="E2419" s="358">
        <v>6</v>
      </c>
      <c r="F2419" s="358" t="s">
        <v>7</v>
      </c>
      <c r="G2419" s="358" t="s">
        <v>11</v>
      </c>
      <c r="H2419" s="358" t="s">
        <v>11</v>
      </c>
    </row>
    <row r="2420" spans="1:8" x14ac:dyDescent="0.3">
      <c r="A2420" t="s">
        <v>53</v>
      </c>
      <c r="B2420" t="s">
        <v>82</v>
      </c>
      <c r="C2420" t="s">
        <v>2783</v>
      </c>
      <c r="D2420">
        <v>1</v>
      </c>
      <c r="E2420" s="358">
        <v>6</v>
      </c>
      <c r="F2420" s="358" t="s">
        <v>7</v>
      </c>
      <c r="G2420" s="358" t="s">
        <v>11</v>
      </c>
      <c r="H2420" s="358" t="s">
        <v>11</v>
      </c>
    </row>
    <row r="2421" spans="1:8" x14ac:dyDescent="0.3">
      <c r="A2421" t="s">
        <v>53</v>
      </c>
      <c r="B2421" t="s">
        <v>82</v>
      </c>
      <c r="C2421" t="s">
        <v>2784</v>
      </c>
      <c r="D2421">
        <v>1</v>
      </c>
      <c r="E2421" s="358">
        <v>6</v>
      </c>
      <c r="F2421" s="358" t="s">
        <v>7</v>
      </c>
      <c r="G2421" s="358" t="s">
        <v>11</v>
      </c>
      <c r="H2421" s="358" t="s">
        <v>11</v>
      </c>
    </row>
    <row r="2422" spans="1:8" x14ac:dyDescent="0.3">
      <c r="A2422" t="s">
        <v>53</v>
      </c>
      <c r="B2422" t="s">
        <v>82</v>
      </c>
      <c r="C2422" t="s">
        <v>2342</v>
      </c>
      <c r="D2422">
        <v>2</v>
      </c>
      <c r="E2422" s="358">
        <v>6</v>
      </c>
      <c r="F2422" s="358" t="s">
        <v>7</v>
      </c>
      <c r="G2422" s="358" t="s">
        <v>11</v>
      </c>
      <c r="H2422" s="358" t="s">
        <v>11</v>
      </c>
    </row>
    <row r="2423" spans="1:8" x14ac:dyDescent="0.3">
      <c r="A2423" t="s">
        <v>53</v>
      </c>
      <c r="B2423" t="s">
        <v>82</v>
      </c>
      <c r="C2423" t="s">
        <v>2785</v>
      </c>
      <c r="D2423">
        <v>1</v>
      </c>
      <c r="E2423" s="358">
        <v>6</v>
      </c>
      <c r="F2423" s="358" t="s">
        <v>7</v>
      </c>
      <c r="G2423" s="358" t="s">
        <v>11</v>
      </c>
      <c r="H2423" s="358" t="s">
        <v>11</v>
      </c>
    </row>
    <row r="2424" spans="1:8" x14ac:dyDescent="0.3">
      <c r="A2424" t="s">
        <v>53</v>
      </c>
      <c r="B2424" t="s">
        <v>82</v>
      </c>
      <c r="C2424" t="s">
        <v>2786</v>
      </c>
      <c r="D2424">
        <v>1</v>
      </c>
      <c r="E2424" s="358">
        <v>6</v>
      </c>
      <c r="F2424" s="358" t="s">
        <v>7</v>
      </c>
      <c r="G2424" s="358" t="s">
        <v>11</v>
      </c>
      <c r="H2424" s="358" t="s">
        <v>11</v>
      </c>
    </row>
    <row r="2425" spans="1:8" x14ac:dyDescent="0.3">
      <c r="A2425" t="s">
        <v>53</v>
      </c>
      <c r="B2425" t="s">
        <v>82</v>
      </c>
      <c r="C2425" t="s">
        <v>2787</v>
      </c>
      <c r="D2425">
        <v>1</v>
      </c>
      <c r="E2425" s="358">
        <v>6</v>
      </c>
      <c r="F2425" s="358" t="s">
        <v>7</v>
      </c>
      <c r="G2425" s="358" t="s">
        <v>11</v>
      </c>
      <c r="H2425" s="358" t="s">
        <v>11</v>
      </c>
    </row>
    <row r="2426" spans="1:8" x14ac:dyDescent="0.3">
      <c r="A2426" t="s">
        <v>53</v>
      </c>
      <c r="B2426" t="s">
        <v>82</v>
      </c>
      <c r="C2426" t="s">
        <v>2061</v>
      </c>
      <c r="D2426">
        <v>2</v>
      </c>
      <c r="E2426" s="358">
        <v>5</v>
      </c>
      <c r="F2426" s="358" t="s">
        <v>7</v>
      </c>
      <c r="G2426" s="358" t="s">
        <v>11</v>
      </c>
      <c r="H2426" s="358" t="s">
        <v>11</v>
      </c>
    </row>
    <row r="2427" spans="1:8" x14ac:dyDescent="0.3">
      <c r="A2427" t="s">
        <v>53</v>
      </c>
      <c r="B2427" t="s">
        <v>82</v>
      </c>
      <c r="C2427" t="s">
        <v>2788</v>
      </c>
      <c r="D2427">
        <v>2</v>
      </c>
      <c r="E2427" s="358">
        <v>5</v>
      </c>
      <c r="F2427" s="358" t="s">
        <v>7</v>
      </c>
      <c r="G2427" s="358" t="s">
        <v>11</v>
      </c>
      <c r="H2427" s="358" t="s">
        <v>11</v>
      </c>
    </row>
    <row r="2428" spans="1:8" x14ac:dyDescent="0.3">
      <c r="A2428" t="s">
        <v>53</v>
      </c>
      <c r="B2428" t="s">
        <v>82</v>
      </c>
      <c r="C2428" t="s">
        <v>1753</v>
      </c>
      <c r="D2428">
        <v>1</v>
      </c>
      <c r="E2428" s="358">
        <v>6</v>
      </c>
      <c r="F2428" s="358" t="s">
        <v>7</v>
      </c>
      <c r="G2428" s="358" t="s">
        <v>11</v>
      </c>
      <c r="H2428" s="358" t="s">
        <v>11</v>
      </c>
    </row>
    <row r="2429" spans="1:8" x14ac:dyDescent="0.3">
      <c r="A2429" t="s">
        <v>53</v>
      </c>
      <c r="B2429" t="s">
        <v>82</v>
      </c>
      <c r="C2429" t="s">
        <v>1479</v>
      </c>
      <c r="D2429">
        <v>1</v>
      </c>
      <c r="E2429" s="358">
        <v>5</v>
      </c>
      <c r="F2429" s="358" t="s">
        <v>7</v>
      </c>
      <c r="G2429" s="358" t="s">
        <v>11</v>
      </c>
      <c r="H2429" s="358" t="s">
        <v>11</v>
      </c>
    </row>
    <row r="2430" spans="1:8" x14ac:dyDescent="0.3">
      <c r="A2430" t="s">
        <v>53</v>
      </c>
      <c r="B2430" t="s">
        <v>82</v>
      </c>
      <c r="C2430" t="s">
        <v>2789</v>
      </c>
      <c r="D2430">
        <v>1</v>
      </c>
      <c r="E2430" s="358">
        <v>6</v>
      </c>
      <c r="F2430" s="358" t="s">
        <v>7</v>
      </c>
      <c r="G2430" s="358" t="s">
        <v>11</v>
      </c>
      <c r="H2430" s="358" t="s">
        <v>11</v>
      </c>
    </row>
    <row r="2431" spans="1:8" x14ac:dyDescent="0.3">
      <c r="A2431" t="s">
        <v>53</v>
      </c>
      <c r="B2431" t="s">
        <v>82</v>
      </c>
      <c r="C2431" t="s">
        <v>2790</v>
      </c>
      <c r="D2431">
        <v>1</v>
      </c>
      <c r="E2431" s="358">
        <v>5</v>
      </c>
      <c r="F2431" s="358" t="s">
        <v>7</v>
      </c>
      <c r="G2431" s="358" t="s">
        <v>11</v>
      </c>
      <c r="H2431" s="358" t="s">
        <v>11</v>
      </c>
    </row>
    <row r="2432" spans="1:8" x14ac:dyDescent="0.3">
      <c r="A2432" t="s">
        <v>53</v>
      </c>
      <c r="B2432" t="s">
        <v>82</v>
      </c>
      <c r="C2432" t="s">
        <v>2791</v>
      </c>
      <c r="D2432">
        <v>2</v>
      </c>
      <c r="E2432" s="358">
        <v>6</v>
      </c>
      <c r="F2432" s="358" t="s">
        <v>7</v>
      </c>
      <c r="G2432" s="358" t="s">
        <v>11</v>
      </c>
      <c r="H2432" s="358" t="s">
        <v>11</v>
      </c>
    </row>
    <row r="2433" spans="1:8" x14ac:dyDescent="0.3">
      <c r="A2433" t="s">
        <v>55</v>
      </c>
      <c r="B2433" t="s">
        <v>111</v>
      </c>
      <c r="C2433" t="s">
        <v>1943</v>
      </c>
      <c r="D2433">
        <v>1</v>
      </c>
      <c r="E2433" s="358">
        <v>4</v>
      </c>
      <c r="F2433" s="358" t="s">
        <v>7</v>
      </c>
      <c r="G2433" s="358" t="s">
        <v>11</v>
      </c>
      <c r="H2433" s="358" t="s">
        <v>11</v>
      </c>
    </row>
    <row r="2434" spans="1:8" x14ac:dyDescent="0.3">
      <c r="A2434" t="s">
        <v>55</v>
      </c>
      <c r="B2434" t="s">
        <v>111</v>
      </c>
      <c r="C2434" t="s">
        <v>2695</v>
      </c>
      <c r="D2434">
        <v>1</v>
      </c>
      <c r="E2434" s="358">
        <v>4</v>
      </c>
      <c r="F2434" s="358" t="s">
        <v>7</v>
      </c>
      <c r="G2434" s="358" t="s">
        <v>11</v>
      </c>
      <c r="H2434" s="358" t="s">
        <v>11</v>
      </c>
    </row>
    <row r="2435" spans="1:8" x14ac:dyDescent="0.3">
      <c r="A2435" t="s">
        <v>55</v>
      </c>
      <c r="B2435" t="s">
        <v>111</v>
      </c>
      <c r="C2435" t="s">
        <v>1430</v>
      </c>
      <c r="D2435">
        <v>2</v>
      </c>
      <c r="E2435" s="358">
        <v>4</v>
      </c>
      <c r="F2435" s="358" t="s">
        <v>7</v>
      </c>
      <c r="G2435" s="358" t="s">
        <v>11</v>
      </c>
      <c r="H2435" s="358" t="s">
        <v>11</v>
      </c>
    </row>
    <row r="2436" spans="1:8" x14ac:dyDescent="0.3">
      <c r="A2436" t="s">
        <v>55</v>
      </c>
      <c r="B2436" t="s">
        <v>111</v>
      </c>
      <c r="C2436" t="s">
        <v>2792</v>
      </c>
      <c r="D2436">
        <v>3</v>
      </c>
      <c r="E2436" s="358">
        <v>4</v>
      </c>
      <c r="F2436" s="358" t="s">
        <v>7</v>
      </c>
      <c r="G2436" s="358" t="s">
        <v>11</v>
      </c>
      <c r="H2436" s="358" t="s">
        <v>11</v>
      </c>
    </row>
    <row r="2437" spans="1:8" x14ac:dyDescent="0.3">
      <c r="A2437" t="s">
        <v>55</v>
      </c>
      <c r="B2437" t="s">
        <v>111</v>
      </c>
      <c r="C2437" t="s">
        <v>1319</v>
      </c>
      <c r="D2437">
        <v>1</v>
      </c>
      <c r="E2437" s="358">
        <v>4</v>
      </c>
      <c r="F2437" s="358" t="s">
        <v>7</v>
      </c>
      <c r="G2437" s="358" t="s">
        <v>11</v>
      </c>
      <c r="H2437" s="358" t="s">
        <v>11</v>
      </c>
    </row>
    <row r="2438" spans="1:8" x14ac:dyDescent="0.3">
      <c r="A2438" t="s">
        <v>55</v>
      </c>
      <c r="B2438" t="s">
        <v>111</v>
      </c>
      <c r="C2438" t="s">
        <v>1432</v>
      </c>
      <c r="D2438">
        <v>1</v>
      </c>
      <c r="E2438" s="358">
        <v>4</v>
      </c>
      <c r="F2438" s="358" t="s">
        <v>7</v>
      </c>
      <c r="G2438" s="358" t="s">
        <v>11</v>
      </c>
      <c r="H2438" s="358" t="s">
        <v>11</v>
      </c>
    </row>
    <row r="2439" spans="1:8" x14ac:dyDescent="0.3">
      <c r="A2439" t="s">
        <v>55</v>
      </c>
      <c r="B2439" t="s">
        <v>111</v>
      </c>
      <c r="C2439" t="s">
        <v>2022</v>
      </c>
      <c r="D2439">
        <v>3</v>
      </c>
      <c r="E2439" s="358">
        <v>4</v>
      </c>
      <c r="F2439" s="358" t="s">
        <v>7</v>
      </c>
      <c r="G2439" s="358" t="s">
        <v>11</v>
      </c>
      <c r="H2439" s="358" t="s">
        <v>11</v>
      </c>
    </row>
    <row r="2440" spans="1:8" x14ac:dyDescent="0.3">
      <c r="A2440" t="s">
        <v>55</v>
      </c>
      <c r="B2440" t="s">
        <v>111</v>
      </c>
      <c r="C2440" t="s">
        <v>2793</v>
      </c>
      <c r="D2440">
        <v>2</v>
      </c>
      <c r="E2440" s="358">
        <v>4</v>
      </c>
      <c r="F2440" s="358" t="s">
        <v>7</v>
      </c>
      <c r="G2440" s="358" t="s">
        <v>11</v>
      </c>
      <c r="H2440" s="358" t="s">
        <v>11</v>
      </c>
    </row>
    <row r="2441" spans="1:8" x14ac:dyDescent="0.3">
      <c r="A2441" t="s">
        <v>55</v>
      </c>
      <c r="B2441" t="s">
        <v>111</v>
      </c>
      <c r="C2441" t="s">
        <v>1433</v>
      </c>
      <c r="D2441">
        <v>3</v>
      </c>
      <c r="E2441" s="358">
        <v>4</v>
      </c>
      <c r="F2441" s="358" t="s">
        <v>7</v>
      </c>
      <c r="G2441" s="358" t="s">
        <v>11</v>
      </c>
      <c r="H2441" s="358" t="s">
        <v>11</v>
      </c>
    </row>
    <row r="2442" spans="1:8" x14ac:dyDescent="0.3">
      <c r="A2442" t="s">
        <v>55</v>
      </c>
      <c r="B2442" t="s">
        <v>111</v>
      </c>
      <c r="C2442" t="s">
        <v>2024</v>
      </c>
      <c r="D2442">
        <v>2</v>
      </c>
      <c r="E2442" s="358">
        <v>4</v>
      </c>
      <c r="F2442" s="358" t="s">
        <v>7</v>
      </c>
      <c r="G2442" s="358" t="s">
        <v>11</v>
      </c>
      <c r="H2442" s="358" t="s">
        <v>11</v>
      </c>
    </row>
    <row r="2443" spans="1:8" x14ac:dyDescent="0.3">
      <c r="A2443" t="s">
        <v>55</v>
      </c>
      <c r="B2443" t="s">
        <v>111</v>
      </c>
      <c r="C2443" t="s">
        <v>2794</v>
      </c>
      <c r="D2443">
        <v>2</v>
      </c>
      <c r="E2443" s="358">
        <v>4</v>
      </c>
      <c r="F2443" s="358" t="s">
        <v>7</v>
      </c>
      <c r="G2443" s="358" t="s">
        <v>11</v>
      </c>
      <c r="H2443" s="358" t="s">
        <v>11</v>
      </c>
    </row>
    <row r="2444" spans="1:8" x14ac:dyDescent="0.3">
      <c r="A2444" t="s">
        <v>55</v>
      </c>
      <c r="B2444" t="s">
        <v>111</v>
      </c>
      <c r="C2444" t="s">
        <v>2701</v>
      </c>
      <c r="D2444">
        <v>2</v>
      </c>
      <c r="E2444" s="358">
        <v>3</v>
      </c>
      <c r="F2444" s="358" t="s">
        <v>7</v>
      </c>
      <c r="G2444" s="358" t="s">
        <v>11</v>
      </c>
      <c r="H2444" s="358" t="s">
        <v>11</v>
      </c>
    </row>
    <row r="2445" spans="1:8" x14ac:dyDescent="0.3">
      <c r="A2445" t="s">
        <v>55</v>
      </c>
      <c r="B2445" t="s">
        <v>111</v>
      </c>
      <c r="C2445" t="s">
        <v>2076</v>
      </c>
      <c r="D2445">
        <v>1</v>
      </c>
      <c r="E2445" s="358">
        <v>4</v>
      </c>
      <c r="F2445" s="358" t="s">
        <v>7</v>
      </c>
      <c r="G2445" s="358" t="s">
        <v>11</v>
      </c>
      <c r="H2445" s="358" t="s">
        <v>11</v>
      </c>
    </row>
    <row r="2446" spans="1:8" x14ac:dyDescent="0.3">
      <c r="A2446" t="s">
        <v>55</v>
      </c>
      <c r="B2446" t="s">
        <v>111</v>
      </c>
      <c r="C2446" t="s">
        <v>1328</v>
      </c>
      <c r="D2446">
        <v>2</v>
      </c>
      <c r="E2446" s="358">
        <v>4</v>
      </c>
      <c r="F2446" s="358" t="s">
        <v>7</v>
      </c>
      <c r="G2446" s="358" t="s">
        <v>11</v>
      </c>
      <c r="H2446" s="358" t="s">
        <v>11</v>
      </c>
    </row>
    <row r="2447" spans="1:8" x14ac:dyDescent="0.3">
      <c r="A2447" t="s">
        <v>55</v>
      </c>
      <c r="B2447" t="s">
        <v>111</v>
      </c>
      <c r="C2447" t="s">
        <v>2795</v>
      </c>
      <c r="D2447">
        <v>2</v>
      </c>
      <c r="E2447" s="358">
        <v>4</v>
      </c>
      <c r="F2447" s="358" t="s">
        <v>7</v>
      </c>
      <c r="G2447" s="358" t="s">
        <v>11</v>
      </c>
      <c r="H2447" s="358" t="s">
        <v>11</v>
      </c>
    </row>
    <row r="2448" spans="1:8" x14ac:dyDescent="0.3">
      <c r="A2448" t="s">
        <v>55</v>
      </c>
      <c r="B2448" t="s">
        <v>111</v>
      </c>
      <c r="C2448" t="s">
        <v>1330</v>
      </c>
      <c r="D2448">
        <v>2</v>
      </c>
      <c r="E2448" s="358">
        <v>4</v>
      </c>
      <c r="F2448" s="358" t="s">
        <v>7</v>
      </c>
      <c r="G2448" s="358" t="s">
        <v>11</v>
      </c>
      <c r="H2448" s="358" t="s">
        <v>11</v>
      </c>
    </row>
    <row r="2449" spans="1:8" x14ac:dyDescent="0.3">
      <c r="A2449" t="s">
        <v>55</v>
      </c>
      <c r="B2449" t="s">
        <v>111</v>
      </c>
      <c r="C2449" t="s">
        <v>2796</v>
      </c>
      <c r="D2449">
        <v>3</v>
      </c>
      <c r="E2449" s="358">
        <v>3</v>
      </c>
      <c r="F2449" s="358" t="s">
        <v>7</v>
      </c>
      <c r="G2449" s="358" t="s">
        <v>11</v>
      </c>
      <c r="H2449" s="358" t="s">
        <v>11</v>
      </c>
    </row>
    <row r="2450" spans="1:8" x14ac:dyDescent="0.3">
      <c r="A2450" t="s">
        <v>55</v>
      </c>
      <c r="B2450" t="s">
        <v>111</v>
      </c>
      <c r="C2450" t="s">
        <v>1812</v>
      </c>
      <c r="D2450">
        <v>3</v>
      </c>
      <c r="E2450" s="358">
        <v>4</v>
      </c>
      <c r="F2450" s="358" t="s">
        <v>7</v>
      </c>
      <c r="G2450" s="358" t="s">
        <v>11</v>
      </c>
      <c r="H2450" s="358" t="s">
        <v>11</v>
      </c>
    </row>
    <row r="2451" spans="1:8" x14ac:dyDescent="0.3">
      <c r="A2451" t="s">
        <v>55</v>
      </c>
      <c r="B2451" t="s">
        <v>111</v>
      </c>
      <c r="C2451" t="s">
        <v>2524</v>
      </c>
      <c r="D2451">
        <v>1</v>
      </c>
      <c r="E2451" s="358">
        <v>4</v>
      </c>
      <c r="F2451" s="358" t="s">
        <v>7</v>
      </c>
      <c r="G2451" s="358" t="s">
        <v>11</v>
      </c>
      <c r="H2451" s="358" t="s">
        <v>11</v>
      </c>
    </row>
    <row r="2452" spans="1:8" x14ac:dyDescent="0.3">
      <c r="A2452" t="s">
        <v>55</v>
      </c>
      <c r="B2452" t="s">
        <v>111</v>
      </c>
      <c r="C2452" t="s">
        <v>1687</v>
      </c>
      <c r="D2452">
        <v>2</v>
      </c>
      <c r="E2452" s="358">
        <v>4</v>
      </c>
      <c r="F2452" s="358" t="s">
        <v>7</v>
      </c>
      <c r="G2452" s="358" t="s">
        <v>11</v>
      </c>
      <c r="H2452" s="358" t="s">
        <v>11</v>
      </c>
    </row>
    <row r="2453" spans="1:8" x14ac:dyDescent="0.3">
      <c r="A2453" t="s">
        <v>55</v>
      </c>
      <c r="B2453" t="s">
        <v>111</v>
      </c>
      <c r="C2453" t="s">
        <v>1688</v>
      </c>
      <c r="D2453">
        <v>2</v>
      </c>
      <c r="E2453" s="358">
        <v>4</v>
      </c>
      <c r="F2453" s="358" t="s">
        <v>7</v>
      </c>
      <c r="G2453" s="358" t="s">
        <v>11</v>
      </c>
      <c r="H2453" s="358" t="s">
        <v>11</v>
      </c>
    </row>
    <row r="2454" spans="1:8" x14ac:dyDescent="0.3">
      <c r="A2454" t="s">
        <v>55</v>
      </c>
      <c r="B2454" t="s">
        <v>111</v>
      </c>
      <c r="C2454" t="s">
        <v>2797</v>
      </c>
      <c r="D2454">
        <v>2</v>
      </c>
      <c r="E2454" s="358">
        <v>4</v>
      </c>
      <c r="F2454" s="358" t="s">
        <v>7</v>
      </c>
      <c r="G2454" s="358" t="s">
        <v>11</v>
      </c>
      <c r="H2454" s="358" t="s">
        <v>11</v>
      </c>
    </row>
    <row r="2455" spans="1:8" x14ac:dyDescent="0.3">
      <c r="A2455" t="s">
        <v>55</v>
      </c>
      <c r="B2455" t="s">
        <v>111</v>
      </c>
      <c r="C2455" t="s">
        <v>2798</v>
      </c>
      <c r="D2455">
        <v>3</v>
      </c>
      <c r="E2455" s="358">
        <v>3</v>
      </c>
      <c r="F2455" s="358" t="s">
        <v>7</v>
      </c>
      <c r="G2455" s="358" t="s">
        <v>11</v>
      </c>
      <c r="H2455" s="358" t="s">
        <v>11</v>
      </c>
    </row>
    <row r="2456" spans="1:8" x14ac:dyDescent="0.3">
      <c r="A2456" t="s">
        <v>55</v>
      </c>
      <c r="B2456" t="s">
        <v>111</v>
      </c>
      <c r="C2456" t="s">
        <v>1343</v>
      </c>
      <c r="D2456">
        <v>3</v>
      </c>
      <c r="E2456" s="358">
        <v>3</v>
      </c>
      <c r="F2456" s="358" t="s">
        <v>7</v>
      </c>
      <c r="G2456" s="358" t="s">
        <v>11</v>
      </c>
      <c r="H2456" s="358" t="s">
        <v>11</v>
      </c>
    </row>
    <row r="2457" spans="1:8" x14ac:dyDescent="0.3">
      <c r="A2457" t="s">
        <v>55</v>
      </c>
      <c r="B2457" t="s">
        <v>111</v>
      </c>
      <c r="C2457" t="s">
        <v>2799</v>
      </c>
      <c r="D2457">
        <v>2</v>
      </c>
      <c r="E2457" s="358">
        <v>4</v>
      </c>
      <c r="F2457" s="358" t="s">
        <v>7</v>
      </c>
      <c r="G2457" s="358" t="s">
        <v>11</v>
      </c>
      <c r="H2457" s="358" t="s">
        <v>11</v>
      </c>
    </row>
    <row r="2458" spans="1:8" x14ac:dyDescent="0.3">
      <c r="A2458" t="s">
        <v>55</v>
      </c>
      <c r="B2458" t="s">
        <v>111</v>
      </c>
      <c r="C2458" t="s">
        <v>1344</v>
      </c>
      <c r="D2458">
        <v>3</v>
      </c>
      <c r="E2458" s="358">
        <v>4</v>
      </c>
      <c r="F2458" s="358" t="s">
        <v>7</v>
      </c>
      <c r="G2458" s="358" t="s">
        <v>11</v>
      </c>
      <c r="H2458" s="358" t="s">
        <v>11</v>
      </c>
    </row>
    <row r="2459" spans="1:8" x14ac:dyDescent="0.3">
      <c r="A2459" t="s">
        <v>55</v>
      </c>
      <c r="B2459" t="s">
        <v>111</v>
      </c>
      <c r="C2459" t="s">
        <v>1866</v>
      </c>
      <c r="D2459">
        <v>3</v>
      </c>
      <c r="E2459" s="358">
        <v>4</v>
      </c>
      <c r="F2459" s="358" t="s">
        <v>7</v>
      </c>
      <c r="G2459" s="358" t="s">
        <v>11</v>
      </c>
      <c r="H2459" s="358" t="s">
        <v>11</v>
      </c>
    </row>
    <row r="2460" spans="1:8" x14ac:dyDescent="0.3">
      <c r="A2460" t="s">
        <v>55</v>
      </c>
      <c r="B2460" t="s">
        <v>111</v>
      </c>
      <c r="C2460" t="s">
        <v>2800</v>
      </c>
      <c r="D2460">
        <v>1</v>
      </c>
      <c r="E2460" s="358">
        <v>4</v>
      </c>
      <c r="F2460" s="358" t="s">
        <v>7</v>
      </c>
      <c r="G2460" s="358" t="s">
        <v>11</v>
      </c>
      <c r="H2460" s="358" t="s">
        <v>11</v>
      </c>
    </row>
    <row r="2461" spans="1:8" x14ac:dyDescent="0.3">
      <c r="A2461" t="s">
        <v>55</v>
      </c>
      <c r="B2461" t="s">
        <v>111</v>
      </c>
      <c r="C2461" t="s">
        <v>2801</v>
      </c>
      <c r="D2461">
        <v>1</v>
      </c>
      <c r="E2461" s="358">
        <v>4</v>
      </c>
      <c r="F2461" s="358" t="s">
        <v>7</v>
      </c>
      <c r="G2461" s="358" t="s">
        <v>11</v>
      </c>
      <c r="H2461" s="358" t="s">
        <v>11</v>
      </c>
    </row>
    <row r="2462" spans="1:8" x14ac:dyDescent="0.3">
      <c r="A2462" t="s">
        <v>55</v>
      </c>
      <c r="B2462" t="s">
        <v>111</v>
      </c>
      <c r="C2462" t="s">
        <v>1346</v>
      </c>
      <c r="D2462">
        <v>1</v>
      </c>
      <c r="E2462" s="358">
        <v>4</v>
      </c>
      <c r="F2462" s="358" t="s">
        <v>7</v>
      </c>
      <c r="G2462" s="358" t="s">
        <v>11</v>
      </c>
      <c r="H2462" s="358" t="s">
        <v>11</v>
      </c>
    </row>
    <row r="2463" spans="1:8" x14ac:dyDescent="0.3">
      <c r="A2463" t="s">
        <v>55</v>
      </c>
      <c r="B2463" t="s">
        <v>111</v>
      </c>
      <c r="C2463" t="s">
        <v>1819</v>
      </c>
      <c r="D2463">
        <v>3</v>
      </c>
      <c r="E2463" s="358">
        <v>4</v>
      </c>
      <c r="F2463" s="358" t="s">
        <v>7</v>
      </c>
      <c r="G2463" s="358" t="s">
        <v>11</v>
      </c>
      <c r="H2463" s="358" t="s">
        <v>11</v>
      </c>
    </row>
    <row r="2464" spans="1:8" x14ac:dyDescent="0.3">
      <c r="A2464" t="s">
        <v>55</v>
      </c>
      <c r="B2464" t="s">
        <v>111</v>
      </c>
      <c r="C2464" t="s">
        <v>2802</v>
      </c>
      <c r="D2464">
        <v>1</v>
      </c>
      <c r="E2464" s="358">
        <v>4</v>
      </c>
      <c r="F2464" s="358" t="s">
        <v>7</v>
      </c>
      <c r="G2464" s="358" t="s">
        <v>11</v>
      </c>
      <c r="H2464" s="358" t="s">
        <v>11</v>
      </c>
    </row>
    <row r="2465" spans="1:8" x14ac:dyDescent="0.3">
      <c r="A2465" t="s">
        <v>55</v>
      </c>
      <c r="B2465" t="s">
        <v>111</v>
      </c>
      <c r="C2465" t="s">
        <v>1624</v>
      </c>
      <c r="D2465">
        <v>2</v>
      </c>
      <c r="E2465" s="358">
        <v>4</v>
      </c>
      <c r="F2465" s="358" t="s">
        <v>7</v>
      </c>
      <c r="G2465" s="358" t="s">
        <v>11</v>
      </c>
      <c r="H2465" s="358" t="s">
        <v>11</v>
      </c>
    </row>
    <row r="2466" spans="1:8" x14ac:dyDescent="0.3">
      <c r="A2466" t="s">
        <v>55</v>
      </c>
      <c r="B2466" t="s">
        <v>111</v>
      </c>
      <c r="C2466" t="s">
        <v>1708</v>
      </c>
      <c r="D2466">
        <v>1</v>
      </c>
      <c r="E2466" s="358">
        <v>4</v>
      </c>
      <c r="F2466" s="358" t="s">
        <v>7</v>
      </c>
      <c r="G2466" s="358" t="s">
        <v>11</v>
      </c>
      <c r="H2466" s="358" t="s">
        <v>11</v>
      </c>
    </row>
    <row r="2467" spans="1:8" x14ac:dyDescent="0.3">
      <c r="A2467" t="s">
        <v>55</v>
      </c>
      <c r="B2467" t="s">
        <v>111</v>
      </c>
      <c r="C2467" t="s">
        <v>2803</v>
      </c>
      <c r="D2467">
        <v>3</v>
      </c>
      <c r="E2467" s="358">
        <v>3</v>
      </c>
      <c r="F2467" s="358" t="s">
        <v>7</v>
      </c>
      <c r="G2467" s="358" t="s">
        <v>11</v>
      </c>
      <c r="H2467" s="358" t="s">
        <v>11</v>
      </c>
    </row>
    <row r="2468" spans="1:8" x14ac:dyDescent="0.3">
      <c r="A2468" t="s">
        <v>55</v>
      </c>
      <c r="B2468" t="s">
        <v>111</v>
      </c>
      <c r="C2468" t="s">
        <v>1820</v>
      </c>
      <c r="D2468">
        <v>2</v>
      </c>
      <c r="E2468" s="358">
        <v>3</v>
      </c>
      <c r="F2468" s="358" t="s">
        <v>7</v>
      </c>
      <c r="G2468" s="358" t="s">
        <v>11</v>
      </c>
      <c r="H2468" s="358" t="s">
        <v>11</v>
      </c>
    </row>
    <row r="2469" spans="1:8" x14ac:dyDescent="0.3">
      <c r="A2469" t="s">
        <v>55</v>
      </c>
      <c r="B2469" t="s">
        <v>111</v>
      </c>
      <c r="C2469" t="s">
        <v>2804</v>
      </c>
      <c r="D2469">
        <v>1</v>
      </c>
      <c r="E2469" s="358">
        <v>4</v>
      </c>
      <c r="F2469" s="358" t="s">
        <v>7</v>
      </c>
      <c r="G2469" s="358" t="s">
        <v>11</v>
      </c>
      <c r="H2469" s="358" t="s">
        <v>11</v>
      </c>
    </row>
    <row r="2470" spans="1:8" x14ac:dyDescent="0.3">
      <c r="A2470" t="s">
        <v>55</v>
      </c>
      <c r="B2470" t="s">
        <v>111</v>
      </c>
      <c r="C2470" t="s">
        <v>2535</v>
      </c>
      <c r="D2470">
        <v>3</v>
      </c>
      <c r="E2470" s="358">
        <v>3</v>
      </c>
      <c r="F2470" s="358" t="s">
        <v>7</v>
      </c>
      <c r="G2470" s="358" t="s">
        <v>11</v>
      </c>
      <c r="H2470" s="358" t="s">
        <v>11</v>
      </c>
    </row>
    <row r="2471" spans="1:8" x14ac:dyDescent="0.3">
      <c r="A2471" t="s">
        <v>55</v>
      </c>
      <c r="B2471" t="s">
        <v>111</v>
      </c>
      <c r="C2471" t="s">
        <v>1821</v>
      </c>
      <c r="D2471">
        <v>2</v>
      </c>
      <c r="E2471" s="358">
        <v>3</v>
      </c>
      <c r="F2471" s="358" t="s">
        <v>7</v>
      </c>
      <c r="G2471" s="358" t="s">
        <v>11</v>
      </c>
      <c r="H2471" s="358" t="s">
        <v>11</v>
      </c>
    </row>
    <row r="2472" spans="1:8" x14ac:dyDescent="0.3">
      <c r="A2472" t="s">
        <v>55</v>
      </c>
      <c r="B2472" t="s">
        <v>111</v>
      </c>
      <c r="C2472" t="s">
        <v>1348</v>
      </c>
      <c r="D2472">
        <v>3</v>
      </c>
      <c r="E2472" s="358">
        <v>4</v>
      </c>
      <c r="F2472" s="358" t="s">
        <v>7</v>
      </c>
      <c r="G2472" s="358" t="s">
        <v>11</v>
      </c>
      <c r="H2472" s="358" t="s">
        <v>11</v>
      </c>
    </row>
    <row r="2473" spans="1:8" x14ac:dyDescent="0.3">
      <c r="A2473" t="s">
        <v>55</v>
      </c>
      <c r="B2473" t="s">
        <v>111</v>
      </c>
      <c r="C2473" t="s">
        <v>2036</v>
      </c>
      <c r="D2473">
        <v>1</v>
      </c>
      <c r="E2473" s="358">
        <v>4</v>
      </c>
      <c r="F2473" s="358" t="s">
        <v>7</v>
      </c>
      <c r="G2473" s="358" t="s">
        <v>11</v>
      </c>
      <c r="H2473" s="358" t="s">
        <v>11</v>
      </c>
    </row>
    <row r="2474" spans="1:8" x14ac:dyDescent="0.3">
      <c r="A2474" t="s">
        <v>55</v>
      </c>
      <c r="B2474" t="s">
        <v>111</v>
      </c>
      <c r="C2474" t="s">
        <v>1349</v>
      </c>
      <c r="D2474">
        <v>2</v>
      </c>
      <c r="E2474" s="358">
        <v>4</v>
      </c>
      <c r="F2474" s="358" t="s">
        <v>7</v>
      </c>
      <c r="G2474" s="358" t="s">
        <v>11</v>
      </c>
      <c r="H2474" s="358" t="s">
        <v>11</v>
      </c>
    </row>
    <row r="2475" spans="1:8" x14ac:dyDescent="0.3">
      <c r="A2475" t="s">
        <v>55</v>
      </c>
      <c r="B2475" t="s">
        <v>111</v>
      </c>
      <c r="C2475" t="s">
        <v>2283</v>
      </c>
      <c r="D2475">
        <v>1</v>
      </c>
      <c r="E2475" s="358">
        <v>4</v>
      </c>
      <c r="F2475" s="358" t="s">
        <v>7</v>
      </c>
      <c r="G2475" s="358" t="s">
        <v>11</v>
      </c>
      <c r="H2475" s="358" t="s">
        <v>11</v>
      </c>
    </row>
    <row r="2476" spans="1:8" x14ac:dyDescent="0.3">
      <c r="A2476" t="s">
        <v>55</v>
      </c>
      <c r="B2476" t="s">
        <v>111</v>
      </c>
      <c r="C2476" t="s">
        <v>1350</v>
      </c>
      <c r="D2476">
        <v>1</v>
      </c>
      <c r="E2476" s="358">
        <v>4</v>
      </c>
      <c r="F2476" s="358" t="s">
        <v>7</v>
      </c>
      <c r="G2476" s="358" t="s">
        <v>11</v>
      </c>
      <c r="H2476" s="358" t="s">
        <v>11</v>
      </c>
    </row>
    <row r="2477" spans="1:8" x14ac:dyDescent="0.3">
      <c r="A2477" t="s">
        <v>55</v>
      </c>
      <c r="B2477" t="s">
        <v>111</v>
      </c>
      <c r="C2477" t="s">
        <v>1351</v>
      </c>
      <c r="D2477">
        <v>1</v>
      </c>
      <c r="E2477" s="358">
        <v>4</v>
      </c>
      <c r="F2477" s="358" t="s">
        <v>7</v>
      </c>
      <c r="G2477" s="358" t="s">
        <v>11</v>
      </c>
      <c r="H2477" s="358" t="s">
        <v>11</v>
      </c>
    </row>
    <row r="2478" spans="1:8" x14ac:dyDescent="0.3">
      <c r="A2478" t="s">
        <v>55</v>
      </c>
      <c r="B2478" t="s">
        <v>111</v>
      </c>
      <c r="C2478" t="s">
        <v>1454</v>
      </c>
      <c r="D2478">
        <v>2</v>
      </c>
      <c r="E2478" s="358">
        <v>4</v>
      </c>
      <c r="F2478" s="358" t="s">
        <v>7</v>
      </c>
      <c r="G2478" s="358" t="s">
        <v>11</v>
      </c>
      <c r="H2478" s="358" t="s">
        <v>11</v>
      </c>
    </row>
    <row r="2479" spans="1:8" x14ac:dyDescent="0.3">
      <c r="A2479" t="s">
        <v>55</v>
      </c>
      <c r="B2479" t="s">
        <v>111</v>
      </c>
      <c r="C2479" t="s">
        <v>1828</v>
      </c>
      <c r="D2479">
        <v>1</v>
      </c>
      <c r="E2479" s="358">
        <v>4</v>
      </c>
      <c r="F2479" s="358" t="s">
        <v>7</v>
      </c>
      <c r="G2479" s="358" t="s">
        <v>11</v>
      </c>
      <c r="H2479" s="358" t="s">
        <v>11</v>
      </c>
    </row>
    <row r="2480" spans="1:8" x14ac:dyDescent="0.3">
      <c r="A2480" t="s">
        <v>55</v>
      </c>
      <c r="B2480" t="s">
        <v>111</v>
      </c>
      <c r="C2480" t="s">
        <v>1500</v>
      </c>
      <c r="D2480">
        <v>3</v>
      </c>
      <c r="E2480" s="358">
        <v>3</v>
      </c>
      <c r="F2480" s="358" t="s">
        <v>7</v>
      </c>
      <c r="G2480" s="358" t="s">
        <v>11</v>
      </c>
      <c r="H2480" s="358" t="s">
        <v>11</v>
      </c>
    </row>
    <row r="2481" spans="1:8" x14ac:dyDescent="0.3">
      <c r="A2481" t="s">
        <v>55</v>
      </c>
      <c r="B2481" t="s">
        <v>111</v>
      </c>
      <c r="C2481" t="s">
        <v>1353</v>
      </c>
      <c r="D2481">
        <v>3</v>
      </c>
      <c r="E2481" s="358">
        <v>3</v>
      </c>
      <c r="F2481" s="358" t="s">
        <v>7</v>
      </c>
      <c r="G2481" s="358" t="s">
        <v>11</v>
      </c>
      <c r="H2481" s="358" t="s">
        <v>11</v>
      </c>
    </row>
    <row r="2482" spans="1:8" x14ac:dyDescent="0.3">
      <c r="A2482" t="s">
        <v>55</v>
      </c>
      <c r="B2482" t="s">
        <v>111</v>
      </c>
      <c r="C2482" t="s">
        <v>1354</v>
      </c>
      <c r="D2482">
        <v>1</v>
      </c>
      <c r="E2482" s="358">
        <v>4</v>
      </c>
      <c r="F2482" s="358" t="s">
        <v>7</v>
      </c>
      <c r="G2482" s="358" t="s">
        <v>11</v>
      </c>
      <c r="H2482" s="358" t="s">
        <v>11</v>
      </c>
    </row>
    <row r="2483" spans="1:8" x14ac:dyDescent="0.3">
      <c r="A2483" t="s">
        <v>55</v>
      </c>
      <c r="B2483" t="s">
        <v>111</v>
      </c>
      <c r="C2483" t="s">
        <v>1792</v>
      </c>
      <c r="D2483">
        <v>1</v>
      </c>
      <c r="E2483" s="358">
        <v>4</v>
      </c>
      <c r="F2483" s="358" t="s">
        <v>7</v>
      </c>
      <c r="G2483" s="358" t="s">
        <v>11</v>
      </c>
      <c r="H2483" s="358" t="s">
        <v>11</v>
      </c>
    </row>
    <row r="2484" spans="1:8" x14ac:dyDescent="0.3">
      <c r="A2484" t="s">
        <v>55</v>
      </c>
      <c r="B2484" t="s">
        <v>111</v>
      </c>
      <c r="C2484" t="s">
        <v>1456</v>
      </c>
      <c r="D2484">
        <v>1</v>
      </c>
      <c r="E2484" s="358">
        <v>4</v>
      </c>
      <c r="F2484" s="358" t="s">
        <v>7</v>
      </c>
      <c r="G2484" s="358" t="s">
        <v>11</v>
      </c>
      <c r="H2484" s="358" t="s">
        <v>11</v>
      </c>
    </row>
    <row r="2485" spans="1:8" x14ac:dyDescent="0.3">
      <c r="A2485" t="s">
        <v>55</v>
      </c>
      <c r="B2485" t="s">
        <v>111</v>
      </c>
      <c r="C2485" t="s">
        <v>2805</v>
      </c>
      <c r="D2485">
        <v>1</v>
      </c>
      <c r="E2485" s="358">
        <v>4</v>
      </c>
      <c r="F2485" s="358" t="s">
        <v>7</v>
      </c>
      <c r="G2485" s="358" t="s">
        <v>11</v>
      </c>
      <c r="H2485" s="358" t="s">
        <v>11</v>
      </c>
    </row>
    <row r="2486" spans="1:8" x14ac:dyDescent="0.3">
      <c r="A2486" t="s">
        <v>55</v>
      </c>
      <c r="B2486" t="s">
        <v>111</v>
      </c>
      <c r="C2486" t="s">
        <v>1358</v>
      </c>
      <c r="D2486">
        <v>2</v>
      </c>
      <c r="E2486" s="358">
        <v>4</v>
      </c>
      <c r="F2486" s="358" t="s">
        <v>7</v>
      </c>
      <c r="G2486" s="358" t="s">
        <v>11</v>
      </c>
      <c r="H2486" s="358" t="s">
        <v>11</v>
      </c>
    </row>
    <row r="2487" spans="1:8" x14ac:dyDescent="0.3">
      <c r="A2487" t="s">
        <v>55</v>
      </c>
      <c r="B2487" t="s">
        <v>111</v>
      </c>
      <c r="C2487" t="s">
        <v>1359</v>
      </c>
      <c r="D2487">
        <v>3</v>
      </c>
      <c r="E2487" s="358">
        <v>3</v>
      </c>
      <c r="F2487" s="358" t="s">
        <v>7</v>
      </c>
      <c r="G2487" s="358" t="s">
        <v>11</v>
      </c>
      <c r="H2487" s="358" t="s">
        <v>11</v>
      </c>
    </row>
    <row r="2488" spans="1:8" x14ac:dyDescent="0.3">
      <c r="A2488" t="s">
        <v>55</v>
      </c>
      <c r="B2488" t="s">
        <v>111</v>
      </c>
      <c r="C2488" t="s">
        <v>1361</v>
      </c>
      <c r="D2488">
        <v>3</v>
      </c>
      <c r="E2488" s="358">
        <v>4</v>
      </c>
      <c r="F2488" s="358" t="s">
        <v>7</v>
      </c>
      <c r="G2488" s="358" t="s">
        <v>11</v>
      </c>
      <c r="H2488" s="358" t="s">
        <v>11</v>
      </c>
    </row>
    <row r="2489" spans="1:8" x14ac:dyDescent="0.3">
      <c r="A2489" t="s">
        <v>55</v>
      </c>
      <c r="B2489" t="s">
        <v>111</v>
      </c>
      <c r="C2489" t="s">
        <v>1362</v>
      </c>
      <c r="D2489">
        <v>1</v>
      </c>
      <c r="E2489" s="358">
        <v>4</v>
      </c>
      <c r="F2489" s="358" t="s">
        <v>7</v>
      </c>
      <c r="G2489" s="358" t="s">
        <v>11</v>
      </c>
      <c r="H2489" s="358" t="s">
        <v>11</v>
      </c>
    </row>
    <row r="2490" spans="1:8" x14ac:dyDescent="0.3">
      <c r="A2490" t="s">
        <v>55</v>
      </c>
      <c r="B2490" t="s">
        <v>111</v>
      </c>
      <c r="C2490" t="s">
        <v>2806</v>
      </c>
      <c r="D2490">
        <v>1</v>
      </c>
      <c r="E2490" s="358">
        <v>4</v>
      </c>
      <c r="F2490" s="358" t="s">
        <v>7</v>
      </c>
      <c r="G2490" s="358" t="s">
        <v>11</v>
      </c>
      <c r="H2490" s="358" t="s">
        <v>11</v>
      </c>
    </row>
    <row r="2491" spans="1:8" x14ac:dyDescent="0.3">
      <c r="A2491" t="s">
        <v>55</v>
      </c>
      <c r="B2491" t="s">
        <v>111</v>
      </c>
      <c r="C2491" t="s">
        <v>2807</v>
      </c>
      <c r="D2491">
        <v>1</v>
      </c>
      <c r="E2491" s="358">
        <v>4</v>
      </c>
      <c r="F2491" s="358" t="s">
        <v>7</v>
      </c>
      <c r="G2491" s="358" t="s">
        <v>11</v>
      </c>
      <c r="H2491" s="358" t="s">
        <v>11</v>
      </c>
    </row>
    <row r="2492" spans="1:8" x14ac:dyDescent="0.3">
      <c r="A2492" t="s">
        <v>55</v>
      </c>
      <c r="B2492" t="s">
        <v>111</v>
      </c>
      <c r="C2492" t="s">
        <v>2808</v>
      </c>
      <c r="D2492">
        <v>2</v>
      </c>
      <c r="E2492" s="358">
        <v>3</v>
      </c>
      <c r="F2492" s="358" t="s">
        <v>7</v>
      </c>
      <c r="G2492" s="358" t="s">
        <v>11</v>
      </c>
      <c r="H2492" s="358" t="s">
        <v>11</v>
      </c>
    </row>
    <row r="2493" spans="1:8" x14ac:dyDescent="0.3">
      <c r="A2493" t="s">
        <v>55</v>
      </c>
      <c r="B2493" t="s">
        <v>111</v>
      </c>
      <c r="C2493" t="s">
        <v>2621</v>
      </c>
      <c r="D2493">
        <v>1</v>
      </c>
      <c r="E2493" s="358">
        <v>4</v>
      </c>
      <c r="F2493" s="358" t="s">
        <v>7</v>
      </c>
      <c r="G2493" s="358" t="s">
        <v>11</v>
      </c>
      <c r="H2493" s="358" t="s">
        <v>11</v>
      </c>
    </row>
    <row r="2494" spans="1:8" x14ac:dyDescent="0.3">
      <c r="A2494" t="s">
        <v>55</v>
      </c>
      <c r="B2494" t="s">
        <v>111</v>
      </c>
      <c r="C2494" t="s">
        <v>1364</v>
      </c>
      <c r="D2494">
        <v>1</v>
      </c>
      <c r="E2494" s="358">
        <v>4</v>
      </c>
      <c r="F2494" s="358" t="s">
        <v>7</v>
      </c>
      <c r="G2494" s="358" t="s">
        <v>11</v>
      </c>
      <c r="H2494" s="358" t="s">
        <v>11</v>
      </c>
    </row>
    <row r="2495" spans="1:8" x14ac:dyDescent="0.3">
      <c r="A2495" t="s">
        <v>55</v>
      </c>
      <c r="B2495" t="s">
        <v>111</v>
      </c>
      <c r="C2495" t="s">
        <v>1365</v>
      </c>
      <c r="D2495">
        <v>2</v>
      </c>
      <c r="E2495" s="358">
        <v>4</v>
      </c>
      <c r="F2495" s="358" t="s">
        <v>7</v>
      </c>
      <c r="G2495" s="358" t="s">
        <v>11</v>
      </c>
      <c r="H2495" s="358" t="s">
        <v>11</v>
      </c>
    </row>
    <row r="2496" spans="1:8" x14ac:dyDescent="0.3">
      <c r="A2496" t="s">
        <v>55</v>
      </c>
      <c r="B2496" t="s">
        <v>111</v>
      </c>
      <c r="C2496" t="s">
        <v>2544</v>
      </c>
      <c r="D2496">
        <v>1</v>
      </c>
      <c r="E2496" s="358">
        <v>4</v>
      </c>
      <c r="F2496" s="358" t="s">
        <v>7</v>
      </c>
      <c r="G2496" s="358" t="s">
        <v>11</v>
      </c>
      <c r="H2496" s="358" t="s">
        <v>11</v>
      </c>
    </row>
    <row r="2497" spans="1:8" x14ac:dyDescent="0.3">
      <c r="A2497" t="s">
        <v>55</v>
      </c>
      <c r="B2497" t="s">
        <v>111</v>
      </c>
      <c r="C2497" t="s">
        <v>1366</v>
      </c>
      <c r="D2497">
        <v>3</v>
      </c>
      <c r="E2497" s="358">
        <v>4</v>
      </c>
      <c r="F2497" s="358" t="s">
        <v>7</v>
      </c>
      <c r="G2497" s="358" t="s">
        <v>11</v>
      </c>
      <c r="H2497" s="358" t="s">
        <v>11</v>
      </c>
    </row>
    <row r="2498" spans="1:8" x14ac:dyDescent="0.3">
      <c r="A2498" t="s">
        <v>55</v>
      </c>
      <c r="B2498" t="s">
        <v>111</v>
      </c>
      <c r="C2498" t="s">
        <v>2809</v>
      </c>
      <c r="D2498">
        <v>3</v>
      </c>
      <c r="E2498" s="358">
        <v>4</v>
      </c>
      <c r="F2498" s="358" t="s">
        <v>7</v>
      </c>
      <c r="G2498" s="358" t="s">
        <v>11</v>
      </c>
      <c r="H2498" s="358" t="s">
        <v>11</v>
      </c>
    </row>
    <row r="2499" spans="1:8" x14ac:dyDescent="0.3">
      <c r="A2499" t="s">
        <v>55</v>
      </c>
      <c r="B2499" t="s">
        <v>111</v>
      </c>
      <c r="C2499" t="s">
        <v>2810</v>
      </c>
      <c r="D2499">
        <v>2</v>
      </c>
      <c r="E2499" s="358">
        <v>4</v>
      </c>
      <c r="F2499" s="358" t="s">
        <v>7</v>
      </c>
      <c r="G2499" s="358" t="s">
        <v>11</v>
      </c>
      <c r="H2499" s="358" t="s">
        <v>11</v>
      </c>
    </row>
    <row r="2500" spans="1:8" x14ac:dyDescent="0.3">
      <c r="A2500" t="s">
        <v>55</v>
      </c>
      <c r="B2500" t="s">
        <v>111</v>
      </c>
      <c r="C2500" t="s">
        <v>1367</v>
      </c>
      <c r="D2500">
        <v>1</v>
      </c>
      <c r="E2500" s="358">
        <v>4</v>
      </c>
      <c r="F2500" s="358" t="s">
        <v>7</v>
      </c>
      <c r="G2500" s="358" t="s">
        <v>11</v>
      </c>
      <c r="H2500" s="358" t="s">
        <v>11</v>
      </c>
    </row>
    <row r="2501" spans="1:8" x14ac:dyDescent="0.3">
      <c r="A2501" t="s">
        <v>55</v>
      </c>
      <c r="B2501" t="s">
        <v>111</v>
      </c>
      <c r="C2501" t="s">
        <v>2811</v>
      </c>
      <c r="D2501">
        <v>2</v>
      </c>
      <c r="E2501" s="358">
        <v>4</v>
      </c>
      <c r="F2501" s="358" t="s">
        <v>7</v>
      </c>
      <c r="G2501" s="358" t="s">
        <v>11</v>
      </c>
      <c r="H2501" s="358" t="s">
        <v>11</v>
      </c>
    </row>
    <row r="2502" spans="1:8" x14ac:dyDescent="0.3">
      <c r="A2502" t="s">
        <v>55</v>
      </c>
      <c r="B2502" t="s">
        <v>111</v>
      </c>
      <c r="C2502" t="s">
        <v>1467</v>
      </c>
      <c r="D2502">
        <v>2</v>
      </c>
      <c r="E2502" s="358">
        <v>4</v>
      </c>
      <c r="F2502" s="358" t="s">
        <v>7</v>
      </c>
      <c r="G2502" s="358" t="s">
        <v>11</v>
      </c>
      <c r="H2502" s="358" t="s">
        <v>11</v>
      </c>
    </row>
    <row r="2503" spans="1:8" x14ac:dyDescent="0.3">
      <c r="A2503" t="s">
        <v>55</v>
      </c>
      <c r="B2503" t="s">
        <v>111</v>
      </c>
      <c r="C2503" t="s">
        <v>1645</v>
      </c>
      <c r="D2503">
        <v>2</v>
      </c>
      <c r="E2503" s="358">
        <v>4</v>
      </c>
      <c r="F2503" s="358" t="s">
        <v>7</v>
      </c>
      <c r="G2503" s="358" t="s">
        <v>11</v>
      </c>
      <c r="H2503" s="358" t="s">
        <v>11</v>
      </c>
    </row>
    <row r="2504" spans="1:8" x14ac:dyDescent="0.3">
      <c r="A2504" t="s">
        <v>55</v>
      </c>
      <c r="B2504" t="s">
        <v>111</v>
      </c>
      <c r="C2504" t="s">
        <v>2812</v>
      </c>
      <c r="D2504">
        <v>3</v>
      </c>
      <c r="E2504" s="358">
        <v>4</v>
      </c>
      <c r="F2504" s="358" t="s">
        <v>7</v>
      </c>
      <c r="G2504" s="358" t="s">
        <v>11</v>
      </c>
      <c r="H2504" s="358" t="s">
        <v>11</v>
      </c>
    </row>
    <row r="2505" spans="1:8" x14ac:dyDescent="0.3">
      <c r="A2505" t="s">
        <v>55</v>
      </c>
      <c r="B2505" t="s">
        <v>111</v>
      </c>
      <c r="C2505" t="s">
        <v>2813</v>
      </c>
      <c r="D2505">
        <v>1</v>
      </c>
      <c r="E2505" s="358">
        <v>4</v>
      </c>
      <c r="F2505" s="358" t="s">
        <v>7</v>
      </c>
      <c r="G2505" s="358" t="s">
        <v>11</v>
      </c>
      <c r="H2505" s="358" t="s">
        <v>11</v>
      </c>
    </row>
    <row r="2506" spans="1:8" x14ac:dyDescent="0.3">
      <c r="A2506" t="s">
        <v>55</v>
      </c>
      <c r="B2506" t="s">
        <v>111</v>
      </c>
      <c r="C2506" t="s">
        <v>2057</v>
      </c>
      <c r="D2506">
        <v>2</v>
      </c>
      <c r="E2506" s="358">
        <v>4</v>
      </c>
      <c r="F2506" s="358" t="s">
        <v>7</v>
      </c>
      <c r="G2506" s="358" t="s">
        <v>11</v>
      </c>
      <c r="H2506" s="358" t="s">
        <v>11</v>
      </c>
    </row>
    <row r="2507" spans="1:8" x14ac:dyDescent="0.3">
      <c r="A2507" t="s">
        <v>55</v>
      </c>
      <c r="B2507" t="s">
        <v>111</v>
      </c>
      <c r="C2507" t="s">
        <v>2556</v>
      </c>
      <c r="D2507">
        <v>1</v>
      </c>
      <c r="E2507" s="358">
        <v>4</v>
      </c>
      <c r="F2507" s="358" t="s">
        <v>7</v>
      </c>
      <c r="G2507" s="358" t="s">
        <v>11</v>
      </c>
      <c r="H2507" s="358" t="s">
        <v>11</v>
      </c>
    </row>
    <row r="2508" spans="1:8" x14ac:dyDescent="0.3">
      <c r="A2508" t="s">
        <v>55</v>
      </c>
      <c r="B2508" t="s">
        <v>111</v>
      </c>
      <c r="C2508" t="s">
        <v>1473</v>
      </c>
      <c r="D2508">
        <v>3</v>
      </c>
      <c r="E2508" s="358">
        <v>4</v>
      </c>
      <c r="F2508" s="358" t="s">
        <v>7</v>
      </c>
      <c r="G2508" s="358" t="s">
        <v>11</v>
      </c>
      <c r="H2508" s="358" t="s">
        <v>11</v>
      </c>
    </row>
    <row r="2509" spans="1:8" x14ac:dyDescent="0.3">
      <c r="A2509" t="s">
        <v>55</v>
      </c>
      <c r="B2509" t="s">
        <v>111</v>
      </c>
      <c r="C2509" t="s">
        <v>2814</v>
      </c>
      <c r="D2509">
        <v>3</v>
      </c>
      <c r="E2509" s="358">
        <v>4</v>
      </c>
      <c r="F2509" s="358" t="s">
        <v>7</v>
      </c>
      <c r="G2509" s="358" t="s">
        <v>11</v>
      </c>
      <c r="H2509" s="358" t="s">
        <v>11</v>
      </c>
    </row>
    <row r="2510" spans="1:8" x14ac:dyDescent="0.3">
      <c r="A2510" t="s">
        <v>55</v>
      </c>
      <c r="B2510" t="s">
        <v>111</v>
      </c>
      <c r="C2510" t="s">
        <v>1476</v>
      </c>
      <c r="D2510">
        <v>2</v>
      </c>
      <c r="E2510" s="358">
        <v>4</v>
      </c>
      <c r="F2510" s="358" t="s">
        <v>7</v>
      </c>
      <c r="G2510" s="358" t="s">
        <v>11</v>
      </c>
      <c r="H2510" s="358" t="s">
        <v>11</v>
      </c>
    </row>
    <row r="2511" spans="1:8" x14ac:dyDescent="0.3">
      <c r="A2511" t="s">
        <v>55</v>
      </c>
      <c r="B2511" t="s">
        <v>111</v>
      </c>
      <c r="C2511" t="s">
        <v>1373</v>
      </c>
      <c r="D2511">
        <v>3</v>
      </c>
      <c r="E2511" s="358">
        <v>3</v>
      </c>
      <c r="F2511" s="358" t="s">
        <v>7</v>
      </c>
      <c r="G2511" s="358" t="s">
        <v>11</v>
      </c>
      <c r="H2511" s="358" t="s">
        <v>11</v>
      </c>
    </row>
    <row r="2512" spans="1:8" x14ac:dyDescent="0.3">
      <c r="A2512" t="s">
        <v>55</v>
      </c>
      <c r="B2512" t="s">
        <v>111</v>
      </c>
      <c r="C2512" t="s">
        <v>1998</v>
      </c>
      <c r="D2512">
        <v>1</v>
      </c>
      <c r="E2512" s="358">
        <v>4</v>
      </c>
      <c r="F2512" s="358" t="s">
        <v>7</v>
      </c>
      <c r="G2512" s="358" t="s">
        <v>11</v>
      </c>
      <c r="H2512" s="358" t="s">
        <v>11</v>
      </c>
    </row>
    <row r="2513" spans="1:8" x14ac:dyDescent="0.3">
      <c r="A2513" t="s">
        <v>55</v>
      </c>
      <c r="B2513" t="s">
        <v>111</v>
      </c>
      <c r="C2513" t="s">
        <v>1741</v>
      </c>
      <c r="D2513">
        <v>2</v>
      </c>
      <c r="E2513" s="358">
        <v>4</v>
      </c>
      <c r="F2513" s="358" t="s">
        <v>7</v>
      </c>
      <c r="G2513" s="358" t="s">
        <v>11</v>
      </c>
      <c r="H2513" s="358" t="s">
        <v>11</v>
      </c>
    </row>
    <row r="2514" spans="1:8" x14ac:dyDescent="0.3">
      <c r="A2514" t="s">
        <v>55</v>
      </c>
      <c r="B2514" t="s">
        <v>111</v>
      </c>
      <c r="C2514" t="s">
        <v>1888</v>
      </c>
      <c r="D2514">
        <v>1</v>
      </c>
      <c r="E2514" s="358">
        <v>4</v>
      </c>
      <c r="F2514" s="358" t="s">
        <v>7</v>
      </c>
      <c r="G2514" s="358" t="s">
        <v>11</v>
      </c>
      <c r="H2514" s="358" t="s">
        <v>11</v>
      </c>
    </row>
    <row r="2515" spans="1:8" x14ac:dyDescent="0.3">
      <c r="A2515" t="s">
        <v>55</v>
      </c>
      <c r="B2515" t="s">
        <v>111</v>
      </c>
      <c r="C2515" t="s">
        <v>2002</v>
      </c>
      <c r="D2515">
        <v>2</v>
      </c>
      <c r="E2515" s="358">
        <v>4</v>
      </c>
      <c r="F2515" s="358" t="s">
        <v>7</v>
      </c>
      <c r="G2515" s="358" t="s">
        <v>11</v>
      </c>
      <c r="H2515" s="358" t="s">
        <v>11</v>
      </c>
    </row>
    <row r="2516" spans="1:8" x14ac:dyDescent="0.3">
      <c r="A2516" t="s">
        <v>55</v>
      </c>
      <c r="B2516" t="s">
        <v>111</v>
      </c>
      <c r="C2516" t="s">
        <v>1891</v>
      </c>
      <c r="D2516">
        <v>3</v>
      </c>
      <c r="E2516" s="358">
        <v>3</v>
      </c>
      <c r="F2516" s="358" t="s">
        <v>7</v>
      </c>
      <c r="G2516" s="358" t="s">
        <v>11</v>
      </c>
      <c r="H2516" s="358" t="s">
        <v>11</v>
      </c>
    </row>
    <row r="2517" spans="1:8" x14ac:dyDescent="0.3">
      <c r="A2517" t="s">
        <v>55</v>
      </c>
      <c r="B2517" t="s">
        <v>111</v>
      </c>
      <c r="C2517" t="s">
        <v>2815</v>
      </c>
      <c r="D2517">
        <v>1</v>
      </c>
      <c r="E2517" s="358">
        <v>4</v>
      </c>
      <c r="F2517" s="358" t="s">
        <v>7</v>
      </c>
      <c r="G2517" s="358" t="s">
        <v>11</v>
      </c>
      <c r="H2517" s="358" t="s">
        <v>11</v>
      </c>
    </row>
    <row r="2518" spans="1:8" x14ac:dyDescent="0.3">
      <c r="A2518" t="s">
        <v>55</v>
      </c>
      <c r="B2518" t="s">
        <v>111</v>
      </c>
      <c r="C2518" t="s">
        <v>2816</v>
      </c>
      <c r="D2518">
        <v>2</v>
      </c>
      <c r="E2518" s="358">
        <v>4</v>
      </c>
      <c r="F2518" s="358" t="s">
        <v>7</v>
      </c>
      <c r="G2518" s="358" t="s">
        <v>11</v>
      </c>
      <c r="H2518" s="358" t="s">
        <v>11</v>
      </c>
    </row>
    <row r="2519" spans="1:8" x14ac:dyDescent="0.3">
      <c r="A2519" t="s">
        <v>55</v>
      </c>
      <c r="B2519" t="s">
        <v>111</v>
      </c>
      <c r="C2519" t="s">
        <v>1479</v>
      </c>
      <c r="D2519">
        <v>1</v>
      </c>
      <c r="E2519" s="358">
        <v>4</v>
      </c>
      <c r="F2519" s="358" t="s">
        <v>7</v>
      </c>
      <c r="G2519" s="358" t="s">
        <v>11</v>
      </c>
      <c r="H2519" s="358" t="s">
        <v>11</v>
      </c>
    </row>
    <row r="2520" spans="1:8" x14ac:dyDescent="0.3">
      <c r="A2520" t="s">
        <v>55</v>
      </c>
      <c r="B2520" t="s">
        <v>111</v>
      </c>
      <c r="C2520" t="s">
        <v>1480</v>
      </c>
      <c r="D2520">
        <v>2</v>
      </c>
      <c r="E2520" s="358">
        <v>4</v>
      </c>
      <c r="F2520" s="358" t="s">
        <v>7</v>
      </c>
      <c r="G2520" s="358" t="s">
        <v>11</v>
      </c>
      <c r="H2520" s="358" t="s">
        <v>11</v>
      </c>
    </row>
    <row r="2521" spans="1:8" x14ac:dyDescent="0.3">
      <c r="A2521" t="s">
        <v>55</v>
      </c>
      <c r="B2521" t="s">
        <v>111</v>
      </c>
      <c r="C2521" t="s">
        <v>1757</v>
      </c>
      <c r="D2521">
        <v>2</v>
      </c>
      <c r="E2521" s="358">
        <v>4</v>
      </c>
      <c r="F2521" s="358" t="s">
        <v>7</v>
      </c>
      <c r="G2521" s="358" t="s">
        <v>11</v>
      </c>
      <c r="H2521" s="358" t="s">
        <v>11</v>
      </c>
    </row>
    <row r="2522" spans="1:8" x14ac:dyDescent="0.3">
      <c r="A2522" t="s">
        <v>55</v>
      </c>
      <c r="B2522" t="s">
        <v>111</v>
      </c>
      <c r="C2522" t="s">
        <v>1379</v>
      </c>
      <c r="D2522">
        <v>1</v>
      </c>
      <c r="E2522" s="358">
        <v>4</v>
      </c>
      <c r="F2522" s="358" t="s">
        <v>7</v>
      </c>
      <c r="G2522" s="358" t="s">
        <v>11</v>
      </c>
      <c r="H2522" s="358" t="s">
        <v>11</v>
      </c>
    </row>
    <row r="2523" spans="1:8" x14ac:dyDescent="0.3">
      <c r="A2523" t="s">
        <v>55</v>
      </c>
      <c r="B2523" t="s">
        <v>111</v>
      </c>
      <c r="C2523" t="s">
        <v>1758</v>
      </c>
      <c r="D2523">
        <v>1</v>
      </c>
      <c r="E2523" s="358">
        <v>4</v>
      </c>
      <c r="F2523" s="358" t="s">
        <v>7</v>
      </c>
      <c r="G2523" s="358" t="s">
        <v>11</v>
      </c>
      <c r="H2523" s="358" t="s">
        <v>11</v>
      </c>
    </row>
    <row r="2524" spans="1:8" x14ac:dyDescent="0.3">
      <c r="A2524" t="s">
        <v>55</v>
      </c>
      <c r="B2524" t="s">
        <v>111</v>
      </c>
      <c r="C2524" t="s">
        <v>2817</v>
      </c>
      <c r="D2524">
        <v>3</v>
      </c>
      <c r="E2524" s="358">
        <v>4</v>
      </c>
      <c r="F2524" s="358" t="s">
        <v>7</v>
      </c>
      <c r="G2524" s="358" t="s">
        <v>11</v>
      </c>
      <c r="H2524" s="358" t="s">
        <v>11</v>
      </c>
    </row>
    <row r="2525" spans="1:8" x14ac:dyDescent="0.3">
      <c r="A2525" t="s">
        <v>55</v>
      </c>
      <c r="B2525" t="s">
        <v>111</v>
      </c>
      <c r="C2525" t="s">
        <v>1481</v>
      </c>
      <c r="D2525">
        <v>2</v>
      </c>
      <c r="E2525" s="358">
        <v>4</v>
      </c>
      <c r="F2525" s="358" t="s">
        <v>7</v>
      </c>
      <c r="G2525" s="358" t="s">
        <v>11</v>
      </c>
      <c r="H2525" s="358" t="s">
        <v>11</v>
      </c>
    </row>
    <row r="2526" spans="1:8" x14ac:dyDescent="0.3">
      <c r="A2526" t="s">
        <v>55</v>
      </c>
      <c r="B2526" t="s">
        <v>111</v>
      </c>
      <c r="C2526" t="s">
        <v>1854</v>
      </c>
      <c r="D2526">
        <v>1</v>
      </c>
      <c r="E2526" s="358">
        <v>4</v>
      </c>
      <c r="F2526" s="358" t="s">
        <v>7</v>
      </c>
      <c r="G2526" s="358" t="s">
        <v>11</v>
      </c>
      <c r="H2526" s="358" t="s">
        <v>11</v>
      </c>
    </row>
    <row r="2527" spans="1:8" x14ac:dyDescent="0.3">
      <c r="A2527" t="s">
        <v>55</v>
      </c>
      <c r="B2527" t="s">
        <v>111</v>
      </c>
      <c r="C2527" t="s">
        <v>2007</v>
      </c>
      <c r="D2527">
        <v>1</v>
      </c>
      <c r="E2527" s="358">
        <v>4</v>
      </c>
      <c r="F2527" s="358" t="s">
        <v>7</v>
      </c>
      <c r="G2527" s="358" t="s">
        <v>11</v>
      </c>
      <c r="H2527" s="358" t="s">
        <v>11</v>
      </c>
    </row>
    <row r="2528" spans="1:8" x14ac:dyDescent="0.3">
      <c r="A2528" t="s">
        <v>57</v>
      </c>
      <c r="B2528" t="s">
        <v>112</v>
      </c>
      <c r="C2528" t="s">
        <v>1943</v>
      </c>
      <c r="D2528">
        <v>3</v>
      </c>
      <c r="E2528" s="358">
        <v>2</v>
      </c>
      <c r="F2528" s="358" t="s">
        <v>7</v>
      </c>
      <c r="G2528" s="358" t="s">
        <v>115</v>
      </c>
      <c r="H2528" s="358" t="s">
        <v>11</v>
      </c>
    </row>
    <row r="2529" spans="1:8" x14ac:dyDescent="0.3">
      <c r="A2529" t="s">
        <v>57</v>
      </c>
      <c r="B2529" t="s">
        <v>112</v>
      </c>
      <c r="C2529" t="s">
        <v>2818</v>
      </c>
      <c r="D2529">
        <v>3</v>
      </c>
      <c r="E2529" s="358">
        <v>3</v>
      </c>
      <c r="F2529" s="358" t="s">
        <v>75</v>
      </c>
      <c r="G2529" s="358" t="s">
        <v>11</v>
      </c>
      <c r="H2529" s="358" t="s">
        <v>11</v>
      </c>
    </row>
    <row r="2530" spans="1:8" x14ac:dyDescent="0.3">
      <c r="A2530" t="s">
        <v>57</v>
      </c>
      <c r="B2530" t="s">
        <v>112</v>
      </c>
      <c r="C2530" t="s">
        <v>2819</v>
      </c>
      <c r="D2530">
        <v>3</v>
      </c>
      <c r="E2530" s="358">
        <v>2</v>
      </c>
      <c r="F2530" s="358" t="s">
        <v>7</v>
      </c>
      <c r="G2530" s="358" t="s">
        <v>115</v>
      </c>
      <c r="H2530" s="358" t="s">
        <v>11</v>
      </c>
    </row>
    <row r="2531" spans="1:8" x14ac:dyDescent="0.3">
      <c r="A2531" t="s">
        <v>57</v>
      </c>
      <c r="B2531" t="s">
        <v>112</v>
      </c>
      <c r="C2531" t="s">
        <v>2820</v>
      </c>
      <c r="D2531">
        <v>3</v>
      </c>
      <c r="E2531" s="358">
        <v>2</v>
      </c>
      <c r="F2531" s="358" t="s">
        <v>7</v>
      </c>
      <c r="G2531" s="358" t="s">
        <v>115</v>
      </c>
      <c r="H2531" s="358" t="s">
        <v>11</v>
      </c>
    </row>
    <row r="2532" spans="1:8" x14ac:dyDescent="0.3">
      <c r="A2532" t="s">
        <v>57</v>
      </c>
      <c r="B2532" t="s">
        <v>112</v>
      </c>
      <c r="C2532" t="s">
        <v>2821</v>
      </c>
      <c r="D2532">
        <v>3</v>
      </c>
      <c r="E2532" s="358">
        <v>3</v>
      </c>
      <c r="F2532" s="358" t="s">
        <v>7</v>
      </c>
      <c r="G2532" s="358" t="s">
        <v>11</v>
      </c>
      <c r="H2532" s="358" t="s">
        <v>11</v>
      </c>
    </row>
    <row r="2533" spans="1:8" x14ac:dyDescent="0.3">
      <c r="A2533" t="s">
        <v>57</v>
      </c>
      <c r="B2533" t="s">
        <v>112</v>
      </c>
      <c r="C2533" t="s">
        <v>2694</v>
      </c>
      <c r="D2533">
        <v>2</v>
      </c>
      <c r="E2533" s="358">
        <v>4</v>
      </c>
      <c r="F2533" s="358" t="s">
        <v>75</v>
      </c>
      <c r="G2533" s="358" t="s">
        <v>11</v>
      </c>
      <c r="H2533" s="358" t="s">
        <v>11</v>
      </c>
    </row>
    <row r="2534" spans="1:8" x14ac:dyDescent="0.3">
      <c r="A2534" t="s">
        <v>57</v>
      </c>
      <c r="B2534" t="s">
        <v>112</v>
      </c>
      <c r="C2534" t="s">
        <v>2822</v>
      </c>
      <c r="D2534">
        <v>3</v>
      </c>
      <c r="E2534" s="358">
        <v>2</v>
      </c>
      <c r="F2534" s="358" t="s">
        <v>7</v>
      </c>
      <c r="G2534" s="358" t="s">
        <v>115</v>
      </c>
      <c r="H2534" s="358" t="s">
        <v>11</v>
      </c>
    </row>
    <row r="2535" spans="1:8" x14ac:dyDescent="0.3">
      <c r="A2535" t="s">
        <v>57</v>
      </c>
      <c r="B2535" t="s">
        <v>112</v>
      </c>
      <c r="C2535" t="s">
        <v>2823</v>
      </c>
      <c r="D2535">
        <v>3</v>
      </c>
      <c r="E2535" s="358">
        <v>2</v>
      </c>
      <c r="F2535" s="358" t="s">
        <v>7</v>
      </c>
      <c r="G2535" s="358" t="s">
        <v>115</v>
      </c>
      <c r="H2535" s="358" t="s">
        <v>11</v>
      </c>
    </row>
    <row r="2536" spans="1:8" x14ac:dyDescent="0.3">
      <c r="A2536" t="s">
        <v>57</v>
      </c>
      <c r="B2536" t="s">
        <v>112</v>
      </c>
      <c r="C2536" t="s">
        <v>2824</v>
      </c>
      <c r="D2536">
        <v>2</v>
      </c>
      <c r="E2536" s="358">
        <v>4</v>
      </c>
      <c r="F2536" s="358" t="s">
        <v>75</v>
      </c>
      <c r="G2536" s="358" t="s">
        <v>11</v>
      </c>
      <c r="H2536" s="358" t="s">
        <v>11</v>
      </c>
    </row>
    <row r="2537" spans="1:8" x14ac:dyDescent="0.3">
      <c r="A2537" t="s">
        <v>57</v>
      </c>
      <c r="B2537" t="s">
        <v>112</v>
      </c>
      <c r="C2537" t="s">
        <v>2825</v>
      </c>
      <c r="D2537">
        <v>3</v>
      </c>
      <c r="E2537" s="358">
        <v>2</v>
      </c>
      <c r="F2537" s="358" t="s">
        <v>75</v>
      </c>
      <c r="G2537" s="358" t="s">
        <v>11</v>
      </c>
      <c r="H2537" s="358" t="s">
        <v>11</v>
      </c>
    </row>
    <row r="2538" spans="1:8" x14ac:dyDescent="0.3">
      <c r="A2538" t="s">
        <v>57</v>
      </c>
      <c r="B2538" t="s">
        <v>112</v>
      </c>
      <c r="C2538" t="s">
        <v>2826</v>
      </c>
      <c r="D2538">
        <v>3</v>
      </c>
      <c r="E2538" s="358">
        <v>2</v>
      </c>
      <c r="F2538" s="358" t="s">
        <v>7</v>
      </c>
      <c r="G2538" s="358" t="s">
        <v>115</v>
      </c>
      <c r="H2538" s="358" t="s">
        <v>11</v>
      </c>
    </row>
    <row r="2539" spans="1:8" x14ac:dyDescent="0.3">
      <c r="A2539" t="s">
        <v>57</v>
      </c>
      <c r="B2539" t="s">
        <v>112</v>
      </c>
      <c r="C2539" t="s">
        <v>2827</v>
      </c>
      <c r="D2539">
        <v>3</v>
      </c>
      <c r="E2539" s="358">
        <v>3</v>
      </c>
      <c r="F2539" s="358" t="s">
        <v>75</v>
      </c>
      <c r="G2539" s="358" t="s">
        <v>11</v>
      </c>
      <c r="H2539" s="358" t="s">
        <v>11</v>
      </c>
    </row>
    <row r="2540" spans="1:8" x14ac:dyDescent="0.3">
      <c r="A2540" t="s">
        <v>57</v>
      </c>
      <c r="B2540" t="s">
        <v>112</v>
      </c>
      <c r="C2540" t="s">
        <v>2828</v>
      </c>
      <c r="D2540">
        <v>3</v>
      </c>
      <c r="E2540" s="358">
        <v>2</v>
      </c>
      <c r="F2540" s="358" t="s">
        <v>7</v>
      </c>
      <c r="G2540" s="358" t="s">
        <v>115</v>
      </c>
      <c r="H2540" s="358" t="s">
        <v>11</v>
      </c>
    </row>
    <row r="2541" spans="1:8" x14ac:dyDescent="0.3">
      <c r="A2541" t="s">
        <v>57</v>
      </c>
      <c r="B2541" t="s">
        <v>112</v>
      </c>
      <c r="C2541" t="s">
        <v>2013</v>
      </c>
      <c r="D2541">
        <v>3</v>
      </c>
      <c r="E2541" s="358">
        <v>2</v>
      </c>
      <c r="F2541" s="358" t="s">
        <v>7</v>
      </c>
      <c r="G2541" s="358" t="s">
        <v>115</v>
      </c>
      <c r="H2541" s="358" t="s">
        <v>11</v>
      </c>
    </row>
    <row r="2542" spans="1:8" x14ac:dyDescent="0.3">
      <c r="A2542" t="s">
        <v>57</v>
      </c>
      <c r="B2542" t="s">
        <v>112</v>
      </c>
      <c r="C2542" t="s">
        <v>2829</v>
      </c>
      <c r="D2542">
        <v>3</v>
      </c>
      <c r="E2542" s="358">
        <v>2</v>
      </c>
      <c r="F2542" s="358" t="s">
        <v>7</v>
      </c>
      <c r="G2542" s="358" t="s">
        <v>115</v>
      </c>
      <c r="H2542" s="358" t="s">
        <v>11</v>
      </c>
    </row>
    <row r="2543" spans="1:8" x14ac:dyDescent="0.3">
      <c r="A2543" t="s">
        <v>57</v>
      </c>
      <c r="B2543" t="s">
        <v>112</v>
      </c>
      <c r="C2543" t="s">
        <v>2830</v>
      </c>
      <c r="D2543">
        <v>3</v>
      </c>
      <c r="E2543" s="358">
        <v>3</v>
      </c>
      <c r="F2543" s="358" t="s">
        <v>7</v>
      </c>
      <c r="G2543" s="358" t="s">
        <v>115</v>
      </c>
      <c r="H2543" s="358" t="s">
        <v>11</v>
      </c>
    </row>
    <row r="2544" spans="1:8" x14ac:dyDescent="0.3">
      <c r="A2544" t="s">
        <v>57</v>
      </c>
      <c r="B2544" t="s">
        <v>112</v>
      </c>
      <c r="C2544" t="s">
        <v>2831</v>
      </c>
      <c r="D2544">
        <v>3</v>
      </c>
      <c r="E2544" s="358">
        <v>3</v>
      </c>
      <c r="F2544" s="358" t="s">
        <v>75</v>
      </c>
      <c r="G2544" s="358" t="s">
        <v>11</v>
      </c>
      <c r="H2544" s="358" t="s">
        <v>11</v>
      </c>
    </row>
    <row r="2545" spans="1:8" x14ac:dyDescent="0.3">
      <c r="A2545" t="s">
        <v>57</v>
      </c>
      <c r="B2545" t="s">
        <v>112</v>
      </c>
      <c r="C2545" t="s">
        <v>2832</v>
      </c>
      <c r="D2545">
        <v>3</v>
      </c>
      <c r="E2545" s="358">
        <v>2</v>
      </c>
      <c r="F2545" s="358" t="s">
        <v>7</v>
      </c>
      <c r="G2545" s="358" t="s">
        <v>115</v>
      </c>
      <c r="H2545" s="358" t="s">
        <v>11</v>
      </c>
    </row>
    <row r="2546" spans="1:8" x14ac:dyDescent="0.3">
      <c r="A2546" t="s">
        <v>57</v>
      </c>
      <c r="B2546" t="s">
        <v>112</v>
      </c>
      <c r="C2546" t="s">
        <v>2833</v>
      </c>
      <c r="D2546">
        <v>3</v>
      </c>
      <c r="E2546" s="358">
        <v>3</v>
      </c>
      <c r="F2546" s="358" t="s">
        <v>7</v>
      </c>
      <c r="G2546" s="358" t="s">
        <v>115</v>
      </c>
      <c r="H2546" s="358" t="s">
        <v>11</v>
      </c>
    </row>
    <row r="2547" spans="1:8" x14ac:dyDescent="0.3">
      <c r="A2547" t="s">
        <v>57</v>
      </c>
      <c r="B2547" t="s">
        <v>112</v>
      </c>
      <c r="C2547" t="s">
        <v>2834</v>
      </c>
      <c r="D2547">
        <v>3</v>
      </c>
      <c r="E2547" s="358">
        <v>2</v>
      </c>
      <c r="F2547" s="358" t="s">
        <v>7</v>
      </c>
      <c r="G2547" s="358" t="s">
        <v>115</v>
      </c>
      <c r="H2547" s="358" t="s">
        <v>11</v>
      </c>
    </row>
    <row r="2548" spans="1:8" x14ac:dyDescent="0.3">
      <c r="A2548" t="s">
        <v>57</v>
      </c>
      <c r="B2548" t="s">
        <v>112</v>
      </c>
      <c r="C2548" t="s">
        <v>2835</v>
      </c>
      <c r="D2548">
        <v>3</v>
      </c>
      <c r="E2548" s="358">
        <v>2</v>
      </c>
      <c r="F2548" s="358" t="s">
        <v>7</v>
      </c>
      <c r="G2548" s="358" t="s">
        <v>115</v>
      </c>
      <c r="H2548" s="358" t="s">
        <v>11</v>
      </c>
    </row>
    <row r="2549" spans="1:8" x14ac:dyDescent="0.3">
      <c r="A2549" t="s">
        <v>57</v>
      </c>
      <c r="B2549" t="s">
        <v>112</v>
      </c>
      <c r="C2549" t="s">
        <v>2836</v>
      </c>
      <c r="D2549">
        <v>2</v>
      </c>
      <c r="E2549" s="358">
        <v>3</v>
      </c>
      <c r="F2549" s="358" t="s">
        <v>75</v>
      </c>
      <c r="G2549" s="358" t="s">
        <v>11</v>
      </c>
      <c r="H2549" s="358" t="s">
        <v>11</v>
      </c>
    </row>
    <row r="2550" spans="1:8" x14ac:dyDescent="0.3">
      <c r="A2550" t="s">
        <v>57</v>
      </c>
      <c r="B2550" t="s">
        <v>112</v>
      </c>
      <c r="C2550" t="s">
        <v>2837</v>
      </c>
      <c r="D2550">
        <v>3</v>
      </c>
      <c r="E2550" s="358">
        <v>4</v>
      </c>
      <c r="F2550" s="358" t="s">
        <v>75</v>
      </c>
      <c r="G2550" s="358" t="s">
        <v>11</v>
      </c>
      <c r="H2550" s="358" t="s">
        <v>11</v>
      </c>
    </row>
    <row r="2551" spans="1:8" x14ac:dyDescent="0.3">
      <c r="A2551" t="s">
        <v>57</v>
      </c>
      <c r="B2551" t="s">
        <v>112</v>
      </c>
      <c r="C2551" t="s">
        <v>1666</v>
      </c>
      <c r="D2551">
        <v>3</v>
      </c>
      <c r="E2551" s="358">
        <v>2</v>
      </c>
      <c r="F2551" s="358" t="s">
        <v>7</v>
      </c>
      <c r="G2551" s="358" t="s">
        <v>115</v>
      </c>
      <c r="H2551" s="358" t="s">
        <v>11</v>
      </c>
    </row>
    <row r="2552" spans="1:8" x14ac:dyDescent="0.3">
      <c r="A2552" t="s">
        <v>57</v>
      </c>
      <c r="B2552" t="s">
        <v>112</v>
      </c>
      <c r="C2552" t="s">
        <v>1805</v>
      </c>
      <c r="D2552">
        <v>3</v>
      </c>
      <c r="E2552" s="358">
        <v>3</v>
      </c>
      <c r="F2552" s="358" t="s">
        <v>7</v>
      </c>
      <c r="G2552" s="358" t="s">
        <v>115</v>
      </c>
      <c r="H2552" s="358" t="s">
        <v>11</v>
      </c>
    </row>
    <row r="2553" spans="1:8" x14ac:dyDescent="0.3">
      <c r="A2553" t="s">
        <v>57</v>
      </c>
      <c r="B2553" t="s">
        <v>112</v>
      </c>
      <c r="C2553" t="s">
        <v>2838</v>
      </c>
      <c r="D2553">
        <v>3</v>
      </c>
      <c r="E2553" s="358">
        <v>2</v>
      </c>
      <c r="F2553" s="358" t="s">
        <v>7</v>
      </c>
      <c r="G2553" s="358" t="s">
        <v>115</v>
      </c>
      <c r="H2553" s="358" t="s">
        <v>11</v>
      </c>
    </row>
    <row r="2554" spans="1:8" x14ac:dyDescent="0.3">
      <c r="A2554" t="s">
        <v>57</v>
      </c>
      <c r="B2554" t="s">
        <v>112</v>
      </c>
      <c r="C2554" t="s">
        <v>2839</v>
      </c>
      <c r="D2554">
        <v>3</v>
      </c>
      <c r="E2554" s="358">
        <v>3</v>
      </c>
      <c r="F2554" s="358" t="s">
        <v>7</v>
      </c>
      <c r="G2554" s="358" t="s">
        <v>115</v>
      </c>
      <c r="H2554" s="358" t="s">
        <v>11</v>
      </c>
    </row>
    <row r="2555" spans="1:8" x14ac:dyDescent="0.3">
      <c r="A2555" t="s">
        <v>57</v>
      </c>
      <c r="B2555" t="s">
        <v>112</v>
      </c>
      <c r="C2555" t="s">
        <v>2020</v>
      </c>
      <c r="D2555">
        <v>3</v>
      </c>
      <c r="E2555" s="358">
        <v>2</v>
      </c>
      <c r="F2555" s="358" t="s">
        <v>7</v>
      </c>
      <c r="G2555" s="358" t="s">
        <v>115</v>
      </c>
      <c r="H2555" s="358" t="s">
        <v>11</v>
      </c>
    </row>
    <row r="2556" spans="1:8" x14ac:dyDescent="0.3">
      <c r="A2556" t="s">
        <v>57</v>
      </c>
      <c r="B2556" t="s">
        <v>112</v>
      </c>
      <c r="C2556" t="s">
        <v>1322</v>
      </c>
      <c r="D2556">
        <v>3</v>
      </c>
      <c r="E2556" s="358">
        <v>2</v>
      </c>
      <c r="F2556" s="358" t="s">
        <v>7</v>
      </c>
      <c r="G2556" s="358" t="s">
        <v>115</v>
      </c>
      <c r="H2556" s="358" t="s">
        <v>11</v>
      </c>
    </row>
    <row r="2557" spans="1:8" x14ac:dyDescent="0.3">
      <c r="A2557" t="s">
        <v>57</v>
      </c>
      <c r="B2557" t="s">
        <v>112</v>
      </c>
      <c r="C2557" t="s">
        <v>2840</v>
      </c>
      <c r="D2557">
        <v>3</v>
      </c>
      <c r="E2557" s="358">
        <v>3</v>
      </c>
      <c r="F2557" s="358" t="s">
        <v>75</v>
      </c>
      <c r="G2557" s="358" t="s">
        <v>11</v>
      </c>
      <c r="H2557" s="358" t="s">
        <v>11</v>
      </c>
    </row>
    <row r="2558" spans="1:8" x14ac:dyDescent="0.3">
      <c r="A2558" t="s">
        <v>57</v>
      </c>
      <c r="B2558" t="s">
        <v>112</v>
      </c>
      <c r="C2558" t="s">
        <v>2074</v>
      </c>
      <c r="D2558">
        <v>3</v>
      </c>
      <c r="E2558" s="358">
        <v>2</v>
      </c>
      <c r="F2558" s="358" t="s">
        <v>7</v>
      </c>
      <c r="G2558" s="358" t="s">
        <v>115</v>
      </c>
      <c r="H2558" s="358" t="s">
        <v>11</v>
      </c>
    </row>
    <row r="2559" spans="1:8" x14ac:dyDescent="0.3">
      <c r="A2559" t="s">
        <v>57</v>
      </c>
      <c r="B2559" t="s">
        <v>112</v>
      </c>
      <c r="C2559" t="s">
        <v>2841</v>
      </c>
      <c r="D2559">
        <v>3</v>
      </c>
      <c r="E2559" s="358">
        <v>3</v>
      </c>
      <c r="F2559" s="358" t="s">
        <v>7</v>
      </c>
      <c r="G2559" s="358" t="s">
        <v>115</v>
      </c>
      <c r="H2559" s="358" t="s">
        <v>11</v>
      </c>
    </row>
    <row r="2560" spans="1:8" x14ac:dyDescent="0.3">
      <c r="A2560" t="s">
        <v>57</v>
      </c>
      <c r="B2560" t="s">
        <v>112</v>
      </c>
      <c r="C2560" t="s">
        <v>2842</v>
      </c>
      <c r="D2560">
        <v>2</v>
      </c>
      <c r="E2560" s="358">
        <v>4</v>
      </c>
      <c r="F2560" s="358" t="s">
        <v>75</v>
      </c>
      <c r="G2560" s="358" t="s">
        <v>11</v>
      </c>
      <c r="H2560" s="358" t="s">
        <v>11</v>
      </c>
    </row>
    <row r="2561" spans="1:8" x14ac:dyDescent="0.3">
      <c r="A2561" t="s">
        <v>57</v>
      </c>
      <c r="B2561" t="s">
        <v>112</v>
      </c>
      <c r="C2561" t="s">
        <v>1807</v>
      </c>
      <c r="D2561">
        <v>3</v>
      </c>
      <c r="E2561" s="358">
        <v>3</v>
      </c>
      <c r="F2561" s="358" t="s">
        <v>7</v>
      </c>
      <c r="G2561" s="358" t="s">
        <v>115</v>
      </c>
      <c r="H2561" s="358" t="s">
        <v>11</v>
      </c>
    </row>
    <row r="2562" spans="1:8" x14ac:dyDescent="0.3">
      <c r="A2562" t="s">
        <v>57</v>
      </c>
      <c r="B2562" t="s">
        <v>112</v>
      </c>
      <c r="C2562" t="s">
        <v>2843</v>
      </c>
      <c r="D2562">
        <v>2</v>
      </c>
      <c r="E2562" s="358">
        <v>4</v>
      </c>
      <c r="F2562" s="358" t="s">
        <v>75</v>
      </c>
      <c r="G2562" s="358" t="s">
        <v>11</v>
      </c>
      <c r="H2562" s="358" t="s">
        <v>11</v>
      </c>
    </row>
    <row r="2563" spans="1:8" x14ac:dyDescent="0.3">
      <c r="A2563" t="s">
        <v>57</v>
      </c>
      <c r="B2563" t="s">
        <v>112</v>
      </c>
      <c r="C2563" t="s">
        <v>1323</v>
      </c>
      <c r="D2563">
        <v>3</v>
      </c>
      <c r="E2563" s="358">
        <v>2</v>
      </c>
      <c r="F2563" s="358" t="s">
        <v>7</v>
      </c>
      <c r="G2563" s="358" t="s">
        <v>115</v>
      </c>
      <c r="H2563" s="358" t="s">
        <v>11</v>
      </c>
    </row>
    <row r="2564" spans="1:8" x14ac:dyDescent="0.3">
      <c r="A2564" t="s">
        <v>57</v>
      </c>
      <c r="B2564" t="s">
        <v>112</v>
      </c>
      <c r="C2564" t="s">
        <v>1324</v>
      </c>
      <c r="D2564">
        <v>3</v>
      </c>
      <c r="E2564" s="358">
        <v>2</v>
      </c>
      <c r="F2564" s="358" t="s">
        <v>7</v>
      </c>
      <c r="G2564" s="358" t="s">
        <v>115</v>
      </c>
      <c r="H2564" s="358" t="s">
        <v>11</v>
      </c>
    </row>
    <row r="2565" spans="1:8" x14ac:dyDescent="0.3">
      <c r="A2565" t="s">
        <v>57</v>
      </c>
      <c r="B2565" t="s">
        <v>112</v>
      </c>
      <c r="C2565" t="s">
        <v>2844</v>
      </c>
      <c r="D2565">
        <v>3</v>
      </c>
      <c r="E2565" s="358">
        <v>3</v>
      </c>
      <c r="F2565" s="358" t="s">
        <v>75</v>
      </c>
      <c r="G2565" s="358" t="s">
        <v>11</v>
      </c>
      <c r="H2565" s="358" t="s">
        <v>11</v>
      </c>
    </row>
    <row r="2566" spans="1:8" x14ac:dyDescent="0.3">
      <c r="A2566" t="s">
        <v>57</v>
      </c>
      <c r="B2566" t="s">
        <v>112</v>
      </c>
      <c r="C2566" t="s">
        <v>1328</v>
      </c>
      <c r="D2566">
        <v>3</v>
      </c>
      <c r="E2566" s="358">
        <v>3</v>
      </c>
      <c r="F2566" s="358" t="s">
        <v>7</v>
      </c>
      <c r="G2566" s="358" t="s">
        <v>11</v>
      </c>
      <c r="H2566" s="358" t="s">
        <v>11</v>
      </c>
    </row>
    <row r="2567" spans="1:8" x14ac:dyDescent="0.3">
      <c r="A2567" t="s">
        <v>57</v>
      </c>
      <c r="B2567" t="s">
        <v>112</v>
      </c>
      <c r="C2567" t="s">
        <v>2845</v>
      </c>
      <c r="D2567">
        <v>3</v>
      </c>
      <c r="E2567" s="358">
        <v>4</v>
      </c>
      <c r="F2567" s="358" t="s">
        <v>75</v>
      </c>
      <c r="G2567" s="358" t="s">
        <v>11</v>
      </c>
      <c r="H2567" s="358" t="s">
        <v>11</v>
      </c>
    </row>
    <row r="2568" spans="1:8" x14ac:dyDescent="0.3">
      <c r="A2568" t="s">
        <v>57</v>
      </c>
      <c r="B2568" t="s">
        <v>112</v>
      </c>
      <c r="C2568" t="s">
        <v>2846</v>
      </c>
      <c r="D2568">
        <v>3</v>
      </c>
      <c r="E2568" s="358">
        <v>3</v>
      </c>
      <c r="F2568" s="358" t="s">
        <v>75</v>
      </c>
      <c r="G2568" s="358" t="s">
        <v>11</v>
      </c>
      <c r="H2568" s="358" t="s">
        <v>11</v>
      </c>
    </row>
    <row r="2569" spans="1:8" x14ac:dyDescent="0.3">
      <c r="A2569" t="s">
        <v>57</v>
      </c>
      <c r="B2569" t="s">
        <v>112</v>
      </c>
      <c r="C2569" t="s">
        <v>2847</v>
      </c>
      <c r="D2569">
        <v>3</v>
      </c>
      <c r="E2569" s="358">
        <v>3</v>
      </c>
      <c r="F2569" s="358" t="s">
        <v>75</v>
      </c>
      <c r="G2569" s="358" t="s">
        <v>11</v>
      </c>
      <c r="H2569" s="358" t="s">
        <v>11</v>
      </c>
    </row>
    <row r="2570" spans="1:8" x14ac:dyDescent="0.3">
      <c r="A2570" t="s">
        <v>57</v>
      </c>
      <c r="B2570" t="s">
        <v>112</v>
      </c>
      <c r="C2570" t="s">
        <v>2848</v>
      </c>
      <c r="D2570">
        <v>3</v>
      </c>
      <c r="E2570" s="358">
        <v>3</v>
      </c>
      <c r="F2570" s="358" t="s">
        <v>7</v>
      </c>
      <c r="G2570" s="358" t="s">
        <v>115</v>
      </c>
      <c r="H2570" s="358" t="s">
        <v>11</v>
      </c>
    </row>
    <row r="2571" spans="1:8" x14ac:dyDescent="0.3">
      <c r="A2571" t="s">
        <v>57</v>
      </c>
      <c r="B2571" t="s">
        <v>112</v>
      </c>
      <c r="C2571" t="s">
        <v>2849</v>
      </c>
      <c r="D2571">
        <v>3</v>
      </c>
      <c r="E2571" s="358">
        <v>3</v>
      </c>
      <c r="F2571" s="358" t="s">
        <v>75</v>
      </c>
      <c r="G2571" s="358" t="s">
        <v>11</v>
      </c>
      <c r="H2571" s="358" t="s">
        <v>11</v>
      </c>
    </row>
    <row r="2572" spans="1:8" x14ac:dyDescent="0.3">
      <c r="A2572" t="s">
        <v>57</v>
      </c>
      <c r="B2572" t="s">
        <v>112</v>
      </c>
      <c r="C2572" t="s">
        <v>2850</v>
      </c>
      <c r="D2572">
        <v>3</v>
      </c>
      <c r="E2572" s="358">
        <v>2</v>
      </c>
      <c r="F2572" s="358" t="s">
        <v>7</v>
      </c>
      <c r="G2572" s="358" t="s">
        <v>115</v>
      </c>
      <c r="H2572" s="358" t="s">
        <v>11</v>
      </c>
    </row>
    <row r="2573" spans="1:8" x14ac:dyDescent="0.3">
      <c r="A2573" t="s">
        <v>57</v>
      </c>
      <c r="B2573" t="s">
        <v>112</v>
      </c>
      <c r="C2573" t="s">
        <v>2851</v>
      </c>
      <c r="D2573">
        <v>3</v>
      </c>
      <c r="E2573" s="358">
        <v>2</v>
      </c>
      <c r="F2573" s="358" t="s">
        <v>7</v>
      </c>
      <c r="G2573" s="358" t="s">
        <v>115</v>
      </c>
      <c r="H2573" s="358" t="s">
        <v>11</v>
      </c>
    </row>
    <row r="2574" spans="1:8" x14ac:dyDescent="0.3">
      <c r="A2574" t="s">
        <v>57</v>
      </c>
      <c r="B2574" t="s">
        <v>112</v>
      </c>
      <c r="C2574" t="s">
        <v>1952</v>
      </c>
      <c r="D2574">
        <v>3</v>
      </c>
      <c r="E2574" s="358">
        <v>3</v>
      </c>
      <c r="F2574" s="358" t="s">
        <v>7</v>
      </c>
      <c r="G2574" s="358" t="s">
        <v>115</v>
      </c>
      <c r="H2574" s="358" t="s">
        <v>11</v>
      </c>
    </row>
    <row r="2575" spans="1:8" x14ac:dyDescent="0.3">
      <c r="A2575" t="s">
        <v>57</v>
      </c>
      <c r="B2575" t="s">
        <v>112</v>
      </c>
      <c r="C2575" t="s">
        <v>2852</v>
      </c>
      <c r="D2575">
        <v>3</v>
      </c>
      <c r="E2575" s="358">
        <v>3</v>
      </c>
      <c r="F2575" s="358" t="s">
        <v>75</v>
      </c>
      <c r="G2575" s="358" t="s">
        <v>11</v>
      </c>
      <c r="H2575" s="358" t="s">
        <v>11</v>
      </c>
    </row>
    <row r="2576" spans="1:8" x14ac:dyDescent="0.3">
      <c r="A2576" t="s">
        <v>57</v>
      </c>
      <c r="B2576" t="s">
        <v>112</v>
      </c>
      <c r="C2576" t="s">
        <v>2853</v>
      </c>
      <c r="D2576">
        <v>3</v>
      </c>
      <c r="E2576" s="358">
        <v>3</v>
      </c>
      <c r="F2576" s="358" t="s">
        <v>7</v>
      </c>
      <c r="G2576" s="358" t="s">
        <v>11</v>
      </c>
      <c r="H2576" s="358" t="s">
        <v>11</v>
      </c>
    </row>
    <row r="2577" spans="1:8" x14ac:dyDescent="0.3">
      <c r="A2577" t="s">
        <v>57</v>
      </c>
      <c r="B2577" t="s">
        <v>112</v>
      </c>
      <c r="C2577" t="s">
        <v>2854</v>
      </c>
      <c r="D2577">
        <v>3</v>
      </c>
      <c r="E2577" s="358">
        <v>2</v>
      </c>
      <c r="F2577" s="358" t="s">
        <v>7</v>
      </c>
      <c r="G2577" s="358" t="s">
        <v>115</v>
      </c>
      <c r="H2577" s="358" t="s">
        <v>11</v>
      </c>
    </row>
    <row r="2578" spans="1:8" x14ac:dyDescent="0.3">
      <c r="A2578" t="s">
        <v>57</v>
      </c>
      <c r="B2578" t="s">
        <v>112</v>
      </c>
      <c r="C2578" t="s">
        <v>2855</v>
      </c>
      <c r="D2578">
        <v>3</v>
      </c>
      <c r="E2578" s="358">
        <v>3</v>
      </c>
      <c r="F2578" s="358" t="s">
        <v>75</v>
      </c>
      <c r="G2578" s="358" t="s">
        <v>11</v>
      </c>
      <c r="H2578" s="358" t="s">
        <v>11</v>
      </c>
    </row>
    <row r="2579" spans="1:8" x14ac:dyDescent="0.3">
      <c r="A2579" t="s">
        <v>57</v>
      </c>
      <c r="B2579" t="s">
        <v>112</v>
      </c>
      <c r="C2579" t="s">
        <v>2856</v>
      </c>
      <c r="D2579">
        <v>3</v>
      </c>
      <c r="E2579" s="358">
        <v>3</v>
      </c>
      <c r="F2579" s="358" t="s">
        <v>75</v>
      </c>
      <c r="G2579" s="358" t="s">
        <v>11</v>
      </c>
      <c r="H2579" s="358" t="s">
        <v>11</v>
      </c>
    </row>
    <row r="2580" spans="1:8" x14ac:dyDescent="0.3">
      <c r="A2580" t="s">
        <v>57</v>
      </c>
      <c r="B2580" t="s">
        <v>112</v>
      </c>
      <c r="C2580" t="s">
        <v>2796</v>
      </c>
      <c r="D2580">
        <v>3</v>
      </c>
      <c r="E2580" s="358">
        <v>3</v>
      </c>
      <c r="F2580" s="358" t="s">
        <v>75</v>
      </c>
      <c r="G2580" s="358" t="s">
        <v>11</v>
      </c>
      <c r="H2580" s="358" t="s">
        <v>11</v>
      </c>
    </row>
    <row r="2581" spans="1:8" x14ac:dyDescent="0.3">
      <c r="A2581" t="s">
        <v>57</v>
      </c>
      <c r="B2581" t="s">
        <v>112</v>
      </c>
      <c r="C2581" t="s">
        <v>2857</v>
      </c>
      <c r="D2581">
        <v>2</v>
      </c>
      <c r="E2581" s="358">
        <v>3</v>
      </c>
      <c r="F2581" s="358" t="s">
        <v>75</v>
      </c>
      <c r="G2581" s="358" t="s">
        <v>11</v>
      </c>
      <c r="H2581" s="358" t="s">
        <v>11</v>
      </c>
    </row>
    <row r="2582" spans="1:8" x14ac:dyDescent="0.3">
      <c r="A2582" t="s">
        <v>57</v>
      </c>
      <c r="B2582" t="s">
        <v>112</v>
      </c>
      <c r="C2582" t="s">
        <v>2858</v>
      </c>
      <c r="D2582">
        <v>2</v>
      </c>
      <c r="E2582" s="358">
        <v>3</v>
      </c>
      <c r="F2582" s="358" t="s">
        <v>75</v>
      </c>
      <c r="G2582" s="358" t="s">
        <v>11</v>
      </c>
      <c r="H2582" s="358" t="s">
        <v>11</v>
      </c>
    </row>
    <row r="2583" spans="1:8" x14ac:dyDescent="0.3">
      <c r="A2583" t="s">
        <v>57</v>
      </c>
      <c r="B2583" t="s">
        <v>112</v>
      </c>
      <c r="C2583" t="s">
        <v>2859</v>
      </c>
      <c r="D2583">
        <v>2</v>
      </c>
      <c r="E2583" s="358">
        <v>4</v>
      </c>
      <c r="F2583" s="358" t="s">
        <v>75</v>
      </c>
      <c r="G2583" s="358" t="s">
        <v>11</v>
      </c>
      <c r="H2583" s="358" t="s">
        <v>11</v>
      </c>
    </row>
    <row r="2584" spans="1:8" x14ac:dyDescent="0.3">
      <c r="A2584" t="s">
        <v>57</v>
      </c>
      <c r="B2584" t="s">
        <v>112</v>
      </c>
      <c r="C2584" t="s">
        <v>1338</v>
      </c>
      <c r="D2584">
        <v>3</v>
      </c>
      <c r="E2584" s="358">
        <v>3</v>
      </c>
      <c r="F2584" s="358" t="s">
        <v>7</v>
      </c>
      <c r="G2584" s="358" t="s">
        <v>115</v>
      </c>
      <c r="H2584" s="358" t="s">
        <v>11</v>
      </c>
    </row>
    <row r="2585" spans="1:8" x14ac:dyDescent="0.3">
      <c r="A2585" t="s">
        <v>57</v>
      </c>
      <c r="B2585" t="s">
        <v>112</v>
      </c>
      <c r="C2585" t="s">
        <v>1686</v>
      </c>
      <c r="D2585">
        <v>3</v>
      </c>
      <c r="E2585" s="358">
        <v>3</v>
      </c>
      <c r="F2585" s="358" t="s">
        <v>75</v>
      </c>
      <c r="G2585" s="358" t="s">
        <v>11</v>
      </c>
      <c r="H2585" s="358" t="s">
        <v>11</v>
      </c>
    </row>
    <row r="2586" spans="1:8" x14ac:dyDescent="0.3">
      <c r="A2586" t="s">
        <v>57</v>
      </c>
      <c r="B2586" t="s">
        <v>112</v>
      </c>
      <c r="C2586" t="s">
        <v>2860</v>
      </c>
      <c r="D2586">
        <v>3</v>
      </c>
      <c r="E2586" s="358">
        <v>2</v>
      </c>
      <c r="F2586" s="358" t="s">
        <v>7</v>
      </c>
      <c r="G2586" s="358" t="s">
        <v>115</v>
      </c>
      <c r="H2586" s="358" t="s">
        <v>11</v>
      </c>
    </row>
    <row r="2587" spans="1:8" x14ac:dyDescent="0.3">
      <c r="A2587" t="s">
        <v>57</v>
      </c>
      <c r="B2587" t="s">
        <v>112</v>
      </c>
      <c r="C2587" t="s">
        <v>2861</v>
      </c>
      <c r="D2587">
        <v>2</v>
      </c>
      <c r="E2587" s="358">
        <v>4</v>
      </c>
      <c r="F2587" s="358" t="s">
        <v>75</v>
      </c>
      <c r="G2587" s="358" t="s">
        <v>11</v>
      </c>
      <c r="H2587" s="358" t="s">
        <v>11</v>
      </c>
    </row>
    <row r="2588" spans="1:8" x14ac:dyDescent="0.3">
      <c r="A2588" t="s">
        <v>57</v>
      </c>
      <c r="B2588" t="s">
        <v>112</v>
      </c>
      <c r="C2588" t="s">
        <v>1555</v>
      </c>
      <c r="D2588">
        <v>3</v>
      </c>
      <c r="E2588" s="358">
        <v>3</v>
      </c>
      <c r="F2588" s="358" t="s">
        <v>7</v>
      </c>
      <c r="G2588" s="358" t="s">
        <v>11</v>
      </c>
      <c r="H2588" s="358" t="s">
        <v>11</v>
      </c>
    </row>
    <row r="2589" spans="1:8" x14ac:dyDescent="0.3">
      <c r="A2589" t="s">
        <v>57</v>
      </c>
      <c r="B2589" t="s">
        <v>112</v>
      </c>
      <c r="C2589" t="s">
        <v>2862</v>
      </c>
      <c r="D2589">
        <v>3</v>
      </c>
      <c r="E2589" s="358">
        <v>3</v>
      </c>
      <c r="F2589" s="358" t="s">
        <v>7</v>
      </c>
      <c r="G2589" s="358" t="s">
        <v>115</v>
      </c>
      <c r="H2589" s="358" t="s">
        <v>11</v>
      </c>
    </row>
    <row r="2590" spans="1:8" x14ac:dyDescent="0.3">
      <c r="A2590" t="s">
        <v>57</v>
      </c>
      <c r="B2590" t="s">
        <v>112</v>
      </c>
      <c r="C2590" t="s">
        <v>2863</v>
      </c>
      <c r="D2590">
        <v>3</v>
      </c>
      <c r="E2590" s="358">
        <v>3</v>
      </c>
      <c r="F2590" s="358" t="s">
        <v>75</v>
      </c>
      <c r="G2590" s="358" t="s">
        <v>11</v>
      </c>
      <c r="H2590" s="358" t="s">
        <v>11</v>
      </c>
    </row>
    <row r="2591" spans="1:8" x14ac:dyDescent="0.3">
      <c r="A2591" t="s">
        <v>57</v>
      </c>
      <c r="B2591" t="s">
        <v>112</v>
      </c>
      <c r="C2591" t="s">
        <v>2864</v>
      </c>
      <c r="D2591">
        <v>3</v>
      </c>
      <c r="E2591" s="358">
        <v>2</v>
      </c>
      <c r="F2591" s="358" t="s">
        <v>75</v>
      </c>
      <c r="G2591" s="358" t="s">
        <v>11</v>
      </c>
      <c r="H2591" s="358" t="s">
        <v>11</v>
      </c>
    </row>
    <row r="2592" spans="1:8" x14ac:dyDescent="0.3">
      <c r="A2592" t="s">
        <v>57</v>
      </c>
      <c r="B2592" t="s">
        <v>112</v>
      </c>
      <c r="C2592" t="s">
        <v>2865</v>
      </c>
      <c r="D2592">
        <v>2</v>
      </c>
      <c r="E2592" s="358">
        <v>4</v>
      </c>
      <c r="F2592" s="358" t="s">
        <v>75</v>
      </c>
      <c r="G2592" s="358" t="s">
        <v>11</v>
      </c>
      <c r="H2592" s="358" t="s">
        <v>11</v>
      </c>
    </row>
    <row r="2593" spans="1:8" x14ac:dyDescent="0.3">
      <c r="A2593" t="s">
        <v>57</v>
      </c>
      <c r="B2593" t="s">
        <v>112</v>
      </c>
      <c r="C2593" t="s">
        <v>1618</v>
      </c>
      <c r="D2593">
        <v>3</v>
      </c>
      <c r="E2593" s="358">
        <v>2</v>
      </c>
      <c r="F2593" s="358" t="s">
        <v>7</v>
      </c>
      <c r="G2593" s="358" t="s">
        <v>115</v>
      </c>
      <c r="H2593" s="358" t="s">
        <v>11</v>
      </c>
    </row>
    <row r="2594" spans="1:8" x14ac:dyDescent="0.3">
      <c r="A2594" t="s">
        <v>57</v>
      </c>
      <c r="B2594" t="s">
        <v>112</v>
      </c>
      <c r="C2594" t="s">
        <v>2866</v>
      </c>
      <c r="D2594">
        <v>3</v>
      </c>
      <c r="E2594" s="358">
        <v>3</v>
      </c>
      <c r="F2594" s="358" t="s">
        <v>7</v>
      </c>
      <c r="G2594" s="358" t="s">
        <v>11</v>
      </c>
      <c r="H2594" s="358" t="s">
        <v>11</v>
      </c>
    </row>
    <row r="2595" spans="1:8" x14ac:dyDescent="0.3">
      <c r="A2595" t="s">
        <v>57</v>
      </c>
      <c r="B2595" t="s">
        <v>112</v>
      </c>
      <c r="C2595" t="s">
        <v>2867</v>
      </c>
      <c r="D2595">
        <v>3</v>
      </c>
      <c r="E2595" s="358">
        <v>3</v>
      </c>
      <c r="F2595" s="358" t="s">
        <v>75</v>
      </c>
      <c r="G2595" s="358" t="s">
        <v>11</v>
      </c>
      <c r="H2595" s="358" t="s">
        <v>11</v>
      </c>
    </row>
    <row r="2596" spans="1:8" x14ac:dyDescent="0.3">
      <c r="A2596" t="s">
        <v>57</v>
      </c>
      <c r="B2596" t="s">
        <v>112</v>
      </c>
      <c r="C2596" t="s">
        <v>1816</v>
      </c>
      <c r="D2596">
        <v>3</v>
      </c>
      <c r="E2596" s="358">
        <v>2</v>
      </c>
      <c r="F2596" s="358" t="s">
        <v>75</v>
      </c>
      <c r="G2596" s="358" t="s">
        <v>11</v>
      </c>
      <c r="H2596" s="358" t="s">
        <v>11</v>
      </c>
    </row>
    <row r="2597" spans="1:8" x14ac:dyDescent="0.3">
      <c r="A2597" t="s">
        <v>57</v>
      </c>
      <c r="B2597" t="s">
        <v>112</v>
      </c>
      <c r="C2597" t="s">
        <v>1560</v>
      </c>
      <c r="D2597">
        <v>3</v>
      </c>
      <c r="E2597" s="358">
        <v>3</v>
      </c>
      <c r="F2597" s="358" t="s">
        <v>75</v>
      </c>
      <c r="G2597" s="358" t="s">
        <v>11</v>
      </c>
      <c r="H2597" s="358" t="s">
        <v>11</v>
      </c>
    </row>
    <row r="2598" spans="1:8" x14ac:dyDescent="0.3">
      <c r="A2598" t="s">
        <v>57</v>
      </c>
      <c r="B2598" t="s">
        <v>112</v>
      </c>
      <c r="C2598" t="s">
        <v>1956</v>
      </c>
      <c r="D2598">
        <v>3</v>
      </c>
      <c r="E2598" s="358">
        <v>3</v>
      </c>
      <c r="F2598" s="358" t="s">
        <v>7</v>
      </c>
      <c r="G2598" s="358" t="s">
        <v>115</v>
      </c>
      <c r="H2598" s="358" t="s">
        <v>11</v>
      </c>
    </row>
    <row r="2599" spans="1:8" x14ac:dyDescent="0.3">
      <c r="A2599" t="s">
        <v>57</v>
      </c>
      <c r="B2599" t="s">
        <v>112</v>
      </c>
      <c r="C2599" t="s">
        <v>2868</v>
      </c>
      <c r="D2599">
        <v>3</v>
      </c>
      <c r="E2599" s="358">
        <v>3</v>
      </c>
      <c r="F2599" s="358" t="s">
        <v>7</v>
      </c>
      <c r="G2599" s="358" t="s">
        <v>115</v>
      </c>
      <c r="H2599" s="358" t="s">
        <v>11</v>
      </c>
    </row>
    <row r="2600" spans="1:8" x14ac:dyDescent="0.3">
      <c r="A2600" t="s">
        <v>57</v>
      </c>
      <c r="B2600" t="s">
        <v>112</v>
      </c>
      <c r="C2600" t="s">
        <v>2869</v>
      </c>
      <c r="D2600">
        <v>3</v>
      </c>
      <c r="E2600" s="358">
        <v>2</v>
      </c>
      <c r="F2600" s="358" t="s">
        <v>7</v>
      </c>
      <c r="G2600" s="358" t="s">
        <v>115</v>
      </c>
      <c r="H2600" s="358" t="s">
        <v>11</v>
      </c>
    </row>
    <row r="2601" spans="1:8" x14ac:dyDescent="0.3">
      <c r="A2601" t="s">
        <v>57</v>
      </c>
      <c r="B2601" t="s">
        <v>112</v>
      </c>
      <c r="C2601" t="s">
        <v>1697</v>
      </c>
      <c r="D2601">
        <v>3</v>
      </c>
      <c r="E2601" s="358">
        <v>3</v>
      </c>
      <c r="F2601" s="358" t="s">
        <v>7</v>
      </c>
      <c r="G2601" s="358" t="s">
        <v>11</v>
      </c>
      <c r="H2601" s="358" t="s">
        <v>11</v>
      </c>
    </row>
    <row r="2602" spans="1:8" x14ac:dyDescent="0.3">
      <c r="A2602" t="s">
        <v>57</v>
      </c>
      <c r="B2602" t="s">
        <v>112</v>
      </c>
      <c r="C2602" t="s">
        <v>1343</v>
      </c>
      <c r="D2602">
        <v>3</v>
      </c>
      <c r="E2602" s="358">
        <v>2</v>
      </c>
      <c r="F2602" s="358" t="s">
        <v>7</v>
      </c>
      <c r="G2602" s="358" t="s">
        <v>115</v>
      </c>
      <c r="H2602" s="358" t="s">
        <v>11</v>
      </c>
    </row>
    <row r="2603" spans="1:8" x14ac:dyDescent="0.3">
      <c r="A2603" t="s">
        <v>57</v>
      </c>
      <c r="B2603" t="s">
        <v>112</v>
      </c>
      <c r="C2603" t="s">
        <v>2870</v>
      </c>
      <c r="D2603">
        <v>3</v>
      </c>
      <c r="E2603" s="358">
        <v>3</v>
      </c>
      <c r="F2603" s="358" t="s">
        <v>75</v>
      </c>
      <c r="G2603" s="358" t="s">
        <v>11</v>
      </c>
      <c r="H2603" s="358" t="s">
        <v>11</v>
      </c>
    </row>
    <row r="2604" spans="1:8" x14ac:dyDescent="0.3">
      <c r="A2604" t="s">
        <v>57</v>
      </c>
      <c r="B2604" t="s">
        <v>112</v>
      </c>
      <c r="C2604" t="s">
        <v>1698</v>
      </c>
      <c r="D2604">
        <v>2</v>
      </c>
      <c r="E2604" s="358">
        <v>4</v>
      </c>
      <c r="F2604" s="358" t="s">
        <v>75</v>
      </c>
      <c r="G2604" s="358" t="s">
        <v>11</v>
      </c>
      <c r="H2604" s="358" t="s">
        <v>11</v>
      </c>
    </row>
    <row r="2605" spans="1:8" x14ac:dyDescent="0.3">
      <c r="A2605" t="s">
        <v>57</v>
      </c>
      <c r="B2605" t="s">
        <v>112</v>
      </c>
      <c r="C2605" t="s">
        <v>2871</v>
      </c>
      <c r="D2605">
        <v>3</v>
      </c>
      <c r="E2605" s="358">
        <v>3</v>
      </c>
      <c r="F2605" s="358" t="s">
        <v>75</v>
      </c>
      <c r="G2605" s="358" t="s">
        <v>11</v>
      </c>
      <c r="H2605" s="358" t="s">
        <v>11</v>
      </c>
    </row>
    <row r="2606" spans="1:8" x14ac:dyDescent="0.3">
      <c r="A2606" t="s">
        <v>57</v>
      </c>
      <c r="B2606" t="s">
        <v>112</v>
      </c>
      <c r="C2606" t="s">
        <v>2872</v>
      </c>
      <c r="D2606">
        <v>3</v>
      </c>
      <c r="E2606" s="358">
        <v>2</v>
      </c>
      <c r="F2606" s="358" t="s">
        <v>7</v>
      </c>
      <c r="G2606" s="358" t="s">
        <v>115</v>
      </c>
      <c r="H2606" s="358" t="s">
        <v>11</v>
      </c>
    </row>
    <row r="2607" spans="1:8" x14ac:dyDescent="0.3">
      <c r="A2607" t="s">
        <v>57</v>
      </c>
      <c r="B2607" t="s">
        <v>112</v>
      </c>
      <c r="C2607" t="s">
        <v>1344</v>
      </c>
      <c r="D2607">
        <v>3</v>
      </c>
      <c r="E2607" s="358">
        <v>3</v>
      </c>
      <c r="F2607" s="358" t="s">
        <v>7</v>
      </c>
      <c r="G2607" s="358" t="s">
        <v>115</v>
      </c>
      <c r="H2607" s="358" t="s">
        <v>11</v>
      </c>
    </row>
    <row r="2608" spans="1:8" x14ac:dyDescent="0.3">
      <c r="A2608" t="s">
        <v>57</v>
      </c>
      <c r="B2608" t="s">
        <v>112</v>
      </c>
      <c r="C2608" t="s">
        <v>2873</v>
      </c>
      <c r="D2608">
        <v>3</v>
      </c>
      <c r="E2608" s="358">
        <v>2</v>
      </c>
      <c r="F2608" s="358" t="s">
        <v>7</v>
      </c>
      <c r="G2608" s="358" t="s">
        <v>115</v>
      </c>
      <c r="H2608" s="358" t="s">
        <v>11</v>
      </c>
    </row>
    <row r="2609" spans="1:8" x14ac:dyDescent="0.3">
      <c r="A2609" t="s">
        <v>57</v>
      </c>
      <c r="B2609" t="s">
        <v>112</v>
      </c>
      <c r="C2609" t="s">
        <v>2874</v>
      </c>
      <c r="D2609">
        <v>3</v>
      </c>
      <c r="E2609" s="358">
        <v>2</v>
      </c>
      <c r="F2609" s="358" t="s">
        <v>75</v>
      </c>
      <c r="G2609" s="358" t="s">
        <v>11</v>
      </c>
      <c r="H2609" s="358" t="s">
        <v>11</v>
      </c>
    </row>
    <row r="2610" spans="1:8" x14ac:dyDescent="0.3">
      <c r="A2610" t="s">
        <v>57</v>
      </c>
      <c r="B2610" t="s">
        <v>112</v>
      </c>
      <c r="C2610" t="s">
        <v>2875</v>
      </c>
      <c r="D2610">
        <v>3</v>
      </c>
      <c r="E2610" s="358">
        <v>3</v>
      </c>
      <c r="F2610" s="358" t="s">
        <v>75</v>
      </c>
      <c r="G2610" s="358" t="s">
        <v>11</v>
      </c>
      <c r="H2610" s="358" t="s">
        <v>11</v>
      </c>
    </row>
    <row r="2611" spans="1:8" x14ac:dyDescent="0.3">
      <c r="A2611" t="s">
        <v>57</v>
      </c>
      <c r="B2611" t="s">
        <v>112</v>
      </c>
      <c r="C2611" t="s">
        <v>2876</v>
      </c>
      <c r="D2611">
        <v>3</v>
      </c>
      <c r="E2611" s="358">
        <v>2</v>
      </c>
      <c r="F2611" s="358" t="s">
        <v>7</v>
      </c>
      <c r="G2611" s="358" t="s">
        <v>115</v>
      </c>
      <c r="H2611" s="358" t="s">
        <v>11</v>
      </c>
    </row>
    <row r="2612" spans="1:8" x14ac:dyDescent="0.3">
      <c r="A2612" t="s">
        <v>57</v>
      </c>
      <c r="B2612" t="s">
        <v>112</v>
      </c>
      <c r="C2612" t="s">
        <v>2877</v>
      </c>
      <c r="D2612">
        <v>2</v>
      </c>
      <c r="E2612" s="358">
        <v>3</v>
      </c>
      <c r="F2612" s="358" t="s">
        <v>75</v>
      </c>
      <c r="G2612" s="358" t="s">
        <v>11</v>
      </c>
      <c r="H2612" s="358" t="s">
        <v>11</v>
      </c>
    </row>
    <row r="2613" spans="1:8" x14ac:dyDescent="0.3">
      <c r="A2613" t="s">
        <v>57</v>
      </c>
      <c r="B2613" t="s">
        <v>112</v>
      </c>
      <c r="C2613" t="s">
        <v>2878</v>
      </c>
      <c r="D2613">
        <v>3</v>
      </c>
      <c r="E2613" s="358">
        <v>3</v>
      </c>
      <c r="F2613" s="358" t="s">
        <v>7</v>
      </c>
      <c r="G2613" s="358" t="s">
        <v>115</v>
      </c>
      <c r="H2613" s="358" t="s">
        <v>11</v>
      </c>
    </row>
    <row r="2614" spans="1:8" x14ac:dyDescent="0.3">
      <c r="A2614" t="s">
        <v>57</v>
      </c>
      <c r="B2614" t="s">
        <v>112</v>
      </c>
      <c r="C2614" t="s">
        <v>2879</v>
      </c>
      <c r="D2614">
        <v>3</v>
      </c>
      <c r="E2614" s="358">
        <v>3</v>
      </c>
      <c r="F2614" s="358" t="s">
        <v>75</v>
      </c>
      <c r="G2614" s="358" t="s">
        <v>11</v>
      </c>
      <c r="H2614" s="358" t="s">
        <v>11</v>
      </c>
    </row>
    <row r="2615" spans="1:8" x14ac:dyDescent="0.3">
      <c r="A2615" t="s">
        <v>57</v>
      </c>
      <c r="B2615" t="s">
        <v>112</v>
      </c>
      <c r="C2615" t="s">
        <v>2880</v>
      </c>
      <c r="D2615">
        <v>3</v>
      </c>
      <c r="E2615" s="358">
        <v>2</v>
      </c>
      <c r="F2615" s="358" t="s">
        <v>7</v>
      </c>
      <c r="G2615" s="358" t="s">
        <v>115</v>
      </c>
      <c r="H2615" s="358" t="s">
        <v>11</v>
      </c>
    </row>
    <row r="2616" spans="1:8" x14ac:dyDescent="0.3">
      <c r="A2616" t="s">
        <v>57</v>
      </c>
      <c r="B2616" t="s">
        <v>112</v>
      </c>
      <c r="C2616" t="s">
        <v>2881</v>
      </c>
      <c r="D2616">
        <v>3</v>
      </c>
      <c r="E2616" s="358">
        <v>2</v>
      </c>
      <c r="F2616" s="358" t="s">
        <v>7</v>
      </c>
      <c r="G2616" s="358" t="s">
        <v>115</v>
      </c>
      <c r="H2616" s="358" t="s">
        <v>11</v>
      </c>
    </row>
    <row r="2617" spans="1:8" x14ac:dyDescent="0.3">
      <c r="A2617" t="s">
        <v>57</v>
      </c>
      <c r="B2617" t="s">
        <v>112</v>
      </c>
      <c r="C2617" t="s">
        <v>1961</v>
      </c>
      <c r="D2617">
        <v>2</v>
      </c>
      <c r="E2617" s="358">
        <v>4</v>
      </c>
      <c r="F2617" s="358" t="s">
        <v>75</v>
      </c>
      <c r="G2617" s="358" t="s">
        <v>11</v>
      </c>
      <c r="H2617" s="358" t="s">
        <v>11</v>
      </c>
    </row>
    <row r="2618" spans="1:8" x14ac:dyDescent="0.3">
      <c r="A2618" t="s">
        <v>57</v>
      </c>
      <c r="B2618" t="s">
        <v>112</v>
      </c>
      <c r="C2618" t="s">
        <v>2032</v>
      </c>
      <c r="D2618">
        <v>3</v>
      </c>
      <c r="E2618" s="358">
        <v>3</v>
      </c>
      <c r="F2618" s="358" t="s">
        <v>7</v>
      </c>
      <c r="G2618" s="358" t="s">
        <v>11</v>
      </c>
      <c r="H2618" s="358" t="s">
        <v>11</v>
      </c>
    </row>
    <row r="2619" spans="1:8" x14ac:dyDescent="0.3">
      <c r="A2619" t="s">
        <v>57</v>
      </c>
      <c r="B2619" t="s">
        <v>112</v>
      </c>
      <c r="C2619" t="s">
        <v>2882</v>
      </c>
      <c r="D2619">
        <v>3</v>
      </c>
      <c r="E2619" s="358">
        <v>3</v>
      </c>
      <c r="F2619" s="358" t="s">
        <v>7</v>
      </c>
      <c r="G2619" s="358" t="s">
        <v>115</v>
      </c>
      <c r="H2619" s="358" t="s">
        <v>11</v>
      </c>
    </row>
    <row r="2620" spans="1:8" x14ac:dyDescent="0.3">
      <c r="A2620" t="s">
        <v>57</v>
      </c>
      <c r="B2620" t="s">
        <v>112</v>
      </c>
      <c r="C2620" t="s">
        <v>2883</v>
      </c>
      <c r="D2620">
        <v>3</v>
      </c>
      <c r="E2620" s="358">
        <v>2</v>
      </c>
      <c r="F2620" s="358" t="s">
        <v>7</v>
      </c>
      <c r="G2620" s="358" t="s">
        <v>115</v>
      </c>
      <c r="H2620" s="358" t="s">
        <v>11</v>
      </c>
    </row>
    <row r="2621" spans="1:8" x14ac:dyDescent="0.3">
      <c r="A2621" t="s">
        <v>57</v>
      </c>
      <c r="B2621" t="s">
        <v>112</v>
      </c>
      <c r="C2621" t="s">
        <v>2459</v>
      </c>
      <c r="D2621">
        <v>3</v>
      </c>
      <c r="E2621" s="358">
        <v>2</v>
      </c>
      <c r="F2621" s="358" t="s">
        <v>7</v>
      </c>
      <c r="G2621" s="358" t="s">
        <v>115</v>
      </c>
      <c r="H2621" s="358" t="s">
        <v>11</v>
      </c>
    </row>
    <row r="2622" spans="1:8" x14ac:dyDescent="0.3">
      <c r="A2622" t="s">
        <v>57</v>
      </c>
      <c r="B2622" t="s">
        <v>112</v>
      </c>
      <c r="C2622" t="s">
        <v>1347</v>
      </c>
      <c r="D2622">
        <v>2</v>
      </c>
      <c r="E2622" s="358">
        <v>4</v>
      </c>
      <c r="F2622" s="358" t="s">
        <v>75</v>
      </c>
      <c r="G2622" s="358" t="s">
        <v>11</v>
      </c>
      <c r="H2622" s="358" t="s">
        <v>11</v>
      </c>
    </row>
    <row r="2623" spans="1:8" x14ac:dyDescent="0.3">
      <c r="A2623" t="s">
        <v>57</v>
      </c>
      <c r="B2623" t="s">
        <v>112</v>
      </c>
      <c r="C2623" t="s">
        <v>1707</v>
      </c>
      <c r="D2623">
        <v>3</v>
      </c>
      <c r="E2623" s="358">
        <v>3</v>
      </c>
      <c r="F2623" s="358" t="s">
        <v>75</v>
      </c>
      <c r="G2623" s="358" t="s">
        <v>11</v>
      </c>
      <c r="H2623" s="358" t="s">
        <v>11</v>
      </c>
    </row>
    <row r="2624" spans="1:8" x14ac:dyDescent="0.3">
      <c r="A2624" t="s">
        <v>57</v>
      </c>
      <c r="B2624" t="s">
        <v>112</v>
      </c>
      <c r="C2624" t="s">
        <v>1624</v>
      </c>
      <c r="D2624">
        <v>3</v>
      </c>
      <c r="E2624" s="358">
        <v>3</v>
      </c>
      <c r="F2624" s="358" t="s">
        <v>7</v>
      </c>
      <c r="G2624" s="358" t="s">
        <v>115</v>
      </c>
      <c r="H2624" s="358" t="s">
        <v>11</v>
      </c>
    </row>
    <row r="2625" spans="1:8" x14ac:dyDescent="0.3">
      <c r="A2625" t="s">
        <v>57</v>
      </c>
      <c r="B2625" t="s">
        <v>112</v>
      </c>
      <c r="C2625" t="s">
        <v>2884</v>
      </c>
      <c r="D2625">
        <v>2</v>
      </c>
      <c r="E2625" s="358">
        <v>4</v>
      </c>
      <c r="F2625" s="358" t="s">
        <v>75</v>
      </c>
      <c r="G2625" s="358" t="s">
        <v>11</v>
      </c>
      <c r="H2625" s="358" t="s">
        <v>11</v>
      </c>
    </row>
    <row r="2626" spans="1:8" x14ac:dyDescent="0.3">
      <c r="A2626" t="s">
        <v>57</v>
      </c>
      <c r="B2626" t="s">
        <v>112</v>
      </c>
      <c r="C2626" t="s">
        <v>2803</v>
      </c>
      <c r="D2626">
        <v>3</v>
      </c>
      <c r="E2626" s="358">
        <v>3</v>
      </c>
      <c r="F2626" s="358" t="s">
        <v>75</v>
      </c>
      <c r="G2626" s="358" t="s">
        <v>11</v>
      </c>
      <c r="H2626" s="358" t="s">
        <v>11</v>
      </c>
    </row>
    <row r="2627" spans="1:8" x14ac:dyDescent="0.3">
      <c r="A2627" t="s">
        <v>57</v>
      </c>
      <c r="B2627" t="s">
        <v>112</v>
      </c>
      <c r="C2627" t="s">
        <v>1820</v>
      </c>
      <c r="D2627">
        <v>3</v>
      </c>
      <c r="E2627" s="358">
        <v>2</v>
      </c>
      <c r="F2627" s="358" t="s">
        <v>7</v>
      </c>
      <c r="G2627" s="358" t="s">
        <v>115</v>
      </c>
      <c r="H2627" s="358" t="s">
        <v>11</v>
      </c>
    </row>
    <row r="2628" spans="1:8" x14ac:dyDescent="0.3">
      <c r="A2628" t="s">
        <v>57</v>
      </c>
      <c r="B2628" t="s">
        <v>112</v>
      </c>
      <c r="C2628" t="s">
        <v>1710</v>
      </c>
      <c r="D2628">
        <v>3</v>
      </c>
      <c r="E2628" s="358">
        <v>2</v>
      </c>
      <c r="F2628" s="358" t="s">
        <v>7</v>
      </c>
      <c r="G2628" s="358" t="s">
        <v>115</v>
      </c>
      <c r="H2628" s="358" t="s">
        <v>11</v>
      </c>
    </row>
    <row r="2629" spans="1:8" x14ac:dyDescent="0.3">
      <c r="A2629" t="s">
        <v>57</v>
      </c>
      <c r="B2629" t="s">
        <v>112</v>
      </c>
      <c r="C2629" t="s">
        <v>1867</v>
      </c>
      <c r="D2629">
        <v>3</v>
      </c>
      <c r="E2629" s="358">
        <v>3</v>
      </c>
      <c r="F2629" s="358" t="s">
        <v>7</v>
      </c>
      <c r="G2629" s="358" t="s">
        <v>115</v>
      </c>
      <c r="H2629" s="358" t="s">
        <v>11</v>
      </c>
    </row>
    <row r="2630" spans="1:8" x14ac:dyDescent="0.3">
      <c r="A2630" t="s">
        <v>57</v>
      </c>
      <c r="B2630" t="s">
        <v>112</v>
      </c>
      <c r="C2630" t="s">
        <v>2885</v>
      </c>
      <c r="D2630">
        <v>2</v>
      </c>
      <c r="E2630" s="358">
        <v>4</v>
      </c>
      <c r="F2630" s="358" t="s">
        <v>75</v>
      </c>
      <c r="G2630" s="358" t="s">
        <v>11</v>
      </c>
      <c r="H2630" s="358" t="s">
        <v>11</v>
      </c>
    </row>
    <row r="2631" spans="1:8" x14ac:dyDescent="0.3">
      <c r="A2631" t="s">
        <v>57</v>
      </c>
      <c r="B2631" t="s">
        <v>112</v>
      </c>
      <c r="C2631" t="s">
        <v>1966</v>
      </c>
      <c r="D2631">
        <v>3</v>
      </c>
      <c r="E2631" s="358">
        <v>3</v>
      </c>
      <c r="F2631" s="358" t="s">
        <v>75</v>
      </c>
      <c r="G2631" s="358" t="s">
        <v>11</v>
      </c>
      <c r="H2631" s="358" t="s">
        <v>11</v>
      </c>
    </row>
    <row r="2632" spans="1:8" x14ac:dyDescent="0.3">
      <c r="A2632" t="s">
        <v>57</v>
      </c>
      <c r="B2632" t="s">
        <v>112</v>
      </c>
      <c r="C2632" t="s">
        <v>2886</v>
      </c>
      <c r="D2632">
        <v>3</v>
      </c>
      <c r="E2632" s="358">
        <v>2</v>
      </c>
      <c r="F2632" s="358" t="s">
        <v>7</v>
      </c>
      <c r="G2632" s="358" t="s">
        <v>115</v>
      </c>
      <c r="H2632" s="358" t="s">
        <v>11</v>
      </c>
    </row>
    <row r="2633" spans="1:8" x14ac:dyDescent="0.3">
      <c r="A2633" t="s">
        <v>57</v>
      </c>
      <c r="B2633" t="s">
        <v>112</v>
      </c>
      <c r="C2633" t="s">
        <v>2887</v>
      </c>
      <c r="D2633">
        <v>2</v>
      </c>
      <c r="E2633" s="358">
        <v>3</v>
      </c>
      <c r="F2633" s="358" t="s">
        <v>75</v>
      </c>
      <c r="G2633" s="358" t="s">
        <v>11</v>
      </c>
      <c r="H2633" s="358" t="s">
        <v>11</v>
      </c>
    </row>
    <row r="2634" spans="1:8" x14ac:dyDescent="0.3">
      <c r="A2634" t="s">
        <v>57</v>
      </c>
      <c r="B2634" t="s">
        <v>112</v>
      </c>
      <c r="C2634" t="s">
        <v>1821</v>
      </c>
      <c r="D2634">
        <v>3</v>
      </c>
      <c r="E2634" s="358">
        <v>3</v>
      </c>
      <c r="F2634" s="358" t="s">
        <v>7</v>
      </c>
      <c r="G2634" s="358" t="s">
        <v>115</v>
      </c>
      <c r="H2634" s="358" t="s">
        <v>11</v>
      </c>
    </row>
    <row r="2635" spans="1:8" x14ac:dyDescent="0.3">
      <c r="A2635" t="s">
        <v>57</v>
      </c>
      <c r="B2635" t="s">
        <v>112</v>
      </c>
      <c r="C2635" t="s">
        <v>2461</v>
      </c>
      <c r="D2635">
        <v>3</v>
      </c>
      <c r="E2635" s="358">
        <v>2</v>
      </c>
      <c r="F2635" s="358" t="s">
        <v>7</v>
      </c>
      <c r="G2635" s="358" t="s">
        <v>115</v>
      </c>
      <c r="H2635" s="358" t="s">
        <v>11</v>
      </c>
    </row>
    <row r="2636" spans="1:8" x14ac:dyDescent="0.3">
      <c r="A2636" t="s">
        <v>57</v>
      </c>
      <c r="B2636" t="s">
        <v>112</v>
      </c>
      <c r="C2636" t="s">
        <v>2360</v>
      </c>
      <c r="D2636">
        <v>3</v>
      </c>
      <c r="E2636" s="358">
        <v>2</v>
      </c>
      <c r="F2636" s="358" t="s">
        <v>7</v>
      </c>
      <c r="G2636" s="358" t="s">
        <v>115</v>
      </c>
      <c r="H2636" s="358" t="s">
        <v>11</v>
      </c>
    </row>
    <row r="2637" spans="1:8" x14ac:dyDescent="0.3">
      <c r="A2637" t="s">
        <v>57</v>
      </c>
      <c r="B2637" t="s">
        <v>112</v>
      </c>
      <c r="C2637" t="s">
        <v>2888</v>
      </c>
      <c r="D2637">
        <v>2</v>
      </c>
      <c r="E2637" s="358">
        <v>4</v>
      </c>
      <c r="F2637" s="358" t="s">
        <v>75</v>
      </c>
      <c r="G2637" s="358" t="s">
        <v>11</v>
      </c>
      <c r="H2637" s="358" t="s">
        <v>11</v>
      </c>
    </row>
    <row r="2638" spans="1:8" x14ac:dyDescent="0.3">
      <c r="A2638" t="s">
        <v>57</v>
      </c>
      <c r="B2638" t="s">
        <v>112</v>
      </c>
      <c r="C2638" t="s">
        <v>2889</v>
      </c>
      <c r="D2638">
        <v>3</v>
      </c>
      <c r="E2638" s="358">
        <v>3</v>
      </c>
      <c r="F2638" s="358" t="s">
        <v>7</v>
      </c>
      <c r="G2638" s="358" t="s">
        <v>115</v>
      </c>
      <c r="H2638" s="358" t="s">
        <v>11</v>
      </c>
    </row>
    <row r="2639" spans="1:8" x14ac:dyDescent="0.3">
      <c r="A2639" t="s">
        <v>57</v>
      </c>
      <c r="B2639" t="s">
        <v>112</v>
      </c>
      <c r="C2639" t="s">
        <v>2037</v>
      </c>
      <c r="D2639">
        <v>3</v>
      </c>
      <c r="E2639" s="358">
        <v>3</v>
      </c>
      <c r="F2639" s="358" t="s">
        <v>7</v>
      </c>
      <c r="G2639" s="358" t="s">
        <v>115</v>
      </c>
      <c r="H2639" s="358" t="s">
        <v>11</v>
      </c>
    </row>
    <row r="2640" spans="1:8" x14ac:dyDescent="0.3">
      <c r="A2640" t="s">
        <v>57</v>
      </c>
      <c r="B2640" t="s">
        <v>112</v>
      </c>
      <c r="C2640" t="s">
        <v>1349</v>
      </c>
      <c r="D2640">
        <v>3</v>
      </c>
      <c r="E2640" s="358">
        <v>2</v>
      </c>
      <c r="F2640" s="358" t="s">
        <v>7</v>
      </c>
      <c r="G2640" s="358" t="s">
        <v>115</v>
      </c>
      <c r="H2640" s="358" t="s">
        <v>11</v>
      </c>
    </row>
    <row r="2641" spans="1:8" x14ac:dyDescent="0.3">
      <c r="A2641" t="s">
        <v>57</v>
      </c>
      <c r="B2641" t="s">
        <v>112</v>
      </c>
      <c r="C2641" t="s">
        <v>1451</v>
      </c>
      <c r="D2641">
        <v>3</v>
      </c>
      <c r="E2641" s="358">
        <v>3</v>
      </c>
      <c r="F2641" s="358" t="s">
        <v>75</v>
      </c>
      <c r="G2641" s="358" t="s">
        <v>11</v>
      </c>
      <c r="H2641" s="358" t="s">
        <v>11</v>
      </c>
    </row>
    <row r="2642" spans="1:8" x14ac:dyDescent="0.3">
      <c r="A2642" t="s">
        <v>57</v>
      </c>
      <c r="B2642" t="s">
        <v>112</v>
      </c>
      <c r="C2642" t="s">
        <v>2890</v>
      </c>
      <c r="D2642">
        <v>2</v>
      </c>
      <c r="E2642" s="358">
        <v>3</v>
      </c>
      <c r="F2642" s="358" t="s">
        <v>75</v>
      </c>
      <c r="G2642" s="358" t="s">
        <v>11</v>
      </c>
      <c r="H2642" s="358" t="s">
        <v>11</v>
      </c>
    </row>
    <row r="2643" spans="1:8" x14ac:dyDescent="0.3">
      <c r="A2643" t="s">
        <v>57</v>
      </c>
      <c r="B2643" t="s">
        <v>112</v>
      </c>
      <c r="C2643" t="s">
        <v>2891</v>
      </c>
      <c r="D2643">
        <v>3</v>
      </c>
      <c r="E2643" s="358">
        <v>3</v>
      </c>
      <c r="F2643" s="358" t="s">
        <v>7</v>
      </c>
      <c r="G2643" s="358" t="s">
        <v>115</v>
      </c>
      <c r="H2643" s="358" t="s">
        <v>11</v>
      </c>
    </row>
    <row r="2644" spans="1:8" x14ac:dyDescent="0.3">
      <c r="A2644" t="s">
        <v>57</v>
      </c>
      <c r="B2644" t="s">
        <v>112</v>
      </c>
      <c r="C2644" t="s">
        <v>2774</v>
      </c>
      <c r="D2644">
        <v>2</v>
      </c>
      <c r="E2644" s="358">
        <v>4</v>
      </c>
      <c r="F2644" s="358" t="s">
        <v>75</v>
      </c>
      <c r="G2644" s="358" t="s">
        <v>11</v>
      </c>
      <c r="H2644" s="358" t="s">
        <v>11</v>
      </c>
    </row>
    <row r="2645" spans="1:8" x14ac:dyDescent="0.3">
      <c r="A2645" t="s">
        <v>57</v>
      </c>
      <c r="B2645" t="s">
        <v>112</v>
      </c>
      <c r="C2645" t="s">
        <v>2892</v>
      </c>
      <c r="D2645">
        <v>3</v>
      </c>
      <c r="E2645" s="358">
        <v>3</v>
      </c>
      <c r="F2645" s="358" t="s">
        <v>75</v>
      </c>
      <c r="G2645" s="358" t="s">
        <v>11</v>
      </c>
      <c r="H2645" s="358" t="s">
        <v>11</v>
      </c>
    </row>
    <row r="2646" spans="1:8" x14ac:dyDescent="0.3">
      <c r="A2646" t="s">
        <v>57</v>
      </c>
      <c r="B2646" t="s">
        <v>112</v>
      </c>
      <c r="C2646" t="s">
        <v>2893</v>
      </c>
      <c r="D2646">
        <v>3</v>
      </c>
      <c r="E2646" s="358">
        <v>3</v>
      </c>
      <c r="F2646" s="358" t="s">
        <v>7</v>
      </c>
      <c r="G2646" s="358" t="s">
        <v>11</v>
      </c>
      <c r="H2646" s="358" t="s">
        <v>11</v>
      </c>
    </row>
    <row r="2647" spans="1:8" x14ac:dyDescent="0.3">
      <c r="A2647" t="s">
        <v>57</v>
      </c>
      <c r="B2647" t="s">
        <v>112</v>
      </c>
      <c r="C2647" t="s">
        <v>1350</v>
      </c>
      <c r="D2647">
        <v>3</v>
      </c>
      <c r="E2647" s="358">
        <v>2</v>
      </c>
      <c r="F2647" s="358" t="s">
        <v>7</v>
      </c>
      <c r="G2647" s="358" t="s">
        <v>115</v>
      </c>
      <c r="H2647" s="358" t="s">
        <v>11</v>
      </c>
    </row>
    <row r="2648" spans="1:8" x14ac:dyDescent="0.3">
      <c r="A2648" t="s">
        <v>57</v>
      </c>
      <c r="B2648" t="s">
        <v>112</v>
      </c>
      <c r="C2648" t="s">
        <v>1714</v>
      </c>
      <c r="D2648">
        <v>3</v>
      </c>
      <c r="E2648" s="358">
        <v>2</v>
      </c>
      <c r="F2648" s="358" t="s">
        <v>7</v>
      </c>
      <c r="G2648" s="358" t="s">
        <v>115</v>
      </c>
      <c r="H2648" s="358" t="s">
        <v>11</v>
      </c>
    </row>
    <row r="2649" spans="1:8" x14ac:dyDescent="0.3">
      <c r="A2649" t="s">
        <v>57</v>
      </c>
      <c r="B2649" t="s">
        <v>112</v>
      </c>
      <c r="C2649" t="s">
        <v>1715</v>
      </c>
      <c r="D2649">
        <v>2</v>
      </c>
      <c r="E2649" s="358">
        <v>3</v>
      </c>
      <c r="F2649" s="358" t="s">
        <v>75</v>
      </c>
      <c r="G2649" s="358" t="s">
        <v>11</v>
      </c>
      <c r="H2649" s="358" t="s">
        <v>11</v>
      </c>
    </row>
    <row r="2650" spans="1:8" x14ac:dyDescent="0.3">
      <c r="A2650" t="s">
        <v>57</v>
      </c>
      <c r="B2650" t="s">
        <v>112</v>
      </c>
      <c r="C2650" t="s">
        <v>1351</v>
      </c>
      <c r="D2650">
        <v>3</v>
      </c>
      <c r="E2650" s="358">
        <v>2</v>
      </c>
      <c r="F2650" s="358" t="s">
        <v>7</v>
      </c>
      <c r="G2650" s="358" t="s">
        <v>115</v>
      </c>
      <c r="H2650" s="358" t="s">
        <v>11</v>
      </c>
    </row>
    <row r="2651" spans="1:8" x14ac:dyDescent="0.3">
      <c r="A2651" t="s">
        <v>57</v>
      </c>
      <c r="B2651" t="s">
        <v>112</v>
      </c>
      <c r="C2651" t="s">
        <v>2894</v>
      </c>
      <c r="D2651">
        <v>3</v>
      </c>
      <c r="E2651" s="358">
        <v>2</v>
      </c>
      <c r="F2651" s="358" t="s">
        <v>7</v>
      </c>
      <c r="G2651" s="358" t="s">
        <v>115</v>
      </c>
      <c r="H2651" s="358" t="s">
        <v>11</v>
      </c>
    </row>
    <row r="2652" spans="1:8" x14ac:dyDescent="0.3">
      <c r="A2652" t="s">
        <v>57</v>
      </c>
      <c r="B2652" t="s">
        <v>112</v>
      </c>
      <c r="C2652" t="s">
        <v>2895</v>
      </c>
      <c r="D2652">
        <v>3</v>
      </c>
      <c r="E2652" s="358">
        <v>2</v>
      </c>
      <c r="F2652" s="358" t="s">
        <v>7</v>
      </c>
      <c r="G2652" s="358" t="s">
        <v>115</v>
      </c>
      <c r="H2652" s="358" t="s">
        <v>11</v>
      </c>
    </row>
    <row r="2653" spans="1:8" x14ac:dyDescent="0.3">
      <c r="A2653" t="s">
        <v>57</v>
      </c>
      <c r="B2653" t="s">
        <v>112</v>
      </c>
      <c r="C2653" t="s">
        <v>1454</v>
      </c>
      <c r="D2653">
        <v>3</v>
      </c>
      <c r="E2653" s="358">
        <v>3</v>
      </c>
      <c r="F2653" s="358" t="s">
        <v>7</v>
      </c>
      <c r="G2653" s="358" t="s">
        <v>115</v>
      </c>
      <c r="H2653" s="358" t="s">
        <v>11</v>
      </c>
    </row>
    <row r="2654" spans="1:8" x14ac:dyDescent="0.3">
      <c r="A2654" t="s">
        <v>57</v>
      </c>
      <c r="B2654" t="s">
        <v>112</v>
      </c>
      <c r="C2654" t="s">
        <v>1717</v>
      </c>
      <c r="D2654">
        <v>3</v>
      </c>
      <c r="E2654" s="358">
        <v>3</v>
      </c>
      <c r="F2654" s="358" t="s">
        <v>75</v>
      </c>
      <c r="G2654" s="358" t="s">
        <v>11</v>
      </c>
      <c r="H2654" s="358" t="s">
        <v>11</v>
      </c>
    </row>
    <row r="2655" spans="1:8" x14ac:dyDescent="0.3">
      <c r="A2655" t="s">
        <v>57</v>
      </c>
      <c r="B2655" t="s">
        <v>112</v>
      </c>
      <c r="C2655" t="s">
        <v>2896</v>
      </c>
      <c r="D2655">
        <v>3</v>
      </c>
      <c r="E2655" s="358">
        <v>2</v>
      </c>
      <c r="F2655" s="358" t="s">
        <v>7</v>
      </c>
      <c r="G2655" s="358" t="s">
        <v>115</v>
      </c>
      <c r="H2655" s="358" t="s">
        <v>11</v>
      </c>
    </row>
    <row r="2656" spans="1:8" x14ac:dyDescent="0.3">
      <c r="A2656" t="s">
        <v>57</v>
      </c>
      <c r="B2656" t="s">
        <v>112</v>
      </c>
      <c r="C2656" t="s">
        <v>2897</v>
      </c>
      <c r="D2656">
        <v>3</v>
      </c>
      <c r="E2656" s="358">
        <v>3</v>
      </c>
      <c r="F2656" s="358" t="s">
        <v>7</v>
      </c>
      <c r="G2656" s="358" t="s">
        <v>115</v>
      </c>
      <c r="H2656" s="358" t="s">
        <v>11</v>
      </c>
    </row>
    <row r="2657" spans="1:8" x14ac:dyDescent="0.3">
      <c r="A2657" t="s">
        <v>57</v>
      </c>
      <c r="B2657" t="s">
        <v>112</v>
      </c>
      <c r="C2657" t="s">
        <v>1827</v>
      </c>
      <c r="D2657">
        <v>3</v>
      </c>
      <c r="E2657" s="358">
        <v>3</v>
      </c>
      <c r="F2657" s="358" t="s">
        <v>7</v>
      </c>
      <c r="G2657" s="358" t="s">
        <v>115</v>
      </c>
      <c r="H2657" s="358" t="s">
        <v>11</v>
      </c>
    </row>
    <row r="2658" spans="1:8" x14ac:dyDescent="0.3">
      <c r="A2658" t="s">
        <v>57</v>
      </c>
      <c r="B2658" t="s">
        <v>112</v>
      </c>
      <c r="C2658" t="s">
        <v>2898</v>
      </c>
      <c r="D2658">
        <v>3</v>
      </c>
      <c r="E2658" s="358">
        <v>2</v>
      </c>
      <c r="F2658" s="358" t="s">
        <v>7</v>
      </c>
      <c r="G2658" s="358" t="s">
        <v>115</v>
      </c>
      <c r="H2658" s="358" t="s">
        <v>11</v>
      </c>
    </row>
    <row r="2659" spans="1:8" x14ac:dyDescent="0.3">
      <c r="A2659" t="s">
        <v>57</v>
      </c>
      <c r="B2659" t="s">
        <v>112</v>
      </c>
      <c r="C2659" t="s">
        <v>1603</v>
      </c>
      <c r="D2659">
        <v>3</v>
      </c>
      <c r="E2659" s="358">
        <v>3</v>
      </c>
      <c r="F2659" s="358" t="s">
        <v>75</v>
      </c>
      <c r="G2659" s="358" t="s">
        <v>11</v>
      </c>
      <c r="H2659" s="358" t="s">
        <v>11</v>
      </c>
    </row>
    <row r="2660" spans="1:8" x14ac:dyDescent="0.3">
      <c r="A2660" t="s">
        <v>57</v>
      </c>
      <c r="B2660" t="s">
        <v>112</v>
      </c>
      <c r="C2660" t="s">
        <v>2899</v>
      </c>
      <c r="D2660">
        <v>3</v>
      </c>
      <c r="E2660" s="358">
        <v>3</v>
      </c>
      <c r="F2660" s="358" t="s">
        <v>75</v>
      </c>
      <c r="G2660" s="358" t="s">
        <v>11</v>
      </c>
      <c r="H2660" s="358" t="s">
        <v>11</v>
      </c>
    </row>
    <row r="2661" spans="1:8" x14ac:dyDescent="0.3">
      <c r="A2661" t="s">
        <v>57</v>
      </c>
      <c r="B2661" t="s">
        <v>112</v>
      </c>
      <c r="C2661" t="s">
        <v>2900</v>
      </c>
      <c r="D2661">
        <v>3</v>
      </c>
      <c r="E2661" s="358">
        <v>3</v>
      </c>
      <c r="F2661" s="358" t="s">
        <v>75</v>
      </c>
      <c r="G2661" s="358" t="s">
        <v>11</v>
      </c>
      <c r="H2661" s="358" t="s">
        <v>11</v>
      </c>
    </row>
    <row r="2662" spans="1:8" x14ac:dyDescent="0.3">
      <c r="A2662" t="s">
        <v>57</v>
      </c>
      <c r="B2662" t="s">
        <v>112</v>
      </c>
      <c r="C2662" t="s">
        <v>2901</v>
      </c>
      <c r="D2662">
        <v>3</v>
      </c>
      <c r="E2662" s="358">
        <v>3</v>
      </c>
      <c r="F2662" s="358" t="s">
        <v>75</v>
      </c>
      <c r="G2662" s="358" t="s">
        <v>11</v>
      </c>
      <c r="H2662" s="358" t="s">
        <v>11</v>
      </c>
    </row>
    <row r="2663" spans="1:8" x14ac:dyDescent="0.3">
      <c r="A2663" t="s">
        <v>57</v>
      </c>
      <c r="B2663" t="s">
        <v>112</v>
      </c>
      <c r="C2663" t="s">
        <v>2902</v>
      </c>
      <c r="D2663">
        <v>3</v>
      </c>
      <c r="E2663" s="358">
        <v>2</v>
      </c>
      <c r="F2663" s="358" t="s">
        <v>75</v>
      </c>
      <c r="G2663" s="358" t="s">
        <v>11</v>
      </c>
      <c r="H2663" s="358" t="s">
        <v>11</v>
      </c>
    </row>
    <row r="2664" spans="1:8" x14ac:dyDescent="0.3">
      <c r="A2664" t="s">
        <v>57</v>
      </c>
      <c r="B2664" t="s">
        <v>112</v>
      </c>
      <c r="C2664" t="s">
        <v>2903</v>
      </c>
      <c r="D2664">
        <v>3</v>
      </c>
      <c r="E2664" s="358">
        <v>2</v>
      </c>
      <c r="F2664" s="358" t="s">
        <v>7</v>
      </c>
      <c r="G2664" s="358" t="s">
        <v>115</v>
      </c>
      <c r="H2664" s="358" t="s">
        <v>11</v>
      </c>
    </row>
    <row r="2665" spans="1:8" x14ac:dyDescent="0.3">
      <c r="A2665" t="s">
        <v>57</v>
      </c>
      <c r="B2665" t="s">
        <v>112</v>
      </c>
      <c r="C2665" t="s">
        <v>1828</v>
      </c>
      <c r="D2665">
        <v>3</v>
      </c>
      <c r="E2665" s="358">
        <v>3</v>
      </c>
      <c r="F2665" s="358" t="s">
        <v>75</v>
      </c>
      <c r="G2665" s="358" t="s">
        <v>11</v>
      </c>
      <c r="H2665" s="358" t="s">
        <v>11</v>
      </c>
    </row>
    <row r="2666" spans="1:8" x14ac:dyDescent="0.3">
      <c r="A2666" t="s">
        <v>57</v>
      </c>
      <c r="B2666" t="s">
        <v>112</v>
      </c>
      <c r="C2666" t="s">
        <v>1829</v>
      </c>
      <c r="D2666">
        <v>3</v>
      </c>
      <c r="E2666" s="358">
        <v>2</v>
      </c>
      <c r="F2666" s="358" t="s">
        <v>75</v>
      </c>
      <c r="G2666" s="358" t="s">
        <v>11</v>
      </c>
      <c r="H2666" s="358" t="s">
        <v>11</v>
      </c>
    </row>
    <row r="2667" spans="1:8" x14ac:dyDescent="0.3">
      <c r="A2667" t="s">
        <v>57</v>
      </c>
      <c r="B2667" t="s">
        <v>112</v>
      </c>
      <c r="C2667" t="s">
        <v>1352</v>
      </c>
      <c r="D2667">
        <v>3</v>
      </c>
      <c r="E2667" s="358">
        <v>3</v>
      </c>
      <c r="F2667" s="358" t="s">
        <v>7</v>
      </c>
      <c r="G2667" s="358" t="s">
        <v>115</v>
      </c>
      <c r="H2667" s="358" t="s">
        <v>11</v>
      </c>
    </row>
    <row r="2668" spans="1:8" x14ac:dyDescent="0.3">
      <c r="A2668" t="s">
        <v>57</v>
      </c>
      <c r="B2668" t="s">
        <v>112</v>
      </c>
      <c r="C2668" t="s">
        <v>2904</v>
      </c>
      <c r="D2668">
        <v>2</v>
      </c>
      <c r="E2668" s="358">
        <v>4</v>
      </c>
      <c r="F2668" s="358" t="s">
        <v>75</v>
      </c>
      <c r="G2668" s="358" t="s">
        <v>11</v>
      </c>
      <c r="H2668" s="358" t="s">
        <v>11</v>
      </c>
    </row>
    <row r="2669" spans="1:8" x14ac:dyDescent="0.3">
      <c r="A2669" t="s">
        <v>57</v>
      </c>
      <c r="B2669" t="s">
        <v>112</v>
      </c>
      <c r="C2669" t="s">
        <v>2905</v>
      </c>
      <c r="D2669">
        <v>3</v>
      </c>
      <c r="E2669" s="358">
        <v>3</v>
      </c>
      <c r="F2669" s="358" t="s">
        <v>7</v>
      </c>
      <c r="G2669" s="358" t="s">
        <v>115</v>
      </c>
      <c r="H2669" s="358" t="s">
        <v>11</v>
      </c>
    </row>
    <row r="2670" spans="1:8" x14ac:dyDescent="0.3">
      <c r="A2670" t="s">
        <v>57</v>
      </c>
      <c r="B2670" t="s">
        <v>112</v>
      </c>
      <c r="C2670" t="s">
        <v>2906</v>
      </c>
      <c r="D2670">
        <v>3</v>
      </c>
      <c r="E2670" s="358">
        <v>2</v>
      </c>
      <c r="F2670" s="358" t="s">
        <v>7</v>
      </c>
      <c r="G2670" s="358" t="s">
        <v>115</v>
      </c>
      <c r="H2670" s="358" t="s">
        <v>11</v>
      </c>
    </row>
    <row r="2671" spans="1:8" x14ac:dyDescent="0.3">
      <c r="A2671" t="s">
        <v>57</v>
      </c>
      <c r="B2671" t="s">
        <v>112</v>
      </c>
      <c r="C2671" t="s">
        <v>1355</v>
      </c>
      <c r="D2671">
        <v>3</v>
      </c>
      <c r="E2671" s="358">
        <v>2</v>
      </c>
      <c r="F2671" s="358" t="s">
        <v>7</v>
      </c>
      <c r="G2671" s="358" t="s">
        <v>115</v>
      </c>
      <c r="H2671" s="358" t="s">
        <v>11</v>
      </c>
    </row>
    <row r="2672" spans="1:8" x14ac:dyDescent="0.3">
      <c r="A2672" t="s">
        <v>57</v>
      </c>
      <c r="B2672" t="s">
        <v>112</v>
      </c>
      <c r="C2672" t="s">
        <v>1632</v>
      </c>
      <c r="D2672">
        <v>3</v>
      </c>
      <c r="E2672" s="358">
        <v>2</v>
      </c>
      <c r="F2672" s="358" t="s">
        <v>7</v>
      </c>
      <c r="G2672" s="358" t="s">
        <v>115</v>
      </c>
      <c r="H2672" s="358" t="s">
        <v>11</v>
      </c>
    </row>
    <row r="2673" spans="1:8" x14ac:dyDescent="0.3">
      <c r="A2673" t="s">
        <v>57</v>
      </c>
      <c r="B2673" t="s">
        <v>112</v>
      </c>
      <c r="C2673" t="s">
        <v>1634</v>
      </c>
      <c r="D2673">
        <v>3</v>
      </c>
      <c r="E2673" s="358">
        <v>2</v>
      </c>
      <c r="F2673" s="358" t="s">
        <v>7</v>
      </c>
      <c r="G2673" s="358" t="s">
        <v>115</v>
      </c>
      <c r="H2673" s="358" t="s">
        <v>11</v>
      </c>
    </row>
    <row r="2674" spans="1:8" x14ac:dyDescent="0.3">
      <c r="A2674" t="s">
        <v>57</v>
      </c>
      <c r="B2674" t="s">
        <v>112</v>
      </c>
      <c r="C2674" t="s">
        <v>1356</v>
      </c>
      <c r="D2674">
        <v>3</v>
      </c>
      <c r="E2674" s="358">
        <v>2</v>
      </c>
      <c r="F2674" s="358" t="s">
        <v>7</v>
      </c>
      <c r="G2674" s="358" t="s">
        <v>115</v>
      </c>
      <c r="H2674" s="358" t="s">
        <v>11</v>
      </c>
    </row>
    <row r="2675" spans="1:8" x14ac:dyDescent="0.3">
      <c r="A2675" t="s">
        <v>57</v>
      </c>
      <c r="B2675" t="s">
        <v>112</v>
      </c>
      <c r="C2675" t="s">
        <v>2907</v>
      </c>
      <c r="D2675">
        <v>2</v>
      </c>
      <c r="E2675" s="358">
        <v>4</v>
      </c>
      <c r="F2675" s="358" t="s">
        <v>75</v>
      </c>
      <c r="G2675" s="358" t="s">
        <v>11</v>
      </c>
      <c r="H2675" s="358" t="s">
        <v>11</v>
      </c>
    </row>
    <row r="2676" spans="1:8" x14ac:dyDescent="0.3">
      <c r="A2676" t="s">
        <v>57</v>
      </c>
      <c r="B2676" t="s">
        <v>112</v>
      </c>
      <c r="C2676" t="s">
        <v>2908</v>
      </c>
      <c r="D2676">
        <v>3</v>
      </c>
      <c r="E2676" s="358">
        <v>2</v>
      </c>
      <c r="F2676" s="358" t="s">
        <v>7</v>
      </c>
      <c r="G2676" s="358" t="s">
        <v>115</v>
      </c>
      <c r="H2676" s="358" t="s">
        <v>11</v>
      </c>
    </row>
    <row r="2677" spans="1:8" x14ac:dyDescent="0.3">
      <c r="A2677" t="s">
        <v>57</v>
      </c>
      <c r="B2677" t="s">
        <v>112</v>
      </c>
      <c r="C2677" t="s">
        <v>2909</v>
      </c>
      <c r="D2677">
        <v>2</v>
      </c>
      <c r="E2677" s="358">
        <v>3</v>
      </c>
      <c r="F2677" s="358" t="s">
        <v>7</v>
      </c>
      <c r="G2677" s="358" t="s">
        <v>115</v>
      </c>
      <c r="H2677" s="358" t="s">
        <v>11</v>
      </c>
    </row>
    <row r="2678" spans="1:8" x14ac:dyDescent="0.3">
      <c r="A2678" t="s">
        <v>57</v>
      </c>
      <c r="B2678" t="s">
        <v>112</v>
      </c>
      <c r="C2678" t="s">
        <v>2910</v>
      </c>
      <c r="D2678">
        <v>3</v>
      </c>
      <c r="E2678" s="358">
        <v>3</v>
      </c>
      <c r="F2678" s="358" t="s">
        <v>75</v>
      </c>
      <c r="G2678" s="358" t="s">
        <v>11</v>
      </c>
      <c r="H2678" s="358" t="s">
        <v>11</v>
      </c>
    </row>
    <row r="2679" spans="1:8" x14ac:dyDescent="0.3">
      <c r="A2679" t="s">
        <v>57</v>
      </c>
      <c r="B2679" t="s">
        <v>112</v>
      </c>
      <c r="C2679" t="s">
        <v>2911</v>
      </c>
      <c r="D2679">
        <v>2</v>
      </c>
      <c r="E2679" s="358">
        <v>3</v>
      </c>
      <c r="F2679" s="358" t="s">
        <v>75</v>
      </c>
      <c r="G2679" s="358" t="s">
        <v>11</v>
      </c>
      <c r="H2679" s="358" t="s">
        <v>11</v>
      </c>
    </row>
    <row r="2680" spans="1:8" x14ac:dyDescent="0.3">
      <c r="A2680" t="s">
        <v>57</v>
      </c>
      <c r="B2680" t="s">
        <v>112</v>
      </c>
      <c r="C2680" t="s">
        <v>2912</v>
      </c>
      <c r="D2680">
        <v>2</v>
      </c>
      <c r="E2680" s="358">
        <v>3</v>
      </c>
      <c r="F2680" s="358" t="s">
        <v>75</v>
      </c>
      <c r="G2680" s="358" t="s">
        <v>11</v>
      </c>
      <c r="H2680" s="358" t="s">
        <v>11</v>
      </c>
    </row>
    <row r="2681" spans="1:8" x14ac:dyDescent="0.3">
      <c r="A2681" t="s">
        <v>57</v>
      </c>
      <c r="B2681" t="s">
        <v>112</v>
      </c>
      <c r="C2681" t="s">
        <v>1359</v>
      </c>
      <c r="D2681">
        <v>3</v>
      </c>
      <c r="E2681" s="358">
        <v>2</v>
      </c>
      <c r="F2681" s="358" t="s">
        <v>7</v>
      </c>
      <c r="G2681" s="358" t="s">
        <v>115</v>
      </c>
      <c r="H2681" s="358" t="s">
        <v>11</v>
      </c>
    </row>
    <row r="2682" spans="1:8" x14ac:dyDescent="0.3">
      <c r="A2682" t="s">
        <v>57</v>
      </c>
      <c r="B2682" t="s">
        <v>112</v>
      </c>
      <c r="C2682" t="s">
        <v>1361</v>
      </c>
      <c r="D2682">
        <v>3</v>
      </c>
      <c r="E2682" s="358">
        <v>3</v>
      </c>
      <c r="F2682" s="358" t="s">
        <v>7</v>
      </c>
      <c r="G2682" s="358" t="s">
        <v>115</v>
      </c>
      <c r="H2682" s="358" t="s">
        <v>11</v>
      </c>
    </row>
    <row r="2683" spans="1:8" x14ac:dyDescent="0.3">
      <c r="A2683" t="s">
        <v>57</v>
      </c>
      <c r="B2683" t="s">
        <v>112</v>
      </c>
      <c r="C2683" t="s">
        <v>1636</v>
      </c>
      <c r="D2683">
        <v>3</v>
      </c>
      <c r="E2683" s="358">
        <v>3</v>
      </c>
      <c r="F2683" s="358" t="s">
        <v>75</v>
      </c>
      <c r="G2683" s="358" t="s">
        <v>11</v>
      </c>
      <c r="H2683" s="358" t="s">
        <v>11</v>
      </c>
    </row>
    <row r="2684" spans="1:8" x14ac:dyDescent="0.3">
      <c r="A2684" t="s">
        <v>57</v>
      </c>
      <c r="B2684" t="s">
        <v>112</v>
      </c>
      <c r="C2684" t="s">
        <v>1832</v>
      </c>
      <c r="D2684">
        <v>2</v>
      </c>
      <c r="E2684" s="358">
        <v>3</v>
      </c>
      <c r="F2684" s="358" t="s">
        <v>75</v>
      </c>
      <c r="G2684" s="358" t="s">
        <v>11</v>
      </c>
      <c r="H2684" s="358" t="s">
        <v>11</v>
      </c>
    </row>
    <row r="2685" spans="1:8" x14ac:dyDescent="0.3">
      <c r="A2685" t="s">
        <v>57</v>
      </c>
      <c r="B2685" t="s">
        <v>112</v>
      </c>
      <c r="C2685" t="s">
        <v>2913</v>
      </c>
      <c r="D2685">
        <v>3</v>
      </c>
      <c r="E2685" s="358">
        <v>2</v>
      </c>
      <c r="F2685" s="358" t="s">
        <v>7</v>
      </c>
      <c r="G2685" s="358" t="s">
        <v>115</v>
      </c>
      <c r="H2685" s="358" t="s">
        <v>11</v>
      </c>
    </row>
    <row r="2686" spans="1:8" x14ac:dyDescent="0.3">
      <c r="A2686" t="s">
        <v>57</v>
      </c>
      <c r="B2686" t="s">
        <v>112</v>
      </c>
      <c r="C2686" t="s">
        <v>2914</v>
      </c>
      <c r="D2686">
        <v>3</v>
      </c>
      <c r="E2686" s="358">
        <v>2</v>
      </c>
      <c r="F2686" s="358" t="s">
        <v>75</v>
      </c>
      <c r="G2686" s="358" t="s">
        <v>11</v>
      </c>
      <c r="H2686" s="358" t="s">
        <v>11</v>
      </c>
    </row>
    <row r="2687" spans="1:8" x14ac:dyDescent="0.3">
      <c r="A2687" t="s">
        <v>57</v>
      </c>
      <c r="B2687" t="s">
        <v>112</v>
      </c>
      <c r="C2687" t="s">
        <v>2915</v>
      </c>
      <c r="D2687">
        <v>3</v>
      </c>
      <c r="E2687" s="358">
        <v>3</v>
      </c>
      <c r="F2687" s="358" t="s">
        <v>75</v>
      </c>
      <c r="G2687" s="358" t="s">
        <v>11</v>
      </c>
      <c r="H2687" s="358" t="s">
        <v>11</v>
      </c>
    </row>
    <row r="2688" spans="1:8" x14ac:dyDescent="0.3">
      <c r="A2688" t="s">
        <v>57</v>
      </c>
      <c r="B2688" t="s">
        <v>112</v>
      </c>
      <c r="C2688" t="s">
        <v>2916</v>
      </c>
      <c r="D2688">
        <v>3</v>
      </c>
      <c r="E2688" s="358">
        <v>2</v>
      </c>
      <c r="F2688" s="358" t="s">
        <v>7</v>
      </c>
      <c r="G2688" s="358" t="s">
        <v>115</v>
      </c>
      <c r="H2688" s="358" t="s">
        <v>11</v>
      </c>
    </row>
    <row r="2689" spans="1:8" x14ac:dyDescent="0.3">
      <c r="A2689" t="s">
        <v>57</v>
      </c>
      <c r="B2689" t="s">
        <v>112</v>
      </c>
      <c r="C2689" t="s">
        <v>2917</v>
      </c>
      <c r="D2689">
        <v>3</v>
      </c>
      <c r="E2689" s="358">
        <v>2</v>
      </c>
      <c r="F2689" s="358" t="s">
        <v>7</v>
      </c>
      <c r="G2689" s="358" t="s">
        <v>115</v>
      </c>
      <c r="H2689" s="358" t="s">
        <v>11</v>
      </c>
    </row>
    <row r="2690" spans="1:8" x14ac:dyDescent="0.3">
      <c r="A2690" t="s">
        <v>57</v>
      </c>
      <c r="B2690" t="s">
        <v>112</v>
      </c>
      <c r="C2690" t="s">
        <v>2620</v>
      </c>
      <c r="D2690">
        <v>3</v>
      </c>
      <c r="E2690" s="358">
        <v>2</v>
      </c>
      <c r="F2690" s="358" t="s">
        <v>75</v>
      </c>
      <c r="G2690" s="358" t="s">
        <v>11</v>
      </c>
      <c r="H2690" s="358" t="s">
        <v>11</v>
      </c>
    </row>
    <row r="2691" spans="1:8" x14ac:dyDescent="0.3">
      <c r="A2691" t="s">
        <v>57</v>
      </c>
      <c r="B2691" t="s">
        <v>112</v>
      </c>
      <c r="C2691" t="s">
        <v>1837</v>
      </c>
      <c r="D2691">
        <v>3</v>
      </c>
      <c r="E2691" s="358">
        <v>3</v>
      </c>
      <c r="F2691" s="358" t="s">
        <v>75</v>
      </c>
      <c r="G2691" s="358" t="s">
        <v>11</v>
      </c>
      <c r="H2691" s="358" t="s">
        <v>11</v>
      </c>
    </row>
    <row r="2692" spans="1:8" x14ac:dyDescent="0.3">
      <c r="A2692" t="s">
        <v>57</v>
      </c>
      <c r="B2692" t="s">
        <v>112</v>
      </c>
      <c r="C2692" t="s">
        <v>2189</v>
      </c>
      <c r="D2692">
        <v>3</v>
      </c>
      <c r="E2692" s="358">
        <v>3</v>
      </c>
      <c r="F2692" s="358" t="s">
        <v>75</v>
      </c>
      <c r="G2692" s="358" t="s">
        <v>11</v>
      </c>
      <c r="H2692" s="358" t="s">
        <v>11</v>
      </c>
    </row>
    <row r="2693" spans="1:8" x14ac:dyDescent="0.3">
      <c r="A2693" t="s">
        <v>57</v>
      </c>
      <c r="B2693" t="s">
        <v>112</v>
      </c>
      <c r="C2693" t="s">
        <v>2918</v>
      </c>
      <c r="D2693">
        <v>3</v>
      </c>
      <c r="E2693" s="358">
        <v>2</v>
      </c>
      <c r="F2693" s="358" t="s">
        <v>7</v>
      </c>
      <c r="G2693" s="358" t="s">
        <v>115</v>
      </c>
      <c r="H2693" s="358" t="s">
        <v>11</v>
      </c>
    </row>
    <row r="2694" spans="1:8" x14ac:dyDescent="0.3">
      <c r="A2694" t="s">
        <v>57</v>
      </c>
      <c r="B2694" t="s">
        <v>112</v>
      </c>
      <c r="C2694" t="s">
        <v>1924</v>
      </c>
      <c r="D2694">
        <v>3</v>
      </c>
      <c r="E2694" s="358">
        <v>3</v>
      </c>
      <c r="F2694" s="358" t="s">
        <v>7</v>
      </c>
      <c r="G2694" s="358" t="s">
        <v>115</v>
      </c>
      <c r="H2694" s="358" t="s">
        <v>11</v>
      </c>
    </row>
    <row r="2695" spans="1:8" x14ac:dyDescent="0.3">
      <c r="A2695" t="s">
        <v>57</v>
      </c>
      <c r="B2695" t="s">
        <v>112</v>
      </c>
      <c r="C2695" t="s">
        <v>1725</v>
      </c>
      <c r="D2695">
        <v>3</v>
      </c>
      <c r="E2695" s="358">
        <v>3</v>
      </c>
      <c r="F2695" s="358" t="s">
        <v>75</v>
      </c>
      <c r="G2695" s="358" t="s">
        <v>11</v>
      </c>
      <c r="H2695" s="358" t="s">
        <v>11</v>
      </c>
    </row>
    <row r="2696" spans="1:8" x14ac:dyDescent="0.3">
      <c r="A2696" t="s">
        <v>57</v>
      </c>
      <c r="B2696" t="s">
        <v>112</v>
      </c>
      <c r="C2696" t="s">
        <v>2919</v>
      </c>
      <c r="D2696">
        <v>3</v>
      </c>
      <c r="E2696" s="358">
        <v>3</v>
      </c>
      <c r="F2696" s="358" t="s">
        <v>7</v>
      </c>
      <c r="G2696" s="358" t="s">
        <v>11</v>
      </c>
      <c r="H2696" s="358" t="s">
        <v>11</v>
      </c>
    </row>
    <row r="2697" spans="1:8" x14ac:dyDescent="0.3">
      <c r="A2697" t="s">
        <v>57</v>
      </c>
      <c r="B2697" t="s">
        <v>112</v>
      </c>
      <c r="C2697" t="s">
        <v>1365</v>
      </c>
      <c r="D2697">
        <v>3</v>
      </c>
      <c r="E2697" s="358">
        <v>2</v>
      </c>
      <c r="F2697" s="358" t="s">
        <v>7</v>
      </c>
      <c r="G2697" s="358" t="s">
        <v>115</v>
      </c>
      <c r="H2697" s="358" t="s">
        <v>11</v>
      </c>
    </row>
    <row r="2698" spans="1:8" x14ac:dyDescent="0.3">
      <c r="A2698" t="s">
        <v>57</v>
      </c>
      <c r="B2698" t="s">
        <v>112</v>
      </c>
      <c r="C2698" t="s">
        <v>2544</v>
      </c>
      <c r="D2698">
        <v>2</v>
      </c>
      <c r="E2698" s="358">
        <v>4</v>
      </c>
      <c r="F2698" s="358" t="s">
        <v>75</v>
      </c>
      <c r="G2698" s="358" t="s">
        <v>11</v>
      </c>
      <c r="H2698" s="358" t="s">
        <v>11</v>
      </c>
    </row>
    <row r="2699" spans="1:8" x14ac:dyDescent="0.3">
      <c r="A2699" t="s">
        <v>57</v>
      </c>
      <c r="B2699" t="s">
        <v>112</v>
      </c>
      <c r="C2699" t="s">
        <v>1976</v>
      </c>
      <c r="D2699">
        <v>3</v>
      </c>
      <c r="E2699" s="358">
        <v>3</v>
      </c>
      <c r="F2699" s="358" t="s">
        <v>7</v>
      </c>
      <c r="G2699" s="358" t="s">
        <v>115</v>
      </c>
      <c r="H2699" s="358" t="s">
        <v>11</v>
      </c>
    </row>
    <row r="2700" spans="1:8" x14ac:dyDescent="0.3">
      <c r="A2700" t="s">
        <v>57</v>
      </c>
      <c r="B2700" t="s">
        <v>112</v>
      </c>
      <c r="C2700" t="s">
        <v>2920</v>
      </c>
      <c r="D2700">
        <v>3</v>
      </c>
      <c r="E2700" s="358">
        <v>3</v>
      </c>
      <c r="F2700" s="358" t="s">
        <v>75</v>
      </c>
      <c r="G2700" s="358" t="s">
        <v>11</v>
      </c>
      <c r="H2700" s="358" t="s">
        <v>11</v>
      </c>
    </row>
    <row r="2701" spans="1:8" x14ac:dyDescent="0.3">
      <c r="A2701" t="s">
        <v>57</v>
      </c>
      <c r="B2701" t="s">
        <v>112</v>
      </c>
      <c r="C2701" t="s">
        <v>2921</v>
      </c>
      <c r="D2701">
        <v>3</v>
      </c>
      <c r="E2701" s="358">
        <v>3</v>
      </c>
      <c r="F2701" s="358" t="s">
        <v>7</v>
      </c>
      <c r="G2701" s="358" t="s">
        <v>115</v>
      </c>
      <c r="H2701" s="358" t="s">
        <v>11</v>
      </c>
    </row>
    <row r="2702" spans="1:8" x14ac:dyDescent="0.3">
      <c r="A2702" t="s">
        <v>57</v>
      </c>
      <c r="B2702" t="s">
        <v>112</v>
      </c>
      <c r="C2702" t="s">
        <v>2922</v>
      </c>
      <c r="D2702">
        <v>3</v>
      </c>
      <c r="E2702" s="358">
        <v>3</v>
      </c>
      <c r="F2702" s="358" t="s">
        <v>7</v>
      </c>
      <c r="G2702" s="358" t="s">
        <v>115</v>
      </c>
      <c r="H2702" s="358" t="s">
        <v>11</v>
      </c>
    </row>
    <row r="2703" spans="1:8" x14ac:dyDescent="0.3">
      <c r="A2703" t="s">
        <v>57</v>
      </c>
      <c r="B2703" t="s">
        <v>112</v>
      </c>
      <c r="C2703" t="s">
        <v>1463</v>
      </c>
      <c r="D2703">
        <v>3</v>
      </c>
      <c r="E2703" s="358">
        <v>2</v>
      </c>
      <c r="F2703" s="358" t="s">
        <v>7</v>
      </c>
      <c r="G2703" s="358" t="s">
        <v>115</v>
      </c>
      <c r="H2703" s="358" t="s">
        <v>11</v>
      </c>
    </row>
    <row r="2704" spans="1:8" x14ac:dyDescent="0.3">
      <c r="A2704" t="s">
        <v>57</v>
      </c>
      <c r="B2704" t="s">
        <v>112</v>
      </c>
      <c r="C2704" t="s">
        <v>2923</v>
      </c>
      <c r="D2704">
        <v>3</v>
      </c>
      <c r="E2704" s="358">
        <v>3</v>
      </c>
      <c r="F2704" s="358" t="s">
        <v>75</v>
      </c>
      <c r="G2704" s="358" t="s">
        <v>11</v>
      </c>
      <c r="H2704" s="358" t="s">
        <v>11</v>
      </c>
    </row>
    <row r="2705" spans="1:8" x14ac:dyDescent="0.3">
      <c r="A2705" t="s">
        <v>57</v>
      </c>
      <c r="B2705" t="s">
        <v>112</v>
      </c>
      <c r="C2705" t="s">
        <v>2924</v>
      </c>
      <c r="D2705">
        <v>3</v>
      </c>
      <c r="E2705" s="358">
        <v>2</v>
      </c>
      <c r="F2705" s="358" t="s">
        <v>7</v>
      </c>
      <c r="G2705" s="358" t="s">
        <v>115</v>
      </c>
      <c r="H2705" s="358" t="s">
        <v>11</v>
      </c>
    </row>
    <row r="2706" spans="1:8" x14ac:dyDescent="0.3">
      <c r="A2706" t="s">
        <v>57</v>
      </c>
      <c r="B2706" t="s">
        <v>112</v>
      </c>
      <c r="C2706" t="s">
        <v>2925</v>
      </c>
      <c r="D2706">
        <v>2</v>
      </c>
      <c r="E2706" s="358">
        <v>4</v>
      </c>
      <c r="F2706" s="358" t="s">
        <v>75</v>
      </c>
      <c r="G2706" s="358" t="s">
        <v>11</v>
      </c>
      <c r="H2706" s="358" t="s">
        <v>11</v>
      </c>
    </row>
    <row r="2707" spans="1:8" x14ac:dyDescent="0.3">
      <c r="A2707" t="s">
        <v>57</v>
      </c>
      <c r="B2707" t="s">
        <v>112</v>
      </c>
      <c r="C2707" t="s">
        <v>2053</v>
      </c>
      <c r="D2707">
        <v>2</v>
      </c>
      <c r="E2707" s="358">
        <v>4</v>
      </c>
      <c r="F2707" s="358" t="s">
        <v>75</v>
      </c>
      <c r="G2707" s="358" t="s">
        <v>11</v>
      </c>
      <c r="H2707" s="358" t="s">
        <v>11</v>
      </c>
    </row>
    <row r="2708" spans="1:8" x14ac:dyDescent="0.3">
      <c r="A2708" t="s">
        <v>57</v>
      </c>
      <c r="B2708" t="s">
        <v>112</v>
      </c>
      <c r="C2708" t="s">
        <v>1512</v>
      </c>
      <c r="D2708">
        <v>3</v>
      </c>
      <c r="E2708" s="358">
        <v>2</v>
      </c>
      <c r="F2708" s="358" t="s">
        <v>7</v>
      </c>
      <c r="G2708" s="358" t="s">
        <v>115</v>
      </c>
      <c r="H2708" s="358" t="s">
        <v>11</v>
      </c>
    </row>
    <row r="2709" spans="1:8" x14ac:dyDescent="0.3">
      <c r="A2709" t="s">
        <v>57</v>
      </c>
      <c r="B2709" t="s">
        <v>112</v>
      </c>
      <c r="C2709" t="s">
        <v>2926</v>
      </c>
      <c r="D2709">
        <v>3</v>
      </c>
      <c r="E2709" s="358">
        <v>3</v>
      </c>
      <c r="F2709" s="358" t="s">
        <v>7</v>
      </c>
      <c r="G2709" s="358" t="s">
        <v>115</v>
      </c>
      <c r="H2709" s="358" t="s">
        <v>11</v>
      </c>
    </row>
    <row r="2710" spans="1:8" x14ac:dyDescent="0.3">
      <c r="A2710" t="s">
        <v>57</v>
      </c>
      <c r="B2710" t="s">
        <v>112</v>
      </c>
      <c r="C2710" t="s">
        <v>2292</v>
      </c>
      <c r="D2710">
        <v>3</v>
      </c>
      <c r="E2710" s="358">
        <v>3</v>
      </c>
      <c r="F2710" s="358" t="s">
        <v>7</v>
      </c>
      <c r="G2710" s="358" t="s">
        <v>115</v>
      </c>
      <c r="H2710" s="358" t="s">
        <v>11</v>
      </c>
    </row>
    <row r="2711" spans="1:8" x14ac:dyDescent="0.3">
      <c r="A2711" t="s">
        <v>57</v>
      </c>
      <c r="B2711" t="s">
        <v>112</v>
      </c>
      <c r="C2711" t="s">
        <v>2927</v>
      </c>
      <c r="D2711">
        <v>3</v>
      </c>
      <c r="E2711" s="358">
        <v>3</v>
      </c>
      <c r="F2711" s="358" t="s">
        <v>7</v>
      </c>
      <c r="G2711" s="358" t="s">
        <v>115</v>
      </c>
      <c r="H2711" s="358" t="s">
        <v>11</v>
      </c>
    </row>
    <row r="2712" spans="1:8" x14ac:dyDescent="0.3">
      <c r="A2712" t="s">
        <v>57</v>
      </c>
      <c r="B2712" t="s">
        <v>112</v>
      </c>
      <c r="C2712" t="s">
        <v>2928</v>
      </c>
      <c r="D2712">
        <v>2</v>
      </c>
      <c r="E2712" s="358">
        <v>4</v>
      </c>
      <c r="F2712" s="358" t="s">
        <v>75</v>
      </c>
      <c r="G2712" s="358" t="s">
        <v>11</v>
      </c>
      <c r="H2712" s="358" t="s">
        <v>11</v>
      </c>
    </row>
    <row r="2713" spans="1:8" x14ac:dyDescent="0.3">
      <c r="A2713" t="s">
        <v>57</v>
      </c>
      <c r="B2713" t="s">
        <v>112</v>
      </c>
      <c r="C2713" t="s">
        <v>2929</v>
      </c>
      <c r="D2713">
        <v>3</v>
      </c>
      <c r="E2713" s="358">
        <v>3</v>
      </c>
      <c r="F2713" s="358" t="s">
        <v>75</v>
      </c>
      <c r="G2713" s="358" t="s">
        <v>11</v>
      </c>
      <c r="H2713" s="358" t="s">
        <v>11</v>
      </c>
    </row>
    <row r="2714" spans="1:8" x14ac:dyDescent="0.3">
      <c r="A2714" t="s">
        <v>57</v>
      </c>
      <c r="B2714" t="s">
        <v>112</v>
      </c>
      <c r="C2714" t="s">
        <v>1467</v>
      </c>
      <c r="D2714">
        <v>3</v>
      </c>
      <c r="E2714" s="358">
        <v>2</v>
      </c>
      <c r="F2714" s="358" t="s">
        <v>7</v>
      </c>
      <c r="G2714" s="358" t="s">
        <v>115</v>
      </c>
      <c r="H2714" s="358" t="s">
        <v>11</v>
      </c>
    </row>
    <row r="2715" spans="1:8" x14ac:dyDescent="0.3">
      <c r="A2715" t="s">
        <v>57</v>
      </c>
      <c r="B2715" t="s">
        <v>112</v>
      </c>
      <c r="C2715" t="s">
        <v>2719</v>
      </c>
      <c r="D2715">
        <v>2</v>
      </c>
      <c r="E2715" s="358">
        <v>4</v>
      </c>
      <c r="F2715" s="358" t="s">
        <v>75</v>
      </c>
      <c r="G2715" s="358" t="s">
        <v>11</v>
      </c>
      <c r="H2715" s="358" t="s">
        <v>11</v>
      </c>
    </row>
    <row r="2716" spans="1:8" x14ac:dyDescent="0.3">
      <c r="A2716" t="s">
        <v>57</v>
      </c>
      <c r="B2716" t="s">
        <v>112</v>
      </c>
      <c r="C2716" t="s">
        <v>2930</v>
      </c>
      <c r="D2716">
        <v>2</v>
      </c>
      <c r="E2716" s="358">
        <v>3</v>
      </c>
      <c r="F2716" s="358" t="s">
        <v>75</v>
      </c>
      <c r="G2716" s="358" t="s">
        <v>11</v>
      </c>
      <c r="H2716" s="358" t="s">
        <v>11</v>
      </c>
    </row>
    <row r="2717" spans="1:8" x14ac:dyDescent="0.3">
      <c r="A2717" t="s">
        <v>57</v>
      </c>
      <c r="B2717" t="s">
        <v>112</v>
      </c>
      <c r="C2717" t="s">
        <v>2931</v>
      </c>
      <c r="D2717">
        <v>3</v>
      </c>
      <c r="E2717" s="358">
        <v>3</v>
      </c>
      <c r="F2717" s="358" t="s">
        <v>7</v>
      </c>
      <c r="G2717" s="358" t="s">
        <v>115</v>
      </c>
      <c r="H2717" s="358" t="s">
        <v>11</v>
      </c>
    </row>
    <row r="2718" spans="1:8" x14ac:dyDescent="0.3">
      <c r="A2718" t="s">
        <v>57</v>
      </c>
      <c r="B2718" t="s">
        <v>112</v>
      </c>
      <c r="C2718" t="s">
        <v>2932</v>
      </c>
      <c r="D2718">
        <v>2</v>
      </c>
      <c r="E2718" s="358">
        <v>4</v>
      </c>
      <c r="F2718" s="358" t="s">
        <v>75</v>
      </c>
      <c r="G2718" s="358" t="s">
        <v>11</v>
      </c>
      <c r="H2718" s="358" t="s">
        <v>11</v>
      </c>
    </row>
    <row r="2719" spans="1:8" x14ac:dyDescent="0.3">
      <c r="A2719" t="s">
        <v>57</v>
      </c>
      <c r="B2719" t="s">
        <v>112</v>
      </c>
      <c r="C2719" t="s">
        <v>2933</v>
      </c>
      <c r="D2719">
        <v>3</v>
      </c>
      <c r="E2719" s="358">
        <v>3</v>
      </c>
      <c r="F2719" s="358" t="s">
        <v>75</v>
      </c>
      <c r="G2719" s="358" t="s">
        <v>11</v>
      </c>
      <c r="H2719" s="358" t="s">
        <v>11</v>
      </c>
    </row>
    <row r="2720" spans="1:8" x14ac:dyDescent="0.3">
      <c r="A2720" t="s">
        <v>57</v>
      </c>
      <c r="B2720" t="s">
        <v>112</v>
      </c>
      <c r="C2720" t="s">
        <v>2934</v>
      </c>
      <c r="D2720">
        <v>3</v>
      </c>
      <c r="E2720" s="358">
        <v>2</v>
      </c>
      <c r="F2720" s="358" t="s">
        <v>75</v>
      </c>
      <c r="G2720" s="358" t="s">
        <v>11</v>
      </c>
      <c r="H2720" s="358" t="s">
        <v>11</v>
      </c>
    </row>
    <row r="2721" spans="1:8" x14ac:dyDescent="0.3">
      <c r="A2721" t="s">
        <v>57</v>
      </c>
      <c r="B2721" t="s">
        <v>112</v>
      </c>
      <c r="C2721" t="s">
        <v>2092</v>
      </c>
      <c r="D2721">
        <v>3</v>
      </c>
      <c r="E2721" s="358">
        <v>3</v>
      </c>
      <c r="F2721" s="358" t="s">
        <v>7</v>
      </c>
      <c r="G2721" s="358" t="s">
        <v>115</v>
      </c>
      <c r="H2721" s="358" t="s">
        <v>11</v>
      </c>
    </row>
    <row r="2722" spans="1:8" x14ac:dyDescent="0.3">
      <c r="A2722" t="s">
        <v>57</v>
      </c>
      <c r="B2722" t="s">
        <v>112</v>
      </c>
      <c r="C2722" t="s">
        <v>2935</v>
      </c>
      <c r="D2722">
        <v>2</v>
      </c>
      <c r="E2722" s="358">
        <v>3</v>
      </c>
      <c r="F2722" s="358" t="s">
        <v>75</v>
      </c>
      <c r="G2722" s="358" t="s">
        <v>11</v>
      </c>
      <c r="H2722" s="358" t="s">
        <v>11</v>
      </c>
    </row>
    <row r="2723" spans="1:8" x14ac:dyDescent="0.3">
      <c r="A2723" t="s">
        <v>57</v>
      </c>
      <c r="B2723" t="s">
        <v>112</v>
      </c>
      <c r="C2723" t="s">
        <v>2936</v>
      </c>
      <c r="D2723">
        <v>3</v>
      </c>
      <c r="E2723" s="358">
        <v>2</v>
      </c>
      <c r="F2723" s="358" t="s">
        <v>7</v>
      </c>
      <c r="G2723" s="358" t="s">
        <v>115</v>
      </c>
      <c r="H2723" s="358" t="s">
        <v>11</v>
      </c>
    </row>
    <row r="2724" spans="1:8" x14ac:dyDescent="0.3">
      <c r="A2724" t="s">
        <v>57</v>
      </c>
      <c r="B2724" t="s">
        <v>112</v>
      </c>
      <c r="C2724" t="s">
        <v>2783</v>
      </c>
      <c r="D2724">
        <v>2</v>
      </c>
      <c r="E2724" s="358">
        <v>4</v>
      </c>
      <c r="F2724" s="358" t="s">
        <v>75</v>
      </c>
      <c r="G2724" s="358" t="s">
        <v>11</v>
      </c>
      <c r="H2724" s="358" t="s">
        <v>11</v>
      </c>
    </row>
    <row r="2725" spans="1:8" x14ac:dyDescent="0.3">
      <c r="A2725" t="s">
        <v>57</v>
      </c>
      <c r="B2725" t="s">
        <v>112</v>
      </c>
      <c r="C2725" t="s">
        <v>2057</v>
      </c>
      <c r="D2725">
        <v>3</v>
      </c>
      <c r="E2725" s="358">
        <v>2</v>
      </c>
      <c r="F2725" s="358" t="s">
        <v>7</v>
      </c>
      <c r="G2725" s="358" t="s">
        <v>115</v>
      </c>
      <c r="H2725" s="358" t="s">
        <v>11</v>
      </c>
    </row>
    <row r="2726" spans="1:8" x14ac:dyDescent="0.3">
      <c r="A2726" t="s">
        <v>57</v>
      </c>
      <c r="B2726" t="s">
        <v>112</v>
      </c>
      <c r="C2726" t="s">
        <v>2937</v>
      </c>
      <c r="D2726">
        <v>3</v>
      </c>
      <c r="E2726" s="358">
        <v>3</v>
      </c>
      <c r="F2726" s="358" t="s">
        <v>7</v>
      </c>
      <c r="G2726" s="358" t="s">
        <v>115</v>
      </c>
      <c r="H2726" s="358" t="s">
        <v>11</v>
      </c>
    </row>
    <row r="2727" spans="1:8" x14ac:dyDescent="0.3">
      <c r="A2727" t="s">
        <v>57</v>
      </c>
      <c r="B2727" t="s">
        <v>112</v>
      </c>
      <c r="C2727" t="s">
        <v>2938</v>
      </c>
      <c r="D2727">
        <v>3</v>
      </c>
      <c r="E2727" s="358">
        <v>3</v>
      </c>
      <c r="F2727" s="358" t="s">
        <v>75</v>
      </c>
      <c r="G2727" s="358" t="s">
        <v>11</v>
      </c>
      <c r="H2727" s="358" t="s">
        <v>11</v>
      </c>
    </row>
    <row r="2728" spans="1:8" x14ac:dyDescent="0.3">
      <c r="A2728" t="s">
        <v>57</v>
      </c>
      <c r="B2728" t="s">
        <v>112</v>
      </c>
      <c r="C2728" t="s">
        <v>2939</v>
      </c>
      <c r="D2728">
        <v>3</v>
      </c>
      <c r="E2728" s="358">
        <v>3</v>
      </c>
      <c r="F2728" s="358" t="s">
        <v>7</v>
      </c>
      <c r="G2728" s="358" t="s">
        <v>115</v>
      </c>
      <c r="H2728" s="358" t="s">
        <v>11</v>
      </c>
    </row>
    <row r="2729" spans="1:8" x14ac:dyDescent="0.3">
      <c r="A2729" t="s">
        <v>57</v>
      </c>
      <c r="B2729" t="s">
        <v>112</v>
      </c>
      <c r="C2729" t="s">
        <v>2093</v>
      </c>
      <c r="D2729">
        <v>3</v>
      </c>
      <c r="E2729" s="358">
        <v>3</v>
      </c>
      <c r="F2729" s="358" t="s">
        <v>7</v>
      </c>
      <c r="G2729" s="358" t="s">
        <v>115</v>
      </c>
      <c r="H2729" s="358" t="s">
        <v>11</v>
      </c>
    </row>
    <row r="2730" spans="1:8" x14ac:dyDescent="0.3">
      <c r="A2730" t="s">
        <v>57</v>
      </c>
      <c r="B2730" t="s">
        <v>112</v>
      </c>
      <c r="C2730" t="s">
        <v>2940</v>
      </c>
      <c r="D2730">
        <v>3</v>
      </c>
      <c r="E2730" s="358">
        <v>3</v>
      </c>
      <c r="F2730" s="358" t="s">
        <v>7</v>
      </c>
      <c r="G2730" s="358" t="s">
        <v>115</v>
      </c>
      <c r="H2730" s="358" t="s">
        <v>11</v>
      </c>
    </row>
    <row r="2731" spans="1:8" x14ac:dyDescent="0.3">
      <c r="A2731" t="s">
        <v>57</v>
      </c>
      <c r="B2731" t="s">
        <v>112</v>
      </c>
      <c r="C2731" t="s">
        <v>2941</v>
      </c>
      <c r="D2731">
        <v>3</v>
      </c>
      <c r="E2731" s="358">
        <v>2</v>
      </c>
      <c r="F2731" s="358" t="s">
        <v>7</v>
      </c>
      <c r="G2731" s="358" t="s">
        <v>115</v>
      </c>
      <c r="H2731" s="358" t="s">
        <v>11</v>
      </c>
    </row>
    <row r="2732" spans="1:8" x14ac:dyDescent="0.3">
      <c r="A2732" t="s">
        <v>57</v>
      </c>
      <c r="B2732" t="s">
        <v>112</v>
      </c>
      <c r="C2732" t="s">
        <v>2942</v>
      </c>
      <c r="D2732">
        <v>3</v>
      </c>
      <c r="E2732" s="358">
        <v>2</v>
      </c>
      <c r="F2732" s="358" t="s">
        <v>7</v>
      </c>
      <c r="G2732" s="358" t="s">
        <v>115</v>
      </c>
      <c r="H2732" s="358" t="s">
        <v>11</v>
      </c>
    </row>
    <row r="2733" spans="1:8" x14ac:dyDescent="0.3">
      <c r="A2733" t="s">
        <v>57</v>
      </c>
      <c r="B2733" t="s">
        <v>112</v>
      </c>
      <c r="C2733" t="s">
        <v>2943</v>
      </c>
      <c r="D2733">
        <v>3</v>
      </c>
      <c r="E2733" s="358">
        <v>3</v>
      </c>
      <c r="F2733" s="358" t="s">
        <v>7</v>
      </c>
      <c r="G2733" s="358" t="s">
        <v>115</v>
      </c>
      <c r="H2733" s="358" t="s">
        <v>11</v>
      </c>
    </row>
    <row r="2734" spans="1:8" x14ac:dyDescent="0.3">
      <c r="A2734" t="s">
        <v>57</v>
      </c>
      <c r="B2734" t="s">
        <v>112</v>
      </c>
      <c r="C2734" t="s">
        <v>2944</v>
      </c>
      <c r="D2734">
        <v>3</v>
      </c>
      <c r="E2734" s="358">
        <v>3</v>
      </c>
      <c r="F2734" s="358" t="s">
        <v>75</v>
      </c>
      <c r="G2734" s="358" t="s">
        <v>11</v>
      </c>
      <c r="H2734" s="358" t="s">
        <v>11</v>
      </c>
    </row>
    <row r="2735" spans="1:8" x14ac:dyDescent="0.3">
      <c r="A2735" t="s">
        <v>57</v>
      </c>
      <c r="B2735" t="s">
        <v>112</v>
      </c>
      <c r="C2735" t="s">
        <v>2945</v>
      </c>
      <c r="D2735">
        <v>3</v>
      </c>
      <c r="E2735" s="358">
        <v>3</v>
      </c>
      <c r="F2735" s="358" t="s">
        <v>75</v>
      </c>
      <c r="G2735" s="358" t="s">
        <v>11</v>
      </c>
      <c r="H2735" s="358" t="s">
        <v>11</v>
      </c>
    </row>
    <row r="2736" spans="1:8" x14ac:dyDescent="0.3">
      <c r="A2736" t="s">
        <v>57</v>
      </c>
      <c r="B2736" t="s">
        <v>112</v>
      </c>
      <c r="C2736" t="s">
        <v>2946</v>
      </c>
      <c r="D2736">
        <v>3</v>
      </c>
      <c r="E2736" s="358">
        <v>3</v>
      </c>
      <c r="F2736" s="358" t="s">
        <v>75</v>
      </c>
      <c r="G2736" s="358" t="s">
        <v>11</v>
      </c>
      <c r="H2736" s="358" t="s">
        <v>11</v>
      </c>
    </row>
    <row r="2737" spans="1:8" x14ac:dyDescent="0.3">
      <c r="A2737" t="s">
        <v>57</v>
      </c>
      <c r="B2737" t="s">
        <v>112</v>
      </c>
      <c r="C2737" t="s">
        <v>1373</v>
      </c>
      <c r="D2737">
        <v>3</v>
      </c>
      <c r="E2737" s="358">
        <v>3</v>
      </c>
      <c r="F2737" s="358" t="s">
        <v>7</v>
      </c>
      <c r="G2737" s="358" t="s">
        <v>115</v>
      </c>
      <c r="H2737" s="358" t="s">
        <v>11</v>
      </c>
    </row>
    <row r="2738" spans="1:8" x14ac:dyDescent="0.3">
      <c r="A2738" t="s">
        <v>57</v>
      </c>
      <c r="B2738" t="s">
        <v>112</v>
      </c>
      <c r="C2738" t="s">
        <v>1997</v>
      </c>
      <c r="D2738">
        <v>2</v>
      </c>
      <c r="E2738" s="358">
        <v>4</v>
      </c>
      <c r="F2738" s="358" t="s">
        <v>75</v>
      </c>
      <c r="G2738" s="358" t="s">
        <v>11</v>
      </c>
      <c r="H2738" s="358" t="s">
        <v>11</v>
      </c>
    </row>
    <row r="2739" spans="1:8" x14ac:dyDescent="0.3">
      <c r="A2739" t="s">
        <v>57</v>
      </c>
      <c r="B2739" t="s">
        <v>112</v>
      </c>
      <c r="C2739" t="s">
        <v>1998</v>
      </c>
      <c r="D2739">
        <v>3</v>
      </c>
      <c r="E2739" s="358">
        <v>3</v>
      </c>
      <c r="F2739" s="358" t="s">
        <v>7</v>
      </c>
      <c r="G2739" s="358" t="s">
        <v>115</v>
      </c>
      <c r="H2739" s="358" t="s">
        <v>11</v>
      </c>
    </row>
    <row r="2740" spans="1:8" x14ac:dyDescent="0.3">
      <c r="A2740" t="s">
        <v>57</v>
      </c>
      <c r="B2740" t="s">
        <v>112</v>
      </c>
      <c r="C2740" t="s">
        <v>2947</v>
      </c>
      <c r="D2740">
        <v>3</v>
      </c>
      <c r="E2740" s="358">
        <v>3</v>
      </c>
      <c r="F2740" s="358" t="s">
        <v>7</v>
      </c>
      <c r="G2740" s="358" t="s">
        <v>115</v>
      </c>
      <c r="H2740" s="358" t="s">
        <v>11</v>
      </c>
    </row>
    <row r="2741" spans="1:8" x14ac:dyDescent="0.3">
      <c r="A2741" t="s">
        <v>57</v>
      </c>
      <c r="B2741" t="s">
        <v>112</v>
      </c>
      <c r="C2741" t="s">
        <v>2948</v>
      </c>
      <c r="D2741">
        <v>3</v>
      </c>
      <c r="E2741" s="358">
        <v>2</v>
      </c>
      <c r="F2741" s="358" t="s">
        <v>7</v>
      </c>
      <c r="G2741" s="358" t="s">
        <v>115</v>
      </c>
      <c r="H2741" s="358" t="s">
        <v>11</v>
      </c>
    </row>
    <row r="2742" spans="1:8" x14ac:dyDescent="0.3">
      <c r="A2742" t="s">
        <v>57</v>
      </c>
      <c r="B2742" t="s">
        <v>112</v>
      </c>
      <c r="C2742" t="s">
        <v>1740</v>
      </c>
      <c r="D2742">
        <v>3</v>
      </c>
      <c r="E2742" s="358">
        <v>3</v>
      </c>
      <c r="F2742" s="358" t="s">
        <v>7</v>
      </c>
      <c r="G2742" s="358" t="s">
        <v>11</v>
      </c>
      <c r="H2742" s="358" t="s">
        <v>11</v>
      </c>
    </row>
    <row r="2743" spans="1:8" x14ac:dyDescent="0.3">
      <c r="A2743" t="s">
        <v>57</v>
      </c>
      <c r="B2743" t="s">
        <v>112</v>
      </c>
      <c r="C2743" t="s">
        <v>2949</v>
      </c>
      <c r="D2743">
        <v>3</v>
      </c>
      <c r="E2743" s="358">
        <v>3</v>
      </c>
      <c r="F2743" s="358" t="s">
        <v>75</v>
      </c>
      <c r="G2743" s="358" t="s">
        <v>11</v>
      </c>
      <c r="H2743" s="358" t="s">
        <v>11</v>
      </c>
    </row>
    <row r="2744" spans="1:8" x14ac:dyDescent="0.3">
      <c r="A2744" t="s">
        <v>57</v>
      </c>
      <c r="B2744" t="s">
        <v>112</v>
      </c>
      <c r="C2744" t="s">
        <v>2950</v>
      </c>
      <c r="D2744">
        <v>3</v>
      </c>
      <c r="E2744" s="358">
        <v>3</v>
      </c>
      <c r="F2744" s="358" t="s">
        <v>75</v>
      </c>
      <c r="G2744" s="358" t="s">
        <v>11</v>
      </c>
      <c r="H2744" s="358" t="s">
        <v>11</v>
      </c>
    </row>
    <row r="2745" spans="1:8" x14ac:dyDescent="0.3">
      <c r="A2745" t="s">
        <v>57</v>
      </c>
      <c r="B2745" t="s">
        <v>112</v>
      </c>
      <c r="C2745" t="s">
        <v>2951</v>
      </c>
      <c r="D2745">
        <v>3</v>
      </c>
      <c r="E2745" s="358">
        <v>3</v>
      </c>
      <c r="F2745" s="358" t="s">
        <v>75</v>
      </c>
      <c r="G2745" s="358" t="s">
        <v>11</v>
      </c>
      <c r="H2745" s="358" t="s">
        <v>11</v>
      </c>
    </row>
    <row r="2746" spans="1:8" x14ac:dyDescent="0.3">
      <c r="A2746" t="s">
        <v>57</v>
      </c>
      <c r="B2746" t="s">
        <v>112</v>
      </c>
      <c r="C2746" t="s">
        <v>2952</v>
      </c>
      <c r="D2746">
        <v>2</v>
      </c>
      <c r="E2746" s="358">
        <v>4</v>
      </c>
      <c r="F2746" s="358" t="s">
        <v>75</v>
      </c>
      <c r="G2746" s="358" t="s">
        <v>11</v>
      </c>
      <c r="H2746" s="358" t="s">
        <v>11</v>
      </c>
    </row>
    <row r="2747" spans="1:8" x14ac:dyDescent="0.3">
      <c r="A2747" t="s">
        <v>57</v>
      </c>
      <c r="B2747" t="s">
        <v>112</v>
      </c>
      <c r="C2747" t="s">
        <v>2953</v>
      </c>
      <c r="D2747">
        <v>3</v>
      </c>
      <c r="E2747" s="358">
        <v>3</v>
      </c>
      <c r="F2747" s="358" t="s">
        <v>7</v>
      </c>
      <c r="G2747" s="358" t="s">
        <v>115</v>
      </c>
      <c r="H2747" s="358" t="s">
        <v>11</v>
      </c>
    </row>
    <row r="2748" spans="1:8" x14ac:dyDescent="0.3">
      <c r="A2748" t="s">
        <v>57</v>
      </c>
      <c r="B2748" t="s">
        <v>112</v>
      </c>
      <c r="C2748" t="s">
        <v>1652</v>
      </c>
      <c r="D2748">
        <v>3</v>
      </c>
      <c r="E2748" s="358">
        <v>3</v>
      </c>
      <c r="F2748" s="358" t="s">
        <v>75</v>
      </c>
      <c r="G2748" s="358" t="s">
        <v>11</v>
      </c>
      <c r="H2748" s="358" t="s">
        <v>11</v>
      </c>
    </row>
    <row r="2749" spans="1:8" x14ac:dyDescent="0.3">
      <c r="A2749" t="s">
        <v>57</v>
      </c>
      <c r="B2749" t="s">
        <v>112</v>
      </c>
      <c r="C2749" t="s">
        <v>1746</v>
      </c>
      <c r="D2749">
        <v>2</v>
      </c>
      <c r="E2749" s="358">
        <v>3</v>
      </c>
      <c r="F2749" s="358" t="s">
        <v>75</v>
      </c>
      <c r="G2749" s="358" t="s">
        <v>11</v>
      </c>
      <c r="H2749" s="358" t="s">
        <v>11</v>
      </c>
    </row>
    <row r="2750" spans="1:8" x14ac:dyDescent="0.3">
      <c r="A2750" t="s">
        <v>57</v>
      </c>
      <c r="B2750" t="s">
        <v>112</v>
      </c>
      <c r="C2750" t="s">
        <v>2954</v>
      </c>
      <c r="D2750">
        <v>3</v>
      </c>
      <c r="E2750" s="358">
        <v>3</v>
      </c>
      <c r="F2750" s="358" t="s">
        <v>75</v>
      </c>
      <c r="G2750" s="358" t="s">
        <v>11</v>
      </c>
      <c r="H2750" s="358" t="s">
        <v>11</v>
      </c>
    </row>
    <row r="2751" spans="1:8" x14ac:dyDescent="0.3">
      <c r="A2751" t="s">
        <v>57</v>
      </c>
      <c r="B2751" t="s">
        <v>112</v>
      </c>
      <c r="C2751" t="s">
        <v>2955</v>
      </c>
      <c r="D2751">
        <v>3</v>
      </c>
      <c r="E2751" s="358">
        <v>3</v>
      </c>
      <c r="F2751" s="358" t="s">
        <v>75</v>
      </c>
      <c r="G2751" s="358" t="s">
        <v>11</v>
      </c>
      <c r="H2751" s="358" t="s">
        <v>11</v>
      </c>
    </row>
    <row r="2752" spans="1:8" x14ac:dyDescent="0.3">
      <c r="A2752" t="s">
        <v>57</v>
      </c>
      <c r="B2752" t="s">
        <v>112</v>
      </c>
      <c r="C2752" t="s">
        <v>2956</v>
      </c>
      <c r="D2752">
        <v>3</v>
      </c>
      <c r="E2752" s="358">
        <v>3</v>
      </c>
      <c r="F2752" s="358" t="s">
        <v>7</v>
      </c>
      <c r="G2752" s="358" t="s">
        <v>115</v>
      </c>
      <c r="H2752" s="358" t="s">
        <v>11</v>
      </c>
    </row>
    <row r="2753" spans="1:8" x14ac:dyDescent="0.3">
      <c r="A2753" t="s">
        <v>57</v>
      </c>
      <c r="B2753" t="s">
        <v>112</v>
      </c>
      <c r="C2753" t="s">
        <v>2957</v>
      </c>
      <c r="D2753">
        <v>3</v>
      </c>
      <c r="E2753" s="358">
        <v>3</v>
      </c>
      <c r="F2753" s="358" t="s">
        <v>75</v>
      </c>
      <c r="G2753" s="358" t="s">
        <v>11</v>
      </c>
      <c r="H2753" s="358" t="s">
        <v>11</v>
      </c>
    </row>
    <row r="2754" spans="1:8" x14ac:dyDescent="0.3">
      <c r="A2754" t="s">
        <v>57</v>
      </c>
      <c r="B2754" t="s">
        <v>112</v>
      </c>
      <c r="C2754" t="s">
        <v>2958</v>
      </c>
      <c r="D2754">
        <v>3</v>
      </c>
      <c r="E2754" s="358">
        <v>2</v>
      </c>
      <c r="F2754" s="358" t="s">
        <v>7</v>
      </c>
      <c r="G2754" s="358" t="s">
        <v>115</v>
      </c>
      <c r="H2754" s="358" t="s">
        <v>11</v>
      </c>
    </row>
    <row r="2755" spans="1:8" x14ac:dyDescent="0.3">
      <c r="A2755" t="s">
        <v>57</v>
      </c>
      <c r="B2755" t="s">
        <v>112</v>
      </c>
      <c r="C2755" t="s">
        <v>1534</v>
      </c>
      <c r="D2755">
        <v>3</v>
      </c>
      <c r="E2755" s="358">
        <v>2</v>
      </c>
      <c r="F2755" s="358" t="s">
        <v>7</v>
      </c>
      <c r="G2755" s="358" t="s">
        <v>115</v>
      </c>
      <c r="H2755" s="358" t="s">
        <v>11</v>
      </c>
    </row>
    <row r="2756" spans="1:8" x14ac:dyDescent="0.3">
      <c r="A2756" t="s">
        <v>57</v>
      </c>
      <c r="B2756" t="s">
        <v>112</v>
      </c>
      <c r="C2756" t="s">
        <v>2959</v>
      </c>
      <c r="D2756">
        <v>3</v>
      </c>
      <c r="E2756" s="358">
        <v>2</v>
      </c>
      <c r="F2756" s="358" t="s">
        <v>7</v>
      </c>
      <c r="G2756" s="358" t="s">
        <v>115</v>
      </c>
      <c r="H2756" s="358" t="s">
        <v>11</v>
      </c>
    </row>
    <row r="2757" spans="1:8" x14ac:dyDescent="0.3">
      <c r="A2757" t="s">
        <v>57</v>
      </c>
      <c r="B2757" t="s">
        <v>112</v>
      </c>
      <c r="C2757" t="s">
        <v>2960</v>
      </c>
      <c r="D2757">
        <v>3</v>
      </c>
      <c r="E2757" s="358">
        <v>3</v>
      </c>
      <c r="F2757" s="358" t="s">
        <v>7</v>
      </c>
      <c r="G2757" s="358" t="s">
        <v>115</v>
      </c>
      <c r="H2757" s="358" t="s">
        <v>11</v>
      </c>
    </row>
    <row r="2758" spans="1:8" x14ac:dyDescent="0.3">
      <c r="A2758" t="s">
        <v>57</v>
      </c>
      <c r="B2758" t="s">
        <v>112</v>
      </c>
      <c r="C2758" t="s">
        <v>2961</v>
      </c>
      <c r="D2758">
        <v>3</v>
      </c>
      <c r="E2758" s="358">
        <v>3</v>
      </c>
      <c r="F2758" s="358" t="s">
        <v>75</v>
      </c>
      <c r="G2758" s="358" t="s">
        <v>11</v>
      </c>
      <c r="H2758" s="358" t="s">
        <v>11</v>
      </c>
    </row>
    <row r="2759" spans="1:8" x14ac:dyDescent="0.3">
      <c r="A2759" t="s">
        <v>57</v>
      </c>
      <c r="B2759" t="s">
        <v>112</v>
      </c>
      <c r="C2759" t="s">
        <v>2962</v>
      </c>
      <c r="D2759">
        <v>3</v>
      </c>
      <c r="E2759" s="358">
        <v>2</v>
      </c>
      <c r="F2759" s="358" t="s">
        <v>75</v>
      </c>
      <c r="G2759" s="358" t="s">
        <v>11</v>
      </c>
      <c r="H2759" s="358" t="s">
        <v>11</v>
      </c>
    </row>
    <row r="2760" spans="1:8" x14ac:dyDescent="0.3">
      <c r="A2760" t="s">
        <v>57</v>
      </c>
      <c r="B2760" t="s">
        <v>112</v>
      </c>
      <c r="C2760" t="s">
        <v>2963</v>
      </c>
      <c r="D2760">
        <v>3</v>
      </c>
      <c r="E2760" s="358">
        <v>2</v>
      </c>
      <c r="F2760" s="358" t="s">
        <v>75</v>
      </c>
      <c r="G2760" s="358" t="s">
        <v>11</v>
      </c>
      <c r="H2760" s="358" t="s">
        <v>11</v>
      </c>
    </row>
    <row r="2761" spans="1:8" x14ac:dyDescent="0.3">
      <c r="A2761" t="s">
        <v>57</v>
      </c>
      <c r="B2761" t="s">
        <v>112</v>
      </c>
      <c r="C2761" t="s">
        <v>2964</v>
      </c>
      <c r="D2761">
        <v>3</v>
      </c>
      <c r="E2761" s="358">
        <v>3</v>
      </c>
      <c r="F2761" s="358" t="s">
        <v>7</v>
      </c>
      <c r="G2761" s="358" t="s">
        <v>115</v>
      </c>
      <c r="H2761" s="358" t="s">
        <v>11</v>
      </c>
    </row>
    <row r="2762" spans="1:8" x14ac:dyDescent="0.3">
      <c r="A2762" t="s">
        <v>57</v>
      </c>
      <c r="B2762" t="s">
        <v>112</v>
      </c>
      <c r="C2762" t="s">
        <v>2965</v>
      </c>
      <c r="D2762">
        <v>3</v>
      </c>
      <c r="E2762" s="358">
        <v>2</v>
      </c>
      <c r="F2762" s="358" t="s">
        <v>7</v>
      </c>
      <c r="G2762" s="358" t="s">
        <v>115</v>
      </c>
      <c r="H2762" s="358" t="s">
        <v>11</v>
      </c>
    </row>
    <row r="2763" spans="1:8" x14ac:dyDescent="0.3">
      <c r="A2763" t="s">
        <v>57</v>
      </c>
      <c r="B2763" t="s">
        <v>112</v>
      </c>
      <c r="C2763" t="s">
        <v>1378</v>
      </c>
      <c r="D2763">
        <v>3</v>
      </c>
      <c r="E2763" s="358">
        <v>2</v>
      </c>
      <c r="F2763" s="358" t="s">
        <v>7</v>
      </c>
      <c r="G2763" s="358" t="s">
        <v>115</v>
      </c>
      <c r="H2763" s="358" t="s">
        <v>11</v>
      </c>
    </row>
    <row r="2764" spans="1:8" x14ac:dyDescent="0.3">
      <c r="A2764" t="s">
        <v>57</v>
      </c>
      <c r="B2764" t="s">
        <v>112</v>
      </c>
      <c r="C2764" t="s">
        <v>2966</v>
      </c>
      <c r="D2764">
        <v>3</v>
      </c>
      <c r="E2764" s="358">
        <v>2</v>
      </c>
      <c r="F2764" s="358" t="s">
        <v>7</v>
      </c>
      <c r="G2764" s="358" t="s">
        <v>115</v>
      </c>
      <c r="H2764" s="358" t="s">
        <v>11</v>
      </c>
    </row>
    <row r="2765" spans="1:8" x14ac:dyDescent="0.3">
      <c r="A2765" t="s">
        <v>57</v>
      </c>
      <c r="B2765" t="s">
        <v>112</v>
      </c>
      <c r="C2765" t="s">
        <v>2598</v>
      </c>
      <c r="D2765">
        <v>3</v>
      </c>
      <c r="E2765" s="358">
        <v>3</v>
      </c>
      <c r="F2765" s="358" t="s">
        <v>75</v>
      </c>
      <c r="G2765" s="358" t="s">
        <v>11</v>
      </c>
      <c r="H2765" s="358" t="s">
        <v>11</v>
      </c>
    </row>
    <row r="2766" spans="1:8" x14ac:dyDescent="0.3">
      <c r="A2766" t="s">
        <v>57</v>
      </c>
      <c r="B2766" t="s">
        <v>112</v>
      </c>
      <c r="C2766" t="s">
        <v>1379</v>
      </c>
      <c r="D2766">
        <v>3</v>
      </c>
      <c r="E2766" s="358">
        <v>2</v>
      </c>
      <c r="F2766" s="358" t="s">
        <v>7</v>
      </c>
      <c r="G2766" s="358" t="s">
        <v>115</v>
      </c>
      <c r="H2766" s="358" t="s">
        <v>11</v>
      </c>
    </row>
    <row r="2767" spans="1:8" x14ac:dyDescent="0.3">
      <c r="A2767" t="s">
        <v>57</v>
      </c>
      <c r="B2767" t="s">
        <v>112</v>
      </c>
      <c r="C2767" t="s">
        <v>2967</v>
      </c>
      <c r="D2767">
        <v>3</v>
      </c>
      <c r="E2767" s="358">
        <v>2</v>
      </c>
      <c r="F2767" s="358" t="s">
        <v>75</v>
      </c>
      <c r="G2767" s="358" t="s">
        <v>11</v>
      </c>
      <c r="H2767" s="358" t="s">
        <v>11</v>
      </c>
    </row>
    <row r="2768" spans="1:8" x14ac:dyDescent="0.3">
      <c r="A2768" t="s">
        <v>57</v>
      </c>
      <c r="B2768" t="s">
        <v>112</v>
      </c>
      <c r="C2768" t="s">
        <v>2968</v>
      </c>
      <c r="D2768">
        <v>3</v>
      </c>
      <c r="E2768" s="358">
        <v>2</v>
      </c>
      <c r="F2768" s="358" t="s">
        <v>7</v>
      </c>
      <c r="G2768" s="358" t="s">
        <v>115</v>
      </c>
      <c r="H2768" s="358" t="s">
        <v>11</v>
      </c>
    </row>
    <row r="2769" spans="1:8" x14ac:dyDescent="0.3">
      <c r="A2769" t="s">
        <v>57</v>
      </c>
      <c r="B2769" t="s">
        <v>112</v>
      </c>
      <c r="C2769" t="s">
        <v>1760</v>
      </c>
      <c r="D2769">
        <v>3</v>
      </c>
      <c r="E2769" s="358">
        <v>3</v>
      </c>
      <c r="F2769" s="358" t="s">
        <v>75</v>
      </c>
      <c r="G2769" s="358" t="s">
        <v>11</v>
      </c>
      <c r="H2769" s="358" t="s">
        <v>11</v>
      </c>
    </row>
    <row r="2770" spans="1:8" x14ac:dyDescent="0.3">
      <c r="A2770" t="s">
        <v>57</v>
      </c>
      <c r="B2770" t="s">
        <v>112</v>
      </c>
      <c r="C2770" t="s">
        <v>2006</v>
      </c>
      <c r="D2770">
        <v>3</v>
      </c>
      <c r="E2770" s="358">
        <v>3</v>
      </c>
      <c r="F2770" s="358" t="s">
        <v>7</v>
      </c>
      <c r="G2770" s="358" t="s">
        <v>11</v>
      </c>
      <c r="H2770" s="358" t="s">
        <v>11</v>
      </c>
    </row>
    <row r="2771" spans="1:8" x14ac:dyDescent="0.3">
      <c r="A2771" t="s">
        <v>57</v>
      </c>
      <c r="B2771" t="s">
        <v>112</v>
      </c>
      <c r="C2771" t="s">
        <v>2969</v>
      </c>
      <c r="D2771">
        <v>3</v>
      </c>
      <c r="E2771" s="358">
        <v>3</v>
      </c>
      <c r="F2771" s="358" t="s">
        <v>75</v>
      </c>
      <c r="G2771" s="358" t="s">
        <v>11</v>
      </c>
      <c r="H2771" s="358" t="s">
        <v>11</v>
      </c>
    </row>
    <row r="2772" spans="1:8" x14ac:dyDescent="0.3">
      <c r="A2772" t="s">
        <v>57</v>
      </c>
      <c r="B2772" t="s">
        <v>112</v>
      </c>
      <c r="C2772" t="s">
        <v>2970</v>
      </c>
      <c r="D2772">
        <v>3</v>
      </c>
      <c r="E2772" s="358">
        <v>2</v>
      </c>
      <c r="F2772" s="358" t="s">
        <v>7</v>
      </c>
      <c r="G2772" s="358" t="s">
        <v>115</v>
      </c>
      <c r="H2772" s="358" t="s">
        <v>11</v>
      </c>
    </row>
    <row r="2773" spans="1:8" x14ac:dyDescent="0.3">
      <c r="A2773" t="s">
        <v>57</v>
      </c>
      <c r="B2773" t="s">
        <v>112</v>
      </c>
      <c r="C2773" t="s">
        <v>1854</v>
      </c>
      <c r="D2773">
        <v>3</v>
      </c>
      <c r="E2773" s="358">
        <v>2</v>
      </c>
      <c r="F2773" s="358" t="s">
        <v>7</v>
      </c>
      <c r="G2773" s="358" t="s">
        <v>115</v>
      </c>
      <c r="H2773" s="358" t="s">
        <v>11</v>
      </c>
    </row>
    <row r="2774" spans="1:8" x14ac:dyDescent="0.3">
      <c r="A2774" t="s">
        <v>57</v>
      </c>
      <c r="B2774" t="s">
        <v>112</v>
      </c>
      <c r="C2774" t="s">
        <v>2007</v>
      </c>
      <c r="D2774">
        <v>3</v>
      </c>
      <c r="E2774" s="358">
        <v>2</v>
      </c>
      <c r="F2774" s="358" t="s">
        <v>7</v>
      </c>
      <c r="G2774" s="358" t="s">
        <v>115</v>
      </c>
      <c r="H2774" s="358" t="s">
        <v>11</v>
      </c>
    </row>
    <row r="2775" spans="1:8" x14ac:dyDescent="0.3">
      <c r="A2775" t="s">
        <v>57</v>
      </c>
      <c r="B2775" t="s">
        <v>112</v>
      </c>
      <c r="C2775" t="s">
        <v>2971</v>
      </c>
      <c r="D2775">
        <v>3</v>
      </c>
      <c r="E2775" s="358">
        <v>3</v>
      </c>
      <c r="F2775" s="358" t="s">
        <v>75</v>
      </c>
      <c r="G2775" s="358" t="s">
        <v>11</v>
      </c>
      <c r="H2775" s="358" t="s">
        <v>11</v>
      </c>
    </row>
    <row r="2776" spans="1:8" x14ac:dyDescent="0.3">
      <c r="A2776" t="s">
        <v>57</v>
      </c>
      <c r="B2776" t="s">
        <v>112</v>
      </c>
      <c r="C2776" t="s">
        <v>2972</v>
      </c>
      <c r="D2776">
        <v>3</v>
      </c>
      <c r="E2776" s="358">
        <v>3</v>
      </c>
      <c r="F2776" s="358" t="s">
        <v>7</v>
      </c>
      <c r="G2776" s="358" t="s">
        <v>11</v>
      </c>
      <c r="H2776" s="358" t="s">
        <v>11</v>
      </c>
    </row>
    <row r="2777" spans="1:8" x14ac:dyDescent="0.3">
      <c r="A2777" t="s">
        <v>57</v>
      </c>
      <c r="B2777" t="s">
        <v>112</v>
      </c>
      <c r="C2777" t="s">
        <v>2634</v>
      </c>
      <c r="D2777">
        <v>3</v>
      </c>
      <c r="E2777" s="358">
        <v>3</v>
      </c>
      <c r="F2777" s="358" t="s">
        <v>7</v>
      </c>
      <c r="G2777" s="358" t="s">
        <v>115</v>
      </c>
      <c r="H2777" s="358" t="s">
        <v>11</v>
      </c>
    </row>
    <row r="2778" spans="1:8" x14ac:dyDescent="0.3">
      <c r="A2778" t="s">
        <v>57</v>
      </c>
      <c r="B2778" t="s">
        <v>112</v>
      </c>
      <c r="C2778" t="s">
        <v>2973</v>
      </c>
      <c r="D2778">
        <v>3</v>
      </c>
      <c r="E2778" s="358">
        <v>4</v>
      </c>
      <c r="F2778" s="358" t="s">
        <v>75</v>
      </c>
      <c r="G2778" s="358" t="s">
        <v>11</v>
      </c>
      <c r="H2778" s="358" t="s">
        <v>11</v>
      </c>
    </row>
    <row r="2779" spans="1:8" x14ac:dyDescent="0.3">
      <c r="A2779" t="s">
        <v>57</v>
      </c>
      <c r="B2779" t="s">
        <v>112</v>
      </c>
      <c r="C2779" t="s">
        <v>2974</v>
      </c>
      <c r="D2779">
        <v>3</v>
      </c>
      <c r="E2779" s="358">
        <v>3</v>
      </c>
      <c r="F2779" s="358" t="s">
        <v>7</v>
      </c>
      <c r="G2779" s="358" t="s">
        <v>11</v>
      </c>
      <c r="H2779" s="358" t="s">
        <v>11</v>
      </c>
    </row>
    <row r="2780" spans="1:8" x14ac:dyDescent="0.3">
      <c r="A2780" t="s">
        <v>57</v>
      </c>
      <c r="B2780" t="s">
        <v>112</v>
      </c>
      <c r="C2780" t="s">
        <v>2975</v>
      </c>
      <c r="D2780">
        <v>3</v>
      </c>
      <c r="E2780" s="358">
        <v>2</v>
      </c>
      <c r="F2780" s="358" t="s">
        <v>75</v>
      </c>
      <c r="G2780" s="358" t="s">
        <v>11</v>
      </c>
      <c r="H2780" s="358" t="s">
        <v>11</v>
      </c>
    </row>
    <row r="2781" spans="1:8" x14ac:dyDescent="0.3">
      <c r="A2781" t="s">
        <v>57</v>
      </c>
      <c r="B2781" t="s">
        <v>112</v>
      </c>
      <c r="C2781" t="s">
        <v>2976</v>
      </c>
      <c r="D2781">
        <v>3</v>
      </c>
      <c r="E2781" s="358">
        <v>2</v>
      </c>
      <c r="F2781" s="358" t="s">
        <v>75</v>
      </c>
      <c r="G2781" s="358" t="s">
        <v>11</v>
      </c>
      <c r="H2781" s="358" t="s">
        <v>11</v>
      </c>
    </row>
    <row r="2782" spans="1:8" x14ac:dyDescent="0.3">
      <c r="A2782" t="s">
        <v>58</v>
      </c>
      <c r="B2782" t="s">
        <v>83</v>
      </c>
      <c r="C2782" t="s">
        <v>2638</v>
      </c>
      <c r="D2782">
        <v>2</v>
      </c>
      <c r="E2782" s="358">
        <v>5</v>
      </c>
      <c r="F2782" s="358" t="s">
        <v>75</v>
      </c>
      <c r="G2782" s="358" t="s">
        <v>11</v>
      </c>
      <c r="H2782" s="358" t="s">
        <v>11</v>
      </c>
    </row>
    <row r="2783" spans="1:8" x14ac:dyDescent="0.3">
      <c r="A2783" t="s">
        <v>58</v>
      </c>
      <c r="B2783" t="s">
        <v>83</v>
      </c>
      <c r="C2783" t="s">
        <v>2977</v>
      </c>
      <c r="D2783">
        <v>2</v>
      </c>
      <c r="E2783" s="358">
        <v>6</v>
      </c>
      <c r="F2783" s="358" t="s">
        <v>75</v>
      </c>
      <c r="G2783" s="358" t="s">
        <v>11</v>
      </c>
      <c r="H2783" s="358" t="s">
        <v>11</v>
      </c>
    </row>
    <row r="2784" spans="1:8" x14ac:dyDescent="0.3">
      <c r="A2784" t="s">
        <v>58</v>
      </c>
      <c r="B2784" t="s">
        <v>83</v>
      </c>
      <c r="C2784" t="s">
        <v>2978</v>
      </c>
      <c r="D2784">
        <v>2</v>
      </c>
      <c r="E2784" s="358">
        <v>6</v>
      </c>
      <c r="F2784" s="358" t="s">
        <v>75</v>
      </c>
      <c r="G2784" s="358" t="s">
        <v>11</v>
      </c>
      <c r="H2784" s="358" t="s">
        <v>11</v>
      </c>
    </row>
    <row r="2785" spans="1:8" x14ac:dyDescent="0.3">
      <c r="A2785" t="s">
        <v>58</v>
      </c>
      <c r="B2785" t="s">
        <v>83</v>
      </c>
      <c r="C2785" t="s">
        <v>2349</v>
      </c>
      <c r="D2785">
        <v>1</v>
      </c>
      <c r="E2785" s="358">
        <v>6</v>
      </c>
      <c r="F2785" s="358" t="s">
        <v>75</v>
      </c>
      <c r="G2785" s="358" t="s">
        <v>11</v>
      </c>
      <c r="H2785" s="358" t="s">
        <v>11</v>
      </c>
    </row>
    <row r="2786" spans="1:8" x14ac:dyDescent="0.3">
      <c r="A2786" t="s">
        <v>58</v>
      </c>
      <c r="B2786" t="s">
        <v>83</v>
      </c>
      <c r="C2786" t="s">
        <v>2979</v>
      </c>
      <c r="D2786">
        <v>2</v>
      </c>
      <c r="E2786" s="358">
        <v>6</v>
      </c>
      <c r="F2786" s="358" t="s">
        <v>75</v>
      </c>
      <c r="G2786" s="358" t="s">
        <v>11</v>
      </c>
      <c r="H2786" s="358" t="s">
        <v>11</v>
      </c>
    </row>
    <row r="2787" spans="1:8" x14ac:dyDescent="0.3">
      <c r="A2787" t="s">
        <v>58</v>
      </c>
      <c r="B2787" t="s">
        <v>83</v>
      </c>
      <c r="C2787" t="s">
        <v>1909</v>
      </c>
      <c r="D2787">
        <v>2</v>
      </c>
      <c r="E2787" s="358">
        <v>5</v>
      </c>
      <c r="F2787" s="358" t="s">
        <v>75</v>
      </c>
      <c r="G2787" s="358" t="s">
        <v>11</v>
      </c>
      <c r="H2787" s="358" t="s">
        <v>11</v>
      </c>
    </row>
    <row r="2788" spans="1:8" x14ac:dyDescent="0.3">
      <c r="A2788" t="s">
        <v>58</v>
      </c>
      <c r="B2788" t="s">
        <v>83</v>
      </c>
      <c r="C2788" t="s">
        <v>2980</v>
      </c>
      <c r="D2788">
        <v>1</v>
      </c>
      <c r="E2788" s="358">
        <v>6</v>
      </c>
      <c r="F2788" s="358" t="s">
        <v>75</v>
      </c>
      <c r="G2788" s="358" t="s">
        <v>11</v>
      </c>
      <c r="H2788" s="358" t="s">
        <v>11</v>
      </c>
    </row>
    <row r="2789" spans="1:8" x14ac:dyDescent="0.3">
      <c r="A2789" t="s">
        <v>58</v>
      </c>
      <c r="B2789" t="s">
        <v>83</v>
      </c>
      <c r="C2789" t="s">
        <v>2981</v>
      </c>
      <c r="D2789">
        <v>2</v>
      </c>
      <c r="E2789" s="358">
        <v>5</v>
      </c>
      <c r="F2789" s="358" t="s">
        <v>75</v>
      </c>
      <c r="G2789" s="358" t="s">
        <v>11</v>
      </c>
      <c r="H2789" s="358" t="s">
        <v>11</v>
      </c>
    </row>
    <row r="2790" spans="1:8" x14ac:dyDescent="0.3">
      <c r="A2790" t="s">
        <v>58</v>
      </c>
      <c r="B2790" t="s">
        <v>83</v>
      </c>
      <c r="C2790" t="s">
        <v>1563</v>
      </c>
      <c r="D2790">
        <v>2</v>
      </c>
      <c r="E2790" s="358">
        <v>5</v>
      </c>
      <c r="F2790" s="358" t="s">
        <v>75</v>
      </c>
      <c r="G2790" s="358" t="s">
        <v>11</v>
      </c>
      <c r="H2790" s="358" t="s">
        <v>11</v>
      </c>
    </row>
    <row r="2791" spans="1:8" x14ac:dyDescent="0.3">
      <c r="A2791" t="s">
        <v>58</v>
      </c>
      <c r="B2791" t="s">
        <v>83</v>
      </c>
      <c r="C2791" t="s">
        <v>1565</v>
      </c>
      <c r="D2791">
        <v>1</v>
      </c>
      <c r="E2791" s="358">
        <v>5</v>
      </c>
      <c r="F2791" s="358" t="s">
        <v>75</v>
      </c>
      <c r="G2791" s="358" t="s">
        <v>11</v>
      </c>
      <c r="H2791" s="358" t="s">
        <v>11</v>
      </c>
    </row>
    <row r="2792" spans="1:8" x14ac:dyDescent="0.3">
      <c r="A2792" t="s">
        <v>58</v>
      </c>
      <c r="B2792" t="s">
        <v>83</v>
      </c>
      <c r="C2792" t="s">
        <v>2174</v>
      </c>
      <c r="D2792">
        <v>2</v>
      </c>
      <c r="E2792" s="358">
        <v>5</v>
      </c>
      <c r="F2792" s="358" t="s">
        <v>75</v>
      </c>
      <c r="G2792" s="358" t="s">
        <v>11</v>
      </c>
      <c r="H2792" s="358" t="s">
        <v>11</v>
      </c>
    </row>
    <row r="2793" spans="1:8" x14ac:dyDescent="0.3">
      <c r="A2793" t="s">
        <v>58</v>
      </c>
      <c r="B2793" t="s">
        <v>83</v>
      </c>
      <c r="C2793" t="s">
        <v>2982</v>
      </c>
      <c r="D2793">
        <v>2</v>
      </c>
      <c r="E2793" s="358">
        <v>5</v>
      </c>
      <c r="F2793" s="358" t="s">
        <v>75</v>
      </c>
      <c r="G2793" s="358" t="s">
        <v>11</v>
      </c>
      <c r="H2793" s="358" t="s">
        <v>11</v>
      </c>
    </row>
    <row r="2794" spans="1:8" x14ac:dyDescent="0.3">
      <c r="A2794" t="s">
        <v>58</v>
      </c>
      <c r="B2794" t="s">
        <v>83</v>
      </c>
      <c r="C2794" t="s">
        <v>1825</v>
      </c>
      <c r="D2794">
        <v>2</v>
      </c>
      <c r="E2794" s="358">
        <v>5</v>
      </c>
      <c r="F2794" s="358" t="s">
        <v>75</v>
      </c>
      <c r="G2794" s="358" t="s">
        <v>11</v>
      </c>
      <c r="H2794" s="358" t="s">
        <v>11</v>
      </c>
    </row>
    <row r="2795" spans="1:8" x14ac:dyDescent="0.3">
      <c r="A2795" t="s">
        <v>58</v>
      </c>
      <c r="B2795" t="s">
        <v>83</v>
      </c>
      <c r="C2795" t="s">
        <v>2983</v>
      </c>
      <c r="D2795">
        <v>2</v>
      </c>
      <c r="E2795" s="358">
        <v>5</v>
      </c>
      <c r="F2795" s="358" t="s">
        <v>75</v>
      </c>
      <c r="G2795" s="358" t="s">
        <v>11</v>
      </c>
      <c r="H2795" s="358" t="s">
        <v>11</v>
      </c>
    </row>
    <row r="2796" spans="1:8" x14ac:dyDescent="0.3">
      <c r="A2796" t="s">
        <v>58</v>
      </c>
      <c r="B2796" t="s">
        <v>83</v>
      </c>
      <c r="C2796" t="s">
        <v>1366</v>
      </c>
      <c r="D2796">
        <v>2</v>
      </c>
      <c r="E2796" s="358">
        <v>6</v>
      </c>
      <c r="F2796" s="358" t="s">
        <v>75</v>
      </c>
      <c r="G2796" s="358" t="s">
        <v>11</v>
      </c>
      <c r="H2796" s="358" t="s">
        <v>11</v>
      </c>
    </row>
    <row r="2797" spans="1:8" x14ac:dyDescent="0.3">
      <c r="A2797" t="s">
        <v>58</v>
      </c>
      <c r="B2797" t="s">
        <v>83</v>
      </c>
      <c r="C2797" t="s">
        <v>2984</v>
      </c>
      <c r="D2797">
        <v>1</v>
      </c>
      <c r="E2797" s="358">
        <v>5</v>
      </c>
      <c r="F2797" s="358" t="s">
        <v>75</v>
      </c>
      <c r="G2797" s="358" t="s">
        <v>11</v>
      </c>
      <c r="H2797" s="358" t="s">
        <v>11</v>
      </c>
    </row>
    <row r="2798" spans="1:8" x14ac:dyDescent="0.3">
      <c r="A2798" t="s">
        <v>58</v>
      </c>
      <c r="B2798" t="s">
        <v>83</v>
      </c>
      <c r="C2798" t="s">
        <v>2985</v>
      </c>
      <c r="D2798">
        <v>2</v>
      </c>
      <c r="E2798" s="358">
        <v>6</v>
      </c>
      <c r="F2798" s="358" t="s">
        <v>75</v>
      </c>
      <c r="G2798" s="358" t="s">
        <v>11</v>
      </c>
      <c r="H2798" s="358" t="s">
        <v>11</v>
      </c>
    </row>
    <row r="2799" spans="1:8" x14ac:dyDescent="0.3">
      <c r="A2799" t="s">
        <v>58</v>
      </c>
      <c r="B2799" t="s">
        <v>83</v>
      </c>
      <c r="C2799" t="s">
        <v>2986</v>
      </c>
      <c r="D2799">
        <v>2</v>
      </c>
      <c r="E2799" s="358">
        <v>5</v>
      </c>
      <c r="F2799" s="358" t="s">
        <v>75</v>
      </c>
      <c r="G2799" s="358" t="s">
        <v>11</v>
      </c>
      <c r="H2799" s="358" t="s">
        <v>11</v>
      </c>
    </row>
    <row r="2800" spans="1:8" x14ac:dyDescent="0.3">
      <c r="A2800" t="s">
        <v>58</v>
      </c>
      <c r="B2800" t="s">
        <v>83</v>
      </c>
      <c r="C2800" t="s">
        <v>1589</v>
      </c>
      <c r="D2800">
        <v>2</v>
      </c>
      <c r="E2800" s="358">
        <v>5</v>
      </c>
      <c r="F2800" s="358" t="s">
        <v>75</v>
      </c>
      <c r="G2800" s="358" t="s">
        <v>11</v>
      </c>
      <c r="H2800" s="358" t="s">
        <v>11</v>
      </c>
    </row>
    <row r="2801" spans="1:8" x14ac:dyDescent="0.3">
      <c r="A2801" t="s">
        <v>58</v>
      </c>
      <c r="B2801" t="s">
        <v>83</v>
      </c>
      <c r="C2801" t="s">
        <v>2987</v>
      </c>
      <c r="D2801">
        <v>1</v>
      </c>
      <c r="E2801" s="358">
        <v>5</v>
      </c>
      <c r="F2801" s="358" t="s">
        <v>75</v>
      </c>
      <c r="G2801" s="358" t="s">
        <v>11</v>
      </c>
      <c r="H2801" s="358" t="s">
        <v>11</v>
      </c>
    </row>
    <row r="2802" spans="1:8" x14ac:dyDescent="0.3">
      <c r="A2802" t="s">
        <v>58</v>
      </c>
      <c r="B2802" t="s">
        <v>83</v>
      </c>
      <c r="C2802" t="s">
        <v>1476</v>
      </c>
      <c r="D2802">
        <v>1</v>
      </c>
      <c r="E2802" s="358">
        <v>5</v>
      </c>
      <c r="F2802" s="358" t="s">
        <v>75</v>
      </c>
      <c r="G2802" s="358" t="s">
        <v>11</v>
      </c>
      <c r="H2802" s="358" t="s">
        <v>11</v>
      </c>
    </row>
    <row r="2803" spans="1:8" x14ac:dyDescent="0.3">
      <c r="A2803" t="s">
        <v>58</v>
      </c>
      <c r="B2803" t="s">
        <v>83</v>
      </c>
      <c r="C2803" t="s">
        <v>1592</v>
      </c>
      <c r="D2803">
        <v>2</v>
      </c>
      <c r="E2803" s="358">
        <v>6</v>
      </c>
      <c r="F2803" s="358" t="s">
        <v>75</v>
      </c>
      <c r="G2803" s="358" t="s">
        <v>11</v>
      </c>
      <c r="H2803" s="358" t="s">
        <v>11</v>
      </c>
    </row>
    <row r="2804" spans="1:8" x14ac:dyDescent="0.3">
      <c r="A2804" t="s">
        <v>58</v>
      </c>
      <c r="B2804" t="s">
        <v>83</v>
      </c>
      <c r="C2804" t="s">
        <v>2988</v>
      </c>
      <c r="D2804">
        <v>2</v>
      </c>
      <c r="E2804" s="358">
        <v>5</v>
      </c>
      <c r="F2804" s="358" t="s">
        <v>75</v>
      </c>
      <c r="G2804" s="358" t="s">
        <v>11</v>
      </c>
      <c r="H2804" s="358" t="s">
        <v>11</v>
      </c>
    </row>
    <row r="2805" spans="1:8" x14ac:dyDescent="0.3">
      <c r="A2805" t="s">
        <v>58</v>
      </c>
      <c r="B2805" t="s">
        <v>83</v>
      </c>
      <c r="C2805" t="s">
        <v>2989</v>
      </c>
      <c r="D2805">
        <v>1</v>
      </c>
      <c r="E2805" s="358">
        <v>6</v>
      </c>
      <c r="F2805" s="358" t="s">
        <v>75</v>
      </c>
      <c r="G2805" s="358" t="s">
        <v>11</v>
      </c>
      <c r="H2805" s="358" t="s">
        <v>11</v>
      </c>
    </row>
    <row r="2806" spans="1:8" x14ac:dyDescent="0.3">
      <c r="A2806" t="s">
        <v>58</v>
      </c>
      <c r="B2806" t="s">
        <v>83</v>
      </c>
      <c r="C2806" t="s">
        <v>2990</v>
      </c>
      <c r="D2806">
        <v>2</v>
      </c>
      <c r="E2806" s="358">
        <v>5</v>
      </c>
      <c r="F2806" s="358" t="s">
        <v>75</v>
      </c>
      <c r="G2806" s="358" t="s">
        <v>11</v>
      </c>
      <c r="H2806" s="358" t="s">
        <v>11</v>
      </c>
    </row>
    <row r="2807" spans="1:8" x14ac:dyDescent="0.3">
      <c r="A2807" t="s">
        <v>58</v>
      </c>
      <c r="B2807" t="s">
        <v>83</v>
      </c>
      <c r="C2807" t="s">
        <v>2991</v>
      </c>
      <c r="D2807">
        <v>2</v>
      </c>
      <c r="E2807" s="358">
        <v>6</v>
      </c>
      <c r="F2807" s="358" t="s">
        <v>75</v>
      </c>
      <c r="G2807" s="358" t="s">
        <v>11</v>
      </c>
      <c r="H2807" s="358" t="s">
        <v>11</v>
      </c>
    </row>
    <row r="2808" spans="1:8" x14ac:dyDescent="0.3">
      <c r="A2808" t="s">
        <v>58</v>
      </c>
      <c r="B2808" t="s">
        <v>83</v>
      </c>
      <c r="C2808" t="s">
        <v>1379</v>
      </c>
      <c r="D2808">
        <v>2</v>
      </c>
      <c r="E2808" s="358">
        <v>3</v>
      </c>
      <c r="F2808" s="358" t="s">
        <v>75</v>
      </c>
      <c r="G2808" s="358" t="s">
        <v>11</v>
      </c>
      <c r="H2808" s="358" t="s">
        <v>11</v>
      </c>
    </row>
    <row r="2809" spans="1:8" x14ac:dyDescent="0.3">
      <c r="A2809" t="s">
        <v>58</v>
      </c>
      <c r="B2809" t="s">
        <v>83</v>
      </c>
      <c r="C2809" t="s">
        <v>1758</v>
      </c>
      <c r="D2809">
        <v>2</v>
      </c>
      <c r="E2809" s="358">
        <v>5</v>
      </c>
      <c r="F2809" s="358" t="s">
        <v>75</v>
      </c>
      <c r="G2809" s="358" t="s">
        <v>11</v>
      </c>
      <c r="H2809" s="358" t="s">
        <v>11</v>
      </c>
    </row>
    <row r="2810" spans="1:8" x14ac:dyDescent="0.3">
      <c r="A2810" t="s">
        <v>58</v>
      </c>
      <c r="B2810" t="s">
        <v>83</v>
      </c>
      <c r="C2810" t="s">
        <v>2992</v>
      </c>
      <c r="D2810">
        <v>2</v>
      </c>
      <c r="E2810" s="358">
        <v>5</v>
      </c>
      <c r="F2810" s="358" t="s">
        <v>75</v>
      </c>
      <c r="G2810" s="358" t="s">
        <v>11</v>
      </c>
      <c r="H2810" s="358" t="s">
        <v>11</v>
      </c>
    </row>
    <row r="2811" spans="1:8" x14ac:dyDescent="0.3">
      <c r="A2811" t="s">
        <v>60</v>
      </c>
      <c r="B2811" t="s">
        <v>84</v>
      </c>
      <c r="C2811" t="s">
        <v>2993</v>
      </c>
      <c r="D2811">
        <v>2</v>
      </c>
      <c r="E2811" s="358">
        <v>6</v>
      </c>
      <c r="F2811" s="358" t="s">
        <v>7</v>
      </c>
      <c r="G2811" s="358" t="s">
        <v>11</v>
      </c>
      <c r="H2811" s="358" t="s">
        <v>11</v>
      </c>
    </row>
    <row r="2812" spans="1:8" x14ac:dyDescent="0.3">
      <c r="A2812" t="s">
        <v>60</v>
      </c>
      <c r="B2812" t="s">
        <v>84</v>
      </c>
      <c r="C2812" t="s">
        <v>2994</v>
      </c>
      <c r="D2812">
        <v>2</v>
      </c>
      <c r="E2812" s="358">
        <v>6</v>
      </c>
      <c r="F2812" s="358" t="s">
        <v>7</v>
      </c>
      <c r="G2812" s="358" t="s">
        <v>11</v>
      </c>
      <c r="H2812" s="358" t="s">
        <v>11</v>
      </c>
    </row>
    <row r="2813" spans="1:8" x14ac:dyDescent="0.3">
      <c r="A2813" t="s">
        <v>60</v>
      </c>
      <c r="B2813" t="s">
        <v>84</v>
      </c>
      <c r="C2813" t="s">
        <v>2995</v>
      </c>
      <c r="D2813">
        <v>2</v>
      </c>
      <c r="E2813" s="358">
        <v>6</v>
      </c>
      <c r="F2813" s="358" t="s">
        <v>7</v>
      </c>
      <c r="G2813" s="358" t="s">
        <v>11</v>
      </c>
      <c r="H2813" s="358" t="s">
        <v>11</v>
      </c>
    </row>
    <row r="2814" spans="1:8" x14ac:dyDescent="0.3">
      <c r="A2814" t="s">
        <v>60</v>
      </c>
      <c r="B2814" t="s">
        <v>84</v>
      </c>
      <c r="C2814" t="s">
        <v>2996</v>
      </c>
      <c r="D2814">
        <v>3</v>
      </c>
      <c r="E2814" s="358">
        <v>6</v>
      </c>
      <c r="F2814" s="358" t="s">
        <v>7</v>
      </c>
      <c r="G2814" s="358" t="s">
        <v>11</v>
      </c>
      <c r="H2814" s="358" t="s">
        <v>11</v>
      </c>
    </row>
    <row r="2815" spans="1:8" x14ac:dyDescent="0.3">
      <c r="A2815" t="s">
        <v>60</v>
      </c>
      <c r="B2815" t="s">
        <v>84</v>
      </c>
      <c r="C2815" t="s">
        <v>2142</v>
      </c>
      <c r="D2815">
        <v>2</v>
      </c>
      <c r="E2815" s="358">
        <v>6</v>
      </c>
      <c r="F2815" s="358" t="s">
        <v>7</v>
      </c>
      <c r="G2815" s="358" t="s">
        <v>11</v>
      </c>
      <c r="H2815" s="358" t="s">
        <v>11</v>
      </c>
    </row>
    <row r="2816" spans="1:8" x14ac:dyDescent="0.3">
      <c r="A2816" t="s">
        <v>60</v>
      </c>
      <c r="B2816" t="s">
        <v>84</v>
      </c>
      <c r="C2816" t="s">
        <v>1344</v>
      </c>
      <c r="D2816">
        <v>2</v>
      </c>
      <c r="E2816" s="358">
        <v>6</v>
      </c>
      <c r="F2816" s="358" t="s">
        <v>7</v>
      </c>
      <c r="G2816" s="358" t="s">
        <v>11</v>
      </c>
      <c r="H2816" s="358" t="s">
        <v>11</v>
      </c>
    </row>
    <row r="2817" spans="1:8" x14ac:dyDescent="0.3">
      <c r="A2817" t="s">
        <v>60</v>
      </c>
      <c r="B2817" t="s">
        <v>84</v>
      </c>
      <c r="C2817" t="s">
        <v>2997</v>
      </c>
      <c r="D2817">
        <v>3</v>
      </c>
      <c r="E2817" s="358">
        <v>6</v>
      </c>
      <c r="F2817" s="358" t="s">
        <v>7</v>
      </c>
      <c r="G2817" s="358" t="s">
        <v>11</v>
      </c>
      <c r="H2817" s="358" t="s">
        <v>11</v>
      </c>
    </row>
    <row r="2818" spans="1:8" x14ac:dyDescent="0.3">
      <c r="A2818" t="s">
        <v>60</v>
      </c>
      <c r="B2818" t="s">
        <v>84</v>
      </c>
      <c r="C2818" t="s">
        <v>2998</v>
      </c>
      <c r="D2818">
        <v>2</v>
      </c>
      <c r="E2818" s="358">
        <v>6</v>
      </c>
      <c r="F2818" s="358" t="s">
        <v>7</v>
      </c>
      <c r="G2818" s="358" t="s">
        <v>11</v>
      </c>
      <c r="H2818" s="358" t="s">
        <v>11</v>
      </c>
    </row>
    <row r="2819" spans="1:8" x14ac:dyDescent="0.3">
      <c r="A2819" t="s">
        <v>60</v>
      </c>
      <c r="B2819" t="s">
        <v>84</v>
      </c>
      <c r="C2819" t="s">
        <v>1512</v>
      </c>
      <c r="D2819">
        <v>2</v>
      </c>
      <c r="E2819" s="358">
        <v>6</v>
      </c>
      <c r="F2819" s="358" t="s">
        <v>7</v>
      </c>
      <c r="G2819" s="358" t="s">
        <v>11</v>
      </c>
      <c r="H2819" s="358" t="s">
        <v>11</v>
      </c>
    </row>
    <row r="2820" spans="1:8" x14ac:dyDescent="0.3">
      <c r="A2820" t="s">
        <v>60</v>
      </c>
      <c r="B2820" t="s">
        <v>84</v>
      </c>
      <c r="C2820" t="s">
        <v>2088</v>
      </c>
      <c r="D2820">
        <v>2</v>
      </c>
      <c r="E2820" s="358">
        <v>6</v>
      </c>
      <c r="F2820" s="358" t="s">
        <v>7</v>
      </c>
      <c r="G2820" s="358" t="s">
        <v>11</v>
      </c>
      <c r="H2820" s="358" t="s">
        <v>11</v>
      </c>
    </row>
    <row r="2821" spans="1:8" x14ac:dyDescent="0.3">
      <c r="A2821" t="s">
        <v>60</v>
      </c>
      <c r="B2821" t="s">
        <v>84</v>
      </c>
      <c r="C2821" t="s">
        <v>2999</v>
      </c>
      <c r="D2821">
        <v>2</v>
      </c>
      <c r="E2821" s="358">
        <v>6</v>
      </c>
      <c r="F2821" s="358" t="s">
        <v>7</v>
      </c>
      <c r="G2821" s="358" t="s">
        <v>11</v>
      </c>
      <c r="H2821" s="358" t="s">
        <v>11</v>
      </c>
    </row>
    <row r="2822" spans="1:8" x14ac:dyDescent="0.3">
      <c r="A2822" t="s">
        <v>60</v>
      </c>
      <c r="B2822" t="s">
        <v>84</v>
      </c>
      <c r="C2822" t="s">
        <v>1379</v>
      </c>
      <c r="D2822">
        <v>2</v>
      </c>
      <c r="E2822" s="358">
        <v>6</v>
      </c>
      <c r="F2822" s="358" t="s">
        <v>7</v>
      </c>
      <c r="G2822" s="358" t="s">
        <v>11</v>
      </c>
      <c r="H2822" s="358" t="s">
        <v>11</v>
      </c>
    </row>
    <row r="2823" spans="1:8" x14ac:dyDescent="0.3">
      <c r="A2823" t="s">
        <v>60</v>
      </c>
      <c r="B2823" t="s">
        <v>84</v>
      </c>
      <c r="C2823" t="s">
        <v>1602</v>
      </c>
      <c r="D2823">
        <v>2</v>
      </c>
      <c r="E2823" s="358">
        <v>6</v>
      </c>
      <c r="F2823" s="358" t="s">
        <v>7</v>
      </c>
      <c r="G2823" s="358" t="s">
        <v>11</v>
      </c>
      <c r="H2823" s="358" t="s">
        <v>11</v>
      </c>
    </row>
    <row r="2824" spans="1:8" x14ac:dyDescent="0.3">
      <c r="A2824" t="s">
        <v>60</v>
      </c>
      <c r="B2824" t="s">
        <v>84</v>
      </c>
      <c r="C2824" t="s">
        <v>3000</v>
      </c>
      <c r="D2824">
        <v>2</v>
      </c>
      <c r="E2824" s="358">
        <v>6</v>
      </c>
      <c r="F2824" s="358" t="s">
        <v>7</v>
      </c>
      <c r="G2824" s="358" t="s">
        <v>11</v>
      </c>
      <c r="H2824" s="358" t="s">
        <v>11</v>
      </c>
    </row>
    <row r="2825" spans="1:8" x14ac:dyDescent="0.3">
      <c r="A2825" t="s">
        <v>70</v>
      </c>
      <c r="C2825" t="s">
        <v>3001</v>
      </c>
      <c r="D2825" t="s">
        <v>11</v>
      </c>
      <c r="E2825" s="358">
        <v>1</v>
      </c>
      <c r="F2825" s="358" t="s">
        <v>7</v>
      </c>
      <c r="G2825" s="358" t="s">
        <v>115</v>
      </c>
      <c r="H2825" s="358" t="s">
        <v>3678</v>
      </c>
    </row>
    <row r="2826" spans="1:8" x14ac:dyDescent="0.3">
      <c r="A2826" t="s">
        <v>59</v>
      </c>
      <c r="B2826" t="s">
        <v>113</v>
      </c>
      <c r="C2826" t="s">
        <v>3002</v>
      </c>
      <c r="D2826">
        <v>3</v>
      </c>
      <c r="E2826" s="358">
        <v>4</v>
      </c>
      <c r="F2826" s="358" t="s">
        <v>7</v>
      </c>
      <c r="G2826" s="358" t="s">
        <v>11</v>
      </c>
      <c r="H2826" s="358" t="s">
        <v>11</v>
      </c>
    </row>
    <row r="2827" spans="1:8" x14ac:dyDescent="0.3">
      <c r="A2827" t="s">
        <v>59</v>
      </c>
      <c r="B2827" t="s">
        <v>113</v>
      </c>
      <c r="C2827" t="s">
        <v>3003</v>
      </c>
      <c r="D2827">
        <v>2</v>
      </c>
      <c r="E2827" s="358">
        <v>4</v>
      </c>
      <c r="F2827" s="358" t="s">
        <v>7</v>
      </c>
      <c r="G2827" s="358" t="s">
        <v>11</v>
      </c>
      <c r="H2827" s="358" t="s">
        <v>11</v>
      </c>
    </row>
    <row r="2828" spans="1:8" x14ac:dyDescent="0.3">
      <c r="A2828" t="s">
        <v>59</v>
      </c>
      <c r="B2828" t="s">
        <v>113</v>
      </c>
      <c r="C2828" t="s">
        <v>3004</v>
      </c>
      <c r="D2828">
        <v>3</v>
      </c>
      <c r="E2828" s="358">
        <v>4</v>
      </c>
      <c r="F2828" s="358" t="s">
        <v>7</v>
      </c>
      <c r="G2828" s="358" t="s">
        <v>11</v>
      </c>
      <c r="H2828" s="358" t="s">
        <v>11</v>
      </c>
    </row>
    <row r="2829" spans="1:8" x14ac:dyDescent="0.3">
      <c r="A2829" t="s">
        <v>59</v>
      </c>
      <c r="B2829" t="s">
        <v>113</v>
      </c>
      <c r="C2829" t="s">
        <v>2506</v>
      </c>
      <c r="D2829">
        <v>1</v>
      </c>
      <c r="E2829" s="358">
        <v>4</v>
      </c>
      <c r="F2829" s="358" t="s">
        <v>7</v>
      </c>
      <c r="G2829" s="358" t="s">
        <v>11</v>
      </c>
      <c r="H2829" s="358" t="s">
        <v>11</v>
      </c>
    </row>
    <row r="2830" spans="1:8" x14ac:dyDescent="0.3">
      <c r="A2830" t="s">
        <v>59</v>
      </c>
      <c r="B2830" t="s">
        <v>113</v>
      </c>
      <c r="C2830" t="s">
        <v>3005</v>
      </c>
      <c r="D2830">
        <v>1</v>
      </c>
      <c r="E2830" s="358">
        <v>4</v>
      </c>
      <c r="F2830" s="358" t="s">
        <v>7</v>
      </c>
      <c r="G2830" s="358" t="s">
        <v>11</v>
      </c>
      <c r="H2830" s="358" t="s">
        <v>11</v>
      </c>
    </row>
    <row r="2831" spans="1:8" x14ac:dyDescent="0.3">
      <c r="A2831" t="s">
        <v>59</v>
      </c>
      <c r="B2831" t="s">
        <v>113</v>
      </c>
      <c r="C2831" t="s">
        <v>3006</v>
      </c>
      <c r="D2831">
        <v>2</v>
      </c>
      <c r="E2831" s="358">
        <v>4</v>
      </c>
      <c r="F2831" s="358" t="s">
        <v>7</v>
      </c>
      <c r="G2831" s="358" t="s">
        <v>11</v>
      </c>
      <c r="H2831" s="358" t="s">
        <v>11</v>
      </c>
    </row>
    <row r="2832" spans="1:8" x14ac:dyDescent="0.3">
      <c r="A2832" t="s">
        <v>59</v>
      </c>
      <c r="B2832" t="s">
        <v>113</v>
      </c>
      <c r="C2832" t="s">
        <v>3007</v>
      </c>
      <c r="D2832">
        <v>1</v>
      </c>
      <c r="E2832" s="358">
        <v>4</v>
      </c>
      <c r="F2832" s="358" t="s">
        <v>7</v>
      </c>
      <c r="G2832" s="358" t="s">
        <v>11</v>
      </c>
      <c r="H2832" s="358" t="s">
        <v>11</v>
      </c>
    </row>
    <row r="2833" spans="1:8" x14ac:dyDescent="0.3">
      <c r="A2833" t="s">
        <v>59</v>
      </c>
      <c r="B2833" t="s">
        <v>113</v>
      </c>
      <c r="C2833" t="s">
        <v>3008</v>
      </c>
      <c r="D2833">
        <v>2</v>
      </c>
      <c r="E2833" s="358">
        <v>4</v>
      </c>
      <c r="F2833" s="358" t="s">
        <v>7</v>
      </c>
      <c r="G2833" s="358" t="s">
        <v>11</v>
      </c>
      <c r="H2833" s="358" t="s">
        <v>11</v>
      </c>
    </row>
    <row r="2834" spans="1:8" x14ac:dyDescent="0.3">
      <c r="A2834" t="s">
        <v>59</v>
      </c>
      <c r="B2834" t="s">
        <v>113</v>
      </c>
      <c r="C2834" t="s">
        <v>3009</v>
      </c>
      <c r="D2834">
        <v>1</v>
      </c>
      <c r="E2834" s="358">
        <v>4</v>
      </c>
      <c r="F2834" s="358" t="s">
        <v>7</v>
      </c>
      <c r="G2834" s="358" t="s">
        <v>11</v>
      </c>
      <c r="H2834" s="358" t="s">
        <v>11</v>
      </c>
    </row>
    <row r="2835" spans="1:8" x14ac:dyDescent="0.3">
      <c r="A2835" t="s">
        <v>59</v>
      </c>
      <c r="B2835" t="s">
        <v>113</v>
      </c>
      <c r="C2835" t="s">
        <v>2012</v>
      </c>
      <c r="D2835">
        <v>1</v>
      </c>
      <c r="E2835" s="358">
        <v>4</v>
      </c>
      <c r="F2835" s="358" t="s">
        <v>7</v>
      </c>
      <c r="G2835" s="358" t="s">
        <v>11</v>
      </c>
      <c r="H2835" s="358" t="s">
        <v>11</v>
      </c>
    </row>
    <row r="2836" spans="1:8" x14ac:dyDescent="0.3">
      <c r="A2836" t="s">
        <v>59</v>
      </c>
      <c r="B2836" t="s">
        <v>113</v>
      </c>
      <c r="C2836" t="s">
        <v>2695</v>
      </c>
      <c r="D2836">
        <v>2</v>
      </c>
      <c r="E2836" s="358">
        <v>4</v>
      </c>
      <c r="F2836" s="358" t="s">
        <v>7</v>
      </c>
      <c r="G2836" s="358" t="s">
        <v>11</v>
      </c>
      <c r="H2836" s="358" t="s">
        <v>11</v>
      </c>
    </row>
    <row r="2837" spans="1:8" x14ac:dyDescent="0.3">
      <c r="A2837" t="s">
        <v>59</v>
      </c>
      <c r="B2837" t="s">
        <v>113</v>
      </c>
      <c r="C2837" t="s">
        <v>3010</v>
      </c>
      <c r="D2837">
        <v>1</v>
      </c>
      <c r="E2837" s="358">
        <v>4</v>
      </c>
      <c r="F2837" s="358" t="s">
        <v>7</v>
      </c>
      <c r="G2837" s="358" t="s">
        <v>11</v>
      </c>
      <c r="H2837" s="358" t="s">
        <v>11</v>
      </c>
    </row>
    <row r="2838" spans="1:8" x14ac:dyDescent="0.3">
      <c r="A2838" t="s">
        <v>59</v>
      </c>
      <c r="B2838" t="s">
        <v>113</v>
      </c>
      <c r="C2838" t="s">
        <v>3011</v>
      </c>
      <c r="D2838">
        <v>1</v>
      </c>
      <c r="E2838" s="358">
        <v>4</v>
      </c>
      <c r="F2838" s="358" t="s">
        <v>7</v>
      </c>
      <c r="G2838" s="358" t="s">
        <v>11</v>
      </c>
      <c r="H2838" s="358" t="s">
        <v>11</v>
      </c>
    </row>
    <row r="2839" spans="1:8" x14ac:dyDescent="0.3">
      <c r="A2839" t="s">
        <v>59</v>
      </c>
      <c r="B2839" t="s">
        <v>113</v>
      </c>
      <c r="C2839" t="s">
        <v>3012</v>
      </c>
      <c r="D2839">
        <v>1</v>
      </c>
      <c r="E2839" s="358">
        <v>4</v>
      </c>
      <c r="F2839" s="358" t="s">
        <v>7</v>
      </c>
      <c r="G2839" s="358" t="s">
        <v>11</v>
      </c>
      <c r="H2839" s="358" t="s">
        <v>11</v>
      </c>
    </row>
    <row r="2840" spans="1:8" x14ac:dyDescent="0.3">
      <c r="A2840" t="s">
        <v>59</v>
      </c>
      <c r="B2840" t="s">
        <v>113</v>
      </c>
      <c r="C2840" t="s">
        <v>2513</v>
      </c>
      <c r="D2840">
        <v>1</v>
      </c>
      <c r="E2840" s="358">
        <v>4</v>
      </c>
      <c r="F2840" s="358" t="s">
        <v>7</v>
      </c>
      <c r="G2840" s="358" t="s">
        <v>11</v>
      </c>
      <c r="H2840" s="358" t="s">
        <v>11</v>
      </c>
    </row>
    <row r="2841" spans="1:8" x14ac:dyDescent="0.3">
      <c r="A2841" t="s">
        <v>59</v>
      </c>
      <c r="B2841" t="s">
        <v>113</v>
      </c>
      <c r="C2841" t="s">
        <v>1904</v>
      </c>
      <c r="D2841">
        <v>2</v>
      </c>
      <c r="E2841" s="358">
        <v>4</v>
      </c>
      <c r="F2841" s="358" t="s">
        <v>7</v>
      </c>
      <c r="G2841" s="358" t="s">
        <v>11</v>
      </c>
      <c r="H2841" s="358" t="s">
        <v>11</v>
      </c>
    </row>
    <row r="2842" spans="1:8" x14ac:dyDescent="0.3">
      <c r="A2842" t="s">
        <v>59</v>
      </c>
      <c r="B2842" t="s">
        <v>113</v>
      </c>
      <c r="C2842" t="s">
        <v>3013</v>
      </c>
      <c r="D2842">
        <v>1</v>
      </c>
      <c r="E2842" s="358">
        <v>4</v>
      </c>
      <c r="F2842" s="358" t="s">
        <v>7</v>
      </c>
      <c r="G2842" s="358" t="s">
        <v>11</v>
      </c>
      <c r="H2842" s="358" t="s">
        <v>11</v>
      </c>
    </row>
    <row r="2843" spans="1:8" x14ac:dyDescent="0.3">
      <c r="A2843" t="s">
        <v>59</v>
      </c>
      <c r="B2843" t="s">
        <v>113</v>
      </c>
      <c r="C2843" t="s">
        <v>3014</v>
      </c>
      <c r="D2843">
        <v>1</v>
      </c>
      <c r="E2843" s="358">
        <v>4</v>
      </c>
      <c r="F2843" s="358" t="s">
        <v>7</v>
      </c>
      <c r="G2843" s="358" t="s">
        <v>11</v>
      </c>
      <c r="H2843" s="358" t="s">
        <v>11</v>
      </c>
    </row>
    <row r="2844" spans="1:8" x14ac:dyDescent="0.3">
      <c r="A2844" t="s">
        <v>59</v>
      </c>
      <c r="B2844" t="s">
        <v>113</v>
      </c>
      <c r="C2844" t="s">
        <v>2022</v>
      </c>
      <c r="D2844">
        <v>1</v>
      </c>
      <c r="E2844" s="358">
        <v>4</v>
      </c>
      <c r="F2844" s="358" t="s">
        <v>7</v>
      </c>
      <c r="G2844" s="358" t="s">
        <v>11</v>
      </c>
      <c r="H2844" s="358" t="s">
        <v>11</v>
      </c>
    </row>
    <row r="2845" spans="1:8" x14ac:dyDescent="0.3">
      <c r="A2845" t="s">
        <v>59</v>
      </c>
      <c r="B2845" t="s">
        <v>113</v>
      </c>
      <c r="C2845" t="s">
        <v>2126</v>
      </c>
      <c r="D2845">
        <v>3</v>
      </c>
      <c r="E2845" s="358">
        <v>4</v>
      </c>
      <c r="F2845" s="358" t="s">
        <v>7</v>
      </c>
      <c r="G2845" s="358" t="s">
        <v>11</v>
      </c>
      <c r="H2845" s="358" t="s">
        <v>11</v>
      </c>
    </row>
    <row r="2846" spans="1:8" x14ac:dyDescent="0.3">
      <c r="A2846" t="s">
        <v>59</v>
      </c>
      <c r="B2846" t="s">
        <v>113</v>
      </c>
      <c r="C2846" t="s">
        <v>1433</v>
      </c>
      <c r="D2846">
        <v>2</v>
      </c>
      <c r="E2846" s="358">
        <v>4</v>
      </c>
      <c r="F2846" s="358" t="s">
        <v>7</v>
      </c>
      <c r="G2846" s="358" t="s">
        <v>11</v>
      </c>
      <c r="H2846" s="358" t="s">
        <v>11</v>
      </c>
    </row>
    <row r="2847" spans="1:8" x14ac:dyDescent="0.3">
      <c r="A2847" t="s">
        <v>59</v>
      </c>
      <c r="B2847" t="s">
        <v>113</v>
      </c>
      <c r="C2847" t="s">
        <v>3015</v>
      </c>
      <c r="D2847">
        <v>3</v>
      </c>
      <c r="E2847" s="358">
        <v>4</v>
      </c>
      <c r="F2847" s="358" t="s">
        <v>7</v>
      </c>
      <c r="G2847" s="358" t="s">
        <v>11</v>
      </c>
      <c r="H2847" s="358" t="s">
        <v>11</v>
      </c>
    </row>
    <row r="2848" spans="1:8" x14ac:dyDescent="0.3">
      <c r="A2848" t="s">
        <v>59</v>
      </c>
      <c r="B2848" t="s">
        <v>113</v>
      </c>
      <c r="C2848" t="s">
        <v>1613</v>
      </c>
      <c r="D2848">
        <v>2</v>
      </c>
      <c r="E2848" s="358">
        <v>4</v>
      </c>
      <c r="F2848" s="358" t="s">
        <v>7</v>
      </c>
      <c r="G2848" s="358" t="s">
        <v>11</v>
      </c>
      <c r="H2848" s="358" t="s">
        <v>11</v>
      </c>
    </row>
    <row r="2849" spans="1:8" x14ac:dyDescent="0.3">
      <c r="A2849" t="s">
        <v>59</v>
      </c>
      <c r="B2849" t="s">
        <v>113</v>
      </c>
      <c r="C2849" t="s">
        <v>3016</v>
      </c>
      <c r="D2849">
        <v>2</v>
      </c>
      <c r="E2849" s="358">
        <v>4</v>
      </c>
      <c r="F2849" s="358" t="s">
        <v>7</v>
      </c>
      <c r="G2849" s="358" t="s">
        <v>11</v>
      </c>
      <c r="H2849" s="358" t="s">
        <v>11</v>
      </c>
    </row>
    <row r="2850" spans="1:8" x14ac:dyDescent="0.3">
      <c r="A2850" t="s">
        <v>59</v>
      </c>
      <c r="B2850" t="s">
        <v>113</v>
      </c>
      <c r="C2850" t="s">
        <v>3017</v>
      </c>
      <c r="D2850">
        <v>3</v>
      </c>
      <c r="E2850" s="358">
        <v>4</v>
      </c>
      <c r="F2850" s="358" t="s">
        <v>7</v>
      </c>
      <c r="G2850" s="358" t="s">
        <v>11</v>
      </c>
      <c r="H2850" s="358" t="s">
        <v>11</v>
      </c>
    </row>
    <row r="2851" spans="1:8" x14ac:dyDescent="0.3">
      <c r="A2851" t="s">
        <v>59</v>
      </c>
      <c r="B2851" t="s">
        <v>113</v>
      </c>
      <c r="C2851" t="s">
        <v>2735</v>
      </c>
      <c r="D2851">
        <v>1</v>
      </c>
      <c r="E2851" s="358">
        <v>4</v>
      </c>
      <c r="F2851" s="358" t="s">
        <v>7</v>
      </c>
      <c r="G2851" s="358" t="s">
        <v>11</v>
      </c>
      <c r="H2851" s="358" t="s">
        <v>11</v>
      </c>
    </row>
    <row r="2852" spans="1:8" x14ac:dyDescent="0.3">
      <c r="A2852" t="s">
        <v>59</v>
      </c>
      <c r="B2852" t="s">
        <v>113</v>
      </c>
      <c r="C2852" t="s">
        <v>1327</v>
      </c>
      <c r="D2852">
        <v>1</v>
      </c>
      <c r="E2852" s="358">
        <v>4</v>
      </c>
      <c r="F2852" s="358" t="s">
        <v>7</v>
      </c>
      <c r="G2852" s="358" t="s">
        <v>11</v>
      </c>
      <c r="H2852" s="358" t="s">
        <v>11</v>
      </c>
    </row>
    <row r="2853" spans="1:8" x14ac:dyDescent="0.3">
      <c r="A2853" t="s">
        <v>59</v>
      </c>
      <c r="B2853" t="s">
        <v>113</v>
      </c>
      <c r="C2853" t="s">
        <v>3018</v>
      </c>
      <c r="D2853">
        <v>3</v>
      </c>
      <c r="E2853" s="358">
        <v>4</v>
      </c>
      <c r="F2853" s="358" t="s">
        <v>7</v>
      </c>
      <c r="G2853" s="358" t="s">
        <v>11</v>
      </c>
      <c r="H2853" s="358" t="s">
        <v>11</v>
      </c>
    </row>
    <row r="2854" spans="1:8" x14ac:dyDescent="0.3">
      <c r="A2854" t="s">
        <v>59</v>
      </c>
      <c r="B2854" t="s">
        <v>113</v>
      </c>
      <c r="C2854" t="s">
        <v>3019</v>
      </c>
      <c r="D2854">
        <v>1</v>
      </c>
      <c r="E2854" s="358">
        <v>4</v>
      </c>
      <c r="F2854" s="358" t="s">
        <v>7</v>
      </c>
      <c r="G2854" s="358" t="s">
        <v>11</v>
      </c>
      <c r="H2854" s="358" t="s">
        <v>11</v>
      </c>
    </row>
    <row r="2855" spans="1:8" x14ac:dyDescent="0.3">
      <c r="A2855" t="s">
        <v>59</v>
      </c>
      <c r="B2855" t="s">
        <v>113</v>
      </c>
      <c r="C2855" t="s">
        <v>2644</v>
      </c>
      <c r="D2855">
        <v>1</v>
      </c>
      <c r="E2855" s="358">
        <v>4</v>
      </c>
      <c r="F2855" s="358" t="s">
        <v>7</v>
      </c>
      <c r="G2855" s="358" t="s">
        <v>11</v>
      </c>
      <c r="H2855" s="358" t="s">
        <v>11</v>
      </c>
    </row>
    <row r="2856" spans="1:8" x14ac:dyDescent="0.3">
      <c r="A2856" t="s">
        <v>59</v>
      </c>
      <c r="B2856" t="s">
        <v>113</v>
      </c>
      <c r="C2856" t="s">
        <v>3020</v>
      </c>
      <c r="D2856">
        <v>2</v>
      </c>
      <c r="E2856" s="358">
        <v>4</v>
      </c>
      <c r="F2856" s="358" t="s">
        <v>7</v>
      </c>
      <c r="G2856" s="358" t="s">
        <v>11</v>
      </c>
      <c r="H2856" s="358" t="s">
        <v>11</v>
      </c>
    </row>
    <row r="2857" spans="1:8" x14ac:dyDescent="0.3">
      <c r="A2857" t="s">
        <v>59</v>
      </c>
      <c r="B2857" t="s">
        <v>113</v>
      </c>
      <c r="C2857" t="s">
        <v>1812</v>
      </c>
      <c r="D2857">
        <v>1</v>
      </c>
      <c r="E2857" s="358">
        <v>4</v>
      </c>
      <c r="F2857" s="358" t="s">
        <v>7</v>
      </c>
      <c r="G2857" s="358" t="s">
        <v>11</v>
      </c>
      <c r="H2857" s="358" t="s">
        <v>11</v>
      </c>
    </row>
    <row r="2858" spans="1:8" x14ac:dyDescent="0.3">
      <c r="A2858" t="s">
        <v>59</v>
      </c>
      <c r="B2858" t="s">
        <v>113</v>
      </c>
      <c r="C2858" t="s">
        <v>3021</v>
      </c>
      <c r="D2858">
        <v>1</v>
      </c>
      <c r="E2858" s="358">
        <v>4</v>
      </c>
      <c r="F2858" s="358" t="s">
        <v>7</v>
      </c>
      <c r="G2858" s="358" t="s">
        <v>11</v>
      </c>
      <c r="H2858" s="358" t="s">
        <v>11</v>
      </c>
    </row>
    <row r="2859" spans="1:8" x14ac:dyDescent="0.3">
      <c r="A2859" t="s">
        <v>59</v>
      </c>
      <c r="B2859" t="s">
        <v>113</v>
      </c>
      <c r="C2859" t="s">
        <v>3022</v>
      </c>
      <c r="D2859">
        <v>2</v>
      </c>
      <c r="E2859" s="358">
        <v>4</v>
      </c>
      <c r="F2859" s="358" t="s">
        <v>7</v>
      </c>
      <c r="G2859" s="358" t="s">
        <v>11</v>
      </c>
      <c r="H2859" s="358" t="s">
        <v>11</v>
      </c>
    </row>
    <row r="2860" spans="1:8" x14ac:dyDescent="0.3">
      <c r="A2860" t="s">
        <v>59</v>
      </c>
      <c r="B2860" t="s">
        <v>113</v>
      </c>
      <c r="C2860" t="s">
        <v>3023</v>
      </c>
      <c r="D2860">
        <v>1</v>
      </c>
      <c r="E2860" s="358">
        <v>4</v>
      </c>
      <c r="F2860" s="358" t="s">
        <v>7</v>
      </c>
      <c r="G2860" s="358" t="s">
        <v>11</v>
      </c>
      <c r="H2860" s="358" t="s">
        <v>11</v>
      </c>
    </row>
    <row r="2861" spans="1:8" x14ac:dyDescent="0.3">
      <c r="A2861" t="s">
        <v>59</v>
      </c>
      <c r="B2861" t="s">
        <v>113</v>
      </c>
      <c r="C2861" t="s">
        <v>2142</v>
      </c>
      <c r="D2861">
        <v>3</v>
      </c>
      <c r="E2861" s="358">
        <v>4</v>
      </c>
      <c r="F2861" s="358" t="s">
        <v>7</v>
      </c>
      <c r="G2861" s="358" t="s">
        <v>11</v>
      </c>
      <c r="H2861" s="358" t="s">
        <v>11</v>
      </c>
    </row>
    <row r="2862" spans="1:8" x14ac:dyDescent="0.3">
      <c r="A2862" t="s">
        <v>59</v>
      </c>
      <c r="B2862" t="s">
        <v>113</v>
      </c>
      <c r="C2862" t="s">
        <v>3024</v>
      </c>
      <c r="D2862">
        <v>1</v>
      </c>
      <c r="E2862" s="358">
        <v>4</v>
      </c>
      <c r="F2862" s="358" t="s">
        <v>7</v>
      </c>
      <c r="G2862" s="358" t="s">
        <v>11</v>
      </c>
      <c r="H2862" s="358" t="s">
        <v>11</v>
      </c>
    </row>
    <row r="2863" spans="1:8" x14ac:dyDescent="0.3">
      <c r="A2863" t="s">
        <v>59</v>
      </c>
      <c r="B2863" t="s">
        <v>113</v>
      </c>
      <c r="C2863" t="s">
        <v>3025</v>
      </c>
      <c r="D2863">
        <v>1</v>
      </c>
      <c r="E2863" s="358">
        <v>4</v>
      </c>
      <c r="F2863" s="358" t="s">
        <v>7</v>
      </c>
      <c r="G2863" s="358" t="s">
        <v>11</v>
      </c>
      <c r="H2863" s="358" t="s">
        <v>11</v>
      </c>
    </row>
    <row r="2864" spans="1:8" x14ac:dyDescent="0.3">
      <c r="A2864" t="s">
        <v>59</v>
      </c>
      <c r="B2864" t="s">
        <v>113</v>
      </c>
      <c r="C2864" t="s">
        <v>3026</v>
      </c>
      <c r="D2864">
        <v>1</v>
      </c>
      <c r="E2864" s="358">
        <v>4</v>
      </c>
      <c r="F2864" s="358" t="s">
        <v>7</v>
      </c>
      <c r="G2864" s="358" t="s">
        <v>11</v>
      </c>
      <c r="H2864" s="358" t="s">
        <v>11</v>
      </c>
    </row>
    <row r="2865" spans="1:8" x14ac:dyDescent="0.3">
      <c r="A2865" t="s">
        <v>59</v>
      </c>
      <c r="B2865" t="s">
        <v>113</v>
      </c>
      <c r="C2865" t="s">
        <v>3027</v>
      </c>
      <c r="D2865">
        <v>2</v>
      </c>
      <c r="E2865" s="358">
        <v>4</v>
      </c>
      <c r="F2865" s="358" t="s">
        <v>7</v>
      </c>
      <c r="G2865" s="358" t="s">
        <v>11</v>
      </c>
      <c r="H2865" s="358" t="s">
        <v>11</v>
      </c>
    </row>
    <row r="2866" spans="1:8" x14ac:dyDescent="0.3">
      <c r="A2866" t="s">
        <v>59</v>
      </c>
      <c r="B2866" t="s">
        <v>113</v>
      </c>
      <c r="C2866" t="s">
        <v>1698</v>
      </c>
      <c r="D2866">
        <v>2</v>
      </c>
      <c r="E2866" s="358">
        <v>4</v>
      </c>
      <c r="F2866" s="358" t="s">
        <v>7</v>
      </c>
      <c r="G2866" s="358" t="s">
        <v>11</v>
      </c>
      <c r="H2866" s="358" t="s">
        <v>11</v>
      </c>
    </row>
    <row r="2867" spans="1:8" x14ac:dyDescent="0.3">
      <c r="A2867" t="s">
        <v>59</v>
      </c>
      <c r="B2867" t="s">
        <v>113</v>
      </c>
      <c r="C2867" t="s">
        <v>3028</v>
      </c>
      <c r="D2867">
        <v>1</v>
      </c>
      <c r="E2867" s="358">
        <v>4</v>
      </c>
      <c r="F2867" s="358" t="s">
        <v>7</v>
      </c>
      <c r="G2867" s="358" t="s">
        <v>11</v>
      </c>
      <c r="H2867" s="358" t="s">
        <v>11</v>
      </c>
    </row>
    <row r="2868" spans="1:8" x14ac:dyDescent="0.3">
      <c r="A2868" t="s">
        <v>59</v>
      </c>
      <c r="B2868" t="s">
        <v>113</v>
      </c>
      <c r="C2868" t="s">
        <v>1344</v>
      </c>
      <c r="D2868">
        <v>2</v>
      </c>
      <c r="E2868" s="358">
        <v>4</v>
      </c>
      <c r="F2868" s="358" t="s">
        <v>7</v>
      </c>
      <c r="G2868" s="358" t="s">
        <v>11</v>
      </c>
      <c r="H2868" s="358" t="s">
        <v>11</v>
      </c>
    </row>
    <row r="2869" spans="1:8" x14ac:dyDescent="0.3">
      <c r="A2869" t="s">
        <v>59</v>
      </c>
      <c r="B2869" t="s">
        <v>113</v>
      </c>
      <c r="C2869" t="s">
        <v>3029</v>
      </c>
      <c r="D2869">
        <v>2</v>
      </c>
      <c r="E2869" s="358">
        <v>4</v>
      </c>
      <c r="F2869" s="358" t="s">
        <v>7</v>
      </c>
      <c r="G2869" s="358" t="s">
        <v>11</v>
      </c>
      <c r="H2869" s="358" t="s">
        <v>11</v>
      </c>
    </row>
    <row r="2870" spans="1:8" x14ac:dyDescent="0.3">
      <c r="A2870" t="s">
        <v>59</v>
      </c>
      <c r="B2870" t="s">
        <v>113</v>
      </c>
      <c r="C2870" t="s">
        <v>2130</v>
      </c>
      <c r="D2870">
        <v>1</v>
      </c>
      <c r="E2870" s="358">
        <v>4</v>
      </c>
      <c r="F2870" s="358" t="s">
        <v>7</v>
      </c>
      <c r="G2870" s="358" t="s">
        <v>11</v>
      </c>
      <c r="H2870" s="358" t="s">
        <v>11</v>
      </c>
    </row>
    <row r="2871" spans="1:8" x14ac:dyDescent="0.3">
      <c r="A2871" t="s">
        <v>59</v>
      </c>
      <c r="B2871" t="s">
        <v>113</v>
      </c>
      <c r="C2871" t="s">
        <v>3030</v>
      </c>
      <c r="D2871">
        <v>1</v>
      </c>
      <c r="E2871" s="358">
        <v>4</v>
      </c>
      <c r="F2871" s="358" t="s">
        <v>7</v>
      </c>
      <c r="G2871" s="358" t="s">
        <v>11</v>
      </c>
      <c r="H2871" s="358" t="s">
        <v>11</v>
      </c>
    </row>
    <row r="2872" spans="1:8" x14ac:dyDescent="0.3">
      <c r="A2872" t="s">
        <v>59</v>
      </c>
      <c r="B2872" t="s">
        <v>113</v>
      </c>
      <c r="C2872" t="s">
        <v>3031</v>
      </c>
      <c r="D2872">
        <v>2</v>
      </c>
      <c r="E2872" s="358">
        <v>4</v>
      </c>
      <c r="F2872" s="358" t="s">
        <v>7</v>
      </c>
      <c r="G2872" s="358" t="s">
        <v>11</v>
      </c>
      <c r="H2872" s="358" t="s">
        <v>11</v>
      </c>
    </row>
    <row r="2873" spans="1:8" x14ac:dyDescent="0.3">
      <c r="A2873" t="s">
        <v>59</v>
      </c>
      <c r="B2873" t="s">
        <v>113</v>
      </c>
      <c r="C2873" t="s">
        <v>2800</v>
      </c>
      <c r="D2873">
        <v>1</v>
      </c>
      <c r="E2873" s="358">
        <v>4</v>
      </c>
      <c r="F2873" s="358" t="s">
        <v>7</v>
      </c>
      <c r="G2873" s="358" t="s">
        <v>11</v>
      </c>
      <c r="H2873" s="358" t="s">
        <v>11</v>
      </c>
    </row>
    <row r="2874" spans="1:8" x14ac:dyDescent="0.3">
      <c r="A2874" t="s">
        <v>59</v>
      </c>
      <c r="B2874" t="s">
        <v>113</v>
      </c>
      <c r="C2874" t="s">
        <v>2444</v>
      </c>
      <c r="D2874">
        <v>3</v>
      </c>
      <c r="E2874" s="358">
        <v>4</v>
      </c>
      <c r="F2874" s="358" t="s">
        <v>7</v>
      </c>
      <c r="G2874" s="358" t="s">
        <v>11</v>
      </c>
      <c r="H2874" s="358" t="s">
        <v>11</v>
      </c>
    </row>
    <row r="2875" spans="1:8" x14ac:dyDescent="0.3">
      <c r="A2875" t="s">
        <v>59</v>
      </c>
      <c r="B2875" t="s">
        <v>113</v>
      </c>
      <c r="C2875" t="s">
        <v>3032</v>
      </c>
      <c r="D2875">
        <v>1</v>
      </c>
      <c r="E2875" s="358">
        <v>4</v>
      </c>
      <c r="F2875" s="358" t="s">
        <v>7</v>
      </c>
      <c r="G2875" s="358" t="s">
        <v>11</v>
      </c>
      <c r="H2875" s="358" t="s">
        <v>11</v>
      </c>
    </row>
    <row r="2876" spans="1:8" x14ac:dyDescent="0.3">
      <c r="A2876" t="s">
        <v>59</v>
      </c>
      <c r="B2876" t="s">
        <v>113</v>
      </c>
      <c r="C2876" t="s">
        <v>2032</v>
      </c>
      <c r="D2876">
        <v>2</v>
      </c>
      <c r="E2876" s="358">
        <v>4</v>
      </c>
      <c r="F2876" s="358" t="s">
        <v>7</v>
      </c>
      <c r="G2876" s="358" t="s">
        <v>11</v>
      </c>
      <c r="H2876" s="358" t="s">
        <v>11</v>
      </c>
    </row>
    <row r="2877" spans="1:8" x14ac:dyDescent="0.3">
      <c r="A2877" t="s">
        <v>59</v>
      </c>
      <c r="B2877" t="s">
        <v>113</v>
      </c>
      <c r="C2877" t="s">
        <v>1346</v>
      </c>
      <c r="D2877">
        <v>2</v>
      </c>
      <c r="E2877" s="358">
        <v>4</v>
      </c>
      <c r="F2877" s="358" t="s">
        <v>7</v>
      </c>
      <c r="G2877" s="358" t="s">
        <v>11</v>
      </c>
      <c r="H2877" s="358" t="s">
        <v>11</v>
      </c>
    </row>
    <row r="2878" spans="1:8" x14ac:dyDescent="0.3">
      <c r="A2878" t="s">
        <v>59</v>
      </c>
      <c r="B2878" t="s">
        <v>113</v>
      </c>
      <c r="C2878" t="s">
        <v>3033</v>
      </c>
      <c r="D2878">
        <v>3</v>
      </c>
      <c r="E2878" s="358">
        <v>4</v>
      </c>
      <c r="F2878" s="358" t="s">
        <v>7</v>
      </c>
      <c r="G2878" s="358" t="s">
        <v>11</v>
      </c>
      <c r="H2878" s="358" t="s">
        <v>11</v>
      </c>
    </row>
    <row r="2879" spans="1:8" x14ac:dyDescent="0.3">
      <c r="A2879" t="s">
        <v>59</v>
      </c>
      <c r="B2879" t="s">
        <v>113</v>
      </c>
      <c r="C2879" t="s">
        <v>2533</v>
      </c>
      <c r="D2879">
        <v>2</v>
      </c>
      <c r="E2879" s="358">
        <v>4</v>
      </c>
      <c r="F2879" s="358" t="s">
        <v>7</v>
      </c>
      <c r="G2879" s="358" t="s">
        <v>11</v>
      </c>
      <c r="H2879" s="358" t="s">
        <v>11</v>
      </c>
    </row>
    <row r="2880" spans="1:8" x14ac:dyDescent="0.3">
      <c r="A2880" t="s">
        <v>59</v>
      </c>
      <c r="B2880" t="s">
        <v>113</v>
      </c>
      <c r="C2880" t="s">
        <v>3034</v>
      </c>
      <c r="D2880">
        <v>3</v>
      </c>
      <c r="E2880" s="358">
        <v>4</v>
      </c>
      <c r="F2880" s="358" t="s">
        <v>7</v>
      </c>
      <c r="G2880" s="358" t="s">
        <v>11</v>
      </c>
      <c r="H2880" s="358" t="s">
        <v>11</v>
      </c>
    </row>
    <row r="2881" spans="1:8" x14ac:dyDescent="0.3">
      <c r="A2881" t="s">
        <v>59</v>
      </c>
      <c r="B2881" t="s">
        <v>113</v>
      </c>
      <c r="C2881" t="s">
        <v>3035</v>
      </c>
      <c r="D2881">
        <v>3</v>
      </c>
      <c r="E2881" s="358">
        <v>4</v>
      </c>
      <c r="F2881" s="358" t="s">
        <v>7</v>
      </c>
      <c r="G2881" s="358" t="s">
        <v>11</v>
      </c>
      <c r="H2881" s="358" t="s">
        <v>11</v>
      </c>
    </row>
    <row r="2882" spans="1:8" x14ac:dyDescent="0.3">
      <c r="A2882" t="s">
        <v>59</v>
      </c>
      <c r="B2882" t="s">
        <v>113</v>
      </c>
      <c r="C2882" t="s">
        <v>3036</v>
      </c>
      <c r="D2882">
        <v>1</v>
      </c>
      <c r="E2882" s="358">
        <v>4</v>
      </c>
      <c r="F2882" s="358" t="s">
        <v>7</v>
      </c>
      <c r="G2882" s="358" t="s">
        <v>11</v>
      </c>
      <c r="H2882" s="358" t="s">
        <v>11</v>
      </c>
    </row>
    <row r="2883" spans="1:8" x14ac:dyDescent="0.3">
      <c r="A2883" t="s">
        <v>59</v>
      </c>
      <c r="B2883" t="s">
        <v>113</v>
      </c>
      <c r="C2883" t="s">
        <v>3037</v>
      </c>
      <c r="D2883">
        <v>3</v>
      </c>
      <c r="E2883" s="358">
        <v>4</v>
      </c>
      <c r="F2883" s="358" t="s">
        <v>7</v>
      </c>
      <c r="G2883" s="358" t="s">
        <v>11</v>
      </c>
      <c r="H2883" s="358" t="s">
        <v>11</v>
      </c>
    </row>
    <row r="2884" spans="1:8" x14ac:dyDescent="0.3">
      <c r="A2884" t="s">
        <v>59</v>
      </c>
      <c r="B2884" t="s">
        <v>113</v>
      </c>
      <c r="C2884" t="s">
        <v>1348</v>
      </c>
      <c r="D2884">
        <v>1</v>
      </c>
      <c r="E2884" s="358">
        <v>4</v>
      </c>
      <c r="F2884" s="358" t="s">
        <v>7</v>
      </c>
      <c r="G2884" s="358" t="s">
        <v>11</v>
      </c>
      <c r="H2884" s="358" t="s">
        <v>11</v>
      </c>
    </row>
    <row r="2885" spans="1:8" x14ac:dyDescent="0.3">
      <c r="A2885" t="s">
        <v>59</v>
      </c>
      <c r="B2885" t="s">
        <v>113</v>
      </c>
      <c r="C2885" t="s">
        <v>2615</v>
      </c>
      <c r="D2885">
        <v>1</v>
      </c>
      <c r="E2885" s="358">
        <v>4</v>
      </c>
      <c r="F2885" s="358" t="s">
        <v>7</v>
      </c>
      <c r="G2885" s="358" t="s">
        <v>11</v>
      </c>
      <c r="H2885" s="358" t="s">
        <v>11</v>
      </c>
    </row>
    <row r="2886" spans="1:8" x14ac:dyDescent="0.3">
      <c r="A2886" t="s">
        <v>59</v>
      </c>
      <c r="B2886" t="s">
        <v>113</v>
      </c>
      <c r="C2886" t="s">
        <v>3038</v>
      </c>
      <c r="D2886">
        <v>3</v>
      </c>
      <c r="E2886" s="358">
        <v>4</v>
      </c>
      <c r="F2886" s="358" t="s">
        <v>7</v>
      </c>
      <c r="G2886" s="358" t="s">
        <v>11</v>
      </c>
      <c r="H2886" s="358" t="s">
        <v>11</v>
      </c>
    </row>
    <row r="2887" spans="1:8" x14ac:dyDescent="0.3">
      <c r="A2887" t="s">
        <v>59</v>
      </c>
      <c r="B2887" t="s">
        <v>113</v>
      </c>
      <c r="C2887" t="s">
        <v>3039</v>
      </c>
      <c r="D2887">
        <v>3</v>
      </c>
      <c r="E2887" s="358">
        <v>4</v>
      </c>
      <c r="F2887" s="358" t="s">
        <v>7</v>
      </c>
      <c r="G2887" s="358" t="s">
        <v>11</v>
      </c>
      <c r="H2887" s="358" t="s">
        <v>11</v>
      </c>
    </row>
    <row r="2888" spans="1:8" x14ac:dyDescent="0.3">
      <c r="A2888" t="s">
        <v>59</v>
      </c>
      <c r="B2888" t="s">
        <v>113</v>
      </c>
      <c r="C2888" t="s">
        <v>3040</v>
      </c>
      <c r="D2888">
        <v>3</v>
      </c>
      <c r="E2888" s="358">
        <v>4</v>
      </c>
      <c r="F2888" s="358" t="s">
        <v>7</v>
      </c>
      <c r="G2888" s="358" t="s">
        <v>11</v>
      </c>
      <c r="H2888" s="358" t="s">
        <v>11</v>
      </c>
    </row>
    <row r="2889" spans="1:8" x14ac:dyDescent="0.3">
      <c r="A2889" t="s">
        <v>59</v>
      </c>
      <c r="B2889" t="s">
        <v>113</v>
      </c>
      <c r="C2889" t="s">
        <v>3041</v>
      </c>
      <c r="D2889">
        <v>3</v>
      </c>
      <c r="E2889" s="358">
        <v>4</v>
      </c>
      <c r="F2889" s="358" t="s">
        <v>7</v>
      </c>
      <c r="G2889" s="358" t="s">
        <v>11</v>
      </c>
      <c r="H2889" s="358" t="s">
        <v>11</v>
      </c>
    </row>
    <row r="2890" spans="1:8" x14ac:dyDescent="0.3">
      <c r="A2890" t="s">
        <v>59</v>
      </c>
      <c r="B2890" t="s">
        <v>113</v>
      </c>
      <c r="C2890" t="s">
        <v>3042</v>
      </c>
      <c r="D2890">
        <v>3</v>
      </c>
      <c r="E2890" s="358">
        <v>4</v>
      </c>
      <c r="F2890" s="358" t="s">
        <v>7</v>
      </c>
      <c r="G2890" s="358" t="s">
        <v>11</v>
      </c>
      <c r="H2890" s="358" t="s">
        <v>11</v>
      </c>
    </row>
    <row r="2891" spans="1:8" x14ac:dyDescent="0.3">
      <c r="A2891" t="s">
        <v>59</v>
      </c>
      <c r="B2891" t="s">
        <v>113</v>
      </c>
      <c r="C2891" t="s">
        <v>3043</v>
      </c>
      <c r="D2891">
        <v>3</v>
      </c>
      <c r="E2891" s="358">
        <v>4</v>
      </c>
      <c r="F2891" s="358" t="s">
        <v>7</v>
      </c>
      <c r="G2891" s="358" t="s">
        <v>11</v>
      </c>
      <c r="H2891" s="358" t="s">
        <v>11</v>
      </c>
    </row>
    <row r="2892" spans="1:8" x14ac:dyDescent="0.3">
      <c r="A2892" t="s">
        <v>59</v>
      </c>
      <c r="B2892" t="s">
        <v>113</v>
      </c>
      <c r="C2892" t="s">
        <v>2407</v>
      </c>
      <c r="D2892">
        <v>3</v>
      </c>
      <c r="E2892" s="358">
        <v>4</v>
      </c>
      <c r="F2892" s="358" t="s">
        <v>7</v>
      </c>
      <c r="G2892" s="358" t="s">
        <v>11</v>
      </c>
      <c r="H2892" s="358" t="s">
        <v>11</v>
      </c>
    </row>
    <row r="2893" spans="1:8" x14ac:dyDescent="0.3">
      <c r="A2893" t="s">
        <v>59</v>
      </c>
      <c r="B2893" t="s">
        <v>113</v>
      </c>
      <c r="C2893" t="s">
        <v>1355</v>
      </c>
      <c r="D2893">
        <v>1</v>
      </c>
      <c r="E2893" s="358">
        <v>4</v>
      </c>
      <c r="F2893" s="358" t="s">
        <v>7</v>
      </c>
      <c r="G2893" s="358" t="s">
        <v>11</v>
      </c>
      <c r="H2893" s="358" t="s">
        <v>11</v>
      </c>
    </row>
    <row r="2894" spans="1:8" x14ac:dyDescent="0.3">
      <c r="A2894" t="s">
        <v>59</v>
      </c>
      <c r="B2894" t="s">
        <v>113</v>
      </c>
      <c r="C2894" t="s">
        <v>3044</v>
      </c>
      <c r="D2894">
        <v>1</v>
      </c>
      <c r="E2894" s="358">
        <v>4</v>
      </c>
      <c r="F2894" s="358" t="s">
        <v>7</v>
      </c>
      <c r="G2894" s="358" t="s">
        <v>11</v>
      </c>
      <c r="H2894" s="358" t="s">
        <v>11</v>
      </c>
    </row>
    <row r="2895" spans="1:8" x14ac:dyDescent="0.3">
      <c r="A2895" t="s">
        <v>59</v>
      </c>
      <c r="B2895" t="s">
        <v>113</v>
      </c>
      <c r="C2895" t="s">
        <v>3045</v>
      </c>
      <c r="D2895">
        <v>2</v>
      </c>
      <c r="E2895" s="358">
        <v>4</v>
      </c>
      <c r="F2895" s="358" t="s">
        <v>7</v>
      </c>
      <c r="G2895" s="358" t="s">
        <v>11</v>
      </c>
      <c r="H2895" s="358" t="s">
        <v>11</v>
      </c>
    </row>
    <row r="2896" spans="1:8" x14ac:dyDescent="0.3">
      <c r="A2896" t="s">
        <v>59</v>
      </c>
      <c r="B2896" t="s">
        <v>113</v>
      </c>
      <c r="C2896" t="s">
        <v>1920</v>
      </c>
      <c r="D2896">
        <v>1</v>
      </c>
      <c r="E2896" s="358">
        <v>4</v>
      </c>
      <c r="F2896" s="358" t="s">
        <v>7</v>
      </c>
      <c r="G2896" s="358" t="s">
        <v>11</v>
      </c>
      <c r="H2896" s="358" t="s">
        <v>11</v>
      </c>
    </row>
    <row r="2897" spans="1:8" x14ac:dyDescent="0.3">
      <c r="A2897" t="s">
        <v>59</v>
      </c>
      <c r="B2897" t="s">
        <v>113</v>
      </c>
      <c r="C2897" t="s">
        <v>3046</v>
      </c>
      <c r="D2897">
        <v>2</v>
      </c>
      <c r="E2897" s="358">
        <v>4</v>
      </c>
      <c r="F2897" s="358" t="s">
        <v>7</v>
      </c>
      <c r="G2897" s="358" t="s">
        <v>11</v>
      </c>
      <c r="H2897" s="358" t="s">
        <v>11</v>
      </c>
    </row>
    <row r="2898" spans="1:8" x14ac:dyDescent="0.3">
      <c r="A2898" t="s">
        <v>59</v>
      </c>
      <c r="B2898" t="s">
        <v>113</v>
      </c>
      <c r="C2898" t="s">
        <v>3047</v>
      </c>
      <c r="D2898">
        <v>2</v>
      </c>
      <c r="E2898" s="358">
        <v>4</v>
      </c>
      <c r="F2898" s="358" t="s">
        <v>7</v>
      </c>
      <c r="G2898" s="358" t="s">
        <v>11</v>
      </c>
      <c r="H2898" s="358" t="s">
        <v>11</v>
      </c>
    </row>
    <row r="2899" spans="1:8" x14ac:dyDescent="0.3">
      <c r="A2899" t="s">
        <v>59</v>
      </c>
      <c r="B2899" t="s">
        <v>113</v>
      </c>
      <c r="C2899" t="s">
        <v>1359</v>
      </c>
      <c r="D2899">
        <v>2</v>
      </c>
      <c r="E2899" s="358">
        <v>4</v>
      </c>
      <c r="F2899" s="358" t="s">
        <v>7</v>
      </c>
      <c r="G2899" s="358" t="s">
        <v>11</v>
      </c>
      <c r="H2899" s="358" t="s">
        <v>11</v>
      </c>
    </row>
    <row r="2900" spans="1:8" x14ac:dyDescent="0.3">
      <c r="A2900" t="s">
        <v>59</v>
      </c>
      <c r="B2900" t="s">
        <v>113</v>
      </c>
      <c r="C2900" t="s">
        <v>3048</v>
      </c>
      <c r="D2900">
        <v>2</v>
      </c>
      <c r="E2900" s="358">
        <v>4</v>
      </c>
      <c r="F2900" s="358" t="s">
        <v>7</v>
      </c>
      <c r="G2900" s="358" t="s">
        <v>11</v>
      </c>
      <c r="H2900" s="358" t="s">
        <v>11</v>
      </c>
    </row>
    <row r="2901" spans="1:8" x14ac:dyDescent="0.3">
      <c r="A2901" t="s">
        <v>59</v>
      </c>
      <c r="B2901" t="s">
        <v>113</v>
      </c>
      <c r="C2901" t="s">
        <v>3049</v>
      </c>
      <c r="D2901">
        <v>2</v>
      </c>
      <c r="E2901" s="358">
        <v>4</v>
      </c>
      <c r="F2901" s="358" t="s">
        <v>7</v>
      </c>
      <c r="G2901" s="358" t="s">
        <v>11</v>
      </c>
      <c r="H2901" s="358" t="s">
        <v>11</v>
      </c>
    </row>
    <row r="2902" spans="1:8" x14ac:dyDescent="0.3">
      <c r="A2902" t="s">
        <v>59</v>
      </c>
      <c r="B2902" t="s">
        <v>113</v>
      </c>
      <c r="C2902" t="s">
        <v>3050</v>
      </c>
      <c r="D2902">
        <v>1</v>
      </c>
      <c r="E2902" s="358">
        <v>4</v>
      </c>
      <c r="F2902" s="358" t="s">
        <v>7</v>
      </c>
      <c r="G2902" s="358" t="s">
        <v>11</v>
      </c>
      <c r="H2902" s="358" t="s">
        <v>11</v>
      </c>
    </row>
    <row r="2903" spans="1:8" x14ac:dyDescent="0.3">
      <c r="A2903" t="s">
        <v>59</v>
      </c>
      <c r="B2903" t="s">
        <v>113</v>
      </c>
      <c r="C2903" t="s">
        <v>3051</v>
      </c>
      <c r="D2903">
        <v>3</v>
      </c>
      <c r="E2903" s="358">
        <v>4</v>
      </c>
      <c r="F2903" s="358" t="s">
        <v>7</v>
      </c>
      <c r="G2903" s="358" t="s">
        <v>11</v>
      </c>
      <c r="H2903" s="358" t="s">
        <v>11</v>
      </c>
    </row>
    <row r="2904" spans="1:8" x14ac:dyDescent="0.3">
      <c r="A2904" t="s">
        <v>59</v>
      </c>
      <c r="B2904" t="s">
        <v>113</v>
      </c>
      <c r="C2904" t="s">
        <v>2543</v>
      </c>
      <c r="D2904">
        <v>2</v>
      </c>
      <c r="E2904" s="358">
        <v>4</v>
      </c>
      <c r="F2904" s="358" t="s">
        <v>7</v>
      </c>
      <c r="G2904" s="358" t="s">
        <v>11</v>
      </c>
      <c r="H2904" s="358" t="s">
        <v>11</v>
      </c>
    </row>
    <row r="2905" spans="1:8" x14ac:dyDescent="0.3">
      <c r="A2905" t="s">
        <v>59</v>
      </c>
      <c r="B2905" t="s">
        <v>113</v>
      </c>
      <c r="C2905" t="s">
        <v>1598</v>
      </c>
      <c r="D2905">
        <v>3</v>
      </c>
      <c r="E2905" s="358">
        <v>4</v>
      </c>
      <c r="F2905" s="358" t="s">
        <v>7</v>
      </c>
      <c r="G2905" s="358" t="s">
        <v>11</v>
      </c>
      <c r="H2905" s="358" t="s">
        <v>11</v>
      </c>
    </row>
    <row r="2906" spans="1:8" x14ac:dyDescent="0.3">
      <c r="A2906" t="s">
        <v>59</v>
      </c>
      <c r="B2906" t="s">
        <v>113</v>
      </c>
      <c r="C2906" t="s">
        <v>1365</v>
      </c>
      <c r="D2906">
        <v>1</v>
      </c>
      <c r="E2906" s="358">
        <v>4</v>
      </c>
      <c r="F2906" s="358" t="s">
        <v>7</v>
      </c>
      <c r="G2906" s="358" t="s">
        <v>11</v>
      </c>
      <c r="H2906" s="358" t="s">
        <v>11</v>
      </c>
    </row>
    <row r="2907" spans="1:8" x14ac:dyDescent="0.3">
      <c r="A2907" t="s">
        <v>59</v>
      </c>
      <c r="B2907" t="s">
        <v>113</v>
      </c>
      <c r="C2907" t="s">
        <v>2051</v>
      </c>
      <c r="D2907">
        <v>2</v>
      </c>
      <c r="E2907" s="358">
        <v>4</v>
      </c>
      <c r="F2907" s="358" t="s">
        <v>7</v>
      </c>
      <c r="G2907" s="358" t="s">
        <v>11</v>
      </c>
      <c r="H2907" s="358" t="s">
        <v>11</v>
      </c>
    </row>
    <row r="2908" spans="1:8" x14ac:dyDescent="0.3">
      <c r="A2908" t="s">
        <v>59</v>
      </c>
      <c r="B2908" t="s">
        <v>113</v>
      </c>
      <c r="C2908" t="s">
        <v>3052</v>
      </c>
      <c r="D2908">
        <v>3</v>
      </c>
      <c r="E2908" s="358">
        <v>4</v>
      </c>
      <c r="F2908" s="358" t="s">
        <v>7</v>
      </c>
      <c r="G2908" s="358" t="s">
        <v>11</v>
      </c>
      <c r="H2908" s="358" t="s">
        <v>11</v>
      </c>
    </row>
    <row r="2909" spans="1:8" x14ac:dyDescent="0.3">
      <c r="A2909" t="s">
        <v>59</v>
      </c>
      <c r="B2909" t="s">
        <v>113</v>
      </c>
      <c r="C2909" t="s">
        <v>3053</v>
      </c>
      <c r="D2909">
        <v>3</v>
      </c>
      <c r="E2909" s="358">
        <v>4</v>
      </c>
      <c r="F2909" s="358" t="s">
        <v>7</v>
      </c>
      <c r="G2909" s="358" t="s">
        <v>11</v>
      </c>
      <c r="H2909" s="358" t="s">
        <v>11</v>
      </c>
    </row>
    <row r="2910" spans="1:8" x14ac:dyDescent="0.3">
      <c r="A2910" t="s">
        <v>59</v>
      </c>
      <c r="B2910" t="s">
        <v>113</v>
      </c>
      <c r="C2910" t="s">
        <v>3054</v>
      </c>
      <c r="D2910">
        <v>3</v>
      </c>
      <c r="E2910" s="358">
        <v>4</v>
      </c>
      <c r="F2910" s="358" t="s">
        <v>7</v>
      </c>
      <c r="G2910" s="358" t="s">
        <v>11</v>
      </c>
      <c r="H2910" s="358" t="s">
        <v>11</v>
      </c>
    </row>
    <row r="2911" spans="1:8" x14ac:dyDescent="0.3">
      <c r="A2911" t="s">
        <v>59</v>
      </c>
      <c r="B2911" t="s">
        <v>113</v>
      </c>
      <c r="C2911" t="s">
        <v>2547</v>
      </c>
      <c r="D2911">
        <v>3</v>
      </c>
      <c r="E2911" s="358">
        <v>4</v>
      </c>
      <c r="F2911" s="358" t="s">
        <v>7</v>
      </c>
      <c r="G2911" s="358" t="s">
        <v>11</v>
      </c>
      <c r="H2911" s="358" t="s">
        <v>11</v>
      </c>
    </row>
    <row r="2912" spans="1:8" x14ac:dyDescent="0.3">
      <c r="A2912" t="s">
        <v>59</v>
      </c>
      <c r="B2912" t="s">
        <v>113</v>
      </c>
      <c r="C2912" t="s">
        <v>2717</v>
      </c>
      <c r="D2912">
        <v>3</v>
      </c>
      <c r="E2912" s="358">
        <v>4</v>
      </c>
      <c r="F2912" s="358" t="s">
        <v>7</v>
      </c>
      <c r="G2912" s="358" t="s">
        <v>11</v>
      </c>
      <c r="H2912" s="358" t="s">
        <v>11</v>
      </c>
    </row>
    <row r="2913" spans="1:8" x14ac:dyDescent="0.3">
      <c r="A2913" t="s">
        <v>59</v>
      </c>
      <c r="B2913" t="s">
        <v>113</v>
      </c>
      <c r="C2913" t="s">
        <v>3055</v>
      </c>
      <c r="D2913">
        <v>2</v>
      </c>
      <c r="E2913" s="358">
        <v>4</v>
      </c>
      <c r="F2913" s="358" t="s">
        <v>7</v>
      </c>
      <c r="G2913" s="358" t="s">
        <v>11</v>
      </c>
      <c r="H2913" s="358" t="s">
        <v>11</v>
      </c>
    </row>
    <row r="2914" spans="1:8" x14ac:dyDescent="0.3">
      <c r="A2914" t="s">
        <v>59</v>
      </c>
      <c r="B2914" t="s">
        <v>113</v>
      </c>
      <c r="C2914" t="s">
        <v>3056</v>
      </c>
      <c r="D2914">
        <v>1</v>
      </c>
      <c r="E2914" s="358">
        <v>4</v>
      </c>
      <c r="F2914" s="358" t="s">
        <v>7</v>
      </c>
      <c r="G2914" s="358" t="s">
        <v>11</v>
      </c>
      <c r="H2914" s="358" t="s">
        <v>11</v>
      </c>
    </row>
    <row r="2915" spans="1:8" x14ac:dyDescent="0.3">
      <c r="A2915" t="s">
        <v>59</v>
      </c>
      <c r="B2915" t="s">
        <v>113</v>
      </c>
      <c r="C2915" t="s">
        <v>1512</v>
      </c>
      <c r="D2915">
        <v>1</v>
      </c>
      <c r="E2915" s="358">
        <v>4</v>
      </c>
      <c r="F2915" s="358" t="s">
        <v>7</v>
      </c>
      <c r="G2915" s="358" t="s">
        <v>11</v>
      </c>
      <c r="H2915" s="358" t="s">
        <v>11</v>
      </c>
    </row>
    <row r="2916" spans="1:8" x14ac:dyDescent="0.3">
      <c r="A2916" t="s">
        <v>59</v>
      </c>
      <c r="B2916" t="s">
        <v>113</v>
      </c>
      <c r="C2916" t="s">
        <v>1928</v>
      </c>
      <c r="D2916">
        <v>1</v>
      </c>
      <c r="E2916" s="358">
        <v>4</v>
      </c>
      <c r="F2916" s="358" t="s">
        <v>7</v>
      </c>
      <c r="G2916" s="358" t="s">
        <v>11</v>
      </c>
      <c r="H2916" s="358" t="s">
        <v>11</v>
      </c>
    </row>
    <row r="2917" spans="1:8" x14ac:dyDescent="0.3">
      <c r="A2917" t="s">
        <v>59</v>
      </c>
      <c r="B2917" t="s">
        <v>113</v>
      </c>
      <c r="C2917" t="s">
        <v>3057</v>
      </c>
      <c r="D2917">
        <v>1</v>
      </c>
      <c r="E2917" s="358">
        <v>4</v>
      </c>
      <c r="F2917" s="358" t="s">
        <v>7</v>
      </c>
      <c r="G2917" s="358" t="s">
        <v>11</v>
      </c>
      <c r="H2917" s="358" t="s">
        <v>11</v>
      </c>
    </row>
    <row r="2918" spans="1:8" x14ac:dyDescent="0.3">
      <c r="A2918" t="s">
        <v>59</v>
      </c>
      <c r="B2918" t="s">
        <v>113</v>
      </c>
      <c r="C2918" t="s">
        <v>3058</v>
      </c>
      <c r="D2918">
        <v>3</v>
      </c>
      <c r="E2918" s="358">
        <v>4</v>
      </c>
      <c r="F2918" s="358" t="s">
        <v>7</v>
      </c>
      <c r="G2918" s="358" t="s">
        <v>11</v>
      </c>
      <c r="H2918" s="358" t="s">
        <v>11</v>
      </c>
    </row>
    <row r="2919" spans="1:8" x14ac:dyDescent="0.3">
      <c r="A2919" t="s">
        <v>59</v>
      </c>
      <c r="B2919" t="s">
        <v>113</v>
      </c>
      <c r="C2919" t="s">
        <v>3059</v>
      </c>
      <c r="D2919">
        <v>1</v>
      </c>
      <c r="E2919" s="358">
        <v>4</v>
      </c>
      <c r="F2919" s="358" t="s">
        <v>7</v>
      </c>
      <c r="G2919" s="358" t="s">
        <v>11</v>
      </c>
      <c r="H2919" s="358" t="s">
        <v>11</v>
      </c>
    </row>
    <row r="2920" spans="1:8" x14ac:dyDescent="0.3">
      <c r="A2920" t="s">
        <v>59</v>
      </c>
      <c r="B2920" t="s">
        <v>113</v>
      </c>
      <c r="C2920" t="s">
        <v>3060</v>
      </c>
      <c r="D2920">
        <v>3</v>
      </c>
      <c r="E2920" s="358">
        <v>4</v>
      </c>
      <c r="F2920" s="358" t="s">
        <v>7</v>
      </c>
      <c r="G2920" s="358" t="s">
        <v>11</v>
      </c>
      <c r="H2920" s="358" t="s">
        <v>11</v>
      </c>
    </row>
    <row r="2921" spans="1:8" x14ac:dyDescent="0.3">
      <c r="A2921" t="s">
        <v>59</v>
      </c>
      <c r="B2921" t="s">
        <v>113</v>
      </c>
      <c r="C2921" t="s">
        <v>3061</v>
      </c>
      <c r="D2921">
        <v>3</v>
      </c>
      <c r="E2921" s="358">
        <v>4</v>
      </c>
      <c r="F2921" s="358" t="s">
        <v>7</v>
      </c>
      <c r="G2921" s="358" t="s">
        <v>11</v>
      </c>
      <c r="H2921" s="358" t="s">
        <v>11</v>
      </c>
    </row>
    <row r="2922" spans="1:8" x14ac:dyDescent="0.3">
      <c r="A2922" t="s">
        <v>59</v>
      </c>
      <c r="B2922" t="s">
        <v>113</v>
      </c>
      <c r="C2922" t="s">
        <v>3062</v>
      </c>
      <c r="D2922">
        <v>1</v>
      </c>
      <c r="E2922" s="358">
        <v>4</v>
      </c>
      <c r="F2922" s="358" t="s">
        <v>7</v>
      </c>
      <c r="G2922" s="358" t="s">
        <v>11</v>
      </c>
      <c r="H2922" s="358" t="s">
        <v>11</v>
      </c>
    </row>
    <row r="2923" spans="1:8" x14ac:dyDescent="0.3">
      <c r="A2923" t="s">
        <v>59</v>
      </c>
      <c r="B2923" t="s">
        <v>113</v>
      </c>
      <c r="C2923" t="s">
        <v>3063</v>
      </c>
      <c r="D2923">
        <v>2</v>
      </c>
      <c r="E2923" s="358">
        <v>4</v>
      </c>
      <c r="F2923" s="358" t="s">
        <v>7</v>
      </c>
      <c r="G2923" s="358" t="s">
        <v>11</v>
      </c>
      <c r="H2923" s="358" t="s">
        <v>11</v>
      </c>
    </row>
    <row r="2924" spans="1:8" x14ac:dyDescent="0.3">
      <c r="A2924" t="s">
        <v>59</v>
      </c>
      <c r="B2924" t="s">
        <v>113</v>
      </c>
      <c r="C2924" t="s">
        <v>3064</v>
      </c>
      <c r="D2924">
        <v>3</v>
      </c>
      <c r="E2924" s="358">
        <v>4</v>
      </c>
      <c r="F2924" s="358" t="s">
        <v>7</v>
      </c>
      <c r="G2924" s="358" t="s">
        <v>11</v>
      </c>
      <c r="H2924" s="358" t="s">
        <v>11</v>
      </c>
    </row>
    <row r="2925" spans="1:8" x14ac:dyDescent="0.3">
      <c r="A2925" t="s">
        <v>59</v>
      </c>
      <c r="B2925" t="s">
        <v>113</v>
      </c>
      <c r="C2925" t="s">
        <v>3065</v>
      </c>
      <c r="D2925">
        <v>2</v>
      </c>
      <c r="E2925" s="358">
        <v>4</v>
      </c>
      <c r="F2925" s="358" t="s">
        <v>7</v>
      </c>
      <c r="G2925" s="358" t="s">
        <v>11</v>
      </c>
      <c r="H2925" s="358" t="s">
        <v>11</v>
      </c>
    </row>
    <row r="2926" spans="1:8" x14ac:dyDescent="0.3">
      <c r="A2926" t="s">
        <v>59</v>
      </c>
      <c r="B2926" t="s">
        <v>113</v>
      </c>
      <c r="C2926" t="s">
        <v>1470</v>
      </c>
      <c r="D2926">
        <v>1</v>
      </c>
      <c r="E2926" s="358">
        <v>4</v>
      </c>
      <c r="F2926" s="358" t="s">
        <v>7</v>
      </c>
      <c r="G2926" s="358" t="s">
        <v>11</v>
      </c>
      <c r="H2926" s="358" t="s">
        <v>11</v>
      </c>
    </row>
    <row r="2927" spans="1:8" x14ac:dyDescent="0.3">
      <c r="A2927" t="s">
        <v>59</v>
      </c>
      <c r="B2927" t="s">
        <v>113</v>
      </c>
      <c r="C2927" t="s">
        <v>3066</v>
      </c>
      <c r="D2927">
        <v>1</v>
      </c>
      <c r="E2927" s="358">
        <v>4</v>
      </c>
      <c r="F2927" s="358" t="s">
        <v>7</v>
      </c>
      <c r="G2927" s="358" t="s">
        <v>11</v>
      </c>
      <c r="H2927" s="358" t="s">
        <v>11</v>
      </c>
    </row>
    <row r="2928" spans="1:8" x14ac:dyDescent="0.3">
      <c r="A2928" t="s">
        <v>59</v>
      </c>
      <c r="B2928" t="s">
        <v>113</v>
      </c>
      <c r="C2928" t="s">
        <v>3067</v>
      </c>
      <c r="D2928">
        <v>2</v>
      </c>
      <c r="E2928" s="358">
        <v>4</v>
      </c>
      <c r="F2928" s="358" t="s">
        <v>7</v>
      </c>
      <c r="G2928" s="358" t="s">
        <v>11</v>
      </c>
      <c r="H2928" s="358" t="s">
        <v>11</v>
      </c>
    </row>
    <row r="2929" spans="1:8" x14ac:dyDescent="0.3">
      <c r="A2929" t="s">
        <v>59</v>
      </c>
      <c r="B2929" t="s">
        <v>113</v>
      </c>
      <c r="C2929" t="s">
        <v>1735</v>
      </c>
      <c r="D2929">
        <v>3</v>
      </c>
      <c r="E2929" s="358">
        <v>4</v>
      </c>
      <c r="F2929" s="358" t="s">
        <v>7</v>
      </c>
      <c r="G2929" s="358" t="s">
        <v>11</v>
      </c>
      <c r="H2929" s="358" t="s">
        <v>11</v>
      </c>
    </row>
    <row r="2930" spans="1:8" x14ac:dyDescent="0.3">
      <c r="A2930" t="s">
        <v>59</v>
      </c>
      <c r="B2930" t="s">
        <v>113</v>
      </c>
      <c r="C2930" t="s">
        <v>3068</v>
      </c>
      <c r="D2930">
        <v>3</v>
      </c>
      <c r="E2930" s="358">
        <v>4</v>
      </c>
      <c r="F2930" s="358" t="s">
        <v>7</v>
      </c>
      <c r="G2930" s="358" t="s">
        <v>11</v>
      </c>
      <c r="H2930" s="358" t="s">
        <v>11</v>
      </c>
    </row>
    <row r="2931" spans="1:8" x14ac:dyDescent="0.3">
      <c r="A2931" t="s">
        <v>59</v>
      </c>
      <c r="B2931" t="s">
        <v>113</v>
      </c>
      <c r="C2931" t="s">
        <v>3069</v>
      </c>
      <c r="D2931">
        <v>1</v>
      </c>
      <c r="E2931" s="358">
        <v>4</v>
      </c>
      <c r="F2931" s="358" t="s">
        <v>7</v>
      </c>
      <c r="G2931" s="358" t="s">
        <v>11</v>
      </c>
      <c r="H2931" s="358" t="s">
        <v>11</v>
      </c>
    </row>
    <row r="2932" spans="1:8" x14ac:dyDescent="0.3">
      <c r="A2932" t="s">
        <v>59</v>
      </c>
      <c r="B2932" t="s">
        <v>113</v>
      </c>
      <c r="C2932" t="s">
        <v>3070</v>
      </c>
      <c r="D2932">
        <v>1</v>
      </c>
      <c r="E2932" s="358">
        <v>4</v>
      </c>
      <c r="F2932" s="358" t="s">
        <v>7</v>
      </c>
      <c r="G2932" s="358" t="s">
        <v>11</v>
      </c>
      <c r="H2932" s="358" t="s">
        <v>11</v>
      </c>
    </row>
    <row r="2933" spans="1:8" x14ac:dyDescent="0.3">
      <c r="A2933" t="s">
        <v>59</v>
      </c>
      <c r="B2933" t="s">
        <v>113</v>
      </c>
      <c r="C2933" t="s">
        <v>3071</v>
      </c>
      <c r="D2933">
        <v>1</v>
      </c>
      <c r="E2933" s="358">
        <v>4</v>
      </c>
      <c r="F2933" s="358" t="s">
        <v>7</v>
      </c>
      <c r="G2933" s="358" t="s">
        <v>11</v>
      </c>
      <c r="H2933" s="358" t="s">
        <v>11</v>
      </c>
    </row>
    <row r="2934" spans="1:8" x14ac:dyDescent="0.3">
      <c r="A2934" t="s">
        <v>59</v>
      </c>
      <c r="B2934" t="s">
        <v>113</v>
      </c>
      <c r="C2934" t="s">
        <v>2438</v>
      </c>
      <c r="D2934">
        <v>1</v>
      </c>
      <c r="E2934" s="358">
        <v>4</v>
      </c>
      <c r="F2934" s="358" t="s">
        <v>7</v>
      </c>
      <c r="G2934" s="358" t="s">
        <v>11</v>
      </c>
      <c r="H2934" s="358" t="s">
        <v>11</v>
      </c>
    </row>
    <row r="2935" spans="1:8" x14ac:dyDescent="0.3">
      <c r="A2935" t="s">
        <v>59</v>
      </c>
      <c r="B2935" t="s">
        <v>113</v>
      </c>
      <c r="C2935" t="s">
        <v>1371</v>
      </c>
      <c r="D2935">
        <v>1</v>
      </c>
      <c r="E2935" s="358">
        <v>4</v>
      </c>
      <c r="F2935" s="358" t="s">
        <v>7</v>
      </c>
      <c r="G2935" s="358" t="s">
        <v>11</v>
      </c>
      <c r="H2935" s="358" t="s">
        <v>11</v>
      </c>
    </row>
    <row r="2936" spans="1:8" x14ac:dyDescent="0.3">
      <c r="A2936" t="s">
        <v>59</v>
      </c>
      <c r="B2936" t="s">
        <v>113</v>
      </c>
      <c r="C2936" t="s">
        <v>2450</v>
      </c>
      <c r="D2936">
        <v>1</v>
      </c>
      <c r="E2936" s="358">
        <v>4</v>
      </c>
      <c r="F2936" s="358" t="s">
        <v>7</v>
      </c>
      <c r="G2936" s="358" t="s">
        <v>11</v>
      </c>
      <c r="H2936" s="358" t="s">
        <v>11</v>
      </c>
    </row>
    <row r="2937" spans="1:8" x14ac:dyDescent="0.3">
      <c r="A2937" t="s">
        <v>59</v>
      </c>
      <c r="B2937" t="s">
        <v>113</v>
      </c>
      <c r="C2937" t="s">
        <v>1473</v>
      </c>
      <c r="D2937">
        <v>1</v>
      </c>
      <c r="E2937" s="358">
        <v>4</v>
      </c>
      <c r="F2937" s="358" t="s">
        <v>7</v>
      </c>
      <c r="G2937" s="358" t="s">
        <v>11</v>
      </c>
      <c r="H2937" s="358" t="s">
        <v>11</v>
      </c>
    </row>
    <row r="2938" spans="1:8" x14ac:dyDescent="0.3">
      <c r="A2938" t="s">
        <v>59</v>
      </c>
      <c r="B2938" t="s">
        <v>113</v>
      </c>
      <c r="C2938" t="s">
        <v>3072</v>
      </c>
      <c r="D2938">
        <v>1</v>
      </c>
      <c r="E2938" s="358">
        <v>4</v>
      </c>
      <c r="F2938" s="358" t="s">
        <v>7</v>
      </c>
      <c r="G2938" s="358" t="s">
        <v>11</v>
      </c>
      <c r="H2938" s="358" t="s">
        <v>11</v>
      </c>
    </row>
    <row r="2939" spans="1:8" x14ac:dyDescent="0.3">
      <c r="A2939" t="s">
        <v>59</v>
      </c>
      <c r="B2939" t="s">
        <v>113</v>
      </c>
      <c r="C2939" t="s">
        <v>3073</v>
      </c>
      <c r="D2939">
        <v>1</v>
      </c>
      <c r="E2939" s="358">
        <v>4</v>
      </c>
      <c r="F2939" s="358" t="s">
        <v>7</v>
      </c>
      <c r="G2939" s="358" t="s">
        <v>11</v>
      </c>
      <c r="H2939" s="358" t="s">
        <v>11</v>
      </c>
    </row>
    <row r="2940" spans="1:8" x14ac:dyDescent="0.3">
      <c r="A2940" t="s">
        <v>59</v>
      </c>
      <c r="B2940" t="s">
        <v>113</v>
      </c>
      <c r="C2940" t="s">
        <v>3074</v>
      </c>
      <c r="D2940">
        <v>3</v>
      </c>
      <c r="E2940" s="358">
        <v>4</v>
      </c>
      <c r="F2940" s="358" t="s">
        <v>7</v>
      </c>
      <c r="G2940" s="358" t="s">
        <v>11</v>
      </c>
      <c r="H2940" s="358" t="s">
        <v>11</v>
      </c>
    </row>
    <row r="2941" spans="1:8" x14ac:dyDescent="0.3">
      <c r="A2941" t="s">
        <v>59</v>
      </c>
      <c r="B2941" t="s">
        <v>113</v>
      </c>
      <c r="C2941" t="s">
        <v>3075</v>
      </c>
      <c r="D2941">
        <v>1</v>
      </c>
      <c r="E2941" s="358">
        <v>4</v>
      </c>
      <c r="F2941" s="358" t="s">
        <v>7</v>
      </c>
      <c r="G2941" s="358" t="s">
        <v>11</v>
      </c>
      <c r="H2941" s="358" t="s">
        <v>11</v>
      </c>
    </row>
    <row r="2942" spans="1:8" x14ac:dyDescent="0.3">
      <c r="A2942" t="s">
        <v>59</v>
      </c>
      <c r="B2942" t="s">
        <v>113</v>
      </c>
      <c r="C2942" t="s">
        <v>1999</v>
      </c>
      <c r="D2942">
        <v>1</v>
      </c>
      <c r="E2942" s="358">
        <v>4</v>
      </c>
      <c r="F2942" s="358" t="s">
        <v>7</v>
      </c>
      <c r="G2942" s="358" t="s">
        <v>11</v>
      </c>
      <c r="H2942" s="358" t="s">
        <v>11</v>
      </c>
    </row>
    <row r="2943" spans="1:8" x14ac:dyDescent="0.3">
      <c r="A2943" t="s">
        <v>59</v>
      </c>
      <c r="B2943" t="s">
        <v>113</v>
      </c>
      <c r="C2943" t="s">
        <v>3076</v>
      </c>
      <c r="D2943">
        <v>1</v>
      </c>
      <c r="E2943" s="358">
        <v>4</v>
      </c>
      <c r="F2943" s="358" t="s">
        <v>7</v>
      </c>
      <c r="G2943" s="358" t="s">
        <v>11</v>
      </c>
      <c r="H2943" s="358" t="s">
        <v>11</v>
      </c>
    </row>
    <row r="2944" spans="1:8" x14ac:dyDescent="0.3">
      <c r="A2944" t="s">
        <v>59</v>
      </c>
      <c r="B2944" t="s">
        <v>113</v>
      </c>
      <c r="C2944" t="s">
        <v>3077</v>
      </c>
      <c r="D2944">
        <v>3</v>
      </c>
      <c r="E2944" s="358">
        <v>4</v>
      </c>
      <c r="F2944" s="358" t="s">
        <v>7</v>
      </c>
      <c r="G2944" s="358" t="s">
        <v>11</v>
      </c>
      <c r="H2944" s="358" t="s">
        <v>11</v>
      </c>
    </row>
    <row r="2945" spans="1:8" x14ac:dyDescent="0.3">
      <c r="A2945" t="s">
        <v>59</v>
      </c>
      <c r="B2945" t="s">
        <v>113</v>
      </c>
      <c r="C2945" t="s">
        <v>2560</v>
      </c>
      <c r="D2945">
        <v>3</v>
      </c>
      <c r="E2945" s="358">
        <v>4</v>
      </c>
      <c r="F2945" s="358" t="s">
        <v>7</v>
      </c>
      <c r="G2945" s="358" t="s">
        <v>11</v>
      </c>
      <c r="H2945" s="358" t="s">
        <v>11</v>
      </c>
    </row>
    <row r="2946" spans="1:8" x14ac:dyDescent="0.3">
      <c r="A2946" t="s">
        <v>59</v>
      </c>
      <c r="B2946" t="s">
        <v>113</v>
      </c>
      <c r="C2946" t="s">
        <v>1605</v>
      </c>
      <c r="D2946">
        <v>3</v>
      </c>
      <c r="E2946" s="358">
        <v>4</v>
      </c>
      <c r="F2946" s="358" t="s">
        <v>7</v>
      </c>
      <c r="G2946" s="358" t="s">
        <v>11</v>
      </c>
      <c r="H2946" s="358" t="s">
        <v>11</v>
      </c>
    </row>
    <row r="2947" spans="1:8" x14ac:dyDescent="0.3">
      <c r="A2947" t="s">
        <v>59</v>
      </c>
      <c r="B2947" t="s">
        <v>113</v>
      </c>
      <c r="C2947" t="s">
        <v>1849</v>
      </c>
      <c r="D2947">
        <v>1</v>
      </c>
      <c r="E2947" s="358">
        <v>4</v>
      </c>
      <c r="F2947" s="358" t="s">
        <v>7</v>
      </c>
      <c r="G2947" s="358" t="s">
        <v>11</v>
      </c>
      <c r="H2947" s="358" t="s">
        <v>11</v>
      </c>
    </row>
    <row r="2948" spans="1:8" x14ac:dyDescent="0.3">
      <c r="A2948" t="s">
        <v>59</v>
      </c>
      <c r="B2948" t="s">
        <v>113</v>
      </c>
      <c r="C2948" t="s">
        <v>3078</v>
      </c>
      <c r="D2948">
        <v>3</v>
      </c>
      <c r="E2948" s="358">
        <v>4</v>
      </c>
      <c r="F2948" s="358" t="s">
        <v>7</v>
      </c>
      <c r="G2948" s="358" t="s">
        <v>11</v>
      </c>
      <c r="H2948" s="358" t="s">
        <v>11</v>
      </c>
    </row>
    <row r="2949" spans="1:8" x14ac:dyDescent="0.3">
      <c r="A2949" t="s">
        <v>59</v>
      </c>
      <c r="B2949" t="s">
        <v>113</v>
      </c>
      <c r="C2949" t="s">
        <v>1757</v>
      </c>
      <c r="D2949">
        <v>1</v>
      </c>
      <c r="E2949" s="358">
        <v>4</v>
      </c>
      <c r="F2949" s="358" t="s">
        <v>7</v>
      </c>
      <c r="G2949" s="358" t="s">
        <v>11</v>
      </c>
      <c r="H2949" s="358" t="s">
        <v>11</v>
      </c>
    </row>
    <row r="2950" spans="1:8" x14ac:dyDescent="0.3">
      <c r="A2950" t="s">
        <v>59</v>
      </c>
      <c r="B2950" t="s">
        <v>113</v>
      </c>
      <c r="C2950" t="s">
        <v>1379</v>
      </c>
      <c r="D2950">
        <v>1</v>
      </c>
      <c r="E2950" s="358">
        <v>4</v>
      </c>
      <c r="F2950" s="358" t="s">
        <v>7</v>
      </c>
      <c r="G2950" s="358" t="s">
        <v>11</v>
      </c>
      <c r="H2950" s="358" t="s">
        <v>11</v>
      </c>
    </row>
    <row r="2951" spans="1:8" x14ac:dyDescent="0.3">
      <c r="A2951" t="s">
        <v>59</v>
      </c>
      <c r="B2951" t="s">
        <v>113</v>
      </c>
      <c r="C2951" t="s">
        <v>3079</v>
      </c>
      <c r="D2951">
        <v>1</v>
      </c>
      <c r="E2951" s="358">
        <v>4</v>
      </c>
      <c r="F2951" s="358" t="s">
        <v>7</v>
      </c>
      <c r="G2951" s="358" t="s">
        <v>11</v>
      </c>
      <c r="H2951" s="358" t="s">
        <v>11</v>
      </c>
    </row>
    <row r="2952" spans="1:8" x14ac:dyDescent="0.3">
      <c r="A2952" t="s">
        <v>59</v>
      </c>
      <c r="B2952" t="s">
        <v>113</v>
      </c>
      <c r="C2952" t="s">
        <v>2724</v>
      </c>
      <c r="D2952">
        <v>3</v>
      </c>
      <c r="E2952" s="358">
        <v>4</v>
      </c>
      <c r="F2952" s="358" t="s">
        <v>7</v>
      </c>
      <c r="G2952" s="358" t="s">
        <v>11</v>
      </c>
      <c r="H2952" s="358" t="s">
        <v>11</v>
      </c>
    </row>
    <row r="2953" spans="1:8" x14ac:dyDescent="0.3">
      <c r="A2953" t="s">
        <v>59</v>
      </c>
      <c r="B2953" t="s">
        <v>113</v>
      </c>
      <c r="C2953" t="s">
        <v>3080</v>
      </c>
      <c r="D2953">
        <v>3</v>
      </c>
      <c r="E2953" s="358">
        <v>4</v>
      </c>
      <c r="F2953" s="358" t="s">
        <v>7</v>
      </c>
      <c r="G2953" s="358" t="s">
        <v>11</v>
      </c>
      <c r="H2953" s="358" t="s">
        <v>11</v>
      </c>
    </row>
    <row r="2954" spans="1:8" x14ac:dyDescent="0.3">
      <c r="A2954" t="s">
        <v>59</v>
      </c>
      <c r="B2954" t="s">
        <v>113</v>
      </c>
      <c r="C2954" t="s">
        <v>3081</v>
      </c>
      <c r="D2954">
        <v>1</v>
      </c>
      <c r="E2954" s="358">
        <v>4</v>
      </c>
      <c r="F2954" s="358" t="s">
        <v>7</v>
      </c>
      <c r="G2954" s="358" t="s">
        <v>11</v>
      </c>
      <c r="H2954" s="358" t="s">
        <v>11</v>
      </c>
    </row>
    <row r="2955" spans="1:8" x14ac:dyDescent="0.3">
      <c r="A2955" t="s">
        <v>59</v>
      </c>
      <c r="B2955" t="s">
        <v>113</v>
      </c>
      <c r="C2955" t="s">
        <v>2972</v>
      </c>
      <c r="D2955">
        <v>2</v>
      </c>
      <c r="E2955" s="358">
        <v>4</v>
      </c>
      <c r="F2955" s="358" t="s">
        <v>7</v>
      </c>
      <c r="G2955" s="358" t="s">
        <v>11</v>
      </c>
      <c r="H2955" s="358" t="s">
        <v>11</v>
      </c>
    </row>
    <row r="2956" spans="1:8" x14ac:dyDescent="0.3">
      <c r="A2956" t="s">
        <v>59</v>
      </c>
      <c r="B2956" t="s">
        <v>113</v>
      </c>
      <c r="C2956" t="s">
        <v>3082</v>
      </c>
      <c r="D2956">
        <v>1</v>
      </c>
      <c r="E2956" s="358">
        <v>4</v>
      </c>
      <c r="F2956" s="358" t="s">
        <v>7</v>
      </c>
      <c r="G2956" s="358" t="s">
        <v>11</v>
      </c>
      <c r="H2956" s="358" t="s">
        <v>11</v>
      </c>
    </row>
    <row r="2957" spans="1:8" x14ac:dyDescent="0.3">
      <c r="A2957" t="s">
        <v>59</v>
      </c>
      <c r="B2957" t="s">
        <v>113</v>
      </c>
      <c r="C2957" t="s">
        <v>2120</v>
      </c>
      <c r="D2957">
        <v>3</v>
      </c>
      <c r="E2957" s="358">
        <v>4</v>
      </c>
      <c r="F2957" s="358" t="s">
        <v>7</v>
      </c>
      <c r="G2957" s="358" t="s">
        <v>11</v>
      </c>
      <c r="H2957" s="358" t="s">
        <v>11</v>
      </c>
    </row>
    <row r="2958" spans="1:8" x14ac:dyDescent="0.3">
      <c r="A2958" t="s">
        <v>61</v>
      </c>
      <c r="B2958" t="s">
        <v>85</v>
      </c>
      <c r="C2958" t="s">
        <v>1540</v>
      </c>
      <c r="D2958">
        <v>2</v>
      </c>
      <c r="E2958" s="358">
        <v>5</v>
      </c>
      <c r="F2958" s="358" t="s">
        <v>75</v>
      </c>
      <c r="G2958" s="358" t="s">
        <v>11</v>
      </c>
      <c r="H2958" s="358" t="s">
        <v>11</v>
      </c>
    </row>
    <row r="2959" spans="1:8" x14ac:dyDescent="0.3">
      <c r="A2959" t="s">
        <v>61</v>
      </c>
      <c r="B2959" t="s">
        <v>85</v>
      </c>
      <c r="C2959" t="s">
        <v>3083</v>
      </c>
      <c r="D2959">
        <v>2</v>
      </c>
      <c r="E2959" s="358">
        <v>5</v>
      </c>
      <c r="F2959" s="358" t="s">
        <v>75</v>
      </c>
      <c r="G2959" s="358" t="s">
        <v>11</v>
      </c>
      <c r="H2959" s="358" t="s">
        <v>11</v>
      </c>
    </row>
    <row r="2960" spans="1:8" x14ac:dyDescent="0.3">
      <c r="A2960" t="s">
        <v>61</v>
      </c>
      <c r="B2960" t="s">
        <v>85</v>
      </c>
      <c r="C2960" t="s">
        <v>1430</v>
      </c>
      <c r="D2960">
        <v>2</v>
      </c>
      <c r="E2960" s="358">
        <v>5</v>
      </c>
      <c r="F2960" s="358" t="s">
        <v>75</v>
      </c>
      <c r="G2960" s="358" t="s">
        <v>11</v>
      </c>
      <c r="H2960" s="358" t="s">
        <v>11</v>
      </c>
    </row>
    <row r="2961" spans="1:8" x14ac:dyDescent="0.3">
      <c r="A2961" t="s">
        <v>61</v>
      </c>
      <c r="B2961" t="s">
        <v>85</v>
      </c>
      <c r="C2961" t="s">
        <v>3084</v>
      </c>
      <c r="D2961">
        <v>3</v>
      </c>
      <c r="E2961" s="358">
        <v>5</v>
      </c>
      <c r="F2961" s="358" t="s">
        <v>75</v>
      </c>
      <c r="G2961" s="358" t="s">
        <v>11</v>
      </c>
      <c r="H2961" s="358" t="s">
        <v>11</v>
      </c>
    </row>
    <row r="2962" spans="1:8" x14ac:dyDescent="0.3">
      <c r="A2962" t="s">
        <v>61</v>
      </c>
      <c r="B2962" t="s">
        <v>85</v>
      </c>
      <c r="C2962" t="s">
        <v>3085</v>
      </c>
      <c r="D2962">
        <v>3</v>
      </c>
      <c r="E2962" s="358">
        <v>4</v>
      </c>
      <c r="F2962" s="358" t="s">
        <v>105</v>
      </c>
      <c r="G2962" s="358" t="s">
        <v>11</v>
      </c>
      <c r="H2962" s="358" t="s">
        <v>11</v>
      </c>
    </row>
    <row r="2963" spans="1:8" x14ac:dyDescent="0.3">
      <c r="A2963" t="s">
        <v>61</v>
      </c>
      <c r="B2963" t="s">
        <v>85</v>
      </c>
      <c r="C2963" t="s">
        <v>1435</v>
      </c>
      <c r="D2963">
        <v>1</v>
      </c>
      <c r="E2963" s="358">
        <v>4</v>
      </c>
      <c r="F2963" s="358" t="s">
        <v>105</v>
      </c>
      <c r="G2963" s="358" t="s">
        <v>11</v>
      </c>
      <c r="H2963" s="358" t="s">
        <v>11</v>
      </c>
    </row>
    <row r="2964" spans="1:8" x14ac:dyDescent="0.3">
      <c r="A2964" t="s">
        <v>61</v>
      </c>
      <c r="B2964" t="s">
        <v>85</v>
      </c>
      <c r="C2964" t="s">
        <v>1437</v>
      </c>
      <c r="D2964">
        <v>2</v>
      </c>
      <c r="E2964" s="358">
        <v>5</v>
      </c>
      <c r="F2964" s="358" t="s">
        <v>75</v>
      </c>
      <c r="G2964" s="358" t="s">
        <v>11</v>
      </c>
      <c r="H2964" s="358" t="s">
        <v>11</v>
      </c>
    </row>
    <row r="2965" spans="1:8" x14ac:dyDescent="0.3">
      <c r="A2965" t="s">
        <v>61</v>
      </c>
      <c r="B2965" t="s">
        <v>85</v>
      </c>
      <c r="C2965" t="s">
        <v>3086</v>
      </c>
      <c r="D2965">
        <v>3</v>
      </c>
      <c r="E2965" s="358">
        <v>4</v>
      </c>
      <c r="F2965" s="358" t="s">
        <v>105</v>
      </c>
      <c r="G2965" s="358" t="s">
        <v>11</v>
      </c>
      <c r="H2965" s="358" t="s">
        <v>11</v>
      </c>
    </row>
    <row r="2966" spans="1:8" x14ac:dyDescent="0.3">
      <c r="A2966" t="s">
        <v>61</v>
      </c>
      <c r="B2966" t="s">
        <v>85</v>
      </c>
      <c r="C2966" t="s">
        <v>1558</v>
      </c>
      <c r="D2966">
        <v>2</v>
      </c>
      <c r="E2966" s="358">
        <v>5</v>
      </c>
      <c r="F2966" s="358" t="s">
        <v>75</v>
      </c>
      <c r="G2966" s="358" t="s">
        <v>11</v>
      </c>
      <c r="H2966" s="358" t="s">
        <v>11</v>
      </c>
    </row>
    <row r="2967" spans="1:8" x14ac:dyDescent="0.3">
      <c r="A2967" t="s">
        <v>61</v>
      </c>
      <c r="B2967" t="s">
        <v>85</v>
      </c>
      <c r="C2967" t="s">
        <v>3087</v>
      </c>
      <c r="D2967">
        <v>1</v>
      </c>
      <c r="E2967" s="358">
        <v>6</v>
      </c>
      <c r="F2967" s="358" t="s">
        <v>75</v>
      </c>
      <c r="G2967" s="358" t="s">
        <v>11</v>
      </c>
      <c r="H2967" s="358" t="s">
        <v>11</v>
      </c>
    </row>
    <row r="2968" spans="1:8" x14ac:dyDescent="0.3">
      <c r="A2968" t="s">
        <v>61</v>
      </c>
      <c r="B2968" t="s">
        <v>85</v>
      </c>
      <c r="C2968" t="s">
        <v>1344</v>
      </c>
      <c r="D2968">
        <v>2</v>
      </c>
      <c r="E2968" s="358">
        <v>5</v>
      </c>
      <c r="F2968" s="358" t="s">
        <v>75</v>
      </c>
      <c r="G2968" s="358" t="s">
        <v>11</v>
      </c>
      <c r="H2968" s="358" t="s">
        <v>11</v>
      </c>
    </row>
    <row r="2969" spans="1:8" x14ac:dyDescent="0.3">
      <c r="A2969" t="s">
        <v>61</v>
      </c>
      <c r="B2969" t="s">
        <v>85</v>
      </c>
      <c r="C2969" t="s">
        <v>1563</v>
      </c>
      <c r="D2969">
        <v>2</v>
      </c>
      <c r="E2969" s="358">
        <v>5</v>
      </c>
      <c r="F2969" s="358" t="s">
        <v>75</v>
      </c>
      <c r="G2969" s="358" t="s">
        <v>11</v>
      </c>
      <c r="H2969" s="358" t="s">
        <v>11</v>
      </c>
    </row>
    <row r="2970" spans="1:8" x14ac:dyDescent="0.3">
      <c r="A2970" t="s">
        <v>61</v>
      </c>
      <c r="B2970" t="s">
        <v>85</v>
      </c>
      <c r="C2970" t="s">
        <v>1448</v>
      </c>
      <c r="D2970">
        <v>2</v>
      </c>
      <c r="E2970" s="358">
        <v>5</v>
      </c>
      <c r="F2970" s="358" t="s">
        <v>75</v>
      </c>
      <c r="G2970" s="358" t="s">
        <v>11</v>
      </c>
      <c r="H2970" s="358" t="s">
        <v>11</v>
      </c>
    </row>
    <row r="2971" spans="1:8" x14ac:dyDescent="0.3">
      <c r="A2971" t="s">
        <v>61</v>
      </c>
      <c r="B2971" t="s">
        <v>85</v>
      </c>
      <c r="C2971" t="s">
        <v>3088</v>
      </c>
      <c r="D2971">
        <v>3</v>
      </c>
      <c r="E2971" s="358">
        <v>4</v>
      </c>
      <c r="F2971" s="358" t="s">
        <v>105</v>
      </c>
      <c r="G2971" s="358" t="s">
        <v>11</v>
      </c>
      <c r="H2971" s="358" t="s">
        <v>11</v>
      </c>
    </row>
    <row r="2972" spans="1:8" x14ac:dyDescent="0.3">
      <c r="A2972" t="s">
        <v>61</v>
      </c>
      <c r="B2972" t="s">
        <v>85</v>
      </c>
      <c r="C2972" t="s">
        <v>3089</v>
      </c>
      <c r="D2972">
        <v>3</v>
      </c>
      <c r="E2972" s="358">
        <v>4</v>
      </c>
      <c r="F2972" s="358" t="s">
        <v>105</v>
      </c>
      <c r="G2972" s="358" t="s">
        <v>11</v>
      </c>
      <c r="H2972" s="358" t="s">
        <v>11</v>
      </c>
    </row>
    <row r="2973" spans="1:8" x14ac:dyDescent="0.3">
      <c r="A2973" t="s">
        <v>61</v>
      </c>
      <c r="B2973" t="s">
        <v>85</v>
      </c>
      <c r="C2973" t="s">
        <v>1351</v>
      </c>
      <c r="D2973">
        <v>3</v>
      </c>
      <c r="E2973" s="358">
        <v>4</v>
      </c>
      <c r="F2973" s="358" t="s">
        <v>105</v>
      </c>
      <c r="G2973" s="358" t="s">
        <v>11</v>
      </c>
      <c r="H2973" s="358" t="s">
        <v>11</v>
      </c>
    </row>
    <row r="2974" spans="1:8" x14ac:dyDescent="0.3">
      <c r="A2974" t="s">
        <v>61</v>
      </c>
      <c r="B2974" t="s">
        <v>85</v>
      </c>
      <c r="C2974" t="s">
        <v>2901</v>
      </c>
      <c r="D2974">
        <v>3</v>
      </c>
      <c r="E2974" s="358">
        <v>4</v>
      </c>
      <c r="F2974" s="358" t="s">
        <v>105</v>
      </c>
      <c r="G2974" s="358" t="s">
        <v>11</v>
      </c>
      <c r="H2974" s="358" t="s">
        <v>11</v>
      </c>
    </row>
    <row r="2975" spans="1:8" x14ac:dyDescent="0.3">
      <c r="A2975" t="s">
        <v>61</v>
      </c>
      <c r="B2975" t="s">
        <v>85</v>
      </c>
      <c r="C2975" t="s">
        <v>3090</v>
      </c>
      <c r="D2975">
        <v>3</v>
      </c>
      <c r="E2975" s="358">
        <v>4</v>
      </c>
      <c r="F2975" s="358" t="s">
        <v>105</v>
      </c>
      <c r="G2975" s="358" t="s">
        <v>11</v>
      </c>
      <c r="H2975" s="358" t="s">
        <v>11</v>
      </c>
    </row>
    <row r="2976" spans="1:8" x14ac:dyDescent="0.3">
      <c r="A2976" t="s">
        <v>61</v>
      </c>
      <c r="B2976" t="s">
        <v>85</v>
      </c>
      <c r="C2976" t="s">
        <v>3091</v>
      </c>
      <c r="D2976">
        <v>2</v>
      </c>
      <c r="E2976" s="358">
        <v>5</v>
      </c>
      <c r="F2976" s="358" t="s">
        <v>75</v>
      </c>
      <c r="G2976" s="358" t="s">
        <v>11</v>
      </c>
      <c r="H2976" s="358" t="s">
        <v>11</v>
      </c>
    </row>
    <row r="2977" spans="1:8" x14ac:dyDescent="0.3">
      <c r="A2977" t="s">
        <v>61</v>
      </c>
      <c r="B2977" t="s">
        <v>85</v>
      </c>
      <c r="C2977" t="s">
        <v>3092</v>
      </c>
      <c r="D2977">
        <v>2</v>
      </c>
      <c r="E2977" s="358">
        <v>5</v>
      </c>
      <c r="F2977" s="358" t="s">
        <v>75</v>
      </c>
      <c r="G2977" s="358" t="s">
        <v>11</v>
      </c>
      <c r="H2977" s="358" t="s">
        <v>11</v>
      </c>
    </row>
    <row r="2978" spans="1:8" x14ac:dyDescent="0.3">
      <c r="A2978" t="s">
        <v>61</v>
      </c>
      <c r="B2978" t="s">
        <v>85</v>
      </c>
      <c r="C2978" t="s">
        <v>1792</v>
      </c>
      <c r="D2978">
        <v>3</v>
      </c>
      <c r="E2978" s="358">
        <v>4</v>
      </c>
      <c r="F2978" s="358" t="s">
        <v>105</v>
      </c>
      <c r="G2978" s="358" t="s">
        <v>11</v>
      </c>
      <c r="H2978" s="358" t="s">
        <v>11</v>
      </c>
    </row>
    <row r="2979" spans="1:8" x14ac:dyDescent="0.3">
      <c r="A2979" t="s">
        <v>61</v>
      </c>
      <c r="B2979" t="s">
        <v>85</v>
      </c>
      <c r="C2979" t="s">
        <v>1456</v>
      </c>
      <c r="D2979">
        <v>2</v>
      </c>
      <c r="E2979" s="358">
        <v>5</v>
      </c>
      <c r="F2979" s="358" t="s">
        <v>75</v>
      </c>
      <c r="G2979" s="358" t="s">
        <v>11</v>
      </c>
      <c r="H2979" s="358" t="s">
        <v>11</v>
      </c>
    </row>
    <row r="2980" spans="1:8" x14ac:dyDescent="0.3">
      <c r="A2980" t="s">
        <v>61</v>
      </c>
      <c r="B2980" t="s">
        <v>85</v>
      </c>
      <c r="C2980" t="s">
        <v>1832</v>
      </c>
      <c r="D2980">
        <v>3</v>
      </c>
      <c r="E2980" s="358">
        <v>4</v>
      </c>
      <c r="F2980" s="358" t="s">
        <v>105</v>
      </c>
      <c r="G2980" s="358" t="s">
        <v>11</v>
      </c>
      <c r="H2980" s="358" t="s">
        <v>11</v>
      </c>
    </row>
    <row r="2981" spans="1:8" x14ac:dyDescent="0.3">
      <c r="A2981" t="s">
        <v>61</v>
      </c>
      <c r="B2981" t="s">
        <v>85</v>
      </c>
      <c r="C2981" t="s">
        <v>3093</v>
      </c>
      <c r="D2981">
        <v>1</v>
      </c>
      <c r="E2981" s="358">
        <v>6</v>
      </c>
      <c r="F2981" s="358" t="s">
        <v>75</v>
      </c>
      <c r="G2981" s="358" t="s">
        <v>11</v>
      </c>
      <c r="H2981" s="358" t="s">
        <v>11</v>
      </c>
    </row>
    <row r="2982" spans="1:8" x14ac:dyDescent="0.3">
      <c r="A2982" t="s">
        <v>61</v>
      </c>
      <c r="B2982" t="s">
        <v>85</v>
      </c>
      <c r="C2982" t="s">
        <v>3094</v>
      </c>
      <c r="D2982">
        <v>3</v>
      </c>
      <c r="E2982" s="358">
        <v>4</v>
      </c>
      <c r="F2982" s="358" t="s">
        <v>105</v>
      </c>
      <c r="G2982" s="358" t="s">
        <v>11</v>
      </c>
      <c r="H2982" s="358" t="s">
        <v>11</v>
      </c>
    </row>
    <row r="2983" spans="1:8" x14ac:dyDescent="0.3">
      <c r="A2983" t="s">
        <v>61</v>
      </c>
      <c r="B2983" t="s">
        <v>85</v>
      </c>
      <c r="C2983" t="s">
        <v>3095</v>
      </c>
      <c r="D2983">
        <v>1</v>
      </c>
      <c r="E2983" s="358">
        <v>6</v>
      </c>
      <c r="F2983" s="358" t="s">
        <v>75</v>
      </c>
      <c r="G2983" s="358" t="s">
        <v>11</v>
      </c>
      <c r="H2983" s="358" t="s">
        <v>11</v>
      </c>
    </row>
    <row r="2984" spans="1:8" x14ac:dyDescent="0.3">
      <c r="A2984" t="s">
        <v>61</v>
      </c>
      <c r="B2984" t="s">
        <v>85</v>
      </c>
      <c r="C2984" t="s">
        <v>1732</v>
      </c>
      <c r="D2984">
        <v>3</v>
      </c>
      <c r="E2984" s="358">
        <v>4</v>
      </c>
      <c r="F2984" s="358" t="s">
        <v>105</v>
      </c>
      <c r="G2984" s="358" t="s">
        <v>11</v>
      </c>
      <c r="H2984" s="358" t="s">
        <v>11</v>
      </c>
    </row>
    <row r="2985" spans="1:8" x14ac:dyDescent="0.3">
      <c r="A2985" t="s">
        <v>61</v>
      </c>
      <c r="B2985" t="s">
        <v>85</v>
      </c>
      <c r="C2985" t="s">
        <v>1589</v>
      </c>
      <c r="D2985">
        <v>3</v>
      </c>
      <c r="E2985" s="358">
        <v>4</v>
      </c>
      <c r="F2985" s="358" t="s">
        <v>105</v>
      </c>
      <c r="G2985" s="358" t="s">
        <v>11</v>
      </c>
      <c r="H2985" s="358" t="s">
        <v>11</v>
      </c>
    </row>
    <row r="2986" spans="1:8" x14ac:dyDescent="0.3">
      <c r="A2986" t="s">
        <v>61</v>
      </c>
      <c r="B2986" t="s">
        <v>85</v>
      </c>
      <c r="C2986" t="s">
        <v>3096</v>
      </c>
      <c r="D2986">
        <v>3</v>
      </c>
      <c r="E2986" s="358">
        <v>4</v>
      </c>
      <c r="F2986" s="358" t="s">
        <v>105</v>
      </c>
      <c r="G2986" s="358" t="s">
        <v>11</v>
      </c>
      <c r="H2986" s="358" t="s">
        <v>11</v>
      </c>
    </row>
    <row r="2987" spans="1:8" x14ac:dyDescent="0.3">
      <c r="A2987" t="s">
        <v>61</v>
      </c>
      <c r="B2987" t="s">
        <v>85</v>
      </c>
      <c r="C2987" t="s">
        <v>3097</v>
      </c>
      <c r="D2987">
        <v>1</v>
      </c>
      <c r="E2987" s="358">
        <v>5</v>
      </c>
      <c r="F2987" s="358" t="s">
        <v>75</v>
      </c>
      <c r="G2987" s="358" t="s">
        <v>11</v>
      </c>
      <c r="H2987" s="358" t="s">
        <v>11</v>
      </c>
    </row>
    <row r="2988" spans="1:8" x14ac:dyDescent="0.3">
      <c r="A2988" t="s">
        <v>61</v>
      </c>
      <c r="B2988" t="s">
        <v>85</v>
      </c>
      <c r="C2988" t="s">
        <v>3098</v>
      </c>
      <c r="D2988">
        <v>3</v>
      </c>
      <c r="E2988" s="358">
        <v>4</v>
      </c>
      <c r="F2988" s="358" t="s">
        <v>105</v>
      </c>
      <c r="G2988" s="358" t="s">
        <v>11</v>
      </c>
      <c r="H2988" s="358" t="s">
        <v>11</v>
      </c>
    </row>
    <row r="2989" spans="1:8" x14ac:dyDescent="0.3">
      <c r="A2989" t="s">
        <v>61</v>
      </c>
      <c r="B2989" t="s">
        <v>85</v>
      </c>
      <c r="C2989" t="s">
        <v>3099</v>
      </c>
      <c r="D2989">
        <v>1</v>
      </c>
      <c r="E2989" s="358">
        <v>5</v>
      </c>
      <c r="F2989" s="358" t="s">
        <v>75</v>
      </c>
      <c r="G2989" s="358" t="s">
        <v>11</v>
      </c>
      <c r="H2989" s="358" t="s">
        <v>11</v>
      </c>
    </row>
    <row r="2990" spans="1:8" x14ac:dyDescent="0.3">
      <c r="A2990" t="s">
        <v>61</v>
      </c>
      <c r="B2990" t="s">
        <v>85</v>
      </c>
      <c r="C2990" t="s">
        <v>2001</v>
      </c>
      <c r="D2990">
        <v>1</v>
      </c>
      <c r="E2990" s="358">
        <v>6</v>
      </c>
      <c r="F2990" s="358" t="s">
        <v>75</v>
      </c>
      <c r="G2990" s="358" t="s">
        <v>11</v>
      </c>
      <c r="H2990" s="358" t="s">
        <v>11</v>
      </c>
    </row>
    <row r="2991" spans="1:8" x14ac:dyDescent="0.3">
      <c r="A2991" t="s">
        <v>61</v>
      </c>
      <c r="B2991" t="s">
        <v>85</v>
      </c>
      <c r="C2991" t="s">
        <v>2421</v>
      </c>
      <c r="D2991">
        <v>3</v>
      </c>
      <c r="E2991" s="358">
        <v>4</v>
      </c>
      <c r="F2991" s="358" t="s">
        <v>105</v>
      </c>
      <c r="G2991" s="358" t="s">
        <v>11</v>
      </c>
      <c r="H2991" s="358" t="s">
        <v>11</v>
      </c>
    </row>
    <row r="2992" spans="1:8" x14ac:dyDescent="0.3">
      <c r="A2992" t="s">
        <v>61</v>
      </c>
      <c r="B2992" t="s">
        <v>85</v>
      </c>
      <c r="C2992" t="s">
        <v>3100</v>
      </c>
      <c r="D2992">
        <v>3</v>
      </c>
      <c r="E2992" s="358">
        <v>4</v>
      </c>
      <c r="F2992" s="358" t="s">
        <v>105</v>
      </c>
      <c r="G2992" s="358" t="s">
        <v>11</v>
      </c>
      <c r="H2992" s="358" t="s">
        <v>11</v>
      </c>
    </row>
    <row r="2993" spans="1:8" x14ac:dyDescent="0.3">
      <c r="A2993" t="s">
        <v>61</v>
      </c>
      <c r="B2993" t="s">
        <v>85</v>
      </c>
      <c r="C2993" t="s">
        <v>3101</v>
      </c>
      <c r="D2993">
        <v>2</v>
      </c>
      <c r="E2993" s="358">
        <v>5</v>
      </c>
      <c r="F2993" s="358" t="s">
        <v>75</v>
      </c>
      <c r="G2993" s="358" t="s">
        <v>11</v>
      </c>
      <c r="H2993" s="358" t="s">
        <v>11</v>
      </c>
    </row>
    <row r="2994" spans="1:8" x14ac:dyDescent="0.3">
      <c r="A2994" t="s">
        <v>61</v>
      </c>
      <c r="B2994" t="s">
        <v>85</v>
      </c>
      <c r="C2994" t="s">
        <v>3102</v>
      </c>
      <c r="D2994">
        <v>3</v>
      </c>
      <c r="E2994" s="358">
        <v>4</v>
      </c>
      <c r="F2994" s="358" t="s">
        <v>105</v>
      </c>
      <c r="G2994" s="358" t="s">
        <v>11</v>
      </c>
      <c r="H2994" s="358" t="s">
        <v>11</v>
      </c>
    </row>
    <row r="2995" spans="1:8" x14ac:dyDescent="0.3">
      <c r="A2995" t="s">
        <v>61</v>
      </c>
      <c r="B2995" t="s">
        <v>85</v>
      </c>
      <c r="C2995" t="s">
        <v>3103</v>
      </c>
      <c r="D2995">
        <v>2</v>
      </c>
      <c r="E2995" s="358">
        <v>5</v>
      </c>
      <c r="F2995" s="358" t="s">
        <v>75</v>
      </c>
      <c r="G2995" s="358" t="s">
        <v>11</v>
      </c>
      <c r="H2995" s="358" t="s">
        <v>11</v>
      </c>
    </row>
    <row r="2996" spans="1:8" x14ac:dyDescent="0.3">
      <c r="A2996" t="s">
        <v>61</v>
      </c>
      <c r="B2996" t="s">
        <v>85</v>
      </c>
      <c r="C2996" t="s">
        <v>3104</v>
      </c>
      <c r="D2996">
        <v>2</v>
      </c>
      <c r="E2996" s="358">
        <v>5</v>
      </c>
      <c r="F2996" s="358" t="s">
        <v>75</v>
      </c>
      <c r="G2996" s="358" t="s">
        <v>11</v>
      </c>
      <c r="H2996" s="358" t="s">
        <v>11</v>
      </c>
    </row>
    <row r="2997" spans="1:8" x14ac:dyDescent="0.3">
      <c r="A2997" t="s">
        <v>63</v>
      </c>
      <c r="B2997" t="s">
        <v>103</v>
      </c>
      <c r="C2997" t="s">
        <v>1317</v>
      </c>
      <c r="D2997">
        <v>2</v>
      </c>
      <c r="E2997" s="358">
        <v>5</v>
      </c>
      <c r="F2997" s="358" t="s">
        <v>7</v>
      </c>
      <c r="G2997" s="358" t="s">
        <v>11</v>
      </c>
      <c r="H2997" s="358" t="s">
        <v>11</v>
      </c>
    </row>
    <row r="2998" spans="1:8" x14ac:dyDescent="0.3">
      <c r="A2998" t="s">
        <v>63</v>
      </c>
      <c r="B2998" t="s">
        <v>103</v>
      </c>
      <c r="C2998" t="s">
        <v>2733</v>
      </c>
      <c r="D2998">
        <v>1</v>
      </c>
      <c r="E2998" s="358">
        <v>4</v>
      </c>
      <c r="F2998" s="358" t="s">
        <v>7</v>
      </c>
      <c r="G2998" s="358" t="s">
        <v>11</v>
      </c>
      <c r="H2998" s="358" t="s">
        <v>11</v>
      </c>
    </row>
    <row r="2999" spans="1:8" x14ac:dyDescent="0.3">
      <c r="A2999" t="s">
        <v>63</v>
      </c>
      <c r="B2999" t="s">
        <v>103</v>
      </c>
      <c r="C2999" t="s">
        <v>1431</v>
      </c>
      <c r="D2999">
        <v>3</v>
      </c>
      <c r="E2999" s="358">
        <v>4</v>
      </c>
      <c r="F2999" s="358" t="s">
        <v>7</v>
      </c>
      <c r="G2999" s="358" t="s">
        <v>11</v>
      </c>
      <c r="H2999" s="358" t="s">
        <v>11</v>
      </c>
    </row>
    <row r="3000" spans="1:8" x14ac:dyDescent="0.3">
      <c r="A3000" t="s">
        <v>63</v>
      </c>
      <c r="B3000" t="s">
        <v>103</v>
      </c>
      <c r="C3000" t="s">
        <v>3105</v>
      </c>
      <c r="D3000">
        <v>2</v>
      </c>
      <c r="E3000" s="358">
        <v>4</v>
      </c>
      <c r="F3000" s="358" t="s">
        <v>7</v>
      </c>
      <c r="G3000" s="358" t="s">
        <v>11</v>
      </c>
      <c r="H3000" s="358" t="s">
        <v>11</v>
      </c>
    </row>
    <row r="3001" spans="1:8" x14ac:dyDescent="0.3">
      <c r="A3001" t="s">
        <v>63</v>
      </c>
      <c r="B3001" t="s">
        <v>103</v>
      </c>
      <c r="C3001" t="s">
        <v>3106</v>
      </c>
      <c r="D3001">
        <v>1</v>
      </c>
      <c r="E3001" s="358">
        <v>5</v>
      </c>
      <c r="F3001" s="358" t="s">
        <v>7</v>
      </c>
      <c r="G3001" s="358" t="s">
        <v>11</v>
      </c>
      <c r="H3001" s="358" t="s">
        <v>11</v>
      </c>
    </row>
    <row r="3002" spans="1:8" x14ac:dyDescent="0.3">
      <c r="A3002" t="s">
        <v>63</v>
      </c>
      <c r="B3002" t="s">
        <v>103</v>
      </c>
      <c r="C3002" t="s">
        <v>3107</v>
      </c>
      <c r="D3002">
        <v>2</v>
      </c>
      <c r="E3002" s="358">
        <v>4</v>
      </c>
      <c r="F3002" s="358" t="s">
        <v>7</v>
      </c>
      <c r="G3002" s="358" t="s">
        <v>11</v>
      </c>
      <c r="H3002" s="358" t="s">
        <v>11</v>
      </c>
    </row>
    <row r="3003" spans="1:8" x14ac:dyDescent="0.3">
      <c r="A3003" t="s">
        <v>63</v>
      </c>
      <c r="B3003" t="s">
        <v>103</v>
      </c>
      <c r="C3003" t="s">
        <v>1322</v>
      </c>
      <c r="D3003">
        <v>2</v>
      </c>
      <c r="E3003" s="358">
        <v>4</v>
      </c>
      <c r="F3003" s="358" t="s">
        <v>7</v>
      </c>
      <c r="G3003" s="358" t="s">
        <v>11</v>
      </c>
      <c r="H3003" s="358" t="s">
        <v>11</v>
      </c>
    </row>
    <row r="3004" spans="1:8" x14ac:dyDescent="0.3">
      <c r="A3004" t="s">
        <v>63</v>
      </c>
      <c r="B3004" t="s">
        <v>103</v>
      </c>
      <c r="C3004" t="s">
        <v>1328</v>
      </c>
      <c r="D3004">
        <v>2</v>
      </c>
      <c r="E3004" s="358">
        <v>4</v>
      </c>
      <c r="F3004" s="358" t="s">
        <v>7</v>
      </c>
      <c r="G3004" s="358" t="s">
        <v>11</v>
      </c>
      <c r="H3004" s="358" t="s">
        <v>11</v>
      </c>
    </row>
    <row r="3005" spans="1:8" x14ac:dyDescent="0.3">
      <c r="A3005" t="s">
        <v>63</v>
      </c>
      <c r="B3005" t="s">
        <v>103</v>
      </c>
      <c r="C3005" t="s">
        <v>3108</v>
      </c>
      <c r="D3005">
        <v>2</v>
      </c>
      <c r="E3005" s="358">
        <v>5</v>
      </c>
      <c r="F3005" s="358" t="s">
        <v>7</v>
      </c>
      <c r="G3005" s="358" t="s">
        <v>11</v>
      </c>
      <c r="H3005" s="358" t="s">
        <v>11</v>
      </c>
    </row>
    <row r="3006" spans="1:8" x14ac:dyDescent="0.3">
      <c r="A3006" t="s">
        <v>63</v>
      </c>
      <c r="B3006" t="s">
        <v>103</v>
      </c>
      <c r="C3006" t="s">
        <v>1343</v>
      </c>
      <c r="D3006">
        <v>2</v>
      </c>
      <c r="E3006" s="358">
        <v>5</v>
      </c>
      <c r="F3006" s="358" t="s">
        <v>7</v>
      </c>
      <c r="G3006" s="358" t="s">
        <v>11</v>
      </c>
      <c r="H3006" s="358" t="s">
        <v>11</v>
      </c>
    </row>
    <row r="3007" spans="1:8" x14ac:dyDescent="0.3">
      <c r="A3007" t="s">
        <v>63</v>
      </c>
      <c r="B3007" t="s">
        <v>103</v>
      </c>
      <c r="C3007" t="s">
        <v>1700</v>
      </c>
      <c r="D3007">
        <v>2</v>
      </c>
      <c r="E3007" s="358">
        <v>4</v>
      </c>
      <c r="F3007" s="358" t="s">
        <v>7</v>
      </c>
      <c r="G3007" s="358" t="s">
        <v>11</v>
      </c>
      <c r="H3007" s="358" t="s">
        <v>11</v>
      </c>
    </row>
    <row r="3008" spans="1:8" x14ac:dyDescent="0.3">
      <c r="A3008" t="s">
        <v>63</v>
      </c>
      <c r="B3008" t="s">
        <v>103</v>
      </c>
      <c r="C3008" t="s">
        <v>1448</v>
      </c>
      <c r="D3008">
        <v>1</v>
      </c>
      <c r="E3008" s="358">
        <v>5</v>
      </c>
      <c r="F3008" s="358" t="s">
        <v>7</v>
      </c>
      <c r="G3008" s="358" t="s">
        <v>11</v>
      </c>
      <c r="H3008" s="358" t="s">
        <v>11</v>
      </c>
    </row>
    <row r="3009" spans="1:8" x14ac:dyDescent="0.3">
      <c r="A3009" t="s">
        <v>63</v>
      </c>
      <c r="B3009" t="s">
        <v>103</v>
      </c>
      <c r="C3009" t="s">
        <v>3109</v>
      </c>
      <c r="D3009">
        <v>1</v>
      </c>
      <c r="E3009" s="358">
        <v>5</v>
      </c>
      <c r="F3009" s="358" t="s">
        <v>7</v>
      </c>
      <c r="G3009" s="358" t="s">
        <v>11</v>
      </c>
      <c r="H3009" s="358" t="s">
        <v>11</v>
      </c>
    </row>
    <row r="3010" spans="1:8" x14ac:dyDescent="0.3">
      <c r="A3010" t="s">
        <v>63</v>
      </c>
      <c r="B3010" t="s">
        <v>103</v>
      </c>
      <c r="C3010" t="s">
        <v>2144</v>
      </c>
      <c r="D3010">
        <v>1</v>
      </c>
      <c r="E3010" s="358">
        <v>5</v>
      </c>
      <c r="F3010" s="358" t="s">
        <v>7</v>
      </c>
      <c r="G3010" s="358" t="s">
        <v>11</v>
      </c>
      <c r="H3010" s="358" t="s">
        <v>11</v>
      </c>
    </row>
    <row r="3011" spans="1:8" x14ac:dyDescent="0.3">
      <c r="A3011" t="s">
        <v>63</v>
      </c>
      <c r="B3011" t="s">
        <v>103</v>
      </c>
      <c r="C3011" t="s">
        <v>1708</v>
      </c>
      <c r="D3011">
        <v>1</v>
      </c>
      <c r="E3011" s="358">
        <v>5</v>
      </c>
      <c r="F3011" s="358" t="s">
        <v>7</v>
      </c>
      <c r="G3011" s="358" t="s">
        <v>11</v>
      </c>
      <c r="H3011" s="358" t="s">
        <v>11</v>
      </c>
    </row>
    <row r="3012" spans="1:8" x14ac:dyDescent="0.3">
      <c r="A3012" t="s">
        <v>63</v>
      </c>
      <c r="B3012" t="s">
        <v>103</v>
      </c>
      <c r="C3012" t="s">
        <v>3110</v>
      </c>
      <c r="D3012">
        <v>1</v>
      </c>
      <c r="E3012" s="358">
        <v>5</v>
      </c>
      <c r="F3012" s="358" t="s">
        <v>7</v>
      </c>
      <c r="G3012" s="358" t="s">
        <v>11</v>
      </c>
      <c r="H3012" s="358" t="s">
        <v>11</v>
      </c>
    </row>
    <row r="3013" spans="1:8" x14ac:dyDescent="0.3">
      <c r="A3013" t="s">
        <v>63</v>
      </c>
      <c r="B3013" t="s">
        <v>103</v>
      </c>
      <c r="C3013" t="s">
        <v>1867</v>
      </c>
      <c r="D3013">
        <v>2</v>
      </c>
      <c r="E3013" s="358">
        <v>5</v>
      </c>
      <c r="F3013" s="358" t="s">
        <v>7</v>
      </c>
      <c r="G3013" s="358" t="s">
        <v>11</v>
      </c>
      <c r="H3013" s="358" t="s">
        <v>11</v>
      </c>
    </row>
    <row r="3014" spans="1:8" x14ac:dyDescent="0.3">
      <c r="A3014" t="s">
        <v>63</v>
      </c>
      <c r="B3014" t="s">
        <v>103</v>
      </c>
      <c r="C3014" t="s">
        <v>1350</v>
      </c>
      <c r="D3014">
        <v>2</v>
      </c>
      <c r="E3014" s="358">
        <v>4</v>
      </c>
      <c r="F3014" s="358" t="s">
        <v>7</v>
      </c>
      <c r="G3014" s="358" t="s">
        <v>11</v>
      </c>
      <c r="H3014" s="358" t="s">
        <v>11</v>
      </c>
    </row>
    <row r="3015" spans="1:8" x14ac:dyDescent="0.3">
      <c r="A3015" t="s">
        <v>63</v>
      </c>
      <c r="B3015" t="s">
        <v>103</v>
      </c>
      <c r="C3015" t="s">
        <v>1351</v>
      </c>
      <c r="D3015">
        <v>1</v>
      </c>
      <c r="E3015" s="358">
        <v>4</v>
      </c>
      <c r="F3015" s="358" t="s">
        <v>7</v>
      </c>
      <c r="G3015" s="358" t="s">
        <v>11</v>
      </c>
      <c r="H3015" s="358" t="s">
        <v>11</v>
      </c>
    </row>
    <row r="3016" spans="1:8" x14ac:dyDescent="0.3">
      <c r="A3016" t="s">
        <v>63</v>
      </c>
      <c r="B3016" t="s">
        <v>103</v>
      </c>
      <c r="C3016" t="s">
        <v>3111</v>
      </c>
      <c r="D3016">
        <v>3</v>
      </c>
      <c r="E3016" s="358">
        <v>4</v>
      </c>
      <c r="F3016" s="358" t="s">
        <v>7</v>
      </c>
      <c r="G3016" s="358" t="s">
        <v>11</v>
      </c>
      <c r="H3016" s="358" t="s">
        <v>11</v>
      </c>
    </row>
    <row r="3017" spans="1:8" x14ac:dyDescent="0.3">
      <c r="A3017" t="s">
        <v>63</v>
      </c>
      <c r="B3017" t="s">
        <v>103</v>
      </c>
      <c r="C3017" t="s">
        <v>1792</v>
      </c>
      <c r="D3017">
        <v>2</v>
      </c>
      <c r="E3017" s="358">
        <v>5</v>
      </c>
      <c r="F3017" s="358" t="s">
        <v>7</v>
      </c>
      <c r="G3017" s="358" t="s">
        <v>11</v>
      </c>
      <c r="H3017" s="358" t="s">
        <v>11</v>
      </c>
    </row>
    <row r="3018" spans="1:8" x14ac:dyDescent="0.3">
      <c r="A3018" t="s">
        <v>63</v>
      </c>
      <c r="B3018" t="s">
        <v>103</v>
      </c>
      <c r="C3018" t="s">
        <v>1456</v>
      </c>
      <c r="D3018">
        <v>2</v>
      </c>
      <c r="E3018" s="358">
        <v>4</v>
      </c>
      <c r="F3018" s="358" t="s">
        <v>7</v>
      </c>
      <c r="G3018" s="358" t="s">
        <v>11</v>
      </c>
      <c r="H3018" s="358" t="s">
        <v>11</v>
      </c>
    </row>
    <row r="3019" spans="1:8" x14ac:dyDescent="0.3">
      <c r="A3019" t="s">
        <v>63</v>
      </c>
      <c r="B3019" t="s">
        <v>103</v>
      </c>
      <c r="C3019" t="s">
        <v>1458</v>
      </c>
      <c r="D3019">
        <v>3</v>
      </c>
      <c r="E3019" s="358">
        <v>4</v>
      </c>
      <c r="F3019" s="358" t="s">
        <v>7</v>
      </c>
      <c r="G3019" s="358" t="s">
        <v>11</v>
      </c>
      <c r="H3019" s="358" t="s">
        <v>11</v>
      </c>
    </row>
    <row r="3020" spans="1:8" x14ac:dyDescent="0.3">
      <c r="A3020" t="s">
        <v>63</v>
      </c>
      <c r="B3020" t="s">
        <v>103</v>
      </c>
      <c r="C3020" t="s">
        <v>1361</v>
      </c>
      <c r="D3020">
        <v>2</v>
      </c>
      <c r="E3020" s="358">
        <v>5</v>
      </c>
      <c r="F3020" s="358" t="s">
        <v>7</v>
      </c>
      <c r="G3020" s="358" t="s">
        <v>11</v>
      </c>
      <c r="H3020" s="358" t="s">
        <v>11</v>
      </c>
    </row>
    <row r="3021" spans="1:8" x14ac:dyDescent="0.3">
      <c r="A3021" t="s">
        <v>63</v>
      </c>
      <c r="B3021" t="s">
        <v>103</v>
      </c>
      <c r="C3021" t="s">
        <v>1362</v>
      </c>
      <c r="D3021">
        <v>1</v>
      </c>
      <c r="E3021" s="358">
        <v>5</v>
      </c>
      <c r="F3021" s="358" t="s">
        <v>7</v>
      </c>
      <c r="G3021" s="358" t="s">
        <v>11</v>
      </c>
      <c r="H3021" s="358" t="s">
        <v>11</v>
      </c>
    </row>
    <row r="3022" spans="1:8" x14ac:dyDescent="0.3">
      <c r="A3022" t="s">
        <v>63</v>
      </c>
      <c r="B3022" t="s">
        <v>103</v>
      </c>
      <c r="C3022" t="s">
        <v>1832</v>
      </c>
      <c r="D3022">
        <v>2</v>
      </c>
      <c r="E3022" s="358">
        <v>4</v>
      </c>
      <c r="F3022" s="358" t="s">
        <v>7</v>
      </c>
      <c r="G3022" s="358" t="s">
        <v>11</v>
      </c>
      <c r="H3022" s="358" t="s">
        <v>11</v>
      </c>
    </row>
    <row r="3023" spans="1:8" x14ac:dyDescent="0.3">
      <c r="A3023" t="s">
        <v>63</v>
      </c>
      <c r="B3023" t="s">
        <v>103</v>
      </c>
      <c r="C3023" t="s">
        <v>2542</v>
      </c>
      <c r="D3023">
        <v>3</v>
      </c>
      <c r="E3023" s="358">
        <v>4</v>
      </c>
      <c r="F3023" s="358" t="s">
        <v>7</v>
      </c>
      <c r="G3023" s="358" t="s">
        <v>11</v>
      </c>
      <c r="H3023" s="358" t="s">
        <v>11</v>
      </c>
    </row>
    <row r="3024" spans="1:8" x14ac:dyDescent="0.3">
      <c r="A3024" t="s">
        <v>63</v>
      </c>
      <c r="B3024" t="s">
        <v>103</v>
      </c>
      <c r="C3024" t="s">
        <v>1838</v>
      </c>
      <c r="D3024">
        <v>1</v>
      </c>
      <c r="E3024" s="358">
        <v>4</v>
      </c>
      <c r="F3024" s="358" t="s">
        <v>7</v>
      </c>
      <c r="G3024" s="358" t="s">
        <v>11</v>
      </c>
      <c r="H3024" s="358" t="s">
        <v>11</v>
      </c>
    </row>
    <row r="3025" spans="1:8" x14ac:dyDescent="0.3">
      <c r="A3025" t="s">
        <v>63</v>
      </c>
      <c r="B3025" t="s">
        <v>103</v>
      </c>
      <c r="C3025" t="s">
        <v>1575</v>
      </c>
      <c r="D3025">
        <v>1</v>
      </c>
      <c r="E3025" s="358">
        <v>5</v>
      </c>
      <c r="F3025" s="358" t="s">
        <v>7</v>
      </c>
      <c r="G3025" s="358" t="s">
        <v>11</v>
      </c>
      <c r="H3025" s="358" t="s">
        <v>11</v>
      </c>
    </row>
    <row r="3026" spans="1:8" x14ac:dyDescent="0.3">
      <c r="A3026" t="s">
        <v>63</v>
      </c>
      <c r="B3026" t="s">
        <v>103</v>
      </c>
      <c r="C3026" t="s">
        <v>3112</v>
      </c>
      <c r="D3026">
        <v>3</v>
      </c>
      <c r="E3026" s="358">
        <v>4</v>
      </c>
      <c r="F3026" s="358" t="s">
        <v>7</v>
      </c>
      <c r="G3026" s="358" t="s">
        <v>11</v>
      </c>
      <c r="H3026" s="358" t="s">
        <v>11</v>
      </c>
    </row>
    <row r="3027" spans="1:8" x14ac:dyDescent="0.3">
      <c r="A3027" t="s">
        <v>63</v>
      </c>
      <c r="B3027" t="s">
        <v>103</v>
      </c>
      <c r="C3027" t="s">
        <v>3113</v>
      </c>
      <c r="D3027">
        <v>1</v>
      </c>
      <c r="E3027" s="358">
        <v>5</v>
      </c>
      <c r="F3027" s="358" t="s">
        <v>7</v>
      </c>
      <c r="G3027" s="358" t="s">
        <v>11</v>
      </c>
      <c r="H3027" s="358" t="s">
        <v>11</v>
      </c>
    </row>
    <row r="3028" spans="1:8" x14ac:dyDescent="0.3">
      <c r="A3028" t="s">
        <v>63</v>
      </c>
      <c r="B3028" t="s">
        <v>103</v>
      </c>
      <c r="C3028" t="s">
        <v>1364</v>
      </c>
      <c r="D3028">
        <v>1</v>
      </c>
      <c r="E3028" s="358">
        <v>4</v>
      </c>
      <c r="F3028" s="358" t="s">
        <v>7</v>
      </c>
      <c r="G3028" s="358" t="s">
        <v>11</v>
      </c>
      <c r="H3028" s="358" t="s">
        <v>11</v>
      </c>
    </row>
    <row r="3029" spans="1:8" x14ac:dyDescent="0.3">
      <c r="A3029" t="s">
        <v>63</v>
      </c>
      <c r="B3029" t="s">
        <v>103</v>
      </c>
      <c r="C3029" t="s">
        <v>1366</v>
      </c>
      <c r="D3029">
        <v>1</v>
      </c>
      <c r="E3029" s="358">
        <v>4</v>
      </c>
      <c r="F3029" s="358" t="s">
        <v>7</v>
      </c>
      <c r="G3029" s="358" t="s">
        <v>11</v>
      </c>
      <c r="H3029" s="358" t="s">
        <v>11</v>
      </c>
    </row>
    <row r="3030" spans="1:8" x14ac:dyDescent="0.3">
      <c r="A3030" t="s">
        <v>63</v>
      </c>
      <c r="B3030" t="s">
        <v>103</v>
      </c>
      <c r="C3030" t="s">
        <v>2052</v>
      </c>
      <c r="D3030">
        <v>2</v>
      </c>
      <c r="E3030" s="358">
        <v>5</v>
      </c>
      <c r="F3030" s="358" t="s">
        <v>7</v>
      </c>
      <c r="G3030" s="358" t="s">
        <v>11</v>
      </c>
      <c r="H3030" s="358" t="s">
        <v>11</v>
      </c>
    </row>
    <row r="3031" spans="1:8" x14ac:dyDescent="0.3">
      <c r="A3031" t="s">
        <v>63</v>
      </c>
      <c r="B3031" t="s">
        <v>103</v>
      </c>
      <c r="C3031" t="s">
        <v>1877</v>
      </c>
      <c r="D3031">
        <v>1</v>
      </c>
      <c r="E3031" s="358">
        <v>5</v>
      </c>
      <c r="F3031" s="358" t="s">
        <v>7</v>
      </c>
      <c r="G3031" s="358" t="s">
        <v>11</v>
      </c>
      <c r="H3031" s="358" t="s">
        <v>11</v>
      </c>
    </row>
    <row r="3032" spans="1:8" x14ac:dyDescent="0.3">
      <c r="A3032" t="s">
        <v>63</v>
      </c>
      <c r="B3032" t="s">
        <v>103</v>
      </c>
      <c r="C3032" t="s">
        <v>2055</v>
      </c>
      <c r="D3032">
        <v>1</v>
      </c>
      <c r="E3032" s="358">
        <v>5</v>
      </c>
      <c r="F3032" s="358" t="s">
        <v>7</v>
      </c>
      <c r="G3032" s="358" t="s">
        <v>11</v>
      </c>
      <c r="H3032" s="358" t="s">
        <v>11</v>
      </c>
    </row>
    <row r="3033" spans="1:8" x14ac:dyDescent="0.3">
      <c r="A3033" t="s">
        <v>63</v>
      </c>
      <c r="B3033" t="s">
        <v>103</v>
      </c>
      <c r="C3033" t="s">
        <v>3114</v>
      </c>
      <c r="D3033">
        <v>2</v>
      </c>
      <c r="E3033" s="358">
        <v>4</v>
      </c>
      <c r="F3033" s="358" t="s">
        <v>7</v>
      </c>
      <c r="G3033" s="358" t="s">
        <v>11</v>
      </c>
      <c r="H3033" s="358" t="s">
        <v>11</v>
      </c>
    </row>
    <row r="3034" spans="1:8" x14ac:dyDescent="0.3">
      <c r="A3034" t="s">
        <v>63</v>
      </c>
      <c r="B3034" t="s">
        <v>103</v>
      </c>
      <c r="C3034" t="s">
        <v>1931</v>
      </c>
      <c r="D3034">
        <v>1</v>
      </c>
      <c r="E3034" s="358">
        <v>5</v>
      </c>
      <c r="F3034" s="358" t="s">
        <v>7</v>
      </c>
      <c r="G3034" s="358" t="s">
        <v>11</v>
      </c>
      <c r="H3034" s="358" t="s">
        <v>11</v>
      </c>
    </row>
    <row r="3035" spans="1:8" x14ac:dyDescent="0.3">
      <c r="A3035" t="s">
        <v>63</v>
      </c>
      <c r="B3035" t="s">
        <v>103</v>
      </c>
      <c r="C3035" t="s">
        <v>3115</v>
      </c>
      <c r="D3035">
        <v>1</v>
      </c>
      <c r="E3035" s="358">
        <v>5</v>
      </c>
      <c r="F3035" s="358" t="s">
        <v>7</v>
      </c>
      <c r="G3035" s="358" t="s">
        <v>11</v>
      </c>
      <c r="H3035" s="358" t="s">
        <v>11</v>
      </c>
    </row>
    <row r="3036" spans="1:8" x14ac:dyDescent="0.3">
      <c r="A3036" t="s">
        <v>63</v>
      </c>
      <c r="B3036" t="s">
        <v>103</v>
      </c>
      <c r="C3036" t="s">
        <v>1645</v>
      </c>
      <c r="D3036">
        <v>2</v>
      </c>
      <c r="E3036" s="358">
        <v>4</v>
      </c>
      <c r="F3036" s="358" t="s">
        <v>7</v>
      </c>
      <c r="G3036" s="358" t="s">
        <v>11</v>
      </c>
      <c r="H3036" s="358" t="s">
        <v>11</v>
      </c>
    </row>
    <row r="3037" spans="1:8" x14ac:dyDescent="0.3">
      <c r="A3037" t="s">
        <v>63</v>
      </c>
      <c r="B3037" t="s">
        <v>103</v>
      </c>
      <c r="C3037" t="s">
        <v>3116</v>
      </c>
      <c r="D3037">
        <v>2</v>
      </c>
      <c r="E3037" s="358">
        <v>5</v>
      </c>
      <c r="F3037" s="358" t="s">
        <v>7</v>
      </c>
      <c r="G3037" s="358" t="s">
        <v>11</v>
      </c>
      <c r="H3037" s="358" t="s">
        <v>11</v>
      </c>
    </row>
    <row r="3038" spans="1:8" x14ac:dyDescent="0.3">
      <c r="A3038" t="s">
        <v>63</v>
      </c>
      <c r="B3038" t="s">
        <v>103</v>
      </c>
      <c r="C3038" t="s">
        <v>1370</v>
      </c>
      <c r="D3038">
        <v>2</v>
      </c>
      <c r="E3038" s="358">
        <v>5</v>
      </c>
      <c r="F3038" s="358" t="s">
        <v>7</v>
      </c>
      <c r="G3038" s="358" t="s">
        <v>11</v>
      </c>
      <c r="H3038" s="358" t="s">
        <v>11</v>
      </c>
    </row>
    <row r="3039" spans="1:8" x14ac:dyDescent="0.3">
      <c r="A3039" t="s">
        <v>63</v>
      </c>
      <c r="B3039" t="s">
        <v>103</v>
      </c>
      <c r="C3039" t="s">
        <v>3117</v>
      </c>
      <c r="D3039">
        <v>2</v>
      </c>
      <c r="E3039" s="358">
        <v>4</v>
      </c>
      <c r="F3039" s="358" t="s">
        <v>7</v>
      </c>
      <c r="G3039" s="358" t="s">
        <v>11</v>
      </c>
      <c r="H3039" s="358" t="s">
        <v>11</v>
      </c>
    </row>
    <row r="3040" spans="1:8" x14ac:dyDescent="0.3">
      <c r="A3040" t="s">
        <v>63</v>
      </c>
      <c r="B3040" t="s">
        <v>103</v>
      </c>
      <c r="C3040" t="s">
        <v>2813</v>
      </c>
      <c r="D3040">
        <v>2</v>
      </c>
      <c r="E3040" s="358">
        <v>4</v>
      </c>
      <c r="F3040" s="358" t="s">
        <v>7</v>
      </c>
      <c r="G3040" s="358" t="s">
        <v>11</v>
      </c>
      <c r="H3040" s="358" t="s">
        <v>11</v>
      </c>
    </row>
    <row r="3041" spans="1:8" x14ac:dyDescent="0.3">
      <c r="A3041" t="s">
        <v>63</v>
      </c>
      <c r="B3041" t="s">
        <v>103</v>
      </c>
      <c r="C3041" t="s">
        <v>3118</v>
      </c>
      <c r="D3041">
        <v>1</v>
      </c>
      <c r="E3041" s="358">
        <v>5</v>
      </c>
      <c r="F3041" s="358" t="s">
        <v>7</v>
      </c>
      <c r="G3041" s="358" t="s">
        <v>11</v>
      </c>
      <c r="H3041" s="358" t="s">
        <v>11</v>
      </c>
    </row>
    <row r="3042" spans="1:8" x14ac:dyDescent="0.3">
      <c r="A3042" t="s">
        <v>63</v>
      </c>
      <c r="B3042" t="s">
        <v>103</v>
      </c>
      <c r="C3042" t="s">
        <v>1652</v>
      </c>
      <c r="D3042">
        <v>2</v>
      </c>
      <c r="E3042" s="358">
        <v>5</v>
      </c>
      <c r="F3042" s="358" t="s">
        <v>7</v>
      </c>
      <c r="G3042" s="358" t="s">
        <v>11</v>
      </c>
      <c r="H3042" s="358" t="s">
        <v>11</v>
      </c>
    </row>
    <row r="3043" spans="1:8" x14ac:dyDescent="0.3">
      <c r="A3043" t="s">
        <v>63</v>
      </c>
      <c r="B3043" t="s">
        <v>103</v>
      </c>
      <c r="C3043" t="s">
        <v>3119</v>
      </c>
      <c r="D3043">
        <v>2</v>
      </c>
      <c r="E3043" s="358">
        <v>5</v>
      </c>
      <c r="F3043" s="358" t="s">
        <v>7</v>
      </c>
      <c r="G3043" s="358" t="s">
        <v>11</v>
      </c>
      <c r="H3043" s="358" t="s">
        <v>11</v>
      </c>
    </row>
    <row r="3044" spans="1:8" x14ac:dyDescent="0.3">
      <c r="A3044" t="s">
        <v>63</v>
      </c>
      <c r="B3044" t="s">
        <v>103</v>
      </c>
      <c r="C3044" t="s">
        <v>2959</v>
      </c>
      <c r="D3044">
        <v>2</v>
      </c>
      <c r="E3044" s="358">
        <v>4</v>
      </c>
      <c r="F3044" s="358" t="s">
        <v>7</v>
      </c>
      <c r="G3044" s="358" t="s">
        <v>11</v>
      </c>
      <c r="H3044" s="358" t="s">
        <v>11</v>
      </c>
    </row>
    <row r="3045" spans="1:8" x14ac:dyDescent="0.3">
      <c r="A3045" t="s">
        <v>63</v>
      </c>
      <c r="B3045" t="s">
        <v>103</v>
      </c>
      <c r="C3045" t="s">
        <v>2960</v>
      </c>
      <c r="D3045">
        <v>2</v>
      </c>
      <c r="E3045" s="358">
        <v>5</v>
      </c>
      <c r="F3045" s="358" t="s">
        <v>7</v>
      </c>
      <c r="G3045" s="358" t="s">
        <v>11</v>
      </c>
      <c r="H3045" s="358" t="s">
        <v>11</v>
      </c>
    </row>
    <row r="3046" spans="1:8" x14ac:dyDescent="0.3">
      <c r="A3046" t="s">
        <v>63</v>
      </c>
      <c r="B3046" t="s">
        <v>103</v>
      </c>
      <c r="C3046" t="s">
        <v>1758</v>
      </c>
      <c r="D3046">
        <v>2</v>
      </c>
      <c r="E3046" s="358">
        <v>4</v>
      </c>
      <c r="F3046" s="358" t="s">
        <v>7</v>
      </c>
      <c r="G3046" s="358" t="s">
        <v>11</v>
      </c>
      <c r="H3046" s="358" t="s">
        <v>11</v>
      </c>
    </row>
    <row r="3047" spans="1:8" x14ac:dyDescent="0.3">
      <c r="A3047" t="s">
        <v>63</v>
      </c>
      <c r="B3047" t="s">
        <v>103</v>
      </c>
      <c r="C3047" t="s">
        <v>1759</v>
      </c>
      <c r="D3047">
        <v>2</v>
      </c>
      <c r="E3047" s="358">
        <v>5</v>
      </c>
      <c r="F3047" s="358" t="s">
        <v>7</v>
      </c>
      <c r="G3047" s="358" t="s">
        <v>11</v>
      </c>
      <c r="H3047" s="358" t="s">
        <v>11</v>
      </c>
    </row>
    <row r="3048" spans="1:8" x14ac:dyDescent="0.3">
      <c r="A3048" t="s">
        <v>63</v>
      </c>
      <c r="B3048" t="s">
        <v>103</v>
      </c>
      <c r="C3048" t="s">
        <v>3120</v>
      </c>
      <c r="D3048">
        <v>1</v>
      </c>
      <c r="E3048" s="358">
        <v>5</v>
      </c>
      <c r="F3048" s="358" t="s">
        <v>7</v>
      </c>
      <c r="G3048" s="358" t="s">
        <v>11</v>
      </c>
      <c r="H3048" s="358" t="s">
        <v>11</v>
      </c>
    </row>
    <row r="3049" spans="1:8" x14ac:dyDescent="0.3">
      <c r="A3049" t="s">
        <v>63</v>
      </c>
      <c r="B3049" t="s">
        <v>103</v>
      </c>
      <c r="C3049" t="s">
        <v>3121</v>
      </c>
      <c r="D3049">
        <v>2</v>
      </c>
      <c r="E3049" s="358">
        <v>4</v>
      </c>
      <c r="F3049" s="358" t="s">
        <v>7</v>
      </c>
      <c r="G3049" s="358" t="s">
        <v>11</v>
      </c>
      <c r="H3049" s="358" t="s">
        <v>11</v>
      </c>
    </row>
    <row r="3050" spans="1:8" x14ac:dyDescent="0.3">
      <c r="A3050" t="s">
        <v>63</v>
      </c>
      <c r="B3050" t="s">
        <v>103</v>
      </c>
      <c r="C3050" t="s">
        <v>2634</v>
      </c>
      <c r="D3050">
        <v>2</v>
      </c>
      <c r="E3050" s="358">
        <v>4</v>
      </c>
      <c r="F3050" s="358" t="s">
        <v>7</v>
      </c>
      <c r="G3050" s="358" t="s">
        <v>11</v>
      </c>
      <c r="H3050" s="358" t="s">
        <v>11</v>
      </c>
    </row>
    <row r="3051" spans="1:8" x14ac:dyDescent="0.3">
      <c r="A3051" t="s">
        <v>63</v>
      </c>
      <c r="B3051" t="s">
        <v>103</v>
      </c>
      <c r="C3051" t="s">
        <v>2503</v>
      </c>
      <c r="D3051">
        <v>3</v>
      </c>
      <c r="E3051" s="358">
        <v>4</v>
      </c>
      <c r="F3051" s="358" t="s">
        <v>7</v>
      </c>
      <c r="G3051" s="358" t="s">
        <v>11</v>
      </c>
      <c r="H3051" s="358" t="s">
        <v>11</v>
      </c>
    </row>
    <row r="3052" spans="1:8" x14ac:dyDescent="0.3">
      <c r="A3052" t="s">
        <v>62</v>
      </c>
      <c r="B3052" t="s">
        <v>72</v>
      </c>
      <c r="C3052" t="s">
        <v>1540</v>
      </c>
      <c r="D3052">
        <v>2</v>
      </c>
      <c r="E3052" s="358">
        <v>6</v>
      </c>
      <c r="F3052" s="358" t="s">
        <v>7</v>
      </c>
      <c r="G3052" s="358" t="s">
        <v>11</v>
      </c>
      <c r="H3052" s="358" t="s">
        <v>11</v>
      </c>
    </row>
    <row r="3053" spans="1:8" x14ac:dyDescent="0.3">
      <c r="A3053" t="s">
        <v>62</v>
      </c>
      <c r="B3053" t="s">
        <v>72</v>
      </c>
      <c r="C3053" t="s">
        <v>2601</v>
      </c>
      <c r="D3053">
        <v>2</v>
      </c>
      <c r="E3053" s="358">
        <v>7</v>
      </c>
      <c r="F3053" s="358" t="s">
        <v>11</v>
      </c>
      <c r="G3053" s="358" t="s">
        <v>11</v>
      </c>
      <c r="H3053" s="358" t="s">
        <v>11</v>
      </c>
    </row>
    <row r="3054" spans="1:8" x14ac:dyDescent="0.3">
      <c r="A3054" t="s">
        <v>62</v>
      </c>
      <c r="B3054" t="s">
        <v>72</v>
      </c>
      <c r="C3054" t="s">
        <v>3122</v>
      </c>
      <c r="D3054">
        <v>2</v>
      </c>
      <c r="E3054" s="358">
        <v>6</v>
      </c>
      <c r="F3054" s="358" t="s">
        <v>7</v>
      </c>
      <c r="G3054" s="358" t="s">
        <v>11</v>
      </c>
      <c r="H3054" s="358" t="s">
        <v>11</v>
      </c>
    </row>
    <row r="3055" spans="1:8" x14ac:dyDescent="0.3">
      <c r="A3055" t="s">
        <v>62</v>
      </c>
      <c r="B3055" t="s">
        <v>72</v>
      </c>
      <c r="C3055" t="s">
        <v>3123</v>
      </c>
      <c r="D3055">
        <v>2</v>
      </c>
      <c r="E3055" s="358">
        <v>7</v>
      </c>
      <c r="F3055" s="358" t="s">
        <v>11</v>
      </c>
      <c r="G3055" s="358" t="s">
        <v>11</v>
      </c>
      <c r="H3055" s="358" t="s">
        <v>11</v>
      </c>
    </row>
    <row r="3056" spans="1:8" x14ac:dyDescent="0.3">
      <c r="A3056" t="s">
        <v>62</v>
      </c>
      <c r="B3056" t="s">
        <v>72</v>
      </c>
      <c r="C3056" t="s">
        <v>1805</v>
      </c>
      <c r="D3056">
        <v>2</v>
      </c>
      <c r="E3056" s="358">
        <v>6</v>
      </c>
      <c r="F3056" s="358" t="s">
        <v>7</v>
      </c>
      <c r="G3056" s="358" t="s">
        <v>11</v>
      </c>
      <c r="H3056" s="358" t="s">
        <v>11</v>
      </c>
    </row>
    <row r="3057" spans="1:8" x14ac:dyDescent="0.3">
      <c r="A3057" t="s">
        <v>62</v>
      </c>
      <c r="B3057" t="s">
        <v>72</v>
      </c>
      <c r="C3057" t="s">
        <v>2386</v>
      </c>
      <c r="D3057">
        <v>1</v>
      </c>
      <c r="E3057" s="358">
        <v>6</v>
      </c>
      <c r="F3057" s="358" t="s">
        <v>7</v>
      </c>
      <c r="G3057" s="358" t="s">
        <v>11</v>
      </c>
      <c r="H3057" s="358" t="s">
        <v>11</v>
      </c>
    </row>
    <row r="3058" spans="1:8" x14ac:dyDescent="0.3">
      <c r="A3058" t="s">
        <v>62</v>
      </c>
      <c r="B3058" t="s">
        <v>72</v>
      </c>
      <c r="C3058" t="s">
        <v>3124</v>
      </c>
      <c r="D3058">
        <v>2</v>
      </c>
      <c r="E3058" s="358">
        <v>7</v>
      </c>
      <c r="F3058" s="358" t="s">
        <v>11</v>
      </c>
      <c r="G3058" s="358" t="s">
        <v>11</v>
      </c>
      <c r="H3058" s="358" t="s">
        <v>11</v>
      </c>
    </row>
    <row r="3059" spans="1:8" x14ac:dyDescent="0.3">
      <c r="A3059" t="s">
        <v>62</v>
      </c>
      <c r="B3059" t="s">
        <v>72</v>
      </c>
      <c r="C3059" t="s">
        <v>3125</v>
      </c>
      <c r="D3059">
        <v>2</v>
      </c>
      <c r="E3059" s="358">
        <v>6</v>
      </c>
      <c r="F3059" s="358" t="s">
        <v>7</v>
      </c>
      <c r="G3059" s="358" t="s">
        <v>11</v>
      </c>
      <c r="H3059" s="358" t="s">
        <v>11</v>
      </c>
    </row>
    <row r="3060" spans="1:8" x14ac:dyDescent="0.3">
      <c r="A3060" t="s">
        <v>62</v>
      </c>
      <c r="B3060" t="s">
        <v>72</v>
      </c>
      <c r="C3060" t="s">
        <v>2160</v>
      </c>
      <c r="D3060">
        <v>2</v>
      </c>
      <c r="E3060" s="358">
        <v>6</v>
      </c>
      <c r="F3060" s="358" t="s">
        <v>7</v>
      </c>
      <c r="G3060" s="358" t="s">
        <v>11</v>
      </c>
      <c r="H3060" s="358" t="s">
        <v>11</v>
      </c>
    </row>
    <row r="3061" spans="1:8" x14ac:dyDescent="0.3">
      <c r="A3061" t="s">
        <v>62</v>
      </c>
      <c r="B3061" t="s">
        <v>72</v>
      </c>
      <c r="C3061" t="s">
        <v>1435</v>
      </c>
      <c r="D3061">
        <v>2</v>
      </c>
      <c r="E3061" s="358">
        <v>6</v>
      </c>
      <c r="F3061" s="358" t="s">
        <v>7</v>
      </c>
      <c r="G3061" s="358" t="s">
        <v>11</v>
      </c>
      <c r="H3061" s="358" t="s">
        <v>11</v>
      </c>
    </row>
    <row r="3062" spans="1:8" x14ac:dyDescent="0.3">
      <c r="A3062" t="s">
        <v>62</v>
      </c>
      <c r="B3062" t="s">
        <v>72</v>
      </c>
      <c r="C3062" t="s">
        <v>1437</v>
      </c>
      <c r="D3062">
        <v>2</v>
      </c>
      <c r="E3062" s="358">
        <v>6</v>
      </c>
      <c r="F3062" s="358" t="s">
        <v>7</v>
      </c>
      <c r="G3062" s="358" t="s">
        <v>11</v>
      </c>
      <c r="H3062" s="358" t="s">
        <v>11</v>
      </c>
    </row>
    <row r="3063" spans="1:8" x14ac:dyDescent="0.3">
      <c r="A3063" t="s">
        <v>62</v>
      </c>
      <c r="B3063" t="s">
        <v>72</v>
      </c>
      <c r="C3063" t="s">
        <v>1440</v>
      </c>
      <c r="D3063">
        <v>1</v>
      </c>
      <c r="E3063" s="358">
        <v>6</v>
      </c>
      <c r="F3063" s="358" t="s">
        <v>7</v>
      </c>
      <c r="G3063" s="358" t="s">
        <v>11</v>
      </c>
      <c r="H3063" s="358" t="s">
        <v>11</v>
      </c>
    </row>
    <row r="3064" spans="1:8" x14ac:dyDescent="0.3">
      <c r="A3064" t="s">
        <v>62</v>
      </c>
      <c r="B3064" t="s">
        <v>72</v>
      </c>
      <c r="C3064" t="s">
        <v>3126</v>
      </c>
      <c r="D3064">
        <v>1</v>
      </c>
      <c r="E3064" s="358">
        <v>6</v>
      </c>
      <c r="F3064" s="358" t="s">
        <v>7</v>
      </c>
      <c r="G3064" s="358" t="s">
        <v>11</v>
      </c>
      <c r="H3064" s="358" t="s">
        <v>11</v>
      </c>
    </row>
    <row r="3065" spans="1:8" x14ac:dyDescent="0.3">
      <c r="A3065" t="s">
        <v>62</v>
      </c>
      <c r="B3065" t="s">
        <v>72</v>
      </c>
      <c r="C3065" t="s">
        <v>1689</v>
      </c>
      <c r="D3065">
        <v>1</v>
      </c>
      <c r="E3065" s="358">
        <v>6</v>
      </c>
      <c r="F3065" s="358" t="s">
        <v>7</v>
      </c>
      <c r="G3065" s="358" t="s">
        <v>11</v>
      </c>
      <c r="H3065" s="358" t="s">
        <v>11</v>
      </c>
    </row>
    <row r="3066" spans="1:8" x14ac:dyDescent="0.3">
      <c r="A3066" t="s">
        <v>62</v>
      </c>
      <c r="B3066" t="s">
        <v>72</v>
      </c>
      <c r="C3066" t="s">
        <v>3127</v>
      </c>
      <c r="D3066">
        <v>1</v>
      </c>
      <c r="E3066" s="358">
        <v>6</v>
      </c>
      <c r="F3066" s="358" t="s">
        <v>7</v>
      </c>
      <c r="G3066" s="358" t="s">
        <v>11</v>
      </c>
      <c r="H3066" s="358" t="s">
        <v>11</v>
      </c>
    </row>
    <row r="3067" spans="1:8" x14ac:dyDescent="0.3">
      <c r="A3067" t="s">
        <v>62</v>
      </c>
      <c r="B3067" t="s">
        <v>72</v>
      </c>
      <c r="C3067" t="s">
        <v>1558</v>
      </c>
      <c r="D3067">
        <v>2</v>
      </c>
      <c r="E3067" s="358">
        <v>7</v>
      </c>
      <c r="F3067" s="358" t="s">
        <v>11</v>
      </c>
      <c r="G3067" s="358" t="s">
        <v>11</v>
      </c>
      <c r="H3067" s="358" t="s">
        <v>11</v>
      </c>
    </row>
    <row r="3068" spans="1:8" x14ac:dyDescent="0.3">
      <c r="A3068" t="s">
        <v>62</v>
      </c>
      <c r="B3068" t="s">
        <v>72</v>
      </c>
      <c r="C3068" t="s">
        <v>2578</v>
      </c>
      <c r="D3068">
        <v>2</v>
      </c>
      <c r="E3068" s="358">
        <v>6</v>
      </c>
      <c r="F3068" s="358" t="s">
        <v>7</v>
      </c>
      <c r="G3068" s="358" t="s">
        <v>11</v>
      </c>
      <c r="H3068" s="358" t="s">
        <v>11</v>
      </c>
    </row>
    <row r="3069" spans="1:8" x14ac:dyDescent="0.3">
      <c r="A3069" t="s">
        <v>62</v>
      </c>
      <c r="B3069" t="s">
        <v>72</v>
      </c>
      <c r="C3069" t="s">
        <v>3128</v>
      </c>
      <c r="D3069">
        <v>2</v>
      </c>
      <c r="E3069" s="358">
        <v>6</v>
      </c>
      <c r="F3069" s="358" t="s">
        <v>7</v>
      </c>
      <c r="G3069" s="358" t="s">
        <v>11</v>
      </c>
      <c r="H3069" s="358" t="s">
        <v>11</v>
      </c>
    </row>
    <row r="3070" spans="1:8" x14ac:dyDescent="0.3">
      <c r="A3070" t="s">
        <v>62</v>
      </c>
      <c r="B3070" t="s">
        <v>72</v>
      </c>
      <c r="C3070" t="s">
        <v>2741</v>
      </c>
      <c r="D3070">
        <v>2</v>
      </c>
      <c r="E3070" s="358">
        <v>7</v>
      </c>
      <c r="F3070" s="358" t="s">
        <v>11</v>
      </c>
      <c r="G3070" s="358" t="s">
        <v>11</v>
      </c>
      <c r="H3070" s="358" t="s">
        <v>11</v>
      </c>
    </row>
    <row r="3071" spans="1:8" x14ac:dyDescent="0.3">
      <c r="A3071" t="s">
        <v>62</v>
      </c>
      <c r="B3071" t="s">
        <v>72</v>
      </c>
      <c r="C3071" t="s">
        <v>3129</v>
      </c>
      <c r="D3071">
        <v>1</v>
      </c>
      <c r="E3071" s="358">
        <v>6</v>
      </c>
      <c r="F3071" s="358" t="s">
        <v>7</v>
      </c>
      <c r="G3071" s="358" t="s">
        <v>11</v>
      </c>
      <c r="H3071" s="358" t="s">
        <v>11</v>
      </c>
    </row>
    <row r="3072" spans="1:8" x14ac:dyDescent="0.3">
      <c r="A3072" t="s">
        <v>62</v>
      </c>
      <c r="B3072" t="s">
        <v>72</v>
      </c>
      <c r="C3072" t="s">
        <v>2705</v>
      </c>
      <c r="D3072">
        <v>2</v>
      </c>
      <c r="E3072" s="358">
        <v>7</v>
      </c>
      <c r="F3072" s="358" t="s">
        <v>11</v>
      </c>
      <c r="G3072" s="358" t="s">
        <v>11</v>
      </c>
      <c r="H3072" s="358" t="s">
        <v>11</v>
      </c>
    </row>
    <row r="3073" spans="1:8" x14ac:dyDescent="0.3">
      <c r="A3073" t="s">
        <v>62</v>
      </c>
      <c r="B3073" t="s">
        <v>72</v>
      </c>
      <c r="C3073" t="s">
        <v>1448</v>
      </c>
      <c r="D3073">
        <v>1</v>
      </c>
      <c r="E3073" s="358">
        <v>6</v>
      </c>
      <c r="F3073" s="358" t="s">
        <v>7</v>
      </c>
      <c r="G3073" s="358" t="s">
        <v>11</v>
      </c>
      <c r="H3073" s="358" t="s">
        <v>11</v>
      </c>
    </row>
    <row r="3074" spans="1:8" x14ac:dyDescent="0.3">
      <c r="A3074" t="s">
        <v>62</v>
      </c>
      <c r="B3074" t="s">
        <v>72</v>
      </c>
      <c r="C3074" t="s">
        <v>2033</v>
      </c>
      <c r="D3074">
        <v>1</v>
      </c>
      <c r="E3074" s="358">
        <v>6</v>
      </c>
      <c r="F3074" s="358" t="s">
        <v>7</v>
      </c>
      <c r="G3074" s="358" t="s">
        <v>11</v>
      </c>
      <c r="H3074" s="358" t="s">
        <v>11</v>
      </c>
    </row>
    <row r="3075" spans="1:8" x14ac:dyDescent="0.3">
      <c r="A3075" t="s">
        <v>62</v>
      </c>
      <c r="B3075" t="s">
        <v>72</v>
      </c>
      <c r="C3075" t="s">
        <v>3130</v>
      </c>
      <c r="D3075">
        <v>1</v>
      </c>
      <c r="E3075" s="358">
        <v>6</v>
      </c>
      <c r="F3075" s="358" t="s">
        <v>7</v>
      </c>
      <c r="G3075" s="358" t="s">
        <v>11</v>
      </c>
      <c r="H3075" s="358" t="s">
        <v>11</v>
      </c>
    </row>
    <row r="3076" spans="1:8" x14ac:dyDescent="0.3">
      <c r="A3076" t="s">
        <v>62</v>
      </c>
      <c r="B3076" t="s">
        <v>72</v>
      </c>
      <c r="C3076" t="s">
        <v>1916</v>
      </c>
      <c r="D3076">
        <v>1</v>
      </c>
      <c r="E3076" s="358">
        <v>6</v>
      </c>
      <c r="F3076" s="358" t="s">
        <v>7</v>
      </c>
      <c r="G3076" s="358" t="s">
        <v>11</v>
      </c>
      <c r="H3076" s="358" t="s">
        <v>11</v>
      </c>
    </row>
    <row r="3077" spans="1:8" x14ac:dyDescent="0.3">
      <c r="A3077" t="s">
        <v>62</v>
      </c>
      <c r="B3077" t="s">
        <v>72</v>
      </c>
      <c r="C3077" t="s">
        <v>2174</v>
      </c>
      <c r="D3077">
        <v>2</v>
      </c>
      <c r="E3077" s="358">
        <v>7</v>
      </c>
      <c r="F3077" s="358" t="s">
        <v>11</v>
      </c>
      <c r="G3077" s="358" t="s">
        <v>11</v>
      </c>
      <c r="H3077" s="358" t="s">
        <v>11</v>
      </c>
    </row>
    <row r="3078" spans="1:8" x14ac:dyDescent="0.3">
      <c r="A3078" t="s">
        <v>62</v>
      </c>
      <c r="B3078" t="s">
        <v>72</v>
      </c>
      <c r="C3078" t="s">
        <v>1350</v>
      </c>
      <c r="D3078">
        <v>2</v>
      </c>
      <c r="E3078" s="358">
        <v>6</v>
      </c>
      <c r="F3078" s="358" t="s">
        <v>7</v>
      </c>
      <c r="G3078" s="358" t="s">
        <v>11</v>
      </c>
      <c r="H3078" s="358" t="s">
        <v>11</v>
      </c>
    </row>
    <row r="3079" spans="1:8" x14ac:dyDescent="0.3">
      <c r="A3079" t="s">
        <v>62</v>
      </c>
      <c r="B3079" t="s">
        <v>72</v>
      </c>
      <c r="C3079" t="s">
        <v>1351</v>
      </c>
      <c r="D3079">
        <v>1</v>
      </c>
      <c r="E3079" s="358">
        <v>6</v>
      </c>
      <c r="F3079" s="358" t="s">
        <v>7</v>
      </c>
      <c r="G3079" s="358" t="s">
        <v>11</v>
      </c>
      <c r="H3079" s="358" t="s">
        <v>11</v>
      </c>
    </row>
    <row r="3080" spans="1:8" x14ac:dyDescent="0.3">
      <c r="A3080" t="s">
        <v>62</v>
      </c>
      <c r="B3080" t="s">
        <v>72</v>
      </c>
      <c r="C3080" t="s">
        <v>1392</v>
      </c>
      <c r="D3080">
        <v>2</v>
      </c>
      <c r="E3080" s="358">
        <v>6</v>
      </c>
      <c r="F3080" s="358" t="s">
        <v>7</v>
      </c>
      <c r="G3080" s="358" t="s">
        <v>11</v>
      </c>
      <c r="H3080" s="358" t="s">
        <v>11</v>
      </c>
    </row>
    <row r="3081" spans="1:8" x14ac:dyDescent="0.3">
      <c r="A3081" t="s">
        <v>62</v>
      </c>
      <c r="B3081" t="s">
        <v>72</v>
      </c>
      <c r="C3081" t="s">
        <v>3131</v>
      </c>
      <c r="D3081">
        <v>2</v>
      </c>
      <c r="E3081" s="358">
        <v>6</v>
      </c>
      <c r="F3081" s="358" t="s">
        <v>7</v>
      </c>
      <c r="G3081" s="358" t="s">
        <v>11</v>
      </c>
      <c r="H3081" s="358" t="s">
        <v>11</v>
      </c>
    </row>
    <row r="3082" spans="1:8" x14ac:dyDescent="0.3">
      <c r="A3082" t="s">
        <v>62</v>
      </c>
      <c r="B3082" t="s">
        <v>72</v>
      </c>
      <c r="C3082" t="s">
        <v>3132</v>
      </c>
      <c r="D3082">
        <v>2</v>
      </c>
      <c r="E3082" s="358">
        <v>6</v>
      </c>
      <c r="F3082" s="358" t="s">
        <v>7</v>
      </c>
      <c r="G3082" s="358" t="s">
        <v>11</v>
      </c>
      <c r="H3082" s="358" t="s">
        <v>11</v>
      </c>
    </row>
    <row r="3083" spans="1:8" x14ac:dyDescent="0.3">
      <c r="A3083" t="s">
        <v>62</v>
      </c>
      <c r="B3083" t="s">
        <v>72</v>
      </c>
      <c r="C3083" t="s">
        <v>3133</v>
      </c>
      <c r="D3083">
        <v>2</v>
      </c>
      <c r="E3083" s="358">
        <v>6</v>
      </c>
      <c r="F3083" s="358" t="s">
        <v>7</v>
      </c>
      <c r="G3083" s="358" t="s">
        <v>11</v>
      </c>
      <c r="H3083" s="358" t="s">
        <v>11</v>
      </c>
    </row>
    <row r="3084" spans="1:8" x14ac:dyDescent="0.3">
      <c r="A3084" t="s">
        <v>62</v>
      </c>
      <c r="B3084" t="s">
        <v>72</v>
      </c>
      <c r="C3084" t="s">
        <v>1455</v>
      </c>
      <c r="D3084">
        <v>1</v>
      </c>
      <c r="E3084" s="358">
        <v>6</v>
      </c>
      <c r="F3084" s="358" t="s">
        <v>7</v>
      </c>
      <c r="G3084" s="358" t="s">
        <v>11</v>
      </c>
      <c r="H3084" s="358" t="s">
        <v>11</v>
      </c>
    </row>
    <row r="3085" spans="1:8" x14ac:dyDescent="0.3">
      <c r="A3085" t="s">
        <v>62</v>
      </c>
      <c r="B3085" t="s">
        <v>72</v>
      </c>
      <c r="C3085" t="s">
        <v>3134</v>
      </c>
      <c r="D3085">
        <v>1</v>
      </c>
      <c r="E3085" s="358">
        <v>7</v>
      </c>
      <c r="F3085" s="358" t="s">
        <v>11</v>
      </c>
      <c r="G3085" s="358" t="s">
        <v>11</v>
      </c>
      <c r="H3085" s="358" t="s">
        <v>11</v>
      </c>
    </row>
    <row r="3086" spans="1:8" x14ac:dyDescent="0.3">
      <c r="A3086" t="s">
        <v>62</v>
      </c>
      <c r="B3086" t="s">
        <v>72</v>
      </c>
      <c r="C3086" t="s">
        <v>1456</v>
      </c>
      <c r="D3086">
        <v>2</v>
      </c>
      <c r="E3086" s="358">
        <v>7</v>
      </c>
      <c r="F3086" s="358" t="s">
        <v>11</v>
      </c>
      <c r="G3086" s="358" t="s">
        <v>11</v>
      </c>
      <c r="H3086" s="358" t="s">
        <v>11</v>
      </c>
    </row>
    <row r="3087" spans="1:8" x14ac:dyDescent="0.3">
      <c r="A3087" t="s">
        <v>62</v>
      </c>
      <c r="B3087" t="s">
        <v>72</v>
      </c>
      <c r="C3087" t="s">
        <v>3135</v>
      </c>
      <c r="D3087">
        <v>2</v>
      </c>
      <c r="E3087" s="358">
        <v>6</v>
      </c>
      <c r="F3087" s="358" t="s">
        <v>7</v>
      </c>
      <c r="G3087" s="358" t="s">
        <v>11</v>
      </c>
      <c r="H3087" s="358" t="s">
        <v>11</v>
      </c>
    </row>
    <row r="3088" spans="1:8" x14ac:dyDescent="0.3">
      <c r="A3088" t="s">
        <v>62</v>
      </c>
      <c r="B3088" t="s">
        <v>72</v>
      </c>
      <c r="C3088" t="s">
        <v>3136</v>
      </c>
      <c r="D3088">
        <v>1</v>
      </c>
      <c r="E3088" s="358">
        <v>6</v>
      </c>
      <c r="F3088" s="358" t="s">
        <v>7</v>
      </c>
      <c r="G3088" s="358" t="s">
        <v>11</v>
      </c>
      <c r="H3088" s="358" t="s">
        <v>11</v>
      </c>
    </row>
    <row r="3089" spans="1:8" x14ac:dyDescent="0.3">
      <c r="A3089" t="s">
        <v>62</v>
      </c>
      <c r="B3089" t="s">
        <v>72</v>
      </c>
      <c r="C3089" t="s">
        <v>3137</v>
      </c>
      <c r="D3089">
        <v>2</v>
      </c>
      <c r="E3089" s="358">
        <v>6</v>
      </c>
      <c r="F3089" s="358" t="s">
        <v>7</v>
      </c>
      <c r="G3089" s="358" t="s">
        <v>11</v>
      </c>
      <c r="H3089" s="358" t="s">
        <v>11</v>
      </c>
    </row>
    <row r="3090" spans="1:8" x14ac:dyDescent="0.3">
      <c r="A3090" t="s">
        <v>62</v>
      </c>
      <c r="B3090" t="s">
        <v>72</v>
      </c>
      <c r="C3090" t="s">
        <v>2186</v>
      </c>
      <c r="D3090">
        <v>2</v>
      </c>
      <c r="E3090" s="358">
        <v>6</v>
      </c>
      <c r="F3090" s="358" t="s">
        <v>7</v>
      </c>
      <c r="G3090" s="358" t="s">
        <v>11</v>
      </c>
      <c r="H3090" s="358" t="s">
        <v>11</v>
      </c>
    </row>
    <row r="3091" spans="1:8" x14ac:dyDescent="0.3">
      <c r="A3091" t="s">
        <v>62</v>
      </c>
      <c r="B3091" t="s">
        <v>72</v>
      </c>
      <c r="C3091" t="s">
        <v>2188</v>
      </c>
      <c r="D3091">
        <v>1</v>
      </c>
      <c r="E3091" s="358">
        <v>6</v>
      </c>
      <c r="F3091" s="358" t="s">
        <v>7</v>
      </c>
      <c r="G3091" s="358" t="s">
        <v>11</v>
      </c>
      <c r="H3091" s="358" t="s">
        <v>11</v>
      </c>
    </row>
    <row r="3092" spans="1:8" x14ac:dyDescent="0.3">
      <c r="A3092" t="s">
        <v>62</v>
      </c>
      <c r="B3092" t="s">
        <v>72</v>
      </c>
      <c r="C3092" t="s">
        <v>3138</v>
      </c>
      <c r="D3092">
        <v>2</v>
      </c>
      <c r="E3092" s="358">
        <v>6</v>
      </c>
      <c r="F3092" s="358" t="s">
        <v>7</v>
      </c>
      <c r="G3092" s="358" t="s">
        <v>11</v>
      </c>
      <c r="H3092" s="358" t="s">
        <v>11</v>
      </c>
    </row>
    <row r="3093" spans="1:8" x14ac:dyDescent="0.3">
      <c r="A3093" t="s">
        <v>62</v>
      </c>
      <c r="B3093" t="s">
        <v>72</v>
      </c>
      <c r="C3093" t="s">
        <v>1364</v>
      </c>
      <c r="D3093">
        <v>2</v>
      </c>
      <c r="E3093" s="358">
        <v>6</v>
      </c>
      <c r="F3093" s="358" t="s">
        <v>7</v>
      </c>
      <c r="G3093" s="358" t="s">
        <v>11</v>
      </c>
      <c r="H3093" s="358" t="s">
        <v>11</v>
      </c>
    </row>
    <row r="3094" spans="1:8" x14ac:dyDescent="0.3">
      <c r="A3094" t="s">
        <v>62</v>
      </c>
      <c r="B3094" t="s">
        <v>72</v>
      </c>
      <c r="C3094" t="s">
        <v>3139</v>
      </c>
      <c r="D3094">
        <v>2</v>
      </c>
      <c r="E3094" s="358">
        <v>6</v>
      </c>
      <c r="F3094" s="358" t="s">
        <v>7</v>
      </c>
      <c r="G3094" s="358" t="s">
        <v>11</v>
      </c>
      <c r="H3094" s="358" t="s">
        <v>11</v>
      </c>
    </row>
    <row r="3095" spans="1:8" x14ac:dyDescent="0.3">
      <c r="A3095" t="s">
        <v>62</v>
      </c>
      <c r="B3095" t="s">
        <v>72</v>
      </c>
      <c r="C3095" t="s">
        <v>1795</v>
      </c>
      <c r="D3095">
        <v>2</v>
      </c>
      <c r="E3095" s="358">
        <v>7</v>
      </c>
      <c r="F3095" s="358" t="s">
        <v>11</v>
      </c>
      <c r="G3095" s="358" t="s">
        <v>11</v>
      </c>
      <c r="H3095" s="358" t="s">
        <v>11</v>
      </c>
    </row>
    <row r="3096" spans="1:8" x14ac:dyDescent="0.3">
      <c r="A3096" t="s">
        <v>62</v>
      </c>
      <c r="B3096" t="s">
        <v>72</v>
      </c>
      <c r="C3096" t="s">
        <v>3140</v>
      </c>
      <c r="D3096">
        <v>2</v>
      </c>
      <c r="E3096" s="358">
        <v>6</v>
      </c>
      <c r="F3096" s="358" t="s">
        <v>7</v>
      </c>
      <c r="G3096" s="358" t="s">
        <v>11</v>
      </c>
      <c r="H3096" s="358" t="s">
        <v>11</v>
      </c>
    </row>
    <row r="3097" spans="1:8" x14ac:dyDescent="0.3">
      <c r="A3097" t="s">
        <v>62</v>
      </c>
      <c r="B3097" t="s">
        <v>72</v>
      </c>
      <c r="C3097" t="s">
        <v>3141</v>
      </c>
      <c r="D3097">
        <v>2</v>
      </c>
      <c r="E3097" s="358">
        <v>6</v>
      </c>
      <c r="F3097" s="358" t="s">
        <v>7</v>
      </c>
      <c r="G3097" s="358" t="s">
        <v>11</v>
      </c>
      <c r="H3097" s="358" t="s">
        <v>11</v>
      </c>
    </row>
    <row r="3098" spans="1:8" x14ac:dyDescent="0.3">
      <c r="A3098" t="s">
        <v>62</v>
      </c>
      <c r="B3098" t="s">
        <v>72</v>
      </c>
      <c r="C3098" t="s">
        <v>3142</v>
      </c>
      <c r="D3098">
        <v>1</v>
      </c>
      <c r="E3098" s="358">
        <v>6</v>
      </c>
      <c r="F3098" s="358" t="s">
        <v>7</v>
      </c>
      <c r="G3098" s="358" t="s">
        <v>11</v>
      </c>
      <c r="H3098" s="358" t="s">
        <v>11</v>
      </c>
    </row>
    <row r="3099" spans="1:8" x14ac:dyDescent="0.3">
      <c r="A3099" t="s">
        <v>62</v>
      </c>
      <c r="B3099" t="s">
        <v>72</v>
      </c>
      <c r="C3099" t="s">
        <v>1732</v>
      </c>
      <c r="D3099">
        <v>1</v>
      </c>
      <c r="E3099" s="358">
        <v>6</v>
      </c>
      <c r="F3099" s="358" t="s">
        <v>7</v>
      </c>
      <c r="G3099" s="358" t="s">
        <v>11</v>
      </c>
      <c r="H3099" s="358" t="s">
        <v>11</v>
      </c>
    </row>
    <row r="3100" spans="1:8" x14ac:dyDescent="0.3">
      <c r="A3100" t="s">
        <v>62</v>
      </c>
      <c r="B3100" t="s">
        <v>72</v>
      </c>
      <c r="C3100" t="s">
        <v>1467</v>
      </c>
      <c r="D3100">
        <v>2</v>
      </c>
      <c r="E3100" s="358">
        <v>6</v>
      </c>
      <c r="F3100" s="358" t="s">
        <v>7</v>
      </c>
      <c r="G3100" s="358" t="s">
        <v>11</v>
      </c>
      <c r="H3100" s="358" t="s">
        <v>11</v>
      </c>
    </row>
    <row r="3101" spans="1:8" x14ac:dyDescent="0.3">
      <c r="A3101" t="s">
        <v>62</v>
      </c>
      <c r="B3101" t="s">
        <v>72</v>
      </c>
      <c r="C3101" t="s">
        <v>2625</v>
      </c>
      <c r="D3101">
        <v>1</v>
      </c>
      <c r="E3101" s="358">
        <v>6</v>
      </c>
      <c r="F3101" s="358" t="s">
        <v>7</v>
      </c>
      <c r="G3101" s="358" t="s">
        <v>11</v>
      </c>
      <c r="H3101" s="358" t="s">
        <v>11</v>
      </c>
    </row>
    <row r="3102" spans="1:8" x14ac:dyDescent="0.3">
      <c r="A3102" t="s">
        <v>62</v>
      </c>
      <c r="B3102" t="s">
        <v>72</v>
      </c>
      <c r="C3102" t="s">
        <v>3143</v>
      </c>
      <c r="D3102">
        <v>2</v>
      </c>
      <c r="E3102" s="358">
        <v>7</v>
      </c>
      <c r="F3102" s="358" t="s">
        <v>11</v>
      </c>
      <c r="G3102" s="358" t="s">
        <v>11</v>
      </c>
      <c r="H3102" s="358" t="s">
        <v>11</v>
      </c>
    </row>
    <row r="3103" spans="1:8" x14ac:dyDescent="0.3">
      <c r="A3103" t="s">
        <v>62</v>
      </c>
      <c r="B3103" t="s">
        <v>72</v>
      </c>
      <c r="C3103" t="s">
        <v>3144</v>
      </c>
      <c r="D3103">
        <v>2</v>
      </c>
      <c r="E3103" s="358">
        <v>6</v>
      </c>
      <c r="F3103" s="358" t="s">
        <v>7</v>
      </c>
      <c r="G3103" s="358" t="s">
        <v>11</v>
      </c>
      <c r="H3103" s="358" t="s">
        <v>11</v>
      </c>
    </row>
    <row r="3104" spans="1:8" x14ac:dyDescent="0.3">
      <c r="A3104" t="s">
        <v>62</v>
      </c>
      <c r="B3104" t="s">
        <v>72</v>
      </c>
      <c r="C3104" t="s">
        <v>1843</v>
      </c>
      <c r="D3104">
        <v>1</v>
      </c>
      <c r="E3104" s="358">
        <v>6</v>
      </c>
      <c r="F3104" s="358" t="s">
        <v>7</v>
      </c>
      <c r="G3104" s="358" t="s">
        <v>11</v>
      </c>
      <c r="H3104" s="358" t="s">
        <v>11</v>
      </c>
    </row>
    <row r="3105" spans="1:8" x14ac:dyDescent="0.3">
      <c r="A3105" t="s">
        <v>62</v>
      </c>
      <c r="B3105" t="s">
        <v>72</v>
      </c>
      <c r="C3105" t="s">
        <v>2256</v>
      </c>
      <c r="D3105">
        <v>1</v>
      </c>
      <c r="E3105" s="358">
        <v>6</v>
      </c>
      <c r="F3105" s="358" t="s">
        <v>7</v>
      </c>
      <c r="G3105" s="358" t="s">
        <v>11</v>
      </c>
      <c r="H3105" s="358" t="s">
        <v>11</v>
      </c>
    </row>
    <row r="3106" spans="1:8" x14ac:dyDescent="0.3">
      <c r="A3106" t="s">
        <v>62</v>
      </c>
      <c r="B3106" t="s">
        <v>72</v>
      </c>
      <c r="C3106" t="s">
        <v>2939</v>
      </c>
      <c r="D3106">
        <v>2</v>
      </c>
      <c r="E3106" s="358">
        <v>6</v>
      </c>
      <c r="F3106" s="358" t="s">
        <v>7</v>
      </c>
      <c r="G3106" s="358" t="s">
        <v>11</v>
      </c>
      <c r="H3106" s="358" t="s">
        <v>11</v>
      </c>
    </row>
    <row r="3107" spans="1:8" x14ac:dyDescent="0.3">
      <c r="A3107" t="s">
        <v>62</v>
      </c>
      <c r="B3107" t="s">
        <v>72</v>
      </c>
      <c r="C3107" t="s">
        <v>3145</v>
      </c>
      <c r="D3107">
        <v>1</v>
      </c>
      <c r="E3107" s="358">
        <v>6</v>
      </c>
      <c r="F3107" s="358" t="s">
        <v>7</v>
      </c>
      <c r="G3107" s="358" t="s">
        <v>11</v>
      </c>
      <c r="H3107" s="358" t="s">
        <v>11</v>
      </c>
    </row>
    <row r="3108" spans="1:8" x14ac:dyDescent="0.3">
      <c r="A3108" t="s">
        <v>62</v>
      </c>
      <c r="B3108" t="s">
        <v>72</v>
      </c>
      <c r="C3108" t="s">
        <v>3146</v>
      </c>
      <c r="D3108">
        <v>2</v>
      </c>
      <c r="E3108" s="358">
        <v>6</v>
      </c>
      <c r="F3108" s="358" t="s">
        <v>7</v>
      </c>
      <c r="G3108" s="358" t="s">
        <v>11</v>
      </c>
      <c r="H3108" s="358" t="s">
        <v>11</v>
      </c>
    </row>
    <row r="3109" spans="1:8" x14ac:dyDescent="0.3">
      <c r="A3109" t="s">
        <v>62</v>
      </c>
      <c r="B3109" t="s">
        <v>72</v>
      </c>
      <c r="C3109" t="s">
        <v>3147</v>
      </c>
      <c r="D3109">
        <v>2</v>
      </c>
      <c r="E3109" s="358">
        <v>7</v>
      </c>
      <c r="F3109" s="358" t="s">
        <v>11</v>
      </c>
      <c r="G3109" s="358" t="s">
        <v>11</v>
      </c>
      <c r="H3109" s="358" t="s">
        <v>11</v>
      </c>
    </row>
    <row r="3110" spans="1:8" x14ac:dyDescent="0.3">
      <c r="A3110" t="s">
        <v>62</v>
      </c>
      <c r="B3110" t="s">
        <v>72</v>
      </c>
      <c r="C3110" t="s">
        <v>3148</v>
      </c>
      <c r="D3110">
        <v>1</v>
      </c>
      <c r="E3110" s="358">
        <v>6</v>
      </c>
      <c r="F3110" s="358" t="s">
        <v>7</v>
      </c>
      <c r="G3110" s="358" t="s">
        <v>11</v>
      </c>
      <c r="H3110" s="358" t="s">
        <v>11</v>
      </c>
    </row>
    <row r="3111" spans="1:8" x14ac:dyDescent="0.3">
      <c r="A3111" t="s">
        <v>62</v>
      </c>
      <c r="B3111" t="s">
        <v>72</v>
      </c>
      <c r="C3111" t="s">
        <v>3149</v>
      </c>
      <c r="D3111">
        <v>2</v>
      </c>
      <c r="E3111" s="358">
        <v>6</v>
      </c>
      <c r="F3111" s="358" t="s">
        <v>7</v>
      </c>
      <c r="G3111" s="358" t="s">
        <v>11</v>
      </c>
      <c r="H3111" s="358" t="s">
        <v>11</v>
      </c>
    </row>
    <row r="3112" spans="1:8" x14ac:dyDescent="0.3">
      <c r="A3112" t="s">
        <v>62</v>
      </c>
      <c r="B3112" t="s">
        <v>72</v>
      </c>
      <c r="C3112" t="s">
        <v>1652</v>
      </c>
      <c r="D3112">
        <v>2</v>
      </c>
      <c r="E3112" s="358">
        <v>7</v>
      </c>
      <c r="F3112" s="358" t="s">
        <v>11</v>
      </c>
      <c r="G3112" s="358" t="s">
        <v>11</v>
      </c>
      <c r="H3112" s="358" t="s">
        <v>11</v>
      </c>
    </row>
    <row r="3113" spans="1:8" x14ac:dyDescent="0.3">
      <c r="A3113" t="s">
        <v>62</v>
      </c>
      <c r="B3113" t="s">
        <v>72</v>
      </c>
      <c r="C3113" t="s">
        <v>3150</v>
      </c>
      <c r="D3113">
        <v>2</v>
      </c>
      <c r="E3113" s="358">
        <v>6</v>
      </c>
      <c r="F3113" s="358" t="s">
        <v>7</v>
      </c>
      <c r="G3113" s="358" t="s">
        <v>11</v>
      </c>
      <c r="H3113" s="358" t="s">
        <v>11</v>
      </c>
    </row>
    <row r="3114" spans="1:8" x14ac:dyDescent="0.3">
      <c r="A3114" t="s">
        <v>62</v>
      </c>
      <c r="B3114" t="s">
        <v>72</v>
      </c>
      <c r="C3114" t="s">
        <v>2106</v>
      </c>
      <c r="D3114">
        <v>1</v>
      </c>
      <c r="E3114" s="358">
        <v>6</v>
      </c>
      <c r="F3114" s="358" t="s">
        <v>7</v>
      </c>
      <c r="G3114" s="358" t="s">
        <v>11</v>
      </c>
      <c r="H3114" s="358" t="s">
        <v>11</v>
      </c>
    </row>
    <row r="3115" spans="1:8" x14ac:dyDescent="0.3">
      <c r="A3115" t="s">
        <v>62</v>
      </c>
      <c r="B3115" t="s">
        <v>72</v>
      </c>
      <c r="C3115" t="s">
        <v>3151</v>
      </c>
      <c r="D3115">
        <v>2</v>
      </c>
      <c r="E3115" s="358">
        <v>7</v>
      </c>
      <c r="F3115" s="358" t="s">
        <v>11</v>
      </c>
      <c r="G3115" s="358" t="s">
        <v>11</v>
      </c>
      <c r="H3115" s="358" t="s">
        <v>11</v>
      </c>
    </row>
    <row r="3116" spans="1:8" x14ac:dyDescent="0.3">
      <c r="A3116" t="s">
        <v>62</v>
      </c>
      <c r="B3116" t="s">
        <v>72</v>
      </c>
      <c r="C3116" t="s">
        <v>2789</v>
      </c>
      <c r="D3116">
        <v>1</v>
      </c>
      <c r="E3116" s="358">
        <v>6</v>
      </c>
      <c r="F3116" s="358" t="s">
        <v>7</v>
      </c>
      <c r="G3116" s="358" t="s">
        <v>11</v>
      </c>
      <c r="H3116" s="358" t="s">
        <v>11</v>
      </c>
    </row>
    <row r="3117" spans="1:8" x14ac:dyDescent="0.3">
      <c r="A3117" t="s">
        <v>62</v>
      </c>
      <c r="B3117" t="s">
        <v>72</v>
      </c>
      <c r="C3117" t="s">
        <v>3152</v>
      </c>
      <c r="D3117">
        <v>2</v>
      </c>
      <c r="E3117" s="358">
        <v>7</v>
      </c>
      <c r="F3117" s="358" t="s">
        <v>11</v>
      </c>
      <c r="G3117" s="358" t="s">
        <v>11</v>
      </c>
      <c r="H3117" s="358" t="s">
        <v>11</v>
      </c>
    </row>
    <row r="3118" spans="1:8" x14ac:dyDescent="0.3">
      <c r="A3118" t="s">
        <v>62</v>
      </c>
      <c r="B3118" t="s">
        <v>72</v>
      </c>
      <c r="C3118" t="s">
        <v>1379</v>
      </c>
      <c r="D3118">
        <v>1</v>
      </c>
      <c r="E3118" s="358">
        <v>6</v>
      </c>
      <c r="F3118" s="358" t="s">
        <v>7</v>
      </c>
      <c r="G3118" s="358" t="s">
        <v>11</v>
      </c>
      <c r="H3118" s="358" t="s">
        <v>11</v>
      </c>
    </row>
    <row r="3119" spans="1:8" x14ac:dyDescent="0.3">
      <c r="A3119" t="s">
        <v>62</v>
      </c>
      <c r="B3119" t="s">
        <v>72</v>
      </c>
      <c r="C3119" t="s">
        <v>3153</v>
      </c>
      <c r="D3119">
        <v>1</v>
      </c>
      <c r="E3119" s="358">
        <v>6</v>
      </c>
      <c r="F3119" s="358" t="s">
        <v>7</v>
      </c>
      <c r="G3119" s="358" t="s">
        <v>11</v>
      </c>
      <c r="H3119" s="358" t="s">
        <v>11</v>
      </c>
    </row>
    <row r="3120" spans="1:8" x14ac:dyDescent="0.3">
      <c r="A3120" t="s">
        <v>62</v>
      </c>
      <c r="B3120" t="s">
        <v>72</v>
      </c>
      <c r="C3120" t="s">
        <v>3154</v>
      </c>
      <c r="D3120">
        <v>1</v>
      </c>
      <c r="E3120" s="358">
        <v>6</v>
      </c>
      <c r="F3120" s="358" t="s">
        <v>7</v>
      </c>
      <c r="G3120" s="358" t="s">
        <v>11</v>
      </c>
      <c r="H3120" s="358" t="s">
        <v>11</v>
      </c>
    </row>
    <row r="3121" spans="1:8" x14ac:dyDescent="0.3">
      <c r="A3121" t="s">
        <v>62</v>
      </c>
      <c r="B3121" t="s">
        <v>72</v>
      </c>
      <c r="C3121" t="s">
        <v>3155</v>
      </c>
      <c r="D3121">
        <v>2</v>
      </c>
      <c r="E3121" s="358">
        <v>6</v>
      </c>
      <c r="F3121" s="358" t="s">
        <v>7</v>
      </c>
      <c r="G3121" s="358" t="s">
        <v>11</v>
      </c>
      <c r="H3121" s="358" t="s">
        <v>11</v>
      </c>
    </row>
    <row r="3122" spans="1:8" x14ac:dyDescent="0.3">
      <c r="A3122" t="s">
        <v>62</v>
      </c>
      <c r="B3122" t="s">
        <v>72</v>
      </c>
      <c r="C3122" t="s">
        <v>1855</v>
      </c>
      <c r="D3122">
        <v>2</v>
      </c>
      <c r="E3122" s="358">
        <v>6</v>
      </c>
      <c r="F3122" s="358" t="s">
        <v>7</v>
      </c>
      <c r="G3122" s="358" t="s">
        <v>11</v>
      </c>
      <c r="H3122" s="358" t="s">
        <v>11</v>
      </c>
    </row>
    <row r="3123" spans="1:8" x14ac:dyDescent="0.3">
      <c r="A3123" t="s">
        <v>62</v>
      </c>
      <c r="B3123" t="s">
        <v>72</v>
      </c>
      <c r="C3123" t="s">
        <v>2634</v>
      </c>
      <c r="D3123">
        <v>1</v>
      </c>
      <c r="E3123" s="358">
        <v>6</v>
      </c>
      <c r="F3123" s="358" t="s">
        <v>7</v>
      </c>
      <c r="G3123" s="358" t="s">
        <v>11</v>
      </c>
      <c r="H3123" s="358" t="s">
        <v>11</v>
      </c>
    </row>
    <row r="3124" spans="1:8" x14ac:dyDescent="0.3">
      <c r="A3124" t="s">
        <v>64</v>
      </c>
      <c r="B3124" t="s">
        <v>73</v>
      </c>
      <c r="C3124" t="s">
        <v>2475</v>
      </c>
      <c r="D3124">
        <v>1</v>
      </c>
      <c r="E3124" s="358">
        <v>6</v>
      </c>
      <c r="F3124" s="358" t="s">
        <v>75</v>
      </c>
      <c r="G3124" s="358" t="s">
        <v>11</v>
      </c>
      <c r="H3124" s="358" t="s">
        <v>11</v>
      </c>
    </row>
    <row r="3125" spans="1:8" x14ac:dyDescent="0.3">
      <c r="A3125" t="s">
        <v>64</v>
      </c>
      <c r="B3125" t="s">
        <v>73</v>
      </c>
      <c r="C3125" t="s">
        <v>2347</v>
      </c>
      <c r="D3125">
        <v>1</v>
      </c>
      <c r="E3125" s="358">
        <v>6</v>
      </c>
      <c r="F3125" s="358" t="s">
        <v>75</v>
      </c>
      <c r="G3125" s="358" t="s">
        <v>11</v>
      </c>
      <c r="H3125" s="358" t="s">
        <v>11</v>
      </c>
    </row>
    <row r="3126" spans="1:8" x14ac:dyDescent="0.3">
      <c r="A3126" t="s">
        <v>64</v>
      </c>
      <c r="B3126" t="s">
        <v>73</v>
      </c>
      <c r="C3126" t="s">
        <v>2022</v>
      </c>
      <c r="D3126">
        <v>1</v>
      </c>
      <c r="E3126" s="358">
        <v>6</v>
      </c>
      <c r="F3126" s="358" t="s">
        <v>75</v>
      </c>
      <c r="G3126" s="358" t="s">
        <v>11</v>
      </c>
      <c r="H3126" s="358" t="s">
        <v>11</v>
      </c>
    </row>
    <row r="3127" spans="1:8" x14ac:dyDescent="0.3">
      <c r="A3127" t="s">
        <v>64</v>
      </c>
      <c r="B3127" t="s">
        <v>73</v>
      </c>
      <c r="C3127" t="s">
        <v>2349</v>
      </c>
      <c r="D3127">
        <v>1</v>
      </c>
      <c r="E3127" s="358">
        <v>6</v>
      </c>
      <c r="F3127" s="358" t="s">
        <v>75</v>
      </c>
      <c r="G3127" s="358" t="s">
        <v>11</v>
      </c>
      <c r="H3127" s="358" t="s">
        <v>11</v>
      </c>
    </row>
    <row r="3128" spans="1:8" x14ac:dyDescent="0.3">
      <c r="A3128" t="s">
        <v>64</v>
      </c>
      <c r="B3128" t="s">
        <v>73</v>
      </c>
      <c r="C3128" t="s">
        <v>3156</v>
      </c>
      <c r="D3128">
        <v>1</v>
      </c>
      <c r="E3128" s="358">
        <v>6</v>
      </c>
      <c r="F3128" s="358" t="s">
        <v>75</v>
      </c>
      <c r="G3128" s="358" t="s">
        <v>11</v>
      </c>
      <c r="H3128" s="358" t="s">
        <v>11</v>
      </c>
    </row>
    <row r="3129" spans="1:8" x14ac:dyDescent="0.3">
      <c r="A3129" t="s">
        <v>64</v>
      </c>
      <c r="B3129" t="s">
        <v>73</v>
      </c>
      <c r="C3129" t="s">
        <v>2679</v>
      </c>
      <c r="D3129">
        <v>1</v>
      </c>
      <c r="E3129" s="358">
        <v>6</v>
      </c>
      <c r="F3129" s="358" t="s">
        <v>75</v>
      </c>
      <c r="G3129" s="358" t="s">
        <v>11</v>
      </c>
      <c r="H3129" s="358" t="s">
        <v>11</v>
      </c>
    </row>
    <row r="3130" spans="1:8" x14ac:dyDescent="0.3">
      <c r="A3130" t="s">
        <v>64</v>
      </c>
      <c r="B3130" t="s">
        <v>73</v>
      </c>
      <c r="C3130" t="s">
        <v>1562</v>
      </c>
      <c r="D3130">
        <v>1</v>
      </c>
      <c r="E3130" s="358">
        <v>6</v>
      </c>
      <c r="F3130" s="358" t="s">
        <v>75</v>
      </c>
      <c r="G3130" s="358" t="s">
        <v>11</v>
      </c>
      <c r="H3130" s="358" t="s">
        <v>11</v>
      </c>
    </row>
    <row r="3131" spans="1:8" x14ac:dyDescent="0.3">
      <c r="A3131" t="s">
        <v>64</v>
      </c>
      <c r="B3131" t="s">
        <v>73</v>
      </c>
      <c r="C3131" t="s">
        <v>3157</v>
      </c>
      <c r="D3131">
        <v>1</v>
      </c>
      <c r="E3131" s="358">
        <v>5</v>
      </c>
      <c r="F3131" s="358" t="s">
        <v>75</v>
      </c>
      <c r="G3131" s="358" t="s">
        <v>11</v>
      </c>
      <c r="H3131" s="358" t="s">
        <v>11</v>
      </c>
    </row>
    <row r="3132" spans="1:8" x14ac:dyDescent="0.3">
      <c r="A3132" t="s">
        <v>64</v>
      </c>
      <c r="B3132" t="s">
        <v>73</v>
      </c>
      <c r="C3132" t="s">
        <v>3158</v>
      </c>
      <c r="D3132">
        <v>1</v>
      </c>
      <c r="E3132" s="358">
        <v>6</v>
      </c>
      <c r="F3132" s="358" t="s">
        <v>75</v>
      </c>
      <c r="G3132" s="358" t="s">
        <v>11</v>
      </c>
      <c r="H3132" s="358" t="s">
        <v>11</v>
      </c>
    </row>
    <row r="3133" spans="1:8" x14ac:dyDescent="0.3">
      <c r="A3133" t="s">
        <v>64</v>
      </c>
      <c r="B3133" t="s">
        <v>73</v>
      </c>
      <c r="C3133" t="s">
        <v>1454</v>
      </c>
      <c r="D3133">
        <v>1</v>
      </c>
      <c r="E3133" s="358">
        <v>6</v>
      </c>
      <c r="F3133" s="358" t="s">
        <v>75</v>
      </c>
      <c r="G3133" s="358" t="s">
        <v>11</v>
      </c>
      <c r="H3133" s="358" t="s">
        <v>11</v>
      </c>
    </row>
    <row r="3134" spans="1:8" x14ac:dyDescent="0.3">
      <c r="A3134" t="s">
        <v>64</v>
      </c>
      <c r="B3134" t="s">
        <v>73</v>
      </c>
      <c r="C3134" t="s">
        <v>3159</v>
      </c>
      <c r="D3134">
        <v>1</v>
      </c>
      <c r="E3134" s="358">
        <v>6</v>
      </c>
      <c r="F3134" s="358" t="s">
        <v>75</v>
      </c>
      <c r="G3134" s="358" t="s">
        <v>11</v>
      </c>
      <c r="H3134" s="358" t="s">
        <v>11</v>
      </c>
    </row>
    <row r="3135" spans="1:8" x14ac:dyDescent="0.3">
      <c r="A3135" t="s">
        <v>64</v>
      </c>
      <c r="B3135" t="s">
        <v>73</v>
      </c>
      <c r="C3135" t="s">
        <v>1456</v>
      </c>
      <c r="D3135">
        <v>1</v>
      </c>
      <c r="E3135" s="358">
        <v>7</v>
      </c>
      <c r="F3135" s="358" t="s">
        <v>11</v>
      </c>
      <c r="G3135" s="358" t="s">
        <v>11</v>
      </c>
      <c r="H3135" s="358" t="s">
        <v>11</v>
      </c>
    </row>
    <row r="3136" spans="1:8" x14ac:dyDescent="0.3">
      <c r="A3136" t="s">
        <v>64</v>
      </c>
      <c r="B3136" t="s">
        <v>73</v>
      </c>
      <c r="C3136" t="s">
        <v>3160</v>
      </c>
      <c r="D3136">
        <v>1</v>
      </c>
      <c r="E3136" s="358">
        <v>6</v>
      </c>
      <c r="F3136" s="358" t="s">
        <v>75</v>
      </c>
      <c r="G3136" s="358" t="s">
        <v>11</v>
      </c>
      <c r="H3136" s="358" t="s">
        <v>11</v>
      </c>
    </row>
    <row r="3137" spans="1:8" x14ac:dyDescent="0.3">
      <c r="A3137" t="s">
        <v>64</v>
      </c>
      <c r="B3137" t="s">
        <v>73</v>
      </c>
      <c r="C3137" t="s">
        <v>3161</v>
      </c>
      <c r="D3137">
        <v>1</v>
      </c>
      <c r="E3137" s="358">
        <v>6</v>
      </c>
      <c r="F3137" s="358" t="s">
        <v>75</v>
      </c>
      <c r="G3137" s="358" t="s">
        <v>11</v>
      </c>
      <c r="H3137" s="358" t="s">
        <v>11</v>
      </c>
    </row>
    <row r="3138" spans="1:8" x14ac:dyDescent="0.3">
      <c r="A3138" t="s">
        <v>64</v>
      </c>
      <c r="B3138" t="s">
        <v>73</v>
      </c>
      <c r="C3138" t="s">
        <v>1581</v>
      </c>
      <c r="D3138">
        <v>1</v>
      </c>
      <c r="E3138" s="358">
        <v>6</v>
      </c>
      <c r="F3138" s="358" t="s">
        <v>75</v>
      </c>
      <c r="G3138" s="358" t="s">
        <v>11</v>
      </c>
      <c r="H3138" s="358" t="s">
        <v>11</v>
      </c>
    </row>
    <row r="3139" spans="1:8" x14ac:dyDescent="0.3">
      <c r="A3139" t="s">
        <v>64</v>
      </c>
      <c r="B3139" t="s">
        <v>73</v>
      </c>
      <c r="C3139" t="s">
        <v>2334</v>
      </c>
      <c r="D3139">
        <v>2</v>
      </c>
      <c r="E3139" s="358">
        <v>5</v>
      </c>
      <c r="F3139" s="358" t="s">
        <v>75</v>
      </c>
      <c r="G3139" s="358" t="s">
        <v>11</v>
      </c>
      <c r="H3139" s="358" t="s">
        <v>11</v>
      </c>
    </row>
    <row r="3140" spans="1:8" x14ac:dyDescent="0.3">
      <c r="A3140" t="s">
        <v>64</v>
      </c>
      <c r="B3140" t="s">
        <v>73</v>
      </c>
      <c r="C3140" t="s">
        <v>1996</v>
      </c>
      <c r="D3140">
        <v>1</v>
      </c>
      <c r="E3140" s="358">
        <v>6</v>
      </c>
      <c r="F3140" s="358" t="s">
        <v>75</v>
      </c>
      <c r="G3140" s="358" t="s">
        <v>11</v>
      </c>
      <c r="H3140" s="358" t="s">
        <v>11</v>
      </c>
    </row>
    <row r="3141" spans="1:8" x14ac:dyDescent="0.3">
      <c r="A3141" t="s">
        <v>64</v>
      </c>
      <c r="B3141" t="s">
        <v>73</v>
      </c>
      <c r="C3141" t="s">
        <v>3162</v>
      </c>
      <c r="D3141">
        <v>1</v>
      </c>
      <c r="E3141" s="358">
        <v>7</v>
      </c>
      <c r="F3141" s="358" t="s">
        <v>11</v>
      </c>
      <c r="G3141" s="358" t="s">
        <v>11</v>
      </c>
      <c r="H3141" s="358" t="s">
        <v>11</v>
      </c>
    </row>
    <row r="3142" spans="1:8" x14ac:dyDescent="0.3">
      <c r="A3142" t="s">
        <v>64</v>
      </c>
      <c r="B3142" t="s">
        <v>73</v>
      </c>
      <c r="C3142" t="s">
        <v>3163</v>
      </c>
      <c r="D3142">
        <v>1</v>
      </c>
      <c r="E3142" s="358">
        <v>6</v>
      </c>
      <c r="F3142" s="358" t="s">
        <v>75</v>
      </c>
      <c r="G3142" s="358" t="s">
        <v>11</v>
      </c>
      <c r="H3142" s="358" t="s">
        <v>11</v>
      </c>
    </row>
    <row r="3143" spans="1:8" x14ac:dyDescent="0.3">
      <c r="A3143" t="s">
        <v>64</v>
      </c>
      <c r="B3143" t="s">
        <v>73</v>
      </c>
      <c r="C3143" t="s">
        <v>1800</v>
      </c>
      <c r="D3143">
        <v>1</v>
      </c>
      <c r="E3143" s="358">
        <v>7</v>
      </c>
      <c r="F3143" s="358" t="s">
        <v>11</v>
      </c>
      <c r="G3143" s="358" t="s">
        <v>11</v>
      </c>
      <c r="H3143" s="358" t="s">
        <v>11</v>
      </c>
    </row>
    <row r="3144" spans="1:8" x14ac:dyDescent="0.3">
      <c r="A3144" t="s">
        <v>64</v>
      </c>
      <c r="B3144" t="s">
        <v>73</v>
      </c>
      <c r="C3144" t="s">
        <v>3164</v>
      </c>
      <c r="D3144">
        <v>1</v>
      </c>
      <c r="E3144" s="358">
        <v>6</v>
      </c>
      <c r="F3144" s="358" t="s">
        <v>75</v>
      </c>
      <c r="G3144" s="358" t="s">
        <v>11</v>
      </c>
      <c r="H3144" s="358" t="s">
        <v>11</v>
      </c>
    </row>
    <row r="3145" spans="1:8" x14ac:dyDescent="0.3">
      <c r="A3145" t="s">
        <v>64</v>
      </c>
      <c r="B3145" t="s">
        <v>73</v>
      </c>
      <c r="C3145" t="s">
        <v>3165</v>
      </c>
      <c r="D3145">
        <v>1</v>
      </c>
      <c r="E3145" s="358">
        <v>6</v>
      </c>
      <c r="F3145" s="358" t="s">
        <v>75</v>
      </c>
      <c r="G3145" s="358" t="s">
        <v>11</v>
      </c>
      <c r="H3145" s="358" t="s">
        <v>11</v>
      </c>
    </row>
    <row r="3146" spans="1:8" x14ac:dyDescent="0.3">
      <c r="A3146" t="s">
        <v>64</v>
      </c>
      <c r="B3146" t="s">
        <v>73</v>
      </c>
      <c r="C3146" t="s">
        <v>3166</v>
      </c>
      <c r="D3146">
        <v>2</v>
      </c>
      <c r="E3146" s="358">
        <v>6</v>
      </c>
      <c r="F3146" s="358" t="s">
        <v>75</v>
      </c>
      <c r="G3146" s="358" t="s">
        <v>11</v>
      </c>
      <c r="H3146" s="358" t="s">
        <v>11</v>
      </c>
    </row>
  </sheetData>
  <sheetProtection algorithmName="SHA-512" hashValue="1Qe+ok4gRHaDcUEthPYPbKV59X7PNcwDae04aMmJCjhEKTywMaaRWE13dOonl47tBOvRg6ED6RyL6pPX6DJEkw==" saltValue="RdM4I7i+aBkPTqjxU2KFKw==" spinCount="100000" sheet="1" objects="1" scenarios="1" selectLockedCells="1" selectUnlockedCells="1"/>
  <sortState xmlns:xlrd2="http://schemas.microsoft.com/office/spreadsheetml/2017/richdata2" ref="J2:J52">
    <sortCondition ref="J52"/>
  </sortState>
  <dataConsolidate/>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2:J17"/>
  <sheetViews>
    <sheetView showGridLines="0" zoomScaleNormal="100" workbookViewId="0">
      <selection activeCell="B2" sqref="B2:C2"/>
    </sheetView>
  </sheetViews>
  <sheetFormatPr defaultColWidth="9.109375" defaultRowHeight="14.4" x14ac:dyDescent="0.3"/>
  <cols>
    <col min="1" max="1" width="9.109375" style="358"/>
    <col min="2" max="2" width="15.44140625" style="358" customWidth="1"/>
    <col min="3" max="10" width="11.44140625" style="358" customWidth="1"/>
    <col min="11" max="16384" width="9.109375" style="358"/>
  </cols>
  <sheetData>
    <row r="2" spans="2:10" x14ac:dyDescent="0.3">
      <c r="B2" s="1761" t="s">
        <v>3761</v>
      </c>
      <c r="C2" s="1761"/>
      <c r="H2" s="1756" t="s">
        <v>4657</v>
      </c>
      <c r="I2" s="1757"/>
      <c r="J2" s="1758"/>
    </row>
    <row r="3" spans="2:10" x14ac:dyDescent="0.3">
      <c r="B3" s="1785" t="s">
        <v>3654</v>
      </c>
      <c r="C3" s="1785"/>
      <c r="D3" s="1785"/>
      <c r="E3" s="1785"/>
      <c r="F3" s="1785"/>
      <c r="G3" s="1785"/>
      <c r="H3" s="1785"/>
      <c r="I3" s="1785"/>
      <c r="J3" s="1785"/>
    </row>
    <row r="4" spans="2:10" x14ac:dyDescent="0.3">
      <c r="B4" s="1784" t="s">
        <v>3653</v>
      </c>
      <c r="C4" s="1784"/>
      <c r="D4" s="1784"/>
      <c r="E4" s="1784"/>
      <c r="F4" s="1784"/>
      <c r="G4" s="1784"/>
      <c r="H4" s="1784"/>
      <c r="I4" s="1784"/>
      <c r="J4" s="1784"/>
    </row>
    <row r="5" spans="2:10" ht="32.25" customHeight="1" x14ac:dyDescent="0.3">
      <c r="B5" s="379" t="s">
        <v>3652</v>
      </c>
      <c r="C5" s="379" t="s">
        <v>3651</v>
      </c>
      <c r="D5" s="379" t="s">
        <v>3650</v>
      </c>
      <c r="E5" s="378" t="s">
        <v>3649</v>
      </c>
      <c r="F5" s="378" t="s">
        <v>3648</v>
      </c>
      <c r="G5" s="378" t="s">
        <v>3647</v>
      </c>
      <c r="H5" s="378" t="s">
        <v>3646</v>
      </c>
      <c r="I5" s="378" t="s">
        <v>3645</v>
      </c>
      <c r="J5" s="378" t="s">
        <v>3644</v>
      </c>
    </row>
    <row r="6" spans="2:10" x14ac:dyDescent="0.3">
      <c r="B6" s="377">
        <v>1</v>
      </c>
      <c r="C6" s="376">
        <v>0.5</v>
      </c>
      <c r="D6" s="375">
        <v>0.75</v>
      </c>
      <c r="E6" s="375">
        <v>3.5000000000000003E-2</v>
      </c>
      <c r="F6" s="375">
        <v>8.4000000000000005E-2</v>
      </c>
      <c r="G6" s="371">
        <v>0.19700000000000001</v>
      </c>
      <c r="H6" s="371">
        <v>6.4000000000000001E-2</v>
      </c>
      <c r="I6" s="371">
        <v>0.36</v>
      </c>
      <c r="J6" s="371">
        <v>0.47699999999999998</v>
      </c>
    </row>
    <row r="7" spans="2:10" x14ac:dyDescent="0.3">
      <c r="B7" s="377">
        <v>2</v>
      </c>
      <c r="C7" s="376">
        <v>0.4</v>
      </c>
      <c r="D7" s="375">
        <v>0.65</v>
      </c>
      <c r="E7" s="371">
        <v>0.03</v>
      </c>
      <c r="F7" s="375">
        <v>8.4000000000000005E-2</v>
      </c>
      <c r="G7" s="371">
        <v>0.16500000000000001</v>
      </c>
      <c r="H7" s="371">
        <v>6.4000000000000001E-2</v>
      </c>
      <c r="I7" s="371">
        <v>0.36</v>
      </c>
      <c r="J7" s="371">
        <v>0.47699999999999998</v>
      </c>
    </row>
    <row r="8" spans="2:10" ht="15" x14ac:dyDescent="0.3">
      <c r="B8" s="373">
        <v>3</v>
      </c>
      <c r="C8" s="373">
        <v>0.35</v>
      </c>
      <c r="D8" s="363">
        <v>0.55000000000000004</v>
      </c>
      <c r="E8" s="371">
        <v>0.03</v>
      </c>
      <c r="F8" s="371">
        <v>0.06</v>
      </c>
      <c r="G8" s="372">
        <v>9.8000000000000004E-2</v>
      </c>
      <c r="H8" s="371">
        <v>4.7E-2</v>
      </c>
      <c r="I8" s="374" t="s">
        <v>3643</v>
      </c>
      <c r="J8" s="371">
        <v>0.13600000000000001</v>
      </c>
    </row>
    <row r="9" spans="2:10" ht="15" customHeight="1" x14ac:dyDescent="0.3">
      <c r="B9" s="373" t="s">
        <v>3642</v>
      </c>
      <c r="C9" s="362">
        <v>0.35</v>
      </c>
      <c r="D9" s="363">
        <v>0.55000000000000004</v>
      </c>
      <c r="E9" s="371">
        <v>2.5999999999999999E-2</v>
      </c>
      <c r="F9" s="371">
        <v>0.06</v>
      </c>
      <c r="G9" s="372">
        <v>9.8000000000000004E-2</v>
      </c>
      <c r="H9" s="371">
        <v>4.7E-2</v>
      </c>
      <c r="I9" s="371">
        <v>5.8999999999999997E-2</v>
      </c>
      <c r="J9" s="371">
        <v>6.5000000000000002E-2</v>
      </c>
    </row>
    <row r="10" spans="2:10" ht="15" customHeight="1" x14ac:dyDescent="0.3">
      <c r="B10" s="373" t="s">
        <v>3641</v>
      </c>
      <c r="C10" s="362">
        <v>0.32</v>
      </c>
      <c r="D10" s="363">
        <v>0.55000000000000004</v>
      </c>
      <c r="E10" s="371">
        <v>2.5999999999999999E-2</v>
      </c>
      <c r="F10" s="371">
        <v>0.06</v>
      </c>
      <c r="G10" s="372">
        <v>8.2000000000000003E-2</v>
      </c>
      <c r="H10" s="371">
        <v>3.3000000000000002E-2</v>
      </c>
      <c r="I10" s="371">
        <v>0.05</v>
      </c>
      <c r="J10" s="371">
        <v>5.5E-2</v>
      </c>
    </row>
    <row r="11" spans="2:10" ht="15" customHeight="1" x14ac:dyDescent="0.3">
      <c r="B11" s="373">
        <v>6</v>
      </c>
      <c r="C11" s="362">
        <v>0.32</v>
      </c>
      <c r="D11" s="362">
        <v>0.55000000000000004</v>
      </c>
      <c r="E11" s="371">
        <v>2.5999999999999999E-2</v>
      </c>
      <c r="F11" s="371">
        <v>4.4999999999999998E-2</v>
      </c>
      <c r="G11" s="372">
        <v>0.06</v>
      </c>
      <c r="H11" s="371">
        <v>3.3000000000000002E-2</v>
      </c>
      <c r="I11" s="371">
        <v>0.05</v>
      </c>
      <c r="J11" s="371">
        <v>5.5E-2</v>
      </c>
    </row>
    <row r="12" spans="2:10" x14ac:dyDescent="0.3">
      <c r="B12" s="362" t="s">
        <v>3640</v>
      </c>
      <c r="C12" s="362">
        <v>0.32</v>
      </c>
      <c r="D12" s="363">
        <v>0.55000000000000004</v>
      </c>
      <c r="E12" s="371">
        <v>2.5999999999999999E-2</v>
      </c>
      <c r="F12" s="371">
        <v>4.4999999999999998E-2</v>
      </c>
      <c r="G12" s="372">
        <v>5.7000000000000002E-2</v>
      </c>
      <c r="H12" s="371">
        <v>2.8000000000000001E-2</v>
      </c>
      <c r="I12" s="371">
        <v>0.05</v>
      </c>
      <c r="J12" s="371">
        <v>5.5E-2</v>
      </c>
    </row>
    <row r="13" spans="2:10" x14ac:dyDescent="0.3">
      <c r="B13" s="1786" t="s">
        <v>3639</v>
      </c>
      <c r="C13" s="1787"/>
      <c r="D13" s="1787"/>
      <c r="E13" s="1787"/>
      <c r="F13" s="1787"/>
      <c r="G13" s="1787"/>
      <c r="H13" s="1787"/>
      <c r="I13" s="1787"/>
      <c r="J13" s="1788"/>
    </row>
    <row r="14" spans="2:10" x14ac:dyDescent="0.3">
      <c r="B14" s="1789" t="s">
        <v>3638</v>
      </c>
      <c r="C14" s="1790"/>
      <c r="D14" s="1790"/>
      <c r="E14" s="1790"/>
      <c r="F14" s="1790"/>
      <c r="G14" s="1790"/>
      <c r="H14" s="1790"/>
      <c r="I14" s="1790"/>
      <c r="J14" s="1791"/>
    </row>
    <row r="15" spans="2:10" x14ac:dyDescent="0.3">
      <c r="B15" s="1789"/>
      <c r="C15" s="1790"/>
      <c r="D15" s="1790"/>
      <c r="E15" s="1790"/>
      <c r="F15" s="1790"/>
      <c r="G15" s="1790"/>
      <c r="H15" s="1790"/>
      <c r="I15" s="1790"/>
      <c r="J15" s="1791"/>
    </row>
    <row r="16" spans="2:10" x14ac:dyDescent="0.3">
      <c r="B16" s="1792" t="s">
        <v>3637</v>
      </c>
      <c r="C16" s="1793"/>
      <c r="D16" s="1793"/>
      <c r="E16" s="1793"/>
      <c r="F16" s="1793"/>
      <c r="G16" s="1793"/>
      <c r="H16" s="1793"/>
      <c r="I16" s="1793"/>
      <c r="J16" s="1794"/>
    </row>
    <row r="17" spans="2:10" x14ac:dyDescent="0.3">
      <c r="B17" s="1439" t="s">
        <v>3657</v>
      </c>
      <c r="C17" s="1439"/>
      <c r="D17" s="1439"/>
      <c r="E17" s="1439"/>
      <c r="F17" s="1439"/>
      <c r="G17" s="1439"/>
      <c r="H17" s="1439"/>
      <c r="I17" s="1439"/>
      <c r="J17" s="1439"/>
    </row>
  </sheetData>
  <sheetProtection algorithmName="SHA-512" hashValue="qDMh/6nKJsCLr+ZjxHBJmkxILSi+lz5fXDa2vkJvfWPlTW4eMIcLCL7H4c+wFMY7QJzCynm4skPicBhUsH/+GA==" saltValue="87kn7j1NdIgZki+4f7uPOw==" spinCount="100000" sheet="1" objects="1" scenarios="1" selectLockedCells="1"/>
  <mergeCells count="8">
    <mergeCell ref="B2:C2"/>
    <mergeCell ref="B17:J17"/>
    <mergeCell ref="B4:J4"/>
    <mergeCell ref="B3:J3"/>
    <mergeCell ref="B13:J13"/>
    <mergeCell ref="B14:J15"/>
    <mergeCell ref="B16:J16"/>
    <mergeCell ref="H2:J2"/>
  </mergeCells>
  <hyperlinks>
    <hyperlink ref="B2:C2" location="hyptarg7.2" display="back to 703.2.1" xr:uid="{00000000-0004-0000-1D00-000000000000}"/>
    <hyperlink ref="H2:I2" location="'Verification Report'!A1" display="back to Verification Report" xr:uid="{00000000-0004-0000-1D00-000001000000}"/>
    <hyperlink ref="H2:J2" location="'Verification Report'!A1" display="back to Verification Report" xr:uid="{00000000-0004-0000-1D00-000002000000}"/>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B2:J17"/>
  <sheetViews>
    <sheetView showGridLines="0" workbookViewId="0">
      <selection activeCell="B2" sqref="B2:C2"/>
    </sheetView>
  </sheetViews>
  <sheetFormatPr defaultColWidth="9.109375" defaultRowHeight="14.4" x14ac:dyDescent="0.3"/>
  <cols>
    <col min="1" max="1" width="5.33203125" style="358" customWidth="1"/>
    <col min="2" max="2" width="14.44140625" style="358" customWidth="1"/>
    <col min="3" max="10" width="8.6640625" style="358" customWidth="1"/>
    <col min="11" max="16384" width="9.109375" style="358"/>
  </cols>
  <sheetData>
    <row r="2" spans="2:10" x14ac:dyDescent="0.3">
      <c r="B2" s="1761" t="s">
        <v>3761</v>
      </c>
      <c r="C2" s="1761"/>
      <c r="H2" s="1756" t="s">
        <v>4657</v>
      </c>
      <c r="I2" s="1757"/>
      <c r="J2" s="1758"/>
    </row>
    <row r="4" spans="2:10" x14ac:dyDescent="0.3">
      <c r="B4" s="1785" t="s">
        <v>3670</v>
      </c>
      <c r="C4" s="1785"/>
      <c r="D4" s="1785"/>
      <c r="E4" s="1785"/>
      <c r="F4" s="1785"/>
      <c r="G4" s="1785"/>
      <c r="H4" s="1785"/>
      <c r="I4" s="1785"/>
      <c r="J4" s="1785"/>
    </row>
    <row r="5" spans="2:10" x14ac:dyDescent="0.3">
      <c r="B5" s="1784" t="s">
        <v>3669</v>
      </c>
      <c r="C5" s="1784"/>
      <c r="D5" s="1784"/>
      <c r="E5" s="1784"/>
      <c r="F5" s="1784"/>
      <c r="G5" s="1784"/>
      <c r="H5" s="1784"/>
      <c r="I5" s="1784"/>
      <c r="J5" s="1784"/>
    </row>
    <row r="6" spans="2:10" x14ac:dyDescent="0.3">
      <c r="B6" s="1799" t="s">
        <v>3668</v>
      </c>
      <c r="C6" s="1796" t="s">
        <v>3652</v>
      </c>
      <c r="D6" s="1797"/>
      <c r="E6" s="1797"/>
      <c r="F6" s="1797"/>
      <c r="G6" s="1797"/>
      <c r="H6" s="1797"/>
      <c r="I6" s="1797"/>
      <c r="J6" s="1798"/>
    </row>
    <row r="7" spans="2:10" ht="15" x14ac:dyDescent="0.3">
      <c r="B7" s="1800"/>
      <c r="C7" s="387" t="s">
        <v>3667</v>
      </c>
      <c r="D7" s="386">
        <v>2</v>
      </c>
      <c r="E7" s="386">
        <v>3</v>
      </c>
      <c r="F7" s="386">
        <v>4</v>
      </c>
      <c r="G7" s="386">
        <v>5</v>
      </c>
      <c r="H7" s="386">
        <v>6</v>
      </c>
      <c r="I7" s="386">
        <v>7</v>
      </c>
      <c r="J7" s="386">
        <v>8</v>
      </c>
    </row>
    <row r="8" spans="2:10" x14ac:dyDescent="0.3">
      <c r="B8" s="1801"/>
      <c r="C8" s="1802" t="s">
        <v>3219</v>
      </c>
      <c r="D8" s="1803"/>
      <c r="E8" s="1803"/>
      <c r="F8" s="1803"/>
      <c r="G8" s="1803"/>
      <c r="H8" s="1803"/>
      <c r="I8" s="1803"/>
      <c r="J8" s="1804"/>
    </row>
    <row r="9" spans="2:10" x14ac:dyDescent="0.3">
      <c r="B9" s="373" t="s">
        <v>3666</v>
      </c>
      <c r="C9" s="385">
        <v>0</v>
      </c>
      <c r="D9" s="382">
        <v>0</v>
      </c>
      <c r="E9" s="380">
        <v>0</v>
      </c>
      <c r="F9" s="380">
        <v>0</v>
      </c>
      <c r="G9" s="381">
        <v>0</v>
      </c>
      <c r="H9" s="380">
        <v>0</v>
      </c>
      <c r="I9" s="384">
        <v>0</v>
      </c>
      <c r="J9" s="380">
        <v>0</v>
      </c>
    </row>
    <row r="10" spans="2:10" ht="15" customHeight="1" x14ac:dyDescent="0.3">
      <c r="B10" s="373" t="s">
        <v>3665</v>
      </c>
      <c r="C10" s="385">
        <v>2</v>
      </c>
      <c r="D10" s="383">
        <v>3</v>
      </c>
      <c r="E10" s="380">
        <v>3</v>
      </c>
      <c r="F10" s="380">
        <v>3</v>
      </c>
      <c r="G10" s="381">
        <v>3</v>
      </c>
      <c r="H10" s="380">
        <v>3</v>
      </c>
      <c r="I10" s="384">
        <v>3</v>
      </c>
      <c r="J10" s="380">
        <v>3</v>
      </c>
    </row>
    <row r="11" spans="2:10" ht="15" customHeight="1" x14ac:dyDescent="0.3">
      <c r="B11" s="373" t="s">
        <v>3664</v>
      </c>
      <c r="C11" s="385">
        <v>3</v>
      </c>
      <c r="D11" s="383">
        <v>6</v>
      </c>
      <c r="E11" s="380">
        <v>5</v>
      </c>
      <c r="F11" s="380">
        <v>6</v>
      </c>
      <c r="G11" s="381">
        <v>6</v>
      </c>
      <c r="H11" s="380">
        <v>6</v>
      </c>
      <c r="I11" s="384">
        <v>5</v>
      </c>
      <c r="J11" s="380">
        <v>7</v>
      </c>
    </row>
    <row r="12" spans="2:10" ht="15" customHeight="1" x14ac:dyDescent="0.3">
      <c r="B12" s="373" t="s">
        <v>3663</v>
      </c>
      <c r="C12" s="385">
        <v>5</v>
      </c>
      <c r="D12" s="383">
        <v>9</v>
      </c>
      <c r="E12" s="380">
        <v>8</v>
      </c>
      <c r="F12" s="380">
        <v>9</v>
      </c>
      <c r="G12" s="381">
        <v>9</v>
      </c>
      <c r="H12" s="380">
        <v>9</v>
      </c>
      <c r="I12" s="384">
        <v>8</v>
      </c>
      <c r="J12" s="380">
        <v>10</v>
      </c>
    </row>
    <row r="13" spans="2:10" ht="15" customHeight="1" x14ac:dyDescent="0.3">
      <c r="B13" s="373" t="s">
        <v>3662</v>
      </c>
      <c r="C13" s="383">
        <v>6</v>
      </c>
      <c r="D13" s="382">
        <v>12</v>
      </c>
      <c r="E13" s="380">
        <v>10</v>
      </c>
      <c r="F13" s="380">
        <v>12</v>
      </c>
      <c r="G13" s="381">
        <v>12</v>
      </c>
      <c r="H13" s="380">
        <v>12</v>
      </c>
      <c r="I13" s="380">
        <v>11</v>
      </c>
      <c r="J13" s="380">
        <v>13</v>
      </c>
    </row>
    <row r="14" spans="2:10" ht="15" customHeight="1" x14ac:dyDescent="0.3">
      <c r="B14" s="373" t="s">
        <v>3661</v>
      </c>
      <c r="C14" s="383">
        <v>8</v>
      </c>
      <c r="D14" s="382">
        <v>15</v>
      </c>
      <c r="E14" s="380">
        <v>13</v>
      </c>
      <c r="F14" s="380">
        <v>16</v>
      </c>
      <c r="G14" s="381">
        <v>14</v>
      </c>
      <c r="H14" s="380">
        <v>15</v>
      </c>
      <c r="I14" s="380">
        <v>14</v>
      </c>
      <c r="J14" s="380">
        <v>17</v>
      </c>
    </row>
    <row r="15" spans="2:10" ht="15" customHeight="1" x14ac:dyDescent="0.3">
      <c r="B15" s="373" t="s">
        <v>3660</v>
      </c>
      <c r="C15" s="383">
        <v>10</v>
      </c>
      <c r="D15" s="383">
        <v>18</v>
      </c>
      <c r="E15" s="380">
        <v>16</v>
      </c>
      <c r="F15" s="380">
        <v>19</v>
      </c>
      <c r="G15" s="381">
        <v>17</v>
      </c>
      <c r="H15" s="380">
        <v>18</v>
      </c>
      <c r="I15" s="380">
        <v>16</v>
      </c>
      <c r="J15" s="380">
        <v>20</v>
      </c>
    </row>
    <row r="16" spans="2:10" x14ac:dyDescent="0.3">
      <c r="B16" s="373" t="s">
        <v>3659</v>
      </c>
      <c r="C16" s="383">
        <v>11</v>
      </c>
      <c r="D16" s="382">
        <v>21</v>
      </c>
      <c r="E16" s="380">
        <v>18</v>
      </c>
      <c r="F16" s="380">
        <v>22</v>
      </c>
      <c r="G16" s="381">
        <v>20</v>
      </c>
      <c r="H16" s="380">
        <v>21</v>
      </c>
      <c r="I16" s="380">
        <v>19</v>
      </c>
      <c r="J16" s="380">
        <v>23</v>
      </c>
    </row>
    <row r="17" spans="2:10" x14ac:dyDescent="0.3">
      <c r="B17" s="1795" t="s">
        <v>3658</v>
      </c>
      <c r="C17" s="1795"/>
      <c r="D17" s="1795"/>
      <c r="E17" s="1795"/>
      <c r="F17" s="1795"/>
      <c r="G17" s="1795"/>
      <c r="H17" s="1795"/>
      <c r="I17" s="1795"/>
      <c r="J17" s="1795"/>
    </row>
  </sheetData>
  <sheetProtection algorithmName="SHA-512" hashValue="bEkjWdpvfsnyAYl9uAig6gtsMROzv6be63JphvXC5kFF52XVvkrrZDR4090gNHM1IHa1xZx0Oq7y8N6OQnvM7w==" saltValue="2AYv+9bCFpw9+dQENrc8Hw==" spinCount="100000" sheet="1" objects="1" scenarios="1" selectLockedCells="1"/>
  <mergeCells count="8">
    <mergeCell ref="B2:C2"/>
    <mergeCell ref="B17:J17"/>
    <mergeCell ref="B4:J4"/>
    <mergeCell ref="B5:J5"/>
    <mergeCell ref="C6:J6"/>
    <mergeCell ref="B6:B8"/>
    <mergeCell ref="C8:J8"/>
    <mergeCell ref="H2:J2"/>
  </mergeCells>
  <hyperlinks>
    <hyperlink ref="B2:C2" location="hyptarg7.2" display="back to 703.2.1" xr:uid="{00000000-0004-0000-1E00-000000000000}"/>
    <hyperlink ref="H2:I2" location="'Verification Report'!A1" display="back to Verification Report" xr:uid="{00000000-0004-0000-1E00-000001000000}"/>
    <hyperlink ref="H2:J2" location="'Verification Report'!A1" display="back to Verification Report" xr:uid="{00000000-0004-0000-1E00-000002000000}"/>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dimension ref="B2:G15"/>
  <sheetViews>
    <sheetView showGridLines="0" zoomScaleNormal="100" workbookViewId="0">
      <selection activeCell="B2" sqref="B2:C2"/>
    </sheetView>
  </sheetViews>
  <sheetFormatPr defaultColWidth="9.109375" defaultRowHeight="14.4" x14ac:dyDescent="0.3"/>
  <cols>
    <col min="1" max="1" width="4.6640625" style="358" customWidth="1"/>
    <col min="2" max="2" width="15" style="358" bestFit="1" customWidth="1"/>
    <col min="3" max="16384" width="9.109375" style="358"/>
  </cols>
  <sheetData>
    <row r="2" spans="2:7" x14ac:dyDescent="0.3">
      <c r="B2" s="1761" t="s">
        <v>4034</v>
      </c>
      <c r="C2" s="1761"/>
      <c r="E2" s="1756" t="s">
        <v>4657</v>
      </c>
      <c r="F2" s="1757"/>
      <c r="G2" s="1758"/>
    </row>
    <row r="3" spans="2:7" customFormat="1" x14ac:dyDescent="0.3"/>
    <row r="4" spans="2:7" x14ac:dyDescent="0.3">
      <c r="B4" s="1785" t="s">
        <v>3677</v>
      </c>
      <c r="C4" s="1785"/>
      <c r="D4" s="1785"/>
      <c r="E4" s="1785"/>
      <c r="F4" s="1785"/>
    </row>
    <row r="5" spans="2:7" x14ac:dyDescent="0.3">
      <c r="B5" s="1784" t="s">
        <v>3676</v>
      </c>
      <c r="C5" s="1784"/>
      <c r="D5" s="1784"/>
      <c r="E5" s="1784"/>
      <c r="F5" s="1784"/>
    </row>
    <row r="6" spans="2:7" x14ac:dyDescent="0.3">
      <c r="B6" s="1799" t="s">
        <v>3675</v>
      </c>
      <c r="C6" s="1805" t="s">
        <v>3652</v>
      </c>
      <c r="D6" s="1805"/>
      <c r="E6" s="1805"/>
      <c r="F6" s="1805"/>
    </row>
    <row r="7" spans="2:7" x14ac:dyDescent="0.3">
      <c r="B7" s="1800"/>
      <c r="C7" s="390" t="s">
        <v>3674</v>
      </c>
      <c r="D7" s="386">
        <v>5</v>
      </c>
      <c r="E7" s="386">
        <v>6</v>
      </c>
      <c r="F7" s="389" t="s">
        <v>3673</v>
      </c>
    </row>
    <row r="8" spans="2:7" x14ac:dyDescent="0.3">
      <c r="B8" s="1801"/>
      <c r="C8" s="1802" t="s">
        <v>3219</v>
      </c>
      <c r="D8" s="1803"/>
      <c r="E8" s="1803"/>
      <c r="F8" s="1803"/>
    </row>
    <row r="9" spans="2:7" ht="15" customHeight="1" x14ac:dyDescent="0.3">
      <c r="B9" s="373" t="s">
        <v>3672</v>
      </c>
      <c r="C9" s="385">
        <v>1</v>
      </c>
      <c r="D9" s="382">
        <v>0</v>
      </c>
      <c r="E9" s="380">
        <v>0</v>
      </c>
      <c r="F9" s="380">
        <v>0</v>
      </c>
    </row>
    <row r="10" spans="2:7" x14ac:dyDescent="0.3">
      <c r="B10" s="373" t="s">
        <v>3671</v>
      </c>
      <c r="C10" s="385">
        <v>3</v>
      </c>
      <c r="D10" s="383">
        <v>2</v>
      </c>
      <c r="E10" s="380">
        <v>2</v>
      </c>
      <c r="F10" s="380">
        <v>0</v>
      </c>
    </row>
    <row r="15" spans="2:7" x14ac:dyDescent="0.3">
      <c r="F15" s="388"/>
    </row>
  </sheetData>
  <sheetProtection algorithmName="SHA-512" hashValue="Ch2dArrfNEuS8gWjDOMDEVN+DRWRKC2g/zd/Z/+0gmeurvRF/XPrDCSwfVmgJDacIbE9OsKLKL2Ov62H3eN9UA==" saltValue="gGwd7KbNQQD0xN8OpIkJ7w==" spinCount="100000" sheet="1" objects="1" scenarios="1" selectLockedCells="1"/>
  <mergeCells count="7">
    <mergeCell ref="B2:C2"/>
    <mergeCell ref="B6:B8"/>
    <mergeCell ref="C6:F6"/>
    <mergeCell ref="C8:F8"/>
    <mergeCell ref="B4:F4"/>
    <mergeCell ref="B5:F5"/>
    <mergeCell ref="E2:G2"/>
  </mergeCells>
  <hyperlinks>
    <hyperlink ref="B2:C2" location="hyptarg7.3" display="back to 703.2.2" xr:uid="{00000000-0004-0000-1F00-000000000000}"/>
    <hyperlink ref="E2:F2" location="'Verification Report'!A1" display="back to Verification Report" xr:uid="{00000000-0004-0000-1F00-000001000000}"/>
    <hyperlink ref="E2:G2" location="'Verification Report'!A1" display="back to Verification Report" xr:uid="{00000000-0004-0000-1F00-000002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dimension ref="B2:J14"/>
  <sheetViews>
    <sheetView showGridLines="0" zoomScaleNormal="100" workbookViewId="0">
      <selection activeCell="B2" sqref="B2:C2"/>
    </sheetView>
  </sheetViews>
  <sheetFormatPr defaultColWidth="9.109375" defaultRowHeight="14.4" x14ac:dyDescent="0.3"/>
  <cols>
    <col min="1" max="1" width="4" style="358" customWidth="1"/>
    <col min="2" max="2" width="12.109375" style="358" customWidth="1"/>
    <col min="3" max="10" width="5.33203125" style="358" customWidth="1"/>
    <col min="11" max="16384" width="9.109375" style="358"/>
  </cols>
  <sheetData>
    <row r="2" spans="2:10" s="488" customFormat="1" x14ac:dyDescent="0.3">
      <c r="B2" s="1761" t="s">
        <v>4035</v>
      </c>
      <c r="C2" s="1761"/>
      <c r="G2" s="1756" t="s">
        <v>4657</v>
      </c>
      <c r="H2" s="1757"/>
      <c r="I2" s="1757"/>
      <c r="J2" s="1758"/>
    </row>
    <row r="4" spans="2:10" x14ac:dyDescent="0.3">
      <c r="B4" s="1785" t="s">
        <v>3683</v>
      </c>
      <c r="C4" s="1785"/>
      <c r="D4" s="1785"/>
      <c r="E4" s="1785"/>
      <c r="F4" s="1785"/>
      <c r="G4" s="1785"/>
      <c r="H4" s="1785"/>
      <c r="I4" s="1785"/>
      <c r="J4" s="1785"/>
    </row>
    <row r="5" spans="2:10" x14ac:dyDescent="0.3">
      <c r="B5" s="1784" t="s">
        <v>3682</v>
      </c>
      <c r="C5" s="1784"/>
      <c r="D5" s="1784"/>
      <c r="E5" s="1784"/>
      <c r="F5" s="1784"/>
      <c r="G5" s="1784"/>
      <c r="H5" s="1784"/>
      <c r="I5" s="1784"/>
      <c r="J5" s="1784"/>
    </row>
    <row r="6" spans="2:10" x14ac:dyDescent="0.3">
      <c r="B6" s="1807" t="s">
        <v>3681</v>
      </c>
      <c r="C6" s="1810" t="s">
        <v>3652</v>
      </c>
      <c r="D6" s="1811"/>
      <c r="E6" s="1811"/>
      <c r="F6" s="1811"/>
      <c r="G6" s="1811"/>
      <c r="H6" s="1811"/>
      <c r="I6" s="1811"/>
      <c r="J6" s="1812"/>
    </row>
    <row r="7" spans="2:10" x14ac:dyDescent="0.3">
      <c r="B7" s="1808"/>
      <c r="C7" s="387">
        <v>1</v>
      </c>
      <c r="D7" s="386">
        <v>2</v>
      </c>
      <c r="E7" s="386">
        <v>3</v>
      </c>
      <c r="F7" s="386">
        <v>4</v>
      </c>
      <c r="G7" s="386">
        <v>5</v>
      </c>
      <c r="H7" s="386">
        <v>6</v>
      </c>
      <c r="I7" s="386">
        <v>7</v>
      </c>
      <c r="J7" s="386">
        <v>8</v>
      </c>
    </row>
    <row r="8" spans="2:10" x14ac:dyDescent="0.3">
      <c r="B8" s="1809"/>
      <c r="C8" s="1802" t="s">
        <v>3219</v>
      </c>
      <c r="D8" s="1803"/>
      <c r="E8" s="1803"/>
      <c r="F8" s="1803"/>
      <c r="G8" s="1803"/>
      <c r="H8" s="1803"/>
      <c r="I8" s="1803"/>
      <c r="J8" s="1804"/>
    </row>
    <row r="9" spans="2:10" x14ac:dyDescent="0.3">
      <c r="B9" s="373" t="s">
        <v>3770</v>
      </c>
      <c r="C9" s="385">
        <v>1</v>
      </c>
      <c r="D9" s="382">
        <v>2</v>
      </c>
      <c r="E9" s="392" t="s">
        <v>3680</v>
      </c>
      <c r="F9" s="392" t="s">
        <v>3680</v>
      </c>
      <c r="G9" s="394" t="s">
        <v>3680</v>
      </c>
      <c r="H9" s="392" t="s">
        <v>3680</v>
      </c>
      <c r="I9" s="393" t="s">
        <v>3680</v>
      </c>
      <c r="J9" s="392" t="s">
        <v>3680</v>
      </c>
    </row>
    <row r="10" spans="2:10" x14ac:dyDescent="0.3">
      <c r="B10" s="373" t="s">
        <v>3771</v>
      </c>
      <c r="C10" s="385">
        <v>2</v>
      </c>
      <c r="D10" s="383">
        <v>4</v>
      </c>
      <c r="E10" s="392" t="s">
        <v>3680</v>
      </c>
      <c r="F10" s="392" t="s">
        <v>3680</v>
      </c>
      <c r="G10" s="394" t="s">
        <v>3680</v>
      </c>
      <c r="H10" s="392" t="s">
        <v>3680</v>
      </c>
      <c r="I10" s="393" t="s">
        <v>3680</v>
      </c>
      <c r="J10" s="392" t="s">
        <v>3680</v>
      </c>
    </row>
    <row r="11" spans="2:10" x14ac:dyDescent="0.3">
      <c r="B11" s="373" t="s">
        <v>3772</v>
      </c>
      <c r="C11" s="385">
        <v>3</v>
      </c>
      <c r="D11" s="383">
        <v>5</v>
      </c>
      <c r="E11" s="380">
        <v>3</v>
      </c>
      <c r="F11" s="380">
        <v>4</v>
      </c>
      <c r="G11" s="381">
        <v>4</v>
      </c>
      <c r="H11" s="380">
        <v>6</v>
      </c>
      <c r="I11" s="384">
        <v>8</v>
      </c>
      <c r="J11" s="380">
        <v>7</v>
      </c>
    </row>
    <row r="12" spans="2:10" x14ac:dyDescent="0.3">
      <c r="B12" s="373" t="s">
        <v>3773</v>
      </c>
      <c r="C12" s="385">
        <v>4</v>
      </c>
      <c r="D12" s="383">
        <v>7</v>
      </c>
      <c r="E12" s="380">
        <v>5</v>
      </c>
      <c r="F12" s="380">
        <v>7</v>
      </c>
      <c r="G12" s="381">
        <v>7</v>
      </c>
      <c r="H12" s="380">
        <v>10</v>
      </c>
      <c r="I12" s="384">
        <v>15</v>
      </c>
      <c r="J12" s="380">
        <v>11</v>
      </c>
    </row>
    <row r="14" spans="2:10" x14ac:dyDescent="0.3">
      <c r="B14" s="1806" t="s">
        <v>3679</v>
      </c>
      <c r="C14" s="1806"/>
      <c r="D14" s="1806"/>
      <c r="E14" s="1806"/>
      <c r="F14" s="1806"/>
      <c r="G14" s="1806"/>
      <c r="H14" s="1806"/>
      <c r="I14" s="1806"/>
      <c r="J14" s="1806"/>
    </row>
  </sheetData>
  <sheetProtection algorithmName="SHA-512" hashValue="nlHLePSUYiXlpYByBgJvCWs2uUmsZBuNee21itnma7bZe9OOso9Zksuv440a2GB7dK1WT8j/E/LwRsqMy4P5mA==" saltValue="iL7BBPvRLRS5DengsuMEWA==" spinCount="100000" sheet="1" objects="1" scenarios="1" selectLockedCells="1"/>
  <mergeCells count="8">
    <mergeCell ref="B2:C2"/>
    <mergeCell ref="B14:J14"/>
    <mergeCell ref="B4:J4"/>
    <mergeCell ref="B5:J5"/>
    <mergeCell ref="B6:B8"/>
    <mergeCell ref="C6:J6"/>
    <mergeCell ref="C8:J8"/>
    <mergeCell ref="G2:J2"/>
  </mergeCells>
  <hyperlinks>
    <hyperlink ref="B2:C2" location="hyptarg7.3" display="back to 703.2.4" xr:uid="{00000000-0004-0000-2000-000000000000}"/>
    <hyperlink ref="G2:I2" location="'Verification Report'!A1" display="back to Verification Report" xr:uid="{00000000-0004-0000-2000-000001000000}"/>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B2:H15"/>
  <sheetViews>
    <sheetView showGridLines="0" zoomScaleNormal="100" workbookViewId="0">
      <selection activeCell="B2" sqref="B2:C2"/>
    </sheetView>
  </sheetViews>
  <sheetFormatPr defaultColWidth="9.109375" defaultRowHeight="14.4" x14ac:dyDescent="0.3"/>
  <cols>
    <col min="1" max="1" width="9.109375" style="358"/>
    <col min="2" max="2" width="9.5546875" style="358" customWidth="1"/>
    <col min="3" max="6" width="11.33203125" style="358" customWidth="1"/>
    <col min="7" max="16384" width="9.109375" style="358"/>
  </cols>
  <sheetData>
    <row r="2" spans="2:8" x14ac:dyDescent="0.3">
      <c r="B2" s="1761" t="s">
        <v>4048</v>
      </c>
      <c r="C2" s="1761"/>
      <c r="E2" s="1761" t="s">
        <v>4657</v>
      </c>
      <c r="F2" s="1761"/>
      <c r="G2"/>
      <c r="H2"/>
    </row>
    <row r="4" spans="2:8" x14ac:dyDescent="0.3">
      <c r="B4" s="1785" t="s">
        <v>3693</v>
      </c>
      <c r="C4" s="1785"/>
      <c r="D4" s="1785"/>
      <c r="E4" s="1785"/>
      <c r="F4" s="1785"/>
    </row>
    <row r="5" spans="2:8" x14ac:dyDescent="0.3">
      <c r="B5" s="1784" t="s">
        <v>3692</v>
      </c>
      <c r="C5" s="1784"/>
      <c r="D5" s="1784"/>
      <c r="E5" s="1784"/>
      <c r="F5" s="1784"/>
    </row>
    <row r="6" spans="2:8" ht="15" customHeight="1" x14ac:dyDescent="0.3">
      <c r="B6" s="1799" t="s">
        <v>3691</v>
      </c>
      <c r="C6" s="386" t="s">
        <v>3690</v>
      </c>
      <c r="D6" s="386" t="s">
        <v>3689</v>
      </c>
      <c r="E6" s="386" t="s">
        <v>3690</v>
      </c>
      <c r="F6" s="386" t="s">
        <v>3689</v>
      </c>
    </row>
    <row r="7" spans="2:8" ht="25.5" customHeight="1" x14ac:dyDescent="0.3">
      <c r="B7" s="1801"/>
      <c r="C7" s="1813" t="s">
        <v>3688</v>
      </c>
      <c r="D7" s="1814"/>
      <c r="E7" s="1813" t="s">
        <v>3687</v>
      </c>
      <c r="F7" s="1814"/>
    </row>
    <row r="8" spans="2:8" x14ac:dyDescent="0.3">
      <c r="B8" s="373">
        <v>1</v>
      </c>
      <c r="C8" s="396">
        <v>0.5</v>
      </c>
      <c r="D8" s="396">
        <v>0.25</v>
      </c>
      <c r="E8" s="395">
        <v>0.75</v>
      </c>
      <c r="F8" s="396">
        <v>0.3</v>
      </c>
    </row>
    <row r="9" spans="2:8" x14ac:dyDescent="0.3">
      <c r="B9" s="373">
        <v>2</v>
      </c>
      <c r="C9" s="396">
        <v>0.4</v>
      </c>
      <c r="D9" s="396">
        <v>0.25</v>
      </c>
      <c r="E9" s="395">
        <v>0.65</v>
      </c>
      <c r="F9" s="396">
        <v>0.3</v>
      </c>
    </row>
    <row r="10" spans="2:8" x14ac:dyDescent="0.3">
      <c r="B10" s="373">
        <v>3</v>
      </c>
      <c r="C10" s="396">
        <v>0.35</v>
      </c>
      <c r="D10" s="396">
        <v>0.25</v>
      </c>
      <c r="E10" s="395">
        <v>0.55000000000000004</v>
      </c>
      <c r="F10" s="396">
        <v>0.3</v>
      </c>
    </row>
    <row r="11" spans="2:8" x14ac:dyDescent="0.3">
      <c r="B11" s="373">
        <v>4</v>
      </c>
      <c r="C11" s="396">
        <v>0.35</v>
      </c>
      <c r="D11" s="396">
        <v>0.4</v>
      </c>
      <c r="E11" s="395">
        <v>0.55000000000000004</v>
      </c>
      <c r="F11" s="396">
        <v>0.4</v>
      </c>
    </row>
    <row r="12" spans="2:8" x14ac:dyDescent="0.3">
      <c r="B12" s="373" t="s">
        <v>3686</v>
      </c>
      <c r="C12" s="396">
        <v>0.32</v>
      </c>
      <c r="D12" s="396" t="s">
        <v>3685</v>
      </c>
      <c r="E12" s="395">
        <v>0.55000000000000004</v>
      </c>
      <c r="F12" s="395" t="s">
        <v>3685</v>
      </c>
    </row>
    <row r="13" spans="2:8" x14ac:dyDescent="0.3">
      <c r="B13" s="1356" t="s">
        <v>3684</v>
      </c>
      <c r="C13" s="1356"/>
      <c r="D13" s="1356"/>
      <c r="E13" s="1356"/>
      <c r="F13" s="1356"/>
    </row>
    <row r="14" spans="2:8" x14ac:dyDescent="0.3">
      <c r="B14" s="1305"/>
      <c r="C14" s="1305"/>
      <c r="D14" s="1305"/>
      <c r="E14" s="1305"/>
      <c r="F14" s="1305"/>
    </row>
    <row r="15" spans="2:8" x14ac:dyDescent="0.3">
      <c r="B15" s="1305"/>
      <c r="C15" s="1305"/>
      <c r="D15" s="1305"/>
      <c r="E15" s="1305"/>
      <c r="F15" s="1305"/>
    </row>
  </sheetData>
  <sheetProtection algorithmName="SHA-512" hashValue="7LIwCOSPNINv/VTaDHQOd6FdcLTfD/XI6bmzN1cMbIurZfbp+RHZsEIxs+UAW5YAJscjD+UWEUHRVkw9IYBbrg==" saltValue="Ml89lMGvkTaYyYnV1JJOTQ==" spinCount="100000" sheet="1" objects="1" scenarios="1" selectLockedCells="1"/>
  <mergeCells count="8">
    <mergeCell ref="B2:C2"/>
    <mergeCell ref="B6:B7"/>
    <mergeCell ref="E7:F7"/>
    <mergeCell ref="B13:F15"/>
    <mergeCell ref="C7:D7"/>
    <mergeCell ref="B4:F4"/>
    <mergeCell ref="B5:F5"/>
    <mergeCell ref="E2:F2"/>
  </mergeCells>
  <hyperlinks>
    <hyperlink ref="B2:C2" location="hyptarg7.4" display="back to 703.2.5.1" xr:uid="{00000000-0004-0000-2100-000000000000}"/>
    <hyperlink ref="E2:F2" location="'Verification Report'!A1" display="back to Verification Report" xr:uid="{00000000-0004-0000-2100-000001000000}"/>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dimension ref="B1:K43"/>
  <sheetViews>
    <sheetView showGridLines="0" zoomScaleNormal="100" workbookViewId="0">
      <selection activeCell="B2" sqref="B2:C2"/>
    </sheetView>
  </sheetViews>
  <sheetFormatPr defaultColWidth="9.109375" defaultRowHeight="14.4" x14ac:dyDescent="0.3"/>
  <cols>
    <col min="1" max="1" width="6" style="358" customWidth="1"/>
    <col min="2" max="2" width="9.109375" style="4"/>
    <col min="3" max="6" width="17.6640625" style="4" customWidth="1"/>
    <col min="7" max="11" width="9.109375" style="4"/>
    <col min="12" max="16384" width="9.109375" style="358"/>
  </cols>
  <sheetData>
    <row r="1" spans="2:11" s="511" customFormat="1" x14ac:dyDescent="0.3">
      <c r="B1" s="4"/>
      <c r="C1" s="4"/>
      <c r="D1" s="4"/>
      <c r="E1" s="4"/>
      <c r="F1" s="4"/>
      <c r="G1" s="4"/>
      <c r="H1" s="4"/>
      <c r="I1" s="4"/>
      <c r="J1" s="4"/>
      <c r="K1" s="4"/>
    </row>
    <row r="2" spans="2:11" s="511" customFormat="1" x14ac:dyDescent="0.3">
      <c r="B2" s="1761" t="s">
        <v>4050</v>
      </c>
      <c r="C2" s="1761"/>
      <c r="D2" s="4"/>
      <c r="E2" s="4"/>
      <c r="F2" s="1761" t="s">
        <v>4657</v>
      </c>
      <c r="G2" s="1761"/>
      <c r="H2" s="4"/>
      <c r="I2" s="4"/>
      <c r="J2" s="4"/>
      <c r="K2" s="4"/>
    </row>
    <row r="4" spans="2:11" ht="15" customHeight="1" x14ac:dyDescent="0.3">
      <c r="B4" s="1785" t="s">
        <v>3705</v>
      </c>
      <c r="C4" s="1785"/>
      <c r="D4" s="1785"/>
      <c r="E4" s="1785"/>
      <c r="F4" s="1785"/>
      <c r="G4" s="1785"/>
    </row>
    <row r="5" spans="2:11" ht="15" customHeight="1" x14ac:dyDescent="0.3">
      <c r="B5" s="1784" t="s">
        <v>3700</v>
      </c>
      <c r="C5" s="1784"/>
      <c r="D5" s="1784"/>
      <c r="E5" s="1784"/>
      <c r="F5" s="1784"/>
      <c r="G5" s="1784"/>
    </row>
    <row r="6" spans="2:11" ht="30.75" customHeight="1" x14ac:dyDescent="0.3">
      <c r="B6" s="401" t="s">
        <v>3652</v>
      </c>
      <c r="C6" s="401" t="s">
        <v>3699</v>
      </c>
      <c r="D6" s="401" t="s">
        <v>3698</v>
      </c>
      <c r="E6" s="401" t="s">
        <v>3697</v>
      </c>
      <c r="F6" s="401" t="s">
        <v>3696</v>
      </c>
      <c r="G6" s="400" t="s">
        <v>3219</v>
      </c>
    </row>
    <row r="7" spans="2:11" x14ac:dyDescent="0.3">
      <c r="B7" s="399">
        <v>1</v>
      </c>
      <c r="C7" s="397">
        <v>0.4</v>
      </c>
      <c r="D7" s="397">
        <v>0.25</v>
      </c>
      <c r="E7" s="397">
        <v>0.6</v>
      </c>
      <c r="F7" s="397">
        <v>0.28000000000000003</v>
      </c>
      <c r="G7" s="391">
        <v>1</v>
      </c>
    </row>
    <row r="8" spans="2:11" x14ac:dyDescent="0.3">
      <c r="B8" s="399">
        <v>2</v>
      </c>
      <c r="C8" s="397">
        <v>0.4</v>
      </c>
      <c r="D8" s="397">
        <v>0.25</v>
      </c>
      <c r="E8" s="397">
        <v>0.6</v>
      </c>
      <c r="F8" s="397">
        <v>0.28000000000000003</v>
      </c>
      <c r="G8" s="391">
        <v>1</v>
      </c>
    </row>
    <row r="9" spans="2:11" x14ac:dyDescent="0.3">
      <c r="B9" s="399">
        <v>3</v>
      </c>
      <c r="C9" s="397">
        <v>0.3</v>
      </c>
      <c r="D9" s="397">
        <v>0.25</v>
      </c>
      <c r="E9" s="397">
        <v>0.53</v>
      </c>
      <c r="F9" s="397">
        <v>0.28000000000000003</v>
      </c>
      <c r="G9" s="391">
        <v>2</v>
      </c>
    </row>
    <row r="10" spans="2:11" x14ac:dyDescent="0.3">
      <c r="B10" s="399">
        <v>4</v>
      </c>
      <c r="C10" s="397">
        <v>0.3</v>
      </c>
      <c r="D10" s="397">
        <v>0.4</v>
      </c>
      <c r="E10" s="397">
        <v>0.53</v>
      </c>
      <c r="F10" s="397">
        <v>0.35</v>
      </c>
      <c r="G10" s="391">
        <v>3</v>
      </c>
    </row>
    <row r="11" spans="2:11" ht="15" x14ac:dyDescent="0.3">
      <c r="B11" s="399">
        <v>5</v>
      </c>
      <c r="C11" s="397" t="s">
        <v>3704</v>
      </c>
      <c r="D11" s="397" t="s">
        <v>3685</v>
      </c>
      <c r="E11" s="397">
        <v>0.5</v>
      </c>
      <c r="F11" s="397" t="s">
        <v>3685</v>
      </c>
      <c r="G11" s="391">
        <v>3</v>
      </c>
    </row>
    <row r="12" spans="2:11" ht="15" x14ac:dyDescent="0.3">
      <c r="B12" s="399">
        <v>6</v>
      </c>
      <c r="C12" s="397" t="s">
        <v>3704</v>
      </c>
      <c r="D12" s="397" t="s">
        <v>3685</v>
      </c>
      <c r="E12" s="397">
        <v>0.5</v>
      </c>
      <c r="F12" s="397" t="s">
        <v>3685</v>
      </c>
      <c r="G12" s="391">
        <v>4</v>
      </c>
    </row>
    <row r="13" spans="2:11" ht="15" x14ac:dyDescent="0.3">
      <c r="B13" s="399">
        <v>7</v>
      </c>
      <c r="C13" s="397" t="s">
        <v>3704</v>
      </c>
      <c r="D13" s="397" t="s">
        <v>3685</v>
      </c>
      <c r="E13" s="397">
        <v>0.5</v>
      </c>
      <c r="F13" s="397" t="s">
        <v>3685</v>
      </c>
      <c r="G13" s="391">
        <v>4</v>
      </c>
    </row>
    <row r="14" spans="2:11" ht="15" x14ac:dyDescent="0.3">
      <c r="B14" s="399">
        <v>8</v>
      </c>
      <c r="C14" s="397" t="s">
        <v>3704</v>
      </c>
      <c r="D14" s="397" t="s">
        <v>3685</v>
      </c>
      <c r="E14" s="397">
        <v>0.5</v>
      </c>
      <c r="F14" s="397" t="s">
        <v>3685</v>
      </c>
      <c r="G14" s="391">
        <v>4</v>
      </c>
    </row>
    <row r="15" spans="2:11" x14ac:dyDescent="0.3">
      <c r="B15" s="1373" t="s">
        <v>3684</v>
      </c>
      <c r="C15" s="1373"/>
      <c r="D15" s="1373"/>
      <c r="E15" s="1373"/>
      <c r="F15" s="1373"/>
      <c r="G15" s="1373"/>
    </row>
    <row r="16" spans="2:11" x14ac:dyDescent="0.3">
      <c r="B16" s="1817"/>
      <c r="C16" s="1817"/>
      <c r="D16" s="1817"/>
      <c r="E16" s="1817"/>
      <c r="F16" s="1817"/>
      <c r="G16" s="1817"/>
    </row>
    <row r="17" spans="2:7" x14ac:dyDescent="0.3">
      <c r="B17" s="1817" t="s">
        <v>3703</v>
      </c>
      <c r="C17" s="1817"/>
      <c r="D17" s="1817"/>
      <c r="E17" s="1817"/>
      <c r="F17" s="1817"/>
      <c r="G17" s="1817"/>
    </row>
    <row r="18" spans="2:7" x14ac:dyDescent="0.3">
      <c r="B18" s="1817"/>
      <c r="C18" s="1817"/>
      <c r="D18" s="1817"/>
      <c r="E18" s="1817"/>
      <c r="F18" s="1817"/>
      <c r="G18" s="1817"/>
    </row>
    <row r="19" spans="2:7" x14ac:dyDescent="0.3">
      <c r="B19" s="1817"/>
      <c r="C19" s="1817"/>
      <c r="D19" s="1817"/>
      <c r="E19" s="1817"/>
      <c r="F19" s="1817"/>
      <c r="G19" s="1817"/>
    </row>
    <row r="20" spans="2:7" x14ac:dyDescent="0.3">
      <c r="B20" s="361"/>
      <c r="C20" s="361"/>
      <c r="D20" s="361"/>
      <c r="E20" s="361"/>
      <c r="F20" s="361"/>
      <c r="G20" s="361"/>
    </row>
    <row r="21" spans="2:7" x14ac:dyDescent="0.3">
      <c r="B21" s="1785" t="s">
        <v>3702</v>
      </c>
      <c r="C21" s="1785"/>
      <c r="D21" s="1785"/>
      <c r="E21" s="1785"/>
      <c r="F21" s="1785"/>
      <c r="G21" s="1785"/>
    </row>
    <row r="22" spans="2:7" x14ac:dyDescent="0.3">
      <c r="B22" s="1784" t="s">
        <v>3700</v>
      </c>
      <c r="C22" s="1784"/>
      <c r="D22" s="1784"/>
      <c r="E22" s="1784"/>
      <c r="F22" s="1784"/>
      <c r="G22" s="1784"/>
    </row>
    <row r="23" spans="2:7" x14ac:dyDescent="0.3">
      <c r="B23" s="1818" t="s">
        <v>3652</v>
      </c>
      <c r="C23" s="1818" t="s">
        <v>3699</v>
      </c>
      <c r="D23" s="1818" t="s">
        <v>3698</v>
      </c>
      <c r="E23" s="1818" t="s">
        <v>3697</v>
      </c>
      <c r="F23" s="1818" t="s">
        <v>3696</v>
      </c>
      <c r="G23" s="1815" t="s">
        <v>3219</v>
      </c>
    </row>
    <row r="24" spans="2:7" ht="21" customHeight="1" x14ac:dyDescent="0.3">
      <c r="B24" s="1819"/>
      <c r="C24" s="1819"/>
      <c r="D24" s="1819"/>
      <c r="E24" s="1819"/>
      <c r="F24" s="1819"/>
      <c r="G24" s="1816"/>
    </row>
    <row r="25" spans="2:7" x14ac:dyDescent="0.3">
      <c r="B25" s="399">
        <v>1</v>
      </c>
      <c r="C25" s="397">
        <v>0.38</v>
      </c>
      <c r="D25" s="397">
        <v>0.25</v>
      </c>
      <c r="E25" s="397">
        <v>0.55000000000000004</v>
      </c>
      <c r="F25" s="397">
        <v>0.28000000000000003</v>
      </c>
      <c r="G25" s="391">
        <v>2</v>
      </c>
    </row>
    <row r="26" spans="2:7" x14ac:dyDescent="0.3">
      <c r="B26" s="399">
        <v>2</v>
      </c>
      <c r="C26" s="397">
        <v>0.38</v>
      </c>
      <c r="D26" s="397">
        <v>0.25</v>
      </c>
      <c r="E26" s="397">
        <v>0.53</v>
      </c>
      <c r="F26" s="397">
        <v>0.28000000000000003</v>
      </c>
      <c r="G26" s="391">
        <v>3</v>
      </c>
    </row>
    <row r="27" spans="2:7" x14ac:dyDescent="0.3">
      <c r="B27" s="399">
        <v>3</v>
      </c>
      <c r="C27" s="397">
        <v>0.3</v>
      </c>
      <c r="D27" s="397">
        <v>0.25</v>
      </c>
      <c r="E27" s="397">
        <v>0.5</v>
      </c>
      <c r="F27" s="397">
        <v>0.28000000000000003</v>
      </c>
      <c r="G27" s="391">
        <v>4</v>
      </c>
    </row>
    <row r="28" spans="2:7" x14ac:dyDescent="0.3">
      <c r="B28" s="399">
        <v>4</v>
      </c>
      <c r="C28" s="397">
        <v>0.28000000000000003</v>
      </c>
      <c r="D28" s="397">
        <v>0.4</v>
      </c>
      <c r="E28" s="397">
        <v>0.5</v>
      </c>
      <c r="F28" s="397">
        <v>0.35</v>
      </c>
      <c r="G28" s="391">
        <v>4</v>
      </c>
    </row>
    <row r="29" spans="2:7" x14ac:dyDescent="0.3">
      <c r="B29" s="399">
        <v>5</v>
      </c>
      <c r="C29" s="397">
        <v>0.25</v>
      </c>
      <c r="D29" s="397" t="s">
        <v>3685</v>
      </c>
      <c r="E29" s="397">
        <v>0.48</v>
      </c>
      <c r="F29" s="397" t="s">
        <v>3685</v>
      </c>
      <c r="G29" s="391">
        <v>4</v>
      </c>
    </row>
    <row r="30" spans="2:7" x14ac:dyDescent="0.3">
      <c r="B30" s="399">
        <v>6</v>
      </c>
      <c r="C30" s="397">
        <v>0.25</v>
      </c>
      <c r="D30" s="397" t="s">
        <v>3685</v>
      </c>
      <c r="E30" s="397">
        <v>0.48</v>
      </c>
      <c r="F30" s="397" t="s">
        <v>3685</v>
      </c>
      <c r="G30" s="391">
        <v>5</v>
      </c>
    </row>
    <row r="31" spans="2:7" x14ac:dyDescent="0.3">
      <c r="B31" s="399">
        <v>7</v>
      </c>
      <c r="C31" s="397">
        <v>0.25</v>
      </c>
      <c r="D31" s="397" t="s">
        <v>3685</v>
      </c>
      <c r="E31" s="397">
        <v>0.46</v>
      </c>
      <c r="F31" s="397" t="s">
        <v>3685</v>
      </c>
      <c r="G31" s="391">
        <v>5</v>
      </c>
    </row>
    <row r="32" spans="2:7" x14ac:dyDescent="0.3">
      <c r="B32" s="399">
        <v>8</v>
      </c>
      <c r="C32" s="397">
        <v>0.25</v>
      </c>
      <c r="D32" s="397" t="s">
        <v>3685</v>
      </c>
      <c r="E32" s="397">
        <v>0.46</v>
      </c>
      <c r="F32" s="397" t="s">
        <v>3685</v>
      </c>
      <c r="G32" s="391">
        <v>4</v>
      </c>
    </row>
    <row r="33" spans="2:7" x14ac:dyDescent="0.3">
      <c r="B33" s="1373" t="s">
        <v>3684</v>
      </c>
      <c r="C33" s="1373"/>
      <c r="D33" s="1373"/>
      <c r="E33" s="1373"/>
      <c r="F33" s="1373"/>
      <c r="G33" s="1373"/>
    </row>
    <row r="34" spans="2:7" x14ac:dyDescent="0.3">
      <c r="B34" s="1817"/>
      <c r="C34" s="1817"/>
      <c r="D34" s="1817"/>
      <c r="E34" s="1817"/>
      <c r="F34" s="1817"/>
      <c r="G34" s="1817"/>
    </row>
    <row r="36" spans="2:7" x14ac:dyDescent="0.3">
      <c r="B36" s="1785" t="s">
        <v>3701</v>
      </c>
      <c r="C36" s="1785"/>
      <c r="D36" s="1785"/>
      <c r="E36" s="1785"/>
      <c r="F36" s="1785"/>
      <c r="G36" s="1785"/>
    </row>
    <row r="37" spans="2:7" x14ac:dyDescent="0.3">
      <c r="B37" s="1784" t="s">
        <v>3700</v>
      </c>
      <c r="C37" s="1784"/>
      <c r="D37" s="1784"/>
      <c r="E37" s="1784"/>
      <c r="F37" s="1784"/>
      <c r="G37" s="1784"/>
    </row>
    <row r="38" spans="2:7" x14ac:dyDescent="0.3">
      <c r="B38" s="1818" t="s">
        <v>3652</v>
      </c>
      <c r="C38" s="1818" t="s">
        <v>3699</v>
      </c>
      <c r="D38" s="1818" t="s">
        <v>3698</v>
      </c>
      <c r="E38" s="1818" t="s">
        <v>3697</v>
      </c>
      <c r="F38" s="1818" t="s">
        <v>3696</v>
      </c>
      <c r="G38" s="1815" t="s">
        <v>3219</v>
      </c>
    </row>
    <row r="39" spans="2:7" ht="21.75" customHeight="1" x14ac:dyDescent="0.3">
      <c r="B39" s="1819"/>
      <c r="C39" s="1819"/>
      <c r="D39" s="1819"/>
      <c r="E39" s="1819"/>
      <c r="F39" s="1819"/>
      <c r="G39" s="1816"/>
    </row>
    <row r="40" spans="2:7" x14ac:dyDescent="0.3">
      <c r="B40" s="399">
        <v>4</v>
      </c>
      <c r="C40" s="397">
        <v>0.25</v>
      </c>
      <c r="D40" s="397">
        <v>0.4</v>
      </c>
      <c r="E40" s="397">
        <v>0.45</v>
      </c>
      <c r="F40" s="397">
        <v>0.4</v>
      </c>
      <c r="G40" s="391">
        <v>6</v>
      </c>
    </row>
    <row r="41" spans="2:7" x14ac:dyDescent="0.3">
      <c r="B41" s="398" t="s">
        <v>3695</v>
      </c>
      <c r="C41" s="397">
        <v>0.22</v>
      </c>
      <c r="D41" s="397" t="s">
        <v>3685</v>
      </c>
      <c r="E41" s="397">
        <v>0.42</v>
      </c>
      <c r="F41" s="397" t="s">
        <v>3685</v>
      </c>
      <c r="G41" s="391">
        <v>6</v>
      </c>
    </row>
    <row r="42" spans="2:7" x14ac:dyDescent="0.3">
      <c r="B42" s="1373" t="s">
        <v>3694</v>
      </c>
      <c r="C42" s="1373"/>
      <c r="D42" s="1373"/>
      <c r="E42" s="1373"/>
      <c r="F42" s="1373"/>
      <c r="G42" s="1373"/>
    </row>
    <row r="43" spans="2:7" x14ac:dyDescent="0.3">
      <c r="B43" s="1817"/>
      <c r="C43" s="1817"/>
      <c r="D43" s="1817"/>
      <c r="E43" s="1817"/>
      <c r="F43" s="1817"/>
      <c r="G43" s="1817"/>
    </row>
  </sheetData>
  <sheetProtection algorithmName="SHA-512" hashValue="YsaBriRwVyNYa3ESHXyDQOKQFu9Jw/wFOoeDr8ArKPLxOGnoTAmsBMekkvVCljRWmXfITaYmdqExiWzCZQjOiw==" saltValue="l6x9q0bsOn/JX75qpX193g==" spinCount="100000" sheet="1" objects="1" scenarios="1" selectLockedCells="1"/>
  <mergeCells count="24">
    <mergeCell ref="B42:G43"/>
    <mergeCell ref="B33:G34"/>
    <mergeCell ref="B36:G36"/>
    <mergeCell ref="B37:G37"/>
    <mergeCell ref="B38:B39"/>
    <mergeCell ref="C38:C39"/>
    <mergeCell ref="D38:D39"/>
    <mergeCell ref="E38:E39"/>
    <mergeCell ref="F38:F39"/>
    <mergeCell ref="G38:G39"/>
    <mergeCell ref="B2:C2"/>
    <mergeCell ref="G23:G24"/>
    <mergeCell ref="B4:G4"/>
    <mergeCell ref="B5:G5"/>
    <mergeCell ref="B15:G16"/>
    <mergeCell ref="B17:G19"/>
    <mergeCell ref="B21:G21"/>
    <mergeCell ref="B22:G22"/>
    <mergeCell ref="B23:B24"/>
    <mergeCell ref="C23:C24"/>
    <mergeCell ref="D23:D24"/>
    <mergeCell ref="E23:E24"/>
    <mergeCell ref="F23:F24"/>
    <mergeCell ref="F2:G2"/>
  </mergeCells>
  <hyperlinks>
    <hyperlink ref="B2:C2" location="hyptarg7.5" display="back to 703.2.5.2" xr:uid="{00000000-0004-0000-2200-000000000000}"/>
    <hyperlink ref="F2:G2" location="'Verification Report'!A1" display="back to Verification Report" xr:uid="{00000000-0004-0000-2200-000001000000}"/>
  </hyperlink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3"/>
  <dimension ref="B2:I10"/>
  <sheetViews>
    <sheetView showGridLines="0" zoomScaleNormal="100" workbookViewId="0">
      <selection activeCell="B2" sqref="B2:D2"/>
    </sheetView>
  </sheetViews>
  <sheetFormatPr defaultColWidth="9.109375" defaultRowHeight="14.4" x14ac:dyDescent="0.3"/>
  <cols>
    <col min="1" max="1" width="9.109375" style="358"/>
    <col min="2" max="2" width="7.44140625" style="358" customWidth="1"/>
    <col min="3" max="3" width="8.33203125" style="358" bestFit="1" customWidth="1"/>
    <col min="4" max="8" width="5.5546875" style="358" bestFit="1" customWidth="1"/>
    <col min="9" max="16384" width="9.109375" style="358"/>
  </cols>
  <sheetData>
    <row r="2" spans="2:9" x14ac:dyDescent="0.3">
      <c r="B2" s="1756" t="s">
        <v>3882</v>
      </c>
      <c r="C2" s="1757"/>
      <c r="D2" s="1758"/>
      <c r="F2" s="1831" t="s">
        <v>4657</v>
      </c>
      <c r="G2" s="1832"/>
      <c r="H2" s="1832"/>
      <c r="I2" s="1833"/>
    </row>
    <row r="3" spans="2:9" customFormat="1" x14ac:dyDescent="0.3"/>
    <row r="4" spans="2:9" x14ac:dyDescent="0.3">
      <c r="B4" s="1763" t="s">
        <v>3723</v>
      </c>
      <c r="C4" s="1763"/>
      <c r="D4" s="1763"/>
      <c r="E4" s="1763"/>
      <c r="F4" s="1763"/>
      <c r="G4" s="1763"/>
      <c r="H4" s="1763"/>
    </row>
    <row r="5" spans="2:9" ht="15" thickBot="1" x14ac:dyDescent="0.35">
      <c r="B5" s="1823" t="s">
        <v>3722</v>
      </c>
      <c r="C5" s="1823"/>
      <c r="D5" s="1823"/>
      <c r="E5" s="1823"/>
      <c r="F5" s="1823"/>
      <c r="G5" s="1823"/>
      <c r="H5" s="1823"/>
    </row>
    <row r="6" spans="2:9" ht="25.5" customHeight="1" thickBot="1" x14ac:dyDescent="0.35">
      <c r="B6" s="1824"/>
      <c r="C6" s="1825"/>
      <c r="D6" s="1828" t="s">
        <v>3721</v>
      </c>
      <c r="E6" s="1829"/>
      <c r="F6" s="1829"/>
      <c r="G6" s="1829"/>
      <c r="H6" s="1830"/>
    </row>
    <row r="7" spans="2:9" ht="15" thickBot="1" x14ac:dyDescent="0.35">
      <c r="B7" s="1826"/>
      <c r="C7" s="1827"/>
      <c r="D7" s="406" t="s">
        <v>3720</v>
      </c>
      <c r="E7" s="405" t="s">
        <v>3719</v>
      </c>
      <c r="F7" s="406" t="s">
        <v>3718</v>
      </c>
      <c r="G7" s="405" t="s">
        <v>3717</v>
      </c>
      <c r="H7" s="405" t="s">
        <v>3716</v>
      </c>
    </row>
    <row r="8" spans="2:9" ht="28.2" thickBot="1" x14ac:dyDescent="0.35">
      <c r="B8" s="1820" t="s">
        <v>3652</v>
      </c>
      <c r="C8" s="406" t="s">
        <v>3715</v>
      </c>
      <c r="D8" s="404" t="s">
        <v>3714</v>
      </c>
      <c r="E8" s="404" t="s">
        <v>3714</v>
      </c>
      <c r="F8" s="404" t="s">
        <v>3712</v>
      </c>
      <c r="G8" s="404" t="s">
        <v>3710</v>
      </c>
      <c r="H8" s="404" t="s">
        <v>3710</v>
      </c>
    </row>
    <row r="9" spans="2:9" ht="15" thickBot="1" x14ac:dyDescent="0.35">
      <c r="B9" s="1821"/>
      <c r="C9" s="405" t="s">
        <v>3713</v>
      </c>
      <c r="D9" s="404" t="s">
        <v>3712</v>
      </c>
      <c r="E9" s="404" t="s">
        <v>3712</v>
      </c>
      <c r="F9" s="404" t="s">
        <v>3710</v>
      </c>
      <c r="G9" s="404" t="s">
        <v>3710</v>
      </c>
      <c r="H9" s="404" t="s">
        <v>3709</v>
      </c>
    </row>
    <row r="10" spans="2:9" ht="15" thickBot="1" x14ac:dyDescent="0.35">
      <c r="B10" s="1822"/>
      <c r="C10" s="405" t="s">
        <v>3711</v>
      </c>
      <c r="D10" s="404" t="s">
        <v>3710</v>
      </c>
      <c r="E10" s="404" t="s">
        <v>3709</v>
      </c>
      <c r="F10" s="404" t="s">
        <v>3709</v>
      </c>
      <c r="G10" s="404" t="s">
        <v>3708</v>
      </c>
      <c r="H10" s="404" t="s">
        <v>3707</v>
      </c>
    </row>
  </sheetData>
  <sheetProtection algorithmName="SHA-512" hashValue="zqIIv3/v9eicHqsZaU0IqP4GEjbfoKUMW9R/QU/V97AD+/aBNU/ioemf82mWz0bkukbykqgg1xfLAGYJuLf16g==" saltValue="2D38PdTSOsla1Y8PfgStYA==" spinCount="100000" sheet="1" objects="1" scenarios="1" selectLockedCells="1"/>
  <mergeCells count="7">
    <mergeCell ref="B8:B10"/>
    <mergeCell ref="B2:D2"/>
    <mergeCell ref="B4:H4"/>
    <mergeCell ref="B5:H5"/>
    <mergeCell ref="B6:C7"/>
    <mergeCell ref="D6:H6"/>
    <mergeCell ref="F2:I2"/>
  </mergeCells>
  <hyperlinks>
    <hyperlink ref="B2:C2" location="hyptarg7.1" display="back to 701.4.3.2(2)" xr:uid="{00000000-0004-0000-2300-000000000000}"/>
    <hyperlink ref="B2:D2" location="hyptarg7.26" display="back to 703.7.1" xr:uid="{00000000-0004-0000-2300-000001000000}"/>
    <hyperlink ref="F2:G2" location="'Verification Report'!A1" display="back to Verification Report" xr:uid="{00000000-0004-0000-2300-000002000000}"/>
  </hyperlink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4"/>
  <dimension ref="B2:H30"/>
  <sheetViews>
    <sheetView showGridLines="0" zoomScaleNormal="100" workbookViewId="0">
      <selection activeCell="B2" sqref="B2:C2"/>
    </sheetView>
  </sheetViews>
  <sheetFormatPr defaultColWidth="9.109375" defaultRowHeight="14.4" x14ac:dyDescent="0.3"/>
  <cols>
    <col min="1" max="1" width="9.109375" style="429"/>
    <col min="2" max="2" width="11.6640625" style="429" customWidth="1"/>
    <col min="3" max="3" width="9.109375" style="429"/>
    <col min="4" max="4" width="11.33203125" style="429" customWidth="1"/>
    <col min="5" max="5" width="11.6640625" style="429" customWidth="1"/>
    <col min="6" max="6" width="12.109375" style="429" customWidth="1"/>
    <col min="7" max="7" width="14.109375" style="429" customWidth="1"/>
    <col min="8" max="16384" width="9.109375" style="429"/>
  </cols>
  <sheetData>
    <row r="2" spans="2:8" x14ac:dyDescent="0.3">
      <c r="B2" s="1761" t="s">
        <v>3827</v>
      </c>
      <c r="C2" s="1761"/>
      <c r="F2" s="1761" t="s">
        <v>4657</v>
      </c>
      <c r="G2" s="1761"/>
    </row>
    <row r="3" spans="2:8" x14ac:dyDescent="0.3">
      <c r="B3" s="1387" t="s">
        <v>3785</v>
      </c>
      <c r="C3" s="1387"/>
      <c r="D3" s="1387"/>
      <c r="E3" s="1387"/>
      <c r="F3" s="1387"/>
      <c r="G3" s="1387"/>
      <c r="H3" s="1387"/>
    </row>
    <row r="4" spans="2:8" ht="15" x14ac:dyDescent="0.3">
      <c r="B4" s="1835" t="s">
        <v>3786</v>
      </c>
      <c r="C4" s="1836"/>
      <c r="D4" s="1836"/>
      <c r="E4" s="1836"/>
      <c r="F4" s="1836"/>
      <c r="G4" s="1836"/>
      <c r="H4" s="1836"/>
    </row>
    <row r="5" spans="2:8" ht="15" customHeight="1" x14ac:dyDescent="0.3">
      <c r="B5" s="1837" t="s">
        <v>3787</v>
      </c>
      <c r="C5" s="1840" t="s">
        <v>3788</v>
      </c>
      <c r="D5" s="1843" t="s">
        <v>3789</v>
      </c>
      <c r="E5" s="1843"/>
      <c r="F5" s="1843"/>
      <c r="G5" s="1843" t="s">
        <v>3790</v>
      </c>
    </row>
    <row r="6" spans="2:8" x14ac:dyDescent="0.3">
      <c r="B6" s="1838"/>
      <c r="C6" s="1841"/>
      <c r="D6" s="1843"/>
      <c r="E6" s="1843"/>
      <c r="F6" s="1843"/>
      <c r="G6" s="1843"/>
      <c r="H6" s="403"/>
    </row>
    <row r="7" spans="2:8" x14ac:dyDescent="0.3">
      <c r="B7" s="1838"/>
      <c r="C7" s="1841"/>
      <c r="D7" s="1843"/>
      <c r="E7" s="1843"/>
      <c r="F7" s="1843"/>
      <c r="G7" s="1843"/>
      <c r="H7" s="97"/>
    </row>
    <row r="8" spans="2:8" x14ac:dyDescent="0.3">
      <c r="B8" s="1838"/>
      <c r="C8" s="1841"/>
      <c r="D8" s="1843"/>
      <c r="E8" s="1843"/>
      <c r="F8" s="1843"/>
      <c r="G8" s="1843"/>
      <c r="H8" s="97"/>
    </row>
    <row r="9" spans="2:8" x14ac:dyDescent="0.3">
      <c r="B9" s="1838"/>
      <c r="C9" s="1841"/>
      <c r="D9" s="1843" t="s">
        <v>3791</v>
      </c>
      <c r="E9" s="1843" t="s">
        <v>3792</v>
      </c>
      <c r="F9" s="1843" t="s">
        <v>3793</v>
      </c>
      <c r="G9" s="1843" t="s">
        <v>3794</v>
      </c>
      <c r="H9" s="97"/>
    </row>
    <row r="10" spans="2:8" x14ac:dyDescent="0.3">
      <c r="B10" s="1838"/>
      <c r="C10" s="1841"/>
      <c r="D10" s="1843"/>
      <c r="E10" s="1843"/>
      <c r="F10" s="1843"/>
      <c r="G10" s="1843"/>
    </row>
    <row r="11" spans="2:8" x14ac:dyDescent="0.3">
      <c r="B11" s="1838"/>
      <c r="C11" s="1841"/>
      <c r="D11" s="1843"/>
      <c r="E11" s="1843"/>
      <c r="F11" s="1843"/>
      <c r="G11" s="1843"/>
    </row>
    <row r="12" spans="2:8" x14ac:dyDescent="0.3">
      <c r="B12" s="1838"/>
      <c r="C12" s="1841"/>
      <c r="D12" s="1843"/>
      <c r="E12" s="1843"/>
      <c r="F12" s="1843"/>
      <c r="G12" s="1843"/>
    </row>
    <row r="13" spans="2:8" x14ac:dyDescent="0.3">
      <c r="B13" s="1839"/>
      <c r="C13" s="1842"/>
      <c r="D13" s="1834" t="s">
        <v>3795</v>
      </c>
      <c r="E13" s="1834"/>
      <c r="F13" s="1834"/>
      <c r="G13" s="1834"/>
    </row>
    <row r="14" spans="2:8" ht="15" x14ac:dyDescent="0.3">
      <c r="B14" s="431" t="s">
        <v>3796</v>
      </c>
      <c r="C14" s="431">
        <v>0.33</v>
      </c>
      <c r="D14" s="430">
        <v>50</v>
      </c>
      <c r="E14" s="430">
        <v>50</v>
      </c>
      <c r="F14" s="430">
        <v>50</v>
      </c>
      <c r="G14" s="430">
        <v>50</v>
      </c>
    </row>
    <row r="15" spans="2:8" ht="15" x14ac:dyDescent="0.3">
      <c r="B15" s="431" t="s">
        <v>3797</v>
      </c>
      <c r="C15" s="431">
        <v>0.5</v>
      </c>
      <c r="D15" s="430">
        <v>50</v>
      </c>
      <c r="E15" s="430">
        <v>50</v>
      </c>
      <c r="F15" s="430">
        <v>50</v>
      </c>
      <c r="G15" s="430">
        <v>48</v>
      </c>
    </row>
    <row r="16" spans="2:8" ht="15" x14ac:dyDescent="0.3">
      <c r="B16" s="431" t="s">
        <v>3798</v>
      </c>
      <c r="C16" s="431">
        <v>0.75</v>
      </c>
      <c r="D16" s="430">
        <v>50</v>
      </c>
      <c r="E16" s="431">
        <v>50</v>
      </c>
      <c r="F16" s="431">
        <v>43</v>
      </c>
      <c r="G16" s="431">
        <v>32</v>
      </c>
    </row>
    <row r="17" spans="2:7" x14ac:dyDescent="0.3">
      <c r="B17" s="398" t="s">
        <v>3799</v>
      </c>
      <c r="C17" s="431">
        <v>1.5</v>
      </c>
      <c r="D17" s="430">
        <v>50</v>
      </c>
      <c r="E17" s="431">
        <v>43</v>
      </c>
      <c r="F17" s="431">
        <v>21</v>
      </c>
      <c r="G17" s="431">
        <v>16</v>
      </c>
    </row>
    <row r="18" spans="2:7" x14ac:dyDescent="0.3">
      <c r="B18" s="398" t="s">
        <v>3800</v>
      </c>
      <c r="C18" s="431">
        <v>2</v>
      </c>
      <c r="D18" s="430">
        <v>50</v>
      </c>
      <c r="E18" s="431">
        <v>32</v>
      </c>
      <c r="F18" s="431">
        <v>16</v>
      </c>
      <c r="G18" s="431">
        <v>12</v>
      </c>
    </row>
    <row r="19" spans="2:7" x14ac:dyDescent="0.3">
      <c r="B19" s="398" t="s">
        <v>3801</v>
      </c>
      <c r="C19" s="431">
        <v>3</v>
      </c>
      <c r="D19" s="431">
        <v>43</v>
      </c>
      <c r="E19" s="431">
        <v>21</v>
      </c>
      <c r="F19" s="431">
        <v>11</v>
      </c>
      <c r="G19" s="431">
        <v>8</v>
      </c>
    </row>
    <row r="20" spans="2:7" x14ac:dyDescent="0.3">
      <c r="B20" s="398" t="s">
        <v>3802</v>
      </c>
      <c r="C20" s="431">
        <v>4</v>
      </c>
      <c r="D20" s="431">
        <v>32</v>
      </c>
      <c r="E20" s="431">
        <v>16</v>
      </c>
      <c r="F20" s="431">
        <v>8</v>
      </c>
      <c r="G20" s="431">
        <v>6</v>
      </c>
    </row>
    <row r="21" spans="2:7" x14ac:dyDescent="0.3">
      <c r="B21" s="28">
        <v>1</v>
      </c>
      <c r="C21" s="431">
        <v>5</v>
      </c>
      <c r="D21" s="431">
        <v>26</v>
      </c>
      <c r="E21" s="431">
        <v>13</v>
      </c>
      <c r="F21" s="431">
        <v>6</v>
      </c>
      <c r="G21" s="431">
        <v>5</v>
      </c>
    </row>
    <row r="22" spans="2:7" x14ac:dyDescent="0.3">
      <c r="B22" s="398" t="s">
        <v>3803</v>
      </c>
      <c r="C22" s="431">
        <v>8</v>
      </c>
      <c r="D22" s="431">
        <v>16</v>
      </c>
      <c r="E22" s="431">
        <v>8</v>
      </c>
      <c r="F22" s="431">
        <v>4</v>
      </c>
      <c r="G22" s="431">
        <v>3</v>
      </c>
    </row>
    <row r="23" spans="2:7" x14ac:dyDescent="0.3">
      <c r="B23" s="398" t="s">
        <v>3804</v>
      </c>
      <c r="C23" s="431">
        <v>11</v>
      </c>
      <c r="D23" s="431">
        <v>12</v>
      </c>
      <c r="E23" s="431">
        <v>6</v>
      </c>
      <c r="F23" s="431">
        <v>3</v>
      </c>
      <c r="G23" s="431">
        <v>2</v>
      </c>
    </row>
    <row r="24" spans="2:7" x14ac:dyDescent="0.3">
      <c r="B24" s="398" t="s">
        <v>302</v>
      </c>
      <c r="C24" s="431">
        <v>18</v>
      </c>
      <c r="D24" s="28">
        <v>7</v>
      </c>
      <c r="E24" s="28">
        <v>4</v>
      </c>
      <c r="F24" s="28">
        <v>2</v>
      </c>
      <c r="G24" s="28">
        <v>1</v>
      </c>
    </row>
    <row r="25" spans="2:7" x14ac:dyDescent="0.3">
      <c r="B25" s="1356" t="s">
        <v>3805</v>
      </c>
      <c r="C25" s="1356"/>
      <c r="D25" s="1356"/>
      <c r="E25" s="1356"/>
      <c r="F25" s="1356"/>
      <c r="G25" s="1356"/>
    </row>
    <row r="26" spans="2:7" x14ac:dyDescent="0.3">
      <c r="B26" s="1329"/>
      <c r="C26" s="1329"/>
      <c r="D26" s="1329"/>
      <c r="E26" s="1329"/>
      <c r="F26" s="1329"/>
      <c r="G26" s="1329"/>
    </row>
    <row r="27" spans="2:7" x14ac:dyDescent="0.3">
      <c r="B27" s="1329"/>
      <c r="C27" s="1329"/>
      <c r="D27" s="1329"/>
      <c r="E27" s="1329"/>
      <c r="F27" s="1329"/>
      <c r="G27" s="1329"/>
    </row>
    <row r="28" spans="2:7" x14ac:dyDescent="0.3">
      <c r="B28" s="1329" t="s">
        <v>3806</v>
      </c>
      <c r="C28" s="1329"/>
      <c r="D28" s="1329"/>
      <c r="E28" s="1329"/>
      <c r="F28" s="1329"/>
      <c r="G28" s="1329"/>
    </row>
    <row r="29" spans="2:7" x14ac:dyDescent="0.3">
      <c r="B29" s="1329"/>
      <c r="C29" s="1329"/>
      <c r="D29" s="1329"/>
      <c r="E29" s="1329"/>
      <c r="F29" s="1329"/>
      <c r="G29" s="1329"/>
    </row>
    <row r="30" spans="2:7" x14ac:dyDescent="0.3">
      <c r="B30" s="1329"/>
      <c r="C30" s="1329"/>
      <c r="D30" s="1329"/>
      <c r="E30" s="1329"/>
      <c r="F30" s="1329"/>
      <c r="G30" s="1329"/>
    </row>
  </sheetData>
  <sheetProtection algorithmName="SHA-512" hashValue="Xa88B+S+bnOqu2JRRQB/3DTYI5IDlri4GjAINbQ+4N7n+dVLLSbVK6KUtQee2DG+oMclJ0LZWNmQ1dtCwlNFpQ==" saltValue="JD04evTIR77KKUZtsg1NtA==" spinCount="100000" sheet="1" objects="1" scenarios="1" selectLockedCells="1"/>
  <mergeCells count="15">
    <mergeCell ref="D13:G13"/>
    <mergeCell ref="B25:G27"/>
    <mergeCell ref="B28:G30"/>
    <mergeCell ref="B2:C2"/>
    <mergeCell ref="B3:H3"/>
    <mergeCell ref="B4:H4"/>
    <mergeCell ref="B5:B13"/>
    <mergeCell ref="C5:C13"/>
    <mergeCell ref="D5:F8"/>
    <mergeCell ref="G5:G8"/>
    <mergeCell ref="D9:D12"/>
    <mergeCell ref="E9:E12"/>
    <mergeCell ref="F9:F12"/>
    <mergeCell ref="G9:G12"/>
    <mergeCell ref="F2:G2"/>
  </mergeCells>
  <hyperlinks>
    <hyperlink ref="B2:C2" location="hyptarg8.1" display="back to 801.1" xr:uid="{00000000-0004-0000-2400-000000000000}"/>
    <hyperlink ref="F2:G2" location="'Verification Report'!A1" display="back to Verification Report" xr:uid="{00000000-0004-0000-2400-000001000000}"/>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5"/>
  <dimension ref="B2:M14"/>
  <sheetViews>
    <sheetView showGridLines="0" zoomScaleNormal="100" workbookViewId="0">
      <selection activeCell="B2" sqref="B2:C2"/>
    </sheetView>
  </sheetViews>
  <sheetFormatPr defaultColWidth="9.109375" defaultRowHeight="14.4" x14ac:dyDescent="0.3"/>
  <cols>
    <col min="1" max="5" width="9.109375" style="429"/>
    <col min="6" max="6" width="7.33203125" style="429" customWidth="1"/>
    <col min="7" max="7" width="5.88671875" style="429" customWidth="1"/>
    <col min="8" max="8" width="7.6640625" style="429" customWidth="1"/>
    <col min="9" max="10" width="9.109375" style="429"/>
    <col min="11" max="11" width="5.6640625" style="429" customWidth="1"/>
    <col min="12" max="12" width="5.88671875" style="429" customWidth="1"/>
    <col min="13" max="13" width="5.6640625" style="429" customWidth="1"/>
    <col min="14" max="16384" width="9.109375" style="429"/>
  </cols>
  <sheetData>
    <row r="2" spans="2:13" x14ac:dyDescent="0.3">
      <c r="B2" s="1761" t="s">
        <v>3827</v>
      </c>
      <c r="C2" s="1761"/>
      <c r="J2" s="1756" t="s">
        <v>4657</v>
      </c>
      <c r="K2" s="1757"/>
      <c r="L2" s="1757"/>
      <c r="M2" s="1758"/>
    </row>
    <row r="3" spans="2:13" x14ac:dyDescent="0.3">
      <c r="B3" s="1387" t="s">
        <v>3807</v>
      </c>
      <c r="C3" s="1387"/>
      <c r="D3" s="1387"/>
      <c r="E3" s="1387"/>
      <c r="F3" s="1387"/>
      <c r="G3" s="1387"/>
      <c r="H3" s="1387"/>
      <c r="I3" s="1387"/>
      <c r="J3" s="1387"/>
      <c r="K3" s="1387"/>
      <c r="L3" s="1387"/>
      <c r="M3" s="1387"/>
    </row>
    <row r="4" spans="2:13" x14ac:dyDescent="0.3">
      <c r="B4" s="1387" t="s">
        <v>3808</v>
      </c>
      <c r="C4" s="1387"/>
      <c r="D4" s="1387"/>
      <c r="E4" s="1387"/>
      <c r="F4" s="1387"/>
      <c r="G4" s="1387"/>
      <c r="H4" s="1387"/>
      <c r="I4" s="1387"/>
      <c r="J4" s="1387"/>
      <c r="K4" s="1387"/>
      <c r="L4" s="1387"/>
      <c r="M4" s="1387"/>
    </row>
    <row r="5" spans="2:13" ht="15" thickBot="1" x14ac:dyDescent="0.35">
      <c r="B5" s="1846" t="s">
        <v>3809</v>
      </c>
      <c r="C5" s="1846"/>
      <c r="D5" s="1846"/>
      <c r="E5" s="1846"/>
      <c r="F5" s="1846"/>
      <c r="G5" s="1846"/>
      <c r="H5" s="1846"/>
      <c r="I5" s="1846"/>
      <c r="J5" s="1846"/>
      <c r="K5" s="1846"/>
      <c r="L5" s="1846"/>
      <c r="M5" s="1846"/>
    </row>
    <row r="6" spans="2:13" ht="22.5" customHeight="1" x14ac:dyDescent="0.3">
      <c r="B6" s="1844" t="s">
        <v>3810</v>
      </c>
      <c r="C6" s="1844" t="s">
        <v>3811</v>
      </c>
      <c r="D6" s="1844" t="s">
        <v>3812</v>
      </c>
      <c r="E6" s="1844" t="s">
        <v>3813</v>
      </c>
      <c r="F6" s="1844" t="s">
        <v>3814</v>
      </c>
      <c r="G6" s="1844" t="s">
        <v>3815</v>
      </c>
      <c r="H6" s="432" t="s">
        <v>3816</v>
      </c>
      <c r="I6" s="432" t="s">
        <v>3817</v>
      </c>
      <c r="J6" s="1844" t="s">
        <v>3818</v>
      </c>
      <c r="K6" s="1844" t="s">
        <v>3819</v>
      </c>
      <c r="L6" s="1844" t="s">
        <v>3820</v>
      </c>
      <c r="M6" s="1844" t="s">
        <v>3821</v>
      </c>
    </row>
    <row r="7" spans="2:13" ht="15" thickBot="1" x14ac:dyDescent="0.35">
      <c r="B7" s="1845"/>
      <c r="C7" s="1845"/>
      <c r="D7" s="1845"/>
      <c r="E7" s="1845"/>
      <c r="F7" s="1845"/>
      <c r="G7" s="1845"/>
      <c r="H7" s="433" t="s">
        <v>3822</v>
      </c>
      <c r="I7" s="434" t="s">
        <v>3823</v>
      </c>
      <c r="J7" s="1845"/>
      <c r="K7" s="1845"/>
      <c r="L7" s="1845"/>
      <c r="M7" s="1845"/>
    </row>
    <row r="8" spans="2:13" ht="15" thickBot="1" x14ac:dyDescent="0.35">
      <c r="B8" s="435" t="s">
        <v>3824</v>
      </c>
      <c r="C8" s="436">
        <v>1.06</v>
      </c>
      <c r="D8" s="436">
        <v>0.97</v>
      </c>
      <c r="E8" s="436">
        <v>0.84</v>
      </c>
      <c r="F8" s="436" t="s">
        <v>3244</v>
      </c>
      <c r="G8" s="436">
        <v>1.17</v>
      </c>
      <c r="H8" s="436" t="s">
        <v>3244</v>
      </c>
      <c r="I8" s="436">
        <v>0.64</v>
      </c>
      <c r="J8" s="436">
        <v>0.63</v>
      </c>
      <c r="K8" s="436">
        <v>0.64</v>
      </c>
      <c r="L8" s="436" t="s">
        <v>3244</v>
      </c>
      <c r="M8" s="436" t="s">
        <v>3244</v>
      </c>
    </row>
    <row r="9" spans="2:13" ht="15" thickBot="1" x14ac:dyDescent="0.35">
      <c r="B9" s="435" t="s">
        <v>3799</v>
      </c>
      <c r="C9" s="436">
        <v>1.69</v>
      </c>
      <c r="D9" s="436">
        <v>1.55</v>
      </c>
      <c r="E9" s="436">
        <v>1.45</v>
      </c>
      <c r="F9" s="436">
        <v>1.25</v>
      </c>
      <c r="G9" s="436">
        <v>1.89</v>
      </c>
      <c r="H9" s="436">
        <v>1.46</v>
      </c>
      <c r="I9" s="436">
        <v>1.18</v>
      </c>
      <c r="J9" s="436">
        <v>1.31</v>
      </c>
      <c r="K9" s="436">
        <v>1.18</v>
      </c>
      <c r="L9" s="436">
        <v>1.72</v>
      </c>
      <c r="M9" s="436">
        <v>1.96</v>
      </c>
    </row>
    <row r="10" spans="2:13" ht="15" thickBot="1" x14ac:dyDescent="0.35">
      <c r="B10" s="435" t="s">
        <v>3801</v>
      </c>
      <c r="C10" s="436">
        <v>3.43</v>
      </c>
      <c r="D10" s="436">
        <v>3.22</v>
      </c>
      <c r="E10" s="437">
        <v>2.9</v>
      </c>
      <c r="F10" s="436">
        <v>2.67</v>
      </c>
      <c r="G10" s="436">
        <v>3.38</v>
      </c>
      <c r="H10" s="436">
        <v>2.74</v>
      </c>
      <c r="I10" s="436">
        <v>2.35</v>
      </c>
      <c r="J10" s="436">
        <v>3.39</v>
      </c>
      <c r="K10" s="436">
        <v>2.35</v>
      </c>
      <c r="L10" s="436">
        <v>2.69</v>
      </c>
      <c r="M10" s="436">
        <v>3.06</v>
      </c>
    </row>
    <row r="11" spans="2:13" ht="15" thickBot="1" x14ac:dyDescent="0.35">
      <c r="B11" s="438">
        <v>1</v>
      </c>
      <c r="C11" s="436">
        <v>5.81</v>
      </c>
      <c r="D11" s="436">
        <v>5.49</v>
      </c>
      <c r="E11" s="436">
        <v>5.17</v>
      </c>
      <c r="F11" s="436">
        <v>4.43</v>
      </c>
      <c r="G11" s="436">
        <v>5.53</v>
      </c>
      <c r="H11" s="436">
        <v>4.57</v>
      </c>
      <c r="I11" s="436">
        <v>3.91</v>
      </c>
      <c r="J11" s="436">
        <v>5.56</v>
      </c>
      <c r="K11" s="436">
        <v>3.91</v>
      </c>
      <c r="L11" s="436">
        <v>4.41</v>
      </c>
      <c r="M11" s="436">
        <v>5.01</v>
      </c>
    </row>
    <row r="12" spans="2:13" ht="15" thickBot="1" x14ac:dyDescent="0.35">
      <c r="B12" s="438" t="s">
        <v>3825</v>
      </c>
      <c r="C12" s="436">
        <v>8.6999999999999993</v>
      </c>
      <c r="D12" s="436">
        <v>8.36</v>
      </c>
      <c r="E12" s="436">
        <v>8.09</v>
      </c>
      <c r="F12" s="436">
        <v>6.61</v>
      </c>
      <c r="G12" s="436">
        <v>9.66</v>
      </c>
      <c r="H12" s="436">
        <v>8.24</v>
      </c>
      <c r="I12" s="436">
        <v>5.81</v>
      </c>
      <c r="J12" s="436">
        <v>8.49</v>
      </c>
      <c r="K12" s="436">
        <v>5.81</v>
      </c>
      <c r="L12" s="437">
        <v>6.9</v>
      </c>
      <c r="M12" s="436">
        <v>7.83</v>
      </c>
    </row>
    <row r="13" spans="2:13" ht="15" thickBot="1" x14ac:dyDescent="0.35">
      <c r="B13" s="438" t="s">
        <v>3826</v>
      </c>
      <c r="C13" s="436">
        <v>12.18</v>
      </c>
      <c r="D13" s="436">
        <v>11.83</v>
      </c>
      <c r="E13" s="436">
        <v>11.45</v>
      </c>
      <c r="F13" s="436">
        <v>9.2200000000000006</v>
      </c>
      <c r="G13" s="436">
        <v>13.2</v>
      </c>
      <c r="H13" s="436">
        <v>11.38</v>
      </c>
      <c r="I13" s="436">
        <v>8.09</v>
      </c>
      <c r="J13" s="436">
        <v>13.88</v>
      </c>
      <c r="K13" s="436">
        <v>8.09</v>
      </c>
      <c r="L13" s="436">
        <v>10.77</v>
      </c>
      <c r="M13" s="436">
        <v>12.24</v>
      </c>
    </row>
    <row r="14" spans="2:13" ht="15" thickBot="1" x14ac:dyDescent="0.35">
      <c r="B14" s="438">
        <v>2</v>
      </c>
      <c r="C14" s="436">
        <v>21.08</v>
      </c>
      <c r="D14" s="436">
        <v>20.58</v>
      </c>
      <c r="E14" s="436">
        <v>20.04</v>
      </c>
      <c r="F14" s="436">
        <v>15.79</v>
      </c>
      <c r="G14" s="436">
        <v>21.88</v>
      </c>
      <c r="H14" s="436">
        <v>19.11</v>
      </c>
      <c r="I14" s="436">
        <v>13.86</v>
      </c>
      <c r="J14" s="436">
        <v>21.48</v>
      </c>
      <c r="K14" s="436">
        <v>13.86</v>
      </c>
      <c r="L14" s="436">
        <v>17.11</v>
      </c>
      <c r="M14" s="436">
        <v>19.43</v>
      </c>
    </row>
  </sheetData>
  <sheetProtection algorithmName="SHA-512" hashValue="aeGosFclCdn/QDsGGpZx7fy6ODiFtTv7FVKCXzOydPMXAGYtJj81PITlzsdZkKHhT27mm1wJ9R8EvyvVqUorfA==" saltValue="F+heuHl2R1ujA72X7MjowQ==" spinCount="100000" sheet="1" objects="1" scenarios="1" selectLockedCells="1"/>
  <mergeCells count="15">
    <mergeCell ref="K6:K7"/>
    <mergeCell ref="L6:L7"/>
    <mergeCell ref="M6:M7"/>
    <mergeCell ref="B2:C2"/>
    <mergeCell ref="B3:M3"/>
    <mergeCell ref="B4:M4"/>
    <mergeCell ref="B5:M5"/>
    <mergeCell ref="B6:B7"/>
    <mergeCell ref="C6:C7"/>
    <mergeCell ref="D6:D7"/>
    <mergeCell ref="E6:E7"/>
    <mergeCell ref="F6:F7"/>
    <mergeCell ref="G6:G7"/>
    <mergeCell ref="J6:J7"/>
    <mergeCell ref="J2:M2"/>
  </mergeCells>
  <hyperlinks>
    <hyperlink ref="B2:C2" location="hyptarg8.1" display="back to 801.1" xr:uid="{00000000-0004-0000-2500-000000000000}"/>
    <hyperlink ref="J2:L2" location="'Verification Report'!A1" display="back to Verification Report" xr:uid="{00000000-0004-0000-2500-000001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4"/>
  <dimension ref="B2:G60"/>
  <sheetViews>
    <sheetView showGridLines="0" zoomScaleNormal="100" workbookViewId="0">
      <selection activeCell="B2" sqref="B2:C2"/>
    </sheetView>
  </sheetViews>
  <sheetFormatPr defaultColWidth="9.109375" defaultRowHeight="14.4" x14ac:dyDescent="0.3"/>
  <cols>
    <col min="1" max="1" width="9.109375" style="486"/>
    <col min="2" max="2" width="40.44140625" style="486" bestFit="1" customWidth="1"/>
    <col min="3" max="3" width="9.5546875" style="486" bestFit="1" customWidth="1"/>
    <col min="4" max="16384" width="9.109375" style="486"/>
  </cols>
  <sheetData>
    <row r="2" spans="2:7" x14ac:dyDescent="0.3">
      <c r="B2" s="1761" t="s">
        <v>4025</v>
      </c>
      <c r="C2" s="1761"/>
      <c r="E2" s="1756" t="s">
        <v>4657</v>
      </c>
      <c r="F2" s="1757"/>
      <c r="G2" s="1758"/>
    </row>
    <row r="3" spans="2:7" x14ac:dyDescent="0.3">
      <c r="B3"/>
      <c r="C3"/>
    </row>
    <row r="4" spans="2:7" x14ac:dyDescent="0.3">
      <c r="B4" s="1763" t="s">
        <v>3984</v>
      </c>
      <c r="C4" s="1763"/>
    </row>
    <row r="5" spans="2:7" ht="15.6" thickBot="1" x14ac:dyDescent="0.35">
      <c r="B5" s="1823" t="s">
        <v>3983</v>
      </c>
      <c r="C5" s="1823"/>
    </row>
    <row r="6" spans="2:7" ht="15" customHeight="1" thickBot="1" x14ac:dyDescent="0.35">
      <c r="B6" s="501" t="s">
        <v>3969</v>
      </c>
      <c r="C6" s="487" t="s">
        <v>3968</v>
      </c>
    </row>
    <row r="7" spans="2:7" ht="15" customHeight="1" thickBot="1" x14ac:dyDescent="0.35">
      <c r="B7" s="500" t="s">
        <v>3982</v>
      </c>
      <c r="C7" s="491">
        <v>50</v>
      </c>
    </row>
    <row r="8" spans="2:7" ht="15" customHeight="1" thickBot="1" x14ac:dyDescent="0.35">
      <c r="B8" s="500" t="s">
        <v>3981</v>
      </c>
      <c r="C8" s="491">
        <v>100</v>
      </c>
    </row>
    <row r="9" spans="2:7" ht="15" customHeight="1" thickBot="1" x14ac:dyDescent="0.35">
      <c r="B9" s="500" t="s">
        <v>3980</v>
      </c>
      <c r="C9" s="491">
        <v>150</v>
      </c>
    </row>
    <row r="10" spans="2:7" ht="15" customHeight="1" thickBot="1" x14ac:dyDescent="0.35">
      <c r="B10" s="499" t="s">
        <v>3979</v>
      </c>
      <c r="C10" s="498"/>
    </row>
    <row r="11" spans="2:7" ht="15" customHeight="1" thickBot="1" x14ac:dyDescent="0.35">
      <c r="B11" s="492" t="s">
        <v>3978</v>
      </c>
      <c r="C11" s="491">
        <v>400</v>
      </c>
    </row>
    <row r="12" spans="2:7" ht="15" customHeight="1" thickBot="1" x14ac:dyDescent="0.35">
      <c r="B12" s="492" t="s">
        <v>3977</v>
      </c>
      <c r="C12" s="491">
        <v>400</v>
      </c>
    </row>
    <row r="13" spans="2:7" ht="15" customHeight="1" thickBot="1" x14ac:dyDescent="0.35">
      <c r="B13" s="492" t="s">
        <v>3976</v>
      </c>
      <c r="C13" s="491">
        <v>50</v>
      </c>
    </row>
    <row r="14" spans="2:7" ht="15" customHeight="1" thickBot="1" x14ac:dyDescent="0.35">
      <c r="B14" s="492" t="s">
        <v>3975</v>
      </c>
      <c r="C14" s="491">
        <v>350</v>
      </c>
    </row>
    <row r="15" spans="2:7" ht="15" customHeight="1" thickBot="1" x14ac:dyDescent="0.35">
      <c r="B15" s="492" t="s">
        <v>3974</v>
      </c>
      <c r="C15" s="491">
        <v>350</v>
      </c>
    </row>
    <row r="16" spans="2:7" ht="15" customHeight="1" thickBot="1" x14ac:dyDescent="0.35">
      <c r="B16" s="492" t="s">
        <v>3973</v>
      </c>
      <c r="C16" s="491">
        <v>350</v>
      </c>
    </row>
    <row r="17" spans="2:3" ht="15" customHeight="1" thickBot="1" x14ac:dyDescent="0.35">
      <c r="B17" s="492" t="s">
        <v>3972</v>
      </c>
      <c r="C17" s="491">
        <v>100</v>
      </c>
    </row>
    <row r="18" spans="2:3" ht="15" customHeight="1" thickBot="1" x14ac:dyDescent="0.35">
      <c r="B18" s="492" t="s">
        <v>3971</v>
      </c>
      <c r="C18" s="491">
        <v>50</v>
      </c>
    </row>
    <row r="19" spans="2:3" ht="15" customHeight="1" thickBot="1" x14ac:dyDescent="0.35">
      <c r="B19" s="492" t="s">
        <v>3970</v>
      </c>
      <c r="C19" s="491">
        <v>150</v>
      </c>
    </row>
    <row r="20" spans="2:3" ht="15" customHeight="1" thickBot="1" x14ac:dyDescent="0.35">
      <c r="B20" s="497" t="s">
        <v>3969</v>
      </c>
      <c r="C20" s="406" t="s">
        <v>3968</v>
      </c>
    </row>
    <row r="21" spans="2:3" ht="15" customHeight="1" thickBot="1" x14ac:dyDescent="0.35">
      <c r="B21" s="492" t="s">
        <v>3967</v>
      </c>
      <c r="C21" s="491">
        <v>350</v>
      </c>
    </row>
    <row r="22" spans="2:3" ht="15" customHeight="1" thickBot="1" x14ac:dyDescent="0.35">
      <c r="B22" s="492" t="s">
        <v>3966</v>
      </c>
      <c r="C22" s="491">
        <v>350</v>
      </c>
    </row>
    <row r="23" spans="2:3" ht="15" customHeight="1" thickBot="1" x14ac:dyDescent="0.35">
      <c r="B23" s="492" t="s">
        <v>3965</v>
      </c>
      <c r="C23" s="491">
        <v>100</v>
      </c>
    </row>
    <row r="24" spans="2:3" ht="15" customHeight="1" thickBot="1" x14ac:dyDescent="0.35">
      <c r="B24" s="492" t="s">
        <v>3964</v>
      </c>
      <c r="C24" s="491">
        <v>250</v>
      </c>
    </row>
    <row r="25" spans="2:3" ht="15" customHeight="1" thickBot="1" x14ac:dyDescent="0.35">
      <c r="B25" s="492" t="s">
        <v>3963</v>
      </c>
      <c r="C25" s="491">
        <v>500</v>
      </c>
    </row>
    <row r="26" spans="2:3" ht="15" customHeight="1" thickBot="1" x14ac:dyDescent="0.35">
      <c r="B26" s="492" t="s">
        <v>3962</v>
      </c>
      <c r="C26" s="491">
        <v>420</v>
      </c>
    </row>
    <row r="27" spans="2:3" ht="15" customHeight="1" thickBot="1" x14ac:dyDescent="0.35">
      <c r="B27" s="492" t="s">
        <v>3961</v>
      </c>
      <c r="C27" s="491">
        <v>250</v>
      </c>
    </row>
    <row r="28" spans="2:3" ht="15" customHeight="1" thickBot="1" x14ac:dyDescent="0.35">
      <c r="B28" s="492" t="s">
        <v>3960</v>
      </c>
      <c r="C28" s="491" t="s">
        <v>3959</v>
      </c>
    </row>
    <row r="29" spans="2:3" ht="15" customHeight="1" thickBot="1" x14ac:dyDescent="0.35">
      <c r="B29" s="492" t="s">
        <v>3958</v>
      </c>
      <c r="C29" s="491">
        <v>450</v>
      </c>
    </row>
    <row r="30" spans="2:3" ht="15" customHeight="1" thickBot="1" x14ac:dyDescent="0.35">
      <c r="B30" s="492" t="s">
        <v>3957</v>
      </c>
      <c r="C30" s="491">
        <v>100</v>
      </c>
    </row>
    <row r="31" spans="2:3" ht="15" customHeight="1" thickBot="1" x14ac:dyDescent="0.35">
      <c r="B31" s="492" t="s">
        <v>3956</v>
      </c>
      <c r="C31" s="491">
        <v>500</v>
      </c>
    </row>
    <row r="32" spans="2:3" ht="15" customHeight="1" thickBot="1" x14ac:dyDescent="0.35">
      <c r="B32" s="492" t="s">
        <v>3955</v>
      </c>
      <c r="C32" s="491">
        <v>250</v>
      </c>
    </row>
    <row r="33" spans="2:3" ht="15" customHeight="1" thickBot="1" x14ac:dyDescent="0.35">
      <c r="B33" s="496" t="s">
        <v>3954</v>
      </c>
      <c r="C33" s="495">
        <v>420</v>
      </c>
    </row>
    <row r="34" spans="2:3" ht="15" customHeight="1" thickBot="1" x14ac:dyDescent="0.35">
      <c r="B34" s="494" t="s">
        <v>3953</v>
      </c>
      <c r="C34" s="493">
        <v>100</v>
      </c>
    </row>
    <row r="35" spans="2:3" ht="15" customHeight="1" thickBot="1" x14ac:dyDescent="0.35">
      <c r="B35" s="492" t="s">
        <v>3952</v>
      </c>
      <c r="C35" s="491">
        <v>350</v>
      </c>
    </row>
    <row r="36" spans="2:3" ht="15" customHeight="1" thickBot="1" x14ac:dyDescent="0.35">
      <c r="B36" s="492" t="s">
        <v>3951</v>
      </c>
      <c r="C36" s="491">
        <v>250</v>
      </c>
    </row>
    <row r="37" spans="2:3" ht="15" customHeight="1" thickBot="1" x14ac:dyDescent="0.35">
      <c r="B37" s="492" t="s">
        <v>3950</v>
      </c>
      <c r="C37" s="491">
        <v>50</v>
      </c>
    </row>
    <row r="38" spans="2:3" ht="15" customHeight="1" thickBot="1" x14ac:dyDescent="0.35">
      <c r="B38" s="492" t="s">
        <v>3949</v>
      </c>
      <c r="C38" s="491">
        <v>250</v>
      </c>
    </row>
    <row r="39" spans="2:3" ht="15" customHeight="1" thickBot="1" x14ac:dyDescent="0.35">
      <c r="B39" s="492" t="s">
        <v>3948</v>
      </c>
      <c r="C39" s="491">
        <v>730</v>
      </c>
    </row>
    <row r="40" spans="2:3" ht="15" customHeight="1" thickBot="1" x14ac:dyDescent="0.35">
      <c r="B40" s="492" t="s">
        <v>3947</v>
      </c>
      <c r="C40" s="491">
        <v>550</v>
      </c>
    </row>
    <row r="41" spans="2:3" ht="15" customHeight="1" thickBot="1" x14ac:dyDescent="0.35">
      <c r="B41" s="492" t="s">
        <v>3946</v>
      </c>
      <c r="C41" s="491">
        <v>100</v>
      </c>
    </row>
    <row r="42" spans="2:3" ht="15" customHeight="1" thickBot="1" x14ac:dyDescent="0.35">
      <c r="B42" s="492" t="s">
        <v>3945</v>
      </c>
      <c r="C42" s="491">
        <v>250</v>
      </c>
    </row>
    <row r="43" spans="2:3" ht="15" customHeight="1" thickBot="1" x14ac:dyDescent="0.35">
      <c r="B43" s="492" t="s">
        <v>3944</v>
      </c>
      <c r="C43" s="491">
        <v>450</v>
      </c>
    </row>
    <row r="44" spans="2:3" ht="15" customHeight="1" thickBot="1" x14ac:dyDescent="0.35">
      <c r="B44" s="492" t="s">
        <v>3943</v>
      </c>
      <c r="C44" s="491">
        <v>340</v>
      </c>
    </row>
    <row r="45" spans="2:3" ht="15" customHeight="1" thickBot="1" x14ac:dyDescent="0.35">
      <c r="B45" s="492" t="s">
        <v>3942</v>
      </c>
      <c r="C45" s="491">
        <v>100</v>
      </c>
    </row>
    <row r="46" spans="2:3" ht="15" customHeight="1" thickBot="1" x14ac:dyDescent="0.35">
      <c r="B46" s="492" t="s">
        <v>3941</v>
      </c>
      <c r="C46" s="491">
        <v>420</v>
      </c>
    </row>
    <row r="47" spans="2:3" ht="15" customHeight="1" thickBot="1" x14ac:dyDescent="0.35">
      <c r="B47" s="492" t="s">
        <v>3940</v>
      </c>
      <c r="C47" s="491">
        <v>250</v>
      </c>
    </row>
    <row r="48" spans="2:3" ht="15" customHeight="1" thickBot="1" x14ac:dyDescent="0.35">
      <c r="B48" s="492" t="s">
        <v>3939</v>
      </c>
      <c r="C48" s="491">
        <v>275</v>
      </c>
    </row>
    <row r="49" spans="2:6" ht="15" customHeight="1" thickBot="1" x14ac:dyDescent="0.35">
      <c r="B49" s="492" t="s">
        <v>3938</v>
      </c>
      <c r="C49" s="491">
        <v>350</v>
      </c>
    </row>
    <row r="50" spans="2:6" ht="15" customHeight="1" thickBot="1" x14ac:dyDescent="0.35">
      <c r="B50" s="492" t="s">
        <v>3937</v>
      </c>
      <c r="C50" s="491">
        <v>340</v>
      </c>
    </row>
    <row r="51" spans="2:6" x14ac:dyDescent="0.3">
      <c r="B51" s="1817" t="s">
        <v>3936</v>
      </c>
      <c r="C51" s="1817"/>
      <c r="D51" s="1817"/>
      <c r="E51" s="1817"/>
      <c r="F51" s="1817"/>
    </row>
    <row r="52" spans="2:6" x14ac:dyDescent="0.3">
      <c r="B52" s="1817"/>
      <c r="C52" s="1817"/>
      <c r="D52" s="1817"/>
      <c r="E52" s="1817"/>
      <c r="F52" s="1817"/>
    </row>
    <row r="53" spans="2:6" x14ac:dyDescent="0.3">
      <c r="B53" s="1817" t="s">
        <v>3935</v>
      </c>
      <c r="C53" s="1817"/>
      <c r="D53" s="1817"/>
      <c r="E53" s="1817"/>
      <c r="F53" s="1817"/>
    </row>
    <row r="54" spans="2:6" x14ac:dyDescent="0.3">
      <c r="B54" s="1817"/>
      <c r="C54" s="1817"/>
      <c r="D54" s="1817"/>
      <c r="E54" s="1817"/>
      <c r="F54" s="1817"/>
    </row>
    <row r="55" spans="2:6" x14ac:dyDescent="0.3">
      <c r="B55" s="1817" t="s">
        <v>3934</v>
      </c>
      <c r="C55" s="1817"/>
      <c r="D55" s="1817"/>
      <c r="E55" s="1817"/>
      <c r="F55" s="1817"/>
    </row>
    <row r="56" spans="2:6" x14ac:dyDescent="0.3">
      <c r="B56" s="1817"/>
      <c r="C56" s="1817"/>
      <c r="D56" s="1817"/>
      <c r="E56" s="1817"/>
      <c r="F56" s="1817"/>
    </row>
    <row r="57" spans="2:6" x14ac:dyDescent="0.3">
      <c r="B57" s="1817"/>
      <c r="C57" s="1817"/>
      <c r="D57" s="1817"/>
      <c r="E57" s="1817"/>
      <c r="F57" s="1817"/>
    </row>
    <row r="58" spans="2:6" x14ac:dyDescent="0.3">
      <c r="B58" s="1817" t="s">
        <v>3933</v>
      </c>
      <c r="C58" s="1817"/>
      <c r="D58" s="1817"/>
      <c r="E58" s="1817"/>
      <c r="F58" s="1817"/>
    </row>
    <row r="59" spans="2:6" x14ac:dyDescent="0.3">
      <c r="B59" s="1817"/>
      <c r="C59" s="1817"/>
      <c r="D59" s="1817"/>
      <c r="E59" s="1817"/>
      <c r="F59" s="1817"/>
    </row>
    <row r="60" spans="2:6" x14ac:dyDescent="0.3">
      <c r="B60" s="1847" t="s">
        <v>3932</v>
      </c>
      <c r="C60" s="1847"/>
      <c r="D60" s="1847"/>
      <c r="E60" s="1847"/>
      <c r="F60" s="1847"/>
    </row>
  </sheetData>
  <sheetProtection algorithmName="SHA-512" hashValue="9tQKXN6fGP4vQwXApqWlcx4mIRScnxm+XUrbye0qvovA1woaMH5ObH+VitCDcLLnLjzd/Lue5EnfOLOkaMu2ww==" saltValue="6GT9YQ91682FlLIR+Wj/Fg==" spinCount="100000" sheet="1" objects="1" scenarios="1" selectLockedCells="1"/>
  <mergeCells count="9">
    <mergeCell ref="B60:F60"/>
    <mergeCell ref="B2:C2"/>
    <mergeCell ref="B58:F59"/>
    <mergeCell ref="B5:C5"/>
    <mergeCell ref="B4:C4"/>
    <mergeCell ref="B51:F52"/>
    <mergeCell ref="B53:F54"/>
    <mergeCell ref="B55:F57"/>
    <mergeCell ref="E2:G2"/>
  </mergeCells>
  <hyperlinks>
    <hyperlink ref="B2:C2" location="hyptarg9.1" display="back to 901.9.1" xr:uid="{00000000-0004-0000-2600-000000000000}"/>
    <hyperlink ref="E2:F2" location="'Verification Report'!A1" display="back to Verification Report" xr:uid="{00000000-0004-0000-2600-000001000000}"/>
    <hyperlink ref="E2:G2" location="'Verification Report'!A1" display="back to Verification Report" xr:uid="{00000000-0004-0000-2600-000002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fitToPage="1"/>
  </sheetPr>
  <dimension ref="A1:BI265"/>
  <sheetViews>
    <sheetView showGridLines="0" topLeftCell="H1" zoomScaleNormal="100" workbookViewId="0">
      <pane ySplit="7" topLeftCell="A9" activePane="bottomLeft" state="frozen"/>
      <selection activeCell="G8" sqref="G8:J8"/>
      <selection pane="bottomLeft" activeCell="H9" sqref="H9"/>
    </sheetView>
  </sheetViews>
  <sheetFormatPr defaultRowHeight="14.4" x14ac:dyDescent="0.3"/>
  <cols>
    <col min="1" max="1" width="9.109375" style="18" hidden="1" customWidth="1"/>
    <col min="2" max="2" width="7.33203125" style="18" hidden="1" customWidth="1"/>
    <col min="3" max="7" width="3.88671875" style="18" hidden="1" customWidth="1"/>
    <col min="8" max="8" width="3.88671875" style="18" customWidth="1"/>
    <col min="9" max="9" width="10.44140625" style="17" customWidth="1"/>
    <col min="10" max="11" width="3.88671875" style="17" customWidth="1"/>
    <col min="12" max="12" width="71.6640625" customWidth="1"/>
    <col min="13" max="13" width="13.5546875" style="69" customWidth="1"/>
    <col min="14" max="14" width="2.109375" style="43" hidden="1" customWidth="1"/>
    <col min="15" max="15" width="7.6640625" style="84" customWidth="1"/>
    <col min="16" max="17" width="8.88671875" style="43" hidden="1" customWidth="1"/>
    <col min="18" max="21" width="8.88671875" hidden="1" customWidth="1"/>
    <col min="22" max="22" width="3" style="17" hidden="1" customWidth="1"/>
    <col min="23" max="23" width="21.44140625" style="17" customWidth="1"/>
    <col min="24" max="24" width="69" style="17" customWidth="1"/>
    <col min="25" max="25" width="10.109375" style="1107" hidden="1" customWidth="1"/>
    <col min="26" max="26" width="34.88671875" hidden="1" customWidth="1"/>
    <col min="27" max="27" width="9.109375" style="1110" hidden="1" customWidth="1"/>
    <col min="28" max="28" width="9.109375" style="43" hidden="1" customWidth="1"/>
    <col min="29" max="37" width="9.109375" style="17" hidden="1" customWidth="1"/>
    <col min="38" max="38" width="14.44140625" style="17" hidden="1" customWidth="1"/>
    <col min="39" max="39" width="3" style="17" hidden="1" customWidth="1"/>
    <col min="40" max="40" width="12.5546875" style="17" hidden="1" customWidth="1"/>
    <col min="41" max="41" width="2.109375" style="17" hidden="1" customWidth="1"/>
    <col min="42" max="42" width="14.33203125" hidden="1" customWidth="1"/>
    <col min="43" max="43" width="5.88671875" hidden="1" customWidth="1"/>
    <col min="44" max="44" width="12.44140625" hidden="1" customWidth="1"/>
    <col min="45" max="45" width="2.109375" hidden="1" customWidth="1"/>
    <col min="46" max="61" width="9.109375" hidden="1" customWidth="1"/>
  </cols>
  <sheetData>
    <row r="1" spans="1:61" s="17" customFormat="1" x14ac:dyDescent="0.3">
      <c r="A1" s="18"/>
      <c r="B1" s="18"/>
      <c r="C1" s="18"/>
      <c r="D1" s="18"/>
      <c r="E1" s="18"/>
      <c r="F1" s="18"/>
      <c r="G1" s="18"/>
      <c r="H1" s="1316" t="s">
        <v>4691</v>
      </c>
      <c r="I1" s="1285" t="str">
        <f ca="1">IF(OR(AG3,AI3),"Errors on page, no Level reached","Current Chapter level: "&amp;AG1&amp;"                                            Total Points: "&amp;AG2)</f>
        <v>Current Chapter level: Bronze                                            Total Points: 54</v>
      </c>
      <c r="J1" s="1285"/>
      <c r="K1" s="1285"/>
      <c r="L1" s="1285"/>
      <c r="M1" s="1317"/>
      <c r="N1" s="1317"/>
      <c r="O1" s="1317"/>
      <c r="P1" s="1317"/>
      <c r="Q1" s="1317"/>
      <c r="R1" s="1317"/>
      <c r="S1" s="1317"/>
      <c r="T1" s="1317"/>
      <c r="U1" s="1317"/>
      <c r="V1" s="1317"/>
      <c r="W1" s="1317"/>
      <c r="X1" s="1190" t="s">
        <v>4651</v>
      </c>
      <c r="Y1" s="1107"/>
      <c r="Z1"/>
      <c r="AA1" s="1110"/>
      <c r="AB1" s="43"/>
      <c r="AF1" s="7" t="s">
        <v>309</v>
      </c>
      <c r="AG1" s="17" t="str">
        <f ca="1">Points!R15</f>
        <v>Bronze</v>
      </c>
    </row>
    <row r="2" spans="1:61" s="17" customFormat="1" x14ac:dyDescent="0.3">
      <c r="A2" s="18"/>
      <c r="B2" s="18"/>
      <c r="C2" s="18"/>
      <c r="D2" s="18"/>
      <c r="E2" s="18"/>
      <c r="F2" s="18"/>
      <c r="G2" s="18"/>
      <c r="H2" s="1316"/>
      <c r="I2" s="1286" t="str">
        <f ca="1">"Points away from:  Bronze: "&amp;MAX(Points!C15-Points!Ch5Points,0)&amp;",  Silver: "&amp;MAX(Points!D15-Points!Ch5Points,0)&amp;",  Gold: "&amp;MAX(Points!E15-Points!Ch5Points,0)&amp;",  Emerald: "&amp;MAX(Points!F15-Points!Ch5Points,0)</f>
        <v>Points away from:  Bronze: 0,  Silver: 10,  Gold: 39,  Emerald: 67</v>
      </c>
      <c r="J2" s="1286"/>
      <c r="K2" s="1286"/>
      <c r="L2" s="1286"/>
      <c r="M2" s="1317"/>
      <c r="N2" s="1317"/>
      <c r="O2" s="1317"/>
      <c r="P2" s="1317"/>
      <c r="Q2" s="1317"/>
      <c r="R2" s="1317"/>
      <c r="S2" s="1317"/>
      <c r="T2" s="1317"/>
      <c r="U2" s="1317"/>
      <c r="V2" s="1317"/>
      <c r="W2" s="1317"/>
      <c r="X2" s="1190" t="s">
        <v>3731</v>
      </c>
      <c r="Y2" s="1107"/>
      <c r="Z2"/>
      <c r="AA2" s="1110"/>
      <c r="AB2" s="43"/>
      <c r="AF2" s="7" t="s">
        <v>308</v>
      </c>
      <c r="AG2" s="17">
        <f ca="1">Points!H15</f>
        <v>54</v>
      </c>
      <c r="AH2" s="17" t="s">
        <v>311</v>
      </c>
      <c r="AI2" s="17">
        <f ca="1">Points!P15</f>
        <v>10</v>
      </c>
      <c r="AJ2"/>
      <c r="AK2"/>
    </row>
    <row r="3" spans="1:61" x14ac:dyDescent="0.3">
      <c r="H3" s="1316"/>
      <c r="I3" s="1286" t="str">
        <f ca="1">"Add'l pts earned above:  Bronze: "&amp; MAX(0,Points!Ch5Points-Points!C15) &amp;",  Silver: " &amp; MAX(0,Points!Ch5Points-Points!D15) &amp;",  Gold: " &amp; MAX(0,Points!Ch5Points-Points!E15) &amp;",  Emerald: " &amp; MAX(0,Points!Ch5Points-Points!F15)</f>
        <v>Add'l pts earned above:  Bronze: 4,  Silver: 0,  Gold: 0,  Emerald: 0</v>
      </c>
      <c r="J3" s="1286"/>
      <c r="K3" s="1286"/>
      <c r="L3" s="1286"/>
      <c r="M3" s="1317"/>
      <c r="N3" s="1317"/>
      <c r="O3" s="1317"/>
      <c r="P3" s="1317"/>
      <c r="Q3" s="1317"/>
      <c r="R3" s="1317"/>
      <c r="S3" s="1317"/>
      <c r="T3" s="1317"/>
      <c r="U3" s="1317"/>
      <c r="V3" s="1317"/>
      <c r="W3" s="1317"/>
      <c r="X3" s="1190" t="s">
        <v>3730</v>
      </c>
      <c r="AF3" s="7" t="s">
        <v>306</v>
      </c>
      <c r="AG3" s="17" t="b">
        <f>OR(AE:AE)</f>
        <v>0</v>
      </c>
      <c r="AH3" s="7" t="s">
        <v>307</v>
      </c>
      <c r="AI3" s="17" t="b">
        <f ca="1">OR(AD:AD)</f>
        <v>0</v>
      </c>
    </row>
    <row r="4" spans="1:61" s="58" customFormat="1" x14ac:dyDescent="0.3">
      <c r="A4" s="18"/>
      <c r="B4" s="18"/>
      <c r="C4" s="18"/>
      <c r="D4" s="18"/>
      <c r="E4" s="18"/>
      <c r="F4" s="18"/>
      <c r="G4" s="18"/>
      <c r="H4" s="1316"/>
      <c r="I4" s="1297" t="str">
        <f>"Total Chapter Points needed for:  Bronze: "&amp;Points!C15&amp;",  Silver: "&amp;Points!D15&amp;",  Gold: "&amp;Points!E15&amp;",  Emerald: "&amp;Points!F15</f>
        <v>Total Chapter Points needed for:  Bronze: 50,  Silver: 64,  Gold: 93,  Emerald: 121</v>
      </c>
      <c r="J4" s="1298"/>
      <c r="K4" s="1298"/>
      <c r="L4" s="1299"/>
      <c r="M4" s="1317"/>
      <c r="N4" s="1317"/>
      <c r="O4" s="1317"/>
      <c r="P4" s="1317"/>
      <c r="Q4" s="1317"/>
      <c r="R4" s="1317"/>
      <c r="S4" s="1317"/>
      <c r="T4" s="1317"/>
      <c r="U4" s="1317"/>
      <c r="V4" s="1317"/>
      <c r="W4" s="1317"/>
      <c r="X4" s="1231" t="s">
        <v>4722</v>
      </c>
      <c r="Y4" s="1107"/>
      <c r="AA4" s="1110"/>
      <c r="AF4" s="57"/>
      <c r="AH4" s="57"/>
    </row>
    <row r="5" spans="1:61" s="58" customFormat="1" x14ac:dyDescent="0.3">
      <c r="A5" s="18"/>
      <c r="B5" s="18"/>
      <c r="C5" s="18"/>
      <c r="D5" s="18"/>
      <c r="E5" s="18"/>
      <c r="F5" s="18"/>
      <c r="G5" s="18"/>
      <c r="H5" s="1316"/>
      <c r="I5" s="1300" t="str">
        <f>"Revision Date:  "&amp;TEXT('Info &amp; Intro'!E7,"m/d/yyyy")</f>
        <v>Revision Date:  7/11/2019</v>
      </c>
      <c r="J5" s="1301"/>
      <c r="K5" s="1301"/>
      <c r="L5" s="1302"/>
      <c r="M5" s="1317"/>
      <c r="N5" s="1317"/>
      <c r="O5" s="1317"/>
      <c r="P5" s="1317"/>
      <c r="Q5" s="1317"/>
      <c r="R5" s="1317"/>
      <c r="S5" s="1317"/>
      <c r="T5" s="1317"/>
      <c r="U5" s="1317"/>
      <c r="V5" s="1317"/>
      <c r="W5" s="1317"/>
      <c r="X5" s="1231"/>
      <c r="Y5" s="1107"/>
      <c r="AA5" s="1110"/>
      <c r="AF5" s="57"/>
      <c r="AH5" s="57"/>
    </row>
    <row r="6" spans="1:61" s="43" customFormat="1" x14ac:dyDescent="0.3">
      <c r="A6" s="18"/>
      <c r="B6" s="18"/>
      <c r="C6" s="18"/>
      <c r="D6" s="18"/>
      <c r="E6" s="18"/>
      <c r="F6" s="18"/>
      <c r="G6" s="18"/>
      <c r="H6" s="1316"/>
      <c r="I6" s="1339" t="s">
        <v>261</v>
      </c>
      <c r="J6" s="1340"/>
      <c r="K6" s="1341"/>
      <c r="L6" s="1321" t="s">
        <v>1309</v>
      </c>
      <c r="M6" s="1321" t="s">
        <v>262</v>
      </c>
      <c r="N6" s="1321"/>
      <c r="O6" s="35" t="s">
        <v>338</v>
      </c>
      <c r="P6" s="1321" t="s">
        <v>4719</v>
      </c>
      <c r="Q6" s="1321" t="s">
        <v>329</v>
      </c>
      <c r="R6" s="1321" t="s">
        <v>263</v>
      </c>
      <c r="S6" s="1321" t="s">
        <v>264</v>
      </c>
      <c r="T6" s="1321" t="s">
        <v>0</v>
      </c>
      <c r="U6" s="1321" t="s">
        <v>4720</v>
      </c>
      <c r="V6" s="1321"/>
      <c r="W6" s="1321" t="s">
        <v>265</v>
      </c>
      <c r="X6" s="1287" t="s">
        <v>1</v>
      </c>
      <c r="Y6" s="1107"/>
      <c r="AA6" s="1110"/>
      <c r="AC6" s="41" t="s">
        <v>327</v>
      </c>
      <c r="AD6" s="41" t="s">
        <v>0</v>
      </c>
      <c r="AE6" s="41" t="s">
        <v>326</v>
      </c>
    </row>
    <row r="7" spans="1:61" x14ac:dyDescent="0.3">
      <c r="H7" s="1316"/>
      <c r="I7" s="1339"/>
      <c r="J7" s="1340"/>
      <c r="K7" s="1341"/>
      <c r="L7" s="1322"/>
      <c r="M7" s="1322"/>
      <c r="N7" s="1322"/>
      <c r="O7" s="35" t="s">
        <v>339</v>
      </c>
      <c r="P7" s="1322"/>
      <c r="Q7" s="1322"/>
      <c r="R7" s="1322"/>
      <c r="S7" s="1322"/>
      <c r="T7" s="1322"/>
      <c r="U7" s="1322"/>
      <c r="V7" s="1322"/>
      <c r="W7" s="1322"/>
      <c r="X7" s="1288"/>
      <c r="AC7" s="5" t="s">
        <v>327</v>
      </c>
      <c r="AD7" s="5" t="s">
        <v>0</v>
      </c>
      <c r="AE7" s="5" t="s">
        <v>326</v>
      </c>
      <c r="AP7" s="17"/>
      <c r="AQ7" s="17"/>
    </row>
    <row r="8" spans="1:61" s="1077" customFormat="1" hidden="1" x14ac:dyDescent="0.3">
      <c r="A8" s="18"/>
      <c r="B8" s="18"/>
      <c r="C8" s="18"/>
      <c r="D8" s="18"/>
      <c r="E8" s="18"/>
      <c r="F8" s="18"/>
      <c r="G8" s="18"/>
      <c r="H8" s="18"/>
      <c r="I8" s="1079"/>
      <c r="J8" s="1079"/>
      <c r="K8" s="1079"/>
      <c r="L8" s="1078"/>
      <c r="M8" s="1078"/>
      <c r="N8" s="1078"/>
      <c r="O8" s="35"/>
      <c r="P8" s="1078"/>
      <c r="Q8" s="1078"/>
      <c r="R8" s="1078"/>
      <c r="S8" s="1078"/>
      <c r="T8" s="1078"/>
      <c r="U8" s="1078"/>
      <c r="V8" s="1078"/>
      <c r="W8" s="1078"/>
      <c r="X8" s="1079"/>
      <c r="Y8" s="1107"/>
      <c r="AA8" s="1110"/>
      <c r="AC8" s="1076"/>
      <c r="AD8" s="1076"/>
      <c r="AE8" s="1076"/>
    </row>
    <row r="9" spans="1:61" ht="18" x14ac:dyDescent="0.35">
      <c r="A9" s="18" t="s">
        <v>260</v>
      </c>
      <c r="B9" s="18" t="s">
        <v>260</v>
      </c>
      <c r="C9" s="18" t="s">
        <v>260</v>
      </c>
      <c r="D9" s="18" t="s">
        <v>260</v>
      </c>
      <c r="E9" s="18" t="s">
        <v>260</v>
      </c>
      <c r="F9" s="18" t="s">
        <v>260</v>
      </c>
      <c r="G9" s="18" t="s">
        <v>260</v>
      </c>
      <c r="H9" s="1086"/>
      <c r="I9" s="22" t="s">
        <v>808</v>
      </c>
      <c r="J9" s="22"/>
      <c r="K9" s="22"/>
      <c r="L9" s="23"/>
      <c r="M9" s="24"/>
      <c r="N9" s="43" t="s">
        <v>260</v>
      </c>
      <c r="O9" s="24"/>
      <c r="P9" s="43" t="s">
        <v>260</v>
      </c>
      <c r="Q9" s="43" t="s">
        <v>260</v>
      </c>
      <c r="R9" s="32" t="s">
        <v>260</v>
      </c>
      <c r="S9" s="32" t="s">
        <v>260</v>
      </c>
      <c r="T9" s="32" t="s">
        <v>260</v>
      </c>
      <c r="U9" s="32" t="s">
        <v>260</v>
      </c>
      <c r="V9" s="32" t="s">
        <v>260</v>
      </c>
      <c r="W9" s="23"/>
      <c r="X9" s="23"/>
      <c r="Y9" s="1106" t="s">
        <v>260</v>
      </c>
      <c r="Z9" s="40" t="s">
        <v>260</v>
      </c>
      <c r="AA9" s="1108" t="s">
        <v>260</v>
      </c>
      <c r="AB9" s="1075" t="s">
        <v>260</v>
      </c>
      <c r="AC9" s="29" t="s">
        <v>260</v>
      </c>
      <c r="AD9" s="29" t="s">
        <v>260</v>
      </c>
      <c r="AE9" s="29" t="s">
        <v>260</v>
      </c>
      <c r="AF9" s="29" t="s">
        <v>260</v>
      </c>
      <c r="AG9" s="29" t="s">
        <v>260</v>
      </c>
      <c r="AH9" s="29" t="s">
        <v>260</v>
      </c>
      <c r="AI9" s="29" t="s">
        <v>260</v>
      </c>
      <c r="AJ9" s="29" t="s">
        <v>260</v>
      </c>
      <c r="AK9" s="29" t="s">
        <v>260</v>
      </c>
      <c r="AL9" s="29" t="s">
        <v>260</v>
      </c>
      <c r="AM9" s="29" t="s">
        <v>260</v>
      </c>
      <c r="AN9" s="29" t="s">
        <v>260</v>
      </c>
      <c r="AO9" s="29" t="s">
        <v>260</v>
      </c>
      <c r="AP9" s="29" t="s">
        <v>260</v>
      </c>
      <c r="AQ9" s="29" t="s">
        <v>260</v>
      </c>
      <c r="AR9" s="29" t="s">
        <v>260</v>
      </c>
      <c r="AS9" s="29" t="s">
        <v>260</v>
      </c>
      <c r="AT9" s="40" t="s">
        <v>260</v>
      </c>
      <c r="AU9" s="40" t="s">
        <v>260</v>
      </c>
      <c r="AV9" s="40" t="s">
        <v>260</v>
      </c>
      <c r="AW9" s="40" t="s">
        <v>260</v>
      </c>
      <c r="AX9" s="40" t="s">
        <v>260</v>
      </c>
      <c r="AY9" s="40" t="s">
        <v>260</v>
      </c>
      <c r="AZ9" s="40" t="s">
        <v>260</v>
      </c>
      <c r="BA9" s="40" t="s">
        <v>260</v>
      </c>
      <c r="BB9" s="40" t="s">
        <v>260</v>
      </c>
      <c r="BC9" s="40" t="s">
        <v>260</v>
      </c>
      <c r="BD9" s="40" t="s">
        <v>260</v>
      </c>
      <c r="BE9" s="40" t="s">
        <v>260</v>
      </c>
      <c r="BF9" s="40" t="s">
        <v>260</v>
      </c>
      <c r="BG9" s="40" t="s">
        <v>260</v>
      </c>
      <c r="BH9" s="40" t="s">
        <v>260</v>
      </c>
      <c r="BI9" s="1097" t="s">
        <v>260</v>
      </c>
    </row>
    <row r="10" spans="1:61" x14ac:dyDescent="0.3">
      <c r="B10" s="21"/>
      <c r="C10" s="21"/>
      <c r="D10" s="21"/>
      <c r="E10" s="21"/>
      <c r="F10" s="21"/>
      <c r="G10" s="21"/>
      <c r="H10" s="1086"/>
      <c r="I10" s="90" t="s">
        <v>267</v>
      </c>
      <c r="J10" s="90"/>
      <c r="K10" s="90"/>
      <c r="L10" s="1292" t="s">
        <v>268</v>
      </c>
      <c r="M10" s="585"/>
      <c r="P10" s="318"/>
      <c r="Q10" s="318"/>
      <c r="R10" t="b">
        <v>0</v>
      </c>
      <c r="S10" t="b">
        <v>1</v>
      </c>
      <c r="T10" t="b">
        <v>0</v>
      </c>
      <c r="U10" s="17"/>
      <c r="AM10" s="18"/>
      <c r="AO10" s="18"/>
      <c r="AP10" s="17"/>
      <c r="AQ10" s="17"/>
      <c r="AR10" s="17"/>
      <c r="AS10" s="17"/>
      <c r="BI10" s="1101"/>
    </row>
    <row r="11" spans="1:61" x14ac:dyDescent="0.3">
      <c r="B11" s="21"/>
      <c r="C11" s="21"/>
      <c r="D11" s="21"/>
      <c r="E11" s="21"/>
      <c r="F11" s="21"/>
      <c r="G11" s="21"/>
      <c r="H11" s="1086"/>
      <c r="I11" s="90"/>
      <c r="J11" s="90"/>
      <c r="K11" s="90"/>
      <c r="L11" s="1292"/>
      <c r="M11" s="585"/>
      <c r="P11" s="318"/>
      <c r="Q11" s="318"/>
      <c r="AX11" s="42" t="str">
        <f>'Overview (Design)'!A8</f>
        <v>Builder Name:</v>
      </c>
      <c r="AY11" t="str">
        <f>'Overview (Design)'!G8</f>
        <v>ZERH Builder</v>
      </c>
      <c r="BI11" s="1101"/>
    </row>
    <row r="12" spans="1:61" x14ac:dyDescent="0.3">
      <c r="B12" s="21"/>
      <c r="C12" s="21"/>
      <c r="D12" s="21"/>
      <c r="E12" s="21"/>
      <c r="F12" s="21"/>
      <c r="G12" s="21"/>
      <c r="H12" s="1086"/>
      <c r="I12" s="90"/>
      <c r="J12" s="90"/>
      <c r="K12" s="90"/>
      <c r="L12" s="1292"/>
      <c r="M12" s="585"/>
      <c r="P12" s="318"/>
      <c r="Q12" s="318"/>
      <c r="AX12" s="42" t="str">
        <f>'Overview (Design)'!A9</f>
        <v>Physical Address of Home:</v>
      </c>
      <c r="AY12" s="43" t="str">
        <f>'Overview (Design)'!G9</f>
        <v>123 Main Sts</v>
      </c>
      <c r="BI12" s="1101"/>
    </row>
    <row r="13" spans="1:61" ht="18" x14ac:dyDescent="0.35">
      <c r="B13" s="21"/>
      <c r="C13" s="21"/>
      <c r="D13" s="21"/>
      <c r="E13" s="21"/>
      <c r="F13" s="21"/>
      <c r="G13" s="21"/>
      <c r="H13" s="1086"/>
      <c r="I13" s="91" t="s">
        <v>807</v>
      </c>
      <c r="J13" s="91"/>
      <c r="K13" s="91"/>
      <c r="L13" s="85"/>
      <c r="M13" s="586"/>
      <c r="N13" s="23"/>
      <c r="O13" s="71"/>
      <c r="P13" s="23"/>
      <c r="Q13" s="23"/>
      <c r="R13" s="23"/>
      <c r="S13" s="23"/>
      <c r="T13" s="23"/>
      <c r="U13" s="23"/>
      <c r="V13" s="23"/>
      <c r="W13" s="23"/>
      <c r="X13" s="23"/>
      <c r="AX13" s="42" t="str">
        <f>'Overview (Design)'!A10</f>
        <v>Community/Lot #:</v>
      </c>
      <c r="AY13" s="43" t="str">
        <f>'Overview (Design)'!G10</f>
        <v>Lot 123</v>
      </c>
      <c r="BI13" s="1101"/>
    </row>
    <row r="14" spans="1:61" x14ac:dyDescent="0.3">
      <c r="B14" s="21"/>
      <c r="C14" s="21"/>
      <c r="D14" s="21"/>
      <c r="E14" s="21"/>
      <c r="F14" s="21"/>
      <c r="G14" s="21"/>
      <c r="H14" s="1086"/>
      <c r="I14" s="94" t="s">
        <v>269</v>
      </c>
      <c r="J14" s="94"/>
      <c r="K14" s="94"/>
      <c r="L14" s="1342" t="s">
        <v>270</v>
      </c>
      <c r="M14" s="1290">
        <v>15</v>
      </c>
      <c r="N14" s="95"/>
      <c r="O14" s="1307">
        <f>MAX(M14*S15*W15,M16*S16*W16+M17*S17*W17+M18*S18*W18)</f>
        <v>0</v>
      </c>
      <c r="P14" s="96"/>
      <c r="Q14" s="96"/>
      <c r="R14" s="97" t="b">
        <v>0</v>
      </c>
      <c r="S14" s="97" t="b">
        <v>1</v>
      </c>
      <c r="T14" s="97" t="b">
        <v>0</v>
      </c>
      <c r="U14" s="97"/>
      <c r="V14" s="97"/>
      <c r="W14" s="97" t="s">
        <v>279</v>
      </c>
      <c r="X14" s="1295"/>
      <c r="AX14" s="42" t="str">
        <f>'Overview (Design)'!A11</f>
        <v>City:</v>
      </c>
      <c r="AY14" s="43" t="str">
        <f>'Overview (Design)'!G11</f>
        <v>Durham</v>
      </c>
      <c r="AZ14" s="43"/>
      <c r="BA14" s="43"/>
      <c r="BB14" s="43"/>
      <c r="BC14" s="43"/>
      <c r="BD14" s="43"/>
      <c r="BE14" s="43"/>
      <c r="BF14" s="43"/>
      <c r="BG14" s="43"/>
      <c r="BH14" s="43"/>
      <c r="BI14" s="1101"/>
    </row>
    <row r="15" spans="1:61" x14ac:dyDescent="0.3">
      <c r="B15" s="21"/>
      <c r="C15" s="21"/>
      <c r="D15" s="21"/>
      <c r="E15" s="21"/>
      <c r="F15" s="21"/>
      <c r="G15" s="21"/>
      <c r="H15" s="1086"/>
      <c r="I15" s="94"/>
      <c r="J15" s="94"/>
      <c r="K15" s="94"/>
      <c r="L15" s="1342"/>
      <c r="M15" s="1290"/>
      <c r="N15" s="95"/>
      <c r="O15" s="1307"/>
      <c r="P15" s="96" t="b">
        <v>1</v>
      </c>
      <c r="Q15" s="96" t="b">
        <v>1</v>
      </c>
      <c r="R15" s="97" t="b">
        <v>0</v>
      </c>
      <c r="S15" s="97" t="b">
        <v>1</v>
      </c>
      <c r="T15" s="97" t="b">
        <v>0</v>
      </c>
      <c r="U15" s="97"/>
      <c r="V15" s="97"/>
      <c r="W15" s="25"/>
      <c r="X15" s="1295"/>
      <c r="AL15" s="1059" t="str">
        <f>SUBSTITUTE(SUBSTITUTE(SUBSTITUTE("dpa"&amp;$B15&amp;$C15&amp;$D15&amp;$E15&amp;$F15,".","_"),"(","_"),")","")</f>
        <v>dpa</v>
      </c>
      <c r="AM15" s="36">
        <f>M14</f>
        <v>15</v>
      </c>
      <c r="AN15" s="1059" t="str">
        <f>SUBSTITUTE(SUBSTITUTE(SUBSTITUTE("dpc"&amp;$B15&amp;$C15&amp;$D15&amp;$E15&amp;$F15,".","_"),"(","_"),")","")</f>
        <v>dpc</v>
      </c>
      <c r="AO15" s="36">
        <f>O14</f>
        <v>0</v>
      </c>
      <c r="AP15" s="1059" t="str">
        <f t="shared" ref="AP15:AP18" si="0">SUBSTITUTE(SUBSTITUTE(SUBSTITUTE("dch"&amp;$B15&amp;$C15&amp;$D15&amp;$E15&amp;$F15,".","_"),"(","_"),")","")</f>
        <v>dch</v>
      </c>
      <c r="AQ15" s="33">
        <f>W15</f>
        <v>0</v>
      </c>
      <c r="AR15" s="1059" t="str">
        <f>SUBSTITUTE(SUBSTITUTE(SUBSTITUTE("dnt"&amp;$B15&amp;$C15&amp;$D15&amp;$E15&amp;$F15,".","_"),"(","_"),")","")</f>
        <v>dnt</v>
      </c>
      <c r="AS15" s="33">
        <f>X14</f>
        <v>0</v>
      </c>
      <c r="AX15" s="42" t="str">
        <f>'Overview (Design)'!A12</f>
        <v>State:</v>
      </c>
      <c r="AY15" s="43" t="str">
        <f>'Overview (Design)'!G12</f>
        <v>North Carolina</v>
      </c>
      <c r="AZ15" s="43"/>
      <c r="BA15" s="43"/>
      <c r="BB15" s="43"/>
      <c r="BC15" s="43" t="str">
        <f>'Overview (Design)'!K12</f>
        <v>State</v>
      </c>
      <c r="BD15" s="43" t="str">
        <f>'Overview (Design)'!L12</f>
        <v>County</v>
      </c>
      <c r="BE15" s="43" t="str">
        <f>'Overview (Design)'!M12</f>
        <v>Radon</v>
      </c>
      <c r="BF15" s="43" t="str">
        <f>'Overview (Design)'!N12</f>
        <v>Climate</v>
      </c>
      <c r="BG15" s="43" t="str">
        <f>'Overview (Design)'!O12</f>
        <v>Moist</v>
      </c>
      <c r="BH15" s="43" t="str">
        <f>'Overview (Design)'!P12</f>
        <v>WarmHumid</v>
      </c>
      <c r="BI15" s="1101" t="str">
        <f>'Overview (Design)'!Q12</f>
        <v>Tropical</v>
      </c>
    </row>
    <row r="16" spans="1:61" x14ac:dyDescent="0.3">
      <c r="B16" s="21" t="s">
        <v>269</v>
      </c>
      <c r="C16" s="21"/>
      <c r="D16" s="21"/>
      <c r="E16" s="21"/>
      <c r="F16" s="21" t="s">
        <v>271</v>
      </c>
      <c r="G16" s="21"/>
      <c r="H16" s="1086"/>
      <c r="I16" s="94"/>
      <c r="J16" s="192" t="s">
        <v>271</v>
      </c>
      <c r="K16" s="192"/>
      <c r="L16" s="193" t="s">
        <v>272</v>
      </c>
      <c r="M16" s="587">
        <v>10</v>
      </c>
      <c r="N16" s="95"/>
      <c r="O16" s="592"/>
      <c r="P16" s="96" t="b">
        <v>1</v>
      </c>
      <c r="Q16" s="96" t="b">
        <v>1</v>
      </c>
      <c r="R16" s="97" t="b">
        <v>0</v>
      </c>
      <c r="S16" s="97" t="b">
        <v>1</v>
      </c>
      <c r="T16" s="97" t="b">
        <v>0</v>
      </c>
      <c r="U16" s="97"/>
      <c r="V16" s="97"/>
      <c r="W16" s="25"/>
      <c r="X16" s="1295"/>
      <c r="AC16" s="332" t="b">
        <f>OR(AD16:AE16)</f>
        <v>0</v>
      </c>
      <c r="AD16" s="332" t="b">
        <f>T16</f>
        <v>0</v>
      </c>
      <c r="AL16" s="1059" t="str">
        <f t="shared" ref="AL16:AL18" si="1">SUBSTITUTE(SUBSTITUTE(SUBSTITUTE("dpa"&amp;$B16&amp;$C16&amp;$D16&amp;$E16&amp;$F16,".","_"),"(","_"),")","")</f>
        <v>dpa501_1_1</v>
      </c>
      <c r="AM16" s="33">
        <f>M16</f>
        <v>10</v>
      </c>
      <c r="AN16" s="33"/>
      <c r="AO16" s="33"/>
      <c r="AP16" s="1059" t="str">
        <f t="shared" si="0"/>
        <v>dch501_1_1</v>
      </c>
      <c r="AQ16" s="33">
        <f>W16</f>
        <v>0</v>
      </c>
      <c r="AR16" s="33"/>
      <c r="AS16" s="33"/>
      <c r="AX16" s="42" t="str">
        <f>'Overview (Design)'!A13</f>
        <v>County:</v>
      </c>
      <c r="AY16" s="43" t="str">
        <f>'Overview (Design)'!G13</f>
        <v xml:space="preserve">Chatham  </v>
      </c>
      <c r="AZ16" s="43"/>
      <c r="BA16" s="43"/>
      <c r="BB16" s="43"/>
      <c r="BC16" s="43" t="str">
        <f>'Overview (Design)'!K13</f>
        <v>North Carolina</v>
      </c>
      <c r="BD16" s="43" t="str">
        <f>'Overview (Design)'!L13</f>
        <v xml:space="preserve">Chatham  </v>
      </c>
      <c r="BE16" s="43">
        <f>'Overview (Design)'!M13</f>
        <v>3</v>
      </c>
      <c r="BF16" s="43">
        <f>'Overview (Design)'!N13</f>
        <v>4</v>
      </c>
      <c r="BG16" s="43" t="str">
        <f>'Overview (Design)'!O13</f>
        <v>Moist</v>
      </c>
      <c r="BH16" s="43" t="str">
        <f>'Overview (Design)'!P13</f>
        <v xml:space="preserve"> </v>
      </c>
      <c r="BI16" s="1101" t="str">
        <f>'Overview (Design)'!Q13</f>
        <v xml:space="preserve"> </v>
      </c>
    </row>
    <row r="17" spans="2:51" x14ac:dyDescent="0.3">
      <c r="B17" s="21" t="s">
        <v>269</v>
      </c>
      <c r="C17" s="21"/>
      <c r="D17" s="21"/>
      <c r="E17" s="21"/>
      <c r="F17" s="21" t="s">
        <v>273</v>
      </c>
      <c r="G17" s="21"/>
      <c r="H17" s="1086"/>
      <c r="I17" s="94"/>
      <c r="J17" s="192" t="s">
        <v>273</v>
      </c>
      <c r="K17" s="192"/>
      <c r="L17" s="193" t="s">
        <v>274</v>
      </c>
      <c r="M17" s="587">
        <v>10</v>
      </c>
      <c r="N17" s="95"/>
      <c r="O17" s="592"/>
      <c r="P17" s="96" t="b">
        <v>1</v>
      </c>
      <c r="Q17" s="96" t="b">
        <v>1</v>
      </c>
      <c r="R17" s="97" t="b">
        <v>0</v>
      </c>
      <c r="S17" s="97" t="b">
        <f>W18&lt;&gt;TRUE</f>
        <v>1</v>
      </c>
      <c r="T17" s="97" t="b">
        <f>AND(NOT(S17),W17=TRUE)</f>
        <v>0</v>
      </c>
      <c r="U17" s="97"/>
      <c r="V17" s="97"/>
      <c r="W17" s="25"/>
      <c r="X17" s="1295"/>
      <c r="AC17" s="332" t="b">
        <f>OR(AD17:AE17)</f>
        <v>0</v>
      </c>
      <c r="AD17" s="332" t="b">
        <f>T17</f>
        <v>0</v>
      </c>
      <c r="AL17" s="1059" t="str">
        <f t="shared" si="1"/>
        <v>dpa501_1_2</v>
      </c>
      <c r="AM17" s="33">
        <f>M17</f>
        <v>10</v>
      </c>
      <c r="AN17" s="33"/>
      <c r="AO17" s="33"/>
      <c r="AP17" s="1059" t="str">
        <f t="shared" si="0"/>
        <v>dch501_1_2</v>
      </c>
      <c r="AQ17" s="33">
        <f>W17</f>
        <v>0</v>
      </c>
      <c r="AR17" s="33"/>
      <c r="AS17" s="33"/>
      <c r="AX17" s="42" t="str">
        <f>'Overview (Design)'!A14</f>
        <v>Zip:</v>
      </c>
      <c r="AY17" s="43" t="str">
        <f>'Overview (Design)'!G14</f>
        <v>27703</v>
      </c>
    </row>
    <row r="18" spans="2:51" ht="15" thickBot="1" x14ac:dyDescent="0.35">
      <c r="B18" s="21" t="s">
        <v>269</v>
      </c>
      <c r="C18" s="21"/>
      <c r="D18" s="21"/>
      <c r="E18" s="21"/>
      <c r="F18" s="21" t="s">
        <v>275</v>
      </c>
      <c r="G18" s="21"/>
      <c r="H18" s="1086"/>
      <c r="I18" s="99"/>
      <c r="J18" s="99" t="s">
        <v>275</v>
      </c>
      <c r="K18" s="99"/>
      <c r="L18" s="100" t="s">
        <v>276</v>
      </c>
      <c r="M18" s="588">
        <v>15</v>
      </c>
      <c r="N18" s="102"/>
      <c r="O18" s="593"/>
      <c r="P18" s="96" t="b">
        <v>1</v>
      </c>
      <c r="Q18" s="96" t="b">
        <v>1</v>
      </c>
      <c r="R18" s="104" t="b">
        <v>0</v>
      </c>
      <c r="S18" s="104" t="b">
        <f>W17&lt;&gt;TRUE</f>
        <v>1</v>
      </c>
      <c r="T18" s="97" t="b">
        <f>AND(NOT(S18),W18=TRUE)</f>
        <v>0</v>
      </c>
      <c r="U18" s="104"/>
      <c r="V18" s="104"/>
      <c r="W18" s="207"/>
      <c r="X18" s="1296"/>
      <c r="AL18" s="1059" t="str">
        <f t="shared" si="1"/>
        <v>dpa501_1_3</v>
      </c>
      <c r="AM18" s="33">
        <f>M18</f>
        <v>15</v>
      </c>
      <c r="AN18" s="33"/>
      <c r="AO18" s="33"/>
      <c r="AP18" s="1059" t="str">
        <f t="shared" si="0"/>
        <v>dch501_1_3</v>
      </c>
      <c r="AQ18" s="33">
        <f>W18</f>
        <v>0</v>
      </c>
      <c r="AR18" s="33"/>
      <c r="AS18" s="33"/>
      <c r="AX18" s="42"/>
      <c r="AY18" s="43"/>
    </row>
    <row r="19" spans="2:51" ht="15" thickTop="1" x14ac:dyDescent="0.3">
      <c r="B19" s="21" t="s">
        <v>280</v>
      </c>
      <c r="C19" s="21"/>
      <c r="D19" s="21"/>
      <c r="E19" s="21"/>
      <c r="F19" s="21"/>
      <c r="G19" s="21"/>
      <c r="H19" s="1086"/>
      <c r="I19" s="90" t="s">
        <v>280</v>
      </c>
      <c r="J19" s="90"/>
      <c r="K19" s="90"/>
      <c r="L19" s="1292" t="s">
        <v>281</v>
      </c>
      <c r="M19" s="1289"/>
      <c r="N19" s="44"/>
      <c r="O19" s="1320"/>
      <c r="P19" s="311"/>
      <c r="Q19" s="311"/>
      <c r="R19" s="17"/>
      <c r="S19" s="17"/>
      <c r="T19" s="17"/>
      <c r="U19" s="17"/>
      <c r="W19" s="206"/>
      <c r="X19" s="1304"/>
      <c r="AL19" s="33"/>
      <c r="AM19" s="33"/>
      <c r="AN19" s="33"/>
      <c r="AO19" s="33"/>
      <c r="AP19" s="33"/>
      <c r="AQ19" s="33"/>
      <c r="AR19" s="1059" t="str">
        <f>SUBSTITUTE(SUBSTITUTE(SUBSTITUTE("dnt"&amp;$B19&amp;$C19&amp;$D19&amp;$E19&amp;$F19,".","_"),"(","_"),")","")</f>
        <v>dnt501_2</v>
      </c>
      <c r="AS19" s="33">
        <f>X19</f>
        <v>0</v>
      </c>
      <c r="AX19" s="42" t="str">
        <f>'Overview (Design)'!A16</f>
        <v>Single-Family or Multifamily:</v>
      </c>
      <c r="AY19" s="43" t="str">
        <f>'Overview (Design)'!G16</f>
        <v>Single-Family</v>
      </c>
    </row>
    <row r="20" spans="2:51" x14ac:dyDescent="0.3">
      <c r="B20" s="21" t="s">
        <v>280</v>
      </c>
      <c r="C20" s="21"/>
      <c r="D20" s="21"/>
      <c r="E20" s="21"/>
      <c r="F20" s="21"/>
      <c r="G20" s="21"/>
      <c r="H20" s="1086"/>
      <c r="I20" s="90"/>
      <c r="J20" s="90"/>
      <c r="K20" s="90"/>
      <c r="L20" s="1292"/>
      <c r="M20" s="1289"/>
      <c r="N20" s="44"/>
      <c r="O20" s="1320"/>
      <c r="P20" s="311"/>
      <c r="Q20" s="311"/>
      <c r="R20" s="17"/>
      <c r="S20" s="17"/>
      <c r="T20" s="17"/>
      <c r="U20" s="17"/>
      <c r="X20" s="1303"/>
      <c r="AL20" s="33"/>
      <c r="AM20" s="33"/>
      <c r="AN20" s="33"/>
      <c r="AO20" s="33"/>
      <c r="AP20" s="33"/>
      <c r="AQ20" s="33"/>
      <c r="AR20" s="33"/>
      <c r="AS20" s="33"/>
      <c r="AX20" s="42" t="str">
        <f>'Overview (Design)'!A17</f>
        <v>Number of Units:</v>
      </c>
      <c r="AY20" s="43">
        <f>'Overview (Design)'!G17</f>
        <v>0</v>
      </c>
    </row>
    <row r="21" spans="2:51" x14ac:dyDescent="0.3">
      <c r="B21" s="21" t="s">
        <v>280</v>
      </c>
      <c r="C21" s="21"/>
      <c r="D21" s="21"/>
      <c r="E21" s="21" t="s">
        <v>271</v>
      </c>
      <c r="F21" s="21"/>
      <c r="G21" s="21"/>
      <c r="H21" s="1086"/>
      <c r="I21" s="90"/>
      <c r="J21" s="94" t="s">
        <v>271</v>
      </c>
      <c r="K21" s="94"/>
      <c r="L21" s="1293" t="s">
        <v>282</v>
      </c>
      <c r="M21" s="1290">
        <v>6</v>
      </c>
      <c r="N21" s="95"/>
      <c r="O21" s="1307">
        <f>M21*W21</f>
        <v>0</v>
      </c>
      <c r="P21" s="96" t="b">
        <v>1</v>
      </c>
      <c r="Q21" s="96" t="b">
        <v>1</v>
      </c>
      <c r="R21" s="17" t="b">
        <v>0</v>
      </c>
      <c r="S21" s="17" t="b">
        <v>1</v>
      </c>
      <c r="T21" s="17" t="b">
        <v>0</v>
      </c>
      <c r="U21" s="17"/>
      <c r="W21" s="25"/>
      <c r="X21" s="1303"/>
      <c r="AL21" s="1059" t="str">
        <f>SUBSTITUTE(SUBSTITUTE(SUBSTITUTE("dpa"&amp;$B21&amp;$C21&amp;$D21&amp;$E21&amp;$F21,".","_"),"(","_"),")","")</f>
        <v>dpa501_2_1</v>
      </c>
      <c r="AM21" s="33">
        <f>M21</f>
        <v>6</v>
      </c>
      <c r="AN21" s="1059" t="str">
        <f>SUBSTITUTE(SUBSTITUTE(SUBSTITUTE("dpc"&amp;$B21&amp;$C21&amp;$D21&amp;$E21&amp;$F21,".","_"),"(","_"),")","")</f>
        <v>dpc501_2_1</v>
      </c>
      <c r="AO21" s="33">
        <f>O21</f>
        <v>0</v>
      </c>
      <c r="AP21" s="1059" t="str">
        <f>SUBSTITUTE(SUBSTITUTE(SUBSTITUTE("dch"&amp;$B21&amp;$C21&amp;$D21&amp;$E21&amp;$F21,".","_"),"(","_"),")","")</f>
        <v>dch501_2_1</v>
      </c>
      <c r="AQ21" s="33">
        <f>W21</f>
        <v>0</v>
      </c>
      <c r="AR21" s="1059" t="str">
        <f>SUBSTITUTE(SUBSTITUTE(SUBSTITUTE("dnt"&amp;$B21&amp;$C21&amp;$D21&amp;$E21&amp;$F21,".","_"),"(","_"),")","")</f>
        <v>dnt501_2_1</v>
      </c>
      <c r="AS21" s="33">
        <f>X21</f>
        <v>0</v>
      </c>
      <c r="AX21" s="42" t="str">
        <f>'Overview (Design)'!A18</f>
        <v>Project Name:</v>
      </c>
      <c r="AY21" s="43">
        <f>'Overview (Design)'!G18</f>
        <v>0</v>
      </c>
    </row>
    <row r="22" spans="2:51" x14ac:dyDescent="0.3">
      <c r="B22" s="21" t="s">
        <v>280</v>
      </c>
      <c r="C22" s="21"/>
      <c r="D22" s="21"/>
      <c r="E22" s="21" t="s">
        <v>271</v>
      </c>
      <c r="F22" s="21"/>
      <c r="G22" s="21"/>
      <c r="H22" s="1086"/>
      <c r="I22" s="90"/>
      <c r="J22" s="192"/>
      <c r="K22" s="192"/>
      <c r="L22" s="1294"/>
      <c r="M22" s="1291"/>
      <c r="N22" s="194"/>
      <c r="O22" s="1314"/>
      <c r="P22" s="310"/>
      <c r="Q22" s="310"/>
      <c r="R22" s="17"/>
      <c r="S22" s="17"/>
      <c r="T22" s="17"/>
      <c r="U22" s="17"/>
      <c r="W22"/>
      <c r="X22" s="1303"/>
      <c r="AL22" s="33"/>
      <c r="AM22" s="33"/>
      <c r="AN22" s="33"/>
      <c r="AO22" s="33"/>
      <c r="AP22" s="33"/>
      <c r="AQ22" s="33"/>
      <c r="AR22" s="33"/>
      <c r="AS22" s="33"/>
      <c r="AX22" s="42"/>
      <c r="AY22" s="43"/>
    </row>
    <row r="23" spans="2:51" x14ac:dyDescent="0.3">
      <c r="B23" s="21" t="s">
        <v>280</v>
      </c>
      <c r="C23" s="21"/>
      <c r="D23" s="21"/>
      <c r="E23" s="21" t="s">
        <v>273</v>
      </c>
      <c r="F23" s="21"/>
      <c r="G23" s="21"/>
      <c r="H23" s="1086"/>
      <c r="I23" s="90"/>
      <c r="J23" s="94" t="s">
        <v>273</v>
      </c>
      <c r="K23" s="94"/>
      <c r="L23" s="1305" t="s">
        <v>283</v>
      </c>
      <c r="M23" s="1290">
        <v>3</v>
      </c>
      <c r="N23" s="95"/>
      <c r="O23" s="1307">
        <f>M23*W23</f>
        <v>0</v>
      </c>
      <c r="P23" s="96" t="b">
        <v>1</v>
      </c>
      <c r="Q23" s="96" t="b">
        <v>1</v>
      </c>
      <c r="R23" s="17" t="b">
        <v>0</v>
      </c>
      <c r="S23" s="17" t="b">
        <v>1</v>
      </c>
      <c r="T23" s="17" t="b">
        <v>0</v>
      </c>
      <c r="U23" s="17"/>
      <c r="W23" s="25"/>
      <c r="X23" s="1303"/>
      <c r="AL23" s="1059" t="str">
        <f>SUBSTITUTE(SUBSTITUTE(SUBSTITUTE("dpa"&amp;$B23&amp;$C23&amp;$D23&amp;$E23&amp;$F23,".","_"),"(","_"),")","")</f>
        <v>dpa501_2_2</v>
      </c>
      <c r="AM23" s="33">
        <f>M23</f>
        <v>3</v>
      </c>
      <c r="AN23" s="1059" t="str">
        <f>SUBSTITUTE(SUBSTITUTE(SUBSTITUTE("dpc"&amp;$B23&amp;$C23&amp;$D23&amp;$E23&amp;$F23,".","_"),"(","_"),")","")</f>
        <v>dpc501_2_2</v>
      </c>
      <c r="AO23" s="33">
        <f>O23</f>
        <v>0</v>
      </c>
      <c r="AP23" s="1059" t="str">
        <f>SUBSTITUTE(SUBSTITUTE(SUBSTITUTE("dch"&amp;$B23&amp;$C23&amp;$D23&amp;$E23&amp;$F23,".","_"),"(","_"),")","")</f>
        <v>dch501_2_2</v>
      </c>
      <c r="AQ23" s="33">
        <f>W23</f>
        <v>0</v>
      </c>
      <c r="AR23" s="1059" t="str">
        <f>SUBSTITUTE(SUBSTITUTE(SUBSTITUTE("dnt"&amp;$B23&amp;$C23&amp;$D23&amp;$E23&amp;$F23,".","_"),"(","_"),")","")</f>
        <v>dnt501_2_2</v>
      </c>
      <c r="AS23" s="33">
        <f>X23</f>
        <v>0</v>
      </c>
      <c r="AX23" s="42" t="str">
        <f>'Overview (Design)'!A20</f>
        <v>Above grade plane finished floor area:</v>
      </c>
      <c r="AY23" s="43">
        <f>'Overview (Design)'!G20</f>
        <v>2650</v>
      </c>
    </row>
    <row r="24" spans="2:51" x14ac:dyDescent="0.3">
      <c r="B24" s="21" t="s">
        <v>280</v>
      </c>
      <c r="C24" s="21"/>
      <c r="D24" s="21"/>
      <c r="E24" s="21" t="s">
        <v>273</v>
      </c>
      <c r="F24" s="21"/>
      <c r="G24" s="21"/>
      <c r="H24" s="1086"/>
      <c r="I24" s="90"/>
      <c r="J24" s="192"/>
      <c r="K24" s="192"/>
      <c r="L24" s="1306"/>
      <c r="M24" s="1291"/>
      <c r="N24" s="194"/>
      <c r="O24" s="1314"/>
      <c r="P24" s="310"/>
      <c r="Q24" s="310"/>
      <c r="R24" s="17"/>
      <c r="S24" s="17"/>
      <c r="T24" s="17"/>
      <c r="U24" s="17"/>
      <c r="W24"/>
      <c r="X24" s="1303"/>
      <c r="AL24" s="33"/>
      <c r="AM24" s="33"/>
      <c r="AN24" s="33"/>
      <c r="AO24" s="33"/>
      <c r="AP24" s="33"/>
      <c r="AQ24" s="33"/>
      <c r="AR24" s="33"/>
      <c r="AS24" s="33"/>
      <c r="AX24" s="42" t="str">
        <f>'Overview (Design)'!A21</f>
        <v>Total conditioned floor area:</v>
      </c>
      <c r="AY24" s="43">
        <f>'Overview (Design)'!G21</f>
        <v>2650</v>
      </c>
    </row>
    <row r="25" spans="2:51" x14ac:dyDescent="0.3">
      <c r="B25" s="21" t="s">
        <v>280</v>
      </c>
      <c r="C25" s="21"/>
      <c r="D25" s="21"/>
      <c r="E25" s="21" t="s">
        <v>275</v>
      </c>
      <c r="F25" s="21"/>
      <c r="G25" s="21"/>
      <c r="H25" s="1086"/>
      <c r="I25" s="90"/>
      <c r="J25" s="94" t="s">
        <v>275</v>
      </c>
      <c r="K25" s="94"/>
      <c r="L25" s="1293" t="s">
        <v>284</v>
      </c>
      <c r="M25" s="1290">
        <v>5</v>
      </c>
      <c r="N25" s="95"/>
      <c r="O25" s="1307">
        <f>M25*W25</f>
        <v>0</v>
      </c>
      <c r="P25" s="96" t="b">
        <v>1</v>
      </c>
      <c r="Q25" s="96" t="b">
        <v>1</v>
      </c>
      <c r="R25" s="17" t="b">
        <v>0</v>
      </c>
      <c r="S25" s="17" t="b">
        <v>1</v>
      </c>
      <c r="T25" s="17" t="b">
        <v>0</v>
      </c>
      <c r="U25" s="17"/>
      <c r="W25" s="25"/>
      <c r="X25" s="1303"/>
      <c r="AL25" s="1059" t="str">
        <f>SUBSTITUTE(SUBSTITUTE(SUBSTITUTE("dpa"&amp;$B25&amp;$C25&amp;$D25&amp;$E25&amp;$F25,".","_"),"(","_"),")","")</f>
        <v>dpa501_2_3</v>
      </c>
      <c r="AM25" s="33">
        <f>M25</f>
        <v>5</v>
      </c>
      <c r="AN25" s="1059" t="str">
        <f>SUBSTITUTE(SUBSTITUTE(SUBSTITUTE("dpc"&amp;$B25&amp;$C25&amp;$D25&amp;$E25&amp;$F25,".","_"),"(","_"),")","")</f>
        <v>dpc501_2_3</v>
      </c>
      <c r="AO25" s="33">
        <f>O25</f>
        <v>0</v>
      </c>
      <c r="AP25" s="1059" t="str">
        <f>SUBSTITUTE(SUBSTITUTE(SUBSTITUTE("dch"&amp;$B25&amp;$C25&amp;$D25&amp;$E25&amp;$F25,".","_"),"(","_"),")","")</f>
        <v>dch501_2_3</v>
      </c>
      <c r="AQ25" s="33">
        <f>W25</f>
        <v>0</v>
      </c>
      <c r="AR25" s="1059" t="str">
        <f>SUBSTITUTE(SUBSTITUTE(SUBSTITUTE("dnt"&amp;$B25&amp;$C25&amp;$D25&amp;$E25&amp;$F25,".","_"),"(","_"),")","")</f>
        <v>dnt501_2_3</v>
      </c>
      <c r="AS25" s="33">
        <f>X25</f>
        <v>0</v>
      </c>
      <c r="AX25" s="535" t="str">
        <f>'Overview (Design)'!A22</f>
        <v>Stories above grade:</v>
      </c>
      <c r="AY25" s="536">
        <f>'Overview (Design)'!G22</f>
        <v>2</v>
      </c>
    </row>
    <row r="26" spans="2:51" x14ac:dyDescent="0.3">
      <c r="B26" s="21" t="s">
        <v>280</v>
      </c>
      <c r="C26" s="21"/>
      <c r="D26" s="21"/>
      <c r="E26" s="21" t="s">
        <v>275</v>
      </c>
      <c r="F26" s="21"/>
      <c r="G26" s="21"/>
      <c r="H26" s="1086"/>
      <c r="I26" s="90"/>
      <c r="J26" s="192"/>
      <c r="K26" s="192"/>
      <c r="L26" s="1294"/>
      <c r="M26" s="1291"/>
      <c r="N26" s="194"/>
      <c r="O26" s="1314"/>
      <c r="P26" s="310"/>
      <c r="Q26" s="310"/>
      <c r="R26" s="17"/>
      <c r="S26" s="17"/>
      <c r="T26" s="17"/>
      <c r="U26" s="17"/>
      <c r="W26"/>
      <c r="X26" s="1303"/>
      <c r="AL26" s="33"/>
      <c r="AM26" s="33"/>
      <c r="AN26" s="33"/>
      <c r="AO26" s="33"/>
      <c r="AP26" s="33"/>
      <c r="AQ26" s="33"/>
      <c r="AR26" s="33"/>
      <c r="AS26" s="33"/>
      <c r="AX26" s="42"/>
      <c r="AY26" s="43"/>
    </row>
    <row r="27" spans="2:51" x14ac:dyDescent="0.3">
      <c r="B27" s="21" t="s">
        <v>280</v>
      </c>
      <c r="C27" s="21"/>
      <c r="D27" s="21"/>
      <c r="E27" s="21" t="s">
        <v>285</v>
      </c>
      <c r="F27" s="21"/>
      <c r="G27" s="21"/>
      <c r="H27" s="1086"/>
      <c r="I27" s="90"/>
      <c r="J27" s="94" t="s">
        <v>285</v>
      </c>
      <c r="K27" s="94"/>
      <c r="L27" s="1305" t="s">
        <v>286</v>
      </c>
      <c r="M27" s="1290">
        <v>4</v>
      </c>
      <c r="N27" s="95"/>
      <c r="O27" s="1307">
        <f>M27*W27</f>
        <v>0</v>
      </c>
      <c r="P27" s="96" t="b">
        <v>1</v>
      </c>
      <c r="Q27" s="96" t="b">
        <v>1</v>
      </c>
      <c r="R27" s="17" t="b">
        <v>0</v>
      </c>
      <c r="S27" s="17" t="b">
        <v>1</v>
      </c>
      <c r="T27" s="17" t="b">
        <v>0</v>
      </c>
      <c r="U27" s="17"/>
      <c r="W27" s="25"/>
      <c r="X27" s="1303"/>
      <c r="AC27" s="17" t="b">
        <f>OR(AD27:AE27)</f>
        <v>0</v>
      </c>
      <c r="AD27" s="17" t="b">
        <v>0</v>
      </c>
      <c r="AE27" s="17" t="b">
        <f>AND(W27=TRUE,LEN(X27)=0)</f>
        <v>0</v>
      </c>
      <c r="AL27" s="1059" t="str">
        <f>SUBSTITUTE(SUBSTITUTE(SUBSTITUTE("dpa"&amp;$B27&amp;$C27&amp;$D27&amp;$E27&amp;$F27,".","_"),"(","_"),")","")</f>
        <v>dpa501_2_4</v>
      </c>
      <c r="AM27" s="33">
        <f>M27</f>
        <v>4</v>
      </c>
      <c r="AN27" s="1059" t="str">
        <f>SUBSTITUTE(SUBSTITUTE(SUBSTITUTE("dpc"&amp;$B27&amp;$C27&amp;$D27&amp;$E27&amp;$F27,".","_"),"(","_"),")","")</f>
        <v>dpc501_2_4</v>
      </c>
      <c r="AO27" s="33">
        <f>O27</f>
        <v>0</v>
      </c>
      <c r="AP27" s="1059" t="str">
        <f>SUBSTITUTE(SUBSTITUTE(SUBSTITUTE("dch"&amp;$B27&amp;$C27&amp;$D27&amp;$E27&amp;$F27,".","_"),"(","_"),")","")</f>
        <v>dch501_2_4</v>
      </c>
      <c r="AQ27" s="33">
        <f>W27</f>
        <v>0</v>
      </c>
      <c r="AR27" s="1059" t="str">
        <f>SUBSTITUTE(SUBSTITUTE(SUBSTITUTE("dnt"&amp;$B27&amp;$C27&amp;$D27&amp;$E27&amp;$F27,".","_"),"(","_"),")","")</f>
        <v>dnt501_2_4</v>
      </c>
      <c r="AS27" s="33">
        <f>X27</f>
        <v>0</v>
      </c>
      <c r="AX27" s="42" t="str">
        <f>'Overview (Design)'!A24</f>
        <v xml:space="preserve">Project Description (optional): </v>
      </c>
      <c r="AY27" s="43">
        <f>'Overview (Design)'!G24</f>
        <v>0</v>
      </c>
    </row>
    <row r="28" spans="2:51" x14ac:dyDescent="0.3">
      <c r="B28" s="21" t="s">
        <v>280</v>
      </c>
      <c r="C28" s="21"/>
      <c r="D28" s="21"/>
      <c r="E28" s="21" t="s">
        <v>285</v>
      </c>
      <c r="F28" s="21"/>
      <c r="G28" s="21"/>
      <c r="H28" s="1086"/>
      <c r="I28" s="90"/>
      <c r="J28" s="94"/>
      <c r="K28" s="94"/>
      <c r="L28" s="1305"/>
      <c r="M28" s="1290"/>
      <c r="N28" s="95"/>
      <c r="O28" s="1307"/>
      <c r="P28" s="310"/>
      <c r="Q28" s="310"/>
      <c r="R28" s="17"/>
      <c r="S28" s="17"/>
      <c r="T28" s="17"/>
      <c r="U28" s="17"/>
      <c r="W28"/>
      <c r="X28" s="1303"/>
      <c r="AL28" s="33"/>
      <c r="AM28" s="33"/>
      <c r="AN28" s="33"/>
      <c r="AO28" s="33"/>
      <c r="AP28" s="33"/>
      <c r="AQ28" s="33"/>
      <c r="AR28" s="33"/>
      <c r="AS28" s="33"/>
    </row>
    <row r="29" spans="2:51" x14ac:dyDescent="0.3">
      <c r="B29" s="21" t="s">
        <v>280</v>
      </c>
      <c r="C29" s="21"/>
      <c r="D29" s="21"/>
      <c r="E29" s="21" t="s">
        <v>285</v>
      </c>
      <c r="F29" s="21"/>
      <c r="G29" s="21"/>
      <c r="H29" s="1086"/>
      <c r="I29" s="90"/>
      <c r="J29" s="94"/>
      <c r="K29" s="94"/>
      <c r="L29" s="1305"/>
      <c r="M29" s="1290"/>
      <c r="N29" s="95"/>
      <c r="O29" s="1307"/>
      <c r="P29" s="310"/>
      <c r="Q29" s="310"/>
      <c r="R29" s="17"/>
      <c r="S29" s="17"/>
      <c r="T29" s="17"/>
      <c r="U29" s="17"/>
      <c r="W29"/>
      <c r="X29" s="1303"/>
      <c r="AL29" s="33"/>
      <c r="AM29" s="33"/>
      <c r="AN29" s="33"/>
      <c r="AO29" s="33"/>
      <c r="AP29" s="33"/>
      <c r="AQ29" s="33"/>
      <c r="AR29" s="33"/>
      <c r="AS29" s="33"/>
      <c r="AX29" s="42" t="str">
        <f>'Overview (Design)'!A26</f>
        <v>HERS Index (if available):</v>
      </c>
      <c r="AY29" s="43">
        <f>'Overview (Design)'!G26</f>
        <v>0</v>
      </c>
    </row>
    <row r="30" spans="2:51" x14ac:dyDescent="0.3">
      <c r="B30" s="21" t="s">
        <v>280</v>
      </c>
      <c r="C30" s="21"/>
      <c r="D30" s="21"/>
      <c r="E30" s="21" t="s">
        <v>285</v>
      </c>
      <c r="F30" s="21"/>
      <c r="G30" s="21"/>
      <c r="H30" s="1086"/>
      <c r="I30" s="90"/>
      <c r="J30" s="94"/>
      <c r="K30" s="94"/>
      <c r="L30" s="1305"/>
      <c r="M30" s="1290"/>
      <c r="N30" s="95"/>
      <c r="O30" s="1307"/>
      <c r="P30" s="310"/>
      <c r="Q30" s="310"/>
      <c r="R30" s="17"/>
      <c r="S30" s="17"/>
      <c r="T30" s="17"/>
      <c r="U30" s="17"/>
      <c r="W30"/>
      <c r="X30" s="1303"/>
      <c r="AL30" s="33"/>
      <c r="AM30" s="33"/>
      <c r="AN30" s="33"/>
      <c r="AO30" s="33"/>
      <c r="AP30" s="33"/>
      <c r="AQ30" s="33"/>
      <c r="AR30" s="33"/>
      <c r="AS30" s="33"/>
      <c r="AX30" s="42" t="str">
        <f>'Overview (Design)'!A27</f>
        <v>Foundation Type:</v>
      </c>
      <c r="AY30" s="43" t="str">
        <f>'Overview (Design)'!G27</f>
        <v>Conditioned crawlspace</v>
      </c>
    </row>
    <row r="31" spans="2:51" x14ac:dyDescent="0.3">
      <c r="B31" s="21" t="s">
        <v>280</v>
      </c>
      <c r="C31" s="21"/>
      <c r="D31" s="21"/>
      <c r="E31" s="21" t="s">
        <v>285</v>
      </c>
      <c r="F31" s="21"/>
      <c r="G31" s="21"/>
      <c r="H31" s="1086"/>
      <c r="I31" s="90"/>
      <c r="J31" s="94"/>
      <c r="K31" s="94"/>
      <c r="L31" s="98" t="s">
        <v>287</v>
      </c>
      <c r="M31" s="1290"/>
      <c r="N31" s="95"/>
      <c r="O31" s="1307"/>
      <c r="P31" s="310"/>
      <c r="Q31" s="310"/>
      <c r="R31" s="17"/>
      <c r="S31" s="17"/>
      <c r="T31" s="17"/>
      <c r="U31" s="17"/>
      <c r="W31"/>
      <c r="X31" s="1303"/>
      <c r="AL31" s="33"/>
      <c r="AM31" s="33"/>
      <c r="AN31" s="33"/>
      <c r="AO31" s="33"/>
      <c r="AP31" s="33"/>
      <c r="AQ31" s="33"/>
      <c r="AR31" s="33"/>
      <c r="AS31" s="33"/>
      <c r="AX31" s="535"/>
      <c r="AY31" s="536"/>
    </row>
    <row r="32" spans="2:51" x14ac:dyDescent="0.3">
      <c r="B32" s="21" t="s">
        <v>280</v>
      </c>
      <c r="C32" s="21"/>
      <c r="D32" s="21"/>
      <c r="E32" s="21" t="s">
        <v>285</v>
      </c>
      <c r="F32" s="21"/>
      <c r="G32" s="21"/>
      <c r="H32" s="1086"/>
      <c r="I32" s="90"/>
      <c r="J32" s="94"/>
      <c r="K32" s="94"/>
      <c r="L32" s="98" t="s">
        <v>288</v>
      </c>
      <c r="M32" s="1290"/>
      <c r="N32" s="95"/>
      <c r="O32" s="1307"/>
      <c r="P32" s="310"/>
      <c r="Q32" s="310"/>
      <c r="R32" s="17"/>
      <c r="S32" s="17"/>
      <c r="T32" s="17"/>
      <c r="U32" s="17"/>
      <c r="W32"/>
      <c r="X32" s="1303"/>
      <c r="AL32" s="33"/>
      <c r="AM32" s="33"/>
      <c r="AN32" s="33"/>
      <c r="AO32" s="33"/>
      <c r="AP32" s="33"/>
      <c r="AQ32" s="33"/>
      <c r="AR32" s="33"/>
      <c r="AS32" s="33"/>
      <c r="AX32" s="42" t="str">
        <f>'Overview (Design)'!A29</f>
        <v>Type of Heating System (main system):</v>
      </c>
      <c r="AY32" s="43" t="str">
        <f>'Overview (Design)'!G29</f>
        <v>Furnace</v>
      </c>
    </row>
    <row r="33" spans="1:60" x14ac:dyDescent="0.3">
      <c r="B33" s="21" t="s">
        <v>280</v>
      </c>
      <c r="C33" s="21"/>
      <c r="D33" s="21"/>
      <c r="E33" s="21" t="s">
        <v>285</v>
      </c>
      <c r="F33" s="21"/>
      <c r="G33" s="21"/>
      <c r="H33" s="1086"/>
      <c r="I33" s="90"/>
      <c r="J33" s="94"/>
      <c r="K33" s="94"/>
      <c r="L33" s="98" t="s">
        <v>289</v>
      </c>
      <c r="M33" s="1290"/>
      <c r="N33" s="95"/>
      <c r="O33" s="1307"/>
      <c r="P33" s="310"/>
      <c r="Q33" s="310"/>
      <c r="R33" s="17"/>
      <c r="S33" s="17"/>
      <c r="T33" s="17"/>
      <c r="U33" s="17"/>
      <c r="W33"/>
      <c r="X33" s="1303"/>
      <c r="AL33" s="33"/>
      <c r="AM33" s="33"/>
      <c r="AN33" s="33"/>
      <c r="AO33" s="33"/>
      <c r="AP33" s="33"/>
      <c r="AQ33" s="33"/>
      <c r="AR33" s="33"/>
      <c r="AS33" s="33"/>
      <c r="AX33" s="42" t="str">
        <f>'Overview (Design)'!A30</f>
        <v>Type of Heating System (system 2):</v>
      </c>
      <c r="AY33" s="43">
        <f>'Overview (Design)'!G30</f>
        <v>0</v>
      </c>
    </row>
    <row r="34" spans="1:60" x14ac:dyDescent="0.3">
      <c r="B34" s="21" t="s">
        <v>280</v>
      </c>
      <c r="C34" s="21"/>
      <c r="D34" s="21"/>
      <c r="E34" s="21" t="s">
        <v>285</v>
      </c>
      <c r="F34" s="21"/>
      <c r="G34" s="21"/>
      <c r="H34" s="1086"/>
      <c r="I34" s="90"/>
      <c r="J34" s="94"/>
      <c r="K34" s="94"/>
      <c r="L34" s="98" t="s">
        <v>290</v>
      </c>
      <c r="M34" s="1290"/>
      <c r="N34" s="95"/>
      <c r="O34" s="1307"/>
      <c r="P34" s="310"/>
      <c r="Q34" s="310"/>
      <c r="R34" s="17"/>
      <c r="S34" s="17"/>
      <c r="T34" s="17"/>
      <c r="U34" s="17"/>
      <c r="W34"/>
      <c r="X34" s="1303"/>
      <c r="AL34" s="33"/>
      <c r="AM34" s="33"/>
      <c r="AN34" s="33"/>
      <c r="AO34" s="33"/>
      <c r="AP34" s="33"/>
      <c r="AQ34" s="33"/>
      <c r="AR34" s="33"/>
      <c r="AS34" s="33"/>
      <c r="AT34" s="17"/>
      <c r="AU34" s="17"/>
      <c r="AV34" s="17"/>
      <c r="AX34" s="42" t="str">
        <f>'Overview (Design)'!A31</f>
        <v>Type of Heating System (system 3):</v>
      </c>
      <c r="AY34" s="43">
        <f>'Overview (Design)'!G31</f>
        <v>0</v>
      </c>
      <c r="AZ34" s="17"/>
      <c r="BA34" s="17"/>
      <c r="BB34" s="17"/>
      <c r="BC34" s="17"/>
      <c r="BD34" s="17"/>
      <c r="BE34" s="17"/>
      <c r="BF34" s="17"/>
      <c r="BG34" s="17"/>
      <c r="BH34" s="17"/>
    </row>
    <row r="35" spans="1:60" s="17" customFormat="1" x14ac:dyDescent="0.3">
      <c r="A35" s="18"/>
      <c r="B35" s="21" t="s">
        <v>280</v>
      </c>
      <c r="C35" s="21"/>
      <c r="D35" s="21"/>
      <c r="E35" s="21" t="s">
        <v>285</v>
      </c>
      <c r="F35" s="21"/>
      <c r="G35" s="21"/>
      <c r="H35" s="1086"/>
      <c r="I35" s="90"/>
      <c r="J35" s="192"/>
      <c r="K35" s="192"/>
      <c r="L35" s="198" t="s">
        <v>304</v>
      </c>
      <c r="M35" s="1291"/>
      <c r="N35" s="194"/>
      <c r="O35" s="1314"/>
      <c r="P35" s="310"/>
      <c r="Q35" s="310"/>
      <c r="X35" s="1303"/>
      <c r="Y35" s="1107"/>
      <c r="Z35"/>
      <c r="AA35" s="1110"/>
      <c r="AB35" s="43"/>
      <c r="AL35" s="33"/>
      <c r="AM35" s="33"/>
      <c r="AN35" s="33"/>
      <c r="AO35" s="33"/>
      <c r="AP35" s="33"/>
      <c r="AQ35" s="33"/>
      <c r="AR35" s="33"/>
      <c r="AS35" s="33"/>
      <c r="AT35"/>
      <c r="AU35"/>
      <c r="AV35"/>
      <c r="AX35" s="42" t="str">
        <f>'Overview (Design)'!A32</f>
        <v>Heating Fuel:</v>
      </c>
      <c r="AY35" s="43">
        <f>'Overview (Design)'!G32</f>
        <v>0</v>
      </c>
      <c r="AZ35"/>
      <c r="BA35"/>
      <c r="BB35"/>
      <c r="BC35"/>
      <c r="BD35"/>
      <c r="BE35"/>
      <c r="BF35"/>
      <c r="BG35"/>
      <c r="BH35"/>
    </row>
    <row r="36" spans="1:60" x14ac:dyDescent="0.3">
      <c r="B36" s="21" t="s">
        <v>280</v>
      </c>
      <c r="C36" s="21"/>
      <c r="D36" s="21"/>
      <c r="E36" s="21" t="s">
        <v>291</v>
      </c>
      <c r="F36" s="21"/>
      <c r="G36" s="21"/>
      <c r="H36" s="1086"/>
      <c r="I36" s="90"/>
      <c r="J36" s="94" t="s">
        <v>291</v>
      </c>
      <c r="K36" s="94"/>
      <c r="L36" s="1305" t="s">
        <v>292</v>
      </c>
      <c r="M36" s="1290">
        <v>5</v>
      </c>
      <c r="N36" s="95"/>
      <c r="O36" s="1307">
        <f>M36*W36</f>
        <v>0</v>
      </c>
      <c r="P36" s="96" t="b">
        <v>1</v>
      </c>
      <c r="Q36" s="96" t="b">
        <v>1</v>
      </c>
      <c r="R36" s="17" t="b">
        <v>0</v>
      </c>
      <c r="S36" s="17" t="b">
        <v>1</v>
      </c>
      <c r="T36" s="17" t="b">
        <v>0</v>
      </c>
      <c r="U36" s="17"/>
      <c r="W36" s="25"/>
      <c r="X36" s="1303"/>
      <c r="AL36" s="1059" t="str">
        <f>SUBSTITUTE(SUBSTITUTE(SUBSTITUTE("dpa"&amp;$B36&amp;$C36&amp;$D36&amp;$E36&amp;$F36,".","_"),"(","_"),")","")</f>
        <v>dpa501_2_5</v>
      </c>
      <c r="AM36" s="33">
        <f>M36</f>
        <v>5</v>
      </c>
      <c r="AN36" s="1059" t="str">
        <f>SUBSTITUTE(SUBSTITUTE(SUBSTITUTE("dpc"&amp;$B36&amp;$C36&amp;$D36&amp;$E36&amp;$F36,".","_"),"(","_"),")","")</f>
        <v>dpc501_2_5</v>
      </c>
      <c r="AO36" s="33">
        <f>O36</f>
        <v>0</v>
      </c>
      <c r="AP36" s="1059" t="str">
        <f>SUBSTITUTE(SUBSTITUTE(SUBSTITUTE("dch"&amp;$B36&amp;$C36&amp;$D36&amp;$E36&amp;$F36,".","_"),"(","_"),")","")</f>
        <v>dch501_2_5</v>
      </c>
      <c r="AQ36" s="33">
        <f>W36</f>
        <v>0</v>
      </c>
      <c r="AR36" s="1059" t="str">
        <f>SUBSTITUTE(SUBSTITUTE(SUBSTITUTE("dnt"&amp;$B36&amp;$C36&amp;$D36&amp;$E36&amp;$F36,".","_"),"(","_"),")","")</f>
        <v>dnt501_2_5</v>
      </c>
      <c r="AS36" s="33">
        <f>X36</f>
        <v>0</v>
      </c>
      <c r="AX36" s="535" t="str">
        <f>'Overview (Design)'!A33</f>
        <v>Heating Ducts:</v>
      </c>
      <c r="AY36" s="536" t="str">
        <f>'Overview (Design)'!G33</f>
        <v>Ducted</v>
      </c>
    </row>
    <row r="37" spans="1:60" x14ac:dyDescent="0.3">
      <c r="B37" s="21" t="s">
        <v>280</v>
      </c>
      <c r="C37" s="21"/>
      <c r="D37" s="21"/>
      <c r="E37" s="21" t="s">
        <v>291</v>
      </c>
      <c r="F37" s="21"/>
      <c r="G37" s="21"/>
      <c r="H37" s="1086"/>
      <c r="I37" s="90"/>
      <c r="J37" s="94"/>
      <c r="K37" s="94"/>
      <c r="L37" s="1305"/>
      <c r="M37" s="1290"/>
      <c r="N37" s="95"/>
      <c r="O37" s="1307"/>
      <c r="P37" s="310"/>
      <c r="Q37" s="310"/>
      <c r="R37" s="17"/>
      <c r="S37" s="17"/>
      <c r="T37" s="17"/>
      <c r="U37" s="17"/>
      <c r="W37"/>
      <c r="X37" s="1303"/>
      <c r="AL37" s="33"/>
      <c r="AM37" s="33"/>
      <c r="AN37" s="33"/>
      <c r="AO37" s="33"/>
      <c r="AP37" s="33"/>
      <c r="AQ37" s="33"/>
      <c r="AR37" s="33"/>
      <c r="AS37" s="33"/>
      <c r="AX37" s="535" t="str">
        <f>'Overview (Design)'!A34</f>
        <v>Type of Cooling System (main system):</v>
      </c>
      <c r="AY37" s="536" t="str">
        <f>'Overview (Design)'!G34</f>
        <v>Electric Air Conditiner</v>
      </c>
    </row>
    <row r="38" spans="1:60" x14ac:dyDescent="0.3">
      <c r="B38" s="21" t="s">
        <v>280</v>
      </c>
      <c r="C38" s="21"/>
      <c r="D38" s="21"/>
      <c r="E38" s="21" t="s">
        <v>291</v>
      </c>
      <c r="F38" s="21"/>
      <c r="G38" s="21"/>
      <c r="H38" s="1086"/>
      <c r="I38" s="90"/>
      <c r="J38" s="192"/>
      <c r="K38" s="192"/>
      <c r="L38" s="1306"/>
      <c r="M38" s="1291"/>
      <c r="N38" s="194"/>
      <c r="O38" s="1314"/>
      <c r="P38" s="310"/>
      <c r="Q38" s="310"/>
      <c r="R38" s="17"/>
      <c r="S38" s="17"/>
      <c r="T38" s="17"/>
      <c r="U38" s="17"/>
      <c r="W38"/>
      <c r="X38" s="1303"/>
      <c r="AL38" s="33"/>
      <c r="AM38" s="33"/>
      <c r="AN38" s="33"/>
      <c r="AO38" s="33"/>
      <c r="AP38" s="33"/>
      <c r="AQ38" s="33"/>
      <c r="AR38" s="33"/>
      <c r="AS38" s="33"/>
      <c r="AX38" s="535" t="str">
        <f>'Overview (Design)'!A35</f>
        <v>Type of Cooling System (system 2):</v>
      </c>
      <c r="AY38" s="536">
        <f>'Overview (Design)'!G35</f>
        <v>0</v>
      </c>
    </row>
    <row r="39" spans="1:60" x14ac:dyDescent="0.3">
      <c r="B39" s="21" t="s">
        <v>280</v>
      </c>
      <c r="C39" s="21"/>
      <c r="D39" s="21"/>
      <c r="E39" s="21" t="s">
        <v>293</v>
      </c>
      <c r="F39" s="21"/>
      <c r="G39" s="21"/>
      <c r="H39" s="1086"/>
      <c r="I39" s="90"/>
      <c r="J39" s="90" t="s">
        <v>293</v>
      </c>
      <c r="K39" s="90"/>
      <c r="L39" s="1329" t="s">
        <v>294</v>
      </c>
      <c r="M39" s="1289"/>
      <c r="N39" s="44"/>
      <c r="O39" s="1333">
        <f ca="1">IFERROR(INDEX({2,4,6},MATCH(W39,INDIRECT(U39),0)),0)*S39</f>
        <v>0</v>
      </c>
      <c r="P39" s="96" t="b">
        <v>1</v>
      </c>
      <c r="Q39" s="96" t="b">
        <v>1</v>
      </c>
      <c r="R39" s="17" t="b">
        <v>0</v>
      </c>
      <c r="S39" s="147" t="b">
        <f ca="1">IF($AY$19=INDEX(INDIRECT("ddSingleOrMulti"),2),TRUE,FALSE)</f>
        <v>0</v>
      </c>
      <c r="T39" s="97" t="b">
        <f ca="1">AND(NOT(S39),LEN(W39)&gt;0)</f>
        <v>0</v>
      </c>
      <c r="U39" s="17" t="str">
        <f>SUBSTITUTE(SUBSTITUTE(SUBSTITUTE("dd"&amp;$B39&amp;$C39&amp;$D39&amp;$E39&amp;$F39,".","_"),"(","_"),")","")</f>
        <v>dd501_2_6</v>
      </c>
      <c r="W39" s="12"/>
      <c r="X39" s="1303"/>
      <c r="AC39" s="147" t="b">
        <f ca="1">OR(AD39:AE39)</f>
        <v>0</v>
      </c>
      <c r="AD39" s="147" t="b">
        <f ca="1">T39</f>
        <v>0</v>
      </c>
      <c r="AL39" s="33"/>
      <c r="AM39" s="33"/>
      <c r="AN39" s="1059" t="str">
        <f>SUBSTITUTE(SUBSTITUTE(SUBSTITUTE("dpc"&amp;$B39&amp;$C39&amp;$D39&amp;$E39&amp;$F39,".","_"),"(","_"),")","")</f>
        <v>dpc501_2_6</v>
      </c>
      <c r="AO39" s="33">
        <f ca="1">O39</f>
        <v>0</v>
      </c>
      <c r="AP39" s="1059" t="str">
        <f>SUBSTITUTE(SUBSTITUTE(SUBSTITUTE("dch"&amp;$B39&amp;$C39&amp;$D39&amp;$E39&amp;$F39,".","_"),"(","_"),")","")</f>
        <v>dch501_2_6</v>
      </c>
      <c r="AQ39" s="33">
        <f>W39</f>
        <v>0</v>
      </c>
      <c r="AR39" s="1059" t="str">
        <f>SUBSTITUTE(SUBSTITUTE(SUBSTITUTE("dnt"&amp;$B39&amp;$C39&amp;$D39&amp;$E39&amp;$F39,".","_"),"(","_"),")","")</f>
        <v>dnt501_2_6</v>
      </c>
      <c r="AS39" s="33">
        <f>X39</f>
        <v>0</v>
      </c>
      <c r="AX39" s="535" t="str">
        <f>'Overview (Design)'!A36</f>
        <v>Type of Cooling System (system 3):</v>
      </c>
      <c r="AY39" s="536">
        <f>'Overview (Design)'!G36</f>
        <v>0</v>
      </c>
    </row>
    <row r="40" spans="1:60" x14ac:dyDescent="0.3">
      <c r="B40" s="21" t="s">
        <v>280</v>
      </c>
      <c r="C40" s="21"/>
      <c r="D40" s="21"/>
      <c r="E40" s="21" t="s">
        <v>293</v>
      </c>
      <c r="F40" s="21"/>
      <c r="G40" s="21"/>
      <c r="H40" s="1086"/>
      <c r="I40" s="90"/>
      <c r="J40" s="90"/>
      <c r="K40" s="90"/>
      <c r="L40" s="1329"/>
      <c r="M40" s="1289"/>
      <c r="N40" s="44"/>
      <c r="O40" s="1333"/>
      <c r="P40" s="310"/>
      <c r="Q40" s="310"/>
      <c r="R40" s="17"/>
      <c r="S40" s="17"/>
      <c r="T40" s="17"/>
      <c r="U40" s="17"/>
      <c r="W40"/>
      <c r="X40" s="1303"/>
      <c r="AL40" s="33"/>
      <c r="AM40" s="33"/>
      <c r="AN40" s="33"/>
      <c r="AO40" s="33"/>
      <c r="AP40" s="33"/>
      <c r="AQ40" s="33"/>
      <c r="AR40" s="33"/>
      <c r="AS40" s="33"/>
      <c r="AX40" s="535" t="str">
        <f>'Overview (Design)'!A37</f>
        <v>Cooling Ducts:</v>
      </c>
      <c r="AY40" s="536" t="str">
        <f>'Overview (Design)'!G37</f>
        <v>Ducted</v>
      </c>
    </row>
    <row r="41" spans="1:60" x14ac:dyDescent="0.3">
      <c r="B41" s="21" t="s">
        <v>280</v>
      </c>
      <c r="C41" s="21"/>
      <c r="D41" s="21"/>
      <c r="E41" s="21" t="s">
        <v>293</v>
      </c>
      <c r="F41" s="21" t="s">
        <v>121</v>
      </c>
      <c r="G41" s="21"/>
      <c r="H41" s="1086"/>
      <c r="I41" s="90"/>
      <c r="J41" s="90"/>
      <c r="K41" s="90" t="s">
        <v>121</v>
      </c>
      <c r="L41" s="86" t="s">
        <v>295</v>
      </c>
      <c r="M41" s="589">
        <v>2</v>
      </c>
      <c r="N41" s="44"/>
      <c r="O41" s="154"/>
      <c r="P41" s="440"/>
      <c r="Q41" s="440"/>
      <c r="R41" s="17"/>
      <c r="S41" s="17"/>
      <c r="T41" s="17"/>
      <c r="U41" s="17"/>
      <c r="W41"/>
      <c r="X41" s="1303"/>
      <c r="AL41" s="1059" t="str">
        <f t="shared" ref="AL41:AL43" si="2">SUBSTITUTE(SUBSTITUTE(SUBSTITUTE("dpa"&amp;$B41&amp;$C41&amp;$D41&amp;$E41&amp;$F41,".","_"),"(","_"),")","")</f>
        <v>dpa501_2_6_a</v>
      </c>
      <c r="AM41" s="33">
        <f>M41</f>
        <v>2</v>
      </c>
      <c r="AN41" s="33"/>
      <c r="AO41" s="33"/>
      <c r="AP41" s="33"/>
      <c r="AQ41" s="33"/>
      <c r="AR41" s="33"/>
      <c r="AS41" s="33"/>
      <c r="AX41" s="535"/>
      <c r="AY41" s="536"/>
    </row>
    <row r="42" spans="1:60" x14ac:dyDescent="0.3">
      <c r="B42" s="21" t="s">
        <v>280</v>
      </c>
      <c r="C42" s="21"/>
      <c r="D42" s="21"/>
      <c r="E42" s="21" t="s">
        <v>293</v>
      </c>
      <c r="F42" s="21" t="s">
        <v>122</v>
      </c>
      <c r="G42" s="21"/>
      <c r="H42" s="1086"/>
      <c r="I42" s="90"/>
      <c r="J42" s="90"/>
      <c r="K42" s="90" t="s">
        <v>122</v>
      </c>
      <c r="L42" s="86" t="s">
        <v>296</v>
      </c>
      <c r="M42" s="589">
        <v>4</v>
      </c>
      <c r="N42" s="44"/>
      <c r="O42" s="154"/>
      <c r="P42" s="440"/>
      <c r="Q42" s="440"/>
      <c r="R42" s="17"/>
      <c r="S42" s="17"/>
      <c r="T42" s="17"/>
      <c r="U42" s="17"/>
      <c r="W42"/>
      <c r="X42" s="1303"/>
      <c r="AL42" s="1059" t="str">
        <f t="shared" si="2"/>
        <v>dpa501_2_6_b</v>
      </c>
      <c r="AM42" s="33">
        <f>M42</f>
        <v>4</v>
      </c>
      <c r="AN42" s="33"/>
      <c r="AO42" s="33"/>
      <c r="AP42" s="33"/>
      <c r="AQ42" s="33"/>
      <c r="AR42" s="33"/>
      <c r="AS42" s="33"/>
      <c r="AX42" s="535" t="str">
        <f>'Overview (Design)'!A39</f>
        <v>Maximum window and door SHGC:</v>
      </c>
      <c r="AY42" s="536">
        <f>'Overview (Design)'!G39</f>
        <v>0.22</v>
      </c>
    </row>
    <row r="43" spans="1:60" x14ac:dyDescent="0.3">
      <c r="B43" s="21" t="s">
        <v>280</v>
      </c>
      <c r="C43" s="21"/>
      <c r="D43" s="21"/>
      <c r="E43" s="21" t="s">
        <v>293</v>
      </c>
      <c r="F43" s="26" t="s">
        <v>123</v>
      </c>
      <c r="G43" s="26"/>
      <c r="H43" s="1086"/>
      <c r="I43" s="90"/>
      <c r="J43" s="90"/>
      <c r="K43" s="92" t="s">
        <v>123</v>
      </c>
      <c r="L43" s="86" t="s">
        <v>297</v>
      </c>
      <c r="M43" s="589">
        <v>6</v>
      </c>
      <c r="N43" s="44"/>
      <c r="O43" s="154"/>
      <c r="P43" s="440"/>
      <c r="Q43" s="440"/>
      <c r="R43" s="17"/>
      <c r="S43" s="17"/>
      <c r="T43" s="17"/>
      <c r="U43" s="17"/>
      <c r="W43"/>
      <c r="X43" s="1303"/>
      <c r="AL43" s="1059" t="str">
        <f t="shared" si="2"/>
        <v>dpa501_2_6_c</v>
      </c>
      <c r="AM43" s="33">
        <f>M43</f>
        <v>6</v>
      </c>
      <c r="AN43" s="33"/>
      <c r="AO43" s="33"/>
      <c r="AP43" s="33"/>
      <c r="AQ43" s="33"/>
      <c r="AR43" s="33"/>
      <c r="AS43" s="33"/>
      <c r="AX43" s="535" t="str">
        <f>'Overview (Design)'!A40</f>
        <v>Maximum skylight SHGC:</v>
      </c>
      <c r="AY43" s="536">
        <f>'Overview (Design)'!G40</f>
        <v>0</v>
      </c>
    </row>
    <row r="44" spans="1:60" ht="18" x14ac:dyDescent="0.35">
      <c r="B44" s="21" t="s">
        <v>535</v>
      </c>
      <c r="C44" s="21"/>
      <c r="D44" s="21"/>
      <c r="E44" s="21"/>
      <c r="F44" s="21"/>
      <c r="G44" s="21"/>
      <c r="H44" s="1086"/>
      <c r="I44" s="72" t="s">
        <v>389</v>
      </c>
      <c r="J44" s="72"/>
      <c r="K44" s="72"/>
      <c r="L44" s="72"/>
      <c r="M44" s="484"/>
      <c r="N44" s="23"/>
      <c r="O44" s="594"/>
      <c r="P44" s="23"/>
      <c r="Q44" s="23"/>
      <c r="R44" s="23"/>
      <c r="S44" s="23"/>
      <c r="T44" s="23"/>
      <c r="U44" s="23"/>
      <c r="V44" s="23"/>
      <c r="W44" s="23"/>
      <c r="X44" s="23"/>
      <c r="AX44" s="535" t="str">
        <f>'Overview (Design)'!A41</f>
        <v>Maximum window and door U-value:</v>
      </c>
      <c r="AY44" s="536">
        <f>'Overview (Design)'!G41</f>
        <v>0.32</v>
      </c>
    </row>
    <row r="45" spans="1:60" x14ac:dyDescent="0.3">
      <c r="B45" s="21" t="s">
        <v>390</v>
      </c>
      <c r="C45" s="21"/>
      <c r="D45" s="21"/>
      <c r="E45" s="21"/>
      <c r="F45" s="21"/>
      <c r="G45" s="21"/>
      <c r="H45" s="1086"/>
      <c r="I45" s="67">
        <v>502.1</v>
      </c>
      <c r="J45" s="93"/>
      <c r="K45" s="93"/>
      <c r="L45" s="1292" t="s">
        <v>391</v>
      </c>
      <c r="M45" s="1335">
        <v>4</v>
      </c>
      <c r="O45" s="1310">
        <f>M45*W45</f>
        <v>4</v>
      </c>
      <c r="P45" s="440" t="b">
        <v>1</v>
      </c>
      <c r="Q45" s="440" t="b">
        <v>1</v>
      </c>
      <c r="R45" s="65" t="b">
        <v>0</v>
      </c>
      <c r="S45" s="65" t="b">
        <v>1</v>
      </c>
      <c r="T45" s="65" t="b">
        <v>0</v>
      </c>
      <c r="W45" s="25" t="b">
        <v>1</v>
      </c>
      <c r="X45" s="1303"/>
      <c r="AL45" s="1059" t="str">
        <f>SUBSTITUTE(SUBSTITUTE(SUBSTITUTE("dpa"&amp;$B45&amp;$C45&amp;$D45&amp;$E45&amp;$F45,".","_"),"(","_"),")","")</f>
        <v>dpa502_1</v>
      </c>
      <c r="AM45" s="75">
        <f>M45</f>
        <v>4</v>
      </c>
      <c r="AN45" s="1059" t="str">
        <f>SUBSTITUTE(SUBSTITUTE(SUBSTITUTE("dpc"&amp;$B45&amp;$C45&amp;$D45&amp;$E45&amp;$F45,".","_"),"(","_"),")","")</f>
        <v>dpc502_1</v>
      </c>
      <c r="AO45" s="75">
        <f>O45</f>
        <v>4</v>
      </c>
      <c r="AP45" s="1059" t="str">
        <f>SUBSTITUTE(SUBSTITUTE(SUBSTITUTE("dch"&amp;$B45&amp;$C45&amp;$D45&amp;$E45&amp;$F45,".","_"),"(","_"),")","")</f>
        <v>dch502_1</v>
      </c>
      <c r="AQ45" s="75" t="b">
        <f>W45</f>
        <v>1</v>
      </c>
      <c r="AR45" s="1059" t="str">
        <f>SUBSTITUTE(SUBSTITUTE(SUBSTITUTE("dnt"&amp;$B45&amp;$C45&amp;$D45&amp;$E45&amp;$F45,".","_"),"(","_"),")","")</f>
        <v>dnt502_1</v>
      </c>
      <c r="AS45" s="75">
        <f>X45</f>
        <v>0</v>
      </c>
      <c r="AX45" s="535" t="str">
        <f>'Overview (Design)'!A42</f>
        <v>Maximum skylight U-value:</v>
      </c>
      <c r="AY45" s="536">
        <f>'Overview (Design)'!G42</f>
        <v>0</v>
      </c>
    </row>
    <row r="46" spans="1:60" x14ac:dyDescent="0.3">
      <c r="B46" s="21" t="s">
        <v>390</v>
      </c>
      <c r="C46" s="21"/>
      <c r="D46" s="21"/>
      <c r="E46" s="21"/>
      <c r="F46" s="21"/>
      <c r="G46" s="21"/>
      <c r="H46" s="1086"/>
      <c r="I46" s="93"/>
      <c r="J46" s="93"/>
      <c r="K46" s="93"/>
      <c r="L46" s="1292"/>
      <c r="M46" s="1335"/>
      <c r="O46" s="1310"/>
      <c r="P46" s="440"/>
      <c r="Q46" s="440"/>
      <c r="X46" s="1303"/>
      <c r="AX46" s="42" t="str">
        <f>'Overview (Design)'!A43</f>
        <v>Renewable Energy:</v>
      </c>
      <c r="AY46" s="43">
        <f>'Overview (Design)'!G43</f>
        <v>0</v>
      </c>
    </row>
    <row r="47" spans="1:60" x14ac:dyDescent="0.3">
      <c r="B47" s="21" t="s">
        <v>390</v>
      </c>
      <c r="C47" s="21"/>
      <c r="D47" s="21"/>
      <c r="E47" s="21"/>
      <c r="F47" s="21"/>
      <c r="G47" s="21"/>
      <c r="H47" s="1086"/>
      <c r="I47" s="93"/>
      <c r="J47" s="93"/>
      <c r="K47" s="93"/>
      <c r="L47" s="1292"/>
      <c r="M47" s="1335"/>
      <c r="O47" s="1310"/>
      <c r="P47" s="440"/>
      <c r="Q47" s="440"/>
      <c r="X47" s="1303"/>
      <c r="AX47" s="42" t="str">
        <f>'Overview (Design)'!A44</f>
        <v>Thermal Envelope Insulation:</v>
      </c>
      <c r="AY47" s="43">
        <f>'Overview (Design)'!G44</f>
        <v>0</v>
      </c>
    </row>
    <row r="48" spans="1:60" x14ac:dyDescent="0.3">
      <c r="B48" s="21" t="s">
        <v>390</v>
      </c>
      <c r="C48" s="21"/>
      <c r="D48" s="21"/>
      <c r="E48" s="21"/>
      <c r="F48" s="21"/>
      <c r="G48" s="21"/>
      <c r="H48" s="1086"/>
      <c r="I48" s="93"/>
      <c r="J48" s="93"/>
      <c r="K48" s="93"/>
      <c r="L48" s="1292"/>
      <c r="M48" s="1335"/>
      <c r="O48" s="1310"/>
      <c r="P48" s="440"/>
      <c r="Q48" s="440"/>
      <c r="X48" s="1303"/>
      <c r="AX48" s="42" t="str">
        <f>'Overview (Design)'!A45</f>
        <v>Attic Type:</v>
      </c>
      <c r="AY48" s="43" t="str">
        <f>'Overview (Design)'!G45</f>
        <v>Vented</v>
      </c>
    </row>
    <row r="49" spans="2:51" ht="18" x14ac:dyDescent="0.35">
      <c r="B49" s="21" t="s">
        <v>392</v>
      </c>
      <c r="C49" s="21"/>
      <c r="D49" s="21"/>
      <c r="E49" s="21"/>
      <c r="F49" s="21"/>
      <c r="G49" s="21"/>
      <c r="H49" s="1086"/>
      <c r="I49" s="72" t="s">
        <v>393</v>
      </c>
      <c r="J49" s="91"/>
      <c r="K49" s="91"/>
      <c r="L49" s="87"/>
      <c r="M49" s="484"/>
      <c r="N49" s="23"/>
      <c r="O49" s="594"/>
      <c r="P49" s="23"/>
      <c r="Q49" s="23"/>
      <c r="R49" s="23"/>
      <c r="S49" s="23"/>
      <c r="T49" s="23"/>
      <c r="U49" s="23"/>
      <c r="V49" s="23"/>
      <c r="W49" s="23"/>
      <c r="X49" s="23"/>
      <c r="AU49" s="43"/>
      <c r="AV49" s="43"/>
      <c r="AX49" s="42" t="str">
        <f>'Overview (Design)'!A46</f>
        <v>Attached Garage:</v>
      </c>
      <c r="AY49" s="43" t="str">
        <f>'Overview (Design)'!G46</f>
        <v>Yes</v>
      </c>
    </row>
    <row r="50" spans="2:51" x14ac:dyDescent="0.3">
      <c r="B50" s="21" t="s">
        <v>394</v>
      </c>
      <c r="C50" s="21"/>
      <c r="D50" s="21"/>
      <c r="E50" s="21"/>
      <c r="F50" s="21"/>
      <c r="G50" s="21"/>
      <c r="H50" s="1086"/>
      <c r="I50" s="926" t="s">
        <v>394</v>
      </c>
      <c r="J50" s="107"/>
      <c r="K50" s="107"/>
      <c r="L50" s="1313" t="s">
        <v>395</v>
      </c>
      <c r="M50" s="518"/>
      <c r="N50" s="97"/>
      <c r="O50" s="269"/>
      <c r="P50" s="97"/>
      <c r="Q50" s="97"/>
      <c r="R50" s="97"/>
      <c r="S50" s="97"/>
      <c r="T50" s="97"/>
      <c r="U50" s="97"/>
      <c r="V50" s="97"/>
      <c r="W50" s="97"/>
      <c r="X50" s="1295"/>
      <c r="AR50" s="1059" t="str">
        <f>SUBSTITUTE(SUBSTITUTE(SUBSTITUTE("dnt"&amp;$B50&amp;$C50&amp;$D50&amp;$E50&amp;$F50,".","_"),"(","_"),")","")</f>
        <v>dnt503_0</v>
      </c>
      <c r="AS50" s="75">
        <f>X50</f>
        <v>0</v>
      </c>
      <c r="AU50" s="43"/>
      <c r="AV50" s="43"/>
      <c r="AX50" s="42" t="str">
        <f>'Overview (Design)'!A47</f>
        <v>Recessed Lighting:</v>
      </c>
      <c r="AY50" s="43">
        <f>'Overview (Design)'!G47</f>
        <v>0</v>
      </c>
    </row>
    <row r="51" spans="2:51" x14ac:dyDescent="0.3">
      <c r="B51" s="21" t="s">
        <v>394</v>
      </c>
      <c r="C51" s="21"/>
      <c r="D51" s="21"/>
      <c r="E51" s="21"/>
      <c r="F51" s="21"/>
      <c r="G51" s="21"/>
      <c r="H51" s="1086"/>
      <c r="I51" s="107"/>
      <c r="J51" s="107"/>
      <c r="K51" s="107"/>
      <c r="L51" s="1313"/>
      <c r="M51" s="518"/>
      <c r="N51" s="97"/>
      <c r="O51" s="269"/>
      <c r="P51" s="97"/>
      <c r="Q51" s="97"/>
      <c r="R51" s="97"/>
      <c r="S51" s="97"/>
      <c r="T51" s="97"/>
      <c r="U51" s="97"/>
      <c r="V51" s="97"/>
      <c r="W51" s="97"/>
      <c r="X51" s="1295"/>
      <c r="AU51" s="43"/>
      <c r="AV51" s="43"/>
      <c r="AX51" s="42"/>
      <c r="AY51" s="43"/>
    </row>
    <row r="52" spans="2:51" x14ac:dyDescent="0.3">
      <c r="B52" s="21" t="s">
        <v>394</v>
      </c>
      <c r="C52" s="21"/>
      <c r="D52" s="21"/>
      <c r="E52" s="21"/>
      <c r="F52" s="21"/>
      <c r="G52" s="21"/>
      <c r="H52" s="1086"/>
      <c r="I52" s="107"/>
      <c r="J52" s="107"/>
      <c r="K52" s="107"/>
      <c r="L52" s="1313"/>
      <c r="M52" s="518"/>
      <c r="N52" s="97"/>
      <c r="O52" s="269"/>
      <c r="P52" s="97"/>
      <c r="Q52" s="97"/>
      <c r="R52" s="97"/>
      <c r="S52" s="97"/>
      <c r="T52" s="97"/>
      <c r="U52" s="97"/>
      <c r="V52" s="97"/>
      <c r="W52" s="97"/>
      <c r="X52" s="1295"/>
      <c r="AU52" s="43"/>
      <c r="AV52" s="43"/>
      <c r="AX52" s="42" t="str">
        <f>'Overview (Design)'!A49</f>
        <v>Special Design Features:</v>
      </c>
      <c r="AY52" s="43">
        <f>'Overview (Design)'!G49</f>
        <v>0</v>
      </c>
    </row>
    <row r="53" spans="2:51" x14ac:dyDescent="0.3">
      <c r="B53" s="21" t="s">
        <v>394</v>
      </c>
      <c r="C53" s="21"/>
      <c r="D53" s="21"/>
      <c r="E53" s="21"/>
      <c r="F53" s="21"/>
      <c r="G53" s="21"/>
      <c r="H53" s="1086"/>
      <c r="I53" s="107"/>
      <c r="J53" s="107"/>
      <c r="K53" s="107"/>
      <c r="L53" s="1313"/>
      <c r="M53" s="518"/>
      <c r="N53" s="97"/>
      <c r="O53" s="269"/>
      <c r="P53" s="97"/>
      <c r="Q53" s="97"/>
      <c r="R53" s="97"/>
      <c r="S53" s="97"/>
      <c r="T53" s="97"/>
      <c r="U53" s="97"/>
      <c r="V53" s="97"/>
      <c r="W53" s="97"/>
      <c r="X53" s="1295"/>
      <c r="AU53" s="43"/>
      <c r="AV53" s="43"/>
      <c r="AX53" s="42" t="str">
        <f>'Overview (Design)'!A50</f>
        <v>Passive Solar:</v>
      </c>
      <c r="AY53" s="43" t="str">
        <f>'Overview (Design)'!G50</f>
        <v>No</v>
      </c>
    </row>
    <row r="54" spans="2:51" ht="15" thickBot="1" x14ac:dyDescent="0.35">
      <c r="B54" s="21" t="s">
        <v>394</v>
      </c>
      <c r="C54" s="21"/>
      <c r="D54" s="21"/>
      <c r="E54" s="21"/>
      <c r="F54" s="21"/>
      <c r="G54" s="21"/>
      <c r="H54" s="1086"/>
      <c r="I54" s="108"/>
      <c r="J54" s="108"/>
      <c r="K54" s="108"/>
      <c r="L54" s="109" t="s">
        <v>396</v>
      </c>
      <c r="M54" s="523"/>
      <c r="N54" s="104"/>
      <c r="O54" s="271"/>
      <c r="P54" s="104"/>
      <c r="Q54" s="104"/>
      <c r="R54" s="104"/>
      <c r="S54" s="104"/>
      <c r="T54" s="104"/>
      <c r="U54" s="104"/>
      <c r="V54" s="104"/>
      <c r="W54" s="104"/>
      <c r="X54" s="1296"/>
      <c r="AU54" s="43"/>
      <c r="AV54" s="43"/>
      <c r="AX54" s="42" t="str">
        <f>'Overview (Design)'!A51</f>
        <v>Mass Walls:</v>
      </c>
      <c r="AY54" s="43" t="str">
        <f>'Overview (Design)'!G51</f>
        <v>No</v>
      </c>
    </row>
    <row r="55" spans="2:51" ht="15.75" customHeight="1" thickTop="1" x14ac:dyDescent="0.3">
      <c r="B55" s="21" t="s">
        <v>397</v>
      </c>
      <c r="C55" s="21"/>
      <c r="D55" s="21"/>
      <c r="E55" s="21"/>
      <c r="F55" s="21"/>
      <c r="G55" s="21"/>
      <c r="H55" s="1086"/>
      <c r="I55" s="152">
        <v>503.1</v>
      </c>
      <c r="J55" s="331"/>
      <c r="K55" s="331"/>
      <c r="L55" s="331" t="s">
        <v>398</v>
      </c>
      <c r="M55" s="517"/>
      <c r="N55" s="110"/>
      <c r="O55" s="596"/>
      <c r="P55" s="110"/>
      <c r="Q55" s="110"/>
      <c r="R55" s="110"/>
      <c r="S55" s="110"/>
      <c r="T55" s="110"/>
      <c r="U55" s="110"/>
      <c r="V55" s="110"/>
      <c r="W55" s="110"/>
      <c r="X55" s="1327"/>
      <c r="AR55" s="1059" t="str">
        <f>SUBSTITUTE(SUBSTITUTE(SUBSTITUTE("dnt"&amp;$B55&amp;$C55&amp;$D55&amp;$E55&amp;$F55,".","_"),"(","_"),")","")</f>
        <v>dnt503_1</v>
      </c>
      <c r="AS55" s="75">
        <f>X55</f>
        <v>0</v>
      </c>
      <c r="AU55" s="43"/>
      <c r="AV55" s="43"/>
      <c r="AX55" s="42" t="str">
        <f>'Overview (Design)'!A52</f>
        <v>Ductless:</v>
      </c>
      <c r="AY55" s="43" t="str">
        <f>'Overview (Design)'!G52</f>
        <v>No</v>
      </c>
    </row>
    <row r="56" spans="2:51" x14ac:dyDescent="0.3">
      <c r="B56" s="21" t="s">
        <v>397</v>
      </c>
      <c r="C56" s="21"/>
      <c r="D56" s="21"/>
      <c r="E56" s="21" t="s">
        <v>271</v>
      </c>
      <c r="F56" s="21"/>
      <c r="G56" s="21"/>
      <c r="H56" s="1086"/>
      <c r="I56" s="107"/>
      <c r="J56" s="192" t="s">
        <v>271</v>
      </c>
      <c r="K56" s="195"/>
      <c r="L56" s="193" t="s">
        <v>399</v>
      </c>
      <c r="M56" s="520">
        <v>5</v>
      </c>
      <c r="N56" s="196"/>
      <c r="O56" s="597">
        <f>M56*W56</f>
        <v>0</v>
      </c>
      <c r="P56" s="440" t="b">
        <v>1</v>
      </c>
      <c r="Q56" s="440" t="b">
        <v>0</v>
      </c>
      <c r="R56" s="97" t="b">
        <v>0</v>
      </c>
      <c r="S56" s="97" t="b">
        <v>1</v>
      </c>
      <c r="T56" s="97" t="b">
        <v>0</v>
      </c>
      <c r="U56" s="97"/>
      <c r="V56" s="97"/>
      <c r="W56" s="25"/>
      <c r="X56" s="1295"/>
      <c r="AL56" s="1059" t="str">
        <f t="shared" ref="AL56:AL57" si="3">SUBSTITUTE(SUBSTITUTE(SUBSTITUTE("dpa"&amp;$B56&amp;$C56&amp;$D56&amp;$E56&amp;$F56,".","_"),"(","_"),")","")</f>
        <v>dpa503_1_1</v>
      </c>
      <c r="AM56" s="75">
        <f>M56</f>
        <v>5</v>
      </c>
      <c r="AN56" s="1059" t="str">
        <f>SUBSTITUTE(SUBSTITUTE(SUBSTITUTE("dpc"&amp;$B56&amp;$C56&amp;$D56&amp;$E56&amp;$F56,".","_"),"(","_"),")","")</f>
        <v>dpc503_1_1</v>
      </c>
      <c r="AO56" s="75">
        <f>O56</f>
        <v>0</v>
      </c>
      <c r="AP56" s="1059" t="str">
        <f t="shared" ref="AP56:AP57" si="4">SUBSTITUTE(SUBSTITUTE(SUBSTITUTE("dch"&amp;$B56&amp;$C56&amp;$D56&amp;$E56&amp;$F56,".","_"),"(","_"),")","")</f>
        <v>dch503_1_1</v>
      </c>
      <c r="AQ56" s="75">
        <f>W56</f>
        <v>0</v>
      </c>
      <c r="AR56" s="75"/>
      <c r="AS56" s="75"/>
      <c r="AU56" s="43"/>
      <c r="AV56" s="43"/>
      <c r="AX56" s="42" t="str">
        <f>'Overview (Design)'!A53</f>
        <v>Radiant/Hydronic:</v>
      </c>
      <c r="AY56" s="43" t="str">
        <f>'Overview (Design)'!G53</f>
        <v>No</v>
      </c>
    </row>
    <row r="57" spans="2:51" x14ac:dyDescent="0.3">
      <c r="B57" s="21" t="s">
        <v>397</v>
      </c>
      <c r="C57" s="21"/>
      <c r="D57" s="21"/>
      <c r="E57" s="21" t="s">
        <v>273</v>
      </c>
      <c r="F57" s="21"/>
      <c r="G57" s="21"/>
      <c r="H57" s="1086"/>
      <c r="I57" s="107"/>
      <c r="J57" s="94" t="s">
        <v>273</v>
      </c>
      <c r="K57" s="107"/>
      <c r="L57" s="1305" t="s">
        <v>400</v>
      </c>
      <c r="M57" s="1318">
        <v>6</v>
      </c>
      <c r="N57" s="97"/>
      <c r="O57" s="1308">
        <f>M57*S57*W57</f>
        <v>0</v>
      </c>
      <c r="P57" s="440" t="b">
        <v>1</v>
      </c>
      <c r="Q57" s="440" t="b">
        <v>0</v>
      </c>
      <c r="R57" s="97" t="b">
        <v>0</v>
      </c>
      <c r="S57" s="97" t="b">
        <f>IF(W56=TRUE,TRUE,FALSE)</f>
        <v>0</v>
      </c>
      <c r="T57" s="97" t="b">
        <f>AND(NOT(S57),W57=TRUE)</f>
        <v>0</v>
      </c>
      <c r="U57" s="97"/>
      <c r="V57" s="97"/>
      <c r="W57" s="25"/>
      <c r="X57" s="1295"/>
      <c r="AC57" s="79" t="b">
        <f>OR(AD57:AE57)</f>
        <v>0</v>
      </c>
      <c r="AD57" s="73" t="b">
        <f>T57</f>
        <v>0</v>
      </c>
      <c r="AL57" s="1059" t="str">
        <f t="shared" si="3"/>
        <v>dpa503_1_2</v>
      </c>
      <c r="AM57" s="75">
        <f>M57</f>
        <v>6</v>
      </c>
      <c r="AN57" s="1059" t="str">
        <f>SUBSTITUTE(SUBSTITUTE(SUBSTITUTE("dpc"&amp;$B57&amp;$C57&amp;$D57&amp;$E57&amp;$F57,".","_"),"(","_"),")","")</f>
        <v>dpc503_1_2</v>
      </c>
      <c r="AO57" s="75">
        <f>O57</f>
        <v>0</v>
      </c>
      <c r="AP57" s="1059" t="str">
        <f t="shared" si="4"/>
        <v>dch503_1_2</v>
      </c>
      <c r="AQ57" s="75">
        <f>W57</f>
        <v>0</v>
      </c>
      <c r="AR57" s="75"/>
      <c r="AS57" s="75"/>
      <c r="AU57" s="43"/>
      <c r="AV57" s="43"/>
      <c r="AX57" s="42" t="str">
        <f>'Overview (Design)'!A54</f>
        <v>Tankless Water Heater:</v>
      </c>
      <c r="AY57" s="43" t="str">
        <f>'Overview (Design)'!G54</f>
        <v>No</v>
      </c>
    </row>
    <row r="58" spans="2:51" x14ac:dyDescent="0.3">
      <c r="B58" s="21" t="s">
        <v>397</v>
      </c>
      <c r="C58" s="21"/>
      <c r="D58" s="21"/>
      <c r="E58" s="21" t="s">
        <v>273</v>
      </c>
      <c r="F58" s="21"/>
      <c r="G58" s="21"/>
      <c r="H58" s="1086"/>
      <c r="I58" s="107"/>
      <c r="J58" s="192"/>
      <c r="K58" s="195"/>
      <c r="L58" s="1306"/>
      <c r="M58" s="1319"/>
      <c r="N58" s="196"/>
      <c r="O58" s="1309"/>
      <c r="P58" s="97"/>
      <c r="Q58" s="97"/>
      <c r="R58" s="97"/>
      <c r="S58" s="97"/>
      <c r="T58" s="97"/>
      <c r="U58" s="97"/>
      <c r="V58" s="97"/>
      <c r="W58" s="97"/>
      <c r="X58" s="1295"/>
      <c r="AU58" s="43"/>
      <c r="AV58" s="43"/>
      <c r="AX58" s="42" t="str">
        <f>'Overview (Design)'!A55</f>
        <v>Composting Toilet:</v>
      </c>
      <c r="AY58" s="43" t="str">
        <f>'Overview (Design)'!G55</f>
        <v>No</v>
      </c>
    </row>
    <row r="59" spans="2:51" x14ac:dyDescent="0.3">
      <c r="B59" s="21" t="s">
        <v>397</v>
      </c>
      <c r="C59" s="21"/>
      <c r="D59" s="21"/>
      <c r="E59" s="21" t="s">
        <v>275</v>
      </c>
      <c r="F59" s="21"/>
      <c r="G59" s="21"/>
      <c r="H59" s="1086"/>
      <c r="I59" s="107"/>
      <c r="J59" s="94" t="s">
        <v>275</v>
      </c>
      <c r="K59" s="107"/>
      <c r="L59" s="1305" t="s">
        <v>401</v>
      </c>
      <c r="M59" s="1318">
        <v>4</v>
      </c>
      <c r="N59" s="97"/>
      <c r="O59" s="1308">
        <f>M59*S59*W59</f>
        <v>0</v>
      </c>
      <c r="P59" s="440" t="b">
        <v>1</v>
      </c>
      <c r="Q59" s="440" t="b">
        <v>0</v>
      </c>
      <c r="R59" s="97" t="b">
        <v>0</v>
      </c>
      <c r="S59" s="97" t="b">
        <f>IF(AND(W56=TRUE,W57=TRUE),TRUE,FALSE)</f>
        <v>0</v>
      </c>
      <c r="T59" s="97" t="b">
        <f>AND(NOT(S59),W59=TRUE)</f>
        <v>0</v>
      </c>
      <c r="U59" s="97"/>
      <c r="V59" s="97"/>
      <c r="W59" s="25"/>
      <c r="X59" s="1295"/>
      <c r="AC59" s="79" t="b">
        <f>OR(AD59:AE59)</f>
        <v>0</v>
      </c>
      <c r="AD59" s="73" t="b">
        <f>T59</f>
        <v>0</v>
      </c>
      <c r="AL59" s="1059" t="str">
        <f>SUBSTITUTE(SUBSTITUTE(SUBSTITUTE("dpa"&amp;$B59&amp;$C59&amp;$D59&amp;$E59&amp;$F59,".","_"),"(","_"),")","")</f>
        <v>dpa503_1_3</v>
      </c>
      <c r="AM59" s="75">
        <f>M59</f>
        <v>4</v>
      </c>
      <c r="AN59" s="1059" t="str">
        <f>SUBSTITUTE(SUBSTITUTE(SUBSTITUTE("dpc"&amp;$B59&amp;$C59&amp;$D59&amp;$E59&amp;$F59,".","_"),"(","_"),")","")</f>
        <v>dpc503_1_3</v>
      </c>
      <c r="AO59" s="75">
        <f>O59</f>
        <v>0</v>
      </c>
      <c r="AP59" s="1059" t="str">
        <f>SUBSTITUTE(SUBSTITUTE(SUBSTITUTE("dch"&amp;$B59&amp;$C59&amp;$D59&amp;$E59&amp;$F59,".","_"),"(","_"),")","")</f>
        <v>dch503_1_3</v>
      </c>
      <c r="AQ59" s="75">
        <f>W59</f>
        <v>0</v>
      </c>
      <c r="AR59" s="75"/>
      <c r="AS59" s="75"/>
      <c r="AU59" s="43"/>
      <c r="AV59" s="43"/>
      <c r="AX59" s="42"/>
      <c r="AY59" s="43"/>
    </row>
    <row r="60" spans="2:51" x14ac:dyDescent="0.3">
      <c r="B60" s="21" t="s">
        <v>397</v>
      </c>
      <c r="C60" s="21"/>
      <c r="D60" s="21"/>
      <c r="E60" s="21" t="s">
        <v>275</v>
      </c>
      <c r="F60" s="21"/>
      <c r="G60" s="21"/>
      <c r="H60" s="1086"/>
      <c r="I60" s="107"/>
      <c r="J60" s="192"/>
      <c r="K60" s="195"/>
      <c r="L60" s="1306"/>
      <c r="M60" s="1319"/>
      <c r="N60" s="196"/>
      <c r="O60" s="1309"/>
      <c r="P60" s="97"/>
      <c r="Q60" s="97"/>
      <c r="R60" s="97"/>
      <c r="S60" s="97"/>
      <c r="T60" s="97"/>
      <c r="U60" s="97"/>
      <c r="V60" s="97"/>
      <c r="W60" s="97"/>
      <c r="X60" s="1295"/>
      <c r="AU60" s="43"/>
      <c r="AV60" s="43"/>
      <c r="AX60" s="42" t="str">
        <f>'Overview (Design)'!A57</f>
        <v>Local Energy Code:</v>
      </c>
      <c r="AY60" s="43" t="str">
        <f>'Overview (Design)'!G57</f>
        <v>Other</v>
      </c>
    </row>
    <row r="61" spans="2:51" x14ac:dyDescent="0.3">
      <c r="B61" s="21" t="s">
        <v>397</v>
      </c>
      <c r="C61" s="21"/>
      <c r="D61" s="21"/>
      <c r="E61" s="21" t="s">
        <v>285</v>
      </c>
      <c r="F61" s="21"/>
      <c r="G61" s="21"/>
      <c r="H61" s="1086"/>
      <c r="I61" s="107"/>
      <c r="J61" s="192" t="s">
        <v>285</v>
      </c>
      <c r="K61" s="195"/>
      <c r="L61" s="193" t="s">
        <v>402</v>
      </c>
      <c r="M61" s="520">
        <v>4</v>
      </c>
      <c r="N61" s="196"/>
      <c r="O61" s="597">
        <f>M61*W61</f>
        <v>4</v>
      </c>
      <c r="P61" s="440" t="b">
        <v>1</v>
      </c>
      <c r="Q61" s="440" t="b">
        <v>0</v>
      </c>
      <c r="R61" s="97" t="b">
        <v>0</v>
      </c>
      <c r="S61" s="97" t="b">
        <v>1</v>
      </c>
      <c r="T61" s="97" t="b">
        <v>0</v>
      </c>
      <c r="U61" s="97"/>
      <c r="V61" s="97"/>
      <c r="W61" s="25" t="b">
        <v>1</v>
      </c>
      <c r="X61" s="1295"/>
      <c r="AL61" s="1059" t="str">
        <f t="shared" ref="AL61:AL63" si="5">SUBSTITUTE(SUBSTITUTE(SUBSTITUTE("dpa"&amp;$B61&amp;$C61&amp;$D61&amp;$E61&amp;$F61,".","_"),"(","_"),")","")</f>
        <v>dpa503_1_4</v>
      </c>
      <c r="AM61" s="75">
        <f>M61</f>
        <v>4</v>
      </c>
      <c r="AN61" s="1059" t="str">
        <f t="shared" ref="AN61:AN63" si="6">SUBSTITUTE(SUBSTITUTE(SUBSTITUTE("dpc"&amp;$B61&amp;$C61&amp;$D61&amp;$E61&amp;$F61,".","_"),"(","_"),")","")</f>
        <v>dpc503_1_4</v>
      </c>
      <c r="AO61" s="75">
        <f>O61</f>
        <v>4</v>
      </c>
      <c r="AP61" s="1059" t="str">
        <f t="shared" ref="AP61:AP63" si="7">SUBSTITUTE(SUBSTITUTE(SUBSTITUTE("dch"&amp;$B61&amp;$C61&amp;$D61&amp;$E61&amp;$F61,".","_"),"(","_"),")","")</f>
        <v>dch503_1_4</v>
      </c>
      <c r="AQ61" s="75" t="b">
        <f>W61</f>
        <v>1</v>
      </c>
      <c r="AR61" s="75"/>
      <c r="AS61" s="75"/>
      <c r="AU61" s="43"/>
      <c r="AV61" s="43"/>
      <c r="AX61" s="42" t="str">
        <f>'Overview (Design)'!A58</f>
        <v>Local Building Code:</v>
      </c>
      <c r="AY61" s="43" t="str">
        <f>'Overview (Design)'!G58</f>
        <v>Other</v>
      </c>
    </row>
    <row r="62" spans="2:51" x14ac:dyDescent="0.3">
      <c r="B62" s="21" t="s">
        <v>397</v>
      </c>
      <c r="C62" s="21"/>
      <c r="D62" s="21"/>
      <c r="E62" s="21" t="s">
        <v>291</v>
      </c>
      <c r="F62" s="21"/>
      <c r="G62" s="21"/>
      <c r="H62" s="1086"/>
      <c r="I62" s="107"/>
      <c r="J62" s="192" t="s">
        <v>291</v>
      </c>
      <c r="K62" s="195"/>
      <c r="L62" s="193" t="s">
        <v>403</v>
      </c>
      <c r="M62" s="520">
        <v>3</v>
      </c>
      <c r="N62" s="196"/>
      <c r="O62" s="597">
        <f>M62*W62</f>
        <v>0</v>
      </c>
      <c r="P62" s="440" t="b">
        <v>1</v>
      </c>
      <c r="Q62" s="440" t="b">
        <v>0</v>
      </c>
      <c r="R62" s="97" t="b">
        <v>0</v>
      </c>
      <c r="S62" s="97" t="b">
        <v>1</v>
      </c>
      <c r="T62" s="97" t="b">
        <v>0</v>
      </c>
      <c r="U62" s="97"/>
      <c r="V62" s="97"/>
      <c r="W62" s="25"/>
      <c r="X62" s="1295"/>
      <c r="AL62" s="1059" t="str">
        <f t="shared" si="5"/>
        <v>dpa503_1_5</v>
      </c>
      <c r="AM62" s="75">
        <f>M62</f>
        <v>3</v>
      </c>
      <c r="AN62" s="1059" t="str">
        <f t="shared" si="6"/>
        <v>dpc503_1_5</v>
      </c>
      <c r="AO62" s="75">
        <f>O62</f>
        <v>0</v>
      </c>
      <c r="AP62" s="1059" t="str">
        <f t="shared" si="7"/>
        <v>dch503_1_5</v>
      </c>
      <c r="AQ62" s="75">
        <f>W62</f>
        <v>0</v>
      </c>
      <c r="AR62" s="75"/>
      <c r="AS62" s="75"/>
      <c r="AU62" s="43"/>
      <c r="AV62" s="43"/>
    </row>
    <row r="63" spans="2:51" x14ac:dyDescent="0.3">
      <c r="B63" s="21" t="s">
        <v>397</v>
      </c>
      <c r="C63" s="21"/>
      <c r="D63" s="21"/>
      <c r="E63" s="21" t="s">
        <v>293</v>
      </c>
      <c r="F63" s="21"/>
      <c r="G63" s="21"/>
      <c r="H63" s="1086"/>
      <c r="I63" s="107"/>
      <c r="J63" s="94" t="s">
        <v>293</v>
      </c>
      <c r="K63" s="107"/>
      <c r="L63" s="1305" t="s">
        <v>404</v>
      </c>
      <c r="M63" s="1318">
        <v>4</v>
      </c>
      <c r="N63" s="97"/>
      <c r="O63" s="1308">
        <f>M63*W63</f>
        <v>0</v>
      </c>
      <c r="P63" s="440" t="b">
        <v>1</v>
      </c>
      <c r="Q63" s="440" t="b">
        <v>0</v>
      </c>
      <c r="R63" s="97" t="b">
        <v>0</v>
      </c>
      <c r="S63" s="97" t="b">
        <v>1</v>
      </c>
      <c r="T63" s="97" t="b">
        <v>0</v>
      </c>
      <c r="U63" s="97"/>
      <c r="V63" s="97"/>
      <c r="W63" s="25"/>
      <c r="X63" s="1295"/>
      <c r="AL63" s="1059" t="str">
        <f t="shared" si="5"/>
        <v>dpa503_1_6</v>
      </c>
      <c r="AM63" s="75">
        <f>M63</f>
        <v>4</v>
      </c>
      <c r="AN63" s="1059" t="str">
        <f t="shared" si="6"/>
        <v>dpc503_1_6</v>
      </c>
      <c r="AO63" s="75">
        <f>O63</f>
        <v>0</v>
      </c>
      <c r="AP63" s="1059" t="str">
        <f t="shared" si="7"/>
        <v>dch503_1_6</v>
      </c>
      <c r="AQ63" s="75">
        <f>W63</f>
        <v>0</v>
      </c>
      <c r="AR63" s="75"/>
      <c r="AS63" s="75"/>
      <c r="AU63" s="43"/>
      <c r="AV63" s="43"/>
    </row>
    <row r="64" spans="2:51" x14ac:dyDescent="0.3">
      <c r="B64" s="21" t="s">
        <v>397</v>
      </c>
      <c r="C64" s="21"/>
      <c r="D64" s="21"/>
      <c r="E64" s="21" t="s">
        <v>293</v>
      </c>
      <c r="F64" s="21"/>
      <c r="G64" s="21"/>
      <c r="H64" s="1086"/>
      <c r="I64" s="107"/>
      <c r="J64" s="192"/>
      <c r="K64" s="195"/>
      <c r="L64" s="1306"/>
      <c r="M64" s="1319"/>
      <c r="N64" s="196"/>
      <c r="O64" s="1309"/>
      <c r="P64" s="97"/>
      <c r="Q64" s="97"/>
      <c r="R64" s="97"/>
      <c r="S64" s="97"/>
      <c r="T64" s="97"/>
      <c r="U64" s="97"/>
      <c r="V64" s="97"/>
      <c r="W64" s="97"/>
      <c r="X64" s="1295"/>
      <c r="AU64" s="43"/>
      <c r="AV64" s="43"/>
    </row>
    <row r="65" spans="1:51" x14ac:dyDescent="0.3">
      <c r="B65" s="21" t="s">
        <v>397</v>
      </c>
      <c r="C65" s="21"/>
      <c r="D65" s="21"/>
      <c r="E65" s="21" t="s">
        <v>405</v>
      </c>
      <c r="F65" s="21"/>
      <c r="G65" s="21"/>
      <c r="H65" s="1086"/>
      <c r="I65" s="107"/>
      <c r="J65" s="94" t="s">
        <v>405</v>
      </c>
      <c r="K65" s="107"/>
      <c r="L65" s="1305" t="s">
        <v>406</v>
      </c>
      <c r="M65" s="1318">
        <v>5</v>
      </c>
      <c r="N65" s="97"/>
      <c r="O65" s="1308">
        <f>M65*W65</f>
        <v>0</v>
      </c>
      <c r="P65" s="440" t="b">
        <v>1</v>
      </c>
      <c r="Q65" s="440" t="b">
        <v>0</v>
      </c>
      <c r="R65" s="97" t="b">
        <v>0</v>
      </c>
      <c r="S65" s="97" t="b">
        <v>1</v>
      </c>
      <c r="T65" s="97" t="b">
        <v>0</v>
      </c>
      <c r="U65" s="97"/>
      <c r="V65" s="97"/>
      <c r="W65" s="25"/>
      <c r="X65" s="1295"/>
      <c r="AL65" s="1059" t="str">
        <f>SUBSTITUTE(SUBSTITUTE(SUBSTITUTE("dpa"&amp;$B65&amp;$C65&amp;$D65&amp;$E65&amp;$F65,".","_"),"(","_"),")","")</f>
        <v>dpa503_1_7</v>
      </c>
      <c r="AM65" s="75">
        <f>M65</f>
        <v>5</v>
      </c>
      <c r="AN65" s="1059" t="str">
        <f>SUBSTITUTE(SUBSTITUTE(SUBSTITUTE("dpc"&amp;$B65&amp;$C65&amp;$D65&amp;$E65&amp;$F65,".","_"),"(","_"),")","")</f>
        <v>dpc503_1_7</v>
      </c>
      <c r="AO65" s="75">
        <f>O65</f>
        <v>0</v>
      </c>
      <c r="AP65" s="1059" t="str">
        <f>SUBSTITUTE(SUBSTITUTE(SUBSTITUTE("dch"&amp;$B65&amp;$C65&amp;$D65&amp;$E65&amp;$F65,".","_"),"(","_"),")","")</f>
        <v>dch503_1_7</v>
      </c>
      <c r="AQ65" s="75">
        <f>W65</f>
        <v>0</v>
      </c>
      <c r="AR65" s="75"/>
      <c r="AS65" s="75"/>
      <c r="AU65" s="43"/>
      <c r="AV65" s="43"/>
    </row>
    <row r="66" spans="1:51" ht="15" thickBot="1" x14ac:dyDescent="0.35">
      <c r="B66" s="21" t="s">
        <v>397</v>
      </c>
      <c r="C66" s="21"/>
      <c r="D66" s="21"/>
      <c r="E66" s="21" t="s">
        <v>405</v>
      </c>
      <c r="F66" s="21"/>
      <c r="G66" s="21"/>
      <c r="H66" s="1086"/>
      <c r="I66" s="108"/>
      <c r="J66" s="108"/>
      <c r="K66" s="108"/>
      <c r="L66" s="1330"/>
      <c r="M66" s="1334"/>
      <c r="N66" s="104"/>
      <c r="O66" s="1315"/>
      <c r="P66" s="104"/>
      <c r="Q66" s="104"/>
      <c r="R66" s="104"/>
      <c r="S66" s="104"/>
      <c r="T66" s="104"/>
      <c r="U66" s="104"/>
      <c r="V66" s="104"/>
      <c r="W66" s="104"/>
      <c r="X66" s="1296"/>
      <c r="AU66" s="43"/>
      <c r="AV66" s="43"/>
      <c r="AX66" s="73"/>
      <c r="AY66" s="73"/>
    </row>
    <row r="67" spans="1:51" ht="15" thickTop="1" x14ac:dyDescent="0.3">
      <c r="B67" s="21" t="s">
        <v>407</v>
      </c>
      <c r="C67" s="21"/>
      <c r="D67" s="21"/>
      <c r="E67" s="21"/>
      <c r="F67" s="21"/>
      <c r="G67" s="21"/>
      <c r="H67" s="1086"/>
      <c r="I67" s="111">
        <v>503.2</v>
      </c>
      <c r="J67" s="112"/>
      <c r="K67" s="112"/>
      <c r="L67" s="135" t="s">
        <v>408</v>
      </c>
      <c r="M67" s="517"/>
      <c r="N67" s="110"/>
      <c r="O67" s="596"/>
      <c r="P67" s="110"/>
      <c r="Q67" s="110"/>
      <c r="R67" s="110"/>
      <c r="S67" s="110"/>
      <c r="T67" s="110"/>
      <c r="U67" s="110"/>
      <c r="V67" s="110"/>
      <c r="W67" s="110" t="s">
        <v>810</v>
      </c>
      <c r="X67" s="1327"/>
      <c r="AR67" s="1059" t="str">
        <f>SUBSTITUTE(SUBSTITUTE(SUBSTITUTE("dnt"&amp;$B67&amp;$C67&amp;$D67&amp;$E67&amp;$F67,".","_"),"(","_"),")","")</f>
        <v>dnt503_2</v>
      </c>
      <c r="AS67" s="75">
        <f>X67</f>
        <v>0</v>
      </c>
      <c r="AU67" s="43"/>
      <c r="AV67" s="43"/>
    </row>
    <row r="68" spans="1:51" s="73" customFormat="1" x14ac:dyDescent="0.3">
      <c r="A68" s="18"/>
      <c r="B68" s="21" t="s">
        <v>407</v>
      </c>
      <c r="C68" s="21"/>
      <c r="D68" s="21"/>
      <c r="E68" s="21"/>
      <c r="F68" s="21"/>
      <c r="G68" s="21"/>
      <c r="H68" s="1086"/>
      <c r="I68" s="106"/>
      <c r="J68" s="107"/>
      <c r="K68" s="107"/>
      <c r="L68" s="179" t="s">
        <v>3598</v>
      </c>
      <c r="M68" s="518"/>
      <c r="N68" s="97"/>
      <c r="O68" s="269"/>
      <c r="P68" s="440" t="b">
        <v>1</v>
      </c>
      <c r="Q68" s="440" t="b">
        <v>1</v>
      </c>
      <c r="R68" s="97" t="b">
        <v>1</v>
      </c>
      <c r="S68" s="97" t="b">
        <v>1</v>
      </c>
      <c r="T68" s="97" t="b">
        <v>0</v>
      </c>
      <c r="U68" s="97"/>
      <c r="V68" s="97"/>
      <c r="W68" s="113"/>
      <c r="X68" s="1295"/>
      <c r="Y68" s="1107"/>
      <c r="AA68" s="1110"/>
      <c r="AP68" s="1059" t="str">
        <f t="shared" ref="AP68:AP70" si="8">SUBSTITUTE(SUBSTITUTE(SUBSTITUTE("dch"&amp;$B68&amp;$C68&amp;$D68&amp;$E68&amp;$F68,".","_"),"(","_"),")","")</f>
        <v>dch503_2</v>
      </c>
      <c r="AQ68" s="75">
        <f>W68</f>
        <v>0</v>
      </c>
      <c r="AX68"/>
      <c r="AY68"/>
    </row>
    <row r="69" spans="1:51" x14ac:dyDescent="0.3">
      <c r="B69" s="21" t="s">
        <v>407</v>
      </c>
      <c r="C69" s="21"/>
      <c r="D69" s="21"/>
      <c r="E69" s="21" t="s">
        <v>271</v>
      </c>
      <c r="F69" s="21"/>
      <c r="G69" s="21"/>
      <c r="H69" s="1086"/>
      <c r="I69" s="107"/>
      <c r="J69" s="192" t="s">
        <v>271</v>
      </c>
      <c r="K69" s="195"/>
      <c r="L69" s="193" t="s">
        <v>409</v>
      </c>
      <c r="M69" s="520">
        <v>5</v>
      </c>
      <c r="N69" s="196"/>
      <c r="O69" s="597">
        <f>M69*W69*S69</f>
        <v>0</v>
      </c>
      <c r="P69" s="440" t="b">
        <v>1</v>
      </c>
      <c r="Q69" s="440" t="b">
        <v>1</v>
      </c>
      <c r="R69" s="97" t="b">
        <v>0</v>
      </c>
      <c r="S69" s="97" t="b">
        <f>IF(W68&gt;=0.25,TRUE,FALSE)</f>
        <v>0</v>
      </c>
      <c r="T69" s="97" t="b">
        <f>AND(NOT(S69),W69=TRUE)</f>
        <v>0</v>
      </c>
      <c r="U69" s="97"/>
      <c r="V69" s="97"/>
      <c r="W69" s="25"/>
      <c r="X69" s="1295"/>
      <c r="AC69" s="79" t="b">
        <f>OR(AD69:AE69)</f>
        <v>0</v>
      </c>
      <c r="AD69" s="17" t="b">
        <f>T69</f>
        <v>0</v>
      </c>
      <c r="AL69" s="1059" t="str">
        <f t="shared" ref="AL69:AL70" si="9">SUBSTITUTE(SUBSTITUTE(SUBSTITUTE("dpa"&amp;$B69&amp;$C69&amp;$D69&amp;$E69&amp;$F69,".","_"),"(","_"),")","")</f>
        <v>dpa503_2_1</v>
      </c>
      <c r="AM69" s="75">
        <f>M69</f>
        <v>5</v>
      </c>
      <c r="AN69" s="1059" t="str">
        <f t="shared" ref="AN69:AN70" si="10">SUBSTITUTE(SUBSTITUTE(SUBSTITUTE("dpc"&amp;$B69&amp;$C69&amp;$D69&amp;$E69&amp;$F69,".","_"),"(","_"),")","")</f>
        <v>dpc503_2_1</v>
      </c>
      <c r="AO69" s="75">
        <f>O69</f>
        <v>0</v>
      </c>
      <c r="AP69" s="1059" t="str">
        <f t="shared" si="8"/>
        <v>dch503_2_1</v>
      </c>
      <c r="AQ69" s="75">
        <f>W69</f>
        <v>0</v>
      </c>
      <c r="AR69" s="75"/>
      <c r="AS69" s="75"/>
      <c r="AU69" s="43"/>
      <c r="AV69" s="43"/>
    </row>
    <row r="70" spans="1:51" x14ac:dyDescent="0.3">
      <c r="B70" s="21" t="s">
        <v>407</v>
      </c>
      <c r="C70" s="21"/>
      <c r="D70" s="21"/>
      <c r="E70" s="21" t="s">
        <v>273</v>
      </c>
      <c r="F70" s="21"/>
      <c r="G70" s="21"/>
      <c r="H70" s="1086"/>
      <c r="I70" s="107"/>
      <c r="J70" s="94" t="s">
        <v>273</v>
      </c>
      <c r="K70" s="107"/>
      <c r="L70" s="1305" t="s">
        <v>410</v>
      </c>
      <c r="M70" s="1318">
        <v>5</v>
      </c>
      <c r="N70" s="97"/>
      <c r="O70" s="1308">
        <f>M70*W70*S70</f>
        <v>0</v>
      </c>
      <c r="P70" s="440" t="b">
        <v>1</v>
      </c>
      <c r="Q70" s="440" t="b">
        <v>1</v>
      </c>
      <c r="R70" s="97" t="b">
        <v>0</v>
      </c>
      <c r="S70" s="97" t="b">
        <f>S69</f>
        <v>0</v>
      </c>
      <c r="T70" s="97" t="b">
        <f>AND(NOT(S70),W70=TRUE)</f>
        <v>0</v>
      </c>
      <c r="U70" s="97"/>
      <c r="V70" s="97"/>
      <c r="W70" s="25"/>
      <c r="X70" s="1295"/>
      <c r="AC70" s="79" t="b">
        <f>OR(AD70:AE70)</f>
        <v>0</v>
      </c>
      <c r="AD70" s="73" t="b">
        <f>T70</f>
        <v>0</v>
      </c>
      <c r="AL70" s="1059" t="str">
        <f t="shared" si="9"/>
        <v>dpa503_2_2</v>
      </c>
      <c r="AM70" s="75">
        <f>M70</f>
        <v>5</v>
      </c>
      <c r="AN70" s="1059" t="str">
        <f t="shared" si="10"/>
        <v>dpc503_2_2</v>
      </c>
      <c r="AO70" s="75">
        <f>O70</f>
        <v>0</v>
      </c>
      <c r="AP70" s="1059" t="str">
        <f t="shared" si="8"/>
        <v>dch503_2_2</v>
      </c>
      <c r="AQ70" s="75">
        <f>W70</f>
        <v>0</v>
      </c>
      <c r="AU70" s="43"/>
      <c r="AV70" s="43"/>
    </row>
    <row r="71" spans="1:51" x14ac:dyDescent="0.3">
      <c r="B71" s="21" t="s">
        <v>407</v>
      </c>
      <c r="C71" s="21"/>
      <c r="D71" s="21"/>
      <c r="E71" s="21" t="s">
        <v>273</v>
      </c>
      <c r="F71" s="21"/>
      <c r="G71" s="21"/>
      <c r="H71" s="1086"/>
      <c r="I71" s="107"/>
      <c r="J71" s="195"/>
      <c r="K71" s="195"/>
      <c r="L71" s="1306"/>
      <c r="M71" s="1319"/>
      <c r="N71" s="196"/>
      <c r="O71" s="1309"/>
      <c r="P71" s="97"/>
      <c r="Q71" s="97"/>
      <c r="R71" s="97"/>
      <c r="S71" s="97"/>
      <c r="T71" s="97"/>
      <c r="U71" s="97"/>
      <c r="V71" s="97"/>
      <c r="W71" s="97"/>
      <c r="X71" s="1295"/>
      <c r="AU71" s="43"/>
      <c r="AV71" s="43"/>
    </row>
    <row r="72" spans="1:51" x14ac:dyDescent="0.3">
      <c r="B72" s="21" t="s">
        <v>407</v>
      </c>
      <c r="C72" s="21"/>
      <c r="D72" s="21"/>
      <c r="E72" s="21" t="s">
        <v>275</v>
      </c>
      <c r="F72" s="21"/>
      <c r="G72" s="21"/>
      <c r="H72" s="1086"/>
      <c r="I72" s="107"/>
      <c r="J72" s="94" t="s">
        <v>275</v>
      </c>
      <c r="K72" s="107"/>
      <c r="L72" s="1305" t="s">
        <v>411</v>
      </c>
      <c r="M72" s="518"/>
      <c r="N72" s="97"/>
      <c r="O72" s="1308">
        <f ca="1">S72*IFERROR(INDEX({1,4,6},MATCH(W72,INDIRECT(U72))),0)</f>
        <v>0</v>
      </c>
      <c r="P72" s="440" t="b">
        <v>1</v>
      </c>
      <c r="Q72" s="440" t="b">
        <v>1</v>
      </c>
      <c r="R72" s="97" t="b">
        <v>0</v>
      </c>
      <c r="S72" s="97" t="b">
        <f>S69</f>
        <v>0</v>
      </c>
      <c r="T72" s="97" t="b">
        <f>AND(NOT(S72),LEN(W72)&gt;0)</f>
        <v>0</v>
      </c>
      <c r="U72" s="97" t="str">
        <f>SUBSTITUTE(SUBSTITUTE(SUBSTITUTE("dd"&amp;B72&amp;C72&amp;D72&amp;E72&amp;F72,".","_"),"(","_"),")","")</f>
        <v>dd503_2_3</v>
      </c>
      <c r="V72" s="97"/>
      <c r="W72" s="12"/>
      <c r="X72" s="1295"/>
      <c r="AC72" s="79" t="b">
        <f>OR(AD72:AE72)</f>
        <v>0</v>
      </c>
      <c r="AD72" s="73" t="b">
        <f>T72</f>
        <v>0</v>
      </c>
      <c r="AN72" s="1059" t="str">
        <f>SUBSTITUTE(SUBSTITUTE(SUBSTITUTE("dpc"&amp;$B72&amp;$C72&amp;$D72&amp;$E72&amp;$F72,".","_"),"(","_"),")","")</f>
        <v>dpc503_2_3</v>
      </c>
      <c r="AO72" s="75">
        <f ca="1">O72</f>
        <v>0</v>
      </c>
      <c r="AP72" s="1059" t="str">
        <f>SUBSTITUTE(SUBSTITUTE(SUBSTITUTE("dch"&amp;$B72&amp;$C72&amp;$D72&amp;$E72&amp;$F72,".","_"),"(","_"),")","")</f>
        <v>dch503_2_3</v>
      </c>
      <c r="AQ72" s="75">
        <f>W72</f>
        <v>0</v>
      </c>
      <c r="AU72" s="43"/>
      <c r="AV72" s="43"/>
    </row>
    <row r="73" spans="1:51" x14ac:dyDescent="0.3">
      <c r="B73" s="21" t="s">
        <v>407</v>
      </c>
      <c r="C73" s="21"/>
      <c r="D73" s="21"/>
      <c r="E73" s="21" t="s">
        <v>275</v>
      </c>
      <c r="F73" s="21"/>
      <c r="G73" s="21"/>
      <c r="H73" s="1086"/>
      <c r="I73" s="107"/>
      <c r="J73" s="107"/>
      <c r="K73" s="107"/>
      <c r="L73" s="1305"/>
      <c r="M73" s="518"/>
      <c r="N73" s="97"/>
      <c r="O73" s="1308"/>
      <c r="P73" s="97"/>
      <c r="Q73" s="97"/>
      <c r="R73" s="97"/>
      <c r="S73" s="97"/>
      <c r="T73" s="97"/>
      <c r="U73" s="97"/>
      <c r="V73" s="97"/>
      <c r="W73" s="97"/>
      <c r="X73" s="1295"/>
      <c r="AU73" s="43"/>
      <c r="AV73" s="43"/>
    </row>
    <row r="74" spans="1:51" x14ac:dyDescent="0.3">
      <c r="B74" s="21" t="s">
        <v>407</v>
      </c>
      <c r="C74" s="21"/>
      <c r="D74" s="21"/>
      <c r="E74" s="21" t="s">
        <v>275</v>
      </c>
      <c r="F74" s="21" t="s">
        <v>121</v>
      </c>
      <c r="G74" s="21"/>
      <c r="H74" s="1086"/>
      <c r="I74" s="107"/>
      <c r="J74" s="107"/>
      <c r="K74" s="94" t="s">
        <v>121</v>
      </c>
      <c r="L74" s="98" t="s">
        <v>839</v>
      </c>
      <c r="M74" s="518">
        <v>1</v>
      </c>
      <c r="N74" s="97"/>
      <c r="O74" s="269"/>
      <c r="P74" s="97"/>
      <c r="Q74" s="97"/>
      <c r="R74" s="97"/>
      <c r="S74" s="97"/>
      <c r="T74" s="97"/>
      <c r="U74" s="97"/>
      <c r="V74" s="97"/>
      <c r="W74" s="97"/>
      <c r="X74" s="1295"/>
      <c r="AL74" s="1059" t="str">
        <f t="shared" ref="AL74:AL77" si="11">SUBSTITUTE(SUBSTITUTE(SUBSTITUTE("dpa"&amp;$B74&amp;$C74&amp;$D74&amp;$E74&amp;$F74,".","_"),"(","_"),")","")</f>
        <v>dpa503_2_3_a</v>
      </c>
      <c r="AM74" s="75">
        <f>M74</f>
        <v>1</v>
      </c>
      <c r="AU74" s="43"/>
      <c r="AV74" s="43"/>
    </row>
    <row r="75" spans="1:51" x14ac:dyDescent="0.3">
      <c r="B75" s="21" t="s">
        <v>407</v>
      </c>
      <c r="C75" s="21"/>
      <c r="D75" s="21"/>
      <c r="E75" s="21" t="s">
        <v>275</v>
      </c>
      <c r="F75" s="21" t="s">
        <v>122</v>
      </c>
      <c r="G75" s="21"/>
      <c r="H75" s="1086"/>
      <c r="I75" s="107"/>
      <c r="J75" s="107"/>
      <c r="K75" s="94" t="s">
        <v>122</v>
      </c>
      <c r="L75" s="98" t="s">
        <v>412</v>
      </c>
      <c r="M75" s="518">
        <v>4</v>
      </c>
      <c r="N75" s="97"/>
      <c r="O75" s="269"/>
      <c r="P75" s="97"/>
      <c r="Q75" s="97"/>
      <c r="R75" s="97"/>
      <c r="S75" s="97"/>
      <c r="T75" s="97"/>
      <c r="U75" s="97"/>
      <c r="V75" s="97"/>
      <c r="W75" s="97"/>
      <c r="X75" s="1295"/>
      <c r="AL75" s="1059" t="str">
        <f t="shared" si="11"/>
        <v>dpa503_2_3_b</v>
      </c>
      <c r="AM75" s="75">
        <f>M75</f>
        <v>4</v>
      </c>
      <c r="AU75" s="43"/>
      <c r="AV75" s="43"/>
    </row>
    <row r="76" spans="1:51" x14ac:dyDescent="0.3">
      <c r="B76" s="21" t="s">
        <v>407</v>
      </c>
      <c r="C76" s="21"/>
      <c r="D76" s="21"/>
      <c r="E76" s="21" t="s">
        <v>275</v>
      </c>
      <c r="F76" s="26" t="s">
        <v>123</v>
      </c>
      <c r="G76" s="26"/>
      <c r="H76" s="1086"/>
      <c r="I76" s="107"/>
      <c r="J76" s="195"/>
      <c r="K76" s="197" t="s">
        <v>123</v>
      </c>
      <c r="L76" s="193" t="s">
        <v>413</v>
      </c>
      <c r="M76" s="520">
        <v>6</v>
      </c>
      <c r="N76" s="97"/>
      <c r="O76" s="597"/>
      <c r="P76" s="97"/>
      <c r="Q76" s="97"/>
      <c r="R76" s="97"/>
      <c r="S76" s="97"/>
      <c r="T76" s="97"/>
      <c r="U76" s="97"/>
      <c r="V76" s="97"/>
      <c r="W76" s="97"/>
      <c r="X76" s="1295"/>
      <c r="AL76" s="1059" t="str">
        <f t="shared" si="11"/>
        <v>dpa503_2_3_c</v>
      </c>
      <c r="AM76" s="75">
        <f>M76</f>
        <v>6</v>
      </c>
      <c r="AU76" s="43"/>
      <c r="AV76" s="43"/>
    </row>
    <row r="77" spans="1:51" x14ac:dyDescent="0.3">
      <c r="B77" s="21" t="s">
        <v>407</v>
      </c>
      <c r="C77" s="21"/>
      <c r="D77" s="21"/>
      <c r="E77" s="21" t="s">
        <v>285</v>
      </c>
      <c r="F77" s="21"/>
      <c r="G77" s="21"/>
      <c r="H77" s="1086"/>
      <c r="I77" s="107"/>
      <c r="J77" s="94" t="s">
        <v>285</v>
      </c>
      <c r="K77" s="107"/>
      <c r="L77" s="1305" t="s">
        <v>414</v>
      </c>
      <c r="M77" s="1318">
        <v>6</v>
      </c>
      <c r="N77" s="218"/>
      <c r="O77" s="1308">
        <f>M77*W77*S77</f>
        <v>0</v>
      </c>
      <c r="P77" s="440" t="b">
        <v>1</v>
      </c>
      <c r="Q77" s="440" t="b">
        <v>1</v>
      </c>
      <c r="R77" s="97" t="b">
        <v>0</v>
      </c>
      <c r="S77" s="97" t="b">
        <f>S69</f>
        <v>0</v>
      </c>
      <c r="T77" s="97" t="b">
        <f>AND(NOT(S77),W77=TRUE)</f>
        <v>0</v>
      </c>
      <c r="U77" s="97"/>
      <c r="V77" s="97"/>
      <c r="W77" s="25"/>
      <c r="X77" s="1295"/>
      <c r="AC77" s="79" t="b">
        <f>OR(AD77:AE77)</f>
        <v>0</v>
      </c>
      <c r="AD77" s="73" t="b">
        <f>T77</f>
        <v>0</v>
      </c>
      <c r="AL77" s="1059" t="str">
        <f t="shared" si="11"/>
        <v>dpa503_2_4</v>
      </c>
      <c r="AM77" s="75">
        <f>M77</f>
        <v>6</v>
      </c>
      <c r="AN77" s="1059" t="str">
        <f>SUBSTITUTE(SUBSTITUTE(SUBSTITUTE("dpc"&amp;$B77&amp;$C77&amp;$D77&amp;$E77&amp;$F77,".","_"),"(","_"),")","")</f>
        <v>dpc503_2_4</v>
      </c>
      <c r="AO77" s="75">
        <f>O77</f>
        <v>0</v>
      </c>
      <c r="AP77" s="1059" t="str">
        <f>SUBSTITUTE(SUBSTITUTE(SUBSTITUTE("dch"&amp;$B77&amp;$C77&amp;$D77&amp;$E77&amp;$F77,".","_"),"(","_"),")","")</f>
        <v>dch503_2_4</v>
      </c>
      <c r="AQ77" s="75">
        <f>W77</f>
        <v>0</v>
      </c>
      <c r="AU77" s="43"/>
      <c r="AV77" s="43"/>
    </row>
    <row r="78" spans="1:51" x14ac:dyDescent="0.3">
      <c r="B78" s="21" t="s">
        <v>407</v>
      </c>
      <c r="C78" s="21"/>
      <c r="D78" s="21"/>
      <c r="E78" s="21" t="s">
        <v>285</v>
      </c>
      <c r="F78" s="21"/>
      <c r="G78" s="21"/>
      <c r="H78" s="1086"/>
      <c r="I78" s="107"/>
      <c r="J78" s="195"/>
      <c r="K78" s="195"/>
      <c r="L78" s="1306"/>
      <c r="M78" s="1319"/>
      <c r="N78" s="196"/>
      <c r="O78" s="1309"/>
      <c r="P78" s="97"/>
      <c r="Q78" s="97"/>
      <c r="R78" s="97"/>
      <c r="S78" s="97"/>
      <c r="T78" s="97"/>
      <c r="U78" s="97"/>
      <c r="V78" s="97"/>
      <c r="W78" s="97"/>
      <c r="X78" s="1295"/>
      <c r="AU78" s="43"/>
      <c r="AV78" s="43"/>
    </row>
    <row r="79" spans="1:51" ht="15" thickBot="1" x14ac:dyDescent="0.35">
      <c r="B79" s="21" t="s">
        <v>407</v>
      </c>
      <c r="C79" s="21"/>
      <c r="D79" s="21"/>
      <c r="E79" s="21" t="s">
        <v>291</v>
      </c>
      <c r="F79" s="21"/>
      <c r="G79" s="21"/>
      <c r="H79" s="1086"/>
      <c r="I79" s="108"/>
      <c r="J79" s="99" t="s">
        <v>291</v>
      </c>
      <c r="K79" s="108"/>
      <c r="L79" s="100" t="s">
        <v>415</v>
      </c>
      <c r="M79" s="523">
        <v>5</v>
      </c>
      <c r="N79" s="104"/>
      <c r="O79" s="271">
        <f>M79*W79*S79</f>
        <v>0</v>
      </c>
      <c r="P79" s="440" t="b">
        <v>1</v>
      </c>
      <c r="Q79" s="440" t="b">
        <v>1</v>
      </c>
      <c r="R79" s="104" t="b">
        <v>0</v>
      </c>
      <c r="S79" s="104" t="b">
        <f>S69</f>
        <v>0</v>
      </c>
      <c r="T79" s="97" t="b">
        <f>AND(NOT(S79),W79=TRUE)</f>
        <v>0</v>
      </c>
      <c r="U79" s="104"/>
      <c r="V79" s="104"/>
      <c r="W79" s="25"/>
      <c r="X79" s="1296"/>
      <c r="AC79" s="79" t="b">
        <f>OR(AD79:AE79)</f>
        <v>0</v>
      </c>
      <c r="AD79" s="73" t="b">
        <f>T79</f>
        <v>0</v>
      </c>
      <c r="AL79" s="1059" t="str">
        <f>SUBSTITUTE(SUBSTITUTE(SUBSTITUTE("dpa"&amp;$B79&amp;$C79&amp;$D79&amp;$E79&amp;$F79,".","_"),"(","_"),")","")</f>
        <v>dpa503_2_5</v>
      </c>
      <c r="AM79" s="75">
        <f>M79</f>
        <v>5</v>
      </c>
      <c r="AN79" s="1059" t="str">
        <f>SUBSTITUTE(SUBSTITUTE(SUBSTITUTE("dpc"&amp;$B79&amp;$C79&amp;$D79&amp;$E79&amp;$F79,".","_"),"(","_"),")","")</f>
        <v>dpc503_2_5</v>
      </c>
      <c r="AO79" s="75">
        <f>O79</f>
        <v>0</v>
      </c>
      <c r="AP79" s="1059" t="str">
        <f>SUBSTITUTE(SUBSTITUTE(SUBSTITUTE("dch"&amp;$B79&amp;$C79&amp;$D79&amp;$E79&amp;$F79,".","_"),"(","_"),")","")</f>
        <v>dch503_2_5</v>
      </c>
      <c r="AQ79" s="75">
        <f>W79</f>
        <v>0</v>
      </c>
      <c r="AU79" s="43"/>
      <c r="AV79" s="43"/>
    </row>
    <row r="80" spans="1:51" ht="15" thickTop="1" x14ac:dyDescent="0.3">
      <c r="B80" s="21" t="s">
        <v>416</v>
      </c>
      <c r="C80" s="21"/>
      <c r="D80" s="21"/>
      <c r="E80" s="21"/>
      <c r="F80" s="21"/>
      <c r="G80" s="21"/>
      <c r="H80" s="1086"/>
      <c r="I80" s="111">
        <v>503.3</v>
      </c>
      <c r="J80" s="112"/>
      <c r="K80" s="112"/>
      <c r="L80" s="1331" t="s">
        <v>417</v>
      </c>
      <c r="M80" s="517"/>
      <c r="N80" s="110"/>
      <c r="O80" s="596"/>
      <c r="P80" s="110"/>
      <c r="Q80" s="110"/>
      <c r="R80" s="110"/>
      <c r="S80" s="110"/>
      <c r="T80" s="110"/>
      <c r="U80" s="110"/>
      <c r="V80" s="110"/>
      <c r="W80" s="110"/>
      <c r="X80" s="1327"/>
      <c r="AR80" s="1059" t="str">
        <f>SUBSTITUTE(SUBSTITUTE(SUBSTITUTE("dnt"&amp;$B80&amp;$C80&amp;$D80&amp;$E80&amp;$F80,".","_"),"(","_"),")","")</f>
        <v>dnt503_3</v>
      </c>
      <c r="AS80" s="75">
        <f>X80</f>
        <v>0</v>
      </c>
      <c r="AU80" s="43"/>
      <c r="AV80" s="43"/>
      <c r="AX80" s="131"/>
      <c r="AY80" s="131"/>
    </row>
    <row r="81" spans="1:51" x14ac:dyDescent="0.3">
      <c r="B81" s="21" t="s">
        <v>416</v>
      </c>
      <c r="C81" s="21"/>
      <c r="D81" s="21"/>
      <c r="E81" s="21"/>
      <c r="F81" s="21"/>
      <c r="G81" s="21"/>
      <c r="H81" s="1086"/>
      <c r="I81" s="107"/>
      <c r="J81" s="107"/>
      <c r="K81" s="107"/>
      <c r="L81" s="1313"/>
      <c r="M81" s="518"/>
      <c r="N81" s="97"/>
      <c r="O81" s="269"/>
      <c r="P81" s="97"/>
      <c r="Q81" s="97"/>
      <c r="R81" s="97"/>
      <c r="S81" s="97"/>
      <c r="T81" s="97"/>
      <c r="U81" s="97"/>
      <c r="V81" s="97"/>
      <c r="W81" s="97"/>
      <c r="X81" s="1295"/>
      <c r="AU81" s="43"/>
      <c r="AV81" s="43"/>
    </row>
    <row r="82" spans="1:51" s="131" customFormat="1" x14ac:dyDescent="0.3">
      <c r="A82" s="18"/>
      <c r="B82" s="21" t="s">
        <v>416</v>
      </c>
      <c r="C82" s="21"/>
      <c r="D82" s="21"/>
      <c r="E82" s="21"/>
      <c r="F82" s="21"/>
      <c r="G82" s="21"/>
      <c r="H82" s="1086"/>
      <c r="I82" s="107"/>
      <c r="J82" s="107"/>
      <c r="K82" s="107"/>
      <c r="L82" s="179" t="s">
        <v>840</v>
      </c>
      <c r="M82" s="518"/>
      <c r="N82" s="97"/>
      <c r="O82" s="269"/>
      <c r="P82" s="97"/>
      <c r="Q82" s="97"/>
      <c r="R82" s="97"/>
      <c r="S82" s="97"/>
      <c r="T82" s="97"/>
      <c r="U82" s="97"/>
      <c r="V82" s="97"/>
      <c r="W82" s="97"/>
      <c r="X82" s="1295"/>
      <c r="Y82" s="1107"/>
      <c r="AA82" s="1110"/>
      <c r="AX82"/>
      <c r="AY82"/>
    </row>
    <row r="83" spans="1:51" x14ac:dyDescent="0.3">
      <c r="B83" s="21" t="s">
        <v>416</v>
      </c>
      <c r="C83" s="21"/>
      <c r="D83" s="21"/>
      <c r="E83" s="21" t="s">
        <v>271</v>
      </c>
      <c r="F83" s="21"/>
      <c r="G83" s="21"/>
      <c r="H83" s="1086"/>
      <c r="I83" s="107"/>
      <c r="J83" s="94" t="s">
        <v>271</v>
      </c>
      <c r="K83" s="107"/>
      <c r="L83" s="1305" t="s">
        <v>418</v>
      </c>
      <c r="M83" s="1318">
        <v>5</v>
      </c>
      <c r="N83" s="97"/>
      <c r="O83" s="1308">
        <f>M83*W83</f>
        <v>0</v>
      </c>
      <c r="P83" s="440" t="b">
        <v>1</v>
      </c>
      <c r="Q83" s="440" t="b">
        <v>0</v>
      </c>
      <c r="R83" s="97" t="b">
        <v>0</v>
      </c>
      <c r="S83" s="97" t="b">
        <v>1</v>
      </c>
      <c r="T83" s="97" t="b">
        <v>0</v>
      </c>
      <c r="U83" s="97"/>
      <c r="V83" s="97"/>
      <c r="W83" s="25"/>
      <c r="X83" s="1295"/>
      <c r="AL83" s="1059" t="str">
        <f>SUBSTITUTE(SUBSTITUTE(SUBSTITUTE("dpa"&amp;$B83&amp;$C83&amp;$D83&amp;$E83&amp;$F83,".","_"),"(","_"),")","")</f>
        <v>dpa503_3_1</v>
      </c>
      <c r="AM83" s="75">
        <f>M83</f>
        <v>5</v>
      </c>
      <c r="AN83" s="1059" t="str">
        <f>SUBSTITUTE(SUBSTITUTE(SUBSTITUTE("dpc"&amp;$B83&amp;$C83&amp;$D83&amp;$E83&amp;$F83,".","_"),"(","_"),")","")</f>
        <v>dpc503_3_1</v>
      </c>
      <c r="AO83" s="75">
        <f>O83</f>
        <v>0</v>
      </c>
      <c r="AP83" s="1059" t="str">
        <f>SUBSTITUTE(SUBSTITUTE(SUBSTITUTE("dch"&amp;$B83&amp;$C83&amp;$D83&amp;$E83&amp;$F83,".","_"),"(","_"),")","")</f>
        <v>dch503_3_1</v>
      </c>
      <c r="AQ83" s="75">
        <f>W83</f>
        <v>0</v>
      </c>
      <c r="AU83" s="43"/>
      <c r="AV83" s="43"/>
    </row>
    <row r="84" spans="1:51" x14ac:dyDescent="0.3">
      <c r="B84" s="21" t="s">
        <v>416</v>
      </c>
      <c r="C84" s="21"/>
      <c r="D84" s="21"/>
      <c r="E84" s="21" t="s">
        <v>271</v>
      </c>
      <c r="F84" s="21"/>
      <c r="G84" s="21"/>
      <c r="H84" s="1086"/>
      <c r="I84" s="107"/>
      <c r="J84" s="192"/>
      <c r="K84" s="195"/>
      <c r="L84" s="1306"/>
      <c r="M84" s="1319"/>
      <c r="N84" s="196"/>
      <c r="O84" s="1309"/>
      <c r="P84" s="97"/>
      <c r="Q84" s="97"/>
      <c r="R84" s="97"/>
      <c r="S84" s="97"/>
      <c r="T84" s="97"/>
      <c r="U84" s="97"/>
      <c r="V84" s="97"/>
      <c r="W84" s="97"/>
      <c r="X84" s="1295"/>
      <c r="AU84" s="43"/>
      <c r="AV84" s="43"/>
    </row>
    <row r="85" spans="1:51" x14ac:dyDescent="0.3">
      <c r="B85" s="21" t="s">
        <v>416</v>
      </c>
      <c r="C85" s="21"/>
      <c r="D85" s="21"/>
      <c r="E85" s="21" t="s">
        <v>273</v>
      </c>
      <c r="F85" s="21"/>
      <c r="G85" s="21"/>
      <c r="H85" s="1086"/>
      <c r="I85" s="107"/>
      <c r="J85" s="94" t="s">
        <v>273</v>
      </c>
      <c r="K85" s="107"/>
      <c r="L85" s="1305" t="s">
        <v>419</v>
      </c>
      <c r="M85" s="1323">
        <v>5</v>
      </c>
      <c r="N85" s="97"/>
      <c r="O85" s="1324">
        <f>M85*MIN(W87+W88+W90+W91,1)</f>
        <v>0</v>
      </c>
      <c r="P85" s="440" t="b">
        <v>1</v>
      </c>
      <c r="Q85" s="440" t="b">
        <v>0</v>
      </c>
      <c r="R85" s="97" t="b">
        <v>0</v>
      </c>
      <c r="S85" s="97" t="b">
        <v>1</v>
      </c>
      <c r="T85" s="97" t="b">
        <v>0</v>
      </c>
      <c r="U85" s="97"/>
      <c r="V85" s="97"/>
      <c r="W85" s="97"/>
      <c r="X85" s="1295"/>
      <c r="AL85" s="1059" t="str">
        <f>SUBSTITUTE(SUBSTITUTE(SUBSTITUTE("dpa"&amp;$B85&amp;$C85&amp;$D85&amp;$E85&amp;$F85,".","_"),"(","_"),")","")</f>
        <v>dpa503_3_2</v>
      </c>
      <c r="AM85" s="75">
        <f>M85</f>
        <v>5</v>
      </c>
      <c r="AN85" s="1059" t="str">
        <f>SUBSTITUTE(SUBSTITUTE(SUBSTITUTE("dpc"&amp;$B85&amp;$C85&amp;$D85&amp;$E85&amp;$F85,".","_"),"(","_"),")","")</f>
        <v>dpc503_3_2</v>
      </c>
      <c r="AO85" s="75">
        <f>O85</f>
        <v>0</v>
      </c>
      <c r="AU85" s="43"/>
      <c r="AV85" s="43"/>
    </row>
    <row r="86" spans="1:51" x14ac:dyDescent="0.3">
      <c r="B86" s="21" t="s">
        <v>416</v>
      </c>
      <c r="C86" s="21"/>
      <c r="D86" s="21"/>
      <c r="E86" s="21" t="s">
        <v>273</v>
      </c>
      <c r="F86" s="21"/>
      <c r="G86" s="21"/>
      <c r="H86" s="1086"/>
      <c r="I86" s="107"/>
      <c r="J86" s="107"/>
      <c r="K86" s="107"/>
      <c r="L86" s="1305"/>
      <c r="M86" s="1318"/>
      <c r="N86" s="97"/>
      <c r="O86" s="1308"/>
      <c r="P86" s="97"/>
      <c r="Q86" s="97"/>
      <c r="R86" s="97"/>
      <c r="S86" s="97"/>
      <c r="T86" s="97"/>
      <c r="U86" s="97"/>
      <c r="V86" s="97"/>
      <c r="W86" s="97"/>
      <c r="X86" s="1295"/>
      <c r="AU86" s="43"/>
      <c r="AV86" s="43"/>
    </row>
    <row r="87" spans="1:51" x14ac:dyDescent="0.3">
      <c r="B87" s="21" t="s">
        <v>416</v>
      </c>
      <c r="C87" s="21"/>
      <c r="D87" s="21"/>
      <c r="E87" s="21" t="s">
        <v>273</v>
      </c>
      <c r="F87" s="21" t="s">
        <v>121</v>
      </c>
      <c r="G87" s="21"/>
      <c r="H87" s="1086"/>
      <c r="I87" s="107"/>
      <c r="J87" s="107"/>
      <c r="K87" s="94" t="s">
        <v>121</v>
      </c>
      <c r="L87" s="98" t="s">
        <v>420</v>
      </c>
      <c r="M87" s="1318"/>
      <c r="N87" s="97"/>
      <c r="O87" s="1308"/>
      <c r="P87" s="440" t="b">
        <v>1</v>
      </c>
      <c r="Q87" s="440" t="b">
        <v>0</v>
      </c>
      <c r="R87" s="97" t="b">
        <v>0</v>
      </c>
      <c r="S87" s="97" t="b">
        <v>1</v>
      </c>
      <c r="T87" s="97" t="b">
        <v>0</v>
      </c>
      <c r="U87" s="97"/>
      <c r="V87" s="97"/>
      <c r="W87" s="25"/>
      <c r="X87" s="1295"/>
      <c r="AP87" s="1059" t="str">
        <f t="shared" ref="AP87:AP88" si="12">SUBSTITUTE(SUBSTITUTE(SUBSTITUTE("dch"&amp;$B87&amp;$C87&amp;$D87&amp;$E87&amp;$F87,".","_"),"(","_"),")","")</f>
        <v>dch503_3_2_a</v>
      </c>
      <c r="AQ87" s="75">
        <f>W87</f>
        <v>0</v>
      </c>
      <c r="AU87" s="43"/>
      <c r="AV87" s="43"/>
    </row>
    <row r="88" spans="1:51" x14ac:dyDescent="0.3">
      <c r="B88" s="21" t="s">
        <v>416</v>
      </c>
      <c r="C88" s="21"/>
      <c r="D88" s="21"/>
      <c r="E88" s="21" t="s">
        <v>273</v>
      </c>
      <c r="F88" s="21" t="s">
        <v>122</v>
      </c>
      <c r="G88" s="21"/>
      <c r="H88" s="1086"/>
      <c r="I88" s="107"/>
      <c r="J88" s="107"/>
      <c r="K88" s="94" t="s">
        <v>122</v>
      </c>
      <c r="L88" s="1305" t="s">
        <v>421</v>
      </c>
      <c r="M88" s="1318"/>
      <c r="N88" s="97"/>
      <c r="O88" s="1308"/>
      <c r="P88" s="440" t="b">
        <v>1</v>
      </c>
      <c r="Q88" s="440" t="b">
        <v>0</v>
      </c>
      <c r="R88" s="97" t="b">
        <v>0</v>
      </c>
      <c r="S88" s="97" t="b">
        <v>1</v>
      </c>
      <c r="T88" s="97" t="b">
        <v>0</v>
      </c>
      <c r="U88" s="97"/>
      <c r="V88" s="97"/>
      <c r="W88" s="25"/>
      <c r="X88" s="1295"/>
      <c r="AP88" s="1059" t="str">
        <f t="shared" si="12"/>
        <v>dch503_3_2_b</v>
      </c>
      <c r="AQ88" s="75">
        <f>W88</f>
        <v>0</v>
      </c>
      <c r="AU88" s="43"/>
      <c r="AV88" s="43"/>
    </row>
    <row r="89" spans="1:51" x14ac:dyDescent="0.3">
      <c r="B89" s="21" t="s">
        <v>416</v>
      </c>
      <c r="C89" s="21"/>
      <c r="D89" s="21"/>
      <c r="E89" s="21" t="s">
        <v>273</v>
      </c>
      <c r="F89" s="21" t="s">
        <v>122</v>
      </c>
      <c r="G89" s="21"/>
      <c r="H89" s="1086"/>
      <c r="I89" s="107"/>
      <c r="J89" s="107"/>
      <c r="K89" s="107"/>
      <c r="L89" s="1305"/>
      <c r="M89" s="1318"/>
      <c r="N89" s="97"/>
      <c r="O89" s="1308"/>
      <c r="P89" s="97"/>
      <c r="Q89" s="97"/>
      <c r="R89" s="97"/>
      <c r="S89" s="97"/>
      <c r="T89" s="97"/>
      <c r="U89" s="97"/>
      <c r="V89" s="97"/>
      <c r="W89" s="97"/>
      <c r="X89" s="1295"/>
      <c r="AU89" s="43"/>
      <c r="AV89" s="43"/>
    </row>
    <row r="90" spans="1:51" x14ac:dyDescent="0.3">
      <c r="B90" s="21" t="s">
        <v>416</v>
      </c>
      <c r="C90" s="21"/>
      <c r="D90" s="21"/>
      <c r="E90" s="21" t="s">
        <v>273</v>
      </c>
      <c r="F90" s="26" t="s">
        <v>123</v>
      </c>
      <c r="G90" s="26"/>
      <c r="H90" s="1086"/>
      <c r="I90" s="107"/>
      <c r="J90" s="107"/>
      <c r="K90" s="115" t="s">
        <v>123</v>
      </c>
      <c r="L90" s="98" t="s">
        <v>422</v>
      </c>
      <c r="M90" s="1318"/>
      <c r="N90" s="97"/>
      <c r="O90" s="1308"/>
      <c r="P90" s="440" t="b">
        <v>1</v>
      </c>
      <c r="Q90" s="440" t="b">
        <v>0</v>
      </c>
      <c r="R90" s="97" t="b">
        <v>0</v>
      </c>
      <c r="S90" s="97" t="b">
        <v>1</v>
      </c>
      <c r="T90" s="97" t="b">
        <v>0</v>
      </c>
      <c r="U90" s="97"/>
      <c r="V90" s="97"/>
      <c r="W90" s="25"/>
      <c r="X90" s="1295"/>
      <c r="AP90" s="1059" t="str">
        <f t="shared" ref="AP90:AP92" si="13">SUBSTITUTE(SUBSTITUTE(SUBSTITUTE("dch"&amp;$B90&amp;$C90&amp;$D90&amp;$E90&amp;$F90,".","_"),"(","_"),")","")</f>
        <v>dch503_3_2_c</v>
      </c>
      <c r="AQ90" s="75">
        <f>W90</f>
        <v>0</v>
      </c>
      <c r="AU90" s="43"/>
      <c r="AV90" s="43"/>
    </row>
    <row r="91" spans="1:51" x14ac:dyDescent="0.3">
      <c r="B91" s="21" t="s">
        <v>416</v>
      </c>
      <c r="C91" s="21"/>
      <c r="D91" s="21"/>
      <c r="E91" s="21" t="s">
        <v>273</v>
      </c>
      <c r="F91" s="26" t="s">
        <v>423</v>
      </c>
      <c r="G91" s="26"/>
      <c r="H91" s="1086"/>
      <c r="I91" s="107"/>
      <c r="J91" s="195"/>
      <c r="K91" s="197" t="s">
        <v>423</v>
      </c>
      <c r="L91" s="193" t="s">
        <v>424</v>
      </c>
      <c r="M91" s="1319"/>
      <c r="N91" s="196"/>
      <c r="O91" s="1309"/>
      <c r="P91" s="440" t="b">
        <v>1</v>
      </c>
      <c r="Q91" s="440" t="b">
        <v>0</v>
      </c>
      <c r="R91" s="97" t="b">
        <v>0</v>
      </c>
      <c r="S91" s="97" t="b">
        <v>1</v>
      </c>
      <c r="T91" s="97" t="b">
        <v>0</v>
      </c>
      <c r="U91" s="97"/>
      <c r="V91" s="97"/>
      <c r="W91" s="25"/>
      <c r="X91" s="1295"/>
      <c r="AP91" s="1059" t="str">
        <f t="shared" si="13"/>
        <v>dch503_3_2_d</v>
      </c>
      <c r="AQ91" s="75">
        <f>W91</f>
        <v>0</v>
      </c>
      <c r="AU91" s="43"/>
      <c r="AV91" s="43"/>
    </row>
    <row r="92" spans="1:51" ht="15" thickBot="1" x14ac:dyDescent="0.35">
      <c r="B92" s="21" t="s">
        <v>416</v>
      </c>
      <c r="C92" s="21"/>
      <c r="D92" s="21"/>
      <c r="E92" s="21" t="s">
        <v>275</v>
      </c>
      <c r="F92" s="21"/>
      <c r="G92" s="21"/>
      <c r="H92" s="1086"/>
      <c r="I92" s="108"/>
      <c r="J92" s="99" t="s">
        <v>275</v>
      </c>
      <c r="K92" s="108"/>
      <c r="L92" s="100" t="s">
        <v>425</v>
      </c>
      <c r="M92" s="523">
        <v>5</v>
      </c>
      <c r="N92" s="104"/>
      <c r="O92" s="271">
        <f>M92*W92</f>
        <v>0</v>
      </c>
      <c r="P92" s="440" t="b">
        <v>1</v>
      </c>
      <c r="Q92" s="440" t="b">
        <v>0</v>
      </c>
      <c r="R92" s="104" t="b">
        <v>0</v>
      </c>
      <c r="S92" s="104" t="b">
        <v>1</v>
      </c>
      <c r="T92" s="104" t="b">
        <v>0</v>
      </c>
      <c r="U92" s="104"/>
      <c r="V92" s="104"/>
      <c r="W92" s="207"/>
      <c r="X92" s="1296"/>
      <c r="AL92" s="1059" t="str">
        <f>SUBSTITUTE(SUBSTITUTE(SUBSTITUTE("dpa"&amp;$B92&amp;$C92&amp;$D92&amp;$E92&amp;$F92,".","_"),"(","_"),")","")</f>
        <v>dpa503_3_3</v>
      </c>
      <c r="AM92" s="75">
        <f>M92</f>
        <v>5</v>
      </c>
      <c r="AN92" s="1059" t="str">
        <f>SUBSTITUTE(SUBSTITUTE(SUBSTITUTE("dpc"&amp;$B92&amp;$C92&amp;$D92&amp;$E92&amp;$F92,".","_"),"(","_"),")","")</f>
        <v>dpc503_3_3</v>
      </c>
      <c r="AO92" s="75">
        <f>O92</f>
        <v>0</v>
      </c>
      <c r="AP92" s="1059" t="str">
        <f t="shared" si="13"/>
        <v>dch503_3_3</v>
      </c>
      <c r="AQ92" s="75">
        <f>W92</f>
        <v>0</v>
      </c>
      <c r="AU92" s="43"/>
      <c r="AV92" s="43"/>
    </row>
    <row r="93" spans="1:51" ht="15.75" customHeight="1" thickTop="1" x14ac:dyDescent="0.3">
      <c r="B93" s="21" t="s">
        <v>426</v>
      </c>
      <c r="C93" s="21"/>
      <c r="D93" s="21"/>
      <c r="E93" s="21"/>
      <c r="F93" s="21"/>
      <c r="G93" s="21"/>
      <c r="H93" s="1086"/>
      <c r="I93" s="67">
        <v>503.4</v>
      </c>
      <c r="J93" s="93"/>
      <c r="K93" s="93"/>
      <c r="L93" s="1331" t="s">
        <v>427</v>
      </c>
      <c r="M93" s="522"/>
      <c r="O93" s="154"/>
      <c r="P93" s="440"/>
      <c r="Q93" s="440"/>
      <c r="W93" s="206"/>
      <c r="X93" s="1311"/>
      <c r="AR93" s="1059" t="str">
        <f>SUBSTITUTE(SUBSTITUTE(SUBSTITUTE("dnt"&amp;$B93&amp;$C93&amp;$D93&amp;$E93&amp;$F93,".","_"),"(","_"),")","")</f>
        <v>dnt503_4</v>
      </c>
      <c r="AS93" s="136">
        <f>X93</f>
        <v>0</v>
      </c>
      <c r="AU93" s="43"/>
      <c r="AV93" s="43"/>
    </row>
    <row r="94" spans="1:51" x14ac:dyDescent="0.3">
      <c r="B94" s="21" t="s">
        <v>426</v>
      </c>
      <c r="C94" s="21"/>
      <c r="D94" s="21"/>
      <c r="E94" s="21"/>
      <c r="F94" s="21"/>
      <c r="G94" s="21"/>
      <c r="H94" s="1086"/>
      <c r="I94" s="93"/>
      <c r="J94" s="93"/>
      <c r="K94" s="93"/>
      <c r="L94" s="1292"/>
      <c r="M94" s="522"/>
      <c r="O94" s="154"/>
      <c r="P94" s="440"/>
      <c r="Q94" s="440"/>
      <c r="X94" s="1312"/>
      <c r="AU94" s="43"/>
      <c r="AV94" s="43"/>
      <c r="AX94" s="131"/>
      <c r="AY94" s="131"/>
    </row>
    <row r="95" spans="1:51" x14ac:dyDescent="0.3">
      <c r="B95" s="21" t="s">
        <v>426</v>
      </c>
      <c r="C95" s="21"/>
      <c r="D95" s="21"/>
      <c r="E95" s="21"/>
      <c r="F95" s="21"/>
      <c r="G95" s="21"/>
      <c r="H95" s="1086"/>
      <c r="I95" s="93"/>
      <c r="J95" s="93"/>
      <c r="K95" s="93"/>
      <c r="L95" s="1292"/>
      <c r="M95" s="522"/>
      <c r="O95" s="154"/>
      <c r="P95" s="440"/>
      <c r="Q95" s="440"/>
      <c r="X95" s="1312"/>
      <c r="AU95" s="43"/>
      <c r="AV95" s="43"/>
      <c r="AX95" s="147"/>
      <c r="AY95" s="147"/>
    </row>
    <row r="96" spans="1:51" s="131" customFormat="1" x14ac:dyDescent="0.3">
      <c r="A96" s="18"/>
      <c r="B96" s="21" t="s">
        <v>426</v>
      </c>
      <c r="C96" s="21"/>
      <c r="D96" s="21"/>
      <c r="E96" s="21"/>
      <c r="F96" s="21"/>
      <c r="G96" s="21"/>
      <c r="H96" s="1086"/>
      <c r="I96" s="93"/>
      <c r="J96" s="93"/>
      <c r="K96" s="93"/>
      <c r="L96" s="1292"/>
      <c r="M96" s="522"/>
      <c r="O96" s="154"/>
      <c r="P96" s="440"/>
      <c r="Q96" s="440"/>
      <c r="X96" s="1312"/>
      <c r="Y96" s="1107"/>
      <c r="AA96" s="1110"/>
      <c r="AX96" s="147"/>
      <c r="AY96" s="147"/>
    </row>
    <row r="97" spans="1:51" s="147" customFormat="1" x14ac:dyDescent="0.3">
      <c r="A97" s="18"/>
      <c r="B97" s="21" t="s">
        <v>426</v>
      </c>
      <c r="C97" s="21"/>
      <c r="D97" s="21"/>
      <c r="E97" s="21"/>
      <c r="F97" s="21"/>
      <c r="G97" s="21"/>
      <c r="H97" s="1086"/>
      <c r="I97" s="93"/>
      <c r="J97" s="93"/>
      <c r="K97" s="93"/>
      <c r="L97" s="1328" t="s">
        <v>3167</v>
      </c>
      <c r="M97" s="522"/>
      <c r="O97" s="154"/>
      <c r="P97" s="440"/>
      <c r="Q97" s="440"/>
      <c r="X97" s="1312"/>
      <c r="Y97" s="1107"/>
      <c r="AA97" s="1110"/>
    </row>
    <row r="98" spans="1:51" s="147" customFormat="1" x14ac:dyDescent="0.3">
      <c r="A98" s="18"/>
      <c r="B98" s="21" t="s">
        <v>426</v>
      </c>
      <c r="C98" s="21"/>
      <c r="D98" s="21"/>
      <c r="E98" s="21"/>
      <c r="F98" s="21"/>
      <c r="G98" s="21"/>
      <c r="H98" s="1086"/>
      <c r="I98" s="93"/>
      <c r="J98" s="93"/>
      <c r="K98" s="93"/>
      <c r="L98" s="1328"/>
      <c r="M98" s="522"/>
      <c r="O98" s="154"/>
      <c r="P98" s="440"/>
      <c r="Q98" s="440"/>
      <c r="X98" s="1312"/>
      <c r="Y98" s="1107"/>
      <c r="AA98" s="1110"/>
      <c r="AX98"/>
      <c r="AY98"/>
    </row>
    <row r="99" spans="1:51" s="147" customFormat="1" x14ac:dyDescent="0.3">
      <c r="A99" s="18"/>
      <c r="B99" s="21" t="s">
        <v>426</v>
      </c>
      <c r="C99" s="21"/>
      <c r="D99" s="21"/>
      <c r="E99" s="21"/>
      <c r="F99" s="21"/>
      <c r="G99" s="21"/>
      <c r="H99" s="1086"/>
      <c r="I99" s="93"/>
      <c r="J99" s="93"/>
      <c r="K99" s="93"/>
      <c r="L99" s="1328"/>
      <c r="M99" s="522"/>
      <c r="O99" s="154"/>
      <c r="P99" s="440"/>
      <c r="Q99" s="440"/>
      <c r="X99" s="1304"/>
      <c r="Y99" s="1107"/>
      <c r="AA99" s="1110"/>
      <c r="AX99"/>
      <c r="AY99"/>
    </row>
    <row r="100" spans="1:51" x14ac:dyDescent="0.3">
      <c r="B100" s="21" t="s">
        <v>426</v>
      </c>
      <c r="C100" s="21"/>
      <c r="D100" s="21"/>
      <c r="E100" s="21" t="s">
        <v>271</v>
      </c>
      <c r="F100" s="21"/>
      <c r="G100" s="21"/>
      <c r="H100" s="1086"/>
      <c r="I100" s="93"/>
      <c r="J100" s="94" t="s">
        <v>271</v>
      </c>
      <c r="K100" s="107"/>
      <c r="L100" s="1305" t="s">
        <v>428</v>
      </c>
      <c r="M100" s="1318">
        <v>7</v>
      </c>
      <c r="N100" s="97"/>
      <c r="O100" s="1308">
        <f>M100*W100</f>
        <v>0</v>
      </c>
      <c r="P100" s="440" t="b">
        <v>1</v>
      </c>
      <c r="Q100" s="440" t="b">
        <v>0</v>
      </c>
      <c r="R100" s="65" t="b">
        <v>0</v>
      </c>
      <c r="S100" s="65" t="b">
        <v>1</v>
      </c>
      <c r="T100" s="65" t="b">
        <v>0</v>
      </c>
      <c r="W100" s="25"/>
      <c r="X100" s="1303"/>
      <c r="AL100" s="1059" t="str">
        <f>SUBSTITUTE(SUBSTITUTE(SUBSTITUTE("dpa"&amp;$B100&amp;$C100&amp;$D100&amp;$E100&amp;$F100,".","_"),"(","_"),")","")</f>
        <v>dpa503_4_1</v>
      </c>
      <c r="AM100" s="136">
        <f>M100</f>
        <v>7</v>
      </c>
      <c r="AN100" s="1059" t="str">
        <f>SUBSTITUTE(SUBSTITUTE(SUBSTITUTE("dpc"&amp;$B100&amp;$C100&amp;$D100&amp;$E100&amp;$F100,".","_"),"(","_"),")","")</f>
        <v>dpc503_4_1</v>
      </c>
      <c r="AO100" s="136">
        <f>O100</f>
        <v>0</v>
      </c>
      <c r="AP100" s="1059" t="str">
        <f>SUBSTITUTE(SUBSTITUTE(SUBSTITUTE("dch"&amp;$B100&amp;$C100&amp;$D100&amp;$E100&amp;$F100,".","_"),"(","_"),")","")</f>
        <v>dch503_4_1</v>
      </c>
      <c r="AQ100" s="136">
        <f>W100</f>
        <v>0</v>
      </c>
      <c r="AR100" s="1059" t="str">
        <f>SUBSTITUTE(SUBSTITUTE(SUBSTITUTE("dnt"&amp;$B100&amp;$C100&amp;$D100&amp;$E100&amp;$F100,".","_"),"(","_"),")","")</f>
        <v>dnt503_4_1</v>
      </c>
      <c r="AS100" s="136">
        <f>X100</f>
        <v>0</v>
      </c>
      <c r="AU100" s="43"/>
      <c r="AV100" s="43"/>
    </row>
    <row r="101" spans="1:51" x14ac:dyDescent="0.3">
      <c r="B101" s="21" t="s">
        <v>426</v>
      </c>
      <c r="C101" s="21"/>
      <c r="D101" s="21"/>
      <c r="E101" s="21" t="s">
        <v>271</v>
      </c>
      <c r="F101" s="21"/>
      <c r="G101" s="21"/>
      <c r="H101" s="1086"/>
      <c r="I101" s="93"/>
      <c r="J101" s="94"/>
      <c r="K101" s="107"/>
      <c r="L101" s="1305"/>
      <c r="M101" s="1318"/>
      <c r="N101" s="97"/>
      <c r="O101" s="1308"/>
      <c r="P101" s="440"/>
      <c r="Q101" s="440"/>
      <c r="X101" s="1303"/>
      <c r="AU101" s="43"/>
      <c r="AV101" s="43"/>
    </row>
    <row r="102" spans="1:51" x14ac:dyDescent="0.3">
      <c r="B102" s="21" t="s">
        <v>426</v>
      </c>
      <c r="C102" s="21"/>
      <c r="D102" s="21"/>
      <c r="E102" s="21" t="s">
        <v>271</v>
      </c>
      <c r="F102" s="21"/>
      <c r="G102" s="21"/>
      <c r="H102" s="1086"/>
      <c r="I102" s="93"/>
      <c r="J102" s="195"/>
      <c r="K102" s="195"/>
      <c r="L102" s="1306"/>
      <c r="M102" s="1319"/>
      <c r="N102" s="196"/>
      <c r="O102" s="1309"/>
      <c r="P102" s="440"/>
      <c r="Q102" s="440"/>
      <c r="X102" s="1303"/>
      <c r="AU102" s="43"/>
      <c r="AV102" s="43"/>
    </row>
    <row r="103" spans="1:51" x14ac:dyDescent="0.3">
      <c r="B103" s="21" t="s">
        <v>426</v>
      </c>
      <c r="C103" s="21"/>
      <c r="D103" s="21"/>
      <c r="E103" s="21" t="s">
        <v>273</v>
      </c>
      <c r="F103" s="21"/>
      <c r="G103" s="21"/>
      <c r="H103" s="1086"/>
      <c r="I103" s="93"/>
      <c r="J103" s="94" t="s">
        <v>273</v>
      </c>
      <c r="K103" s="107"/>
      <c r="L103" s="1305" t="s">
        <v>429</v>
      </c>
      <c r="M103" s="1318">
        <v>10</v>
      </c>
      <c r="N103" s="97"/>
      <c r="O103" s="1308">
        <f>M103*W103</f>
        <v>10</v>
      </c>
      <c r="P103" s="440" t="b">
        <v>1</v>
      </c>
      <c r="Q103" s="440" t="b">
        <v>0</v>
      </c>
      <c r="R103" s="65" t="b">
        <v>0</v>
      </c>
      <c r="S103" s="65" t="b">
        <v>1</v>
      </c>
      <c r="T103" s="65" t="b">
        <v>0</v>
      </c>
      <c r="W103" s="25" t="b">
        <v>1</v>
      </c>
      <c r="X103" s="1303"/>
      <c r="AL103" s="1059" t="str">
        <f>SUBSTITUTE(SUBSTITUTE(SUBSTITUTE("dpa"&amp;$B103&amp;$C103&amp;$D103&amp;$E103&amp;$F103,".","_"),"(","_"),")","")</f>
        <v>dpa503_4_2</v>
      </c>
      <c r="AM103" s="136">
        <f>M103</f>
        <v>10</v>
      </c>
      <c r="AN103" s="1059" t="str">
        <f>SUBSTITUTE(SUBSTITUTE(SUBSTITUTE("dpc"&amp;$B103&amp;$C103&amp;$D103&amp;$E103&amp;$F103,".","_"),"(","_"),")","")</f>
        <v>dpc503_4_2</v>
      </c>
      <c r="AO103" s="136">
        <f>O103</f>
        <v>10</v>
      </c>
      <c r="AP103" s="1059" t="str">
        <f>SUBSTITUTE(SUBSTITUTE(SUBSTITUTE("dch"&amp;$B103&amp;$C103&amp;$D103&amp;$E103&amp;$F103,".","_"),"(","_"),")","")</f>
        <v>dch503_4_2</v>
      </c>
      <c r="AQ103" s="136" t="b">
        <f>W103</f>
        <v>1</v>
      </c>
      <c r="AR103" s="1059" t="str">
        <f>SUBSTITUTE(SUBSTITUTE(SUBSTITUTE("dnt"&amp;$B103&amp;$C103&amp;$D103&amp;$E103&amp;$F103,".","_"),"(","_"),")","")</f>
        <v>dnt503_4_2</v>
      </c>
      <c r="AS103" s="136">
        <f>X103</f>
        <v>0</v>
      </c>
      <c r="AU103" s="43"/>
      <c r="AV103" s="43"/>
    </row>
    <row r="104" spans="1:51" x14ac:dyDescent="0.3">
      <c r="B104" s="21" t="s">
        <v>426</v>
      </c>
      <c r="C104" s="21"/>
      <c r="D104" s="21"/>
      <c r="E104" s="21" t="s">
        <v>273</v>
      </c>
      <c r="F104" s="21"/>
      <c r="G104" s="21"/>
      <c r="H104" s="1086"/>
      <c r="I104" s="93"/>
      <c r="J104" s="107"/>
      <c r="K104" s="107"/>
      <c r="L104" s="1305"/>
      <c r="M104" s="1318"/>
      <c r="N104" s="97"/>
      <c r="O104" s="1308"/>
      <c r="P104" s="440"/>
      <c r="Q104" s="440"/>
      <c r="X104" s="1303"/>
      <c r="AU104" s="43"/>
      <c r="AV104" s="43"/>
    </row>
    <row r="105" spans="1:51" x14ac:dyDescent="0.3">
      <c r="B105" s="21" t="s">
        <v>426</v>
      </c>
      <c r="C105" s="21"/>
      <c r="D105" s="21"/>
      <c r="E105" s="21" t="s">
        <v>273</v>
      </c>
      <c r="F105" s="21"/>
      <c r="G105" s="21"/>
      <c r="H105" s="1086"/>
      <c r="I105" s="93"/>
      <c r="J105" s="107"/>
      <c r="K105" s="107"/>
      <c r="L105" s="1305"/>
      <c r="M105" s="1318"/>
      <c r="N105" s="97"/>
      <c r="O105" s="1308"/>
      <c r="P105" s="440"/>
      <c r="Q105" s="440"/>
      <c r="X105" s="1303"/>
      <c r="AU105" s="43"/>
      <c r="AV105" s="43"/>
    </row>
    <row r="106" spans="1:51" x14ac:dyDescent="0.3">
      <c r="B106" s="21" t="s">
        <v>426</v>
      </c>
      <c r="C106" s="21"/>
      <c r="D106" s="21"/>
      <c r="E106" s="21" t="s">
        <v>273</v>
      </c>
      <c r="F106" s="21"/>
      <c r="G106" s="21"/>
      <c r="H106" s="1086"/>
      <c r="I106" s="93"/>
      <c r="J106" s="195"/>
      <c r="K106" s="195"/>
      <c r="L106" s="1306"/>
      <c r="M106" s="1319"/>
      <c r="N106" s="196"/>
      <c r="O106" s="1309"/>
      <c r="P106" s="440"/>
      <c r="Q106" s="440"/>
      <c r="X106" s="1303"/>
      <c r="AU106" s="43"/>
      <c r="AV106" s="43"/>
    </row>
    <row r="107" spans="1:51" x14ac:dyDescent="0.3">
      <c r="B107" s="21" t="s">
        <v>426</v>
      </c>
      <c r="C107" s="21"/>
      <c r="D107" s="21"/>
      <c r="E107" s="21" t="s">
        <v>275</v>
      </c>
      <c r="F107" s="21"/>
      <c r="G107" s="21"/>
      <c r="H107" s="1086"/>
      <c r="I107" s="93"/>
      <c r="J107" s="90" t="s">
        <v>275</v>
      </c>
      <c r="K107" s="93"/>
      <c r="L107" s="1329" t="s">
        <v>430</v>
      </c>
      <c r="M107" s="522"/>
      <c r="O107" s="1310">
        <f ca="1">S107*IFERROR(INDEX({5,8,10},MATCH(W107,INDIRECT(U107))),0)</f>
        <v>0</v>
      </c>
      <c r="P107" s="440" t="b">
        <v>1</v>
      </c>
      <c r="Q107" s="440" t="b">
        <v>0</v>
      </c>
      <c r="R107" s="65" t="b">
        <v>0</v>
      </c>
      <c r="S107" s="65" t="b">
        <v>1</v>
      </c>
      <c r="T107" s="65" t="b">
        <v>0</v>
      </c>
      <c r="U107" s="65" t="str">
        <f>SUBSTITUTE(SUBSTITUTE(SUBSTITUTE("dd"&amp;B107&amp;C107&amp;D107&amp;E107&amp;F107,".","_"),"(","_"),")","")</f>
        <v>dd503_4_3</v>
      </c>
      <c r="W107" s="12"/>
      <c r="X107" s="1303"/>
      <c r="AN107" s="1059" t="str">
        <f>SUBSTITUTE(SUBSTITUTE(SUBSTITUTE("dpc"&amp;$B107&amp;$C107&amp;$D107&amp;$E107&amp;$F107,".","_"),"(","_"),")","")</f>
        <v>dpc503_4_3</v>
      </c>
      <c r="AO107" s="136">
        <f ca="1">O107</f>
        <v>0</v>
      </c>
      <c r="AP107" s="1059" t="str">
        <f>SUBSTITUTE(SUBSTITUTE(SUBSTITUTE("dch"&amp;$B107&amp;$C107&amp;$D107&amp;$E107&amp;$F107,".","_"),"(","_"),")","")</f>
        <v>dch503_4_3</v>
      </c>
      <c r="AQ107" s="136">
        <f>W107</f>
        <v>0</v>
      </c>
      <c r="AR107" s="1059" t="str">
        <f>SUBSTITUTE(SUBSTITUTE(SUBSTITUTE("dnt"&amp;$B107&amp;$C107&amp;$D107&amp;$E107&amp;$F107,".","_"),"(","_"),")","")</f>
        <v>dnt503_4_3</v>
      </c>
      <c r="AS107" s="136">
        <f>X107</f>
        <v>0</v>
      </c>
      <c r="AU107" s="43"/>
      <c r="AV107" s="43"/>
    </row>
    <row r="108" spans="1:51" x14ac:dyDescent="0.3">
      <c r="B108" s="21" t="s">
        <v>426</v>
      </c>
      <c r="C108" s="21"/>
      <c r="D108" s="21"/>
      <c r="E108" s="21" t="s">
        <v>275</v>
      </c>
      <c r="F108" s="21"/>
      <c r="G108" s="21"/>
      <c r="H108" s="1086"/>
      <c r="I108" s="93"/>
      <c r="J108" s="93"/>
      <c r="K108" s="93"/>
      <c r="L108" s="1329"/>
      <c r="M108" s="522"/>
      <c r="O108" s="1310"/>
      <c r="P108" s="440"/>
      <c r="Q108" s="440"/>
      <c r="X108" s="1303"/>
      <c r="AU108" s="43"/>
      <c r="AV108" s="43"/>
    </row>
    <row r="109" spans="1:51" x14ac:dyDescent="0.3">
      <c r="B109" s="21" t="s">
        <v>426</v>
      </c>
      <c r="C109" s="21"/>
      <c r="D109" s="21"/>
      <c r="E109" s="21" t="s">
        <v>275</v>
      </c>
      <c r="F109" s="21"/>
      <c r="G109" s="21"/>
      <c r="H109" s="1086"/>
      <c r="I109" s="93"/>
      <c r="J109" s="93"/>
      <c r="K109" s="93"/>
      <c r="L109" s="1329"/>
      <c r="M109" s="522"/>
      <c r="O109" s="1310"/>
      <c r="P109" s="440"/>
      <c r="Q109" s="440"/>
      <c r="X109" s="1303"/>
      <c r="AU109" s="43"/>
      <c r="AV109" s="43"/>
    </row>
    <row r="110" spans="1:51" x14ac:dyDescent="0.3">
      <c r="B110" s="21" t="s">
        <v>426</v>
      </c>
      <c r="C110" s="21"/>
      <c r="D110" s="21"/>
      <c r="E110" s="21" t="s">
        <v>275</v>
      </c>
      <c r="F110" s="21"/>
      <c r="G110" s="21"/>
      <c r="H110" s="1086"/>
      <c r="I110" s="93"/>
      <c r="J110" s="93"/>
      <c r="K110" s="93"/>
      <c r="L110" s="1329"/>
      <c r="M110" s="522"/>
      <c r="O110" s="1310"/>
      <c r="P110" s="440"/>
      <c r="Q110" s="440"/>
      <c r="X110" s="1303"/>
      <c r="AU110" s="43"/>
      <c r="AV110" s="43"/>
    </row>
    <row r="111" spans="1:51" x14ac:dyDescent="0.3">
      <c r="B111" s="21" t="s">
        <v>426</v>
      </c>
      <c r="C111" s="21"/>
      <c r="D111" s="21"/>
      <c r="E111" s="21" t="s">
        <v>275</v>
      </c>
      <c r="F111" s="21" t="s">
        <v>121</v>
      </c>
      <c r="G111" s="21"/>
      <c r="H111" s="1086"/>
      <c r="I111" s="93"/>
      <c r="J111" s="93"/>
      <c r="K111" s="90" t="s">
        <v>121</v>
      </c>
      <c r="L111" s="86" t="s">
        <v>431</v>
      </c>
      <c r="M111" s="522">
        <v>5</v>
      </c>
      <c r="O111" s="154"/>
      <c r="P111" s="440"/>
      <c r="Q111" s="440"/>
      <c r="X111" s="1303"/>
      <c r="AL111" s="1059" t="str">
        <f t="shared" ref="AL111:AL113" si="14">SUBSTITUTE(SUBSTITUTE(SUBSTITUTE("dpa"&amp;$B111&amp;$C111&amp;$D111&amp;$E111&amp;$F111,".","_"),"(","_"),")","")</f>
        <v>dpa503_4_3_a</v>
      </c>
      <c r="AM111" s="136">
        <f>M111</f>
        <v>5</v>
      </c>
      <c r="AU111" s="43"/>
      <c r="AV111" s="43"/>
    </row>
    <row r="112" spans="1:51" x14ac:dyDescent="0.3">
      <c r="B112" s="21" t="s">
        <v>426</v>
      </c>
      <c r="C112" s="21"/>
      <c r="D112" s="21"/>
      <c r="E112" s="21" t="s">
        <v>275</v>
      </c>
      <c r="F112" s="21" t="s">
        <v>122</v>
      </c>
      <c r="G112" s="21"/>
      <c r="H112" s="1086"/>
      <c r="I112" s="93"/>
      <c r="J112" s="93"/>
      <c r="K112" s="90" t="s">
        <v>122</v>
      </c>
      <c r="L112" s="86" t="s">
        <v>432</v>
      </c>
      <c r="M112" s="522">
        <v>8</v>
      </c>
      <c r="O112" s="154"/>
      <c r="P112" s="440"/>
      <c r="Q112" s="440"/>
      <c r="X112" s="1303"/>
      <c r="AL112" s="1059" t="str">
        <f t="shared" si="14"/>
        <v>dpa503_4_3_b</v>
      </c>
      <c r="AM112" s="136">
        <f>M112</f>
        <v>8</v>
      </c>
      <c r="AU112" s="43"/>
      <c r="AV112" s="43"/>
    </row>
    <row r="113" spans="2:48" x14ac:dyDescent="0.3">
      <c r="B113" s="21" t="s">
        <v>426</v>
      </c>
      <c r="C113" s="21"/>
      <c r="D113" s="21"/>
      <c r="E113" s="21" t="s">
        <v>275</v>
      </c>
      <c r="F113" s="21" t="s">
        <v>123</v>
      </c>
      <c r="G113" s="21"/>
      <c r="H113" s="1086"/>
      <c r="I113" s="93"/>
      <c r="J113" s="195"/>
      <c r="K113" s="197" t="s">
        <v>123</v>
      </c>
      <c r="L113" s="193" t="s">
        <v>433</v>
      </c>
      <c r="M113" s="520">
        <v>10</v>
      </c>
      <c r="N113" s="196"/>
      <c r="O113" s="597"/>
      <c r="P113" s="440"/>
      <c r="Q113" s="440"/>
      <c r="X113" s="1303"/>
      <c r="AL113" s="1059" t="str">
        <f t="shared" si="14"/>
        <v>dpa503_4_3_c</v>
      </c>
      <c r="AM113" s="136">
        <f>M113</f>
        <v>10</v>
      </c>
      <c r="AU113" s="43"/>
      <c r="AV113" s="43"/>
    </row>
    <row r="114" spans="2:48" x14ac:dyDescent="0.3">
      <c r="B114" s="21" t="s">
        <v>426</v>
      </c>
      <c r="C114" s="21"/>
      <c r="D114" s="21"/>
      <c r="E114" s="21" t="s">
        <v>285</v>
      </c>
      <c r="F114" s="21"/>
      <c r="G114" s="21"/>
      <c r="H114" s="1086"/>
      <c r="I114" s="107"/>
      <c r="J114" s="94" t="s">
        <v>285</v>
      </c>
      <c r="K114" s="115"/>
      <c r="L114" s="1305" t="s">
        <v>434</v>
      </c>
      <c r="M114" s="518"/>
      <c r="N114" s="97"/>
      <c r="O114" s="1310">
        <f ca="1">S114*IFERROR(INDEX({5,8,10},MATCH(W114,INDIRECT(U114))),0)</f>
        <v>0</v>
      </c>
      <c r="P114" s="97" t="b">
        <v>1</v>
      </c>
      <c r="Q114" s="97" t="b">
        <v>1</v>
      </c>
      <c r="R114" s="97" t="b">
        <v>0</v>
      </c>
      <c r="S114" s="97" t="b">
        <v>1</v>
      </c>
      <c r="T114" s="97" t="b">
        <v>0</v>
      </c>
      <c r="U114" s="97" t="str">
        <f>SUBSTITUTE(SUBSTITUTE(SUBSTITUTE("dd"&amp;B114&amp;C114&amp;D114&amp;E114&amp;F114,".","_"),"(","_"),")","")</f>
        <v>dd503_4_4</v>
      </c>
      <c r="V114" s="97"/>
      <c r="W114" s="12"/>
      <c r="X114" s="1295"/>
      <c r="AN114" s="1059" t="str">
        <f>SUBSTITUTE(SUBSTITUTE(SUBSTITUTE("dpc"&amp;$B114&amp;$C114&amp;$D114&amp;$E114&amp;$F114,".","_"),"(","_"),")","")</f>
        <v>dpc503_4_4</v>
      </c>
      <c r="AO114" s="136">
        <f ca="1">O114</f>
        <v>0</v>
      </c>
      <c r="AP114" s="1059" t="str">
        <f>SUBSTITUTE(SUBSTITUTE(SUBSTITUTE("dch"&amp;$B114&amp;$C114&amp;$D114&amp;$E114&amp;$F114,".","_"),"(","_"),")","")</f>
        <v>dch503_4_4</v>
      </c>
      <c r="AQ114" s="136">
        <f>W114</f>
        <v>0</v>
      </c>
      <c r="AR114" s="1059" t="str">
        <f>SUBSTITUTE(SUBSTITUTE(SUBSTITUTE("dnt"&amp;$B114&amp;$C114&amp;$D114&amp;$E114&amp;$F114,".","_"),"(","_"),")","")</f>
        <v>dnt503_4_4</v>
      </c>
      <c r="AS114" s="136">
        <f>X114</f>
        <v>0</v>
      </c>
      <c r="AU114" s="43"/>
      <c r="AV114" s="43"/>
    </row>
    <row r="115" spans="2:48" x14ac:dyDescent="0.3">
      <c r="B115" s="21" t="s">
        <v>426</v>
      </c>
      <c r="C115" s="21"/>
      <c r="D115" s="21"/>
      <c r="E115" s="21" t="s">
        <v>285</v>
      </c>
      <c r="F115" s="21"/>
      <c r="G115" s="21"/>
      <c r="H115" s="1086"/>
      <c r="I115" s="107"/>
      <c r="J115" s="107"/>
      <c r="K115" s="107"/>
      <c r="L115" s="1305"/>
      <c r="M115" s="518"/>
      <c r="N115" s="97"/>
      <c r="O115" s="1310"/>
      <c r="P115" s="97"/>
      <c r="Q115" s="97"/>
      <c r="R115" s="97"/>
      <c r="S115" s="97"/>
      <c r="T115" s="97"/>
      <c r="U115" s="97"/>
      <c r="V115" s="97"/>
      <c r="W115" s="97"/>
      <c r="X115" s="1295"/>
      <c r="AU115" s="43"/>
      <c r="AV115" s="43"/>
    </row>
    <row r="116" spans="2:48" x14ac:dyDescent="0.3">
      <c r="B116" s="21" t="s">
        <v>426</v>
      </c>
      <c r="C116" s="21"/>
      <c r="D116" s="21"/>
      <c r="E116" s="21" t="s">
        <v>285</v>
      </c>
      <c r="F116" s="21" t="s">
        <v>121</v>
      </c>
      <c r="G116" s="21"/>
      <c r="H116" s="1086"/>
      <c r="I116" s="107"/>
      <c r="J116" s="107"/>
      <c r="K116" s="94" t="s">
        <v>121</v>
      </c>
      <c r="L116" s="98" t="s">
        <v>435</v>
      </c>
      <c r="M116" s="518">
        <v>5</v>
      </c>
      <c r="N116" s="97"/>
      <c r="O116" s="154"/>
      <c r="P116" s="97"/>
      <c r="Q116" s="97"/>
      <c r="R116" s="97"/>
      <c r="S116" s="97"/>
      <c r="T116" s="97"/>
      <c r="U116" s="97"/>
      <c r="V116" s="97"/>
      <c r="W116" s="97"/>
      <c r="X116" s="1295"/>
      <c r="AL116" s="1059" t="str">
        <f>SUBSTITUTE(SUBSTITUTE(SUBSTITUTE("dpa"&amp;$B116&amp;$C116&amp;$D116&amp;$E116&amp;$F116,".","_"),"(","_"),")","")</f>
        <v>dpa503_4_4_a</v>
      </c>
      <c r="AM116" s="136">
        <f>M116</f>
        <v>5</v>
      </c>
      <c r="AU116" s="43"/>
      <c r="AV116" s="43"/>
    </row>
    <row r="117" spans="2:48" x14ac:dyDescent="0.3">
      <c r="B117" s="21" t="s">
        <v>426</v>
      </c>
      <c r="C117" s="21"/>
      <c r="D117" s="21"/>
      <c r="E117" s="21" t="s">
        <v>285</v>
      </c>
      <c r="F117" s="21" t="s">
        <v>122</v>
      </c>
      <c r="G117" s="21"/>
      <c r="H117" s="1086"/>
      <c r="I117" s="107"/>
      <c r="J117" s="107"/>
      <c r="K117" s="94" t="s">
        <v>122</v>
      </c>
      <c r="L117" s="98" t="s">
        <v>436</v>
      </c>
      <c r="M117" s="518">
        <v>8</v>
      </c>
      <c r="N117" s="97"/>
      <c r="O117" s="154"/>
      <c r="P117" s="97"/>
      <c r="Q117" s="97"/>
      <c r="R117" s="97"/>
      <c r="S117" s="97"/>
      <c r="T117" s="97"/>
      <c r="U117" s="97"/>
      <c r="V117" s="97"/>
      <c r="W117" s="97"/>
      <c r="X117" s="1295"/>
      <c r="AL117" s="1059" t="str">
        <f>SUBSTITUTE(SUBSTITUTE(SUBSTITUTE("dpa"&amp;$B117&amp;$C117&amp;$D117&amp;$E117&amp;$F117,".","_"),"(","_"),")","")</f>
        <v>dpa503_4_4_b</v>
      </c>
      <c r="AM117" s="136">
        <f>M117</f>
        <v>8</v>
      </c>
      <c r="AU117" s="43"/>
      <c r="AV117" s="43"/>
    </row>
    <row r="118" spans="2:48" ht="15" thickBot="1" x14ac:dyDescent="0.35">
      <c r="B118" s="21" t="s">
        <v>426</v>
      </c>
      <c r="C118" s="21"/>
      <c r="D118" s="21"/>
      <c r="E118" s="21" t="s">
        <v>285</v>
      </c>
      <c r="F118" s="21" t="s">
        <v>123</v>
      </c>
      <c r="G118" s="21"/>
      <c r="H118" s="1086"/>
      <c r="I118" s="108"/>
      <c r="J118" s="108"/>
      <c r="K118" s="116" t="s">
        <v>123</v>
      </c>
      <c r="L118" s="100" t="s">
        <v>437</v>
      </c>
      <c r="M118" s="523">
        <v>10</v>
      </c>
      <c r="N118" s="104"/>
      <c r="O118" s="271"/>
      <c r="P118" s="104"/>
      <c r="Q118" s="104"/>
      <c r="R118" s="104"/>
      <c r="S118" s="104"/>
      <c r="T118" s="104"/>
      <c r="U118" s="104"/>
      <c r="V118" s="104"/>
      <c r="W118" s="104"/>
      <c r="X118" s="1296"/>
      <c r="AL118" s="1059" t="str">
        <f>SUBSTITUTE(SUBSTITUTE(SUBSTITUTE("dpa"&amp;$B118&amp;$C118&amp;$D118&amp;$E118&amp;$F118,".","_"),"(","_"),")","")</f>
        <v>dpa503_4_4_c</v>
      </c>
      <c r="AM118" s="136">
        <f>M118</f>
        <v>10</v>
      </c>
      <c r="AU118" s="43"/>
      <c r="AV118" s="43"/>
    </row>
    <row r="119" spans="2:48" ht="15" thickTop="1" x14ac:dyDescent="0.3">
      <c r="B119" s="21" t="s">
        <v>438</v>
      </c>
      <c r="C119" s="21"/>
      <c r="D119" s="21"/>
      <c r="E119" s="21"/>
      <c r="F119" s="21"/>
      <c r="G119" s="21"/>
      <c r="H119" s="1086"/>
      <c r="I119" s="67">
        <v>503.5</v>
      </c>
      <c r="J119" s="93"/>
      <c r="K119" s="93"/>
      <c r="L119" s="1292" t="s">
        <v>439</v>
      </c>
      <c r="M119" s="522"/>
      <c r="O119" s="4"/>
      <c r="P119" s="440"/>
      <c r="Q119" s="440"/>
      <c r="X119" s="1304"/>
      <c r="AR119" s="1059" t="str">
        <f>SUBSTITUTE(SUBSTITUTE(SUBSTITUTE("dnt"&amp;$B119&amp;$C119&amp;$D119&amp;$E119&amp;$F119,".","_"),"(","_"),")","")</f>
        <v>dnt503_5</v>
      </c>
      <c r="AS119" s="136">
        <f>X119</f>
        <v>0</v>
      </c>
      <c r="AU119" s="43"/>
      <c r="AV119" s="43"/>
    </row>
    <row r="120" spans="2:48" x14ac:dyDescent="0.3">
      <c r="B120" s="21" t="s">
        <v>438</v>
      </c>
      <c r="C120" s="21"/>
      <c r="D120" s="21"/>
      <c r="E120" s="21"/>
      <c r="F120" s="21"/>
      <c r="G120" s="21"/>
      <c r="H120" s="1086"/>
      <c r="I120" s="93"/>
      <c r="J120" s="93"/>
      <c r="K120" s="93"/>
      <c r="L120" s="1292"/>
      <c r="M120" s="522"/>
      <c r="O120" s="4"/>
      <c r="P120" s="440"/>
      <c r="Q120" s="440"/>
      <c r="X120" s="1303"/>
      <c r="AU120" s="43"/>
      <c r="AV120" s="43"/>
    </row>
    <row r="121" spans="2:48" x14ac:dyDescent="0.3">
      <c r="B121" s="21" t="s">
        <v>438</v>
      </c>
      <c r="C121" s="21"/>
      <c r="D121" s="21"/>
      <c r="E121" s="21"/>
      <c r="F121" s="21"/>
      <c r="G121" s="21"/>
      <c r="H121" s="1086"/>
      <c r="I121" s="93"/>
      <c r="J121" s="93"/>
      <c r="K121" s="93"/>
      <c r="L121" s="1328" t="s">
        <v>440</v>
      </c>
      <c r="M121" s="522"/>
      <c r="O121" s="4"/>
      <c r="P121" s="97" t="b">
        <v>0</v>
      </c>
      <c r="Q121" s="97" t="b">
        <v>1</v>
      </c>
      <c r="R121" s="79" t="b">
        <v>0</v>
      </c>
      <c r="S121" s="79" t="b">
        <v>1</v>
      </c>
      <c r="T121" s="79" t="b">
        <v>0</v>
      </c>
      <c r="U121" s="79" t="str">
        <f>SUBSTITUTE(SUBSTITUTE(SUBSTITUTE("dd"&amp;B121&amp;C121&amp;D121&amp;E121&amp;F121,".","_"),"(","_"),")","")</f>
        <v>dd503_5</v>
      </c>
      <c r="W121" s="130" t="s">
        <v>837</v>
      </c>
      <c r="X121" s="1303"/>
      <c r="AP121" s="1059" t="str">
        <f>SUBSTITUTE(SUBSTITUTE(SUBSTITUTE("dch"&amp;$B121&amp;$C121&amp;$D121&amp;$E121&amp;$F121,".","_"),"(","_"),")","")</f>
        <v>dch503_5</v>
      </c>
      <c r="AQ121" s="136" t="str">
        <f>W121</f>
        <v>full</v>
      </c>
      <c r="AU121" s="43"/>
      <c r="AV121" s="43"/>
    </row>
    <row r="122" spans="2:48" x14ac:dyDescent="0.3">
      <c r="B122" s="21" t="s">
        <v>438</v>
      </c>
      <c r="C122" s="21"/>
      <c r="D122" s="21"/>
      <c r="E122" s="21"/>
      <c r="F122" s="21"/>
      <c r="G122" s="21"/>
      <c r="H122" s="1086"/>
      <c r="I122" s="93"/>
      <c r="J122" s="93"/>
      <c r="K122" s="93"/>
      <c r="L122" s="1328"/>
      <c r="M122" s="522"/>
      <c r="O122" s="4"/>
      <c r="P122" s="440"/>
      <c r="Q122" s="440"/>
      <c r="X122" s="1303"/>
      <c r="AU122" s="43"/>
      <c r="AV122" s="43"/>
    </row>
    <row r="123" spans="2:48" x14ac:dyDescent="0.3">
      <c r="B123" s="21" t="s">
        <v>438</v>
      </c>
      <c r="C123" s="21"/>
      <c r="D123" s="21"/>
      <c r="E123" s="21" t="s">
        <v>271</v>
      </c>
      <c r="F123" s="21"/>
      <c r="G123" s="21"/>
      <c r="H123" s="1086"/>
      <c r="I123" s="93"/>
      <c r="J123" s="90" t="s">
        <v>271</v>
      </c>
      <c r="K123" s="93"/>
      <c r="L123" s="1329" t="s">
        <v>441</v>
      </c>
      <c r="M123" s="522"/>
      <c r="O123" s="1310">
        <f ca="1">S123*IFERROR(INDEX(M125:M128,MATCH(W123,INDIRECT(U123))),0)</f>
        <v>0</v>
      </c>
      <c r="P123" s="97" t="b">
        <v>0</v>
      </c>
      <c r="Q123" s="97" t="b">
        <v>1</v>
      </c>
      <c r="R123" s="65" t="b">
        <v>0</v>
      </c>
      <c r="S123" s="65" t="b">
        <f>NOT(ISBLANK(W121))</f>
        <v>1</v>
      </c>
      <c r="T123" s="97" t="b">
        <f>AND(NOT(S123),LEN(W123)&gt;0)</f>
        <v>0</v>
      </c>
      <c r="U123" s="65" t="str">
        <f>SUBSTITUTE(SUBSTITUTE(SUBSTITUTE("dd"&amp;B123&amp;C123&amp;D123&amp;E123&amp;F123,".","_"),"(","_"),")","")</f>
        <v>dd503_5_1</v>
      </c>
      <c r="W123" s="130"/>
      <c r="X123" s="1303"/>
      <c r="AC123" s="131" t="b">
        <f>OR(AD123:AE123)</f>
        <v>0</v>
      </c>
      <c r="AD123" s="131" t="b">
        <f>T123</f>
        <v>0</v>
      </c>
      <c r="AN123" s="1059" t="str">
        <f>SUBSTITUTE(SUBSTITUTE(SUBSTITUTE("dpc"&amp;$B123&amp;$C123&amp;$D123&amp;$E123&amp;$F123,".","_"),"(","_"),")","")</f>
        <v>dpc503_5_1</v>
      </c>
      <c r="AO123" s="136">
        <f ca="1">O123</f>
        <v>0</v>
      </c>
      <c r="AP123" s="1059" t="str">
        <f>SUBSTITUTE(SUBSTITUTE(SUBSTITUTE("dch"&amp;$B123&amp;$C123&amp;$D123&amp;$E123&amp;$F123,".","_"),"(","_"),")","")</f>
        <v>dch503_5_1</v>
      </c>
      <c r="AQ123" s="136">
        <f>W123</f>
        <v>0</v>
      </c>
      <c r="AR123" s="1059" t="str">
        <f>SUBSTITUTE(SUBSTITUTE(SUBSTITUTE("dnt"&amp;$B123&amp;$C123&amp;$D123&amp;$E123&amp;$F123,".","_"),"(","_"),")","")</f>
        <v>dnt503_5_1</v>
      </c>
      <c r="AS123" s="136">
        <f>X123</f>
        <v>0</v>
      </c>
      <c r="AU123" s="43"/>
      <c r="AV123" s="43"/>
    </row>
    <row r="124" spans="2:48" x14ac:dyDescent="0.3">
      <c r="B124" s="21" t="s">
        <v>438</v>
      </c>
      <c r="C124" s="21"/>
      <c r="D124" s="21"/>
      <c r="E124" s="21" t="s">
        <v>271</v>
      </c>
      <c r="F124" s="21"/>
      <c r="G124" s="21"/>
      <c r="H124" s="1086"/>
      <c r="I124" s="93"/>
      <c r="J124" s="90"/>
      <c r="K124" s="93"/>
      <c r="L124" s="1329"/>
      <c r="M124" s="522"/>
      <c r="O124" s="1310"/>
      <c r="P124" s="440"/>
      <c r="Q124" s="440"/>
      <c r="X124" s="1303"/>
      <c r="AU124" s="43"/>
      <c r="AV124" s="43"/>
    </row>
    <row r="125" spans="2:48" x14ac:dyDescent="0.3">
      <c r="B125" s="21" t="s">
        <v>438</v>
      </c>
      <c r="C125" s="21"/>
      <c r="D125" s="21"/>
      <c r="E125" s="21" t="s">
        <v>271</v>
      </c>
      <c r="F125" s="21" t="s">
        <v>121</v>
      </c>
      <c r="G125" s="21"/>
      <c r="H125" s="1086"/>
      <c r="I125" s="93"/>
      <c r="J125" s="93"/>
      <c r="K125" s="90" t="s">
        <v>121</v>
      </c>
      <c r="L125" s="86" t="s">
        <v>442</v>
      </c>
      <c r="M125" s="590">
        <f ca="1">4*IFERROR(INDEX({0.5,0.5,1},MATCH($W$121,INDIRECT($U$121),0)),0)</f>
        <v>4</v>
      </c>
      <c r="O125" s="154"/>
      <c r="P125" s="440"/>
      <c r="Q125" s="440"/>
      <c r="X125" s="1303"/>
      <c r="AL125" s="1059" t="str">
        <f t="shared" ref="AL125:AL129" si="15">SUBSTITUTE(SUBSTITUTE(SUBSTITUTE("dpa"&amp;$B125&amp;$C125&amp;$D125&amp;$E125&amp;$F125,".","_"),"(","_"),")","")</f>
        <v>dpa503_5_1_a</v>
      </c>
      <c r="AM125" s="136">
        <f ca="1">M125</f>
        <v>4</v>
      </c>
      <c r="AU125" s="43"/>
      <c r="AV125" s="43"/>
    </row>
    <row r="126" spans="2:48" x14ac:dyDescent="0.3">
      <c r="B126" s="21" t="s">
        <v>438</v>
      </c>
      <c r="C126" s="21"/>
      <c r="D126" s="21"/>
      <c r="E126" s="21" t="s">
        <v>271</v>
      </c>
      <c r="F126" s="21" t="s">
        <v>122</v>
      </c>
      <c r="G126" s="21"/>
      <c r="H126" s="1086"/>
      <c r="I126" s="93"/>
      <c r="J126" s="93"/>
      <c r="K126" s="90" t="s">
        <v>122</v>
      </c>
      <c r="L126" s="86" t="s">
        <v>443</v>
      </c>
      <c r="M126" s="590">
        <f ca="1">3*IFERROR(INDEX({0.5,0.5,1},MATCH($W$121,INDIRECT($U$121),0)),0)</f>
        <v>3</v>
      </c>
      <c r="O126" s="154"/>
      <c r="P126" s="440"/>
      <c r="Q126" s="440"/>
      <c r="X126" s="1303"/>
      <c r="AL126" s="1059" t="str">
        <f t="shared" si="15"/>
        <v>dpa503_5_1_b</v>
      </c>
      <c r="AM126" s="136">
        <f ca="1">M126</f>
        <v>3</v>
      </c>
      <c r="AU126" s="43"/>
      <c r="AV126" s="43"/>
    </row>
    <row r="127" spans="2:48" x14ac:dyDescent="0.3">
      <c r="B127" s="21" t="s">
        <v>438</v>
      </c>
      <c r="C127" s="21"/>
      <c r="D127" s="21"/>
      <c r="E127" s="21" t="s">
        <v>271</v>
      </c>
      <c r="F127" s="21" t="s">
        <v>123</v>
      </c>
      <c r="G127" s="21"/>
      <c r="H127" s="1086"/>
      <c r="I127" s="93"/>
      <c r="J127" s="93"/>
      <c r="K127" s="92" t="s">
        <v>123</v>
      </c>
      <c r="L127" s="86" t="s">
        <v>444</v>
      </c>
      <c r="M127" s="590">
        <f ca="1">2*IFERROR(INDEX({0.5,0.5,1},MATCH($W$121,INDIRECT($U$121),0)),0)</f>
        <v>2</v>
      </c>
      <c r="O127" s="154"/>
      <c r="P127" s="440"/>
      <c r="Q127" s="440"/>
      <c r="X127" s="1303"/>
      <c r="AL127" s="1059" t="str">
        <f t="shared" si="15"/>
        <v>dpa503_5_1_c</v>
      </c>
      <c r="AM127" s="136">
        <f ca="1">M127</f>
        <v>2</v>
      </c>
      <c r="AU127" s="43"/>
      <c r="AV127" s="43"/>
    </row>
    <row r="128" spans="2:48" x14ac:dyDescent="0.3">
      <c r="B128" s="21" t="s">
        <v>438</v>
      </c>
      <c r="C128" s="21"/>
      <c r="D128" s="21"/>
      <c r="E128" s="21" t="s">
        <v>271</v>
      </c>
      <c r="F128" s="21" t="s">
        <v>423</v>
      </c>
      <c r="G128" s="21"/>
      <c r="H128" s="1086"/>
      <c r="I128" s="93"/>
      <c r="J128" s="195"/>
      <c r="K128" s="197" t="s">
        <v>423</v>
      </c>
      <c r="L128" s="193" t="s">
        <v>445</v>
      </c>
      <c r="M128" s="591">
        <f ca="1">1*IFERROR(INDEX({0.5,0.5,1},MATCH($W$121,INDIRECT($U$121),0)),0)</f>
        <v>1</v>
      </c>
      <c r="N128" s="196"/>
      <c r="O128" s="597"/>
      <c r="P128" s="440"/>
      <c r="Q128" s="440"/>
      <c r="X128" s="1303"/>
      <c r="AL128" s="1059" t="str">
        <f t="shared" si="15"/>
        <v>dpa503_5_1_d</v>
      </c>
      <c r="AM128" s="136">
        <f ca="1">M128</f>
        <v>1</v>
      </c>
      <c r="AU128" s="43"/>
      <c r="AV128" s="43"/>
    </row>
    <row r="129" spans="2:48" x14ac:dyDescent="0.3">
      <c r="B129" s="21" t="s">
        <v>438</v>
      </c>
      <c r="C129" s="21"/>
      <c r="D129" s="21"/>
      <c r="E129" s="21" t="s">
        <v>273</v>
      </c>
      <c r="F129" s="21"/>
      <c r="G129" s="21"/>
      <c r="H129" s="1086"/>
      <c r="I129" s="93"/>
      <c r="J129" s="94" t="s">
        <v>273</v>
      </c>
      <c r="K129" s="107"/>
      <c r="L129" s="1305" t="s">
        <v>446</v>
      </c>
      <c r="M129" s="1325">
        <f ca="1">7*IFERROR(INDEX({0.5,0.5,1},MATCH($W$121,INDIRECT($U$121),0)),0)</f>
        <v>7</v>
      </c>
      <c r="N129" s="97"/>
      <c r="O129" s="1308">
        <f ca="1">M129*S129*W129</f>
        <v>7</v>
      </c>
      <c r="P129" s="440" t="b">
        <v>0</v>
      </c>
      <c r="Q129" s="440" t="b">
        <v>1</v>
      </c>
      <c r="R129" s="65" t="b">
        <v>0</v>
      </c>
      <c r="S129" s="131" t="b">
        <f>NOT(ISBLANK(W121))</f>
        <v>1</v>
      </c>
      <c r="T129" s="97" t="b">
        <f>AND(NOT(S129),W129=TRUE)</f>
        <v>0</v>
      </c>
      <c r="W129" s="25" t="b">
        <v>1</v>
      </c>
      <c r="X129" s="1303"/>
      <c r="AC129" s="131" t="b">
        <f>OR(AD129:AE129)</f>
        <v>0</v>
      </c>
      <c r="AD129" s="131" t="b">
        <f>T129</f>
        <v>0</v>
      </c>
      <c r="AL129" s="1059" t="str">
        <f t="shared" si="15"/>
        <v>dpa503_5_2</v>
      </c>
      <c r="AM129" s="136">
        <f ca="1">M129</f>
        <v>7</v>
      </c>
      <c r="AN129" s="1059" t="str">
        <f>SUBSTITUTE(SUBSTITUTE(SUBSTITUTE("dpc"&amp;$B129&amp;$C129&amp;$D129&amp;$E129&amp;$F129,".","_"),"(","_"),")","")</f>
        <v>dpc503_5_2</v>
      </c>
      <c r="AO129" s="136">
        <f ca="1">O129</f>
        <v>7</v>
      </c>
      <c r="AP129" s="1059" t="str">
        <f>SUBSTITUTE(SUBSTITUTE(SUBSTITUTE("dch"&amp;$B129&amp;$C129&amp;$D129&amp;$E129&amp;$F129,".","_"),"(","_"),")","")</f>
        <v>dch503_5_2</v>
      </c>
      <c r="AQ129" s="136" t="b">
        <f>W129</f>
        <v>1</v>
      </c>
      <c r="AR129" s="1059" t="str">
        <f>SUBSTITUTE(SUBSTITUTE(SUBSTITUTE("dnt"&amp;$B129&amp;$C129&amp;$D129&amp;$E129&amp;$F129,".","_"),"(","_"),")","")</f>
        <v>dnt503_5_2</v>
      </c>
      <c r="AS129" s="136">
        <f>X129</f>
        <v>0</v>
      </c>
      <c r="AU129" s="43"/>
      <c r="AV129" s="43"/>
    </row>
    <row r="130" spans="2:48" x14ac:dyDescent="0.3">
      <c r="B130" s="21" t="s">
        <v>438</v>
      </c>
      <c r="C130" s="21"/>
      <c r="D130" s="21"/>
      <c r="E130" s="21" t="s">
        <v>273</v>
      </c>
      <c r="F130" s="21"/>
      <c r="G130" s="21"/>
      <c r="H130" s="1086"/>
      <c r="I130" s="93"/>
      <c r="J130" s="195"/>
      <c r="K130" s="195"/>
      <c r="L130" s="1306"/>
      <c r="M130" s="1326"/>
      <c r="N130" s="196"/>
      <c r="O130" s="1309"/>
      <c r="P130" s="440"/>
      <c r="Q130" s="440"/>
      <c r="X130" s="1303"/>
      <c r="AU130" s="43"/>
      <c r="AV130" s="43"/>
    </row>
    <row r="131" spans="2:48" x14ac:dyDescent="0.3">
      <c r="B131" s="21" t="s">
        <v>438</v>
      </c>
      <c r="C131" s="21"/>
      <c r="D131" s="21"/>
      <c r="E131" s="21" t="s">
        <v>275</v>
      </c>
      <c r="F131" s="21"/>
      <c r="G131" s="21"/>
      <c r="H131" s="1086"/>
      <c r="I131" s="93"/>
      <c r="J131" s="94" t="s">
        <v>275</v>
      </c>
      <c r="K131" s="107"/>
      <c r="L131" s="1305" t="s">
        <v>447</v>
      </c>
      <c r="M131" s="1325">
        <f ca="1">3*IFERROR(INDEX({0.5,0.5,1},MATCH($W$121,INDIRECT($U$121),0)),0)</f>
        <v>3</v>
      </c>
      <c r="N131" s="97"/>
      <c r="O131" s="1308">
        <f ca="1">M131*S131*W131</f>
        <v>0</v>
      </c>
      <c r="P131" s="440" t="b">
        <v>0</v>
      </c>
      <c r="Q131" s="440" t="b">
        <v>1</v>
      </c>
      <c r="R131" s="65" t="b">
        <v>0</v>
      </c>
      <c r="S131" s="131" t="b">
        <f>NOT(ISBLANK(W121))</f>
        <v>1</v>
      </c>
      <c r="T131" s="97" t="b">
        <f>AND(NOT(S131),W131=TRUE)</f>
        <v>0</v>
      </c>
      <c r="W131" s="25"/>
      <c r="X131" s="1303"/>
      <c r="AC131" s="131" t="b">
        <f>OR(AD131:AE131)</f>
        <v>0</v>
      </c>
      <c r="AD131" s="131" t="b">
        <f>T131</f>
        <v>0</v>
      </c>
      <c r="AL131" s="1059" t="str">
        <f>SUBSTITUTE(SUBSTITUTE(SUBSTITUTE("dpa"&amp;$B131&amp;$C131&amp;$D131&amp;$E131&amp;$F131,".","_"),"(","_"),")","")</f>
        <v>dpa503_5_3</v>
      </c>
      <c r="AM131" s="136">
        <f ca="1">M131</f>
        <v>3</v>
      </c>
      <c r="AN131" s="1059" t="str">
        <f>SUBSTITUTE(SUBSTITUTE(SUBSTITUTE("dpc"&amp;$B131&amp;$C131&amp;$D131&amp;$E131&amp;$F131,".","_"),"(","_"),")","")</f>
        <v>dpc503_5_3</v>
      </c>
      <c r="AO131" s="136">
        <f ca="1">O131</f>
        <v>0</v>
      </c>
      <c r="AP131" s="1059" t="str">
        <f>SUBSTITUTE(SUBSTITUTE(SUBSTITUTE("dch"&amp;$B131&amp;$C131&amp;$D131&amp;$E131&amp;$F131,".","_"),"(","_"),")","")</f>
        <v>dch503_5_3</v>
      </c>
      <c r="AQ131" s="136">
        <f>W131</f>
        <v>0</v>
      </c>
      <c r="AR131" s="1059" t="str">
        <f>SUBSTITUTE(SUBSTITUTE(SUBSTITUTE("dnt"&amp;$B131&amp;$C131&amp;$D131&amp;$E131&amp;$F131,".","_"),"(","_"),")","")</f>
        <v>dnt503_5_3</v>
      </c>
      <c r="AS131" s="136">
        <f>X131</f>
        <v>0</v>
      </c>
      <c r="AU131" s="43"/>
      <c r="AV131" s="43"/>
    </row>
    <row r="132" spans="2:48" x14ac:dyDescent="0.3">
      <c r="B132" s="21" t="s">
        <v>438</v>
      </c>
      <c r="C132" s="21"/>
      <c r="D132" s="21"/>
      <c r="E132" s="21" t="s">
        <v>275</v>
      </c>
      <c r="F132" s="21"/>
      <c r="G132" s="21"/>
      <c r="H132" s="1086"/>
      <c r="I132" s="93"/>
      <c r="J132" s="195"/>
      <c r="K132" s="195"/>
      <c r="L132" s="1306"/>
      <c r="M132" s="1326"/>
      <c r="N132" s="196"/>
      <c r="O132" s="1309"/>
      <c r="P132" s="440"/>
      <c r="Q132" s="440"/>
      <c r="X132" s="1303"/>
      <c r="AU132" s="43"/>
      <c r="AV132" s="43"/>
    </row>
    <row r="133" spans="2:48" x14ac:dyDescent="0.3">
      <c r="B133" s="21" t="s">
        <v>438</v>
      </c>
      <c r="C133" s="21"/>
      <c r="D133" s="21"/>
      <c r="E133" s="21" t="s">
        <v>285</v>
      </c>
      <c r="F133" s="21"/>
      <c r="G133" s="21"/>
      <c r="H133" s="1086"/>
      <c r="I133" s="93"/>
      <c r="J133" s="94" t="s">
        <v>285</v>
      </c>
      <c r="K133" s="107"/>
      <c r="L133" s="1305" t="s">
        <v>448</v>
      </c>
      <c r="M133" s="1325">
        <f ca="1">2*IFERROR(INDEX({0.5,0.5,1},MATCH($W$121,INDIRECT($U$121),0)),0)</f>
        <v>2</v>
      </c>
      <c r="N133" s="97"/>
      <c r="O133" s="1308">
        <f ca="1">M133*S133*W133</f>
        <v>0</v>
      </c>
      <c r="P133" s="440" t="b">
        <v>0</v>
      </c>
      <c r="Q133" s="440" t="b">
        <v>1</v>
      </c>
      <c r="R133" s="65" t="b">
        <v>0</v>
      </c>
      <c r="S133" s="131" t="b">
        <f>NOT(ISBLANK(W121))</f>
        <v>1</v>
      </c>
      <c r="T133" s="97" t="b">
        <f>AND(NOT(S133),W133=TRUE)</f>
        <v>0</v>
      </c>
      <c r="W133" s="25"/>
      <c r="X133" s="1303"/>
      <c r="AC133" s="131" t="b">
        <f>OR(AD133:AE133)</f>
        <v>0</v>
      </c>
      <c r="AD133" s="131" t="b">
        <f>T133</f>
        <v>0</v>
      </c>
      <c r="AL133" s="1059" t="str">
        <f>SUBSTITUTE(SUBSTITUTE(SUBSTITUTE("dpa"&amp;$B133&amp;$C133&amp;$D133&amp;$E133&amp;$F133,".","_"),"(","_"),")","")</f>
        <v>dpa503_5_4</v>
      </c>
      <c r="AM133" s="136">
        <f ca="1">M133</f>
        <v>2</v>
      </c>
      <c r="AN133" s="1059" t="str">
        <f>SUBSTITUTE(SUBSTITUTE(SUBSTITUTE("dpc"&amp;$B133&amp;$C133&amp;$D133&amp;$E133&amp;$F133,".","_"),"(","_"),")","")</f>
        <v>dpc503_5_4</v>
      </c>
      <c r="AO133" s="136">
        <f ca="1">O133</f>
        <v>0</v>
      </c>
      <c r="AP133" s="1059" t="str">
        <f>SUBSTITUTE(SUBSTITUTE(SUBSTITUTE("dch"&amp;$B133&amp;$C133&amp;$D133&amp;$E133&amp;$F133,".","_"),"(","_"),")","")</f>
        <v>dch503_5_4</v>
      </c>
      <c r="AQ133" s="136">
        <f>W133</f>
        <v>0</v>
      </c>
      <c r="AR133" s="1059" t="str">
        <f>SUBSTITUTE(SUBSTITUTE(SUBSTITUTE("dnt"&amp;$B133&amp;$C133&amp;$D133&amp;$E133&amp;$F133,".","_"),"(","_"),")","")</f>
        <v>dnt503_5_4</v>
      </c>
      <c r="AS133" s="136">
        <f>X133</f>
        <v>0</v>
      </c>
      <c r="AU133" s="43"/>
      <c r="AV133" s="43"/>
    </row>
    <row r="134" spans="2:48" x14ac:dyDescent="0.3">
      <c r="B134" s="21" t="s">
        <v>438</v>
      </c>
      <c r="C134" s="21"/>
      <c r="D134" s="21"/>
      <c r="E134" s="21" t="s">
        <v>285</v>
      </c>
      <c r="F134" s="21"/>
      <c r="G134" s="21"/>
      <c r="H134" s="1086"/>
      <c r="I134" s="93"/>
      <c r="J134" s="195"/>
      <c r="K134" s="195"/>
      <c r="L134" s="1306"/>
      <c r="M134" s="1326"/>
      <c r="N134" s="196"/>
      <c r="O134" s="1309"/>
      <c r="P134" s="440"/>
      <c r="Q134" s="440"/>
      <c r="X134" s="1303"/>
      <c r="AU134" s="43"/>
      <c r="AV134" s="43"/>
    </row>
    <row r="135" spans="2:48" x14ac:dyDescent="0.3">
      <c r="B135" s="21" t="s">
        <v>438</v>
      </c>
      <c r="C135" s="21"/>
      <c r="D135" s="21"/>
      <c r="E135" s="21" t="s">
        <v>291</v>
      </c>
      <c r="F135" s="21"/>
      <c r="G135" s="21"/>
      <c r="H135" s="1086"/>
      <c r="I135" s="93"/>
      <c r="J135" s="90" t="s">
        <v>291</v>
      </c>
      <c r="K135" s="93"/>
      <c r="L135" s="86" t="s">
        <v>449</v>
      </c>
      <c r="M135" s="590"/>
      <c r="O135" s="154">
        <f ca="1">S135*IFERROR(INDEX(M136:M139,MATCH(W135,INDIRECT(U135))),0)</f>
        <v>0</v>
      </c>
      <c r="P135" s="440" t="b">
        <v>0</v>
      </c>
      <c r="Q135" s="440" t="b">
        <v>1</v>
      </c>
      <c r="R135" s="65" t="b">
        <v>0</v>
      </c>
      <c r="S135" s="131" t="b">
        <f>NOT(ISBLANK(W121))</f>
        <v>1</v>
      </c>
      <c r="T135" s="97" t="b">
        <f>AND(NOT(S135),LEN(W135)&gt;0)</f>
        <v>0</v>
      </c>
      <c r="U135" s="65" t="str">
        <f>SUBSTITUTE(SUBSTITUTE(SUBSTITUTE("dd"&amp;B135&amp;C135&amp;D135&amp;E135&amp;F135,".","_"),"(","_"),")","")</f>
        <v>dd503_5_5</v>
      </c>
      <c r="W135" s="130"/>
      <c r="X135" s="1303"/>
      <c r="AC135" s="131" t="b">
        <f>OR(AD135:AE135)</f>
        <v>0</v>
      </c>
      <c r="AD135" s="131" t="b">
        <f>T135</f>
        <v>0</v>
      </c>
      <c r="AN135" s="1059" t="str">
        <f>SUBSTITUTE(SUBSTITUTE(SUBSTITUTE("dpc"&amp;$B135&amp;$C135&amp;$D135&amp;$E135&amp;$F135,".","_"),"(","_"),")","")</f>
        <v>dpc503_5_5</v>
      </c>
      <c r="AO135" s="136">
        <f ca="1">O135</f>
        <v>0</v>
      </c>
      <c r="AP135" s="1059" t="str">
        <f>SUBSTITUTE(SUBSTITUTE(SUBSTITUTE("dch"&amp;$B135&amp;$C135&amp;$D135&amp;$E135&amp;$F135,".","_"),"(","_"),")","")</f>
        <v>dch503_5_5</v>
      </c>
      <c r="AQ135" s="136">
        <f>W135</f>
        <v>0</v>
      </c>
      <c r="AR135" s="1059" t="str">
        <f>SUBSTITUTE(SUBSTITUTE(SUBSTITUTE("dnt"&amp;$B135&amp;$C135&amp;$D135&amp;$E135&amp;$F135,".","_"),"(","_"),")","")</f>
        <v>dnt503_5_5</v>
      </c>
      <c r="AS135" s="136">
        <f>X135</f>
        <v>0</v>
      </c>
    </row>
    <row r="136" spans="2:48" x14ac:dyDescent="0.3">
      <c r="B136" s="21" t="s">
        <v>438</v>
      </c>
      <c r="C136" s="21"/>
      <c r="D136" s="21"/>
      <c r="E136" s="21" t="s">
        <v>291</v>
      </c>
      <c r="F136" s="21" t="s">
        <v>121</v>
      </c>
      <c r="G136" s="21"/>
      <c r="H136" s="1086"/>
      <c r="I136" s="93"/>
      <c r="J136" s="93"/>
      <c r="K136" s="90" t="s">
        <v>121</v>
      </c>
      <c r="L136" s="86" t="s">
        <v>450</v>
      </c>
      <c r="M136" s="590">
        <f ca="1">5*IFERROR(INDEX({0.5,0.5,1},MATCH($W$121,INDIRECT($U$121),0)),0)</f>
        <v>5</v>
      </c>
      <c r="O136" s="154"/>
      <c r="P136" s="440"/>
      <c r="Q136" s="440"/>
      <c r="X136" s="1303"/>
      <c r="AL136" s="1059" t="str">
        <f t="shared" ref="AL136:AL141" si="16">SUBSTITUTE(SUBSTITUTE(SUBSTITUTE("dpa"&amp;$B136&amp;$C136&amp;$D136&amp;$E136&amp;$F136,".","_"),"(","_"),")","")</f>
        <v>dpa503_5_5_a</v>
      </c>
      <c r="AM136" s="136">
        <f t="shared" ref="AM136:AM141" ca="1" si="17">M136</f>
        <v>5</v>
      </c>
    </row>
    <row r="137" spans="2:48" x14ac:dyDescent="0.3">
      <c r="B137" s="21" t="s">
        <v>438</v>
      </c>
      <c r="C137" s="21"/>
      <c r="D137" s="21"/>
      <c r="E137" s="21" t="s">
        <v>291</v>
      </c>
      <c r="F137" s="21" t="s">
        <v>122</v>
      </c>
      <c r="G137" s="21"/>
      <c r="H137" s="1086"/>
      <c r="I137" s="93"/>
      <c r="J137" s="93"/>
      <c r="K137" s="90" t="s">
        <v>122</v>
      </c>
      <c r="L137" s="86" t="s">
        <v>451</v>
      </c>
      <c r="M137" s="590">
        <f ca="1">4*IFERROR(INDEX({0.5,0.5,1},MATCH($W$121,INDIRECT($U$121),0)),0)</f>
        <v>4</v>
      </c>
      <c r="O137" s="154"/>
      <c r="P137" s="440"/>
      <c r="Q137" s="440"/>
      <c r="X137" s="1303"/>
      <c r="AL137" s="1059" t="str">
        <f t="shared" si="16"/>
        <v>dpa503_5_5_b</v>
      </c>
      <c r="AM137" s="136">
        <f t="shared" ca="1" si="17"/>
        <v>4</v>
      </c>
    </row>
    <row r="138" spans="2:48" x14ac:dyDescent="0.3">
      <c r="B138" s="21" t="s">
        <v>438</v>
      </c>
      <c r="C138" s="21"/>
      <c r="D138" s="21"/>
      <c r="E138" s="21" t="s">
        <v>291</v>
      </c>
      <c r="F138" s="21" t="s">
        <v>123</v>
      </c>
      <c r="G138" s="21"/>
      <c r="H138" s="1086"/>
      <c r="I138" s="93"/>
      <c r="J138" s="93"/>
      <c r="K138" s="92" t="s">
        <v>123</v>
      </c>
      <c r="L138" s="86" t="s">
        <v>452</v>
      </c>
      <c r="M138" s="590">
        <f ca="1">3*IFERROR(INDEX({0.5,0.5,1},MATCH($W$121,INDIRECT($U$121),0)),0)</f>
        <v>3</v>
      </c>
      <c r="O138" s="154"/>
      <c r="P138" s="440"/>
      <c r="Q138" s="440"/>
      <c r="X138" s="1303"/>
      <c r="AL138" s="1059" t="str">
        <f t="shared" si="16"/>
        <v>dpa503_5_5_c</v>
      </c>
      <c r="AM138" s="136">
        <f t="shared" ca="1" si="17"/>
        <v>3</v>
      </c>
    </row>
    <row r="139" spans="2:48" x14ac:dyDescent="0.3">
      <c r="B139" s="21" t="s">
        <v>438</v>
      </c>
      <c r="C139" s="21"/>
      <c r="D139" s="21"/>
      <c r="E139" s="21" t="s">
        <v>291</v>
      </c>
      <c r="F139" s="21" t="s">
        <v>423</v>
      </c>
      <c r="G139" s="21"/>
      <c r="H139" s="1086"/>
      <c r="I139" s="93"/>
      <c r="J139" s="195"/>
      <c r="K139" s="197" t="s">
        <v>423</v>
      </c>
      <c r="L139" s="193" t="s">
        <v>453</v>
      </c>
      <c r="M139" s="591">
        <f ca="1">2*IFERROR(INDEX({0.5,0.5,1},MATCH($W$121,INDIRECT($U$121),0)),0)</f>
        <v>2</v>
      </c>
      <c r="N139" s="196"/>
      <c r="O139" s="597"/>
      <c r="P139" s="440"/>
      <c r="Q139" s="440"/>
      <c r="X139" s="1303"/>
      <c r="AL139" s="1059" t="str">
        <f t="shared" si="16"/>
        <v>dpa503_5_5_d</v>
      </c>
      <c r="AM139" s="136">
        <f t="shared" ca="1" si="17"/>
        <v>2</v>
      </c>
    </row>
    <row r="140" spans="2:48" x14ac:dyDescent="0.3">
      <c r="B140" s="21" t="s">
        <v>438</v>
      </c>
      <c r="C140" s="21"/>
      <c r="D140" s="21"/>
      <c r="E140" s="21" t="s">
        <v>293</v>
      </c>
      <c r="F140" s="21"/>
      <c r="G140" s="21"/>
      <c r="H140" s="1086"/>
      <c r="I140" s="93"/>
      <c r="J140" s="192" t="s">
        <v>293</v>
      </c>
      <c r="K140" s="195"/>
      <c r="L140" s="193" t="s">
        <v>454</v>
      </c>
      <c r="M140" s="591">
        <f ca="1">5*IFERROR(INDEX({0.5,0.5,1},MATCH($W$121,INDIRECT($U$121),0)),0)</f>
        <v>5</v>
      </c>
      <c r="N140" s="196"/>
      <c r="O140" s="597">
        <f ca="1">M140*S140*W140</f>
        <v>5</v>
      </c>
      <c r="P140" s="440" t="b">
        <v>0</v>
      </c>
      <c r="Q140" s="440" t="b">
        <v>1</v>
      </c>
      <c r="R140" s="65" t="b">
        <v>0</v>
      </c>
      <c r="S140" s="131" t="b">
        <f>NOT(ISBLANK(W121))</f>
        <v>1</v>
      </c>
      <c r="T140" s="97" t="b">
        <f>AND(NOT(S140),W140=TRUE)</f>
        <v>0</v>
      </c>
      <c r="W140" s="25" t="b">
        <v>1</v>
      </c>
      <c r="X140" s="74"/>
      <c r="AC140" s="131" t="b">
        <f>OR(AD140:AE140)</f>
        <v>0</v>
      </c>
      <c r="AD140" s="131" t="b">
        <f>T140</f>
        <v>0</v>
      </c>
      <c r="AL140" s="1059" t="str">
        <f t="shared" si="16"/>
        <v>dpa503_5_6</v>
      </c>
      <c r="AM140" s="136">
        <f t="shared" ca="1" si="17"/>
        <v>5</v>
      </c>
      <c r="AN140" s="1059" t="str">
        <f t="shared" ref="AN140:AN141" si="18">SUBSTITUTE(SUBSTITUTE(SUBSTITUTE("dpc"&amp;$B140&amp;$C140&amp;$D140&amp;$E140&amp;$F140,".","_"),"(","_"),")","")</f>
        <v>dpc503_5_6</v>
      </c>
      <c r="AO140" s="136">
        <f ca="1">O140</f>
        <v>5</v>
      </c>
      <c r="AP140" s="1059" t="str">
        <f t="shared" ref="AP140:AP141" si="19">SUBSTITUTE(SUBSTITUTE(SUBSTITUTE("dch"&amp;$B140&amp;$C140&amp;$D140&amp;$E140&amp;$F140,".","_"),"(","_"),")","")</f>
        <v>dch503_5_6</v>
      </c>
      <c r="AQ140" s="136" t="b">
        <f>W140</f>
        <v>1</v>
      </c>
      <c r="AR140" s="1059" t="str">
        <f>SUBSTITUTE(SUBSTITUTE(SUBSTITUTE("dnt"&amp;$B140&amp;$C140&amp;$D140&amp;$E140&amp;$F140,".","_"),"(","_"),")","")</f>
        <v>dnt503_5_6</v>
      </c>
      <c r="AS140" s="136">
        <f>X140</f>
        <v>0</v>
      </c>
    </row>
    <row r="141" spans="2:48" x14ac:dyDescent="0.3">
      <c r="B141" s="21" t="s">
        <v>438</v>
      </c>
      <c r="C141" s="21"/>
      <c r="D141" s="21"/>
      <c r="E141" s="21" t="s">
        <v>405</v>
      </c>
      <c r="F141" s="21"/>
      <c r="G141" s="21"/>
      <c r="H141" s="1086"/>
      <c r="I141" s="93"/>
      <c r="J141" s="94" t="s">
        <v>405</v>
      </c>
      <c r="K141" s="107"/>
      <c r="L141" s="1305" t="s">
        <v>455</v>
      </c>
      <c r="M141" s="1325">
        <f ca="1">5*IFERROR(INDEX({0.5,0.5,1},MATCH($W$121,INDIRECT($U$121),0)),0)</f>
        <v>5</v>
      </c>
      <c r="N141" s="97"/>
      <c r="O141" s="1308">
        <f ca="1">M141*S141*W141</f>
        <v>0</v>
      </c>
      <c r="P141" s="440" t="b">
        <v>0</v>
      </c>
      <c r="Q141" s="440" t="b">
        <v>1</v>
      </c>
      <c r="R141" s="65" t="b">
        <v>0</v>
      </c>
      <c r="S141" s="131" t="b">
        <f>NOT(ISBLANK(W121))</f>
        <v>1</v>
      </c>
      <c r="T141" s="97" t="b">
        <f>AND(NOT(S141),W141=TRUE)</f>
        <v>0</v>
      </c>
      <c r="W141" s="25"/>
      <c r="X141" s="1303"/>
      <c r="AC141" s="131" t="b">
        <f>OR(AD141:AE141)</f>
        <v>0</v>
      </c>
      <c r="AD141" s="131" t="b">
        <f>T141</f>
        <v>0</v>
      </c>
      <c r="AL141" s="1059" t="str">
        <f t="shared" si="16"/>
        <v>dpa503_5_7</v>
      </c>
      <c r="AM141" s="136">
        <f t="shared" ca="1" si="17"/>
        <v>5</v>
      </c>
      <c r="AN141" s="1059" t="str">
        <f t="shared" si="18"/>
        <v>dpc503_5_7</v>
      </c>
      <c r="AO141" s="136">
        <f ca="1">O141</f>
        <v>0</v>
      </c>
      <c r="AP141" s="1059" t="str">
        <f t="shared" si="19"/>
        <v>dch503_5_7</v>
      </c>
      <c r="AQ141" s="136">
        <f>W141</f>
        <v>0</v>
      </c>
      <c r="AR141" s="1059" t="str">
        <f>SUBSTITUTE(SUBSTITUTE(SUBSTITUTE("dnt"&amp;$B141&amp;$C141&amp;$D141&amp;$E141&amp;$F141,".","_"),"(","_"),")","")</f>
        <v>dnt503_5_7</v>
      </c>
      <c r="AS141" s="136">
        <f>X141</f>
        <v>0</v>
      </c>
    </row>
    <row r="142" spans="2:48" x14ac:dyDescent="0.3">
      <c r="B142" s="21" t="s">
        <v>438</v>
      </c>
      <c r="C142" s="21"/>
      <c r="D142" s="21"/>
      <c r="E142" s="21" t="s">
        <v>405</v>
      </c>
      <c r="F142" s="21"/>
      <c r="G142" s="21"/>
      <c r="H142" s="1086"/>
      <c r="I142" s="93"/>
      <c r="J142" s="107"/>
      <c r="K142" s="107"/>
      <c r="L142" s="1305"/>
      <c r="M142" s="1325"/>
      <c r="N142" s="97"/>
      <c r="O142" s="1308"/>
      <c r="P142" s="440"/>
      <c r="Q142" s="440"/>
      <c r="X142" s="1303"/>
    </row>
    <row r="143" spans="2:48" x14ac:dyDescent="0.3">
      <c r="B143" s="21" t="s">
        <v>438</v>
      </c>
      <c r="C143" s="21"/>
      <c r="D143" s="21"/>
      <c r="E143" s="21" t="s">
        <v>405</v>
      </c>
      <c r="F143" s="21"/>
      <c r="G143" s="21"/>
      <c r="H143" s="1086"/>
      <c r="I143" s="93"/>
      <c r="J143" s="107"/>
      <c r="K143" s="107"/>
      <c r="L143" s="1305"/>
      <c r="M143" s="1325"/>
      <c r="N143" s="97"/>
      <c r="O143" s="1308"/>
      <c r="P143" s="440"/>
      <c r="Q143" s="440"/>
      <c r="X143" s="1303"/>
    </row>
    <row r="144" spans="2:48" x14ac:dyDescent="0.3">
      <c r="B144" s="21" t="s">
        <v>438</v>
      </c>
      <c r="C144" s="21"/>
      <c r="D144" s="21"/>
      <c r="E144" s="21" t="s">
        <v>405</v>
      </c>
      <c r="F144" s="21"/>
      <c r="G144" s="21"/>
      <c r="H144" s="1086"/>
      <c r="I144" s="93"/>
      <c r="J144" s="107"/>
      <c r="K144" s="107"/>
      <c r="L144" s="1305"/>
      <c r="M144" s="1325"/>
      <c r="N144" s="97"/>
      <c r="O144" s="1308"/>
      <c r="P144" s="440"/>
      <c r="Q144" s="440"/>
      <c r="X144" s="1303"/>
    </row>
    <row r="145" spans="1:51" x14ac:dyDescent="0.3">
      <c r="B145" s="21" t="s">
        <v>438</v>
      </c>
      <c r="C145" s="21"/>
      <c r="D145" s="21"/>
      <c r="E145" s="21" t="s">
        <v>405</v>
      </c>
      <c r="F145" s="21"/>
      <c r="G145" s="21"/>
      <c r="H145" s="1086"/>
      <c r="I145" s="93"/>
      <c r="J145" s="195"/>
      <c r="K145" s="195"/>
      <c r="L145" s="1306"/>
      <c r="M145" s="1326"/>
      <c r="N145" s="196"/>
      <c r="O145" s="1309"/>
      <c r="P145" s="440"/>
      <c r="Q145" s="440"/>
      <c r="X145" s="1303"/>
    </row>
    <row r="146" spans="1:51" x14ac:dyDescent="0.3">
      <c r="B146" s="21" t="s">
        <v>438</v>
      </c>
      <c r="C146" s="21"/>
      <c r="D146" s="21"/>
      <c r="E146" s="21" t="s">
        <v>456</v>
      </c>
      <c r="F146" s="21"/>
      <c r="G146" s="21"/>
      <c r="H146" s="1086"/>
      <c r="I146" s="93"/>
      <c r="J146" s="94" t="s">
        <v>456</v>
      </c>
      <c r="K146" s="107"/>
      <c r="L146" s="1305" t="s">
        <v>457</v>
      </c>
      <c r="M146" s="1325">
        <f ca="1">5*IFERROR(INDEX({0.5,0.5,1},MATCH($W$121,INDIRECT($U$121),0)),0)</f>
        <v>5</v>
      </c>
      <c r="N146" s="97"/>
      <c r="O146" s="1308">
        <f ca="1">M146*S146*W146</f>
        <v>0</v>
      </c>
      <c r="P146" s="97" t="b">
        <v>0</v>
      </c>
      <c r="Q146" s="97" t="b">
        <v>1</v>
      </c>
      <c r="R146" s="65" t="b">
        <v>0</v>
      </c>
      <c r="S146" s="131" t="b">
        <f>NOT(ISBLANK(W121))</f>
        <v>1</v>
      </c>
      <c r="T146" s="97" t="b">
        <f>AND(NOT(S146),W146=TRUE)</f>
        <v>0</v>
      </c>
      <c r="W146" s="25"/>
      <c r="X146" s="1303"/>
      <c r="AC146" s="131" t="b">
        <f>OR(AD146:AE146)</f>
        <v>0</v>
      </c>
      <c r="AD146" s="131" t="b">
        <f>T146</f>
        <v>0</v>
      </c>
      <c r="AL146" s="1059" t="str">
        <f>SUBSTITUTE(SUBSTITUTE(SUBSTITUTE("dpa"&amp;$B146&amp;$C146&amp;$D146&amp;$E146&amp;$F146,".","_"),"(","_"),")","")</f>
        <v>dpa503_5_8</v>
      </c>
      <c r="AM146" s="136">
        <f ca="1">M146</f>
        <v>5</v>
      </c>
      <c r="AN146" s="1059" t="str">
        <f>SUBSTITUTE(SUBSTITUTE(SUBSTITUTE("dpc"&amp;$B146&amp;$C146&amp;$D146&amp;$E146&amp;$F146,".","_"),"(","_"),")","")</f>
        <v>dpc503_5_8</v>
      </c>
      <c r="AO146" s="136">
        <f ca="1">O146</f>
        <v>0</v>
      </c>
      <c r="AP146" s="1059" t="str">
        <f>SUBSTITUTE(SUBSTITUTE(SUBSTITUTE("dch"&amp;$B146&amp;$C146&amp;$D146&amp;$E146&amp;$F146,".","_"),"(","_"),")","")</f>
        <v>dch503_5_8</v>
      </c>
      <c r="AQ146" s="136">
        <f>W146</f>
        <v>0</v>
      </c>
      <c r="AR146" s="1059" t="str">
        <f>SUBSTITUTE(SUBSTITUTE(SUBSTITUTE("dnt"&amp;$B146&amp;$C146&amp;$D146&amp;$E146&amp;$F146,".","_"),"(","_"),")","")</f>
        <v>dnt503_5_8</v>
      </c>
      <c r="AS146" s="136">
        <f>X146</f>
        <v>0</v>
      </c>
    </row>
    <row r="147" spans="1:51" x14ac:dyDescent="0.3">
      <c r="B147" s="21" t="s">
        <v>438</v>
      </c>
      <c r="C147" s="21"/>
      <c r="D147" s="21"/>
      <c r="E147" s="21" t="s">
        <v>456</v>
      </c>
      <c r="F147" s="21"/>
      <c r="G147" s="21"/>
      <c r="H147" s="1086"/>
      <c r="I147" s="93"/>
      <c r="J147" s="195"/>
      <c r="K147" s="195"/>
      <c r="L147" s="1306"/>
      <c r="M147" s="1326"/>
      <c r="N147" s="196"/>
      <c r="O147" s="1309"/>
      <c r="P147" s="440"/>
      <c r="Q147" s="440"/>
      <c r="X147" s="1303"/>
    </row>
    <row r="148" spans="1:51" x14ac:dyDescent="0.3">
      <c r="B148" s="21" t="s">
        <v>438</v>
      </c>
      <c r="C148" s="21"/>
      <c r="D148" s="21"/>
      <c r="E148" s="21" t="s">
        <v>458</v>
      </c>
      <c r="F148" s="21"/>
      <c r="G148" s="21"/>
      <c r="H148" s="1086"/>
      <c r="I148" s="93"/>
      <c r="J148" s="94" t="s">
        <v>458</v>
      </c>
      <c r="K148" s="107"/>
      <c r="L148" s="1305" t="s">
        <v>459</v>
      </c>
      <c r="M148" s="1323">
        <v>3</v>
      </c>
      <c r="N148" s="97"/>
      <c r="O148" s="1324">
        <f>M148*S148*W148</f>
        <v>0</v>
      </c>
      <c r="P148" s="97" t="b">
        <v>0</v>
      </c>
      <c r="Q148" s="97" t="b">
        <v>1</v>
      </c>
      <c r="R148" s="65" t="b">
        <v>0</v>
      </c>
      <c r="S148" s="131" t="b">
        <f>NOT(ISBLANK(W121))</f>
        <v>1</v>
      </c>
      <c r="T148" s="97" t="b">
        <f>AND(NOT(S148),W148=TRUE)</f>
        <v>0</v>
      </c>
      <c r="W148" s="25"/>
      <c r="X148" s="1337"/>
      <c r="AC148" s="131" t="b">
        <f>OR(AD148:AE148)</f>
        <v>0</v>
      </c>
      <c r="AD148" s="131" t="b">
        <f>T148</f>
        <v>0</v>
      </c>
      <c r="AL148" s="1059" t="str">
        <f>SUBSTITUTE(SUBSTITUTE(SUBSTITUTE("dpa"&amp;$B148&amp;$C148&amp;$D148&amp;$E148&amp;$F148,".","_"),"(","_"),")","")</f>
        <v>dpa503_5_9</v>
      </c>
      <c r="AM148" s="136">
        <f>M148</f>
        <v>3</v>
      </c>
      <c r="AN148" s="1059" t="str">
        <f>SUBSTITUTE(SUBSTITUTE(SUBSTITUTE("dpc"&amp;$B148&amp;$C148&amp;$D148&amp;$E148&amp;$F148,".","_"),"(","_"),")","")</f>
        <v>dpc503_5_9</v>
      </c>
      <c r="AO148" s="136">
        <f>O148</f>
        <v>0</v>
      </c>
      <c r="AP148" s="1059" t="str">
        <f>SUBSTITUTE(SUBSTITUTE(SUBSTITUTE("dch"&amp;$B148&amp;$C148&amp;$D148&amp;$E148&amp;$F148,".","_"),"(","_"),")","")</f>
        <v>dch503_5_9</v>
      </c>
      <c r="AQ148" s="136">
        <f>W148</f>
        <v>0</v>
      </c>
      <c r="AR148" s="1059" t="str">
        <f>SUBSTITUTE(SUBSTITUTE(SUBSTITUTE("dnt"&amp;$B148&amp;$C148&amp;$D148&amp;$E148&amp;$F148,".","_"),"(","_"),")","")</f>
        <v>dnt503_5_9</v>
      </c>
      <c r="AS148" s="136">
        <f>X148</f>
        <v>0</v>
      </c>
      <c r="AX148" s="175"/>
      <c r="AY148" s="175"/>
    </row>
    <row r="149" spans="1:51" x14ac:dyDescent="0.3">
      <c r="B149" s="21" t="s">
        <v>438</v>
      </c>
      <c r="C149" s="21"/>
      <c r="D149" s="21"/>
      <c r="E149" s="21" t="s">
        <v>458</v>
      </c>
      <c r="F149" s="21"/>
      <c r="G149" s="21"/>
      <c r="H149" s="1086"/>
      <c r="I149" s="93"/>
      <c r="J149" s="107"/>
      <c r="K149" s="107"/>
      <c r="L149" s="1305"/>
      <c r="M149" s="1318"/>
      <c r="N149" s="97"/>
      <c r="O149" s="1308"/>
      <c r="P149" s="440"/>
      <c r="Q149" s="440"/>
      <c r="X149" s="1312"/>
    </row>
    <row r="150" spans="1:51" s="175" customFormat="1" x14ac:dyDescent="0.3">
      <c r="A150" s="18"/>
      <c r="B150" s="21" t="s">
        <v>438</v>
      </c>
      <c r="C150" s="21"/>
      <c r="D150" s="21"/>
      <c r="E150" s="21" t="s">
        <v>458</v>
      </c>
      <c r="F150" s="21"/>
      <c r="G150" s="21"/>
      <c r="H150" s="1086"/>
      <c r="I150" s="93"/>
      <c r="J150" s="195"/>
      <c r="K150" s="195"/>
      <c r="L150" s="1306"/>
      <c r="M150" s="1319"/>
      <c r="N150" s="196"/>
      <c r="O150" s="1309"/>
      <c r="P150" s="440"/>
      <c r="Q150" s="440"/>
      <c r="X150" s="1304"/>
      <c r="Y150" s="1107"/>
      <c r="AA150" s="1110"/>
      <c r="AX150"/>
      <c r="AY150"/>
    </row>
    <row r="151" spans="1:51" x14ac:dyDescent="0.3">
      <c r="B151" s="21" t="s">
        <v>438</v>
      </c>
      <c r="C151" s="21"/>
      <c r="D151" s="21"/>
      <c r="E151" s="21" t="s">
        <v>460</v>
      </c>
      <c r="F151" s="21"/>
      <c r="G151" s="21"/>
      <c r="H151" s="1086"/>
      <c r="I151" s="93"/>
      <c r="J151" s="94" t="s">
        <v>460</v>
      </c>
      <c r="K151" s="107"/>
      <c r="L151" s="1305" t="s">
        <v>461</v>
      </c>
      <c r="M151" s="1318">
        <v>4</v>
      </c>
      <c r="N151" s="97"/>
      <c r="O151" s="1308">
        <f>M151*S151*W151</f>
        <v>0</v>
      </c>
      <c r="P151" s="97" t="b">
        <v>0</v>
      </c>
      <c r="Q151" s="97" t="b">
        <v>1</v>
      </c>
      <c r="R151" s="65" t="b">
        <v>0</v>
      </c>
      <c r="S151" s="131" t="b">
        <f>NOT(ISBLANK(W121))</f>
        <v>1</v>
      </c>
      <c r="T151" s="97" t="b">
        <f>AND(NOT(S151),W151=TRUE)</f>
        <v>0</v>
      </c>
      <c r="W151" s="25"/>
      <c r="X151" s="1303"/>
      <c r="AC151" s="131" t="b">
        <f>OR(AD151:AE151)</f>
        <v>0</v>
      </c>
      <c r="AD151" s="131" t="b">
        <f>T151</f>
        <v>0</v>
      </c>
      <c r="AL151" s="1059" t="str">
        <f>SUBSTITUTE(SUBSTITUTE(SUBSTITUTE("dpa"&amp;$B151&amp;$C151&amp;$D151&amp;$E151&amp;$F151,".","_"),"(","_"),")","")</f>
        <v>dpa503_5_10</v>
      </c>
      <c r="AM151" s="136">
        <f>M151</f>
        <v>4</v>
      </c>
      <c r="AN151" s="1059" t="str">
        <f>SUBSTITUTE(SUBSTITUTE(SUBSTITUTE("dpc"&amp;$B151&amp;$C151&amp;$D151&amp;$E151&amp;$F151,".","_"),"(","_"),")","")</f>
        <v>dpc503_5_10</v>
      </c>
      <c r="AO151" s="136">
        <f>O151</f>
        <v>0</v>
      </c>
      <c r="AP151" s="1059" t="str">
        <f>SUBSTITUTE(SUBSTITUTE(SUBSTITUTE("dch"&amp;$B151&amp;$C151&amp;$D151&amp;$E151&amp;$F151,".","_"),"(","_"),")","")</f>
        <v>dch503_5_10</v>
      </c>
      <c r="AQ151" s="136">
        <f>W151</f>
        <v>0</v>
      </c>
      <c r="AR151" s="1059" t="str">
        <f>SUBSTITUTE(SUBSTITUTE(SUBSTITUTE("dnt"&amp;$B151&amp;$C151&amp;$D151&amp;$E151&amp;$F151,".","_"),"(","_"),")","")</f>
        <v>dnt503_5_10</v>
      </c>
      <c r="AS151" s="136">
        <f>X151</f>
        <v>0</v>
      </c>
    </row>
    <row r="152" spans="1:51" x14ac:dyDescent="0.3">
      <c r="B152" s="21" t="s">
        <v>438</v>
      </c>
      <c r="C152" s="21"/>
      <c r="D152" s="21"/>
      <c r="E152" s="21" t="s">
        <v>460</v>
      </c>
      <c r="F152" s="21"/>
      <c r="G152" s="21"/>
      <c r="H152" s="1086"/>
      <c r="I152" s="93"/>
      <c r="J152" s="195"/>
      <c r="K152" s="195"/>
      <c r="L152" s="1306"/>
      <c r="M152" s="1319"/>
      <c r="N152" s="196"/>
      <c r="O152" s="1309"/>
      <c r="P152" s="440"/>
      <c r="Q152" s="440"/>
      <c r="X152" s="1303"/>
    </row>
    <row r="153" spans="1:51" x14ac:dyDescent="0.3">
      <c r="B153" s="21" t="s">
        <v>438</v>
      </c>
      <c r="C153" s="21"/>
      <c r="D153" s="21"/>
      <c r="E153" s="21" t="s">
        <v>462</v>
      </c>
      <c r="F153" s="21"/>
      <c r="G153" s="21"/>
      <c r="H153" s="1086"/>
      <c r="I153" s="93"/>
      <c r="J153" s="94" t="s">
        <v>462</v>
      </c>
      <c r="K153" s="107"/>
      <c r="L153" s="1305" t="s">
        <v>463</v>
      </c>
      <c r="M153" s="1318">
        <v>3</v>
      </c>
      <c r="N153" s="97"/>
      <c r="O153" s="1308">
        <f>M153*S153*W153</f>
        <v>0</v>
      </c>
      <c r="P153" s="97" t="b">
        <v>0</v>
      </c>
      <c r="Q153" s="97" t="b">
        <v>1</v>
      </c>
      <c r="R153" s="65" t="b">
        <v>0</v>
      </c>
      <c r="S153" s="131" t="b">
        <f>NOT(ISBLANK(W121))</f>
        <v>1</v>
      </c>
      <c r="T153" s="97" t="b">
        <f>AND(NOT(S153),W153=TRUE)</f>
        <v>0</v>
      </c>
      <c r="W153" s="25"/>
      <c r="X153" s="1303"/>
      <c r="AC153" s="131" t="b">
        <f>OR(AD153:AE153)</f>
        <v>0</v>
      </c>
      <c r="AD153" s="131" t="b">
        <f>T153</f>
        <v>0</v>
      </c>
      <c r="AL153" s="1059" t="str">
        <f>SUBSTITUTE(SUBSTITUTE(SUBSTITUTE("dpa"&amp;$B153&amp;$C153&amp;$D153&amp;$E153&amp;$F153,".","_"),"(","_"),")","")</f>
        <v>dpa503_5_11</v>
      </c>
      <c r="AM153" s="136">
        <f>M153</f>
        <v>3</v>
      </c>
      <c r="AN153" s="1059" t="str">
        <f>SUBSTITUTE(SUBSTITUTE(SUBSTITUTE("dpc"&amp;$B153&amp;$C153&amp;$D153&amp;$E153&amp;$F153,".","_"),"(","_"),")","")</f>
        <v>dpc503_5_11</v>
      </c>
      <c r="AO153" s="136">
        <f>O153</f>
        <v>0</v>
      </c>
      <c r="AP153" s="1059" t="str">
        <f>SUBSTITUTE(SUBSTITUTE(SUBSTITUTE("dch"&amp;$B153&amp;$C153&amp;$D153&amp;$E153&amp;$F153,".","_"),"(","_"),")","")</f>
        <v>dch503_5_11</v>
      </c>
      <c r="AQ153" s="136">
        <f>W153</f>
        <v>0</v>
      </c>
      <c r="AR153" s="1059" t="str">
        <f>SUBSTITUTE(SUBSTITUTE(SUBSTITUTE("dnt"&amp;$B153&amp;$C153&amp;$D153&amp;$E153&amp;$F153,".","_"),"(","_"),")","")</f>
        <v>dnt503_5_11</v>
      </c>
      <c r="AS153" s="136">
        <f>X153</f>
        <v>0</v>
      </c>
    </row>
    <row r="154" spans="1:51" x14ac:dyDescent="0.3">
      <c r="B154" s="21" t="s">
        <v>438</v>
      </c>
      <c r="C154" s="21"/>
      <c r="D154" s="21"/>
      <c r="E154" s="21" t="s">
        <v>462</v>
      </c>
      <c r="F154" s="21"/>
      <c r="G154" s="21"/>
      <c r="H154" s="1086"/>
      <c r="I154" s="93"/>
      <c r="J154" s="195"/>
      <c r="K154" s="195"/>
      <c r="L154" s="1306"/>
      <c r="M154" s="1319"/>
      <c r="N154" s="196"/>
      <c r="O154" s="1309"/>
      <c r="P154" s="440"/>
      <c r="Q154" s="440"/>
      <c r="X154" s="1303"/>
    </row>
    <row r="155" spans="1:51" x14ac:dyDescent="0.3">
      <c r="B155" s="21" t="s">
        <v>438</v>
      </c>
      <c r="C155" s="21"/>
      <c r="D155" s="21"/>
      <c r="E155" s="21" t="s">
        <v>464</v>
      </c>
      <c r="F155" s="21"/>
      <c r="G155" s="21"/>
      <c r="H155" s="1086"/>
      <c r="I155" s="107"/>
      <c r="J155" s="94" t="s">
        <v>464</v>
      </c>
      <c r="K155" s="107"/>
      <c r="L155" s="1305" t="s">
        <v>465</v>
      </c>
      <c r="M155" s="1318">
        <v>6</v>
      </c>
      <c r="N155" s="97"/>
      <c r="O155" s="1310">
        <f>M155*S155*W155</f>
        <v>0</v>
      </c>
      <c r="P155" s="97" t="b">
        <v>0</v>
      </c>
      <c r="Q155" s="97" t="b">
        <v>1</v>
      </c>
      <c r="R155" s="97" t="b">
        <v>0</v>
      </c>
      <c r="S155" s="131" t="b">
        <f>NOT(ISBLANK(W121))</f>
        <v>1</v>
      </c>
      <c r="T155" s="97" t="b">
        <f>AND(NOT(S155),W155=TRUE)</f>
        <v>0</v>
      </c>
      <c r="U155" s="97"/>
      <c r="V155" s="97"/>
      <c r="W155" s="25"/>
      <c r="X155" s="1295"/>
      <c r="AC155" s="131" t="b">
        <f>OR(AD155:AE155)</f>
        <v>0</v>
      </c>
      <c r="AD155" s="131" t="b">
        <f>T155</f>
        <v>0</v>
      </c>
      <c r="AL155" s="1059" t="str">
        <f>SUBSTITUTE(SUBSTITUTE(SUBSTITUTE("dpa"&amp;$B155&amp;$C155&amp;$D155&amp;$E155&amp;$F155,".","_"),"(","_"),")","")</f>
        <v>dpa503_5_12</v>
      </c>
      <c r="AM155" s="136">
        <f>M155</f>
        <v>6</v>
      </c>
      <c r="AN155" s="1059" t="str">
        <f>SUBSTITUTE(SUBSTITUTE(SUBSTITUTE("dpc"&amp;$B155&amp;$C155&amp;$D155&amp;$E155&amp;$F155,".","_"),"(","_"),")","")</f>
        <v>dpc503_5_12</v>
      </c>
      <c r="AO155" s="136">
        <f>O155</f>
        <v>0</v>
      </c>
      <c r="AP155" s="1059" t="str">
        <f>SUBSTITUTE(SUBSTITUTE(SUBSTITUTE("dch"&amp;$B155&amp;$C155&amp;$D155&amp;$E155&amp;$F155,".","_"),"(","_"),")","")</f>
        <v>dch503_5_12</v>
      </c>
      <c r="AQ155" s="136">
        <f>W155</f>
        <v>0</v>
      </c>
      <c r="AR155" s="1059" t="str">
        <f>SUBSTITUTE(SUBSTITUTE(SUBSTITUTE("dnt"&amp;$B155&amp;$C155&amp;$D155&amp;$E155&amp;$F155,".","_"),"(","_"),")","")</f>
        <v>dnt503_5_12</v>
      </c>
      <c r="AS155" s="136">
        <f>X155</f>
        <v>0</v>
      </c>
    </row>
    <row r="156" spans="1:51" ht="15" thickBot="1" x14ac:dyDescent="0.35">
      <c r="B156" s="21" t="s">
        <v>438</v>
      </c>
      <c r="C156" s="21"/>
      <c r="D156" s="21"/>
      <c r="E156" s="21" t="s">
        <v>464</v>
      </c>
      <c r="F156" s="21"/>
      <c r="G156" s="21"/>
      <c r="H156" s="1086"/>
      <c r="I156" s="108"/>
      <c r="J156" s="108"/>
      <c r="K156" s="108"/>
      <c r="L156" s="1330"/>
      <c r="M156" s="1334"/>
      <c r="N156" s="104"/>
      <c r="O156" s="1315"/>
      <c r="P156" s="104"/>
      <c r="Q156" s="104"/>
      <c r="R156" s="104"/>
      <c r="S156" s="104"/>
      <c r="T156" s="104"/>
      <c r="U156" s="104"/>
      <c r="V156" s="104"/>
      <c r="W156" s="104"/>
      <c r="X156" s="1296"/>
    </row>
    <row r="157" spans="1:51" ht="15" thickTop="1" x14ac:dyDescent="0.3">
      <c r="B157" s="21" t="s">
        <v>466</v>
      </c>
      <c r="C157" s="21"/>
      <c r="D157" s="21"/>
      <c r="E157" s="21"/>
      <c r="F157" s="21"/>
      <c r="G157" s="21"/>
      <c r="H157" s="1086"/>
      <c r="I157" s="67">
        <v>503.6</v>
      </c>
      <c r="J157" s="93"/>
      <c r="K157" s="93"/>
      <c r="L157" s="1292" t="s">
        <v>467</v>
      </c>
      <c r="M157" s="522"/>
      <c r="O157" s="1336">
        <f>IF((M159*W159+M160*W160+M161*W161+M163*W163)&gt;=6,(M159*W159+M160*W160+M161*W161+M163*W163),0)</f>
        <v>6</v>
      </c>
      <c r="P157" s="440"/>
      <c r="Q157" s="440"/>
      <c r="R157" s="65"/>
      <c r="S157" s="65"/>
      <c r="T157" s="65"/>
      <c r="X157" s="1327"/>
      <c r="AR157" s="1059" t="str">
        <f>SUBSTITUTE(SUBSTITUTE(SUBSTITUTE("dnt"&amp;$B157&amp;$C157&amp;$D157&amp;$E157&amp;$F157,".","_"),"(","_"),")","")</f>
        <v>dnt503_6</v>
      </c>
      <c r="AS157" s="136">
        <f>X157</f>
        <v>0</v>
      </c>
    </row>
    <row r="158" spans="1:51" x14ac:dyDescent="0.3">
      <c r="B158" s="21" t="s">
        <v>466</v>
      </c>
      <c r="C158" s="21"/>
      <c r="D158" s="21"/>
      <c r="E158" s="21"/>
      <c r="F158" s="21"/>
      <c r="G158" s="21"/>
      <c r="H158" s="1086"/>
      <c r="I158" s="93"/>
      <c r="J158" s="93"/>
      <c r="K158" s="93"/>
      <c r="L158" s="1292"/>
      <c r="M158" s="522"/>
      <c r="O158" s="1310"/>
      <c r="P158" s="440"/>
      <c r="Q158" s="440"/>
      <c r="X158" s="1295"/>
    </row>
    <row r="159" spans="1:51" x14ac:dyDescent="0.3">
      <c r="B159" s="21" t="s">
        <v>466</v>
      </c>
      <c r="C159" s="21"/>
      <c r="D159" s="21"/>
      <c r="E159" s="21" t="s">
        <v>271</v>
      </c>
      <c r="F159" s="21"/>
      <c r="G159" s="21"/>
      <c r="H159" s="1086"/>
      <c r="I159" s="93"/>
      <c r="J159" s="192" t="s">
        <v>271</v>
      </c>
      <c r="K159" s="195"/>
      <c r="L159" s="193" t="s">
        <v>468</v>
      </c>
      <c r="M159" s="520">
        <v>3</v>
      </c>
      <c r="N159" s="196"/>
      <c r="O159" s="597"/>
      <c r="P159" s="440" t="b">
        <v>0</v>
      </c>
      <c r="Q159" s="440" t="b">
        <v>1</v>
      </c>
      <c r="R159" s="65" t="b">
        <v>0</v>
      </c>
      <c r="S159" s="65" t="b">
        <v>1</v>
      </c>
      <c r="T159" s="65" t="b">
        <v>0</v>
      </c>
      <c r="W159" s="25" t="b">
        <v>1</v>
      </c>
      <c r="X159" s="1295"/>
      <c r="AL159" s="1059" t="str">
        <f t="shared" ref="AL159:AL161" si="20">SUBSTITUTE(SUBSTITUTE(SUBSTITUTE("dpa"&amp;$B159&amp;$C159&amp;$D159&amp;$E159&amp;$F159,".","_"),"(","_"),")","")</f>
        <v>dpa503_6_1</v>
      </c>
      <c r="AM159" s="136">
        <f>M159</f>
        <v>3</v>
      </c>
      <c r="AN159" s="1059" t="str">
        <f t="shared" ref="AN159:AN161" si="21">SUBSTITUTE(SUBSTITUTE(SUBSTITUTE("dpc"&amp;$B159&amp;$C159&amp;$D159&amp;$E159&amp;$F159,".","_"),"(","_"),")","")</f>
        <v>dpc503_6_1</v>
      </c>
      <c r="AO159" s="136">
        <f>O159</f>
        <v>0</v>
      </c>
      <c r="AP159" s="1059" t="str">
        <f t="shared" ref="AP159:AP161" si="22">SUBSTITUTE(SUBSTITUTE(SUBSTITUTE("dch"&amp;$B159&amp;$C159&amp;$D159&amp;$E159&amp;$F159,".","_"),"(","_"),")","")</f>
        <v>dch503_6_1</v>
      </c>
      <c r="AQ159" s="136" t="b">
        <f>W159</f>
        <v>1</v>
      </c>
    </row>
    <row r="160" spans="1:51" x14ac:dyDescent="0.3">
      <c r="B160" s="21" t="s">
        <v>466</v>
      </c>
      <c r="C160" s="21"/>
      <c r="D160" s="21"/>
      <c r="E160" s="21" t="s">
        <v>273</v>
      </c>
      <c r="F160" s="21"/>
      <c r="G160" s="21"/>
      <c r="H160" s="1086"/>
      <c r="I160" s="93"/>
      <c r="J160" s="192" t="s">
        <v>273</v>
      </c>
      <c r="K160" s="195"/>
      <c r="L160" s="193" t="s">
        <v>469</v>
      </c>
      <c r="M160" s="520">
        <v>3</v>
      </c>
      <c r="N160" s="196"/>
      <c r="O160" s="597"/>
      <c r="P160" s="440" t="b">
        <v>0</v>
      </c>
      <c r="Q160" s="440" t="b">
        <v>1</v>
      </c>
      <c r="R160" s="65" t="b">
        <v>0</v>
      </c>
      <c r="S160" s="65" t="b">
        <v>1</v>
      </c>
      <c r="T160" s="65" t="b">
        <v>0</v>
      </c>
      <c r="W160" s="25" t="b">
        <v>1</v>
      </c>
      <c r="X160" s="1295"/>
      <c r="AL160" s="1059" t="str">
        <f t="shared" si="20"/>
        <v>dpa503_6_2</v>
      </c>
      <c r="AM160" s="136">
        <f>M160</f>
        <v>3</v>
      </c>
      <c r="AN160" s="1059" t="str">
        <f t="shared" si="21"/>
        <v>dpc503_6_2</v>
      </c>
      <c r="AO160" s="136">
        <f>O160</f>
        <v>0</v>
      </c>
      <c r="AP160" s="1059" t="str">
        <f t="shared" si="22"/>
        <v>dch503_6_2</v>
      </c>
      <c r="AQ160" s="136" t="b">
        <f>W160</f>
        <v>1</v>
      </c>
    </row>
    <row r="161" spans="2:45" x14ac:dyDescent="0.3">
      <c r="B161" s="21" t="s">
        <v>466</v>
      </c>
      <c r="C161" s="21"/>
      <c r="D161" s="21"/>
      <c r="E161" s="21" t="s">
        <v>275</v>
      </c>
      <c r="F161" s="21"/>
      <c r="G161" s="21"/>
      <c r="H161" s="1086"/>
      <c r="I161" s="93"/>
      <c r="J161" s="94" t="s">
        <v>275</v>
      </c>
      <c r="K161" s="107"/>
      <c r="L161" s="1305" t="s">
        <v>470</v>
      </c>
      <c r="M161" s="1318">
        <v>3</v>
      </c>
      <c r="N161" s="97"/>
      <c r="O161" s="269"/>
      <c r="P161" s="440" t="b">
        <v>0</v>
      </c>
      <c r="Q161" s="440" t="b">
        <v>1</v>
      </c>
      <c r="R161" s="65" t="b">
        <v>0</v>
      </c>
      <c r="S161" s="65" t="b">
        <v>1</v>
      </c>
      <c r="T161" s="65" t="b">
        <v>0</v>
      </c>
      <c r="W161" s="25"/>
      <c r="X161" s="1295"/>
      <c r="AL161" s="1059" t="str">
        <f t="shared" si="20"/>
        <v>dpa503_6_3</v>
      </c>
      <c r="AM161" s="136">
        <f>M161</f>
        <v>3</v>
      </c>
      <c r="AN161" s="1059" t="str">
        <f t="shared" si="21"/>
        <v>dpc503_6_3</v>
      </c>
      <c r="AO161" s="136">
        <f>O161</f>
        <v>0</v>
      </c>
      <c r="AP161" s="1059" t="str">
        <f t="shared" si="22"/>
        <v>dch503_6_3</v>
      </c>
      <c r="AQ161" s="136">
        <f>W161</f>
        <v>0</v>
      </c>
    </row>
    <row r="162" spans="2:45" x14ac:dyDescent="0.3">
      <c r="B162" s="21" t="s">
        <v>466</v>
      </c>
      <c r="C162" s="21"/>
      <c r="D162" s="21"/>
      <c r="E162" s="21" t="s">
        <v>275</v>
      </c>
      <c r="F162" s="21"/>
      <c r="G162" s="21"/>
      <c r="H162" s="1086"/>
      <c r="I162" s="93"/>
      <c r="J162" s="195"/>
      <c r="K162" s="195"/>
      <c r="L162" s="1306"/>
      <c r="M162" s="1319"/>
      <c r="N162" s="196"/>
      <c r="O162" s="597"/>
      <c r="P162" s="440"/>
      <c r="Q162" s="440"/>
      <c r="X162" s="1295"/>
    </row>
    <row r="163" spans="2:45" ht="15" thickBot="1" x14ac:dyDescent="0.35">
      <c r="B163" s="21" t="s">
        <v>466</v>
      </c>
      <c r="C163" s="21"/>
      <c r="D163" s="21"/>
      <c r="E163" s="21" t="s">
        <v>285</v>
      </c>
      <c r="F163" s="21"/>
      <c r="G163" s="21"/>
      <c r="H163" s="1086"/>
      <c r="I163" s="108"/>
      <c r="J163" s="99" t="s">
        <v>285</v>
      </c>
      <c r="K163" s="108"/>
      <c r="L163" s="100" t="s">
        <v>471</v>
      </c>
      <c r="M163" s="523">
        <v>3</v>
      </c>
      <c r="N163" s="104"/>
      <c r="O163" s="271"/>
      <c r="P163" s="440" t="b">
        <v>0</v>
      </c>
      <c r="Q163" s="440" t="b">
        <v>1</v>
      </c>
      <c r="R163" s="104" t="b">
        <v>0</v>
      </c>
      <c r="S163" s="104" t="b">
        <v>1</v>
      </c>
      <c r="T163" s="104" t="b">
        <v>0</v>
      </c>
      <c r="U163" s="104"/>
      <c r="V163" s="104"/>
      <c r="W163" s="207"/>
      <c r="X163" s="1296"/>
      <c r="AL163" s="1059" t="str">
        <f>SUBSTITUTE(SUBSTITUTE(SUBSTITUTE("dpa"&amp;$B163&amp;$C163&amp;$D163&amp;$E163&amp;$F163,".","_"),"(","_"),")","")</f>
        <v>dpa503_6_4</v>
      </c>
      <c r="AM163" s="136">
        <f>M163</f>
        <v>3</v>
      </c>
      <c r="AN163" s="1059" t="str">
        <f>SUBSTITUTE(SUBSTITUTE(SUBSTITUTE("dpc"&amp;$B163&amp;$C163&amp;$D163&amp;$E163&amp;$F163,".","_"),"(","_"),")","")</f>
        <v>dpc503_6_4</v>
      </c>
      <c r="AO163" s="136">
        <f>O163</f>
        <v>0</v>
      </c>
      <c r="AP163" s="1059" t="str">
        <f>SUBSTITUTE(SUBSTITUTE(SUBSTITUTE("dch"&amp;$B163&amp;$C163&amp;$D163&amp;$E163&amp;$F163,".","_"),"(","_"),")","")</f>
        <v>dch503_6_4</v>
      </c>
      <c r="AQ163" s="136">
        <f>W163</f>
        <v>0</v>
      </c>
    </row>
    <row r="164" spans="2:45" ht="15" thickTop="1" x14ac:dyDescent="0.3">
      <c r="B164" s="21" t="s">
        <v>472</v>
      </c>
      <c r="C164" s="21"/>
      <c r="D164" s="21"/>
      <c r="E164" s="21"/>
      <c r="F164" s="21"/>
      <c r="G164" s="21"/>
      <c r="H164" s="1086"/>
      <c r="I164" s="67">
        <v>503.7</v>
      </c>
      <c r="J164" s="93"/>
      <c r="K164" s="93"/>
      <c r="L164" s="1292" t="s">
        <v>473</v>
      </c>
      <c r="M164" s="522"/>
      <c r="O164" s="154"/>
      <c r="P164" s="440"/>
      <c r="Q164" s="440"/>
      <c r="R164" s="65"/>
      <c r="S164" s="65"/>
      <c r="T164" s="65"/>
      <c r="W164" s="206"/>
      <c r="X164" s="1304"/>
      <c r="AR164" s="1059" t="str">
        <f>SUBSTITUTE(SUBSTITUTE(SUBSTITUTE("dnt"&amp;$B164&amp;$C164&amp;$D164&amp;$E164&amp;$F164,".","_"),"(","_"),")","")</f>
        <v>dnt503_7</v>
      </c>
      <c r="AS164" s="136">
        <f>X164</f>
        <v>0</v>
      </c>
    </row>
    <row r="165" spans="2:45" x14ac:dyDescent="0.3">
      <c r="B165" s="21" t="s">
        <v>472</v>
      </c>
      <c r="C165" s="21"/>
      <c r="D165" s="21"/>
      <c r="E165" s="21"/>
      <c r="F165" s="21"/>
      <c r="G165" s="21"/>
      <c r="H165" s="1086"/>
      <c r="I165" s="93"/>
      <c r="J165" s="93"/>
      <c r="K165" s="93"/>
      <c r="L165" s="1292"/>
      <c r="M165" s="522"/>
      <c r="O165" s="154"/>
      <c r="P165" s="440"/>
      <c r="Q165" s="440"/>
      <c r="X165" s="1295"/>
    </row>
    <row r="166" spans="2:45" x14ac:dyDescent="0.3">
      <c r="B166" s="21" t="s">
        <v>472</v>
      </c>
      <c r="C166" s="21"/>
      <c r="D166" s="21"/>
      <c r="E166" s="21" t="s">
        <v>271</v>
      </c>
      <c r="F166" s="21"/>
      <c r="G166" s="21"/>
      <c r="H166" s="1086"/>
      <c r="I166" s="93"/>
      <c r="J166" s="94" t="s">
        <v>271</v>
      </c>
      <c r="K166" s="107"/>
      <c r="L166" s="1305" t="s">
        <v>474</v>
      </c>
      <c r="M166" s="1318">
        <v>4</v>
      </c>
      <c r="N166" s="97"/>
      <c r="O166" s="1308">
        <f>M166*W166</f>
        <v>0</v>
      </c>
      <c r="P166" s="440" t="b">
        <v>1</v>
      </c>
      <c r="Q166" s="440" t="b">
        <v>1</v>
      </c>
      <c r="R166" s="65" t="b">
        <v>0</v>
      </c>
      <c r="S166" s="65" t="b">
        <v>1</v>
      </c>
      <c r="T166" s="65" t="b">
        <v>0</v>
      </c>
      <c r="W166" s="25"/>
      <c r="X166" s="1295"/>
      <c r="AL166" s="1059" t="str">
        <f>SUBSTITUTE(SUBSTITUTE(SUBSTITUTE("dpa"&amp;$B166&amp;$C166&amp;$D166&amp;$E166&amp;$F166,".","_"),"(","_"),")","")</f>
        <v>dpa503_7_1</v>
      </c>
      <c r="AM166" s="136">
        <f>M166</f>
        <v>4</v>
      </c>
      <c r="AN166" s="1059" t="str">
        <f>SUBSTITUTE(SUBSTITUTE(SUBSTITUTE("dpc"&amp;$B166&amp;$C166&amp;$D166&amp;$E166&amp;$F166,".","_"),"(","_"),")","")</f>
        <v>dpc503_7_1</v>
      </c>
      <c r="AO166" s="136">
        <f>O166</f>
        <v>0</v>
      </c>
      <c r="AP166" s="1059" t="str">
        <f>SUBSTITUTE(SUBSTITUTE(SUBSTITUTE("dch"&amp;$B166&amp;$C166&amp;$D166&amp;$E166&amp;$F166,".","_"),"(","_"),")","")</f>
        <v>dch503_7_1</v>
      </c>
      <c r="AQ166" s="136">
        <f>W166</f>
        <v>0</v>
      </c>
    </row>
    <row r="167" spans="2:45" x14ac:dyDescent="0.3">
      <c r="B167" s="21" t="s">
        <v>472</v>
      </c>
      <c r="C167" s="21"/>
      <c r="D167" s="21"/>
      <c r="E167" s="21" t="s">
        <v>271</v>
      </c>
      <c r="F167" s="21"/>
      <c r="G167" s="21"/>
      <c r="H167" s="1086"/>
      <c r="I167" s="93"/>
      <c r="J167" s="192"/>
      <c r="K167" s="195"/>
      <c r="L167" s="1306"/>
      <c r="M167" s="1319"/>
      <c r="N167" s="196"/>
      <c r="O167" s="1309"/>
      <c r="P167" s="440"/>
      <c r="Q167" s="440"/>
      <c r="X167" s="1295"/>
    </row>
    <row r="168" spans="2:45" x14ac:dyDescent="0.3">
      <c r="B168" s="21" t="s">
        <v>472</v>
      </c>
      <c r="C168" s="21"/>
      <c r="D168" s="21"/>
      <c r="E168" s="21" t="s">
        <v>273</v>
      </c>
      <c r="F168" s="21"/>
      <c r="G168" s="21"/>
      <c r="H168" s="1086"/>
      <c r="I168" s="107"/>
      <c r="J168" s="94" t="s">
        <v>273</v>
      </c>
      <c r="K168" s="107"/>
      <c r="L168" s="1305" t="s">
        <v>475</v>
      </c>
      <c r="M168" s="1318">
        <v>4</v>
      </c>
      <c r="N168" s="97"/>
      <c r="O168" s="1310">
        <f>M168*W168</f>
        <v>0</v>
      </c>
      <c r="P168" s="440" t="b">
        <v>1</v>
      </c>
      <c r="Q168" s="440" t="b">
        <v>1</v>
      </c>
      <c r="R168" s="97" t="b">
        <v>0</v>
      </c>
      <c r="S168" s="97" t="b">
        <v>1</v>
      </c>
      <c r="T168" s="97" t="b">
        <v>0</v>
      </c>
      <c r="U168" s="97"/>
      <c r="V168" s="97"/>
      <c r="W168" s="25"/>
      <c r="X168" s="1295"/>
      <c r="AL168" s="1059" t="str">
        <f>SUBSTITUTE(SUBSTITUTE(SUBSTITUTE("dpa"&amp;$B168&amp;$C168&amp;$D168&amp;$E168&amp;$F168,".","_"),"(","_"),")","")</f>
        <v>dpa503_7_2</v>
      </c>
      <c r="AM168" s="136">
        <f>M168</f>
        <v>4</v>
      </c>
      <c r="AN168" s="1059" t="str">
        <f>SUBSTITUTE(SUBSTITUTE(SUBSTITUTE("dpc"&amp;$B168&amp;$C168&amp;$D168&amp;$E168&amp;$F168,".","_"),"(","_"),")","")</f>
        <v>dpc503_7_2</v>
      </c>
      <c r="AO168" s="136">
        <f>O168</f>
        <v>0</v>
      </c>
      <c r="AP168" s="1059" t="str">
        <f>SUBSTITUTE(SUBSTITUTE(SUBSTITUTE("dch"&amp;$B168&amp;$C168&amp;$D168&amp;$E168&amp;$F168,".","_"),"(","_"),")","")</f>
        <v>dch503_7_2</v>
      </c>
      <c r="AQ168" s="136">
        <f>W168</f>
        <v>0</v>
      </c>
    </row>
    <row r="169" spans="2:45" ht="15" thickBot="1" x14ac:dyDescent="0.35">
      <c r="B169" s="21" t="s">
        <v>472</v>
      </c>
      <c r="C169" s="21"/>
      <c r="D169" s="21"/>
      <c r="E169" s="21" t="s">
        <v>273</v>
      </c>
      <c r="F169" s="21"/>
      <c r="G169" s="21"/>
      <c r="H169" s="1086"/>
      <c r="I169" s="108"/>
      <c r="J169" s="108"/>
      <c r="K169" s="108"/>
      <c r="L169" s="1330"/>
      <c r="M169" s="1334"/>
      <c r="N169" s="104"/>
      <c r="O169" s="1315"/>
      <c r="P169" s="104"/>
      <c r="Q169" s="104"/>
      <c r="R169" s="104"/>
      <c r="S169" s="104"/>
      <c r="T169" s="104"/>
      <c r="U169" s="104"/>
      <c r="V169" s="104"/>
      <c r="W169" s="104"/>
      <c r="X169" s="1296"/>
    </row>
    <row r="170" spans="2:45" ht="15" thickTop="1" x14ac:dyDescent="0.3">
      <c r="B170" s="21" t="s">
        <v>476</v>
      </c>
      <c r="C170" s="21"/>
      <c r="D170" s="21"/>
      <c r="E170" s="21"/>
      <c r="F170" s="21"/>
      <c r="G170" s="21"/>
      <c r="H170" s="1086"/>
      <c r="I170" s="67">
        <v>503.8</v>
      </c>
      <c r="J170" s="93"/>
      <c r="K170" s="93"/>
      <c r="L170" s="1292" t="s">
        <v>477</v>
      </c>
      <c r="M170" s="1335">
        <v>5</v>
      </c>
      <c r="O170" s="1336">
        <f ca="1">IFERROR(INDEX({5,6,7,8,9,10},MATCH(W171,INDIRECT(U171),0)),0)</f>
        <v>0</v>
      </c>
      <c r="P170" s="440"/>
      <c r="Q170" s="440"/>
      <c r="R170" s="65"/>
      <c r="S170" s="65"/>
      <c r="T170" s="65"/>
      <c r="X170" s="1304"/>
      <c r="AL170" s="1059" t="str">
        <f>SUBSTITUTE(SUBSTITUTE(SUBSTITUTE("dpa"&amp;$B170&amp;$C170&amp;$D170&amp;$E170&amp;$F170,".","_"),"(","_"),")","")</f>
        <v>dpa503_8</v>
      </c>
      <c r="AM170" s="136">
        <f>M170</f>
        <v>5</v>
      </c>
      <c r="AN170" s="1059" t="str">
        <f>SUBSTITUTE(SUBSTITUTE(SUBSTITUTE("dpc"&amp;$B170&amp;$C170&amp;$D170&amp;$E170&amp;$F170,".","_"),"(","_"),")","")</f>
        <v>dpc503_8</v>
      </c>
      <c r="AO170" s="136">
        <f ca="1">O170</f>
        <v>0</v>
      </c>
      <c r="AP170" s="1059" t="str">
        <f>SUBSTITUTE(SUBSTITUTE(SUBSTITUTE("dch"&amp;$B170&amp;$C170&amp;$D170&amp;$E170&amp;$F170,".","_"),"(","_"),")","")</f>
        <v>dch503_8</v>
      </c>
      <c r="AQ170" s="136">
        <f>W170</f>
        <v>0</v>
      </c>
      <c r="AR170" s="1059" t="str">
        <f>SUBSTITUTE(SUBSTITUTE(SUBSTITUTE("dnt"&amp;$B170&amp;$C170&amp;$D170&amp;$E170&amp;$F170,".","_"),"(","_"),")","")</f>
        <v>dnt503_8</v>
      </c>
      <c r="AS170" s="136">
        <f>X170</f>
        <v>0</v>
      </c>
    </row>
    <row r="171" spans="2:45" x14ac:dyDescent="0.3">
      <c r="B171" s="21" t="s">
        <v>476</v>
      </c>
      <c r="C171" s="21"/>
      <c r="D171" s="21"/>
      <c r="E171" s="21"/>
      <c r="F171" s="21"/>
      <c r="G171" s="21"/>
      <c r="H171" s="1086"/>
      <c r="I171" s="93"/>
      <c r="J171" s="93"/>
      <c r="K171" s="93"/>
      <c r="L171" s="1292"/>
      <c r="M171" s="1335"/>
      <c r="O171" s="1308"/>
      <c r="P171" s="440" t="b">
        <v>1</v>
      </c>
      <c r="Q171" s="440" t="b">
        <v>0</v>
      </c>
      <c r="R171" s="79" t="b">
        <v>0</v>
      </c>
      <c r="S171" s="79" t="b">
        <v>1</v>
      </c>
      <c r="T171" s="79" t="b">
        <v>0</v>
      </c>
      <c r="U171" s="79" t="str">
        <f>SUBSTITUTE(SUBSTITUTE(SUBSTITUTE("dd"&amp;B171&amp;C171&amp;D171&amp;E171&amp;F171,".","_"),"(","_"),")","")</f>
        <v>dd503_8</v>
      </c>
      <c r="W171" s="12"/>
      <c r="X171" s="1303"/>
    </row>
    <row r="172" spans="2:45" x14ac:dyDescent="0.3">
      <c r="B172" s="21" t="s">
        <v>476</v>
      </c>
      <c r="C172" s="21"/>
      <c r="D172" s="21"/>
      <c r="E172" s="21"/>
      <c r="F172" s="21"/>
      <c r="G172" s="21"/>
      <c r="H172" s="1086"/>
      <c r="I172" s="93"/>
      <c r="J172" s="93"/>
      <c r="K172" s="93"/>
      <c r="L172" s="1292"/>
      <c r="M172" s="1335"/>
      <c r="O172" s="1308"/>
      <c r="P172" s="440"/>
      <c r="Q172" s="440"/>
      <c r="X172" s="1303"/>
    </row>
    <row r="173" spans="2:45" x14ac:dyDescent="0.3">
      <c r="B173" s="21" t="s">
        <v>476</v>
      </c>
      <c r="C173" s="21"/>
      <c r="D173" s="21"/>
      <c r="E173" s="21"/>
      <c r="F173" s="21"/>
      <c r="G173" s="21"/>
      <c r="H173" s="1086"/>
      <c r="I173" s="93"/>
      <c r="J173" s="93"/>
      <c r="K173" s="93"/>
      <c r="L173" s="1329" t="s">
        <v>478</v>
      </c>
      <c r="M173" s="1335" t="s">
        <v>834</v>
      </c>
      <c r="O173" s="154"/>
      <c r="P173" s="440"/>
      <c r="Q173" s="440"/>
      <c r="X173" s="1303"/>
      <c r="AL173" s="136"/>
      <c r="AM173" s="136"/>
    </row>
    <row r="174" spans="2:45" x14ac:dyDescent="0.3">
      <c r="B174" s="21" t="s">
        <v>476</v>
      </c>
      <c r="C174" s="21"/>
      <c r="D174" s="21"/>
      <c r="E174" s="21"/>
      <c r="F174" s="21"/>
      <c r="G174" s="21"/>
      <c r="H174" s="1086"/>
      <c r="I174" s="93"/>
      <c r="J174" s="93"/>
      <c r="K174" s="93"/>
      <c r="L174" s="1329"/>
      <c r="M174" s="1335"/>
      <c r="O174" s="154"/>
      <c r="P174" s="440"/>
      <c r="Q174" s="440"/>
      <c r="X174" s="1303"/>
    </row>
    <row r="175" spans="2:45" ht="18" x14ac:dyDescent="0.35">
      <c r="B175" s="21" t="s">
        <v>479</v>
      </c>
      <c r="C175" s="21"/>
      <c r="D175" s="21"/>
      <c r="E175" s="21"/>
      <c r="F175" s="21"/>
      <c r="G175" s="21"/>
      <c r="H175" s="1086"/>
      <c r="I175" s="91" t="s">
        <v>480</v>
      </c>
      <c r="J175" s="91"/>
      <c r="K175" s="91"/>
      <c r="L175" s="87"/>
      <c r="M175" s="484"/>
      <c r="N175" s="23"/>
      <c r="O175" s="594"/>
      <c r="P175" s="23"/>
      <c r="Q175" s="23"/>
      <c r="R175" s="23"/>
      <c r="S175" s="23"/>
      <c r="T175" s="23"/>
      <c r="U175" s="23"/>
      <c r="V175" s="23"/>
      <c r="W175" s="23"/>
      <c r="X175" s="23"/>
    </row>
    <row r="176" spans="2:45" x14ac:dyDescent="0.3">
      <c r="B176" s="21" t="s">
        <v>479</v>
      </c>
      <c r="C176" s="21"/>
      <c r="D176" s="21"/>
      <c r="E176" s="21"/>
      <c r="F176" s="21"/>
      <c r="G176" s="21"/>
      <c r="H176" s="1086"/>
      <c r="I176" s="94" t="s">
        <v>479</v>
      </c>
      <c r="J176" s="107"/>
      <c r="K176" s="107"/>
      <c r="L176" s="1313" t="s">
        <v>481</v>
      </c>
      <c r="M176" s="518"/>
      <c r="N176" s="97"/>
      <c r="O176" s="269"/>
      <c r="P176" s="97"/>
      <c r="Q176" s="97"/>
      <c r="R176" s="97"/>
      <c r="S176" s="97"/>
      <c r="T176" s="97"/>
      <c r="U176" s="97"/>
      <c r="V176" s="97"/>
      <c r="W176" s="97"/>
      <c r="X176" s="118"/>
    </row>
    <row r="177" spans="1:51" ht="15" thickBot="1" x14ac:dyDescent="0.35">
      <c r="B177" s="21" t="s">
        <v>479</v>
      </c>
      <c r="C177" s="21"/>
      <c r="D177" s="21"/>
      <c r="E177" s="21"/>
      <c r="F177" s="21"/>
      <c r="G177" s="21"/>
      <c r="H177" s="1086"/>
      <c r="I177" s="108"/>
      <c r="J177" s="108"/>
      <c r="K177" s="108"/>
      <c r="L177" s="1332"/>
      <c r="M177" s="523"/>
      <c r="N177" s="104"/>
      <c r="O177" s="271"/>
      <c r="P177" s="104"/>
      <c r="Q177" s="104"/>
      <c r="R177" s="104"/>
      <c r="S177" s="104"/>
      <c r="T177" s="104"/>
      <c r="U177" s="104"/>
      <c r="V177" s="104"/>
      <c r="W177" s="104"/>
      <c r="X177" s="117"/>
    </row>
    <row r="178" spans="1:51" ht="15.75" customHeight="1" thickTop="1" x14ac:dyDescent="0.3">
      <c r="B178" s="21" t="s">
        <v>482</v>
      </c>
      <c r="C178" s="21"/>
      <c r="D178" s="21"/>
      <c r="E178" s="21"/>
      <c r="F178" s="21"/>
      <c r="G178" s="21"/>
      <c r="H178" s="1086"/>
      <c r="I178" s="119" t="s">
        <v>482</v>
      </c>
      <c r="J178" s="112"/>
      <c r="K178" s="112"/>
      <c r="L178" s="1331" t="s">
        <v>483</v>
      </c>
      <c r="M178" s="1343">
        <v>4</v>
      </c>
      <c r="N178" s="110"/>
      <c r="O178" s="1336">
        <f>M178*W178*S178</f>
        <v>0</v>
      </c>
      <c r="P178" s="440" t="b">
        <v>1</v>
      </c>
      <c r="Q178" s="440" t="b">
        <v>1</v>
      </c>
      <c r="R178" s="110" t="b">
        <v>0</v>
      </c>
      <c r="S178" s="110" t="b">
        <f>IF((O83+O85+O92)&gt;0,TRUE,FALSE)</f>
        <v>0</v>
      </c>
      <c r="T178" s="97" t="b">
        <f>AND(NOT(S178),W178=TRUE)</f>
        <v>0</v>
      </c>
      <c r="U178" s="110"/>
      <c r="V178" s="110"/>
      <c r="W178" s="25"/>
      <c r="X178" s="1327"/>
      <c r="AC178" s="147" t="b">
        <f>OR(AD178:AE178)</f>
        <v>0</v>
      </c>
      <c r="AD178" s="147" t="b">
        <f>T178</f>
        <v>0</v>
      </c>
      <c r="AL178" s="1059" t="str">
        <f>SUBSTITUTE(SUBSTITUTE(SUBSTITUTE("dpa"&amp;$B178&amp;$C178&amp;$D178&amp;$E178&amp;$F178,".","_"),"(","_"),")","")</f>
        <v>dpa504_1</v>
      </c>
      <c r="AM178" s="136">
        <f>M178</f>
        <v>4</v>
      </c>
      <c r="AN178" s="1059" t="str">
        <f>SUBSTITUTE(SUBSTITUTE(SUBSTITUTE("dpc"&amp;$B178&amp;$C178&amp;$D178&amp;$E178&amp;$F178,".","_"),"(","_"),")","")</f>
        <v>dpc504_1</v>
      </c>
      <c r="AO178" s="136">
        <f>O178</f>
        <v>0</v>
      </c>
      <c r="AP178" s="1059" t="str">
        <f>SUBSTITUTE(SUBSTITUTE(SUBSTITUTE("dch"&amp;$B178&amp;$C178&amp;$D178&amp;$E178&amp;$F178,".","_"),"(","_"),")","")</f>
        <v>dch504_1</v>
      </c>
      <c r="AQ178" s="136">
        <f>W178</f>
        <v>0</v>
      </c>
      <c r="AR178" s="1059" t="str">
        <f>SUBSTITUTE(SUBSTITUTE(SUBSTITUTE("dnt"&amp;$B178&amp;$C178&amp;$D178&amp;$E178&amp;$F178,".","_"),"(","_"),")","")</f>
        <v>dnt504_1</v>
      </c>
      <c r="AS178" s="136">
        <f>X178</f>
        <v>0</v>
      </c>
    </row>
    <row r="179" spans="1:51" x14ac:dyDescent="0.3">
      <c r="B179" s="21" t="s">
        <v>482</v>
      </c>
      <c r="C179" s="21"/>
      <c r="D179" s="21"/>
      <c r="E179" s="21"/>
      <c r="F179" s="21"/>
      <c r="G179" s="21"/>
      <c r="H179" s="1086"/>
      <c r="I179" s="107"/>
      <c r="J179" s="107"/>
      <c r="K179" s="107"/>
      <c r="L179" s="1313"/>
      <c r="M179" s="1318"/>
      <c r="N179" s="97"/>
      <c r="O179" s="1308"/>
      <c r="P179" s="97"/>
      <c r="Q179" s="97"/>
      <c r="R179" s="97"/>
      <c r="S179" s="97"/>
      <c r="T179" s="97"/>
      <c r="U179" s="97"/>
      <c r="V179" s="97"/>
      <c r="W179" s="97"/>
      <c r="X179" s="1295"/>
      <c r="AX179" s="131"/>
      <c r="AY179" s="131"/>
    </row>
    <row r="180" spans="1:51" x14ac:dyDescent="0.3">
      <c r="B180" s="21" t="s">
        <v>482</v>
      </c>
      <c r="C180" s="21"/>
      <c r="D180" s="21"/>
      <c r="E180" s="21"/>
      <c r="F180" s="21"/>
      <c r="G180" s="21"/>
      <c r="H180" s="1086"/>
      <c r="I180" s="107"/>
      <c r="J180" s="107"/>
      <c r="K180" s="107"/>
      <c r="L180" s="1313"/>
      <c r="M180" s="1318"/>
      <c r="N180" s="97"/>
      <c r="O180" s="1308"/>
      <c r="P180" s="97"/>
      <c r="Q180" s="97"/>
      <c r="R180" s="97"/>
      <c r="S180" s="97"/>
      <c r="T180" s="97"/>
      <c r="U180" s="97"/>
      <c r="V180" s="97"/>
      <c r="W180" s="97"/>
      <c r="X180" s="1295"/>
    </row>
    <row r="181" spans="1:51" s="131" customFormat="1" x14ac:dyDescent="0.3">
      <c r="A181" s="18"/>
      <c r="B181" s="21" t="s">
        <v>482</v>
      </c>
      <c r="C181" s="21"/>
      <c r="D181" s="21"/>
      <c r="E181" s="21"/>
      <c r="F181" s="21"/>
      <c r="G181" s="21"/>
      <c r="H181" s="1086"/>
      <c r="I181" s="107"/>
      <c r="J181" s="107"/>
      <c r="K181" s="107"/>
      <c r="L181" s="1313"/>
      <c r="M181" s="1318"/>
      <c r="N181" s="97"/>
      <c r="O181" s="1308"/>
      <c r="P181" s="97"/>
      <c r="Q181" s="97"/>
      <c r="R181" s="97"/>
      <c r="S181" s="97"/>
      <c r="T181" s="97"/>
      <c r="U181" s="97"/>
      <c r="V181" s="97"/>
      <c r="W181" s="97"/>
      <c r="X181" s="1295"/>
      <c r="Y181" s="1107"/>
      <c r="AA181" s="1110"/>
      <c r="AX181"/>
      <c r="AY181"/>
    </row>
    <row r="182" spans="1:51" ht="15" thickBot="1" x14ac:dyDescent="0.35">
      <c r="B182" s="21" t="s">
        <v>482</v>
      </c>
      <c r="C182" s="21"/>
      <c r="D182" s="21"/>
      <c r="E182" s="21"/>
      <c r="F182" s="21"/>
      <c r="G182" s="21"/>
      <c r="H182" s="1086"/>
      <c r="I182" s="108"/>
      <c r="J182" s="108"/>
      <c r="K182" s="108"/>
      <c r="L182" s="199" t="s">
        <v>841</v>
      </c>
      <c r="M182" s="1334"/>
      <c r="N182" s="104"/>
      <c r="O182" s="1315"/>
      <c r="P182" s="104"/>
      <c r="Q182" s="104"/>
      <c r="R182" s="104"/>
      <c r="S182" s="104"/>
      <c r="T182" s="104"/>
      <c r="U182" s="104"/>
      <c r="V182" s="104"/>
      <c r="W182" s="104"/>
      <c r="X182" s="1296"/>
    </row>
    <row r="183" spans="1:51" ht="15" thickTop="1" x14ac:dyDescent="0.3">
      <c r="B183" s="21" t="s">
        <v>484</v>
      </c>
      <c r="C183" s="21"/>
      <c r="D183" s="21"/>
      <c r="E183" s="21"/>
      <c r="F183" s="21"/>
      <c r="G183" s="21"/>
      <c r="H183" s="1086"/>
      <c r="I183" s="90" t="s">
        <v>484</v>
      </c>
      <c r="J183" s="93"/>
      <c r="K183" s="93"/>
      <c r="L183" s="1292" t="s">
        <v>485</v>
      </c>
      <c r="M183" s="522"/>
      <c r="O183" s="154"/>
      <c r="P183" s="440"/>
      <c r="Q183" s="440"/>
      <c r="R183" s="65"/>
      <c r="S183" s="65"/>
      <c r="T183" s="65"/>
      <c r="X183" s="1304"/>
      <c r="AR183" s="1059" t="str">
        <f>SUBSTITUTE(SUBSTITUTE(SUBSTITUTE("dnt"&amp;$B183&amp;$C183&amp;$D183&amp;$E183&amp;$F183,".","_"),"(","_"),")","")</f>
        <v>dnt504_2</v>
      </c>
      <c r="AS183" s="136">
        <f>X183</f>
        <v>0</v>
      </c>
    </row>
    <row r="184" spans="1:51" x14ac:dyDescent="0.3">
      <c r="B184" s="21" t="s">
        <v>484</v>
      </c>
      <c r="C184" s="21"/>
      <c r="D184" s="21"/>
      <c r="E184" s="21"/>
      <c r="F184" s="21"/>
      <c r="G184" s="21"/>
      <c r="H184" s="1086"/>
      <c r="I184" s="93"/>
      <c r="J184" s="93"/>
      <c r="K184" s="93"/>
      <c r="L184" s="1292"/>
      <c r="M184" s="522"/>
      <c r="O184" s="154"/>
      <c r="P184" s="440"/>
      <c r="Q184" s="440"/>
      <c r="X184" s="1295"/>
    </row>
    <row r="185" spans="1:51" x14ac:dyDescent="0.3">
      <c r="B185" s="21" t="s">
        <v>484</v>
      </c>
      <c r="C185" s="21"/>
      <c r="D185" s="21"/>
      <c r="E185" s="21" t="s">
        <v>271</v>
      </c>
      <c r="F185" s="21"/>
      <c r="G185" s="21"/>
      <c r="H185" s="1086"/>
      <c r="I185" s="93"/>
      <c r="J185" s="192" t="s">
        <v>271</v>
      </c>
      <c r="K185" s="195"/>
      <c r="L185" s="193" t="s">
        <v>486</v>
      </c>
      <c r="M185" s="520">
        <v>3</v>
      </c>
      <c r="N185" s="196"/>
      <c r="O185" s="597">
        <f>M185*W185</f>
        <v>0</v>
      </c>
      <c r="P185" s="440" t="b">
        <v>1</v>
      </c>
      <c r="Q185" s="440" t="b">
        <v>0</v>
      </c>
      <c r="R185" s="65" t="b">
        <v>0</v>
      </c>
      <c r="S185" s="65" t="b">
        <v>1</v>
      </c>
      <c r="T185" s="65" t="b">
        <v>0</v>
      </c>
      <c r="W185" s="25"/>
      <c r="X185" s="1295"/>
      <c r="AL185" s="1059" t="str">
        <f t="shared" ref="AL185:AL186" si="23">SUBSTITUTE(SUBSTITUTE(SUBSTITUTE("dpa"&amp;$B185&amp;$C185&amp;$D185&amp;$E185&amp;$F185,".","_"),"(","_"),")","")</f>
        <v>dpa504_2_1</v>
      </c>
      <c r="AM185" s="136">
        <f>M185</f>
        <v>3</v>
      </c>
      <c r="AN185" s="1059" t="str">
        <f t="shared" ref="AN185:AN186" si="24">SUBSTITUTE(SUBSTITUTE(SUBSTITUTE("dpc"&amp;$B185&amp;$C185&amp;$D185&amp;$E185&amp;$F185,".","_"),"(","_"),")","")</f>
        <v>dpc504_2_1</v>
      </c>
      <c r="AO185" s="136">
        <f>O185</f>
        <v>0</v>
      </c>
      <c r="AP185" s="1059" t="str">
        <f t="shared" ref="AP185:AP186" si="25">SUBSTITUTE(SUBSTITUTE(SUBSTITUTE("dch"&amp;$B185&amp;$C185&amp;$D185&amp;$E185&amp;$F185,".","_"),"(","_"),")","")</f>
        <v>dch504_2_1</v>
      </c>
      <c r="AQ185" s="136">
        <f>W185</f>
        <v>0</v>
      </c>
    </row>
    <row r="186" spans="1:51" x14ac:dyDescent="0.3">
      <c r="B186" s="21" t="s">
        <v>484</v>
      </c>
      <c r="C186" s="21"/>
      <c r="D186" s="21"/>
      <c r="E186" s="21" t="s">
        <v>273</v>
      </c>
      <c r="F186" s="21"/>
      <c r="G186" s="21"/>
      <c r="H186" s="1086"/>
      <c r="I186" s="93"/>
      <c r="J186" s="94" t="s">
        <v>273</v>
      </c>
      <c r="K186" s="107"/>
      <c r="L186" s="1305" t="s">
        <v>487</v>
      </c>
      <c r="M186" s="1318">
        <v>5</v>
      </c>
      <c r="N186" s="97"/>
      <c r="O186" s="1308">
        <f>M186*W186</f>
        <v>0</v>
      </c>
      <c r="P186" s="440" t="b">
        <v>1</v>
      </c>
      <c r="Q186" s="440" t="b">
        <v>0</v>
      </c>
      <c r="R186" s="65" t="b">
        <v>0</v>
      </c>
      <c r="S186" s="65" t="b">
        <v>1</v>
      </c>
      <c r="T186" s="65" t="b">
        <v>0</v>
      </c>
      <c r="W186" s="25"/>
      <c r="X186" s="1295"/>
      <c r="AL186" s="1059" t="str">
        <f t="shared" si="23"/>
        <v>dpa504_2_2</v>
      </c>
      <c r="AM186" s="136">
        <f>M186</f>
        <v>5</v>
      </c>
      <c r="AN186" s="1059" t="str">
        <f t="shared" si="24"/>
        <v>dpc504_2_2</v>
      </c>
      <c r="AO186" s="136">
        <f>O186</f>
        <v>0</v>
      </c>
      <c r="AP186" s="1059" t="str">
        <f t="shared" si="25"/>
        <v>dch504_2_2</v>
      </c>
      <c r="AQ186" s="136">
        <f>W186</f>
        <v>0</v>
      </c>
    </row>
    <row r="187" spans="1:51" x14ac:dyDescent="0.3">
      <c r="B187" s="21" t="s">
        <v>484</v>
      </c>
      <c r="C187" s="21"/>
      <c r="D187" s="21"/>
      <c r="E187" s="21" t="s">
        <v>273</v>
      </c>
      <c r="F187" s="21"/>
      <c r="G187" s="21"/>
      <c r="H187" s="1086"/>
      <c r="I187" s="93"/>
      <c r="J187" s="192"/>
      <c r="K187" s="195"/>
      <c r="L187" s="1306"/>
      <c r="M187" s="1319"/>
      <c r="N187" s="196"/>
      <c r="O187" s="1309"/>
      <c r="P187" s="440"/>
      <c r="Q187" s="440"/>
      <c r="X187" s="1295"/>
    </row>
    <row r="188" spans="1:51" x14ac:dyDescent="0.3">
      <c r="B188" s="21" t="s">
        <v>484</v>
      </c>
      <c r="C188" s="21"/>
      <c r="D188" s="21"/>
      <c r="E188" s="21" t="s">
        <v>275</v>
      </c>
      <c r="F188" s="21"/>
      <c r="G188" s="21"/>
      <c r="H188" s="1086"/>
      <c r="I188" s="107"/>
      <c r="J188" s="94" t="s">
        <v>275</v>
      </c>
      <c r="K188" s="107"/>
      <c r="L188" s="1305" t="s">
        <v>488</v>
      </c>
      <c r="M188" s="1318">
        <v>4</v>
      </c>
      <c r="N188" s="97"/>
      <c r="O188" s="1310">
        <f>M188*W188</f>
        <v>0</v>
      </c>
      <c r="P188" s="440" t="b">
        <v>1</v>
      </c>
      <c r="Q188" s="440" t="b">
        <v>0</v>
      </c>
      <c r="R188" s="97" t="b">
        <v>0</v>
      </c>
      <c r="S188" s="97" t="b">
        <v>1</v>
      </c>
      <c r="T188" s="97" t="b">
        <v>0</v>
      </c>
      <c r="U188" s="97"/>
      <c r="V188" s="97"/>
      <c r="W188" s="25"/>
      <c r="X188" s="1295"/>
      <c r="AL188" s="1059" t="str">
        <f>SUBSTITUTE(SUBSTITUTE(SUBSTITUTE("dpa"&amp;$B188&amp;$C188&amp;$D188&amp;$E188&amp;$F188,".","_"),"(","_"),")","")</f>
        <v>dpa504_2_3</v>
      </c>
      <c r="AM188" s="136">
        <f>M188</f>
        <v>4</v>
      </c>
      <c r="AN188" s="1059" t="str">
        <f>SUBSTITUTE(SUBSTITUTE(SUBSTITUTE("dpc"&amp;$B188&amp;$C188&amp;$D188&amp;$E188&amp;$F188,".","_"),"(","_"),")","")</f>
        <v>dpc504_2_3</v>
      </c>
      <c r="AO188" s="136">
        <f>O188</f>
        <v>0</v>
      </c>
      <c r="AP188" s="1059" t="str">
        <f>SUBSTITUTE(SUBSTITUTE(SUBSTITUTE("dch"&amp;$B188&amp;$C188&amp;$D188&amp;$E188&amp;$F188,".","_"),"(","_"),")","")</f>
        <v>dch504_2_3</v>
      </c>
      <c r="AQ188" s="136">
        <f>W188</f>
        <v>0</v>
      </c>
    </row>
    <row r="189" spans="1:51" ht="15" thickBot="1" x14ac:dyDescent="0.35">
      <c r="B189" s="21" t="s">
        <v>484</v>
      </c>
      <c r="C189" s="21"/>
      <c r="D189" s="21"/>
      <c r="E189" s="21" t="s">
        <v>275</v>
      </c>
      <c r="F189" s="21"/>
      <c r="G189" s="21"/>
      <c r="H189" s="1086"/>
      <c r="I189" s="108"/>
      <c r="J189" s="108"/>
      <c r="K189" s="108"/>
      <c r="L189" s="1330"/>
      <c r="M189" s="1334"/>
      <c r="N189" s="104"/>
      <c r="O189" s="1315"/>
      <c r="P189" s="104"/>
      <c r="Q189" s="104"/>
      <c r="R189" s="104"/>
      <c r="S189" s="104"/>
      <c r="T189" s="104"/>
      <c r="U189" s="104"/>
      <c r="V189" s="104"/>
      <c r="W189" s="104"/>
      <c r="X189" s="1296"/>
    </row>
    <row r="190" spans="1:51" ht="15" thickTop="1" x14ac:dyDescent="0.3">
      <c r="B190" s="21" t="s">
        <v>489</v>
      </c>
      <c r="C190" s="21"/>
      <c r="D190" s="21"/>
      <c r="E190" s="21"/>
      <c r="F190" s="21"/>
      <c r="G190" s="21"/>
      <c r="H190" s="1086"/>
      <c r="I190" s="90" t="s">
        <v>489</v>
      </c>
      <c r="J190" s="93"/>
      <c r="K190" s="93"/>
      <c r="L190" s="1292" t="s">
        <v>490</v>
      </c>
      <c r="M190" s="522"/>
      <c r="O190" s="154"/>
      <c r="P190" s="440"/>
      <c r="Q190" s="440"/>
      <c r="X190" s="1304"/>
      <c r="AR190" s="1059" t="str">
        <f>SUBSTITUTE(SUBSTITUTE(SUBSTITUTE("dnt"&amp;$B190&amp;$C190&amp;$D190&amp;$E190&amp;$F190,".","_"),"(","_"),")","")</f>
        <v>dnt504_3</v>
      </c>
      <c r="AS190" s="136">
        <f>X190</f>
        <v>0</v>
      </c>
    </row>
    <row r="191" spans="1:51" x14ac:dyDescent="0.3">
      <c r="B191" s="21" t="s">
        <v>489</v>
      </c>
      <c r="C191" s="21"/>
      <c r="D191" s="21"/>
      <c r="E191" s="21"/>
      <c r="F191" s="21"/>
      <c r="G191" s="21"/>
      <c r="H191" s="1086"/>
      <c r="I191" s="93"/>
      <c r="J191" s="93"/>
      <c r="K191" s="93"/>
      <c r="L191" s="1292"/>
      <c r="M191" s="522"/>
      <c r="O191" s="154"/>
      <c r="P191" s="440"/>
      <c r="Q191" s="440"/>
      <c r="X191" s="1303"/>
    </row>
    <row r="192" spans="1:51" x14ac:dyDescent="0.3">
      <c r="B192" s="21" t="s">
        <v>489</v>
      </c>
      <c r="C192" s="21"/>
      <c r="D192" s="21"/>
      <c r="E192" s="21"/>
      <c r="F192" s="21"/>
      <c r="G192" s="21"/>
      <c r="H192" s="1086"/>
      <c r="I192" s="93"/>
      <c r="J192" s="93"/>
      <c r="K192" s="93"/>
      <c r="L192" s="1292"/>
      <c r="M192" s="522"/>
      <c r="O192" s="154"/>
      <c r="P192" s="440"/>
      <c r="Q192" s="440"/>
      <c r="X192" s="1303"/>
    </row>
    <row r="193" spans="2:51" x14ac:dyDescent="0.3">
      <c r="B193" s="21" t="s">
        <v>489</v>
      </c>
      <c r="C193" s="21"/>
      <c r="D193" s="21"/>
      <c r="E193" s="21" t="s">
        <v>271</v>
      </c>
      <c r="F193" s="21"/>
      <c r="G193" s="21"/>
      <c r="H193" s="1086"/>
      <c r="I193" s="93"/>
      <c r="J193" s="94" t="s">
        <v>271</v>
      </c>
      <c r="K193" s="107"/>
      <c r="L193" s="1305" t="s">
        <v>491</v>
      </c>
      <c r="M193" s="1318">
        <v>5</v>
      </c>
      <c r="N193" s="97"/>
      <c r="O193" s="1308">
        <f>M193*W193</f>
        <v>5</v>
      </c>
      <c r="P193" s="440" t="b">
        <v>1</v>
      </c>
      <c r="Q193" s="440" t="b">
        <v>0</v>
      </c>
      <c r="R193" s="65" t="b">
        <v>0</v>
      </c>
      <c r="S193" s="65" t="b">
        <v>1</v>
      </c>
      <c r="T193" s="65" t="b">
        <v>0</v>
      </c>
      <c r="W193" s="25" t="b">
        <v>1</v>
      </c>
      <c r="X193" s="1303"/>
      <c r="AL193" s="1059" t="str">
        <f>SUBSTITUTE(SUBSTITUTE(SUBSTITUTE("dpa"&amp;$B193&amp;$C193&amp;$D193&amp;$E193&amp;$F193,".","_"),"(","_"),")","")</f>
        <v>dpa504_3_1</v>
      </c>
      <c r="AM193" s="136">
        <f>M193</f>
        <v>5</v>
      </c>
      <c r="AN193" s="1059" t="str">
        <f>SUBSTITUTE(SUBSTITUTE(SUBSTITUTE("dpc"&amp;$B193&amp;$C193&amp;$D193&amp;$E193&amp;$F193,".","_"),"(","_"),")","")</f>
        <v>dpc504_3_1</v>
      </c>
      <c r="AO193" s="136">
        <f>O193</f>
        <v>5</v>
      </c>
      <c r="AP193" s="1059" t="str">
        <f>SUBSTITUTE(SUBSTITUTE(SUBSTITUTE("dch"&amp;$B193&amp;$C193&amp;$D193&amp;$E193&amp;$F193,".","_"),"(","_"),")","")</f>
        <v>dch504_3_1</v>
      </c>
      <c r="AQ193" s="136" t="b">
        <f>W193</f>
        <v>1</v>
      </c>
      <c r="AR193" s="1059" t="str">
        <f>SUBSTITUTE(SUBSTITUTE(SUBSTITUTE("dnt"&amp;$B193&amp;$C193&amp;$D193&amp;$E193&amp;$F193,".","_"),"(","_"),")","")</f>
        <v>dnt504_3_1</v>
      </c>
      <c r="AS193" s="136">
        <f>X193</f>
        <v>0</v>
      </c>
    </row>
    <row r="194" spans="2:51" x14ac:dyDescent="0.3">
      <c r="B194" s="21" t="s">
        <v>489</v>
      </c>
      <c r="C194" s="21"/>
      <c r="D194" s="21"/>
      <c r="E194" s="21" t="s">
        <v>271</v>
      </c>
      <c r="F194" s="21"/>
      <c r="G194" s="21"/>
      <c r="H194" s="1086"/>
      <c r="I194" s="93"/>
      <c r="J194" s="192"/>
      <c r="K194" s="195"/>
      <c r="L194" s="1306"/>
      <c r="M194" s="1319"/>
      <c r="N194" s="196"/>
      <c r="O194" s="1309"/>
      <c r="P194" s="440"/>
      <c r="Q194" s="440"/>
      <c r="X194" s="1303"/>
    </row>
    <row r="195" spans="2:51" x14ac:dyDescent="0.3">
      <c r="B195" s="21" t="s">
        <v>489</v>
      </c>
      <c r="C195" s="21"/>
      <c r="D195" s="21"/>
      <c r="E195" s="21" t="s">
        <v>273</v>
      </c>
      <c r="F195" s="21"/>
      <c r="G195" s="21"/>
      <c r="H195" s="1086"/>
      <c r="I195" s="93"/>
      <c r="J195" s="192" t="s">
        <v>273</v>
      </c>
      <c r="K195" s="195"/>
      <c r="L195" s="193" t="s">
        <v>492</v>
      </c>
      <c r="M195" s="520">
        <v>5</v>
      </c>
      <c r="N195" s="196"/>
      <c r="O195" s="597">
        <f>M195*W195</f>
        <v>5</v>
      </c>
      <c r="P195" s="440" t="b">
        <v>1</v>
      </c>
      <c r="Q195" s="440" t="b">
        <v>0</v>
      </c>
      <c r="R195" s="65" t="b">
        <v>0</v>
      </c>
      <c r="S195" s="65" t="b">
        <v>1</v>
      </c>
      <c r="T195" s="65" t="b">
        <v>0</v>
      </c>
      <c r="W195" s="25" t="b">
        <v>1</v>
      </c>
      <c r="X195" s="134"/>
      <c r="AL195" s="1059" t="str">
        <f t="shared" ref="AL195:AL196" si="26">SUBSTITUTE(SUBSTITUTE(SUBSTITUTE("dpa"&amp;$B195&amp;$C195&amp;$D195&amp;$E195&amp;$F195,".","_"),"(","_"),")","")</f>
        <v>dpa504_3_2</v>
      </c>
      <c r="AM195" s="136">
        <f>M195</f>
        <v>5</v>
      </c>
      <c r="AN195" s="1059" t="str">
        <f t="shared" ref="AN195:AN196" si="27">SUBSTITUTE(SUBSTITUTE(SUBSTITUTE("dpc"&amp;$B195&amp;$C195&amp;$D195&amp;$E195&amp;$F195,".","_"),"(","_"),")","")</f>
        <v>dpc504_3_2</v>
      </c>
      <c r="AO195" s="136">
        <f>O195</f>
        <v>5</v>
      </c>
      <c r="AP195" s="1059" t="str">
        <f t="shared" ref="AP195:AP196" si="28">SUBSTITUTE(SUBSTITUTE(SUBSTITUTE("dch"&amp;$B195&amp;$C195&amp;$D195&amp;$E195&amp;$F195,".","_"),"(","_"),")","")</f>
        <v>dch504_3_2</v>
      </c>
      <c r="AQ195" s="136" t="b">
        <f>W195</f>
        <v>1</v>
      </c>
      <c r="AR195" s="1059" t="str">
        <f>SUBSTITUTE(SUBSTITUTE(SUBSTITUTE("dnt"&amp;$B195&amp;$C195&amp;$D195&amp;$E195&amp;$F195,".","_"),"(","_"),")","")</f>
        <v>dnt504_3_2</v>
      </c>
      <c r="AS195" s="136">
        <f>X195</f>
        <v>0</v>
      </c>
    </row>
    <row r="196" spans="2:51" x14ac:dyDescent="0.3">
      <c r="B196" s="21" t="s">
        <v>489</v>
      </c>
      <c r="C196" s="21"/>
      <c r="D196" s="21"/>
      <c r="E196" s="21" t="s">
        <v>275</v>
      </c>
      <c r="F196" s="21"/>
      <c r="G196" s="21"/>
      <c r="H196" s="1086"/>
      <c r="I196" s="93"/>
      <c r="J196" s="94" t="s">
        <v>275</v>
      </c>
      <c r="K196" s="107"/>
      <c r="L196" s="1305" t="s">
        <v>493</v>
      </c>
      <c r="M196" s="1318">
        <v>5</v>
      </c>
      <c r="N196" s="97"/>
      <c r="O196" s="1308">
        <f>M196*W196</f>
        <v>0</v>
      </c>
      <c r="P196" s="440" t="b">
        <v>1</v>
      </c>
      <c r="Q196" s="440" t="b">
        <v>0</v>
      </c>
      <c r="R196" s="65" t="b">
        <v>0</v>
      </c>
      <c r="S196" s="65" t="b">
        <v>1</v>
      </c>
      <c r="T196" s="65" t="b">
        <v>0</v>
      </c>
      <c r="W196" s="25"/>
      <c r="X196" s="1303"/>
      <c r="AL196" s="1059" t="str">
        <f t="shared" si="26"/>
        <v>dpa504_3_3</v>
      </c>
      <c r="AM196" s="136">
        <f>M196</f>
        <v>5</v>
      </c>
      <c r="AN196" s="1059" t="str">
        <f t="shared" si="27"/>
        <v>dpc504_3_3</v>
      </c>
      <c r="AO196" s="136">
        <f>O196</f>
        <v>0</v>
      </c>
      <c r="AP196" s="1059" t="str">
        <f t="shared" si="28"/>
        <v>dch504_3_3</v>
      </c>
      <c r="AQ196" s="136">
        <f>W196</f>
        <v>0</v>
      </c>
      <c r="AR196" s="1059" t="str">
        <f>SUBSTITUTE(SUBSTITUTE(SUBSTITUTE("dnt"&amp;$B196&amp;$C196&amp;$D196&amp;$E196&amp;$F196,".","_"),"(","_"),")","")</f>
        <v>dnt504_3_3</v>
      </c>
      <c r="AS196" s="136">
        <f>X196</f>
        <v>0</v>
      </c>
    </row>
    <row r="197" spans="2:51" x14ac:dyDescent="0.3">
      <c r="B197" s="21" t="s">
        <v>489</v>
      </c>
      <c r="C197" s="21"/>
      <c r="D197" s="21"/>
      <c r="E197" s="21" t="s">
        <v>275</v>
      </c>
      <c r="F197" s="21"/>
      <c r="G197" s="21"/>
      <c r="H197" s="1086"/>
      <c r="I197" s="93"/>
      <c r="J197" s="195"/>
      <c r="K197" s="195"/>
      <c r="L197" s="1306"/>
      <c r="M197" s="1319"/>
      <c r="N197" s="196"/>
      <c r="O197" s="1309"/>
      <c r="P197" s="440"/>
      <c r="Q197" s="440"/>
      <c r="X197" s="1303"/>
    </row>
    <row r="198" spans="2:51" x14ac:dyDescent="0.3">
      <c r="B198" s="21" t="s">
        <v>489</v>
      </c>
      <c r="C198" s="21"/>
      <c r="D198" s="21"/>
      <c r="E198" s="21" t="s">
        <v>285</v>
      </c>
      <c r="F198" s="21"/>
      <c r="G198" s="21"/>
      <c r="H198" s="1086"/>
      <c r="I198" s="93"/>
      <c r="J198" s="94" t="s">
        <v>285</v>
      </c>
      <c r="K198" s="107"/>
      <c r="L198" s="1305" t="s">
        <v>494</v>
      </c>
      <c r="M198" s="1318">
        <v>5</v>
      </c>
      <c r="N198" s="97"/>
      <c r="O198" s="1308">
        <f>M198*W198</f>
        <v>0</v>
      </c>
      <c r="P198" s="440" t="b">
        <v>1</v>
      </c>
      <c r="Q198" s="440" t="b">
        <v>0</v>
      </c>
      <c r="R198" s="65" t="b">
        <v>0</v>
      </c>
      <c r="S198" s="65" t="b">
        <v>1</v>
      </c>
      <c r="T198" s="65" t="b">
        <v>0</v>
      </c>
      <c r="W198" s="25"/>
      <c r="X198" s="1303"/>
      <c r="AL198" s="1059" t="str">
        <f>SUBSTITUTE(SUBSTITUTE(SUBSTITUTE("dpa"&amp;$B198&amp;$C198&amp;$D198&amp;$E198&amp;$F198,".","_"),"(","_"),")","")</f>
        <v>dpa504_3_4</v>
      </c>
      <c r="AM198" s="136">
        <f>M198</f>
        <v>5</v>
      </c>
      <c r="AN198" s="1059" t="str">
        <f>SUBSTITUTE(SUBSTITUTE(SUBSTITUTE("dpc"&amp;$B198&amp;$C198&amp;$D198&amp;$E198&amp;$F198,".","_"),"(","_"),")","")</f>
        <v>dpc504_3_4</v>
      </c>
      <c r="AO198" s="136">
        <f>O198</f>
        <v>0</v>
      </c>
      <c r="AP198" s="1059" t="str">
        <f>SUBSTITUTE(SUBSTITUTE(SUBSTITUTE("dch"&amp;$B198&amp;$C198&amp;$D198&amp;$E198&amp;$F198,".","_"),"(","_"),")","")</f>
        <v>dch504_3_4</v>
      </c>
      <c r="AQ198" s="136">
        <f>W198</f>
        <v>0</v>
      </c>
      <c r="AR198" s="1059" t="str">
        <f>SUBSTITUTE(SUBSTITUTE(SUBSTITUTE("dnt"&amp;$B198&amp;$C198&amp;$D198&amp;$E198&amp;$F198,".","_"),"(","_"),")","")</f>
        <v>dnt504_3_4</v>
      </c>
      <c r="AS198" s="136">
        <f>X198</f>
        <v>0</v>
      </c>
    </row>
    <row r="199" spans="2:51" x14ac:dyDescent="0.3">
      <c r="B199" s="21" t="s">
        <v>489</v>
      </c>
      <c r="C199" s="21"/>
      <c r="D199" s="21"/>
      <c r="E199" s="21" t="s">
        <v>285</v>
      </c>
      <c r="F199" s="21"/>
      <c r="G199" s="21"/>
      <c r="H199" s="1086"/>
      <c r="I199" s="93"/>
      <c r="J199" s="195"/>
      <c r="K199" s="195"/>
      <c r="L199" s="1306"/>
      <c r="M199" s="1319"/>
      <c r="N199" s="196"/>
      <c r="O199" s="1309"/>
      <c r="P199" s="440"/>
      <c r="Q199" s="440"/>
      <c r="X199" s="1303"/>
    </row>
    <row r="200" spans="2:51" x14ac:dyDescent="0.3">
      <c r="B200" s="21" t="s">
        <v>489</v>
      </c>
      <c r="C200" s="21"/>
      <c r="D200" s="21"/>
      <c r="E200" s="21" t="s">
        <v>291</v>
      </c>
      <c r="F200" s="21"/>
      <c r="G200" s="21"/>
      <c r="H200" s="1086"/>
      <c r="I200" s="93"/>
      <c r="J200" s="94" t="s">
        <v>291</v>
      </c>
      <c r="K200" s="107"/>
      <c r="L200" s="1305" t="s">
        <v>495</v>
      </c>
      <c r="M200" s="1318">
        <v>4</v>
      </c>
      <c r="N200" s="97"/>
      <c r="O200" s="1308">
        <f>M200*W200</f>
        <v>0</v>
      </c>
      <c r="P200" s="440" t="b">
        <v>1</v>
      </c>
      <c r="Q200" s="440" t="b">
        <v>0</v>
      </c>
      <c r="R200" s="65" t="b">
        <v>0</v>
      </c>
      <c r="S200" s="65" t="b">
        <v>1</v>
      </c>
      <c r="T200" s="65" t="b">
        <v>0</v>
      </c>
      <c r="W200" s="25"/>
      <c r="X200" s="1303"/>
      <c r="AL200" s="1059" t="str">
        <f>SUBSTITUTE(SUBSTITUTE(SUBSTITUTE("dpa"&amp;$B200&amp;$C200&amp;$D200&amp;$E200&amp;$F200,".","_"),"(","_"),")","")</f>
        <v>dpa504_3_5</v>
      </c>
      <c r="AM200" s="136">
        <f>M200</f>
        <v>4</v>
      </c>
      <c r="AN200" s="1059" t="str">
        <f>SUBSTITUTE(SUBSTITUTE(SUBSTITUTE("dpc"&amp;$B200&amp;$C200&amp;$D200&amp;$E200&amp;$F200,".","_"),"(","_"),")","")</f>
        <v>dpc504_3_5</v>
      </c>
      <c r="AO200" s="136">
        <f>O200</f>
        <v>0</v>
      </c>
      <c r="AP200" s="1059" t="str">
        <f>SUBSTITUTE(SUBSTITUTE(SUBSTITUTE("dch"&amp;$B200&amp;$C200&amp;$D200&amp;$E200&amp;$F200,".","_"),"(","_"),")","")</f>
        <v>dch504_3_5</v>
      </c>
      <c r="AQ200" s="136">
        <f>W200</f>
        <v>0</v>
      </c>
      <c r="AR200" s="1059" t="str">
        <f>SUBSTITUTE(SUBSTITUTE(SUBSTITUTE("dnt"&amp;$B200&amp;$C200&amp;$D200&amp;$E200&amp;$F200,".","_"),"(","_"),")","")</f>
        <v>dnt504_3_5</v>
      </c>
      <c r="AS200" s="136">
        <f>X200</f>
        <v>0</v>
      </c>
    </row>
    <row r="201" spans="2:51" x14ac:dyDescent="0.3">
      <c r="B201" s="21" t="s">
        <v>489</v>
      </c>
      <c r="C201" s="21"/>
      <c r="D201" s="21"/>
      <c r="E201" s="21" t="s">
        <v>291</v>
      </c>
      <c r="F201" s="21"/>
      <c r="G201" s="21"/>
      <c r="H201" s="1086"/>
      <c r="I201" s="93"/>
      <c r="J201" s="107"/>
      <c r="K201" s="107"/>
      <c r="L201" s="1305"/>
      <c r="M201" s="1318"/>
      <c r="N201" s="97"/>
      <c r="O201" s="1308"/>
      <c r="P201" s="440"/>
      <c r="Q201" s="440"/>
      <c r="X201" s="1303"/>
    </row>
    <row r="202" spans="2:51" x14ac:dyDescent="0.3">
      <c r="B202" s="21" t="s">
        <v>489</v>
      </c>
      <c r="C202" s="21"/>
      <c r="D202" s="21"/>
      <c r="E202" s="21" t="s">
        <v>291</v>
      </c>
      <c r="F202" s="21"/>
      <c r="G202" s="21"/>
      <c r="H202" s="1086"/>
      <c r="I202" s="93"/>
      <c r="J202" s="107"/>
      <c r="K202" s="107"/>
      <c r="L202" s="1305"/>
      <c r="M202" s="1318"/>
      <c r="N202" s="97"/>
      <c r="O202" s="1308"/>
      <c r="P202" s="440"/>
      <c r="Q202" s="440"/>
      <c r="X202" s="1303"/>
    </row>
    <row r="203" spans="2:51" x14ac:dyDescent="0.3">
      <c r="B203" s="21" t="s">
        <v>489</v>
      </c>
      <c r="C203" s="21"/>
      <c r="D203" s="21"/>
      <c r="E203" s="21" t="s">
        <v>291</v>
      </c>
      <c r="F203" s="21"/>
      <c r="G203" s="21"/>
      <c r="H203" s="1086"/>
      <c r="I203" s="93"/>
      <c r="J203" s="195"/>
      <c r="K203" s="195"/>
      <c r="L203" s="1306"/>
      <c r="M203" s="1319"/>
      <c r="N203" s="196"/>
      <c r="O203" s="1309"/>
      <c r="P203" s="440"/>
      <c r="Q203" s="440"/>
      <c r="X203" s="1303"/>
    </row>
    <row r="204" spans="2:51" x14ac:dyDescent="0.3">
      <c r="B204" s="21" t="s">
        <v>489</v>
      </c>
      <c r="C204" s="21"/>
      <c r="D204" s="21"/>
      <c r="E204" s="21" t="s">
        <v>293</v>
      </c>
      <c r="F204" s="21"/>
      <c r="G204" s="21"/>
      <c r="H204" s="1086"/>
      <c r="I204" s="93"/>
      <c r="J204" s="94" t="s">
        <v>293</v>
      </c>
      <c r="K204" s="107"/>
      <c r="L204" s="1305" t="s">
        <v>496</v>
      </c>
      <c r="M204" s="1318">
        <v>3</v>
      </c>
      <c r="N204" s="97"/>
      <c r="O204" s="1308">
        <f>M204*W204</f>
        <v>0</v>
      </c>
      <c r="P204" s="440" t="b">
        <v>1</v>
      </c>
      <c r="Q204" s="440" t="b">
        <v>0</v>
      </c>
      <c r="R204" s="65" t="b">
        <v>0</v>
      </c>
      <c r="S204" s="65" t="b">
        <v>1</v>
      </c>
      <c r="T204" s="65" t="b">
        <v>0</v>
      </c>
      <c r="W204" s="25"/>
      <c r="X204" s="1303"/>
      <c r="AL204" s="1059" t="str">
        <f>SUBSTITUTE(SUBSTITUTE(SUBSTITUTE("dpa"&amp;$B204&amp;$C204&amp;$D204&amp;$E204&amp;$F204,".","_"),"(","_"),")","")</f>
        <v>dpa504_3_6</v>
      </c>
      <c r="AM204" s="136">
        <f>M204</f>
        <v>3</v>
      </c>
      <c r="AN204" s="1059" t="str">
        <f>SUBSTITUTE(SUBSTITUTE(SUBSTITUTE("dpc"&amp;$B204&amp;$C204&amp;$D204&amp;$E204&amp;$F204,".","_"),"(","_"),")","")</f>
        <v>dpc504_3_6</v>
      </c>
      <c r="AO204" s="136">
        <f>O204</f>
        <v>0</v>
      </c>
      <c r="AP204" s="1059" t="str">
        <f>SUBSTITUTE(SUBSTITUTE(SUBSTITUTE("dch"&amp;$B204&amp;$C204&amp;$D204&amp;$E204&amp;$F204,".","_"),"(","_"),")","")</f>
        <v>dch504_3_6</v>
      </c>
      <c r="AQ204" s="136">
        <f>W204</f>
        <v>0</v>
      </c>
      <c r="AR204" s="1059" t="str">
        <f>SUBSTITUTE(SUBSTITUTE(SUBSTITUTE("dnt"&amp;$B204&amp;$C204&amp;$D204&amp;$E204&amp;$F204,".","_"),"(","_"),")","")</f>
        <v>dnt504_3_6</v>
      </c>
      <c r="AS204" s="136">
        <f>X204</f>
        <v>0</v>
      </c>
    </row>
    <row r="205" spans="2:51" x14ac:dyDescent="0.3">
      <c r="B205" s="21" t="s">
        <v>489</v>
      </c>
      <c r="C205" s="21"/>
      <c r="D205" s="21"/>
      <c r="E205" s="21" t="s">
        <v>293</v>
      </c>
      <c r="F205" s="21"/>
      <c r="G205" s="21"/>
      <c r="H205" s="1086"/>
      <c r="I205" s="93"/>
      <c r="J205" s="107"/>
      <c r="K205" s="107"/>
      <c r="L205" s="1305"/>
      <c r="M205" s="1318"/>
      <c r="N205" s="97"/>
      <c r="O205" s="1308"/>
      <c r="P205" s="440"/>
      <c r="Q205" s="440"/>
      <c r="X205" s="1303"/>
    </row>
    <row r="206" spans="2:51" x14ac:dyDescent="0.3">
      <c r="B206" s="21" t="s">
        <v>489</v>
      </c>
      <c r="C206" s="21"/>
      <c r="D206" s="21"/>
      <c r="E206" s="21" t="s">
        <v>293</v>
      </c>
      <c r="F206" s="21"/>
      <c r="G206" s="21"/>
      <c r="H206" s="1086"/>
      <c r="I206" s="93"/>
      <c r="J206" s="195"/>
      <c r="K206" s="195"/>
      <c r="L206" s="1306"/>
      <c r="M206" s="1319"/>
      <c r="N206" s="196"/>
      <c r="O206" s="1309"/>
      <c r="P206" s="440"/>
      <c r="Q206" s="440"/>
      <c r="X206" s="1303"/>
    </row>
    <row r="207" spans="2:51" x14ac:dyDescent="0.3">
      <c r="B207" s="21" t="s">
        <v>489</v>
      </c>
      <c r="C207" s="21"/>
      <c r="D207" s="21"/>
      <c r="E207" s="21" t="s">
        <v>405</v>
      </c>
      <c r="F207" s="21"/>
      <c r="G207" s="21"/>
      <c r="H207" s="1086"/>
      <c r="I207" s="93"/>
      <c r="J207" s="192" t="s">
        <v>405</v>
      </c>
      <c r="K207" s="195"/>
      <c r="L207" s="193" t="s">
        <v>497</v>
      </c>
      <c r="M207" s="520">
        <v>3</v>
      </c>
      <c r="N207" s="196"/>
      <c r="O207" s="597">
        <f>M207*W207</f>
        <v>0</v>
      </c>
      <c r="P207" s="440" t="b">
        <v>1</v>
      </c>
      <c r="Q207" s="440" t="b">
        <v>1</v>
      </c>
      <c r="R207" s="65" t="b">
        <v>0</v>
      </c>
      <c r="S207" s="65" t="b">
        <v>1</v>
      </c>
      <c r="T207" s="65" t="b">
        <v>0</v>
      </c>
      <c r="W207" s="25"/>
      <c r="X207" s="134"/>
      <c r="AL207" s="1059" t="str">
        <f t="shared" ref="AL207:AL208" si="29">SUBSTITUTE(SUBSTITUTE(SUBSTITUTE("dpa"&amp;$B207&amp;$C207&amp;$D207&amp;$E207&amp;$F207,".","_"),"(","_"),")","")</f>
        <v>dpa504_3_7</v>
      </c>
      <c r="AM207" s="136">
        <f>M207</f>
        <v>3</v>
      </c>
      <c r="AN207" s="1059" t="str">
        <f t="shared" ref="AN207:AN208" si="30">SUBSTITUTE(SUBSTITUTE(SUBSTITUTE("dpc"&amp;$B207&amp;$C207&amp;$D207&amp;$E207&amp;$F207,".","_"),"(","_"),")","")</f>
        <v>dpc504_3_7</v>
      </c>
      <c r="AO207" s="136">
        <f>O207</f>
        <v>0</v>
      </c>
      <c r="AP207" s="1059" t="str">
        <f>SUBSTITUTE(SUBSTITUTE(SUBSTITUTE("dch"&amp;$B207&amp;$C207&amp;$D207&amp;$E207&amp;$F207,".","_"),"(","_"),")","")</f>
        <v>dch504_3_7</v>
      </c>
      <c r="AQ207" s="136">
        <f>W207</f>
        <v>0</v>
      </c>
      <c r="AR207" s="1059" t="str">
        <f>SUBSTITUTE(SUBSTITUTE(SUBSTITUTE("dnt"&amp;$B207&amp;$C207&amp;$D207&amp;$E207&amp;$F207,".","_"),"(","_"),")","")</f>
        <v>dnt504_3_7</v>
      </c>
      <c r="AS207" s="136">
        <f>X207</f>
        <v>0</v>
      </c>
      <c r="AX207" s="131"/>
      <c r="AY207" s="131"/>
    </row>
    <row r="208" spans="2:51" ht="15" customHeight="1" x14ac:dyDescent="0.3">
      <c r="B208" s="21" t="s">
        <v>489</v>
      </c>
      <c r="C208" s="21"/>
      <c r="D208" s="21"/>
      <c r="E208" s="21" t="s">
        <v>456</v>
      </c>
      <c r="F208" s="21"/>
      <c r="G208" s="21"/>
      <c r="H208" s="1086"/>
      <c r="I208" s="93"/>
      <c r="J208" s="94" t="s">
        <v>456</v>
      </c>
      <c r="K208" s="107"/>
      <c r="L208" s="177" t="s">
        <v>3180</v>
      </c>
      <c r="M208" s="1318">
        <v>5</v>
      </c>
      <c r="N208" s="97"/>
      <c r="O208" s="1308">
        <f>M208*MIN(1,(W209+W210+W211+W212+W213+W214))</f>
        <v>0</v>
      </c>
      <c r="P208" s="440"/>
      <c r="Q208" s="440"/>
      <c r="R208" s="65"/>
      <c r="S208" s="65"/>
      <c r="T208" s="65"/>
      <c r="W208"/>
      <c r="X208" s="1303"/>
      <c r="AC208" s="131" t="b">
        <f>OR(AD208:AE208)</f>
        <v>0</v>
      </c>
      <c r="AD208" s="131" t="b">
        <v>0</v>
      </c>
      <c r="AE208" s="131" t="b">
        <f>AND(W208=TRUE,LEN(X208)=0)</f>
        <v>0</v>
      </c>
      <c r="AL208" s="1059" t="str">
        <f t="shared" si="29"/>
        <v>dpa504_3_8</v>
      </c>
      <c r="AM208" s="136">
        <f>M208</f>
        <v>5</v>
      </c>
      <c r="AN208" s="1059" t="str">
        <f t="shared" si="30"/>
        <v>dpc504_3_8</v>
      </c>
      <c r="AO208" s="136">
        <f>O208</f>
        <v>0</v>
      </c>
      <c r="AP208" s="136"/>
      <c r="AQ208" s="136"/>
      <c r="AR208" s="1059" t="str">
        <f>SUBSTITUTE(SUBSTITUTE(SUBSTITUTE("dnt"&amp;$B208&amp;$C208&amp;$D208&amp;$E208&amp;$F208,".","_"),"(","_"),")","")</f>
        <v>dnt504_3_8</v>
      </c>
      <c r="AS208" s="136">
        <f>X208</f>
        <v>0</v>
      </c>
      <c r="AX208" s="147"/>
      <c r="AY208" s="147"/>
    </row>
    <row r="209" spans="1:51" s="131" customFormat="1" x14ac:dyDescent="0.3">
      <c r="A209" s="18"/>
      <c r="B209" s="21" t="s">
        <v>489</v>
      </c>
      <c r="C209" s="21"/>
      <c r="D209" s="21"/>
      <c r="E209" s="21" t="s">
        <v>456</v>
      </c>
      <c r="F209" s="21" t="s">
        <v>3173</v>
      </c>
      <c r="G209" s="21"/>
      <c r="H209" s="1086"/>
      <c r="I209" s="93"/>
      <c r="J209" s="107"/>
      <c r="K209" s="107"/>
      <c r="L209" s="177" t="s">
        <v>3186</v>
      </c>
      <c r="M209" s="1318"/>
      <c r="N209" s="97"/>
      <c r="O209" s="1308"/>
      <c r="P209" s="440" t="b">
        <v>1</v>
      </c>
      <c r="Q209" s="440" t="b">
        <v>1</v>
      </c>
      <c r="R209" s="147" t="b">
        <v>0</v>
      </c>
      <c r="S209" s="147" t="b">
        <v>1</v>
      </c>
      <c r="T209" s="147" t="b">
        <v>0</v>
      </c>
      <c r="W209" s="25"/>
      <c r="X209" s="1303"/>
      <c r="Y209" s="1107"/>
      <c r="AA209" s="1110"/>
      <c r="AP209" s="1059" t="str">
        <f t="shared" ref="AP209:AP214" si="31">SUBSTITUTE(SUBSTITUTE(SUBSTITUTE("dch"&amp;$B209&amp;$C209&amp;$D209&amp;$E209&amp;$F209,".","_"),"(","_"),")","")</f>
        <v>dch504_3_8a</v>
      </c>
      <c r="AQ209" s="148">
        <f t="shared" ref="AQ209:AQ214" si="32">W209</f>
        <v>0</v>
      </c>
      <c r="AX209" s="147"/>
      <c r="AY209" s="147"/>
    </row>
    <row r="210" spans="1:51" s="147" customFormat="1" x14ac:dyDescent="0.3">
      <c r="A210" s="18"/>
      <c r="B210" s="21" t="s">
        <v>489</v>
      </c>
      <c r="C210" s="21"/>
      <c r="D210" s="21"/>
      <c r="E210" s="21" t="s">
        <v>456</v>
      </c>
      <c r="F210" s="21" t="s">
        <v>3174</v>
      </c>
      <c r="G210" s="21"/>
      <c r="H210" s="1086"/>
      <c r="I210" s="93"/>
      <c r="J210" s="107"/>
      <c r="K210" s="107"/>
      <c r="L210" s="177" t="s">
        <v>3185</v>
      </c>
      <c r="M210" s="1318"/>
      <c r="N210" s="97"/>
      <c r="O210" s="1308"/>
      <c r="P210" s="440" t="b">
        <v>1</v>
      </c>
      <c r="Q210" s="440" t="b">
        <v>1</v>
      </c>
      <c r="R210" s="147" t="b">
        <v>0</v>
      </c>
      <c r="S210" s="147" t="b">
        <v>1</v>
      </c>
      <c r="T210" s="147" t="b">
        <v>0</v>
      </c>
      <c r="W210" s="25"/>
      <c r="X210" s="1303"/>
      <c r="Y210" s="1107"/>
      <c r="AA210" s="1110"/>
      <c r="AP210" s="1059" t="str">
        <f t="shared" si="31"/>
        <v>dch504_3_8b</v>
      </c>
      <c r="AQ210" s="148">
        <f t="shared" si="32"/>
        <v>0</v>
      </c>
    </row>
    <row r="211" spans="1:51" s="147" customFormat="1" x14ac:dyDescent="0.3">
      <c r="A211" s="18"/>
      <c r="B211" s="21" t="s">
        <v>489</v>
      </c>
      <c r="C211" s="21"/>
      <c r="D211" s="21"/>
      <c r="E211" s="21" t="s">
        <v>456</v>
      </c>
      <c r="F211" s="21" t="s">
        <v>3175</v>
      </c>
      <c r="G211" s="21"/>
      <c r="H211" s="1086"/>
      <c r="I211" s="93"/>
      <c r="J211" s="107"/>
      <c r="K211" s="107"/>
      <c r="L211" s="177" t="s">
        <v>3184</v>
      </c>
      <c r="M211" s="1318"/>
      <c r="N211" s="97"/>
      <c r="O211" s="1308"/>
      <c r="P211" s="440" t="b">
        <v>1</v>
      </c>
      <c r="Q211" s="440" t="b">
        <v>1</v>
      </c>
      <c r="R211" s="147" t="b">
        <v>0</v>
      </c>
      <c r="S211" s="147" t="b">
        <v>1</v>
      </c>
      <c r="T211" s="147" t="b">
        <v>0</v>
      </c>
      <c r="W211" s="25"/>
      <c r="X211" s="1303"/>
      <c r="Y211" s="1107"/>
      <c r="AA211" s="1110"/>
      <c r="AP211" s="1059" t="str">
        <f t="shared" si="31"/>
        <v>dch504_3_8c</v>
      </c>
      <c r="AQ211" s="148">
        <f t="shared" si="32"/>
        <v>0</v>
      </c>
    </row>
    <row r="212" spans="1:51" s="147" customFormat="1" x14ac:dyDescent="0.3">
      <c r="A212" s="18"/>
      <c r="B212" s="21" t="s">
        <v>489</v>
      </c>
      <c r="C212" s="21"/>
      <c r="D212" s="21"/>
      <c r="E212" s="21" t="s">
        <v>456</v>
      </c>
      <c r="F212" s="21" t="s">
        <v>3176</v>
      </c>
      <c r="G212" s="21"/>
      <c r="H212" s="1086"/>
      <c r="I212" s="93"/>
      <c r="J212" s="107"/>
      <c r="K212" s="107"/>
      <c r="L212" s="177" t="s">
        <v>3183</v>
      </c>
      <c r="M212" s="1318"/>
      <c r="N212" s="97"/>
      <c r="O212" s="1308"/>
      <c r="P212" s="440" t="b">
        <v>1</v>
      </c>
      <c r="Q212" s="440" t="b">
        <v>1</v>
      </c>
      <c r="R212" s="147" t="b">
        <v>0</v>
      </c>
      <c r="S212" s="147" t="b">
        <v>1</v>
      </c>
      <c r="T212" s="147" t="b">
        <v>0</v>
      </c>
      <c r="W212" s="25"/>
      <c r="X212" s="1303"/>
      <c r="Y212" s="1107"/>
      <c r="AA212" s="1110"/>
      <c r="AP212" s="1059" t="str">
        <f t="shared" si="31"/>
        <v>dch504_3_8d</v>
      </c>
      <c r="AQ212" s="148">
        <f t="shared" si="32"/>
        <v>0</v>
      </c>
    </row>
    <row r="213" spans="1:51" s="147" customFormat="1" x14ac:dyDescent="0.3">
      <c r="A213" s="18"/>
      <c r="B213" s="21" t="s">
        <v>489</v>
      </c>
      <c r="C213" s="21"/>
      <c r="D213" s="21"/>
      <c r="E213" s="21" t="s">
        <v>456</v>
      </c>
      <c r="F213" s="21" t="s">
        <v>3177</v>
      </c>
      <c r="G213" s="21"/>
      <c r="H213" s="1086"/>
      <c r="I213" s="93"/>
      <c r="J213" s="107"/>
      <c r="K213" s="107"/>
      <c r="L213" s="177" t="s">
        <v>3182</v>
      </c>
      <c r="M213" s="1318"/>
      <c r="N213" s="97"/>
      <c r="O213" s="1308"/>
      <c r="P213" s="440" t="b">
        <v>1</v>
      </c>
      <c r="Q213" s="440" t="b">
        <v>1</v>
      </c>
      <c r="R213" s="147" t="b">
        <v>0</v>
      </c>
      <c r="S213" s="147" t="b">
        <v>1</v>
      </c>
      <c r="T213" s="147" t="b">
        <v>0</v>
      </c>
      <c r="W213" s="25"/>
      <c r="X213" s="1303"/>
      <c r="Y213" s="1107"/>
      <c r="AA213" s="1110"/>
      <c r="AP213" s="1059" t="str">
        <f t="shared" si="31"/>
        <v>dch504_3_8e</v>
      </c>
      <c r="AQ213" s="148">
        <f t="shared" si="32"/>
        <v>0</v>
      </c>
      <c r="AX213"/>
      <c r="AY213"/>
    </row>
    <row r="214" spans="1:51" s="147" customFormat="1" x14ac:dyDescent="0.3">
      <c r="A214" s="18"/>
      <c r="B214" s="21" t="s">
        <v>489</v>
      </c>
      <c r="C214" s="21"/>
      <c r="D214" s="21"/>
      <c r="E214" s="21" t="s">
        <v>456</v>
      </c>
      <c r="F214" s="21" t="s">
        <v>3178</v>
      </c>
      <c r="G214" s="21"/>
      <c r="H214" s="1086"/>
      <c r="I214" s="93"/>
      <c r="J214" s="107"/>
      <c r="K214" s="107"/>
      <c r="L214" s="177" t="s">
        <v>3181</v>
      </c>
      <c r="M214" s="1318"/>
      <c r="N214" s="97"/>
      <c r="O214" s="1308"/>
      <c r="P214" s="440" t="b">
        <v>1</v>
      </c>
      <c r="Q214" s="440" t="b">
        <v>1</v>
      </c>
      <c r="R214" s="147" t="b">
        <v>0</v>
      </c>
      <c r="S214" s="147" t="b">
        <v>1</v>
      </c>
      <c r="T214" s="147" t="b">
        <v>0</v>
      </c>
      <c r="W214" s="25"/>
      <c r="X214" s="1303"/>
      <c r="Y214" s="1107"/>
      <c r="AA214" s="1110"/>
      <c r="AC214" s="147" t="b">
        <f>OR(AD214:AE214)</f>
        <v>0</v>
      </c>
      <c r="AD214" s="147" t="b">
        <v>0</v>
      </c>
      <c r="AE214" s="147" t="b">
        <f>AND(W214=TRUE,LEN(X208)=0)</f>
        <v>0</v>
      </c>
      <c r="AP214" s="1059" t="str">
        <f t="shared" si="31"/>
        <v>dch504_3_8f</v>
      </c>
      <c r="AQ214" s="148">
        <f t="shared" si="32"/>
        <v>0</v>
      </c>
      <c r="AX214"/>
      <c r="AY214"/>
    </row>
    <row r="215" spans="1:51" x14ac:dyDescent="0.3">
      <c r="B215" s="21" t="s">
        <v>489</v>
      </c>
      <c r="C215" s="21"/>
      <c r="D215" s="21"/>
      <c r="E215" s="21" t="s">
        <v>456</v>
      </c>
      <c r="F215" s="21"/>
      <c r="G215" s="21"/>
      <c r="H215" s="1086"/>
      <c r="I215" s="93"/>
      <c r="J215" s="195"/>
      <c r="K215" s="195"/>
      <c r="L215" s="198" t="s">
        <v>3179</v>
      </c>
      <c r="M215" s="1319"/>
      <c r="N215" s="196"/>
      <c r="O215" s="1309"/>
      <c r="P215" s="440"/>
      <c r="Q215" s="440"/>
      <c r="X215" s="1303"/>
    </row>
    <row r="216" spans="1:51" x14ac:dyDescent="0.3">
      <c r="B216" s="21" t="s">
        <v>489</v>
      </c>
      <c r="C216" s="21"/>
      <c r="D216" s="21"/>
      <c r="E216" s="21" t="s">
        <v>458</v>
      </c>
      <c r="F216" s="21"/>
      <c r="G216" s="21"/>
      <c r="H216" s="1086"/>
      <c r="I216" s="93"/>
      <c r="J216" s="90" t="s">
        <v>458</v>
      </c>
      <c r="K216" s="93"/>
      <c r="L216" s="86" t="s">
        <v>498</v>
      </c>
      <c r="M216" s="522">
        <v>3</v>
      </c>
      <c r="O216" s="154">
        <f>M216*W216</f>
        <v>3</v>
      </c>
      <c r="P216" s="440" t="b">
        <v>1</v>
      </c>
      <c r="Q216" s="440" t="b">
        <v>1</v>
      </c>
      <c r="R216" s="65" t="b">
        <v>0</v>
      </c>
      <c r="S216" s="65" t="b">
        <v>1</v>
      </c>
      <c r="T216" s="65" t="b">
        <v>0</v>
      </c>
      <c r="W216" s="25" t="b">
        <v>1</v>
      </c>
      <c r="X216" s="134"/>
      <c r="AL216" s="1059" t="str">
        <f>SUBSTITUTE(SUBSTITUTE(SUBSTITUTE("dpa"&amp;$B216&amp;$C216&amp;$D216&amp;$E216&amp;$F216,".","_"),"(","_"),")","")</f>
        <v>dpa504_3_9</v>
      </c>
      <c r="AM216" s="136">
        <f>M216</f>
        <v>3</v>
      </c>
      <c r="AN216" s="1059" t="str">
        <f>SUBSTITUTE(SUBSTITUTE(SUBSTITUTE("dpc"&amp;$B216&amp;$C216&amp;$D216&amp;$E216&amp;$F216,".","_"),"(","_"),")","")</f>
        <v>dpc504_3_9</v>
      </c>
      <c r="AO216" s="136">
        <f>O216</f>
        <v>3</v>
      </c>
      <c r="AP216" s="1059" t="str">
        <f>SUBSTITUTE(SUBSTITUTE(SUBSTITUTE("dch"&amp;$B216&amp;$C216&amp;$D216&amp;$E216&amp;$F216,".","_"),"(","_"),")","")</f>
        <v>dch504_3_9</v>
      </c>
      <c r="AQ216" s="136" t="b">
        <f>W216</f>
        <v>1</v>
      </c>
      <c r="AR216" s="1059" t="str">
        <f>SUBSTITUTE(SUBSTITUTE(SUBSTITUTE("dnt"&amp;$B216&amp;$C216&amp;$D216&amp;$E216&amp;$F216,".","_"),"(","_"),")","")</f>
        <v>dnt504_3_9</v>
      </c>
      <c r="AS216" s="136">
        <f>X216</f>
        <v>0</v>
      </c>
    </row>
    <row r="217" spans="1:51" ht="18" x14ac:dyDescent="0.35">
      <c r="B217" s="21" t="s">
        <v>499</v>
      </c>
      <c r="C217" s="21"/>
      <c r="D217" s="21"/>
      <c r="E217" s="21"/>
      <c r="F217" s="21"/>
      <c r="G217" s="21"/>
      <c r="H217" s="1086"/>
      <c r="I217" s="72" t="s">
        <v>500</v>
      </c>
      <c r="J217" s="72"/>
      <c r="K217" s="72"/>
      <c r="L217" s="87"/>
      <c r="M217" s="484"/>
      <c r="N217" s="23"/>
      <c r="O217" s="594"/>
      <c r="P217" s="23"/>
      <c r="Q217" s="23"/>
      <c r="R217" s="23"/>
      <c r="S217" s="23"/>
      <c r="T217" s="23"/>
      <c r="U217" s="23"/>
      <c r="V217" s="23"/>
      <c r="W217" s="23"/>
      <c r="X217" s="23"/>
    </row>
    <row r="218" spans="1:51" x14ac:dyDescent="0.3">
      <c r="B218" s="21" t="s">
        <v>4437</v>
      </c>
      <c r="C218" s="21"/>
      <c r="D218" s="21"/>
      <c r="E218" s="21"/>
      <c r="F218" s="21"/>
      <c r="G218" s="21"/>
      <c r="H218" s="1086"/>
      <c r="I218" s="94" t="s">
        <v>4437</v>
      </c>
      <c r="J218" s="107"/>
      <c r="K218" s="107"/>
      <c r="L218" s="1313" t="s">
        <v>501</v>
      </c>
      <c r="M218" s="518"/>
      <c r="N218" s="97"/>
      <c r="O218" s="269"/>
      <c r="P218" s="97"/>
      <c r="Q218" s="97"/>
      <c r="R218" s="97"/>
      <c r="S218" s="97"/>
      <c r="T218" s="97"/>
      <c r="U218" s="97"/>
      <c r="V218" s="97"/>
      <c r="W218" s="97"/>
      <c r="X218" s="118"/>
    </row>
    <row r="219" spans="1:51" x14ac:dyDescent="0.3">
      <c r="B219" s="21" t="s">
        <v>4437</v>
      </c>
      <c r="C219" s="21"/>
      <c r="D219" s="21"/>
      <c r="E219" s="21"/>
      <c r="F219" s="21"/>
      <c r="G219" s="21"/>
      <c r="H219" s="1086"/>
      <c r="I219" s="107"/>
      <c r="J219" s="107"/>
      <c r="K219" s="107"/>
      <c r="L219" s="1313"/>
      <c r="M219" s="518"/>
      <c r="N219" s="97"/>
      <c r="O219" s="269"/>
      <c r="P219" s="97"/>
      <c r="Q219" s="97"/>
      <c r="R219" s="97"/>
      <c r="S219" s="97"/>
      <c r="T219" s="97"/>
      <c r="U219" s="97"/>
      <c r="V219" s="97"/>
      <c r="W219" s="97"/>
      <c r="X219" s="118"/>
    </row>
    <row r="220" spans="1:51" ht="15" thickBot="1" x14ac:dyDescent="0.35">
      <c r="B220" s="21" t="s">
        <v>4437</v>
      </c>
      <c r="C220" s="21"/>
      <c r="D220" s="21"/>
      <c r="E220" s="21"/>
      <c r="F220" s="21"/>
      <c r="G220" s="21"/>
      <c r="H220" s="1086"/>
      <c r="I220" s="108"/>
      <c r="J220" s="108"/>
      <c r="K220" s="108"/>
      <c r="L220" s="1332"/>
      <c r="M220" s="523"/>
      <c r="N220" s="104"/>
      <c r="O220" s="271"/>
      <c r="P220" s="104"/>
      <c r="Q220" s="104"/>
      <c r="R220" s="104"/>
      <c r="S220" s="104"/>
      <c r="T220" s="104"/>
      <c r="U220" s="104"/>
      <c r="V220" s="104"/>
      <c r="W220" s="104"/>
      <c r="X220" s="117"/>
    </row>
    <row r="221" spans="1:51" ht="15" thickTop="1" x14ac:dyDescent="0.3">
      <c r="B221" s="21" t="s">
        <v>502</v>
      </c>
      <c r="C221" s="21"/>
      <c r="D221" s="21"/>
      <c r="E221" s="21"/>
      <c r="F221" s="21"/>
      <c r="G221" s="21"/>
      <c r="H221" s="1086"/>
      <c r="I221" s="90" t="s">
        <v>502</v>
      </c>
      <c r="J221" s="93"/>
      <c r="K221" s="93"/>
      <c r="L221" s="1292" t="s">
        <v>503</v>
      </c>
      <c r="M221" s="522"/>
      <c r="O221" s="154"/>
      <c r="P221" s="440"/>
      <c r="Q221" s="440"/>
      <c r="X221"/>
      <c r="AR221" s="136"/>
      <c r="AS221" s="136"/>
    </row>
    <row r="222" spans="1:51" x14ac:dyDescent="0.3">
      <c r="B222" s="21" t="s">
        <v>502</v>
      </c>
      <c r="C222" s="21"/>
      <c r="D222" s="21"/>
      <c r="E222" s="21"/>
      <c r="F222" s="21"/>
      <c r="G222" s="21"/>
      <c r="H222" s="1086"/>
      <c r="I222" s="93"/>
      <c r="J222" s="93"/>
      <c r="K222" s="93"/>
      <c r="L222" s="1292"/>
      <c r="M222" s="522"/>
      <c r="O222" s="154"/>
      <c r="P222" s="440"/>
      <c r="Q222" s="440"/>
      <c r="X222"/>
    </row>
    <row r="223" spans="1:51" x14ac:dyDescent="0.3">
      <c r="B223" s="21" t="s">
        <v>502</v>
      </c>
      <c r="C223" s="21"/>
      <c r="D223" s="21"/>
      <c r="E223" s="21" t="s">
        <v>271</v>
      </c>
      <c r="F223" s="21"/>
      <c r="G223" s="21"/>
      <c r="H223" s="1086"/>
      <c r="I223" s="93"/>
      <c r="J223" s="94" t="s">
        <v>271</v>
      </c>
      <c r="K223" s="107"/>
      <c r="L223" s="1305" t="s">
        <v>504</v>
      </c>
      <c r="M223" s="1318">
        <v>5</v>
      </c>
      <c r="N223" s="97"/>
      <c r="O223" s="1308">
        <f>M223*S223*W223</f>
        <v>0</v>
      </c>
      <c r="P223" s="440" t="b">
        <v>0</v>
      </c>
      <c r="Q223" s="440" t="b">
        <v>1</v>
      </c>
      <c r="R223" s="65" t="b">
        <v>0</v>
      </c>
      <c r="S223" s="65" t="b">
        <v>1</v>
      </c>
      <c r="T223" s="65" t="b">
        <v>0</v>
      </c>
      <c r="W223" s="25"/>
      <c r="X223" s="1337"/>
      <c r="AL223" s="1059" t="str">
        <f>SUBSTITUTE(SUBSTITUTE(SUBSTITUTE("dpa"&amp;$B223&amp;$C223&amp;$D223&amp;$E223&amp;$F223,".","_"),"(","_"),")","")</f>
        <v>dpa505_1_1</v>
      </c>
      <c r="AM223" s="136">
        <f>M223</f>
        <v>5</v>
      </c>
      <c r="AN223" s="1059" t="str">
        <f>SUBSTITUTE(SUBSTITUTE(SUBSTITUTE("dpc"&amp;$B223&amp;$C223&amp;$D223&amp;$E223&amp;$F223,".","_"),"(","_"),")","")</f>
        <v>dpc505_1_1</v>
      </c>
      <c r="AO223" s="136">
        <f>O223</f>
        <v>0</v>
      </c>
      <c r="AP223" s="1059" t="str">
        <f>SUBSTITUTE(SUBSTITUTE(SUBSTITUTE("dch"&amp;$B223&amp;$C223&amp;$D223&amp;$E223&amp;$F223,".","_"),"(","_"),")","")</f>
        <v>dch505_1_1</v>
      </c>
      <c r="AQ223" s="136">
        <f>W223</f>
        <v>0</v>
      </c>
      <c r="AR223" s="1059" t="str">
        <f>SUBSTITUTE(SUBSTITUTE(SUBSTITUTE("dnt"&amp;$B223&amp;$C223&amp;$D223&amp;$E223&amp;$F223,".","_"),"(","_"),")","")</f>
        <v>dnt505_1_1</v>
      </c>
      <c r="AS223" s="311">
        <f>X223</f>
        <v>0</v>
      </c>
    </row>
    <row r="224" spans="1:51" x14ac:dyDescent="0.3">
      <c r="B224" s="21" t="s">
        <v>502</v>
      </c>
      <c r="C224" s="21"/>
      <c r="D224" s="21"/>
      <c r="E224" s="21" t="s">
        <v>271</v>
      </c>
      <c r="F224" s="21"/>
      <c r="G224" s="21"/>
      <c r="H224" s="1086"/>
      <c r="I224" s="93"/>
      <c r="J224" s="192"/>
      <c r="K224" s="195"/>
      <c r="L224" s="1306"/>
      <c r="M224" s="1319"/>
      <c r="N224" s="196"/>
      <c r="O224" s="1309"/>
      <c r="P224" s="440"/>
      <c r="Q224" s="440"/>
      <c r="X224" s="1304"/>
    </row>
    <row r="225" spans="2:45" x14ac:dyDescent="0.3">
      <c r="B225" s="21" t="s">
        <v>502</v>
      </c>
      <c r="C225" s="21"/>
      <c r="D225" s="21"/>
      <c r="E225" s="21" t="s">
        <v>273</v>
      </c>
      <c r="F225" s="21"/>
      <c r="G225" s="21"/>
      <c r="H225" s="1086"/>
      <c r="I225" s="93"/>
      <c r="J225" s="192" t="s">
        <v>273</v>
      </c>
      <c r="K225" s="195"/>
      <c r="L225" s="193" t="s">
        <v>505</v>
      </c>
      <c r="M225" s="520">
        <v>5</v>
      </c>
      <c r="N225" s="196"/>
      <c r="O225" s="597">
        <f ca="1">M225*S225*W225</f>
        <v>0</v>
      </c>
      <c r="P225" s="440" t="b">
        <v>0</v>
      </c>
      <c r="Q225" s="440" t="b">
        <v>1</v>
      </c>
      <c r="R225" s="65" t="b">
        <v>0</v>
      </c>
      <c r="S225" s="65" t="b">
        <f ca="1">IF($AY$19=INDEX(INDIRECT("ddSingleOrMulti"),2),TRUE,FALSE)</f>
        <v>0</v>
      </c>
      <c r="T225" s="97" t="b">
        <f ca="1">AND(NOT(S225),W225=TRUE)</f>
        <v>0</v>
      </c>
      <c r="W225" s="25"/>
      <c r="X225" s="323"/>
      <c r="AC225" s="79" t="b">
        <f ca="1">OR(AD225:AE225)</f>
        <v>0</v>
      </c>
      <c r="AD225" s="79" t="b">
        <f ca="1">T225</f>
        <v>0</v>
      </c>
      <c r="AL225" s="1059" t="str">
        <f>SUBSTITUTE(SUBSTITUTE(SUBSTITUTE("dpa"&amp;$B225&amp;$C225&amp;$D225&amp;$E225&amp;$F225,".","_"),"(","_"),")","")</f>
        <v>dpa505_1_2</v>
      </c>
      <c r="AM225" s="136">
        <f>M225</f>
        <v>5</v>
      </c>
      <c r="AN225" s="1059" t="str">
        <f t="shared" ref="AN225:AN226" si="33">SUBSTITUTE(SUBSTITUTE(SUBSTITUTE("dpc"&amp;$B225&amp;$C225&amp;$D225&amp;$E225&amp;$F225,".","_"),"(","_"),")","")</f>
        <v>dpc505_1_2</v>
      </c>
      <c r="AO225" s="136">
        <f ca="1">O225</f>
        <v>0</v>
      </c>
      <c r="AP225" s="1059" t="str">
        <f t="shared" ref="AP225:AP226" si="34">SUBSTITUTE(SUBSTITUTE(SUBSTITUTE("dch"&amp;$B225&amp;$C225&amp;$D225&amp;$E225&amp;$F225,".","_"),"(","_"),")","")</f>
        <v>dch505_1_2</v>
      </c>
      <c r="AQ225" s="136">
        <f>W225</f>
        <v>0</v>
      </c>
      <c r="AR225" s="1059" t="str">
        <f>SUBSTITUTE(SUBSTITUTE(SUBSTITUTE("dnt"&amp;$B225&amp;$C225&amp;$D225&amp;$E225&amp;$F225,".","_"),"(","_"),")","")</f>
        <v>dnt505_1_2</v>
      </c>
      <c r="AS225" s="311">
        <f>X225</f>
        <v>0</v>
      </c>
    </row>
    <row r="226" spans="2:45" x14ac:dyDescent="0.3">
      <c r="B226" s="21" t="s">
        <v>502</v>
      </c>
      <c r="C226" s="21"/>
      <c r="D226" s="21"/>
      <c r="E226" s="21" t="s">
        <v>275</v>
      </c>
      <c r="F226" s="21"/>
      <c r="G226" s="21"/>
      <c r="H226" s="1086"/>
      <c r="I226" s="93"/>
      <c r="J226" s="90" t="s">
        <v>275</v>
      </c>
      <c r="K226" s="93"/>
      <c r="L226" s="86" t="s">
        <v>506</v>
      </c>
      <c r="M226" s="522"/>
      <c r="O226" s="154">
        <f ca="1">S226*IFERROR(INDEX({4,5,6},MATCH(W226,INDIRECT(U226),0)),0)</f>
        <v>0</v>
      </c>
      <c r="P226" s="440" t="b">
        <v>0</v>
      </c>
      <c r="Q226" s="440" t="b">
        <v>1</v>
      </c>
      <c r="R226" s="65" t="b">
        <v>0</v>
      </c>
      <c r="S226" s="65" t="b">
        <v>1</v>
      </c>
      <c r="T226" s="65" t="b">
        <v>0</v>
      </c>
      <c r="U226" s="65" t="str">
        <f>SUBSTITUTE(SUBSTITUTE(SUBSTITUTE("dd"&amp;B226&amp;C226&amp;D226&amp;E226&amp;F226,".","_"),"(","_"),")","")</f>
        <v>dd505_1_3</v>
      </c>
      <c r="W226" s="12"/>
      <c r="X226" s="1337"/>
      <c r="AN226" s="1059" t="str">
        <f t="shared" si="33"/>
        <v>dpc505_1_3</v>
      </c>
      <c r="AO226" s="136">
        <f ca="1">O226</f>
        <v>0</v>
      </c>
      <c r="AP226" s="1059" t="str">
        <f t="shared" si="34"/>
        <v>dch505_1_3</v>
      </c>
      <c r="AQ226" s="136">
        <f>W226</f>
        <v>0</v>
      </c>
      <c r="AR226" s="1059" t="str">
        <f>SUBSTITUTE(SUBSTITUTE(SUBSTITUTE("dnt"&amp;$B226&amp;$C226&amp;$D226&amp;$E226&amp;$F226,".","_"),"(","_"),")","")</f>
        <v>dnt505_1_3</v>
      </c>
      <c r="AS226" s="311">
        <f>X226</f>
        <v>0</v>
      </c>
    </row>
    <row r="227" spans="2:45" x14ac:dyDescent="0.3">
      <c r="B227" s="21" t="s">
        <v>502</v>
      </c>
      <c r="C227" s="21"/>
      <c r="D227" s="21"/>
      <c r="E227" s="21" t="s">
        <v>275</v>
      </c>
      <c r="F227" s="18" t="s">
        <v>121</v>
      </c>
      <c r="H227" s="1086"/>
      <c r="I227" s="89"/>
      <c r="J227" s="93"/>
      <c r="K227" s="90" t="s">
        <v>121</v>
      </c>
      <c r="L227" s="86" t="s">
        <v>507</v>
      </c>
      <c r="M227" s="522">
        <v>4</v>
      </c>
      <c r="O227" s="154"/>
      <c r="P227" s="440"/>
      <c r="Q227" s="440"/>
      <c r="R227" s="65" t="b">
        <v>0</v>
      </c>
      <c r="S227" s="65" t="b">
        <v>1</v>
      </c>
      <c r="T227" s="65" t="b">
        <v>0</v>
      </c>
      <c r="X227" s="1312"/>
      <c r="AL227" s="1059" t="str">
        <f t="shared" ref="AL227:AL229" si="35">SUBSTITUTE(SUBSTITUTE(SUBSTITUTE("dpa"&amp;$B227&amp;$C227&amp;$D227&amp;$E227&amp;$F227,".","_"),"(","_"),")","")</f>
        <v>dpa505_1_3_a</v>
      </c>
      <c r="AM227" s="136">
        <f>M227</f>
        <v>4</v>
      </c>
    </row>
    <row r="228" spans="2:45" x14ac:dyDescent="0.3">
      <c r="B228" s="21" t="s">
        <v>502</v>
      </c>
      <c r="C228" s="21"/>
      <c r="D228" s="21"/>
      <c r="E228" s="21" t="s">
        <v>275</v>
      </c>
      <c r="F228" s="18" t="s">
        <v>122</v>
      </c>
      <c r="H228" s="1086"/>
      <c r="I228" s="89"/>
      <c r="J228" s="93"/>
      <c r="K228" s="90" t="s">
        <v>122</v>
      </c>
      <c r="L228" s="86" t="s">
        <v>508</v>
      </c>
      <c r="M228" s="522">
        <v>5</v>
      </c>
      <c r="O228" s="154"/>
      <c r="P228" s="440"/>
      <c r="Q228" s="440"/>
      <c r="R228" s="65" t="b">
        <v>0</v>
      </c>
      <c r="S228" s="65" t="b">
        <v>1</v>
      </c>
      <c r="T228" s="65" t="b">
        <v>0</v>
      </c>
      <c r="X228" s="1312"/>
      <c r="AL228" s="1059" t="str">
        <f t="shared" si="35"/>
        <v>dpa505_1_3_b</v>
      </c>
      <c r="AM228" s="136">
        <f>M228</f>
        <v>5</v>
      </c>
    </row>
    <row r="229" spans="2:45" x14ac:dyDescent="0.3">
      <c r="B229" s="21" t="s">
        <v>502</v>
      </c>
      <c r="C229" s="21"/>
      <c r="D229" s="21"/>
      <c r="E229" s="21" t="s">
        <v>275</v>
      </c>
      <c r="F229" s="18" t="s">
        <v>123</v>
      </c>
      <c r="H229" s="1086"/>
      <c r="I229" s="89"/>
      <c r="J229" s="195"/>
      <c r="K229" s="197" t="s">
        <v>123</v>
      </c>
      <c r="L229" s="193" t="s">
        <v>413</v>
      </c>
      <c r="M229" s="520">
        <v>6</v>
      </c>
      <c r="N229" s="196"/>
      <c r="O229" s="597"/>
      <c r="P229" s="440"/>
      <c r="Q229" s="440"/>
      <c r="R229" s="65" t="b">
        <v>0</v>
      </c>
      <c r="S229" s="65" t="b">
        <v>1</v>
      </c>
      <c r="T229" s="65" t="b">
        <v>0</v>
      </c>
      <c r="X229" s="1304"/>
      <c r="AL229" s="1059" t="str">
        <f t="shared" si="35"/>
        <v>dpa505_1_3_c</v>
      </c>
      <c r="AM229" s="136">
        <f>M229</f>
        <v>6</v>
      </c>
    </row>
    <row r="230" spans="2:45" x14ac:dyDescent="0.3">
      <c r="B230" s="21" t="s">
        <v>502</v>
      </c>
      <c r="C230" s="21"/>
      <c r="D230" s="21"/>
      <c r="E230" s="21" t="s">
        <v>285</v>
      </c>
      <c r="F230" s="21"/>
      <c r="G230" s="21"/>
      <c r="H230" s="1086"/>
      <c r="I230" s="93"/>
      <c r="J230" s="90" t="s">
        <v>285</v>
      </c>
      <c r="K230" s="93"/>
      <c r="L230" s="1329" t="s">
        <v>509</v>
      </c>
      <c r="M230" s="522"/>
      <c r="O230" s="1310">
        <f ca="1">S230*IFERROR(INDEX({1,2,3},MATCH(W230,INDIRECT(U230),0)),0)</f>
        <v>0</v>
      </c>
      <c r="P230" s="440" t="b">
        <v>0</v>
      </c>
      <c r="Q230" s="440" t="b">
        <v>1</v>
      </c>
      <c r="R230" s="65" t="b">
        <v>0</v>
      </c>
      <c r="S230" s="65" t="b">
        <v>1</v>
      </c>
      <c r="T230" s="65" t="b">
        <v>0</v>
      </c>
      <c r="U230" s="65" t="str">
        <f>SUBSTITUTE(SUBSTITUTE(SUBSTITUTE("dd"&amp;B230&amp;C230&amp;D230&amp;E230&amp;F230,".","_"),"(","_"),")","")</f>
        <v>dd505_1_4</v>
      </c>
      <c r="W230" s="12"/>
      <c r="X230" s="1337"/>
      <c r="AN230" s="1059" t="str">
        <f>SUBSTITUTE(SUBSTITUTE(SUBSTITUTE("dpc"&amp;$B230&amp;$C230&amp;$D230&amp;$E230&amp;$F230,".","_"),"(","_"),")","")</f>
        <v>dpc505_1_4</v>
      </c>
      <c r="AO230" s="136">
        <f ca="1">O230</f>
        <v>0</v>
      </c>
      <c r="AP230" s="1059" t="str">
        <f>SUBSTITUTE(SUBSTITUTE(SUBSTITUTE("dch"&amp;$B230&amp;$C230&amp;$D230&amp;$E230&amp;$F230,".","_"),"(","_"),")","")</f>
        <v>dch505_1_4</v>
      </c>
      <c r="AQ230" s="136">
        <f>W230</f>
        <v>0</v>
      </c>
      <c r="AR230" s="1059" t="str">
        <f>SUBSTITUTE(SUBSTITUTE(SUBSTITUTE("dnt"&amp;$B230&amp;$C230&amp;$D230&amp;$E230&amp;$F230,".","_"),"(","_"),")","")</f>
        <v>dnt505_1_4</v>
      </c>
      <c r="AS230" s="311">
        <f>X230</f>
        <v>0</v>
      </c>
    </row>
    <row r="231" spans="2:45" x14ac:dyDescent="0.3">
      <c r="B231" s="21" t="s">
        <v>502</v>
      </c>
      <c r="C231" s="21"/>
      <c r="D231" s="21"/>
      <c r="E231" s="21" t="s">
        <v>285</v>
      </c>
      <c r="F231" s="21"/>
      <c r="G231" s="21"/>
      <c r="H231" s="1086"/>
      <c r="I231" s="93"/>
      <c r="J231" s="93"/>
      <c r="K231" s="93"/>
      <c r="L231" s="1329"/>
      <c r="M231" s="522"/>
      <c r="O231" s="1310"/>
      <c r="P231" s="440"/>
      <c r="Q231" s="440"/>
      <c r="X231" s="1312"/>
    </row>
    <row r="232" spans="2:45" x14ac:dyDescent="0.3">
      <c r="B232" s="21" t="s">
        <v>502</v>
      </c>
      <c r="C232" s="21"/>
      <c r="D232" s="21"/>
      <c r="E232" s="21" t="s">
        <v>285</v>
      </c>
      <c r="F232" s="18" t="s">
        <v>121</v>
      </c>
      <c r="H232" s="1086"/>
      <c r="I232" s="89"/>
      <c r="J232" s="93"/>
      <c r="K232" s="90" t="s">
        <v>121</v>
      </c>
      <c r="L232" s="86" t="s">
        <v>510</v>
      </c>
      <c r="M232" s="522">
        <v>1</v>
      </c>
      <c r="O232" s="154"/>
      <c r="P232" s="440"/>
      <c r="Q232" s="440"/>
      <c r="R232" s="65" t="b">
        <v>0</v>
      </c>
      <c r="S232" s="65" t="b">
        <v>1</v>
      </c>
      <c r="T232" s="65" t="b">
        <v>0</v>
      </c>
      <c r="X232" s="1312"/>
      <c r="AL232" s="1059" t="str">
        <f t="shared" ref="AL232:AL234" si="36">SUBSTITUTE(SUBSTITUTE(SUBSTITUTE("dpa"&amp;$B232&amp;$C232&amp;$D232&amp;$E232&amp;$F232,".","_"),"(","_"),")","")</f>
        <v>dpa505_1_4_a</v>
      </c>
      <c r="AM232" s="136">
        <f>M232</f>
        <v>1</v>
      </c>
    </row>
    <row r="233" spans="2:45" x14ac:dyDescent="0.3">
      <c r="B233" s="21" t="s">
        <v>502</v>
      </c>
      <c r="C233" s="21"/>
      <c r="D233" s="21"/>
      <c r="E233" s="21" t="s">
        <v>285</v>
      </c>
      <c r="F233" s="18" t="s">
        <v>122</v>
      </c>
      <c r="H233" s="1086"/>
      <c r="I233" s="89"/>
      <c r="J233" s="93"/>
      <c r="K233" s="90" t="s">
        <v>122</v>
      </c>
      <c r="L233" s="86" t="s">
        <v>412</v>
      </c>
      <c r="M233" s="522">
        <v>2</v>
      </c>
      <c r="O233" s="154"/>
      <c r="P233" s="440"/>
      <c r="Q233" s="440"/>
      <c r="R233" s="65" t="b">
        <v>0</v>
      </c>
      <c r="S233" s="65" t="b">
        <v>1</v>
      </c>
      <c r="T233" s="65" t="b">
        <v>0</v>
      </c>
      <c r="X233" s="1312"/>
      <c r="AL233" s="1059" t="str">
        <f t="shared" si="36"/>
        <v>dpa505_1_4_b</v>
      </c>
      <c r="AM233" s="136">
        <f>M233</f>
        <v>2</v>
      </c>
    </row>
    <row r="234" spans="2:45" ht="15" thickBot="1" x14ac:dyDescent="0.35">
      <c r="B234" s="21" t="s">
        <v>502</v>
      </c>
      <c r="C234" s="21"/>
      <c r="D234" s="21"/>
      <c r="E234" s="21" t="s">
        <v>285</v>
      </c>
      <c r="F234" s="18" t="s">
        <v>123</v>
      </c>
      <c r="H234" s="1086"/>
      <c r="I234" s="120"/>
      <c r="J234" s="108"/>
      <c r="K234" s="116" t="s">
        <v>123</v>
      </c>
      <c r="L234" s="100" t="s">
        <v>413</v>
      </c>
      <c r="M234" s="523">
        <v>3</v>
      </c>
      <c r="N234" s="104"/>
      <c r="O234" s="271"/>
      <c r="P234" s="104"/>
      <c r="Q234" s="104"/>
      <c r="R234" s="104" t="b">
        <v>0</v>
      </c>
      <c r="S234" s="104" t="b">
        <v>1</v>
      </c>
      <c r="T234" s="104" t="b">
        <v>0</v>
      </c>
      <c r="U234" s="104"/>
      <c r="V234" s="104"/>
      <c r="W234" s="104"/>
      <c r="X234" s="1338"/>
      <c r="AL234" s="1059" t="str">
        <f t="shared" si="36"/>
        <v>dpa505_1_4_c</v>
      </c>
      <c r="AM234" s="136">
        <f>M234</f>
        <v>3</v>
      </c>
    </row>
    <row r="235" spans="2:45" ht="15" thickTop="1" x14ac:dyDescent="0.3">
      <c r="B235" s="21" t="s">
        <v>511</v>
      </c>
      <c r="C235" s="21"/>
      <c r="D235" s="21"/>
      <c r="E235" s="21"/>
      <c r="F235" s="21"/>
      <c r="G235" s="21"/>
      <c r="H235" s="1086"/>
      <c r="I235" s="90" t="s">
        <v>512</v>
      </c>
      <c r="J235" s="93"/>
      <c r="K235" s="93"/>
      <c r="L235" s="88" t="s">
        <v>513</v>
      </c>
      <c r="M235" s="522"/>
      <c r="O235" s="154"/>
      <c r="P235" s="440"/>
      <c r="Q235" s="440"/>
      <c r="X235"/>
      <c r="AR235" s="136"/>
      <c r="AS235" s="136"/>
    </row>
    <row r="236" spans="2:45" x14ac:dyDescent="0.3">
      <c r="B236" s="21" t="s">
        <v>511</v>
      </c>
      <c r="C236" s="21"/>
      <c r="D236" s="21"/>
      <c r="E236" s="21" t="s">
        <v>271</v>
      </c>
      <c r="F236" s="21"/>
      <c r="G236" s="21"/>
      <c r="H236" s="1086"/>
      <c r="I236" s="93"/>
      <c r="J236" s="90" t="s">
        <v>271</v>
      </c>
      <c r="K236" s="93"/>
      <c r="L236" s="1329" t="s">
        <v>514</v>
      </c>
      <c r="M236" s="1335">
        <v>5</v>
      </c>
      <c r="O236" s="1310">
        <f>M236*MIN(1,W238+W241+W245)</f>
        <v>5</v>
      </c>
      <c r="P236" s="440"/>
      <c r="Q236" s="440"/>
      <c r="R236" s="65" t="b">
        <v>0</v>
      </c>
      <c r="S236" s="65" t="b">
        <v>1</v>
      </c>
      <c r="T236" s="65" t="b">
        <v>0</v>
      </c>
      <c r="X236" s="1337"/>
      <c r="AL236" s="1059" t="str">
        <f>SUBSTITUTE(SUBSTITUTE(SUBSTITUTE("dpa"&amp;$B236&amp;$C236&amp;$D236&amp;$E236&amp;$F236,".","_"),"(","_"),")","")</f>
        <v>dpa505_2_1</v>
      </c>
      <c r="AM236" s="136">
        <f>M236</f>
        <v>5</v>
      </c>
      <c r="AN236" s="1059" t="str">
        <f>SUBSTITUTE(SUBSTITUTE(SUBSTITUTE("dpc"&amp;$B236&amp;$C236&amp;$D236&amp;$E236&amp;$F236,".","_"),"(","_"),")","")</f>
        <v>dpc505_2_1</v>
      </c>
      <c r="AO236" s="136">
        <f>O236</f>
        <v>5</v>
      </c>
      <c r="AR236" s="1059" t="str">
        <f>SUBSTITUTE(SUBSTITUTE(SUBSTITUTE("dnt"&amp;$B236&amp;$C236&amp;$D236&amp;$E236&amp;$F236,".","_"),"(","_"),")","")</f>
        <v>dnt505_2_1</v>
      </c>
      <c r="AS236" s="311">
        <f>X236</f>
        <v>0</v>
      </c>
    </row>
    <row r="237" spans="2:45" x14ac:dyDescent="0.3">
      <c r="B237" s="21" t="s">
        <v>511</v>
      </c>
      <c r="C237" s="21"/>
      <c r="D237" s="21"/>
      <c r="E237" s="21" t="s">
        <v>271</v>
      </c>
      <c r="F237" s="21"/>
      <c r="G237" s="21"/>
      <c r="H237" s="1086"/>
      <c r="I237" s="93"/>
      <c r="J237" s="93"/>
      <c r="K237" s="93"/>
      <c r="L237" s="1329"/>
      <c r="M237" s="1335"/>
      <c r="O237" s="1310"/>
      <c r="P237" s="440"/>
      <c r="Q237" s="440"/>
      <c r="X237" s="1312"/>
    </row>
    <row r="238" spans="2:45" x14ac:dyDescent="0.3">
      <c r="B238" s="21" t="s">
        <v>511</v>
      </c>
      <c r="C238" s="21"/>
      <c r="D238" s="21"/>
      <c r="E238" s="21" t="s">
        <v>271</v>
      </c>
      <c r="F238" s="18" t="s">
        <v>121</v>
      </c>
      <c r="H238" s="1086"/>
      <c r="I238" s="89"/>
      <c r="J238" s="93"/>
      <c r="K238" s="90" t="s">
        <v>121</v>
      </c>
      <c r="L238" s="1329" t="s">
        <v>515</v>
      </c>
      <c r="M238" s="522"/>
      <c r="O238" s="154"/>
      <c r="P238" s="440" t="b">
        <v>0</v>
      </c>
      <c r="Q238" s="440" t="b">
        <v>1</v>
      </c>
      <c r="R238" s="65" t="b">
        <v>0</v>
      </c>
      <c r="S238" s="65" t="b">
        <v>1</v>
      </c>
      <c r="T238" s="65" t="b">
        <v>0</v>
      </c>
      <c r="W238" s="25"/>
      <c r="X238" s="1312"/>
      <c r="AP238" s="1059" t="str">
        <f>SUBSTITUTE(SUBSTITUTE(SUBSTITUTE("dch"&amp;$B238&amp;$C238&amp;$D238&amp;$E238&amp;$F238,".","_"),"(","_"),")","")</f>
        <v>dch505_2_1_a</v>
      </c>
      <c r="AQ238" s="136">
        <f>W238</f>
        <v>0</v>
      </c>
    </row>
    <row r="239" spans="2:45" x14ac:dyDescent="0.3">
      <c r="B239" s="21" t="s">
        <v>511</v>
      </c>
      <c r="C239" s="21"/>
      <c r="D239" s="21"/>
      <c r="E239" s="21" t="s">
        <v>271</v>
      </c>
      <c r="F239" s="18" t="s">
        <v>121</v>
      </c>
      <c r="H239" s="1086"/>
      <c r="I239" s="89"/>
      <c r="J239" s="93"/>
      <c r="K239" s="93"/>
      <c r="L239" s="1329"/>
      <c r="M239" s="522"/>
      <c r="O239" s="154"/>
      <c r="P239" s="440"/>
      <c r="Q239" s="440"/>
      <c r="X239" s="1312"/>
    </row>
    <row r="240" spans="2:45" x14ac:dyDescent="0.3">
      <c r="B240" s="21" t="s">
        <v>511</v>
      </c>
      <c r="C240" s="21"/>
      <c r="D240" s="21"/>
      <c r="E240" s="21" t="s">
        <v>271</v>
      </c>
      <c r="F240" s="18" t="s">
        <v>121</v>
      </c>
      <c r="H240" s="1086"/>
      <c r="I240" s="89"/>
      <c r="J240" s="93"/>
      <c r="K240" s="93"/>
      <c r="L240" s="1329"/>
      <c r="M240" s="522"/>
      <c r="O240" s="154"/>
      <c r="P240" s="440"/>
      <c r="Q240" s="440"/>
      <c r="X240" s="1312"/>
    </row>
    <row r="241" spans="2:45" x14ac:dyDescent="0.3">
      <c r="B241" s="21" t="s">
        <v>511</v>
      </c>
      <c r="C241" s="21"/>
      <c r="D241" s="21"/>
      <c r="E241" s="21" t="s">
        <v>271</v>
      </c>
      <c r="F241" s="18" t="s">
        <v>122</v>
      </c>
      <c r="H241" s="1086"/>
      <c r="I241" s="89"/>
      <c r="J241" s="93"/>
      <c r="K241" s="90" t="s">
        <v>122</v>
      </c>
      <c r="L241" s="1329" t="s">
        <v>516</v>
      </c>
      <c r="M241" s="522"/>
      <c r="O241" s="154"/>
      <c r="P241" s="440" t="b">
        <v>0</v>
      </c>
      <c r="Q241" s="440" t="b">
        <v>1</v>
      </c>
      <c r="R241" s="65" t="b">
        <v>0</v>
      </c>
      <c r="S241" s="65" t="b">
        <v>1</v>
      </c>
      <c r="T241" s="65" t="b">
        <v>0</v>
      </c>
      <c r="W241" s="25" t="b">
        <v>1</v>
      </c>
      <c r="X241" s="1312"/>
      <c r="AP241" s="1059" t="str">
        <f>SUBSTITUTE(SUBSTITUTE(SUBSTITUTE("dch"&amp;$B241&amp;$C241&amp;$D241&amp;$E241&amp;$F241,".","_"),"(","_"),")","")</f>
        <v>dch505_2_1_b</v>
      </c>
      <c r="AQ241" s="136" t="b">
        <f>W241</f>
        <v>1</v>
      </c>
    </row>
    <row r="242" spans="2:45" x14ac:dyDescent="0.3">
      <c r="B242" s="21" t="s">
        <v>511</v>
      </c>
      <c r="C242" s="21"/>
      <c r="D242" s="21"/>
      <c r="E242" s="21" t="s">
        <v>271</v>
      </c>
      <c r="F242" s="18" t="s">
        <v>122</v>
      </c>
      <c r="H242" s="1086"/>
      <c r="I242" s="89"/>
      <c r="J242" s="93"/>
      <c r="K242" s="93"/>
      <c r="L242" s="1329"/>
      <c r="M242" s="522"/>
      <c r="O242" s="154"/>
      <c r="P242" s="440"/>
      <c r="Q242" s="440"/>
      <c r="X242" s="1312"/>
    </row>
    <row r="243" spans="2:45" x14ac:dyDescent="0.3">
      <c r="B243" s="21" t="s">
        <v>511</v>
      </c>
      <c r="C243" s="21"/>
      <c r="D243" s="21"/>
      <c r="E243" s="21" t="s">
        <v>271</v>
      </c>
      <c r="F243" s="18" t="s">
        <v>122</v>
      </c>
      <c r="H243" s="1086"/>
      <c r="I243" s="89"/>
      <c r="J243" s="93"/>
      <c r="K243" s="93"/>
      <c r="L243" s="1329"/>
      <c r="M243" s="522"/>
      <c r="O243" s="154"/>
      <c r="P243" s="440"/>
      <c r="Q243" s="440"/>
      <c r="X243" s="1312"/>
    </row>
    <row r="244" spans="2:45" x14ac:dyDescent="0.3">
      <c r="B244" s="21" t="s">
        <v>511</v>
      </c>
      <c r="C244" s="21"/>
      <c r="D244" s="21"/>
      <c r="E244" s="21" t="s">
        <v>271</v>
      </c>
      <c r="F244" s="18" t="s">
        <v>122</v>
      </c>
      <c r="H244" s="1086"/>
      <c r="I244" s="89"/>
      <c r="J244" s="93"/>
      <c r="K244" s="93"/>
      <c r="L244" s="1329"/>
      <c r="M244" s="522"/>
      <c r="O244" s="154"/>
      <c r="P244" s="440"/>
      <c r="Q244" s="440"/>
      <c r="X244" s="1312"/>
    </row>
    <row r="245" spans="2:45" x14ac:dyDescent="0.3">
      <c r="B245" s="21" t="s">
        <v>511</v>
      </c>
      <c r="C245" s="21"/>
      <c r="D245" s="21"/>
      <c r="E245" s="21" t="s">
        <v>271</v>
      </c>
      <c r="F245" s="18" t="s">
        <v>123</v>
      </c>
      <c r="H245" s="1086"/>
      <c r="I245" s="89"/>
      <c r="J245" s="195"/>
      <c r="K245" s="197" t="s">
        <v>123</v>
      </c>
      <c r="L245" s="193" t="s">
        <v>517</v>
      </c>
      <c r="M245" s="520"/>
      <c r="N245" s="196"/>
      <c r="O245" s="597"/>
      <c r="P245" s="440" t="b">
        <v>0</v>
      </c>
      <c r="Q245" s="440" t="b">
        <v>1</v>
      </c>
      <c r="R245" s="65" t="b">
        <v>0</v>
      </c>
      <c r="S245" s="65" t="b">
        <v>1</v>
      </c>
      <c r="T245" s="65" t="b">
        <v>0</v>
      </c>
      <c r="W245" s="25"/>
      <c r="X245" s="1304"/>
      <c r="AP245" s="1059" t="str">
        <f t="shared" ref="AP245:AP246" si="37">SUBSTITUTE(SUBSTITUTE(SUBSTITUTE("dch"&amp;$B245&amp;$C245&amp;$D245&amp;$E245&amp;$F245,".","_"),"(","_"),")","")</f>
        <v>dch505_2_1_c</v>
      </c>
      <c r="AQ245" s="136">
        <f>W245</f>
        <v>0</v>
      </c>
    </row>
    <row r="246" spans="2:45" x14ac:dyDescent="0.3">
      <c r="B246" s="21" t="s">
        <v>511</v>
      </c>
      <c r="C246" s="21"/>
      <c r="D246" s="21"/>
      <c r="E246" s="21" t="s">
        <v>273</v>
      </c>
      <c r="F246" s="21"/>
      <c r="G246" s="21"/>
      <c r="H246" s="1086"/>
      <c r="I246" s="107"/>
      <c r="J246" s="94" t="s">
        <v>273</v>
      </c>
      <c r="K246" s="107"/>
      <c r="L246" s="1305" t="s">
        <v>518</v>
      </c>
      <c r="M246" s="1318">
        <v>5</v>
      </c>
      <c r="N246" s="97"/>
      <c r="O246" s="1308">
        <f>M246*W246</f>
        <v>0</v>
      </c>
      <c r="P246" s="440" t="b">
        <v>0</v>
      </c>
      <c r="Q246" s="440" t="b">
        <v>1</v>
      </c>
      <c r="R246" s="97" t="b">
        <v>0</v>
      </c>
      <c r="S246" s="97" t="b">
        <v>1</v>
      </c>
      <c r="T246" s="97" t="b">
        <v>0</v>
      </c>
      <c r="U246" s="97"/>
      <c r="V246" s="97"/>
      <c r="W246" s="25"/>
      <c r="X246" s="1337"/>
      <c r="AL246" s="1059" t="str">
        <f>SUBSTITUTE(SUBSTITUTE(SUBSTITUTE("dpa"&amp;$B246&amp;$C246&amp;$D246&amp;$E246&amp;$F246,".","_"),"(","_"),")","")</f>
        <v>dpa505_2_2</v>
      </c>
      <c r="AM246" s="136">
        <f>M246</f>
        <v>5</v>
      </c>
      <c r="AN246" s="1059" t="str">
        <f>SUBSTITUTE(SUBSTITUTE(SUBSTITUTE("dpc"&amp;$B246&amp;$C246&amp;$D246&amp;$E246&amp;$F246,".","_"),"(","_"),")","")</f>
        <v>dpc505_2_2</v>
      </c>
      <c r="AO246" s="136">
        <f>O246</f>
        <v>0</v>
      </c>
      <c r="AP246" s="1059" t="str">
        <f t="shared" si="37"/>
        <v>dch505_2_2</v>
      </c>
      <c r="AQ246" s="136">
        <f>W246</f>
        <v>0</v>
      </c>
      <c r="AR246" s="1059" t="str">
        <f>SUBSTITUTE(SUBSTITUTE(SUBSTITUTE("dnt"&amp;$B246&amp;$C246&amp;$D246&amp;$E246&amp;$F246,".","_"),"(","_"),")","")</f>
        <v>dnt505_2_2</v>
      </c>
      <c r="AS246" s="311">
        <f>X246</f>
        <v>0</v>
      </c>
    </row>
    <row r="247" spans="2:45" x14ac:dyDescent="0.3">
      <c r="B247" s="21" t="s">
        <v>511</v>
      </c>
      <c r="C247" s="21"/>
      <c r="D247" s="21"/>
      <c r="E247" s="21" t="s">
        <v>273</v>
      </c>
      <c r="F247" s="21"/>
      <c r="G247" s="21"/>
      <c r="H247" s="1086"/>
      <c r="I247" s="107"/>
      <c r="J247" s="107"/>
      <c r="K247" s="107"/>
      <c r="L247" s="1305"/>
      <c r="M247" s="1318"/>
      <c r="N247" s="97"/>
      <c r="O247" s="1308"/>
      <c r="P247" s="97"/>
      <c r="Q247" s="97"/>
      <c r="R247" s="97"/>
      <c r="S247" s="97"/>
      <c r="T247" s="97"/>
      <c r="U247" s="97"/>
      <c r="V247" s="97"/>
      <c r="W247" s="97"/>
      <c r="X247" s="1312"/>
    </row>
    <row r="248" spans="2:45" ht="15" thickBot="1" x14ac:dyDescent="0.35">
      <c r="B248" s="21" t="s">
        <v>511</v>
      </c>
      <c r="C248" s="21"/>
      <c r="D248" s="21"/>
      <c r="E248" s="21" t="s">
        <v>273</v>
      </c>
      <c r="F248" s="21"/>
      <c r="G248" s="21"/>
      <c r="H248" s="1086"/>
      <c r="I248" s="108"/>
      <c r="J248" s="108"/>
      <c r="K248" s="108"/>
      <c r="L248" s="1330"/>
      <c r="M248" s="1334"/>
      <c r="N248" s="104"/>
      <c r="O248" s="1315"/>
      <c r="P248" s="104"/>
      <c r="Q248" s="104"/>
      <c r="R248" s="104"/>
      <c r="S248" s="104"/>
      <c r="T248" s="104"/>
      <c r="U248" s="104"/>
      <c r="V248" s="104"/>
      <c r="W248" s="104"/>
      <c r="X248" s="1338"/>
    </row>
    <row r="249" spans="2:45" ht="15" thickTop="1" x14ac:dyDescent="0.3">
      <c r="B249" s="21" t="s">
        <v>519</v>
      </c>
      <c r="C249" s="21"/>
      <c r="D249" s="21"/>
      <c r="E249" s="21"/>
      <c r="F249" s="21"/>
      <c r="G249" s="21"/>
      <c r="H249" s="1086"/>
      <c r="I249" s="90" t="s">
        <v>519</v>
      </c>
      <c r="J249" s="93"/>
      <c r="K249" s="93"/>
      <c r="L249" s="88" t="s">
        <v>520</v>
      </c>
      <c r="M249" s="522"/>
      <c r="O249" s="154">
        <f ca="1">S249*IFERROR(INDEX({4,5,6,7,8},MATCH(W249,INDIRECT(U249),0)),0)</f>
        <v>0</v>
      </c>
      <c r="P249" s="440" t="b">
        <v>1</v>
      </c>
      <c r="Q249" s="440" t="b">
        <v>1</v>
      </c>
      <c r="R249" s="65" t="b">
        <v>0</v>
      </c>
      <c r="S249" s="65" t="b">
        <v>1</v>
      </c>
      <c r="T249" s="65" t="b">
        <v>0</v>
      </c>
      <c r="U249" s="65" t="str">
        <f>SUBSTITUTE(SUBSTITUTE(SUBSTITUTE("dd"&amp;B249&amp;C249&amp;D249&amp;E249&amp;F249,".","_"),"(","_"),")","")</f>
        <v>dd505_3</v>
      </c>
      <c r="W249" s="12"/>
      <c r="X249" s="1327"/>
      <c r="AN249" s="1059" t="str">
        <f>SUBSTITUTE(SUBSTITUTE(SUBSTITUTE("dpc"&amp;$B249&amp;$C249&amp;$D249&amp;$E249&amp;$F249,".","_"),"(","_"),")","")</f>
        <v>dpc505_3</v>
      </c>
      <c r="AO249" s="136">
        <f ca="1">O249</f>
        <v>0</v>
      </c>
      <c r="AP249" s="1059" t="str">
        <f>SUBSTITUTE(SUBSTITUTE(SUBSTITUTE("dch"&amp;$B249&amp;$C249&amp;$D249&amp;$E249&amp;$F249,".","_"),"(","_"),")","")</f>
        <v>dch505_3</v>
      </c>
      <c r="AQ249" s="136">
        <f>W249</f>
        <v>0</v>
      </c>
      <c r="AR249" s="1059" t="str">
        <f>SUBSTITUTE(SUBSTITUTE(SUBSTITUTE("dnt"&amp;$B249&amp;$C249&amp;$D249&amp;$E249&amp;$F249,".","_"),"(","_"),")","")</f>
        <v>dnt505_3</v>
      </c>
      <c r="AS249" s="136">
        <f>X249</f>
        <v>0</v>
      </c>
    </row>
    <row r="250" spans="2:45" ht="15" x14ac:dyDescent="0.3">
      <c r="B250" s="21" t="s">
        <v>519</v>
      </c>
      <c r="C250" s="21"/>
      <c r="D250" s="21"/>
      <c r="E250" s="21" t="s">
        <v>271</v>
      </c>
      <c r="F250" s="21"/>
      <c r="G250" s="21"/>
      <c r="H250" s="1086"/>
      <c r="I250" s="93"/>
      <c r="J250" s="192" t="s">
        <v>271</v>
      </c>
      <c r="K250" s="195"/>
      <c r="L250" s="193" t="s">
        <v>521</v>
      </c>
      <c r="M250" s="520">
        <v>4</v>
      </c>
      <c r="O250" s="154"/>
      <c r="P250" s="440"/>
      <c r="Q250" s="440"/>
      <c r="R250" s="65"/>
      <c r="S250" s="65"/>
      <c r="T250" s="65"/>
      <c r="X250" s="1295"/>
      <c r="AL250" s="1059" t="str">
        <f t="shared" ref="AL250:AL256" si="38">SUBSTITUTE(SUBSTITUTE(SUBSTITUTE("dpa"&amp;$B250&amp;$C250&amp;$D250&amp;$E250&amp;$F250,".","_"),"(","_"),")","")</f>
        <v>dpa505_3_1</v>
      </c>
      <c r="AM250" s="136">
        <f t="shared" ref="AM250:AM256" si="39">M250</f>
        <v>4</v>
      </c>
    </row>
    <row r="251" spans="2:45" ht="15" x14ac:dyDescent="0.3">
      <c r="B251" s="21" t="s">
        <v>519</v>
      </c>
      <c r="C251" s="21"/>
      <c r="D251" s="21"/>
      <c r="E251" s="21" t="s">
        <v>273</v>
      </c>
      <c r="F251" s="21"/>
      <c r="G251" s="21"/>
      <c r="H251" s="1086"/>
      <c r="I251" s="93"/>
      <c r="J251" s="192" t="s">
        <v>273</v>
      </c>
      <c r="K251" s="195"/>
      <c r="L251" s="193" t="s">
        <v>522</v>
      </c>
      <c r="M251" s="520">
        <v>5</v>
      </c>
      <c r="O251" s="154"/>
      <c r="P251" s="440"/>
      <c r="Q251" s="440"/>
      <c r="R251" s="65"/>
      <c r="S251" s="65"/>
      <c r="T251" s="65"/>
      <c r="X251" s="1295"/>
      <c r="AL251" s="1059" t="str">
        <f t="shared" si="38"/>
        <v>dpa505_3_2</v>
      </c>
      <c r="AM251" s="136">
        <f t="shared" si="39"/>
        <v>5</v>
      </c>
    </row>
    <row r="252" spans="2:45" ht="15" x14ac:dyDescent="0.3">
      <c r="B252" s="21" t="s">
        <v>519</v>
      </c>
      <c r="C252" s="21"/>
      <c r="D252" s="21"/>
      <c r="E252" s="21" t="s">
        <v>275</v>
      </c>
      <c r="F252" s="21"/>
      <c r="G252" s="21"/>
      <c r="H252" s="1086"/>
      <c r="I252" s="93"/>
      <c r="J252" s="192" t="s">
        <v>275</v>
      </c>
      <c r="K252" s="195"/>
      <c r="L252" s="193" t="s">
        <v>523</v>
      </c>
      <c r="M252" s="520">
        <v>6</v>
      </c>
      <c r="O252" s="154"/>
      <c r="P252" s="440"/>
      <c r="Q252" s="440"/>
      <c r="R252" s="65"/>
      <c r="S252" s="65"/>
      <c r="T252" s="65"/>
      <c r="X252" s="1295"/>
      <c r="AL252" s="1059" t="str">
        <f t="shared" si="38"/>
        <v>dpa505_3_3</v>
      </c>
      <c r="AM252" s="136">
        <f t="shared" si="39"/>
        <v>6</v>
      </c>
    </row>
    <row r="253" spans="2:45" ht="15" x14ac:dyDescent="0.3">
      <c r="B253" s="21" t="s">
        <v>519</v>
      </c>
      <c r="C253" s="21"/>
      <c r="D253" s="21"/>
      <c r="E253" s="21" t="s">
        <v>285</v>
      </c>
      <c r="F253" s="21"/>
      <c r="G253" s="21"/>
      <c r="H253" s="1086"/>
      <c r="I253" s="93"/>
      <c r="J253" s="192" t="s">
        <v>285</v>
      </c>
      <c r="K253" s="195"/>
      <c r="L253" s="193" t="s">
        <v>524</v>
      </c>
      <c r="M253" s="520">
        <v>7</v>
      </c>
      <c r="O253" s="154"/>
      <c r="P253" s="440"/>
      <c r="Q253" s="440"/>
      <c r="R253" s="65"/>
      <c r="S253" s="65"/>
      <c r="T253" s="65"/>
      <c r="X253" s="1295"/>
      <c r="AL253" s="1059" t="str">
        <f t="shared" si="38"/>
        <v>dpa505_3_4</v>
      </c>
      <c r="AM253" s="136">
        <f t="shared" si="39"/>
        <v>7</v>
      </c>
    </row>
    <row r="254" spans="2:45" ht="15.6" thickBot="1" x14ac:dyDescent="0.35">
      <c r="B254" s="21" t="s">
        <v>519</v>
      </c>
      <c r="C254" s="21"/>
      <c r="D254" s="21"/>
      <c r="E254" s="21" t="s">
        <v>291</v>
      </c>
      <c r="F254" s="21"/>
      <c r="G254" s="21"/>
      <c r="H254" s="1086"/>
      <c r="I254" s="108"/>
      <c r="J254" s="99" t="s">
        <v>291</v>
      </c>
      <c r="K254" s="108"/>
      <c r="L254" s="100" t="s">
        <v>525</v>
      </c>
      <c r="M254" s="523">
        <v>8</v>
      </c>
      <c r="N254" s="104"/>
      <c r="O254" s="271"/>
      <c r="P254" s="104"/>
      <c r="Q254" s="104"/>
      <c r="R254" s="104"/>
      <c r="S254" s="104"/>
      <c r="T254" s="104"/>
      <c r="U254" s="104"/>
      <c r="V254" s="104"/>
      <c r="W254" s="104"/>
      <c r="X254" s="1296"/>
      <c r="AL254" s="1059" t="str">
        <f t="shared" si="38"/>
        <v>dpa505_3_5</v>
      </c>
      <c r="AM254" s="136">
        <f t="shared" si="39"/>
        <v>8</v>
      </c>
    </row>
    <row r="255" spans="2:45" ht="15.6" thickTop="1" thickBot="1" x14ac:dyDescent="0.35">
      <c r="B255" s="21" t="s">
        <v>526</v>
      </c>
      <c r="C255" s="21"/>
      <c r="D255" s="21"/>
      <c r="E255" s="21"/>
      <c r="F255" s="21"/>
      <c r="G255" s="21"/>
      <c r="H255" s="1086"/>
      <c r="I255" s="121" t="s">
        <v>526</v>
      </c>
      <c r="J255" s="122"/>
      <c r="K255" s="122"/>
      <c r="L255" s="123" t="s">
        <v>527</v>
      </c>
      <c r="M255" s="458">
        <v>8</v>
      </c>
      <c r="N255" s="125"/>
      <c r="O255" s="603">
        <f ca="1">M255*S255*W255</f>
        <v>0</v>
      </c>
      <c r="P255" s="125" t="b">
        <v>1</v>
      </c>
      <c r="Q255" s="125" t="b">
        <v>1</v>
      </c>
      <c r="R255" s="125" t="b">
        <v>0</v>
      </c>
      <c r="S255" s="147" t="b">
        <f ca="1">IF($AY$19=INDEX(INDIRECT("ddSingleOrMulti"),2),TRUE,FALSE)</f>
        <v>0</v>
      </c>
      <c r="T255" s="97" t="b">
        <f ca="1">AND(NOT(S255),W255=TRUE)</f>
        <v>0</v>
      </c>
      <c r="U255" s="125"/>
      <c r="V255" s="125"/>
      <c r="W255" s="128"/>
      <c r="X255" s="139"/>
      <c r="AC255" s="147" t="b">
        <f ca="1">OR(AD255:AE255)</f>
        <v>0</v>
      </c>
      <c r="AD255" s="147" t="b">
        <f ca="1">T255</f>
        <v>0</v>
      </c>
      <c r="AL255" s="1059" t="str">
        <f t="shared" si="38"/>
        <v>dpa505_4</v>
      </c>
      <c r="AM255" s="136">
        <f t="shared" si="39"/>
        <v>8</v>
      </c>
      <c r="AN255" s="1059" t="str">
        <f t="shared" ref="AN255:AN256" si="40">SUBSTITUTE(SUBSTITUTE(SUBSTITUTE("dpc"&amp;$B255&amp;$C255&amp;$D255&amp;$E255&amp;$F255,".","_"),"(","_"),")","")</f>
        <v>dpc505_4</v>
      </c>
      <c r="AO255" s="136">
        <f ca="1">O255</f>
        <v>0</v>
      </c>
      <c r="AP255" s="1059" t="str">
        <f t="shared" ref="AP255:AP256" si="41">SUBSTITUTE(SUBSTITUTE(SUBSTITUTE("dch"&amp;$B255&amp;$C255&amp;$D255&amp;$E255&amp;$F255,".","_"),"(","_"),")","")</f>
        <v>dch505_4</v>
      </c>
      <c r="AQ255" s="136">
        <f>W255</f>
        <v>0</v>
      </c>
      <c r="AR255" s="1059" t="str">
        <f>SUBSTITUTE(SUBSTITUTE(SUBSTITUTE("dnt"&amp;$B255&amp;$C255&amp;$D255&amp;$E255&amp;$F255,".","_"),"(","_"),")","")</f>
        <v>dnt505_4</v>
      </c>
      <c r="AS255" s="136">
        <f>X255</f>
        <v>0</v>
      </c>
    </row>
    <row r="256" spans="2:45" ht="15" thickTop="1" x14ac:dyDescent="0.3">
      <c r="B256" s="21" t="s">
        <v>528</v>
      </c>
      <c r="C256" s="21"/>
      <c r="D256" s="21"/>
      <c r="E256" s="21"/>
      <c r="F256" s="21"/>
      <c r="G256" s="21"/>
      <c r="H256" s="1086"/>
      <c r="I256" s="119" t="s">
        <v>528</v>
      </c>
      <c r="J256" s="112"/>
      <c r="K256" s="112"/>
      <c r="L256" s="1331" t="s">
        <v>529</v>
      </c>
      <c r="M256" s="1343">
        <v>3</v>
      </c>
      <c r="N256" s="110"/>
      <c r="O256" s="1336">
        <f>M256*S256*W256</f>
        <v>0</v>
      </c>
      <c r="P256" s="440" t="b">
        <v>1</v>
      </c>
      <c r="Q256" s="440" t="b">
        <v>1</v>
      </c>
      <c r="R256" s="110" t="b">
        <v>0</v>
      </c>
      <c r="S256" s="110" t="b">
        <v>1</v>
      </c>
      <c r="T256" s="110" t="b">
        <v>0</v>
      </c>
      <c r="U256" s="110"/>
      <c r="V256" s="110"/>
      <c r="W256" s="127"/>
      <c r="X256" s="1327"/>
      <c r="AL256" s="1059" t="str">
        <f t="shared" si="38"/>
        <v>dpa505_5</v>
      </c>
      <c r="AM256" s="136">
        <f t="shared" si="39"/>
        <v>3</v>
      </c>
      <c r="AN256" s="1059" t="str">
        <f t="shared" si="40"/>
        <v>dpc505_5</v>
      </c>
      <c r="AO256" s="136">
        <f>O256</f>
        <v>0</v>
      </c>
      <c r="AP256" s="1059" t="str">
        <f t="shared" si="41"/>
        <v>dch505_5</v>
      </c>
      <c r="AQ256" s="136">
        <f>W256</f>
        <v>0</v>
      </c>
      <c r="AR256" s="1059" t="str">
        <f>SUBSTITUTE(SUBSTITUTE(SUBSTITUTE("dnt"&amp;$B256&amp;$C256&amp;$D256&amp;$E256&amp;$F256,".","_"),"(","_"),")","")</f>
        <v>dnt505_5</v>
      </c>
      <c r="AS256" s="136">
        <f>X256</f>
        <v>0</v>
      </c>
    </row>
    <row r="257" spans="2:45" ht="15" thickBot="1" x14ac:dyDescent="0.35">
      <c r="B257" s="21" t="s">
        <v>528</v>
      </c>
      <c r="C257" s="21"/>
      <c r="D257" s="21"/>
      <c r="E257" s="21"/>
      <c r="F257" s="21"/>
      <c r="G257" s="21"/>
      <c r="H257" s="1086"/>
      <c r="I257" s="108"/>
      <c r="J257" s="108"/>
      <c r="K257" s="108"/>
      <c r="L257" s="1332"/>
      <c r="M257" s="1334"/>
      <c r="N257" s="104"/>
      <c r="O257" s="1315"/>
      <c r="P257" s="104"/>
      <c r="Q257" s="104"/>
      <c r="R257" s="104"/>
      <c r="S257" s="104"/>
      <c r="T257" s="104"/>
      <c r="U257" s="104"/>
      <c r="V257" s="104"/>
      <c r="W257" s="104"/>
      <c r="X257" s="1296"/>
    </row>
    <row r="258" spans="2:45" ht="15" thickTop="1" x14ac:dyDescent="0.3">
      <c r="B258" s="21" t="s">
        <v>530</v>
      </c>
      <c r="C258" s="21"/>
      <c r="D258" s="21"/>
      <c r="E258" s="21"/>
      <c r="F258" s="21"/>
      <c r="G258" s="21"/>
      <c r="H258" s="1086"/>
      <c r="I258" s="119" t="s">
        <v>530</v>
      </c>
      <c r="J258" s="112"/>
      <c r="K258" s="112"/>
      <c r="L258" s="1331" t="s">
        <v>531</v>
      </c>
      <c r="M258" s="1343">
        <v>4</v>
      </c>
      <c r="N258" s="110"/>
      <c r="O258" s="596">
        <f ca="1">M258*S258*W258</f>
        <v>0</v>
      </c>
      <c r="P258" s="440" t="b">
        <v>0</v>
      </c>
      <c r="Q258" s="440" t="b">
        <v>1</v>
      </c>
      <c r="R258" s="110" t="b">
        <v>0</v>
      </c>
      <c r="S258" s="79" t="b">
        <f ca="1">IF($AY$19=INDEX(INDIRECT("ddSingleOrMulti"),2),TRUE,FALSE)</f>
        <v>0</v>
      </c>
      <c r="T258" s="97" t="b">
        <f ca="1">AND(NOT(S258),W258=TRUE)</f>
        <v>0</v>
      </c>
      <c r="U258" s="110"/>
      <c r="V258" s="110"/>
      <c r="W258" s="25"/>
      <c r="X258" s="1327"/>
      <c r="AC258" s="79" t="b">
        <f ca="1">OR(AD258:AE258)</f>
        <v>0</v>
      </c>
      <c r="AD258" s="79" t="b">
        <f ca="1">T258</f>
        <v>0</v>
      </c>
      <c r="AL258" s="1059" t="str">
        <f>SUBSTITUTE(SUBSTITUTE(SUBSTITUTE("dpa"&amp;$B258&amp;$C258&amp;$D258&amp;$E258&amp;$F258,".","_"),"(","_"),")","")</f>
        <v>dpa505_6</v>
      </c>
      <c r="AM258" s="136">
        <f>M258</f>
        <v>4</v>
      </c>
      <c r="AN258" s="1059" t="str">
        <f>SUBSTITUTE(SUBSTITUTE(SUBSTITUTE("dpc"&amp;$B258&amp;$C258&amp;$D258&amp;$E258&amp;$F258,".","_"),"(","_"),")","")</f>
        <v>dpc505_6</v>
      </c>
      <c r="AO258" s="136">
        <f ca="1">O258</f>
        <v>0</v>
      </c>
      <c r="AP258" s="1059" t="str">
        <f>SUBSTITUTE(SUBSTITUTE(SUBSTITUTE("dch"&amp;$B258&amp;$C258&amp;$D258&amp;$E258&amp;$F258,".","_"),"(","_"),")","")</f>
        <v>dch505_6</v>
      </c>
      <c r="AQ258" s="136">
        <f>W258</f>
        <v>0</v>
      </c>
      <c r="AR258" s="1059" t="str">
        <f>SUBSTITUTE(SUBSTITUTE(SUBSTITUTE("dnt"&amp;$B258&amp;$C258&amp;$D258&amp;$E258&amp;$F258,".","_"),"(","_"),")","")</f>
        <v>dnt505_6</v>
      </c>
      <c r="AS258" s="136">
        <f>X258</f>
        <v>0</v>
      </c>
    </row>
    <row r="259" spans="2:45" x14ac:dyDescent="0.3">
      <c r="B259" s="21" t="s">
        <v>530</v>
      </c>
      <c r="C259" s="21"/>
      <c r="D259" s="21"/>
      <c r="E259" s="21"/>
      <c r="F259" s="21"/>
      <c r="G259" s="21"/>
      <c r="H259" s="1086"/>
      <c r="I259" s="107"/>
      <c r="J259" s="107"/>
      <c r="K259" s="107"/>
      <c r="L259" s="1313"/>
      <c r="M259" s="1318"/>
      <c r="N259" s="97"/>
      <c r="O259" s="132"/>
      <c r="P259" s="97"/>
      <c r="Q259" s="97"/>
      <c r="R259" s="97"/>
      <c r="S259" s="97"/>
      <c r="T259" s="97"/>
      <c r="U259" s="97"/>
      <c r="V259" s="97"/>
      <c r="W259" s="97"/>
      <c r="X259" s="1295"/>
    </row>
    <row r="260" spans="2:45" x14ac:dyDescent="0.3">
      <c r="B260" s="21" t="s">
        <v>530</v>
      </c>
      <c r="C260" s="21"/>
      <c r="D260" s="21"/>
      <c r="E260" s="21"/>
      <c r="F260" s="21"/>
      <c r="G260" s="21"/>
      <c r="H260" s="1086"/>
      <c r="I260" s="107"/>
      <c r="J260" s="107"/>
      <c r="K260" s="107"/>
      <c r="L260" s="1313"/>
      <c r="M260" s="1318"/>
      <c r="N260" s="97"/>
      <c r="O260" s="132"/>
      <c r="P260" s="97"/>
      <c r="Q260" s="97"/>
      <c r="R260" s="97"/>
      <c r="S260" s="97"/>
      <c r="T260" s="97"/>
      <c r="U260" s="97"/>
      <c r="V260" s="97"/>
      <c r="W260" s="97"/>
      <c r="X260" s="1295"/>
    </row>
    <row r="261" spans="2:45" x14ac:dyDescent="0.3">
      <c r="B261" s="21" t="s">
        <v>530</v>
      </c>
      <c r="C261" s="21"/>
      <c r="D261" s="21"/>
      <c r="E261" s="21"/>
      <c r="F261" s="21"/>
      <c r="G261" s="21"/>
      <c r="H261" s="1086"/>
      <c r="I261" s="107"/>
      <c r="J261" s="107"/>
      <c r="K261" s="107"/>
      <c r="L261" s="1313"/>
      <c r="M261" s="1318"/>
      <c r="N261" s="97"/>
      <c r="O261" s="132"/>
      <c r="P261" s="97"/>
      <c r="Q261" s="97"/>
      <c r="R261" s="97"/>
      <c r="S261" s="97"/>
      <c r="T261" s="97"/>
      <c r="U261" s="97"/>
      <c r="V261" s="97"/>
      <c r="W261" s="97"/>
      <c r="X261" s="1295"/>
    </row>
    <row r="262" spans="2:45" x14ac:dyDescent="0.3">
      <c r="B262" s="21" t="s">
        <v>530</v>
      </c>
      <c r="C262" s="21"/>
      <c r="D262" s="21"/>
      <c r="E262" s="21"/>
      <c r="F262" s="21"/>
      <c r="G262" s="21"/>
      <c r="H262" s="1086"/>
      <c r="I262" s="107"/>
      <c r="J262" s="107"/>
      <c r="K262" s="107"/>
      <c r="L262" s="1313"/>
      <c r="M262" s="1318"/>
      <c r="N262" s="97"/>
      <c r="O262" s="132"/>
      <c r="P262" s="97"/>
      <c r="Q262" s="97"/>
      <c r="R262" s="97"/>
      <c r="S262" s="97"/>
      <c r="T262" s="97"/>
      <c r="U262" s="97"/>
      <c r="V262" s="97"/>
      <c r="W262" s="97"/>
      <c r="X262" s="1295"/>
    </row>
    <row r="263" spans="2:45" ht="15" thickBot="1" x14ac:dyDescent="0.35">
      <c r="B263" s="21" t="s">
        <v>530</v>
      </c>
      <c r="C263" s="21"/>
      <c r="D263" s="21"/>
      <c r="E263" s="21"/>
      <c r="F263" s="21"/>
      <c r="G263" s="21"/>
      <c r="H263" s="1086"/>
      <c r="I263" s="108"/>
      <c r="J263" s="108"/>
      <c r="K263" s="108"/>
      <c r="L263" s="1332"/>
      <c r="M263" s="1334"/>
      <c r="N263" s="104"/>
      <c r="O263" s="133"/>
      <c r="P263" s="104"/>
      <c r="Q263" s="104"/>
      <c r="R263" s="104"/>
      <c r="S263" s="104"/>
      <c r="T263" s="104"/>
      <c r="U263" s="104"/>
      <c r="V263" s="104"/>
      <c r="W263" s="104"/>
      <c r="X263" s="1296"/>
    </row>
    <row r="264" spans="2:45" ht="15.6" thickTop="1" thickBot="1" x14ac:dyDescent="0.35">
      <c r="I264" s="225" t="s">
        <v>843</v>
      </c>
      <c r="J264" s="226"/>
      <c r="K264" s="226"/>
      <c r="L264" s="226"/>
      <c r="M264" s="227"/>
      <c r="N264" s="226"/>
      <c r="O264" s="228"/>
      <c r="P264" s="226"/>
      <c r="Q264" s="226"/>
      <c r="R264" s="226"/>
      <c r="S264" s="226"/>
      <c r="T264" s="226"/>
      <c r="U264" s="226"/>
      <c r="V264" s="226"/>
      <c r="W264" s="226"/>
      <c r="X264" s="326" t="s">
        <v>842</v>
      </c>
    </row>
    <row r="265" spans="2:45" ht="15" thickTop="1" x14ac:dyDescent="0.3"/>
  </sheetData>
  <sheetProtection algorithmName="SHA-512" hashValue="jadYjaX+4tr7yC3XxclKZxr5LjJNwvC2TGdjgjK6SxhjFt3W6tCOGTlxGaY3lgSqFmtsGhW77XVz1yR2HskZ0Q==" saltValue="JcHxGxre2YfjbkwbZmSyrg==" spinCount="100000" sheet="1" objects="1" scenarios="1" selectLockedCells="1"/>
  <mergeCells count="236">
    <mergeCell ref="X258:X263"/>
    <mergeCell ref="M198:M199"/>
    <mergeCell ref="M178:M182"/>
    <mergeCell ref="M173:M174"/>
    <mergeCell ref="O256:O257"/>
    <mergeCell ref="O236:O237"/>
    <mergeCell ref="O246:O248"/>
    <mergeCell ref="O208:O215"/>
    <mergeCell ref="O178:O182"/>
    <mergeCell ref="O186:O187"/>
    <mergeCell ref="O188:O189"/>
    <mergeCell ref="O193:O194"/>
    <mergeCell ref="O196:O197"/>
    <mergeCell ref="O198:O199"/>
    <mergeCell ref="O200:O203"/>
    <mergeCell ref="O204:O206"/>
    <mergeCell ref="X249:X254"/>
    <mergeCell ref="X256:X257"/>
    <mergeCell ref="M256:M257"/>
    <mergeCell ref="M258:M263"/>
    <mergeCell ref="M200:M203"/>
    <mergeCell ref="X236:X245"/>
    <mergeCell ref="X226:X229"/>
    <mergeCell ref="X230:X234"/>
    <mergeCell ref="X246:X248"/>
    <mergeCell ref="O230:O231"/>
    <mergeCell ref="M246:M248"/>
    <mergeCell ref="I6:K7"/>
    <mergeCell ref="L6:L7"/>
    <mergeCell ref="M6:M7"/>
    <mergeCell ref="L10:L12"/>
    <mergeCell ref="L14:L15"/>
    <mergeCell ref="M14:M15"/>
    <mergeCell ref="L188:L189"/>
    <mergeCell ref="L190:L192"/>
    <mergeCell ref="L193:L194"/>
    <mergeCell ref="L168:L169"/>
    <mergeCell ref="L170:L172"/>
    <mergeCell ref="L173:L174"/>
    <mergeCell ref="L176:L177"/>
    <mergeCell ref="M63:M64"/>
    <mergeCell ref="M65:M66"/>
    <mergeCell ref="L178:L181"/>
    <mergeCell ref="L146:L147"/>
    <mergeCell ref="M236:M237"/>
    <mergeCell ref="M141:M145"/>
    <mergeCell ref="L39:L40"/>
    <mergeCell ref="O223:O224"/>
    <mergeCell ref="X208:X215"/>
    <mergeCell ref="X204:X206"/>
    <mergeCell ref="X198:X199"/>
    <mergeCell ref="X196:X197"/>
    <mergeCell ref="X193:X194"/>
    <mergeCell ref="X200:X203"/>
    <mergeCell ref="X223:X224"/>
    <mergeCell ref="X148:X150"/>
    <mergeCell ref="X157:X163"/>
    <mergeCell ref="X151:X152"/>
    <mergeCell ref="X153:X154"/>
    <mergeCell ref="X155:X156"/>
    <mergeCell ref="X141:X145"/>
    <mergeCell ref="M148:M150"/>
    <mergeCell ref="X146:X147"/>
    <mergeCell ref="M161:M162"/>
    <mergeCell ref="M146:M147"/>
    <mergeCell ref="M151:M152"/>
    <mergeCell ref="M153:M154"/>
    <mergeCell ref="M155:M156"/>
    <mergeCell ref="L186:L187"/>
    <mergeCell ref="L183:L184"/>
    <mergeCell ref="O151:O152"/>
    <mergeCell ref="O153:O154"/>
    <mergeCell ref="O155:O156"/>
    <mergeCell ref="O166:O167"/>
    <mergeCell ref="O168:O169"/>
    <mergeCell ref="O170:O172"/>
    <mergeCell ref="O157:O158"/>
    <mergeCell ref="L151:L152"/>
    <mergeCell ref="L153:L154"/>
    <mergeCell ref="L155:L156"/>
    <mergeCell ref="L157:L158"/>
    <mergeCell ref="L161:L162"/>
    <mergeCell ref="L164:L165"/>
    <mergeCell ref="L166:L167"/>
    <mergeCell ref="X45:X48"/>
    <mergeCell ref="X50:X54"/>
    <mergeCell ref="X55:X66"/>
    <mergeCell ref="M223:M224"/>
    <mergeCell ref="M186:M187"/>
    <mergeCell ref="M166:M167"/>
    <mergeCell ref="M168:M169"/>
    <mergeCell ref="X183:X189"/>
    <mergeCell ref="X178:X182"/>
    <mergeCell ref="X133:X134"/>
    <mergeCell ref="X135:X139"/>
    <mergeCell ref="M45:M48"/>
    <mergeCell ref="M57:M58"/>
    <mergeCell ref="M59:M60"/>
    <mergeCell ref="M196:M197"/>
    <mergeCell ref="M170:M172"/>
    <mergeCell ref="X170:X174"/>
    <mergeCell ref="O148:O150"/>
    <mergeCell ref="X164:X169"/>
    <mergeCell ref="M188:M189"/>
    <mergeCell ref="M193:M194"/>
    <mergeCell ref="X190:X192"/>
    <mergeCell ref="M204:M206"/>
    <mergeCell ref="M208:M215"/>
    <mergeCell ref="X39:X43"/>
    <mergeCell ref="M27:M35"/>
    <mergeCell ref="O39:O40"/>
    <mergeCell ref="X36:X38"/>
    <mergeCell ref="M25:M26"/>
    <mergeCell ref="M36:M38"/>
    <mergeCell ref="L25:L26"/>
    <mergeCell ref="M23:M24"/>
    <mergeCell ref="L23:L24"/>
    <mergeCell ref="X23:X24"/>
    <mergeCell ref="X27:X35"/>
    <mergeCell ref="X25:X26"/>
    <mergeCell ref="L36:L38"/>
    <mergeCell ref="L27:L30"/>
    <mergeCell ref="O36:O38"/>
    <mergeCell ref="M39:M40"/>
    <mergeCell ref="L258:L263"/>
    <mergeCell ref="L218:L220"/>
    <mergeCell ref="L221:L222"/>
    <mergeCell ref="L223:L224"/>
    <mergeCell ref="L230:L231"/>
    <mergeCell ref="L236:L237"/>
    <mergeCell ref="L196:L197"/>
    <mergeCell ref="L198:L199"/>
    <mergeCell ref="L200:L203"/>
    <mergeCell ref="L204:L206"/>
    <mergeCell ref="L241:L244"/>
    <mergeCell ref="L246:L248"/>
    <mergeCell ref="L256:L257"/>
    <mergeCell ref="L238:L240"/>
    <mergeCell ref="X131:X132"/>
    <mergeCell ref="X67:X79"/>
    <mergeCell ref="X80:X92"/>
    <mergeCell ref="L141:L145"/>
    <mergeCell ref="L148:L150"/>
    <mergeCell ref="L121:L122"/>
    <mergeCell ref="L123:L124"/>
    <mergeCell ref="L65:L66"/>
    <mergeCell ref="L93:L96"/>
    <mergeCell ref="L97:L99"/>
    <mergeCell ref="L107:L110"/>
    <mergeCell ref="L114:L115"/>
    <mergeCell ref="L70:L71"/>
    <mergeCell ref="L119:L120"/>
    <mergeCell ref="L133:L134"/>
    <mergeCell ref="L72:L73"/>
    <mergeCell ref="L77:L78"/>
    <mergeCell ref="L100:L102"/>
    <mergeCell ref="L103:L106"/>
    <mergeCell ref="L80:L81"/>
    <mergeCell ref="L83:L84"/>
    <mergeCell ref="L85:L86"/>
    <mergeCell ref="L88:L89"/>
    <mergeCell ref="L129:L130"/>
    <mergeCell ref="O146:O147"/>
    <mergeCell ref="M100:M102"/>
    <mergeCell ref="M85:M91"/>
    <mergeCell ref="O85:O91"/>
    <mergeCell ref="O83:O84"/>
    <mergeCell ref="O72:O73"/>
    <mergeCell ref="M77:M78"/>
    <mergeCell ref="M70:M71"/>
    <mergeCell ref="M83:M84"/>
    <mergeCell ref="O141:O145"/>
    <mergeCell ref="M129:M130"/>
    <mergeCell ref="M131:M132"/>
    <mergeCell ref="M133:M134"/>
    <mergeCell ref="O131:O132"/>
    <mergeCell ref="O65:O66"/>
    <mergeCell ref="H1:H7"/>
    <mergeCell ref="O45:O48"/>
    <mergeCell ref="M1:W5"/>
    <mergeCell ref="O133:O134"/>
    <mergeCell ref="O114:O115"/>
    <mergeCell ref="O123:O124"/>
    <mergeCell ref="O129:O130"/>
    <mergeCell ref="O70:O71"/>
    <mergeCell ref="O77:O78"/>
    <mergeCell ref="M103:M106"/>
    <mergeCell ref="L131:L132"/>
    <mergeCell ref="O19:O20"/>
    <mergeCell ref="O21:O22"/>
    <mergeCell ref="N6:N7"/>
    <mergeCell ref="P6:P7"/>
    <mergeCell ref="V6:V7"/>
    <mergeCell ref="W6:W7"/>
    <mergeCell ref="Q6:Q7"/>
    <mergeCell ref="R6:R7"/>
    <mergeCell ref="S6:S7"/>
    <mergeCell ref="T6:T7"/>
    <mergeCell ref="U6:U7"/>
    <mergeCell ref="O27:O35"/>
    <mergeCell ref="X100:X102"/>
    <mergeCell ref="X103:X106"/>
    <mergeCell ref="X107:X113"/>
    <mergeCell ref="X114:X118"/>
    <mergeCell ref="X119:X122"/>
    <mergeCell ref="X123:X128"/>
    <mergeCell ref="X129:X130"/>
    <mergeCell ref="L63:L64"/>
    <mergeCell ref="O14:O15"/>
    <mergeCell ref="O57:O58"/>
    <mergeCell ref="O59:O60"/>
    <mergeCell ref="O100:O102"/>
    <mergeCell ref="O103:O106"/>
    <mergeCell ref="O107:O110"/>
    <mergeCell ref="O63:O64"/>
    <mergeCell ref="X93:X99"/>
    <mergeCell ref="X19:X20"/>
    <mergeCell ref="X21:X22"/>
    <mergeCell ref="L45:L48"/>
    <mergeCell ref="L50:L53"/>
    <mergeCell ref="L57:L58"/>
    <mergeCell ref="L59:L60"/>
    <mergeCell ref="O23:O24"/>
    <mergeCell ref="O25:O26"/>
    <mergeCell ref="X4:X5"/>
    <mergeCell ref="I1:L1"/>
    <mergeCell ref="I2:L2"/>
    <mergeCell ref="I3:L3"/>
    <mergeCell ref="X6:X7"/>
    <mergeCell ref="M19:M20"/>
    <mergeCell ref="M21:M22"/>
    <mergeCell ref="L19:L20"/>
    <mergeCell ref="L21:L22"/>
    <mergeCell ref="X14:X18"/>
    <mergeCell ref="I4:L4"/>
    <mergeCell ref="I5:L5"/>
  </mergeCells>
  <conditionalFormatting sqref="X2">
    <cfRule type="expression" dxfId="4366" priority="821">
      <formula>$AG$3</formula>
    </cfRule>
  </conditionalFormatting>
  <conditionalFormatting sqref="I1">
    <cfRule type="expression" dxfId="4365" priority="823">
      <formula>$AG$1="Gold"</formula>
    </cfRule>
    <cfRule type="expression" dxfId="4364" priority="824">
      <formula>$AG$1="Silver"</formula>
    </cfRule>
    <cfRule type="expression" dxfId="4363" priority="825">
      <formula>$AG$1="Bronze"</formula>
    </cfRule>
    <cfRule type="expression" dxfId="4362" priority="826">
      <formula>$AG$1="Emerald"</formula>
    </cfRule>
  </conditionalFormatting>
  <conditionalFormatting sqref="X3">
    <cfRule type="expression" dxfId="4361" priority="827">
      <formula>$AI$3</formula>
    </cfRule>
  </conditionalFormatting>
  <conditionalFormatting sqref="W39">
    <cfRule type="expression" dxfId="4360" priority="679">
      <formula>OR($T$39 = TRUE, AND(LEN(TRIM($W$39))&gt;0, $S$39 = FALSE))</formula>
    </cfRule>
    <cfRule type="expression" dxfId="4359" priority="680">
      <formula>$S$39 = FALSE</formula>
    </cfRule>
    <cfRule type="expression" dxfId="4358" priority="681">
      <formula>AND(IF($R$39,$W$39,TRUE),LEN(TRIM($W$39))&gt;0)</formula>
    </cfRule>
    <cfRule type="expression" dxfId="4357" priority="682">
      <formula>AND($R$39,$S$39)</formula>
    </cfRule>
  </conditionalFormatting>
  <conditionalFormatting sqref="W68">
    <cfRule type="notContainsBlanks" dxfId="4356" priority="828">
      <formula>LEN(TRIM(W68))&gt;0</formula>
    </cfRule>
  </conditionalFormatting>
  <conditionalFormatting sqref="W249">
    <cfRule type="expression" dxfId="4355" priority="418">
      <formula>AND($R$249,$S$249)</formula>
    </cfRule>
  </conditionalFormatting>
  <conditionalFormatting sqref="W249">
    <cfRule type="expression" dxfId="4354" priority="417">
      <formula>AND(IF($R$249,$W$249,TRUE),LEN(TRIM($W$249))&gt;0)</formula>
    </cfRule>
  </conditionalFormatting>
  <conditionalFormatting sqref="W249">
    <cfRule type="expression" dxfId="4353" priority="416">
      <formula>$S$249 = FALSE</formula>
    </cfRule>
  </conditionalFormatting>
  <conditionalFormatting sqref="W249">
    <cfRule type="expression" dxfId="4352" priority="415">
      <formula>OR($T$249 = TRUE, AND(LEN(TRIM($W$249))&gt;0, $S$249 = FALSE))</formula>
    </cfRule>
  </conditionalFormatting>
  <conditionalFormatting sqref="W230">
    <cfRule type="expression" dxfId="4351" priority="414">
      <formula>AND($R$230,$S$230)</formula>
    </cfRule>
  </conditionalFormatting>
  <conditionalFormatting sqref="W230">
    <cfRule type="expression" dxfId="4350" priority="413">
      <formula>AND(IF($R$230,$W$230,TRUE),LEN(TRIM($W$230))&gt;0)</formula>
    </cfRule>
  </conditionalFormatting>
  <conditionalFormatting sqref="W230">
    <cfRule type="expression" dxfId="4349" priority="412">
      <formula>$S$230 = FALSE</formula>
    </cfRule>
  </conditionalFormatting>
  <conditionalFormatting sqref="W230">
    <cfRule type="expression" dxfId="4348" priority="411">
      <formula>OR($T$230 = TRUE, AND(LEN(TRIM($W$230))&gt;0, $S$230 = FALSE))</formula>
    </cfRule>
  </conditionalFormatting>
  <conditionalFormatting sqref="W226">
    <cfRule type="expression" dxfId="4347" priority="410">
      <formula>AND($R$226,$S$226)</formula>
    </cfRule>
  </conditionalFormatting>
  <conditionalFormatting sqref="W226">
    <cfRule type="expression" dxfId="4346" priority="409">
      <formula>AND(IF($R$226,$W$226,TRUE),LEN(TRIM($W$226))&gt;0)</formula>
    </cfRule>
  </conditionalFormatting>
  <conditionalFormatting sqref="W226">
    <cfRule type="expression" dxfId="4345" priority="408">
      <formula>$S$226 = FALSE</formula>
    </cfRule>
  </conditionalFormatting>
  <conditionalFormatting sqref="W226">
    <cfRule type="expression" dxfId="4344" priority="407">
      <formula>OR($T$226 = TRUE, AND(LEN(TRIM($W$226))&gt;0, $S$226 = FALSE))</formula>
    </cfRule>
  </conditionalFormatting>
  <conditionalFormatting sqref="W171">
    <cfRule type="expression" dxfId="4343" priority="402">
      <formula>AND($R$171,$S$171)</formula>
    </cfRule>
  </conditionalFormatting>
  <conditionalFormatting sqref="W171">
    <cfRule type="expression" dxfId="4342" priority="401">
      <formula>AND(IF($R$171,$W$171,TRUE),LEN(TRIM($W$171))&gt;0)</formula>
    </cfRule>
  </conditionalFormatting>
  <conditionalFormatting sqref="W171">
    <cfRule type="expression" dxfId="4341" priority="400">
      <formula>$S$171 = FALSE</formula>
    </cfRule>
  </conditionalFormatting>
  <conditionalFormatting sqref="W171">
    <cfRule type="expression" dxfId="4340" priority="399">
      <formula>OR($T$171 = TRUE, AND(LEN(TRIM($W$171))&gt;0, $S$171 = FALSE))</formula>
    </cfRule>
  </conditionalFormatting>
  <conditionalFormatting sqref="W135">
    <cfRule type="expression" dxfId="4339" priority="398">
      <formula>AND($R$135,$S$135)</formula>
    </cfRule>
  </conditionalFormatting>
  <conditionalFormatting sqref="W135">
    <cfRule type="expression" dxfId="4338" priority="397">
      <formula>AND(IF($R$135,$W$135,TRUE),LEN(TRIM($W$135))&gt;0)</formula>
    </cfRule>
  </conditionalFormatting>
  <conditionalFormatting sqref="W135">
    <cfRule type="expression" dxfId="4337" priority="396">
      <formula>$S$135 = FALSE</formula>
    </cfRule>
  </conditionalFormatting>
  <conditionalFormatting sqref="W135">
    <cfRule type="expression" dxfId="4336" priority="395">
      <formula>OR($T$135 = TRUE, AND(LEN(TRIM($W$135))&gt;0, $S$135 = FALSE))</formula>
    </cfRule>
  </conditionalFormatting>
  <conditionalFormatting sqref="W123">
    <cfRule type="expression" dxfId="4335" priority="394">
      <formula>AND($R$123,$S$123)</formula>
    </cfRule>
  </conditionalFormatting>
  <conditionalFormatting sqref="W123">
    <cfRule type="expression" dxfId="4334" priority="393">
      <formula>AND(IF($R$123,$W$123,TRUE),LEN(TRIM($W$123))&gt;0)</formula>
    </cfRule>
  </conditionalFormatting>
  <conditionalFormatting sqref="W123">
    <cfRule type="expression" dxfId="4333" priority="392">
      <formula>$S$123 = FALSE</formula>
    </cfRule>
  </conditionalFormatting>
  <conditionalFormatting sqref="W123">
    <cfRule type="expression" dxfId="4332" priority="391">
      <formula>OR($T$123 = TRUE, AND(LEN(TRIM($W$123))&gt;0, $S$123 = FALSE))</formula>
    </cfRule>
  </conditionalFormatting>
  <conditionalFormatting sqref="W121">
    <cfRule type="expression" dxfId="4331" priority="387">
      <formula>OR($T$121 = TRUE, AND(LEN(TRIM($W$121))&gt;0, $S$121 = FALSE))</formula>
    </cfRule>
    <cfRule type="expression" dxfId="4330" priority="388">
      <formula>$S$121 = FALSE</formula>
    </cfRule>
    <cfRule type="expression" dxfId="4329" priority="389">
      <formula>AND(IF($R$121,$W$121,TRUE),LEN(TRIM($W$121))&gt;0)</formula>
    </cfRule>
    <cfRule type="expression" dxfId="4328" priority="390">
      <formula>AND($R$121,$S$121)</formula>
    </cfRule>
  </conditionalFormatting>
  <conditionalFormatting sqref="X27:X35">
    <cfRule type="expression" dxfId="4327" priority="378">
      <formula>$W$27=TRUE</formula>
    </cfRule>
  </conditionalFormatting>
  <conditionalFormatting sqref="X208:X215">
    <cfRule type="expression" dxfId="4326" priority="377">
      <formula>$W$214=TRUE</formula>
    </cfRule>
  </conditionalFormatting>
  <conditionalFormatting sqref="W15">
    <cfRule type="expression" dxfId="4325" priority="309">
      <formula>OR($T$15 = TRUE, AND($W$15 = TRUE, $S$15 = FALSE))</formula>
    </cfRule>
    <cfRule type="expression" dxfId="4324" priority="310">
      <formula>$S$15 = FALSE</formula>
    </cfRule>
    <cfRule type="expression" dxfId="4323" priority="311">
      <formula>AND(IF($R$15,$W$15,TRUE),LEN(TRIM($W$15))&gt;0)</formula>
    </cfRule>
    <cfRule type="expression" dxfId="4322" priority="312">
      <formula>AND($R$15,$S$15)</formula>
    </cfRule>
  </conditionalFormatting>
  <conditionalFormatting sqref="W16">
    <cfRule type="expression" dxfId="4321" priority="305">
      <formula>OR($T$16 = TRUE, AND($W$16 = TRUE, $S$16 = FALSE))</formula>
    </cfRule>
    <cfRule type="expression" dxfId="4320" priority="306">
      <formula>$S$16 = FALSE</formula>
    </cfRule>
    <cfRule type="expression" dxfId="4319" priority="307">
      <formula>AND(IF($R$16,$W$16,TRUE),LEN(TRIM($W$16))&gt;0)</formula>
    </cfRule>
    <cfRule type="expression" dxfId="4318" priority="308">
      <formula>AND($R$16,$S$16)</formula>
    </cfRule>
  </conditionalFormatting>
  <conditionalFormatting sqref="W17">
    <cfRule type="expression" dxfId="4317" priority="301">
      <formula>OR($T$17 = TRUE, AND($W$17 = TRUE, $S$17 = FALSE))</formula>
    </cfRule>
    <cfRule type="expression" dxfId="4316" priority="302">
      <formula>$S$17 = FALSE</formula>
    </cfRule>
    <cfRule type="expression" dxfId="4315" priority="303">
      <formula>AND(IF($R$17,$W$17,TRUE),LEN(TRIM($W$17))&gt;0)</formula>
    </cfRule>
    <cfRule type="expression" dxfId="4314" priority="304">
      <formula>AND($R$17,$S$17)</formula>
    </cfRule>
  </conditionalFormatting>
  <conditionalFormatting sqref="W18">
    <cfRule type="expression" dxfId="4313" priority="297">
      <formula>OR($T$18 = TRUE, AND($W$18 = TRUE, $S$18 = FALSE))</formula>
    </cfRule>
    <cfRule type="expression" dxfId="4312" priority="298">
      <formula>$S$18 = FALSE</formula>
    </cfRule>
    <cfRule type="expression" dxfId="4311" priority="299">
      <formula>AND(IF($R$18,$W$18,TRUE),LEN(TRIM($W$18))&gt;0)</formula>
    </cfRule>
    <cfRule type="expression" dxfId="4310" priority="300">
      <formula>AND($R$18,$S$18)</formula>
    </cfRule>
  </conditionalFormatting>
  <conditionalFormatting sqref="W21">
    <cfRule type="expression" dxfId="4309" priority="293">
      <formula>OR($T$21 = TRUE, AND($W$21 = TRUE, $S$21 = FALSE))</formula>
    </cfRule>
    <cfRule type="expression" dxfId="4308" priority="294">
      <formula>$S$21 = FALSE</formula>
    </cfRule>
    <cfRule type="expression" dxfId="4307" priority="295">
      <formula>AND(IF($R$21,$W$21,TRUE),LEN(TRIM($W$21))&gt;0)</formula>
    </cfRule>
    <cfRule type="expression" dxfId="4306" priority="296">
      <formula>AND($R$21,$S$21)</formula>
    </cfRule>
  </conditionalFormatting>
  <conditionalFormatting sqref="W23">
    <cfRule type="expression" dxfId="4305" priority="289">
      <formula>OR($T$23 = TRUE, AND($W$23 = TRUE, $S$23 = FALSE))</formula>
    </cfRule>
    <cfRule type="expression" dxfId="4304" priority="290">
      <formula>$S$23 = FALSE</formula>
    </cfRule>
    <cfRule type="expression" dxfId="4303" priority="291">
      <formula>AND(IF($R$23,$W$23,TRUE),LEN(TRIM($W$23))&gt;0)</formula>
    </cfRule>
    <cfRule type="expression" dxfId="4302" priority="292">
      <formula>AND($R$23,$S$23)</formula>
    </cfRule>
  </conditionalFormatting>
  <conditionalFormatting sqref="W25">
    <cfRule type="expression" dxfId="4301" priority="285">
      <formula>OR($T$25 = TRUE, AND($W$25 = TRUE, $S$25 = FALSE))</formula>
    </cfRule>
    <cfRule type="expression" dxfId="4300" priority="286">
      <formula>$S$25 = FALSE</formula>
    </cfRule>
    <cfRule type="expression" dxfId="4299" priority="287">
      <formula>AND(IF($R$25,$W$25,TRUE),LEN(TRIM($W$25))&gt;0)</formula>
    </cfRule>
    <cfRule type="expression" dxfId="4298" priority="288">
      <formula>AND($R$25,$S$25)</formula>
    </cfRule>
  </conditionalFormatting>
  <conditionalFormatting sqref="W27">
    <cfRule type="expression" dxfId="4297" priority="281">
      <formula>OR($T$27 = TRUE, AND($W$27 = TRUE, $S$27 = FALSE))</formula>
    </cfRule>
    <cfRule type="expression" dxfId="4296" priority="282">
      <formula>$S$27 = FALSE</formula>
    </cfRule>
    <cfRule type="expression" dxfId="4295" priority="283">
      <formula>AND(IF($R$27,$W$27,TRUE),LEN(TRIM($W$27))&gt;0)</formula>
    </cfRule>
    <cfRule type="expression" dxfId="4294" priority="284">
      <formula>AND($R$27,$S$27)</formula>
    </cfRule>
  </conditionalFormatting>
  <conditionalFormatting sqref="W36">
    <cfRule type="expression" dxfId="4293" priority="277">
      <formula>OR($T$36 = TRUE, AND($W$36 = TRUE, $S$36 = FALSE))</formula>
    </cfRule>
    <cfRule type="expression" dxfId="4292" priority="278">
      <formula>$S$36 = FALSE</formula>
    </cfRule>
    <cfRule type="expression" dxfId="4291" priority="279">
      <formula>AND(IF($R$36,$W$36,TRUE),LEN(TRIM($W$36))&gt;0)</formula>
    </cfRule>
    <cfRule type="expression" dxfId="4290" priority="280">
      <formula>AND($R$36,$S$36)</formula>
    </cfRule>
  </conditionalFormatting>
  <conditionalFormatting sqref="W45">
    <cfRule type="expression" dxfId="4289" priority="273">
      <formula>OR($T$45 = TRUE, AND($W$45 = TRUE, $S$45 = FALSE))</formula>
    </cfRule>
    <cfRule type="expression" dxfId="4288" priority="274">
      <formula>$S$45 = FALSE</formula>
    </cfRule>
    <cfRule type="expression" dxfId="4287" priority="275">
      <formula>AND(IF($R$45,$W$45,TRUE),LEN(TRIM($W$45))&gt;0)</formula>
    </cfRule>
    <cfRule type="expression" dxfId="4286" priority="276">
      <formula>AND($R$45,$S$45)</formula>
    </cfRule>
  </conditionalFormatting>
  <conditionalFormatting sqref="W56">
    <cfRule type="expression" dxfId="4285" priority="269">
      <formula>OR($T$56 = TRUE, AND($W$56 = TRUE, $S$56 = FALSE))</formula>
    </cfRule>
    <cfRule type="expression" dxfId="4284" priority="270">
      <formula>$S$56 = FALSE</formula>
    </cfRule>
    <cfRule type="expression" dxfId="4283" priority="271">
      <formula>AND(IF($R$56,$W$56,TRUE),LEN(TRIM($W$56))&gt;0)</formula>
    </cfRule>
    <cfRule type="expression" dxfId="4282" priority="272">
      <formula>AND($R$56,$S$56)</formula>
    </cfRule>
  </conditionalFormatting>
  <conditionalFormatting sqref="W57">
    <cfRule type="expression" dxfId="4281" priority="265">
      <formula>OR($T$57 = TRUE, AND($W$57 = TRUE, $S$57 = FALSE))</formula>
    </cfRule>
    <cfRule type="expression" dxfId="4280" priority="266">
      <formula>$S$57 = FALSE</formula>
    </cfRule>
    <cfRule type="expression" dxfId="4279" priority="267">
      <formula>AND(IF($R$57,$W$57,TRUE),LEN(TRIM($W$57))&gt;0)</formula>
    </cfRule>
    <cfRule type="expression" dxfId="4278" priority="268">
      <formula>AND($R$57,$S$57)</formula>
    </cfRule>
  </conditionalFormatting>
  <conditionalFormatting sqref="W59">
    <cfRule type="expression" dxfId="4277" priority="261">
      <formula>OR($T$59 = TRUE, AND($W$59 = TRUE, $S$59 = FALSE))</formula>
    </cfRule>
    <cfRule type="expression" dxfId="4276" priority="262">
      <formula>$S$59 = FALSE</formula>
    </cfRule>
    <cfRule type="expression" dxfId="4275" priority="263">
      <formula>AND(IF($R$59,$W$59,TRUE),LEN(TRIM($W$59))&gt;0)</formula>
    </cfRule>
    <cfRule type="expression" dxfId="4274" priority="264">
      <formula>AND($R$59,$S$59)</formula>
    </cfRule>
  </conditionalFormatting>
  <conditionalFormatting sqref="W61">
    <cfRule type="expression" dxfId="4273" priority="260">
      <formula>AND($R$61,$S$61)</formula>
    </cfRule>
  </conditionalFormatting>
  <conditionalFormatting sqref="W61">
    <cfRule type="expression" dxfId="4272" priority="259">
      <formula>AND(IF($R$61,$W$61,TRUE),LEN(TRIM($W$61))&gt;0)</formula>
    </cfRule>
  </conditionalFormatting>
  <conditionalFormatting sqref="W61">
    <cfRule type="expression" dxfId="4271" priority="258">
      <formula>$S$61 = FALSE</formula>
    </cfRule>
  </conditionalFormatting>
  <conditionalFormatting sqref="W61">
    <cfRule type="expression" dxfId="4270" priority="257">
      <formula>OR($T$61 = TRUE, AND($W$61 = TRUE, $S$61 = FALSE))</formula>
    </cfRule>
  </conditionalFormatting>
  <conditionalFormatting sqref="W62">
    <cfRule type="expression" dxfId="4269" priority="256">
      <formula>AND($R$62,$S$62)</formula>
    </cfRule>
  </conditionalFormatting>
  <conditionalFormatting sqref="W62">
    <cfRule type="expression" dxfId="4268" priority="255">
      <formula>AND(IF($R$62,$W$62,TRUE),LEN(TRIM($W$62))&gt;0)</formula>
    </cfRule>
  </conditionalFormatting>
  <conditionalFormatting sqref="W62">
    <cfRule type="expression" dxfId="4267" priority="254">
      <formula>$S$62 = FALSE</formula>
    </cfRule>
  </conditionalFormatting>
  <conditionalFormatting sqref="W62">
    <cfRule type="expression" dxfId="4266" priority="253">
      <formula>OR($T$62 = TRUE, AND($W$62 = TRUE, $S$62 = FALSE))</formula>
    </cfRule>
  </conditionalFormatting>
  <conditionalFormatting sqref="W63">
    <cfRule type="expression" dxfId="4265" priority="252">
      <formula>AND($R$63,$S$63)</formula>
    </cfRule>
  </conditionalFormatting>
  <conditionalFormatting sqref="W63">
    <cfRule type="expression" dxfId="4264" priority="251">
      <formula>AND(IF($R$63,$W$63,TRUE),LEN(TRIM($W$63))&gt;0)</formula>
    </cfRule>
  </conditionalFormatting>
  <conditionalFormatting sqref="W63">
    <cfRule type="expression" dxfId="4263" priority="250">
      <formula>$S$63 = FALSE</formula>
    </cfRule>
  </conditionalFormatting>
  <conditionalFormatting sqref="W63">
    <cfRule type="expression" dxfId="4262" priority="249">
      <formula>OR($T$63 = TRUE, AND($W$63 = TRUE, $S$63 = FALSE))</formula>
    </cfRule>
  </conditionalFormatting>
  <conditionalFormatting sqref="W65">
    <cfRule type="expression" dxfId="4261" priority="248">
      <formula>AND($R$65,$S$65)</formula>
    </cfRule>
  </conditionalFormatting>
  <conditionalFormatting sqref="W65">
    <cfRule type="expression" dxfId="4260" priority="247">
      <formula>AND(IF($R$65,$W$65,TRUE),LEN(TRIM($W$65))&gt;0)</formula>
    </cfRule>
  </conditionalFormatting>
  <conditionalFormatting sqref="W65">
    <cfRule type="expression" dxfId="4259" priority="246">
      <formula>$S$65 = FALSE</formula>
    </cfRule>
  </conditionalFormatting>
  <conditionalFormatting sqref="W65">
    <cfRule type="expression" dxfId="4258" priority="245">
      <formula>OR($T$65 = TRUE, AND($W$65 = TRUE, $S$65 = FALSE))</formula>
    </cfRule>
  </conditionalFormatting>
  <conditionalFormatting sqref="W69">
    <cfRule type="expression" dxfId="4257" priority="244">
      <formula>AND($R$69,$S$69)</formula>
    </cfRule>
  </conditionalFormatting>
  <conditionalFormatting sqref="W69">
    <cfRule type="expression" dxfId="4256" priority="243">
      <formula>AND(IF($R$69,$W$69,TRUE),LEN(TRIM($W$69))&gt;0)</formula>
    </cfRule>
  </conditionalFormatting>
  <conditionalFormatting sqref="W69">
    <cfRule type="expression" dxfId="4255" priority="242">
      <formula>$S$69 = FALSE</formula>
    </cfRule>
  </conditionalFormatting>
  <conditionalFormatting sqref="W69">
    <cfRule type="expression" dxfId="4254" priority="241">
      <formula>OR($T$69 = TRUE, AND($W$69 = TRUE, $S$69 = FALSE))</formula>
    </cfRule>
  </conditionalFormatting>
  <conditionalFormatting sqref="W70">
    <cfRule type="expression" dxfId="4253" priority="240">
      <formula>AND($R$70,$S$70)</formula>
    </cfRule>
  </conditionalFormatting>
  <conditionalFormatting sqref="W70">
    <cfRule type="expression" dxfId="4252" priority="239">
      <formula>AND(IF($R$70,$W$70,TRUE),LEN(TRIM($W$70))&gt;0)</formula>
    </cfRule>
  </conditionalFormatting>
  <conditionalFormatting sqref="W70">
    <cfRule type="expression" dxfId="4251" priority="238">
      <formula>$S$70 = FALSE</formula>
    </cfRule>
  </conditionalFormatting>
  <conditionalFormatting sqref="W70">
    <cfRule type="expression" dxfId="4250" priority="237">
      <formula>OR($T$70 = TRUE, AND($W$70 = TRUE, $S$70 = FALSE))</formula>
    </cfRule>
  </conditionalFormatting>
  <conditionalFormatting sqref="W72">
    <cfRule type="expression" dxfId="4249" priority="232">
      <formula>AND($R$72,$S$72)</formula>
    </cfRule>
  </conditionalFormatting>
  <conditionalFormatting sqref="W72">
    <cfRule type="expression" dxfId="4248" priority="231">
      <formula>AND($W$72&lt;&gt;"Not Met",LEN(TRIM($W$72))&gt;0)</formula>
    </cfRule>
  </conditionalFormatting>
  <conditionalFormatting sqref="W72">
    <cfRule type="expression" dxfId="4247" priority="230">
      <formula>$S$72 = FALSE</formula>
    </cfRule>
  </conditionalFormatting>
  <conditionalFormatting sqref="W72">
    <cfRule type="expression" dxfId="4246" priority="229">
      <formula>OR($T$72 = TRUE, AND(LEN(TRIM($W$72))&gt;0, $S$72 = FALSE))</formula>
    </cfRule>
  </conditionalFormatting>
  <conditionalFormatting sqref="W77">
    <cfRule type="expression" dxfId="4245" priority="228">
      <formula>AND($R$77,$S$77)</formula>
    </cfRule>
  </conditionalFormatting>
  <conditionalFormatting sqref="W77">
    <cfRule type="expression" dxfId="4244" priority="227">
      <formula>AND(IF($R$77,$W$77,TRUE),LEN(TRIM($W$77))&gt;0)</formula>
    </cfRule>
  </conditionalFormatting>
  <conditionalFormatting sqref="W77">
    <cfRule type="expression" dxfId="4243" priority="226">
      <formula>$S$77 = FALSE</formula>
    </cfRule>
  </conditionalFormatting>
  <conditionalFormatting sqref="W77">
    <cfRule type="expression" dxfId="4242" priority="225">
      <formula>OR($T$77 = TRUE, AND($W$77 = TRUE, $S$77 = FALSE))</formula>
    </cfRule>
  </conditionalFormatting>
  <conditionalFormatting sqref="W79">
    <cfRule type="expression" dxfId="4241" priority="224">
      <formula>AND($R$79,$S$79)</formula>
    </cfRule>
  </conditionalFormatting>
  <conditionalFormatting sqref="W79">
    <cfRule type="expression" dxfId="4240" priority="223">
      <formula>AND(IF($R$79,$W$79,TRUE),LEN(TRIM($W$79))&gt;0)</formula>
    </cfRule>
  </conditionalFormatting>
  <conditionalFormatting sqref="W79">
    <cfRule type="expression" dxfId="4239" priority="222">
      <formula>$S$79 = FALSE</formula>
    </cfRule>
  </conditionalFormatting>
  <conditionalFormatting sqref="W79">
    <cfRule type="expression" dxfId="4238" priority="221">
      <formula>OR($T$79 = TRUE, AND($W$79 = TRUE, $S$79 = FALSE))</formula>
    </cfRule>
  </conditionalFormatting>
  <conditionalFormatting sqref="W83">
    <cfRule type="expression" dxfId="4237" priority="220">
      <formula>AND($R$83,$S$83)</formula>
    </cfRule>
  </conditionalFormatting>
  <conditionalFormatting sqref="W83">
    <cfRule type="expression" dxfId="4236" priority="219">
      <formula>AND(IF($R$83,$W$83,TRUE),LEN(TRIM($W$83))&gt;0)</formula>
    </cfRule>
  </conditionalFormatting>
  <conditionalFormatting sqref="W83">
    <cfRule type="expression" dxfId="4235" priority="218">
      <formula>$S$83 = FALSE</formula>
    </cfRule>
  </conditionalFormatting>
  <conditionalFormatting sqref="W83">
    <cfRule type="expression" dxfId="4234" priority="217">
      <formula>OR($T$83 = TRUE, AND($W$83 = TRUE, $S$83 = FALSE))</formula>
    </cfRule>
  </conditionalFormatting>
  <conditionalFormatting sqref="W87">
    <cfRule type="expression" dxfId="4233" priority="216">
      <formula>AND($R$87,$S$87)</formula>
    </cfRule>
  </conditionalFormatting>
  <conditionalFormatting sqref="W87">
    <cfRule type="expression" dxfId="4232" priority="215">
      <formula>AND(IF($R$87,$W$87,TRUE),LEN(TRIM($W$87))&gt;0)</formula>
    </cfRule>
  </conditionalFormatting>
  <conditionalFormatting sqref="W87">
    <cfRule type="expression" dxfId="4231" priority="214">
      <formula>$S$87 = FALSE</formula>
    </cfRule>
  </conditionalFormatting>
  <conditionalFormatting sqref="W87">
    <cfRule type="expression" dxfId="4230" priority="213">
      <formula>OR($T$87 = TRUE, AND($W$87 = TRUE, $S$87 = FALSE))</formula>
    </cfRule>
  </conditionalFormatting>
  <conditionalFormatting sqref="W88">
    <cfRule type="expression" dxfId="4229" priority="212">
      <formula>AND($R$88,$S$88)</formula>
    </cfRule>
  </conditionalFormatting>
  <conditionalFormatting sqref="W88">
    <cfRule type="expression" dxfId="4228" priority="211">
      <formula>AND(IF($R$88,$W$88,TRUE),LEN(TRIM($W$88))&gt;0)</formula>
    </cfRule>
  </conditionalFormatting>
  <conditionalFormatting sqref="W88">
    <cfRule type="expression" dxfId="4227" priority="210">
      <formula>$S$88 = FALSE</formula>
    </cfRule>
  </conditionalFormatting>
  <conditionalFormatting sqref="W88">
    <cfRule type="expression" dxfId="4226" priority="209">
      <formula>OR($T$88 = TRUE, AND($W$88 = TRUE, $S$88 = FALSE))</formula>
    </cfRule>
  </conditionalFormatting>
  <conditionalFormatting sqref="W90">
    <cfRule type="expression" dxfId="4225" priority="208">
      <formula>AND($R$90,$S$90)</formula>
    </cfRule>
  </conditionalFormatting>
  <conditionalFormatting sqref="W90">
    <cfRule type="expression" dxfId="4224" priority="207">
      <formula>AND(IF($R$90,$W$90,TRUE),LEN(TRIM($W$90))&gt;0)</formula>
    </cfRule>
  </conditionalFormatting>
  <conditionalFormatting sqref="W90">
    <cfRule type="expression" dxfId="4223" priority="206">
      <formula>$S$90 = FALSE</formula>
    </cfRule>
  </conditionalFormatting>
  <conditionalFormatting sqref="W90">
    <cfRule type="expression" dxfId="4222" priority="205">
      <formula>OR($T$90 = TRUE, AND($W$90 = TRUE, $S$90 = FALSE))</formula>
    </cfRule>
  </conditionalFormatting>
  <conditionalFormatting sqref="W91">
    <cfRule type="expression" dxfId="4221" priority="204">
      <formula>AND($R$91,$S$91)</formula>
    </cfRule>
  </conditionalFormatting>
  <conditionalFormatting sqref="W91">
    <cfRule type="expression" dxfId="4220" priority="203">
      <formula>AND(IF($R$91,$W$91,TRUE),LEN(TRIM($W$91))&gt;0)</formula>
    </cfRule>
  </conditionalFormatting>
  <conditionalFormatting sqref="W91">
    <cfRule type="expression" dxfId="4219" priority="202">
      <formula>$S$91 = FALSE</formula>
    </cfRule>
  </conditionalFormatting>
  <conditionalFormatting sqref="W91">
    <cfRule type="expression" dxfId="4218" priority="201">
      <formula>OR($T$91 = TRUE, AND($W$91 = TRUE, $S$91 = FALSE))</formula>
    </cfRule>
  </conditionalFormatting>
  <conditionalFormatting sqref="W92">
    <cfRule type="expression" dxfId="4217" priority="200">
      <formula>AND($R$92,$S$92)</formula>
    </cfRule>
  </conditionalFormatting>
  <conditionalFormatting sqref="W92">
    <cfRule type="expression" dxfId="4216" priority="199">
      <formula>AND(IF($R$92,$W$92,TRUE),LEN(TRIM($W$92))&gt;0)</formula>
    </cfRule>
  </conditionalFormatting>
  <conditionalFormatting sqref="W92">
    <cfRule type="expression" dxfId="4215" priority="198">
      <formula>$S$92 = FALSE</formula>
    </cfRule>
  </conditionalFormatting>
  <conditionalFormatting sqref="W92">
    <cfRule type="expression" dxfId="4214" priority="197">
      <formula>OR($T$92 = TRUE, AND($W$92 = TRUE, $S$92 = FALSE))</formula>
    </cfRule>
  </conditionalFormatting>
  <conditionalFormatting sqref="W100">
    <cfRule type="expression" dxfId="4213" priority="196">
      <formula>AND($R$100,$S$100)</formula>
    </cfRule>
  </conditionalFormatting>
  <conditionalFormatting sqref="W100">
    <cfRule type="expression" dxfId="4212" priority="195">
      <formula>AND(IF($R$100,$W$100,TRUE),LEN(TRIM($W$100))&gt;0)</formula>
    </cfRule>
  </conditionalFormatting>
  <conditionalFormatting sqref="W100">
    <cfRule type="expression" dxfId="4211" priority="194">
      <formula>$S$100 = FALSE</formula>
    </cfRule>
  </conditionalFormatting>
  <conditionalFormatting sqref="W100">
    <cfRule type="expression" dxfId="4210" priority="193">
      <formula>OR($T$100 = TRUE, AND($W$100 = TRUE, $S$100 = FALSE))</formula>
    </cfRule>
  </conditionalFormatting>
  <conditionalFormatting sqref="W103">
    <cfRule type="expression" dxfId="4209" priority="192">
      <formula>AND($R$103,$S$103)</formula>
    </cfRule>
  </conditionalFormatting>
  <conditionalFormatting sqref="W103">
    <cfRule type="expression" dxfId="4208" priority="191">
      <formula>AND(IF($R$103,$W$103,TRUE),LEN(TRIM($W$103))&gt;0)</formula>
    </cfRule>
  </conditionalFormatting>
  <conditionalFormatting sqref="W103">
    <cfRule type="expression" dxfId="4207" priority="190">
      <formula>$S$103 = FALSE</formula>
    </cfRule>
  </conditionalFormatting>
  <conditionalFormatting sqref="W103">
    <cfRule type="expression" dxfId="4206" priority="189">
      <formula>OR($T$103 = TRUE, AND($W$103 = TRUE, $S$103 = FALSE))</formula>
    </cfRule>
  </conditionalFormatting>
  <conditionalFormatting sqref="W129">
    <cfRule type="expression" dxfId="4205" priority="180">
      <formula>AND($R$129,$S$129)</formula>
    </cfRule>
  </conditionalFormatting>
  <conditionalFormatting sqref="W129">
    <cfRule type="expression" dxfId="4204" priority="179">
      <formula>AND(IF($R$129,$W$129,TRUE),LEN(TRIM($W$129))&gt;0)</formula>
    </cfRule>
  </conditionalFormatting>
  <conditionalFormatting sqref="W129">
    <cfRule type="expression" dxfId="4203" priority="178">
      <formula>$S$129 = FALSE</formula>
    </cfRule>
  </conditionalFormatting>
  <conditionalFormatting sqref="W129">
    <cfRule type="expression" dxfId="4202" priority="177">
      <formula>OR($T$129 = TRUE, AND($W$129 = TRUE, $S$129 = FALSE))</formula>
    </cfRule>
  </conditionalFormatting>
  <conditionalFormatting sqref="W131">
    <cfRule type="expression" dxfId="4201" priority="176">
      <formula>AND($R$131,$S$131)</formula>
    </cfRule>
  </conditionalFormatting>
  <conditionalFormatting sqref="W131">
    <cfRule type="expression" dxfId="4200" priority="175">
      <formula>AND(IF($R$131,$W$131,TRUE),LEN(TRIM($W$131))&gt;0)</formula>
    </cfRule>
  </conditionalFormatting>
  <conditionalFormatting sqref="W131">
    <cfRule type="expression" dxfId="4199" priority="174">
      <formula>$S$131 = FALSE</formula>
    </cfRule>
  </conditionalFormatting>
  <conditionalFormatting sqref="W131">
    <cfRule type="expression" dxfId="4198" priority="173">
      <formula>OR($T$131 = TRUE, AND($W$131 = TRUE, $S$131 = FALSE))</formula>
    </cfRule>
  </conditionalFormatting>
  <conditionalFormatting sqref="W133">
    <cfRule type="expression" dxfId="4197" priority="172">
      <formula>AND($R$133,$S$133)</formula>
    </cfRule>
  </conditionalFormatting>
  <conditionalFormatting sqref="W133">
    <cfRule type="expression" dxfId="4196" priority="171">
      <formula>AND(IF($R$133,$W$133,TRUE),LEN(TRIM($W$133))&gt;0)</formula>
    </cfRule>
  </conditionalFormatting>
  <conditionalFormatting sqref="W133">
    <cfRule type="expression" dxfId="4195" priority="170">
      <formula>$S$133 = FALSE</formula>
    </cfRule>
  </conditionalFormatting>
  <conditionalFormatting sqref="W133">
    <cfRule type="expression" dxfId="4194" priority="169">
      <formula>OR($T$133 = TRUE, AND($W$133 = TRUE, $S$133 = FALSE))</formula>
    </cfRule>
  </conditionalFormatting>
  <conditionalFormatting sqref="W140">
    <cfRule type="expression" dxfId="4193" priority="168">
      <formula>AND($R$140,$S$140)</formula>
    </cfRule>
  </conditionalFormatting>
  <conditionalFormatting sqref="W140">
    <cfRule type="expression" dxfId="4192" priority="167">
      <formula>AND(IF($R$140,$W$140,TRUE),LEN(TRIM($W$140))&gt;0)</formula>
    </cfRule>
  </conditionalFormatting>
  <conditionalFormatting sqref="W140">
    <cfRule type="expression" dxfId="4191" priority="166">
      <formula>$S$140 = FALSE</formula>
    </cfRule>
  </conditionalFormatting>
  <conditionalFormatting sqref="W140">
    <cfRule type="expression" dxfId="4190" priority="165">
      <formula>OR($T$140 = TRUE, AND($W$140 = TRUE, $S$140 = FALSE))</formula>
    </cfRule>
  </conditionalFormatting>
  <conditionalFormatting sqref="W141">
    <cfRule type="expression" dxfId="4189" priority="164">
      <formula>AND($R$141,$S$141)</formula>
    </cfRule>
  </conditionalFormatting>
  <conditionalFormatting sqref="W141">
    <cfRule type="expression" dxfId="4188" priority="163">
      <formula>AND(IF($R$141,$W$141,TRUE),LEN(TRIM($W$141))&gt;0)</formula>
    </cfRule>
  </conditionalFormatting>
  <conditionalFormatting sqref="W141">
    <cfRule type="expression" dxfId="4187" priority="162">
      <formula>$S$141 = FALSE</formula>
    </cfRule>
  </conditionalFormatting>
  <conditionalFormatting sqref="W141">
    <cfRule type="expression" dxfId="4186" priority="161">
      <formula>OR($T$141 = TRUE, AND($W$141 = TRUE, $S$141 = FALSE))</formula>
    </cfRule>
  </conditionalFormatting>
  <conditionalFormatting sqref="W146">
    <cfRule type="expression" dxfId="4185" priority="160">
      <formula>AND($R$146,$S$146)</formula>
    </cfRule>
  </conditionalFormatting>
  <conditionalFormatting sqref="W146">
    <cfRule type="expression" dxfId="4184" priority="159">
      <formula>AND(IF($R$146,$W$146,TRUE),LEN(TRIM($W$146))&gt;0)</formula>
    </cfRule>
  </conditionalFormatting>
  <conditionalFormatting sqref="W146">
    <cfRule type="expression" dxfId="4183" priority="158">
      <formula>$S$146 = FALSE</formula>
    </cfRule>
  </conditionalFormatting>
  <conditionalFormatting sqref="W146">
    <cfRule type="expression" dxfId="4182" priority="157">
      <formula>OR($T$146 = TRUE, AND($W$146 = TRUE, $S$146 = FALSE))</formula>
    </cfRule>
  </conditionalFormatting>
  <conditionalFormatting sqref="W148">
    <cfRule type="expression" dxfId="4181" priority="156">
      <formula>AND($R$148,$S$148)</formula>
    </cfRule>
  </conditionalFormatting>
  <conditionalFormatting sqref="W148">
    <cfRule type="expression" dxfId="4180" priority="155">
      <formula>AND(IF($R$148,$W$148,TRUE),LEN(TRIM($W$148))&gt;0)</formula>
    </cfRule>
  </conditionalFormatting>
  <conditionalFormatting sqref="W148">
    <cfRule type="expression" dxfId="4179" priority="154">
      <formula>$S$148 = FALSE</formula>
    </cfRule>
  </conditionalFormatting>
  <conditionalFormatting sqref="W148">
    <cfRule type="expression" dxfId="4178" priority="153">
      <formula>OR($T$148 = TRUE, AND($W$148 = TRUE, $S$148 = FALSE))</formula>
    </cfRule>
  </conditionalFormatting>
  <conditionalFormatting sqref="W151">
    <cfRule type="expression" dxfId="4177" priority="152">
      <formula>AND($R$151,$S$151)</formula>
    </cfRule>
  </conditionalFormatting>
  <conditionalFormatting sqref="W151">
    <cfRule type="expression" dxfId="4176" priority="151">
      <formula>AND(IF($R$151,$W$151,TRUE),LEN(TRIM($W$151))&gt;0)</formula>
    </cfRule>
  </conditionalFormatting>
  <conditionalFormatting sqref="W151">
    <cfRule type="expression" dxfId="4175" priority="150">
      <formula>$S$151 = FALSE</formula>
    </cfRule>
  </conditionalFormatting>
  <conditionalFormatting sqref="W151">
    <cfRule type="expression" dxfId="4174" priority="149">
      <formula>OR($T$151 = TRUE, AND($W$151 = TRUE, $S$151 = FALSE))</formula>
    </cfRule>
  </conditionalFormatting>
  <conditionalFormatting sqref="W153">
    <cfRule type="expression" dxfId="4173" priority="148">
      <formula>AND($R$153,$S$153)</formula>
    </cfRule>
  </conditionalFormatting>
  <conditionalFormatting sqref="W153">
    <cfRule type="expression" dxfId="4172" priority="147">
      <formula>AND(IF($R$153,$W$153,TRUE),LEN(TRIM($W$153))&gt;0)</formula>
    </cfRule>
  </conditionalFormatting>
  <conditionalFormatting sqref="W153">
    <cfRule type="expression" dxfId="4171" priority="146">
      <formula>$S$153 = FALSE</formula>
    </cfRule>
  </conditionalFormatting>
  <conditionalFormatting sqref="W153">
    <cfRule type="expression" dxfId="4170" priority="145">
      <formula>OR($T$153 = TRUE, AND($W$153 = TRUE, $S$153 = FALSE))</formula>
    </cfRule>
  </conditionalFormatting>
  <conditionalFormatting sqref="W155">
    <cfRule type="expression" dxfId="4169" priority="144">
      <formula>AND($R$155,$S$155)</formula>
    </cfRule>
  </conditionalFormatting>
  <conditionalFormatting sqref="W155">
    <cfRule type="expression" dxfId="4168" priority="143">
      <formula>AND(IF($R$155,$W$155,TRUE),LEN(TRIM($W$155))&gt;0)</formula>
    </cfRule>
  </conditionalFormatting>
  <conditionalFormatting sqref="W155">
    <cfRule type="expression" dxfId="4167" priority="142">
      <formula>$S$155 = FALSE</formula>
    </cfRule>
  </conditionalFormatting>
  <conditionalFormatting sqref="W155">
    <cfRule type="expression" dxfId="4166" priority="141">
      <formula>OR($T$155 = TRUE, AND($W$155 = TRUE, $S$155 = FALSE))</formula>
    </cfRule>
  </conditionalFormatting>
  <conditionalFormatting sqref="W159">
    <cfRule type="expression" dxfId="4165" priority="140">
      <formula>AND($R$159,$S$159)</formula>
    </cfRule>
  </conditionalFormatting>
  <conditionalFormatting sqref="W159">
    <cfRule type="expression" dxfId="4164" priority="139">
      <formula>AND(IF($R$159,$W$159,TRUE),LEN(TRIM($W$159))&gt;0)</formula>
    </cfRule>
  </conditionalFormatting>
  <conditionalFormatting sqref="W159">
    <cfRule type="expression" dxfId="4163" priority="138">
      <formula>$S$159 = FALSE</formula>
    </cfRule>
  </conditionalFormatting>
  <conditionalFormatting sqref="W159">
    <cfRule type="expression" dxfId="4162" priority="137">
      <formula>OR($T$159 = TRUE, AND($W$159 = TRUE, $S$159 = FALSE))</formula>
    </cfRule>
  </conditionalFormatting>
  <conditionalFormatting sqref="W160">
    <cfRule type="expression" dxfId="4161" priority="136">
      <formula>AND($R$160,$S$160)</formula>
    </cfRule>
  </conditionalFormatting>
  <conditionalFormatting sqref="W160">
    <cfRule type="expression" dxfId="4160" priority="135">
      <formula>AND(IF($R$160,$W$160,TRUE),LEN(TRIM($W$160))&gt;0)</formula>
    </cfRule>
  </conditionalFormatting>
  <conditionalFormatting sqref="W160">
    <cfRule type="expression" dxfId="4159" priority="134">
      <formula>$S$160 = FALSE</formula>
    </cfRule>
  </conditionalFormatting>
  <conditionalFormatting sqref="W160">
    <cfRule type="expression" dxfId="4158" priority="133">
      <formula>OR($T$160 = TRUE, AND($W$160 = TRUE, $S$160 = FALSE))</formula>
    </cfRule>
  </conditionalFormatting>
  <conditionalFormatting sqref="W161">
    <cfRule type="expression" dxfId="4157" priority="132">
      <formula>AND($R$161,$S$161)</formula>
    </cfRule>
  </conditionalFormatting>
  <conditionalFormatting sqref="W161">
    <cfRule type="expression" dxfId="4156" priority="131">
      <formula>AND(IF($R$161,$W$161,TRUE),LEN(TRIM($W$161))&gt;0)</formula>
    </cfRule>
  </conditionalFormatting>
  <conditionalFormatting sqref="W161">
    <cfRule type="expression" dxfId="4155" priority="130">
      <formula>$S$161 = FALSE</formula>
    </cfRule>
  </conditionalFormatting>
  <conditionalFormatting sqref="W161">
    <cfRule type="expression" dxfId="4154" priority="129">
      <formula>OR($T$161 = TRUE, AND($W$161 = TRUE, $S$161 = FALSE))</formula>
    </cfRule>
  </conditionalFormatting>
  <conditionalFormatting sqref="W163">
    <cfRule type="expression" dxfId="4153" priority="128">
      <formula>AND($R$163,$S$163)</formula>
    </cfRule>
  </conditionalFormatting>
  <conditionalFormatting sqref="W163">
    <cfRule type="expression" dxfId="4152" priority="127">
      <formula>AND(IF($R$163,$W$163,TRUE),LEN(TRIM($W$163))&gt;0)</formula>
    </cfRule>
  </conditionalFormatting>
  <conditionalFormatting sqref="W163">
    <cfRule type="expression" dxfId="4151" priority="126">
      <formula>$S$163 = FALSE</formula>
    </cfRule>
  </conditionalFormatting>
  <conditionalFormatting sqref="W163">
    <cfRule type="expression" dxfId="4150" priority="125">
      <formula>OR($T$163 = TRUE, AND($W$163 = TRUE, $S$163 = FALSE))</formula>
    </cfRule>
  </conditionalFormatting>
  <conditionalFormatting sqref="W166">
    <cfRule type="expression" dxfId="4149" priority="124">
      <formula>AND($R$166,$S$166)</formula>
    </cfRule>
  </conditionalFormatting>
  <conditionalFormatting sqref="W166">
    <cfRule type="expression" dxfId="4148" priority="123">
      <formula>AND(IF($R$166,$W$166,TRUE),LEN(TRIM($W$166))&gt;0)</formula>
    </cfRule>
  </conditionalFormatting>
  <conditionalFormatting sqref="W166">
    <cfRule type="expression" dxfId="4147" priority="122">
      <formula>$S$166 = FALSE</formula>
    </cfRule>
  </conditionalFormatting>
  <conditionalFormatting sqref="W166">
    <cfRule type="expression" dxfId="4146" priority="121">
      <formula>OR($T$166 = TRUE, AND($W$166 = TRUE, $S$166 = FALSE))</formula>
    </cfRule>
  </conditionalFormatting>
  <conditionalFormatting sqref="W168">
    <cfRule type="expression" dxfId="4145" priority="120">
      <formula>AND($R$168,$S$168)</formula>
    </cfRule>
  </conditionalFormatting>
  <conditionalFormatting sqref="W168">
    <cfRule type="expression" dxfId="4144" priority="119">
      <formula>AND(IF($R$168,$W$168,TRUE),LEN(TRIM($W$168))&gt;0)</formula>
    </cfRule>
  </conditionalFormatting>
  <conditionalFormatting sqref="W168">
    <cfRule type="expression" dxfId="4143" priority="118">
      <formula>$S$168 = FALSE</formula>
    </cfRule>
  </conditionalFormatting>
  <conditionalFormatting sqref="W168">
    <cfRule type="expression" dxfId="4142" priority="117">
      <formula>OR($T$168 = TRUE, AND($W$168 = TRUE, $S$168 = FALSE))</formula>
    </cfRule>
  </conditionalFormatting>
  <conditionalFormatting sqref="W178">
    <cfRule type="expression" dxfId="4141" priority="116">
      <formula>AND($R$178,$S$178)</formula>
    </cfRule>
  </conditionalFormatting>
  <conditionalFormatting sqref="W178">
    <cfRule type="expression" dxfId="4140" priority="115">
      <formula>AND(IF($R$178,$W$178,TRUE),LEN(TRIM($W$178))&gt;0)</formula>
    </cfRule>
  </conditionalFormatting>
  <conditionalFormatting sqref="W178">
    <cfRule type="expression" dxfId="4139" priority="114">
      <formula>$S$178 = FALSE</formula>
    </cfRule>
  </conditionalFormatting>
  <conditionalFormatting sqref="W178">
    <cfRule type="expression" dxfId="4138" priority="113">
      <formula>OR($T$178 = TRUE, AND($W$178 = TRUE, $S$178 = FALSE))</formula>
    </cfRule>
  </conditionalFormatting>
  <conditionalFormatting sqref="W185">
    <cfRule type="expression" dxfId="4137" priority="112">
      <formula>AND($R$185,$S$185)</formula>
    </cfRule>
  </conditionalFormatting>
  <conditionalFormatting sqref="W185">
    <cfRule type="expression" dxfId="4136" priority="111">
      <formula>AND(IF($R$185,$W$185,TRUE),LEN(TRIM($W$185))&gt;0)</formula>
    </cfRule>
  </conditionalFormatting>
  <conditionalFormatting sqref="W185">
    <cfRule type="expression" dxfId="4135" priority="110">
      <formula>$S$185 = FALSE</formula>
    </cfRule>
  </conditionalFormatting>
  <conditionalFormatting sqref="W185">
    <cfRule type="expression" dxfId="4134" priority="109">
      <formula>OR($T$185 = TRUE, AND($W$185 = TRUE, $S$185 = FALSE))</formula>
    </cfRule>
  </conditionalFormatting>
  <conditionalFormatting sqref="W186">
    <cfRule type="expression" dxfId="4133" priority="108">
      <formula>AND($R$186,$S$186)</formula>
    </cfRule>
  </conditionalFormatting>
  <conditionalFormatting sqref="W186">
    <cfRule type="expression" dxfId="4132" priority="107">
      <formula>AND(IF($R$186,$W$186,TRUE),LEN(TRIM($W$186))&gt;0)</formula>
    </cfRule>
  </conditionalFormatting>
  <conditionalFormatting sqref="W186">
    <cfRule type="expression" dxfId="4131" priority="106">
      <formula>$S$186 = FALSE</formula>
    </cfRule>
  </conditionalFormatting>
  <conditionalFormatting sqref="W186">
    <cfRule type="expression" dxfId="4130" priority="105">
      <formula>OR($T$186 = TRUE, AND($W$186 = TRUE, $S$186 = FALSE))</formula>
    </cfRule>
  </conditionalFormatting>
  <conditionalFormatting sqref="W188">
    <cfRule type="expression" dxfId="4129" priority="104">
      <formula>AND($R$188,$S$188)</formula>
    </cfRule>
  </conditionalFormatting>
  <conditionalFormatting sqref="W188">
    <cfRule type="expression" dxfId="4128" priority="103">
      <formula>AND(IF($R$188,$W$188,TRUE),LEN(TRIM($W$188))&gt;0)</formula>
    </cfRule>
  </conditionalFormatting>
  <conditionalFormatting sqref="W188">
    <cfRule type="expression" dxfId="4127" priority="102">
      <formula>$S$188 = FALSE</formula>
    </cfRule>
  </conditionalFormatting>
  <conditionalFormatting sqref="W188">
    <cfRule type="expression" dxfId="4126" priority="101">
      <formula>OR($T$188 = TRUE, AND($W$188 = TRUE, $S$188 = FALSE))</formula>
    </cfRule>
  </conditionalFormatting>
  <conditionalFormatting sqref="W193">
    <cfRule type="expression" dxfId="4125" priority="100">
      <formula>AND($R$193,$S$193)</formula>
    </cfRule>
  </conditionalFormatting>
  <conditionalFormatting sqref="W193">
    <cfRule type="expression" dxfId="4124" priority="99">
      <formula>AND(IF($R$193,$W$193,TRUE),LEN(TRIM($W$193))&gt;0)</formula>
    </cfRule>
  </conditionalFormatting>
  <conditionalFormatting sqref="W193">
    <cfRule type="expression" dxfId="4123" priority="98">
      <formula>$S$193 = FALSE</formula>
    </cfRule>
  </conditionalFormatting>
  <conditionalFormatting sqref="W193">
    <cfRule type="expression" dxfId="4122" priority="97">
      <formula>OR($T$193 = TRUE, AND($W$193 = TRUE, $S$193 = FALSE))</formula>
    </cfRule>
  </conditionalFormatting>
  <conditionalFormatting sqref="W195">
    <cfRule type="expression" dxfId="4121" priority="96">
      <formula>AND($R$195,$S$195)</formula>
    </cfRule>
  </conditionalFormatting>
  <conditionalFormatting sqref="W195">
    <cfRule type="expression" dxfId="4120" priority="95">
      <formula>AND(IF($R$195,$W$195,TRUE),LEN(TRIM($W$195))&gt;0)</formula>
    </cfRule>
  </conditionalFormatting>
  <conditionalFormatting sqref="W195">
    <cfRule type="expression" dxfId="4119" priority="94">
      <formula>$S$195 = FALSE</formula>
    </cfRule>
  </conditionalFormatting>
  <conditionalFormatting sqref="W195">
    <cfRule type="expression" dxfId="4118" priority="93">
      <formula>OR($T$195 = TRUE, AND($W$195 = TRUE, $S$195 = FALSE))</formula>
    </cfRule>
  </conditionalFormatting>
  <conditionalFormatting sqref="W196">
    <cfRule type="expression" dxfId="4117" priority="92">
      <formula>AND($R$196,$S$196)</formula>
    </cfRule>
  </conditionalFormatting>
  <conditionalFormatting sqref="W196">
    <cfRule type="expression" dxfId="4116" priority="91">
      <formula>AND(IF($R$196,$W$196,TRUE),LEN(TRIM($W$196))&gt;0)</formula>
    </cfRule>
  </conditionalFormatting>
  <conditionalFormatting sqref="W196">
    <cfRule type="expression" dxfId="4115" priority="90">
      <formula>$S$196 = FALSE</formula>
    </cfRule>
  </conditionalFormatting>
  <conditionalFormatting sqref="W196">
    <cfRule type="expression" dxfId="4114" priority="89">
      <formula>OR($T$196 = TRUE, AND($W$196 = TRUE, $S$196 = FALSE))</formula>
    </cfRule>
  </conditionalFormatting>
  <conditionalFormatting sqref="W198">
    <cfRule type="expression" dxfId="4113" priority="88">
      <formula>AND($R$198,$S$198)</formula>
    </cfRule>
  </conditionalFormatting>
  <conditionalFormatting sqref="W198">
    <cfRule type="expression" dxfId="4112" priority="87">
      <formula>AND(IF($R$198,$W$198,TRUE),LEN(TRIM($W$198))&gt;0)</formula>
    </cfRule>
  </conditionalFormatting>
  <conditionalFormatting sqref="W198">
    <cfRule type="expression" dxfId="4111" priority="86">
      <formula>$S$198 = FALSE</formula>
    </cfRule>
  </conditionalFormatting>
  <conditionalFormatting sqref="W198">
    <cfRule type="expression" dxfId="4110" priority="85">
      <formula>OR($T$198 = TRUE, AND($W$198 = TRUE, $S$198 = FALSE))</formula>
    </cfRule>
  </conditionalFormatting>
  <conditionalFormatting sqref="W200">
    <cfRule type="expression" dxfId="4109" priority="84">
      <formula>AND($R$200,$S$200)</formula>
    </cfRule>
  </conditionalFormatting>
  <conditionalFormatting sqref="W200">
    <cfRule type="expression" dxfId="4108" priority="83">
      <formula>AND(IF($R$200,$W$200,TRUE),LEN(TRIM($W$200))&gt;0)</formula>
    </cfRule>
  </conditionalFormatting>
  <conditionalFormatting sqref="W200">
    <cfRule type="expression" dxfId="4107" priority="82">
      <formula>$S$200 = FALSE</formula>
    </cfRule>
  </conditionalFormatting>
  <conditionalFormatting sqref="W200">
    <cfRule type="expression" dxfId="4106" priority="81">
      <formula>OR($T$200 = TRUE, AND($W$200 = TRUE, $S$200 = FALSE))</formula>
    </cfRule>
  </conditionalFormatting>
  <conditionalFormatting sqref="W204">
    <cfRule type="expression" dxfId="4105" priority="80">
      <formula>AND($R$204,$S$204)</formula>
    </cfRule>
  </conditionalFormatting>
  <conditionalFormatting sqref="W204">
    <cfRule type="expression" dxfId="4104" priority="79">
      <formula>AND(IF($R$204,$W$204,TRUE),LEN(TRIM($W$204))&gt;0)</formula>
    </cfRule>
  </conditionalFormatting>
  <conditionalFormatting sqref="W204">
    <cfRule type="expression" dxfId="4103" priority="78">
      <formula>$S$204 = FALSE</formula>
    </cfRule>
  </conditionalFormatting>
  <conditionalFormatting sqref="W204">
    <cfRule type="expression" dxfId="4102" priority="77">
      <formula>OR($T$204 = TRUE, AND($W$204 = TRUE, $S$204 = FALSE))</formula>
    </cfRule>
  </conditionalFormatting>
  <conditionalFormatting sqref="W207">
    <cfRule type="expression" dxfId="4101" priority="76">
      <formula>AND($R$207,$S$207)</formula>
    </cfRule>
  </conditionalFormatting>
  <conditionalFormatting sqref="W207">
    <cfRule type="expression" dxfId="4100" priority="75">
      <formula>AND(IF($R$207,$W$207,TRUE),LEN(TRIM($W$207))&gt;0)</formula>
    </cfRule>
  </conditionalFormatting>
  <conditionalFormatting sqref="W207">
    <cfRule type="expression" dxfId="4099" priority="74">
      <formula>$S$207 = FALSE</formula>
    </cfRule>
  </conditionalFormatting>
  <conditionalFormatting sqref="W207">
    <cfRule type="expression" dxfId="4098" priority="73">
      <formula>OR($T$207 = TRUE, AND($W$207 = TRUE, $S$207 = FALSE))</formula>
    </cfRule>
  </conditionalFormatting>
  <conditionalFormatting sqref="W209">
    <cfRule type="expression" dxfId="4097" priority="72">
      <formula>AND($R$209,$S$209)</formula>
    </cfRule>
  </conditionalFormatting>
  <conditionalFormatting sqref="W209">
    <cfRule type="expression" dxfId="4096" priority="71">
      <formula>AND(IF($R$209,$W$209,TRUE),LEN(TRIM($W$209))&gt;0)</formula>
    </cfRule>
  </conditionalFormatting>
  <conditionalFormatting sqref="W209">
    <cfRule type="expression" dxfId="4095" priority="70">
      <formula>$S$209 = FALSE</formula>
    </cfRule>
  </conditionalFormatting>
  <conditionalFormatting sqref="W209">
    <cfRule type="expression" dxfId="4094" priority="69">
      <formula>OR($T$209 = TRUE, AND($W$209 = TRUE, $S$209 = FALSE))</formula>
    </cfRule>
  </conditionalFormatting>
  <conditionalFormatting sqref="W210">
    <cfRule type="expression" dxfId="4093" priority="68">
      <formula>AND($R$210,$S$210)</formula>
    </cfRule>
  </conditionalFormatting>
  <conditionalFormatting sqref="W210">
    <cfRule type="expression" dxfId="4092" priority="67">
      <formula>AND(IF($R$210,$W$210,TRUE),LEN(TRIM($W$210))&gt;0)</formula>
    </cfRule>
  </conditionalFormatting>
  <conditionalFormatting sqref="W210">
    <cfRule type="expression" dxfId="4091" priority="66">
      <formula>$S$210 = FALSE</formula>
    </cfRule>
  </conditionalFormatting>
  <conditionalFormatting sqref="W210">
    <cfRule type="expression" dxfId="4090" priority="65">
      <formula>OR($T$210 = TRUE, AND($W$210 = TRUE, $S$210 = FALSE))</formula>
    </cfRule>
  </conditionalFormatting>
  <conditionalFormatting sqref="W211">
    <cfRule type="expression" dxfId="4089" priority="64">
      <formula>AND($R$211,$S$211)</formula>
    </cfRule>
  </conditionalFormatting>
  <conditionalFormatting sqref="W211">
    <cfRule type="expression" dxfId="4088" priority="63">
      <formula>AND(IF($R$211,$W$211,TRUE),LEN(TRIM($W$211))&gt;0)</formula>
    </cfRule>
  </conditionalFormatting>
  <conditionalFormatting sqref="W211">
    <cfRule type="expression" dxfId="4087" priority="62">
      <formula>$S$211 = FALSE</formula>
    </cfRule>
  </conditionalFormatting>
  <conditionalFormatting sqref="W211">
    <cfRule type="expression" dxfId="4086" priority="61">
      <formula>OR($T$211 = TRUE, AND($W$211 = TRUE, $S$211 = FALSE))</formula>
    </cfRule>
  </conditionalFormatting>
  <conditionalFormatting sqref="W212">
    <cfRule type="expression" dxfId="4085" priority="60">
      <formula>AND($R$212,$S$212)</formula>
    </cfRule>
  </conditionalFormatting>
  <conditionalFormatting sqref="W212">
    <cfRule type="expression" dxfId="4084" priority="59">
      <formula>AND(IF($R$212,$W$212,TRUE),LEN(TRIM($W$212))&gt;0)</formula>
    </cfRule>
  </conditionalFormatting>
  <conditionalFormatting sqref="W212">
    <cfRule type="expression" dxfId="4083" priority="58">
      <formula>$S$212 = FALSE</formula>
    </cfRule>
  </conditionalFormatting>
  <conditionalFormatting sqref="W212">
    <cfRule type="expression" dxfId="4082" priority="57">
      <formula>OR($T$212 = TRUE, AND($W$212 = TRUE, $S$212 = FALSE))</formula>
    </cfRule>
  </conditionalFormatting>
  <conditionalFormatting sqref="W213">
    <cfRule type="expression" dxfId="4081" priority="56">
      <formula>AND($R$213,$S$213)</formula>
    </cfRule>
  </conditionalFormatting>
  <conditionalFormatting sqref="W213">
    <cfRule type="expression" dxfId="4080" priority="55">
      <formula>AND(IF($R$213,$W$213,TRUE),LEN(TRIM($W$213))&gt;0)</formula>
    </cfRule>
  </conditionalFormatting>
  <conditionalFormatting sqref="W213">
    <cfRule type="expression" dxfId="4079" priority="54">
      <formula>$S$213 = FALSE</formula>
    </cfRule>
  </conditionalFormatting>
  <conditionalFormatting sqref="W213">
    <cfRule type="expression" dxfId="4078" priority="53">
      <formula>OR($T$213 = TRUE, AND($W$213 = TRUE, $S$213 = FALSE))</formula>
    </cfRule>
  </conditionalFormatting>
  <conditionalFormatting sqref="W214">
    <cfRule type="expression" dxfId="4077" priority="52">
      <formula>AND($R$214,$S$214)</formula>
    </cfRule>
  </conditionalFormatting>
  <conditionalFormatting sqref="W214">
    <cfRule type="expression" dxfId="4076" priority="51">
      <formula>AND(IF($R$214,$W$214,TRUE),LEN(TRIM($W$214))&gt;0)</formula>
    </cfRule>
  </conditionalFormatting>
  <conditionalFormatting sqref="W214">
    <cfRule type="expression" dxfId="4075" priority="50">
      <formula>$S$214 = FALSE</formula>
    </cfRule>
  </conditionalFormatting>
  <conditionalFormatting sqref="W214">
    <cfRule type="expression" dxfId="4074" priority="49">
      <formula>OR($T$214 = TRUE, AND($W$214 = TRUE, $S$214 = FALSE))</formula>
    </cfRule>
  </conditionalFormatting>
  <conditionalFormatting sqref="W216">
    <cfRule type="expression" dxfId="4073" priority="48">
      <formula>AND($R$216,$S$216)</formula>
    </cfRule>
  </conditionalFormatting>
  <conditionalFormatting sqref="W216">
    <cfRule type="expression" dxfId="4072" priority="47">
      <formula>AND(IF($R$216,$W$216,TRUE),LEN(TRIM($W$216))&gt;0)</formula>
    </cfRule>
  </conditionalFormatting>
  <conditionalFormatting sqref="W216">
    <cfRule type="expression" dxfId="4071" priority="46">
      <formula>$S$216 = FALSE</formula>
    </cfRule>
  </conditionalFormatting>
  <conditionalFormatting sqref="W216">
    <cfRule type="expression" dxfId="4070" priority="45">
      <formula>OR($T$216 = TRUE, AND($W$216 = TRUE, $S$216 = FALSE))</formula>
    </cfRule>
  </conditionalFormatting>
  <conditionalFormatting sqref="W223">
    <cfRule type="expression" dxfId="4069" priority="44">
      <formula>AND($R$223,$S$223)</formula>
    </cfRule>
  </conditionalFormatting>
  <conditionalFormatting sqref="W223">
    <cfRule type="expression" dxfId="4068" priority="43">
      <formula>AND(IF($R$223,$W$223,TRUE),LEN(TRIM($W$223))&gt;0)</formula>
    </cfRule>
  </conditionalFormatting>
  <conditionalFormatting sqref="W223">
    <cfRule type="expression" dxfId="4067" priority="42">
      <formula>$S$223 = FALSE</formula>
    </cfRule>
  </conditionalFormatting>
  <conditionalFormatting sqref="W223">
    <cfRule type="expression" dxfId="4066" priority="41">
      <formula>OR($T$223 = TRUE, AND($W$223 = TRUE, $S$223 = FALSE))</formula>
    </cfRule>
  </conditionalFormatting>
  <conditionalFormatting sqref="W225">
    <cfRule type="expression" dxfId="4065" priority="40">
      <formula>AND($R$225,$S$225)</formula>
    </cfRule>
  </conditionalFormatting>
  <conditionalFormatting sqref="W225">
    <cfRule type="expression" dxfId="4064" priority="39">
      <formula>AND(IF($R$225,$W$225,TRUE),LEN(TRIM($W$225))&gt;0)</formula>
    </cfRule>
  </conditionalFormatting>
  <conditionalFormatting sqref="W225">
    <cfRule type="expression" dxfId="4063" priority="38">
      <formula>$S$225 = FALSE</formula>
    </cfRule>
  </conditionalFormatting>
  <conditionalFormatting sqref="W225">
    <cfRule type="expression" dxfId="4062" priority="37">
      <formula>OR($T$225 = TRUE, AND($W$225 = TRUE, $S$225 = FALSE))</formula>
    </cfRule>
  </conditionalFormatting>
  <conditionalFormatting sqref="W238">
    <cfRule type="expression" dxfId="4061" priority="36">
      <formula>AND($R$238,$S$238)</formula>
    </cfRule>
  </conditionalFormatting>
  <conditionalFormatting sqref="W238">
    <cfRule type="expression" dxfId="4060" priority="35">
      <formula>AND(IF($R$238,$W$238,TRUE),LEN(TRIM($W$238))&gt;0)</formula>
    </cfRule>
  </conditionalFormatting>
  <conditionalFormatting sqref="W238">
    <cfRule type="expression" dxfId="4059" priority="34">
      <formula>$S$238 = FALSE</formula>
    </cfRule>
  </conditionalFormatting>
  <conditionalFormatting sqref="W238">
    <cfRule type="expression" dxfId="4058" priority="33">
      <formula>OR($T$238 = TRUE, AND($W$238 = TRUE, $S$238 = FALSE))</formula>
    </cfRule>
  </conditionalFormatting>
  <conditionalFormatting sqref="W241">
    <cfRule type="expression" dxfId="4057" priority="32">
      <formula>AND($R$241,$S$241)</formula>
    </cfRule>
  </conditionalFormatting>
  <conditionalFormatting sqref="W241">
    <cfRule type="expression" dxfId="4056" priority="31">
      <formula>AND(IF($R$241,$W$241,TRUE),LEN(TRIM($W$241))&gt;0)</formula>
    </cfRule>
  </conditionalFormatting>
  <conditionalFormatting sqref="W241">
    <cfRule type="expression" dxfId="4055" priority="30">
      <formula>$S$241 = FALSE</formula>
    </cfRule>
  </conditionalFormatting>
  <conditionalFormatting sqref="W241">
    <cfRule type="expression" dxfId="4054" priority="29">
      <formula>OR($T$241 = TRUE, AND($W$241 = TRUE, $S$241 = FALSE))</formula>
    </cfRule>
  </conditionalFormatting>
  <conditionalFormatting sqref="W245">
    <cfRule type="expression" dxfId="4053" priority="28">
      <formula>AND($R$245,$S$245)</formula>
    </cfRule>
  </conditionalFormatting>
  <conditionalFormatting sqref="W245">
    <cfRule type="expression" dxfId="4052" priority="27">
      <formula>AND(IF($R$245,$W$245,TRUE),LEN(TRIM($W$245))&gt;0)</formula>
    </cfRule>
  </conditionalFormatting>
  <conditionalFormatting sqref="W245">
    <cfRule type="expression" dxfId="4051" priority="26">
      <formula>$S$245 = FALSE</formula>
    </cfRule>
  </conditionalFormatting>
  <conditionalFormatting sqref="W245">
    <cfRule type="expression" dxfId="4050" priority="25">
      <formula>OR($T$245 = TRUE, AND($W$245 = TRUE, $S$245 = FALSE))</formula>
    </cfRule>
  </conditionalFormatting>
  <conditionalFormatting sqref="W246">
    <cfRule type="expression" dxfId="4049" priority="24">
      <formula>AND($R$246,$S$246)</formula>
    </cfRule>
  </conditionalFormatting>
  <conditionalFormatting sqref="W246">
    <cfRule type="expression" dxfId="4048" priority="23">
      <formula>AND(IF($R$246,$W$246,TRUE),LEN(TRIM($W$246))&gt;0)</formula>
    </cfRule>
  </conditionalFormatting>
  <conditionalFormatting sqref="W246">
    <cfRule type="expression" dxfId="4047" priority="22">
      <formula>$S$246 = FALSE</formula>
    </cfRule>
  </conditionalFormatting>
  <conditionalFormatting sqref="W246">
    <cfRule type="expression" dxfId="4046" priority="21">
      <formula>OR($T$246 = TRUE, AND($W$246 = TRUE, $S$246 = FALSE))</formula>
    </cfRule>
  </conditionalFormatting>
  <conditionalFormatting sqref="W255">
    <cfRule type="expression" dxfId="4045" priority="20">
      <formula>AND($R$255,$S$255)</formula>
    </cfRule>
  </conditionalFormatting>
  <conditionalFormatting sqref="W255">
    <cfRule type="expression" dxfId="4044" priority="19">
      <formula>AND(IF($R$255,$W$255,TRUE),LEN(TRIM($W$255))&gt;0)</formula>
    </cfRule>
  </conditionalFormatting>
  <conditionalFormatting sqref="W255">
    <cfRule type="expression" dxfId="4043" priority="18">
      <formula>$S$255 = FALSE</formula>
    </cfRule>
  </conditionalFormatting>
  <conditionalFormatting sqref="W255">
    <cfRule type="expression" dxfId="4042" priority="17">
      <formula>OR($T$255 = TRUE, AND($W$255 = TRUE, $S$255 = FALSE))</formula>
    </cfRule>
  </conditionalFormatting>
  <conditionalFormatting sqref="W256">
    <cfRule type="expression" dxfId="4041" priority="16">
      <formula>AND($R$256,$S$256)</formula>
    </cfRule>
  </conditionalFormatting>
  <conditionalFormatting sqref="W256">
    <cfRule type="expression" dxfId="4040" priority="15">
      <formula>AND(IF($R$256,$W$256,TRUE),LEN(TRIM($W$256))&gt;0)</formula>
    </cfRule>
  </conditionalFormatting>
  <conditionalFormatting sqref="W256">
    <cfRule type="expression" dxfId="4039" priority="14">
      <formula>$S$256 = FALSE</formula>
    </cfRule>
  </conditionalFormatting>
  <conditionalFormatting sqref="W256">
    <cfRule type="expression" dxfId="4038" priority="13">
      <formula>OR($T$256 = TRUE, AND($W$256 = TRUE, $S$256 = FALSE))</formula>
    </cfRule>
  </conditionalFormatting>
  <conditionalFormatting sqref="W258">
    <cfRule type="expression" dxfId="4037" priority="12">
      <formula>AND($R$258,$S$258)</formula>
    </cfRule>
  </conditionalFormatting>
  <conditionalFormatting sqref="W258">
    <cfRule type="expression" dxfId="4036" priority="11">
      <formula>AND(IF($R$258,$W$258,TRUE),LEN(TRIM($W$258))&gt;0)</formula>
    </cfRule>
  </conditionalFormatting>
  <conditionalFormatting sqref="W258">
    <cfRule type="expression" dxfId="4035" priority="10">
      <formula>$S$258 = FALSE</formula>
    </cfRule>
  </conditionalFormatting>
  <conditionalFormatting sqref="W258">
    <cfRule type="expression" dxfId="4034" priority="9">
      <formula>OR($T$258 = TRUE, AND($W$258 = TRUE, $S$258 = FALSE))</formula>
    </cfRule>
  </conditionalFormatting>
  <conditionalFormatting sqref="W107">
    <cfRule type="expression" dxfId="4033" priority="8">
      <formula>AND($R$107,$S$107)</formula>
    </cfRule>
  </conditionalFormatting>
  <conditionalFormatting sqref="W107">
    <cfRule type="expression" dxfId="4032" priority="7">
      <formula>AND($W$107&lt;&gt;"Not Met",LEN(TRIM($W$107))&gt;0)</formula>
    </cfRule>
  </conditionalFormatting>
  <conditionalFormatting sqref="W107">
    <cfRule type="expression" dxfId="4031" priority="6">
      <formula>$S$107 = FALSE</formula>
    </cfRule>
  </conditionalFormatting>
  <conditionalFormatting sqref="W107">
    <cfRule type="expression" dxfId="4030" priority="5">
      <formula>OR($T$107 = TRUE, AND(LEN(TRIM($W$107))&gt;0, $S$107 = FALSE))</formula>
    </cfRule>
  </conditionalFormatting>
  <conditionalFormatting sqref="W114">
    <cfRule type="expression" dxfId="4029" priority="4">
      <formula>AND($R$114,$S$114)</formula>
    </cfRule>
  </conditionalFormatting>
  <conditionalFormatting sqref="W114">
    <cfRule type="expression" dxfId="4028" priority="3">
      <formula>AND($W$114&lt;&gt;"Not Met",LEN(TRIM($W$114))&gt;0)</formula>
    </cfRule>
  </conditionalFormatting>
  <conditionalFormatting sqref="W114">
    <cfRule type="expression" dxfId="4027" priority="2">
      <formula>$S$114 = FALSE</formula>
    </cfRule>
  </conditionalFormatting>
  <conditionalFormatting sqref="W114">
    <cfRule type="expression" dxfId="4026" priority="1">
      <formula>OR($T$114 = TRUE, AND(LEN(TRIM($W$114))&gt;0, $S$114 = FALSE))</formula>
    </cfRule>
  </conditionalFormatting>
  <conditionalFormatting sqref="X1">
    <cfRule type="expression" dxfId="4025" priority="784">
      <formula>startError</formula>
    </cfRule>
  </conditionalFormatting>
  <dataValidations count="13">
    <dataValidation type="list" allowBlank="1" showInputMessage="1" showErrorMessage="1" error="Please use the dropdown." sqref="W39" xr:uid="{00000000-0002-0000-0300-000000000000}">
      <formula1>INDIRECT($U$39)</formula1>
    </dataValidation>
    <dataValidation type="decimal" allowBlank="1" showDropDown="1" showInputMessage="1" showErrorMessage="1" error="Enter Percentage" prompt="Enter Percentage" sqref="W68" xr:uid="{00000000-0002-0000-0300-000001000000}">
      <formula1>0</formula1>
      <formula2>1</formula2>
    </dataValidation>
    <dataValidation type="list" allowBlank="1" showInputMessage="1" showErrorMessage="1" error="Please use the dropdown." sqref="W249" xr:uid="{00000000-0002-0000-0300-000002000000}">
      <formula1>INDIRECT($U$249)</formula1>
    </dataValidation>
    <dataValidation type="list" allowBlank="1" showInputMessage="1" showErrorMessage="1" error="Please use the dropdown." sqref="W230" xr:uid="{00000000-0002-0000-0300-000003000000}">
      <formula1>INDIRECT($U$230)</formula1>
    </dataValidation>
    <dataValidation type="list" allowBlank="1" showInputMessage="1" showErrorMessage="1" error="Please use the dropdown." sqref="W226" xr:uid="{00000000-0002-0000-0300-000004000000}">
      <formula1>INDIRECT($U$226)</formula1>
    </dataValidation>
    <dataValidation type="list" allowBlank="1" showInputMessage="1" showErrorMessage="1" error="Please use the dropdown." sqref="W171" xr:uid="{00000000-0002-0000-0300-000005000000}">
      <formula1>INDIRECT($U$171)</formula1>
    </dataValidation>
    <dataValidation type="list" allowBlank="1" showInputMessage="1" showErrorMessage="1" error="Please use the dropdown." sqref="W135" xr:uid="{00000000-0002-0000-0300-000006000000}">
      <formula1>INDIRECT($U$135)</formula1>
    </dataValidation>
    <dataValidation type="list" allowBlank="1" showInputMessage="1" showErrorMessage="1" error="Please use the dropdown." sqref="W123" xr:uid="{00000000-0002-0000-0300-000007000000}">
      <formula1>INDIRECT($U$123)</formula1>
    </dataValidation>
    <dataValidation type="list" allowBlank="1" showInputMessage="1" showErrorMessage="1" error="Please use the dropdown." sqref="W121" xr:uid="{00000000-0002-0000-0300-000008000000}">
      <formula1>INDIRECT($U$121)</formula1>
    </dataValidation>
    <dataValidation type="list" allowBlank="1" showDropDown="1" showInputMessage="1" showErrorMessage="1" error="Use Checkbox" prompt="Use Checkbox" sqref="W258 W255:W256 W245:W246 W241 W238 W225 W223 W216 W209:W214 W207 W204 W200 W198 W195:W196 W193 W188 W185:W186 W178 W168 W166 W163 W159:W161 W155 W153 W151 W148 W146 W140:W141 W133 W131 W129 W103 W100 W90:W92 W87:W88 W83 W79 W77 W69:W70 W65 W61:W63 W59 W56:W57 W45 W36 W27 W25 W23 W21 W15:W18" xr:uid="{00000000-0002-0000-0300-000009000000}">
      <formula1>TorF</formula1>
    </dataValidation>
    <dataValidation type="list" allowBlank="1" showInputMessage="1" showErrorMessage="1" error="Please use the dropdown." sqref="W72" xr:uid="{00000000-0002-0000-0300-00000A000000}">
      <formula1>INDIRECT($U$72)</formula1>
    </dataValidation>
    <dataValidation type="list" allowBlank="1" showInputMessage="1" showErrorMessage="1" error="Please use the dropdown." sqref="W107" xr:uid="{00000000-0002-0000-0300-00000B000000}">
      <formula1>INDIRECT($U$107)</formula1>
    </dataValidation>
    <dataValidation type="list" allowBlank="1" showInputMessage="1" showErrorMessage="1" error="Please use the dropdown." sqref="W114" xr:uid="{00000000-0002-0000-0300-00000C000000}">
      <formula1>INDIRECT($U$114)</formula1>
    </dataValidation>
  </dataValidations>
  <hyperlinks>
    <hyperlink ref="X264" location="'Ch6'!A1" display="CLICK TO PROCEED TO CHAPTER 6 &gt;&gt;" xr:uid="{00000000-0004-0000-0300-000000000000}"/>
  </hyperlinks>
  <pageMargins left="0.7" right="0.7" top="0.75" bottom="0.75" header="0.3" footer="0.3"/>
  <pageSetup scale="61" fitToHeight="0" orientation="landscape" r:id="rId1"/>
  <rowBreaks count="5" manualBreakCount="5">
    <brk id="48" min="8" max="23" man="1"/>
    <brk id="92" min="8" max="23" man="1"/>
    <brk id="118" min="8" max="23" man="1"/>
    <brk id="174" min="8" max="23" man="1"/>
    <brk id="216" min="8"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3228" r:id="rId4" name="Check Box 156">
              <controlPr locked="0" defaultSize="0" autoFill="0" autoLine="0" autoPict="0">
                <anchor moveWithCells="1" sizeWithCells="1">
                  <from>
                    <xdr:col>22</xdr:col>
                    <xdr:colOff>0</xdr:colOff>
                    <xdr:row>14</xdr:row>
                    <xdr:rowOff>0</xdr:rowOff>
                  </from>
                  <to>
                    <xdr:col>22</xdr:col>
                    <xdr:colOff>182880</xdr:colOff>
                    <xdr:row>14</xdr:row>
                    <xdr:rowOff>182880</xdr:rowOff>
                  </to>
                </anchor>
              </controlPr>
            </control>
          </mc:Choice>
        </mc:AlternateContent>
        <mc:AlternateContent xmlns:mc="http://schemas.openxmlformats.org/markup-compatibility/2006">
          <mc:Choice Requires="x14">
            <control shapeId="3229" r:id="rId5" name="Check Box 157">
              <controlPr locked="0" defaultSize="0" autoFill="0" autoLine="0" autoPict="0">
                <anchor moveWithCells="1" sizeWithCells="1">
                  <from>
                    <xdr:col>22</xdr:col>
                    <xdr:colOff>0</xdr:colOff>
                    <xdr:row>15</xdr:row>
                    <xdr:rowOff>0</xdr:rowOff>
                  </from>
                  <to>
                    <xdr:col>22</xdr:col>
                    <xdr:colOff>182880</xdr:colOff>
                    <xdr:row>15</xdr:row>
                    <xdr:rowOff>182880</xdr:rowOff>
                  </to>
                </anchor>
              </controlPr>
            </control>
          </mc:Choice>
        </mc:AlternateContent>
        <mc:AlternateContent xmlns:mc="http://schemas.openxmlformats.org/markup-compatibility/2006">
          <mc:Choice Requires="x14">
            <control shapeId="3230" r:id="rId6" name="Check Box 158">
              <controlPr locked="0" defaultSize="0" autoFill="0" autoLine="0" autoPict="0">
                <anchor moveWithCells="1" sizeWithCells="1">
                  <from>
                    <xdr:col>22</xdr:col>
                    <xdr:colOff>0</xdr:colOff>
                    <xdr:row>16</xdr:row>
                    <xdr:rowOff>0</xdr:rowOff>
                  </from>
                  <to>
                    <xdr:col>22</xdr:col>
                    <xdr:colOff>182880</xdr:colOff>
                    <xdr:row>16</xdr:row>
                    <xdr:rowOff>182880</xdr:rowOff>
                  </to>
                </anchor>
              </controlPr>
            </control>
          </mc:Choice>
        </mc:AlternateContent>
        <mc:AlternateContent xmlns:mc="http://schemas.openxmlformats.org/markup-compatibility/2006">
          <mc:Choice Requires="x14">
            <control shapeId="3231" r:id="rId7" name="Check Box 159">
              <controlPr locked="0" defaultSize="0" autoFill="0" autoLine="0" autoPict="0">
                <anchor moveWithCells="1" sizeWithCells="1">
                  <from>
                    <xdr:col>22</xdr:col>
                    <xdr:colOff>0</xdr:colOff>
                    <xdr:row>17</xdr:row>
                    <xdr:rowOff>0</xdr:rowOff>
                  </from>
                  <to>
                    <xdr:col>22</xdr:col>
                    <xdr:colOff>182880</xdr:colOff>
                    <xdr:row>17</xdr:row>
                    <xdr:rowOff>182880</xdr:rowOff>
                  </to>
                </anchor>
              </controlPr>
            </control>
          </mc:Choice>
        </mc:AlternateContent>
        <mc:AlternateContent xmlns:mc="http://schemas.openxmlformats.org/markup-compatibility/2006">
          <mc:Choice Requires="x14">
            <control shapeId="3232" r:id="rId8" name="Check Box 160">
              <controlPr locked="0" defaultSize="0" autoFill="0" autoLine="0" autoPict="0">
                <anchor moveWithCells="1" sizeWithCells="1">
                  <from>
                    <xdr:col>22</xdr:col>
                    <xdr:colOff>0</xdr:colOff>
                    <xdr:row>20</xdr:row>
                    <xdr:rowOff>0</xdr:rowOff>
                  </from>
                  <to>
                    <xdr:col>22</xdr:col>
                    <xdr:colOff>182880</xdr:colOff>
                    <xdr:row>20</xdr:row>
                    <xdr:rowOff>182880</xdr:rowOff>
                  </to>
                </anchor>
              </controlPr>
            </control>
          </mc:Choice>
        </mc:AlternateContent>
        <mc:AlternateContent xmlns:mc="http://schemas.openxmlformats.org/markup-compatibility/2006">
          <mc:Choice Requires="x14">
            <control shapeId="3233" r:id="rId9" name="Check Box 161">
              <controlPr locked="0" defaultSize="0" autoFill="0" autoLine="0" autoPict="0">
                <anchor moveWithCells="1" sizeWithCells="1">
                  <from>
                    <xdr:col>22</xdr:col>
                    <xdr:colOff>0</xdr:colOff>
                    <xdr:row>22</xdr:row>
                    <xdr:rowOff>0</xdr:rowOff>
                  </from>
                  <to>
                    <xdr:col>22</xdr:col>
                    <xdr:colOff>182880</xdr:colOff>
                    <xdr:row>22</xdr:row>
                    <xdr:rowOff>182880</xdr:rowOff>
                  </to>
                </anchor>
              </controlPr>
            </control>
          </mc:Choice>
        </mc:AlternateContent>
        <mc:AlternateContent xmlns:mc="http://schemas.openxmlformats.org/markup-compatibility/2006">
          <mc:Choice Requires="x14">
            <control shapeId="3234" r:id="rId10" name="Check Box 162">
              <controlPr locked="0" defaultSize="0" autoFill="0" autoLine="0" autoPict="0">
                <anchor moveWithCells="1" sizeWithCells="1">
                  <from>
                    <xdr:col>22</xdr:col>
                    <xdr:colOff>0</xdr:colOff>
                    <xdr:row>24</xdr:row>
                    <xdr:rowOff>0</xdr:rowOff>
                  </from>
                  <to>
                    <xdr:col>22</xdr:col>
                    <xdr:colOff>182880</xdr:colOff>
                    <xdr:row>24</xdr:row>
                    <xdr:rowOff>182880</xdr:rowOff>
                  </to>
                </anchor>
              </controlPr>
            </control>
          </mc:Choice>
        </mc:AlternateContent>
        <mc:AlternateContent xmlns:mc="http://schemas.openxmlformats.org/markup-compatibility/2006">
          <mc:Choice Requires="x14">
            <control shapeId="3235" r:id="rId11" name="Check Box 163">
              <controlPr locked="0" defaultSize="0" autoFill="0" autoLine="0" autoPict="0">
                <anchor moveWithCells="1" sizeWithCells="1">
                  <from>
                    <xdr:col>22</xdr:col>
                    <xdr:colOff>0</xdr:colOff>
                    <xdr:row>26</xdr:row>
                    <xdr:rowOff>0</xdr:rowOff>
                  </from>
                  <to>
                    <xdr:col>22</xdr:col>
                    <xdr:colOff>182880</xdr:colOff>
                    <xdr:row>26</xdr:row>
                    <xdr:rowOff>182880</xdr:rowOff>
                  </to>
                </anchor>
              </controlPr>
            </control>
          </mc:Choice>
        </mc:AlternateContent>
        <mc:AlternateContent xmlns:mc="http://schemas.openxmlformats.org/markup-compatibility/2006">
          <mc:Choice Requires="x14">
            <control shapeId="3236" r:id="rId12" name="Check Box 164">
              <controlPr locked="0" defaultSize="0" autoFill="0" autoLine="0" autoPict="0">
                <anchor moveWithCells="1" sizeWithCells="1">
                  <from>
                    <xdr:col>22</xdr:col>
                    <xdr:colOff>0</xdr:colOff>
                    <xdr:row>35</xdr:row>
                    <xdr:rowOff>0</xdr:rowOff>
                  </from>
                  <to>
                    <xdr:col>22</xdr:col>
                    <xdr:colOff>182880</xdr:colOff>
                    <xdr:row>35</xdr:row>
                    <xdr:rowOff>182880</xdr:rowOff>
                  </to>
                </anchor>
              </controlPr>
            </control>
          </mc:Choice>
        </mc:AlternateContent>
        <mc:AlternateContent xmlns:mc="http://schemas.openxmlformats.org/markup-compatibility/2006">
          <mc:Choice Requires="x14">
            <control shapeId="3237" r:id="rId13" name="Check Box 165">
              <controlPr locked="0" defaultSize="0" autoFill="0" autoLine="0" autoPict="0">
                <anchor moveWithCells="1" sizeWithCells="1">
                  <from>
                    <xdr:col>22</xdr:col>
                    <xdr:colOff>0</xdr:colOff>
                    <xdr:row>44</xdr:row>
                    <xdr:rowOff>0</xdr:rowOff>
                  </from>
                  <to>
                    <xdr:col>22</xdr:col>
                    <xdr:colOff>182880</xdr:colOff>
                    <xdr:row>44</xdr:row>
                    <xdr:rowOff>182880</xdr:rowOff>
                  </to>
                </anchor>
              </controlPr>
            </control>
          </mc:Choice>
        </mc:AlternateContent>
        <mc:AlternateContent xmlns:mc="http://schemas.openxmlformats.org/markup-compatibility/2006">
          <mc:Choice Requires="x14">
            <control shapeId="3238" r:id="rId14" name="Check Box 166">
              <controlPr locked="0" defaultSize="0" autoFill="0" autoLine="0" autoPict="0">
                <anchor moveWithCells="1" sizeWithCells="1">
                  <from>
                    <xdr:col>22</xdr:col>
                    <xdr:colOff>0</xdr:colOff>
                    <xdr:row>55</xdr:row>
                    <xdr:rowOff>0</xdr:rowOff>
                  </from>
                  <to>
                    <xdr:col>22</xdr:col>
                    <xdr:colOff>182880</xdr:colOff>
                    <xdr:row>55</xdr:row>
                    <xdr:rowOff>182880</xdr:rowOff>
                  </to>
                </anchor>
              </controlPr>
            </control>
          </mc:Choice>
        </mc:AlternateContent>
        <mc:AlternateContent xmlns:mc="http://schemas.openxmlformats.org/markup-compatibility/2006">
          <mc:Choice Requires="x14">
            <control shapeId="3239" r:id="rId15" name="Check Box 167">
              <controlPr locked="0" defaultSize="0" autoFill="0" autoLine="0" autoPict="0">
                <anchor moveWithCells="1" sizeWithCells="1">
                  <from>
                    <xdr:col>22</xdr:col>
                    <xdr:colOff>0</xdr:colOff>
                    <xdr:row>56</xdr:row>
                    <xdr:rowOff>0</xdr:rowOff>
                  </from>
                  <to>
                    <xdr:col>22</xdr:col>
                    <xdr:colOff>182880</xdr:colOff>
                    <xdr:row>56</xdr:row>
                    <xdr:rowOff>182880</xdr:rowOff>
                  </to>
                </anchor>
              </controlPr>
            </control>
          </mc:Choice>
        </mc:AlternateContent>
        <mc:AlternateContent xmlns:mc="http://schemas.openxmlformats.org/markup-compatibility/2006">
          <mc:Choice Requires="x14">
            <control shapeId="3240" r:id="rId16" name="Check Box 168">
              <controlPr locked="0" defaultSize="0" autoFill="0" autoLine="0" autoPict="0">
                <anchor moveWithCells="1" sizeWithCells="1">
                  <from>
                    <xdr:col>22</xdr:col>
                    <xdr:colOff>0</xdr:colOff>
                    <xdr:row>58</xdr:row>
                    <xdr:rowOff>0</xdr:rowOff>
                  </from>
                  <to>
                    <xdr:col>22</xdr:col>
                    <xdr:colOff>182880</xdr:colOff>
                    <xdr:row>58</xdr:row>
                    <xdr:rowOff>182880</xdr:rowOff>
                  </to>
                </anchor>
              </controlPr>
            </control>
          </mc:Choice>
        </mc:AlternateContent>
        <mc:AlternateContent xmlns:mc="http://schemas.openxmlformats.org/markup-compatibility/2006">
          <mc:Choice Requires="x14">
            <control shapeId="3241" r:id="rId17" name="Check Box 169">
              <controlPr locked="0" defaultSize="0" autoFill="0" autoLine="0" autoPict="0">
                <anchor moveWithCells="1" sizeWithCells="1">
                  <from>
                    <xdr:col>22</xdr:col>
                    <xdr:colOff>0</xdr:colOff>
                    <xdr:row>60</xdr:row>
                    <xdr:rowOff>0</xdr:rowOff>
                  </from>
                  <to>
                    <xdr:col>22</xdr:col>
                    <xdr:colOff>182880</xdr:colOff>
                    <xdr:row>60</xdr:row>
                    <xdr:rowOff>182880</xdr:rowOff>
                  </to>
                </anchor>
              </controlPr>
            </control>
          </mc:Choice>
        </mc:AlternateContent>
        <mc:AlternateContent xmlns:mc="http://schemas.openxmlformats.org/markup-compatibility/2006">
          <mc:Choice Requires="x14">
            <control shapeId="3242" r:id="rId18" name="Check Box 170">
              <controlPr locked="0" defaultSize="0" autoFill="0" autoLine="0" autoPict="0">
                <anchor moveWithCells="1" sizeWithCells="1">
                  <from>
                    <xdr:col>22</xdr:col>
                    <xdr:colOff>0</xdr:colOff>
                    <xdr:row>61</xdr:row>
                    <xdr:rowOff>0</xdr:rowOff>
                  </from>
                  <to>
                    <xdr:col>22</xdr:col>
                    <xdr:colOff>182880</xdr:colOff>
                    <xdr:row>61</xdr:row>
                    <xdr:rowOff>182880</xdr:rowOff>
                  </to>
                </anchor>
              </controlPr>
            </control>
          </mc:Choice>
        </mc:AlternateContent>
        <mc:AlternateContent xmlns:mc="http://schemas.openxmlformats.org/markup-compatibility/2006">
          <mc:Choice Requires="x14">
            <control shapeId="3243" r:id="rId19" name="Check Box 171">
              <controlPr locked="0" defaultSize="0" autoFill="0" autoLine="0" autoPict="0">
                <anchor moveWithCells="1" sizeWithCells="1">
                  <from>
                    <xdr:col>22</xdr:col>
                    <xdr:colOff>0</xdr:colOff>
                    <xdr:row>62</xdr:row>
                    <xdr:rowOff>0</xdr:rowOff>
                  </from>
                  <to>
                    <xdr:col>22</xdr:col>
                    <xdr:colOff>182880</xdr:colOff>
                    <xdr:row>62</xdr:row>
                    <xdr:rowOff>182880</xdr:rowOff>
                  </to>
                </anchor>
              </controlPr>
            </control>
          </mc:Choice>
        </mc:AlternateContent>
        <mc:AlternateContent xmlns:mc="http://schemas.openxmlformats.org/markup-compatibility/2006">
          <mc:Choice Requires="x14">
            <control shapeId="3244" r:id="rId20" name="Check Box 172">
              <controlPr locked="0" defaultSize="0" autoFill="0" autoLine="0" autoPict="0">
                <anchor moveWithCells="1" sizeWithCells="1">
                  <from>
                    <xdr:col>22</xdr:col>
                    <xdr:colOff>0</xdr:colOff>
                    <xdr:row>64</xdr:row>
                    <xdr:rowOff>0</xdr:rowOff>
                  </from>
                  <to>
                    <xdr:col>22</xdr:col>
                    <xdr:colOff>182880</xdr:colOff>
                    <xdr:row>64</xdr:row>
                    <xdr:rowOff>182880</xdr:rowOff>
                  </to>
                </anchor>
              </controlPr>
            </control>
          </mc:Choice>
        </mc:AlternateContent>
        <mc:AlternateContent xmlns:mc="http://schemas.openxmlformats.org/markup-compatibility/2006">
          <mc:Choice Requires="x14">
            <control shapeId="3245" r:id="rId21" name="Check Box 173">
              <controlPr locked="0" defaultSize="0" autoFill="0" autoLine="0" autoPict="0">
                <anchor moveWithCells="1" sizeWithCells="1">
                  <from>
                    <xdr:col>22</xdr:col>
                    <xdr:colOff>0</xdr:colOff>
                    <xdr:row>68</xdr:row>
                    <xdr:rowOff>0</xdr:rowOff>
                  </from>
                  <to>
                    <xdr:col>22</xdr:col>
                    <xdr:colOff>182880</xdr:colOff>
                    <xdr:row>68</xdr:row>
                    <xdr:rowOff>182880</xdr:rowOff>
                  </to>
                </anchor>
              </controlPr>
            </control>
          </mc:Choice>
        </mc:AlternateContent>
        <mc:AlternateContent xmlns:mc="http://schemas.openxmlformats.org/markup-compatibility/2006">
          <mc:Choice Requires="x14">
            <control shapeId="3246" r:id="rId22" name="Check Box 174">
              <controlPr locked="0" defaultSize="0" autoFill="0" autoLine="0" autoPict="0">
                <anchor moveWithCells="1" sizeWithCells="1">
                  <from>
                    <xdr:col>22</xdr:col>
                    <xdr:colOff>0</xdr:colOff>
                    <xdr:row>69</xdr:row>
                    <xdr:rowOff>0</xdr:rowOff>
                  </from>
                  <to>
                    <xdr:col>22</xdr:col>
                    <xdr:colOff>182880</xdr:colOff>
                    <xdr:row>69</xdr:row>
                    <xdr:rowOff>182880</xdr:rowOff>
                  </to>
                </anchor>
              </controlPr>
            </control>
          </mc:Choice>
        </mc:AlternateContent>
        <mc:AlternateContent xmlns:mc="http://schemas.openxmlformats.org/markup-compatibility/2006">
          <mc:Choice Requires="x14">
            <control shapeId="3248" r:id="rId23" name="Check Box 176">
              <controlPr locked="0" defaultSize="0" autoFill="0" autoLine="0" autoPict="0">
                <anchor moveWithCells="1" sizeWithCells="1">
                  <from>
                    <xdr:col>22</xdr:col>
                    <xdr:colOff>0</xdr:colOff>
                    <xdr:row>76</xdr:row>
                    <xdr:rowOff>0</xdr:rowOff>
                  </from>
                  <to>
                    <xdr:col>22</xdr:col>
                    <xdr:colOff>182880</xdr:colOff>
                    <xdr:row>76</xdr:row>
                    <xdr:rowOff>182880</xdr:rowOff>
                  </to>
                </anchor>
              </controlPr>
            </control>
          </mc:Choice>
        </mc:AlternateContent>
        <mc:AlternateContent xmlns:mc="http://schemas.openxmlformats.org/markup-compatibility/2006">
          <mc:Choice Requires="x14">
            <control shapeId="3249" r:id="rId24" name="Check Box 177">
              <controlPr locked="0" defaultSize="0" autoFill="0" autoLine="0" autoPict="0">
                <anchor moveWithCells="1" sizeWithCells="1">
                  <from>
                    <xdr:col>22</xdr:col>
                    <xdr:colOff>0</xdr:colOff>
                    <xdr:row>78</xdr:row>
                    <xdr:rowOff>0</xdr:rowOff>
                  </from>
                  <to>
                    <xdr:col>22</xdr:col>
                    <xdr:colOff>182880</xdr:colOff>
                    <xdr:row>78</xdr:row>
                    <xdr:rowOff>182880</xdr:rowOff>
                  </to>
                </anchor>
              </controlPr>
            </control>
          </mc:Choice>
        </mc:AlternateContent>
        <mc:AlternateContent xmlns:mc="http://schemas.openxmlformats.org/markup-compatibility/2006">
          <mc:Choice Requires="x14">
            <control shapeId="3250" r:id="rId25" name="Check Box 178">
              <controlPr locked="0" defaultSize="0" autoFill="0" autoLine="0" autoPict="0">
                <anchor moveWithCells="1" sizeWithCells="1">
                  <from>
                    <xdr:col>22</xdr:col>
                    <xdr:colOff>0</xdr:colOff>
                    <xdr:row>82</xdr:row>
                    <xdr:rowOff>0</xdr:rowOff>
                  </from>
                  <to>
                    <xdr:col>22</xdr:col>
                    <xdr:colOff>182880</xdr:colOff>
                    <xdr:row>82</xdr:row>
                    <xdr:rowOff>182880</xdr:rowOff>
                  </to>
                </anchor>
              </controlPr>
            </control>
          </mc:Choice>
        </mc:AlternateContent>
        <mc:AlternateContent xmlns:mc="http://schemas.openxmlformats.org/markup-compatibility/2006">
          <mc:Choice Requires="x14">
            <control shapeId="3251" r:id="rId26" name="Check Box 179">
              <controlPr locked="0" defaultSize="0" autoFill="0" autoLine="0" autoPict="0">
                <anchor moveWithCells="1" sizeWithCells="1">
                  <from>
                    <xdr:col>22</xdr:col>
                    <xdr:colOff>0</xdr:colOff>
                    <xdr:row>86</xdr:row>
                    <xdr:rowOff>0</xdr:rowOff>
                  </from>
                  <to>
                    <xdr:col>22</xdr:col>
                    <xdr:colOff>182880</xdr:colOff>
                    <xdr:row>86</xdr:row>
                    <xdr:rowOff>182880</xdr:rowOff>
                  </to>
                </anchor>
              </controlPr>
            </control>
          </mc:Choice>
        </mc:AlternateContent>
        <mc:AlternateContent xmlns:mc="http://schemas.openxmlformats.org/markup-compatibility/2006">
          <mc:Choice Requires="x14">
            <control shapeId="3252" r:id="rId27" name="Check Box 180">
              <controlPr locked="0" defaultSize="0" autoFill="0" autoLine="0" autoPict="0">
                <anchor moveWithCells="1" sizeWithCells="1">
                  <from>
                    <xdr:col>22</xdr:col>
                    <xdr:colOff>0</xdr:colOff>
                    <xdr:row>87</xdr:row>
                    <xdr:rowOff>0</xdr:rowOff>
                  </from>
                  <to>
                    <xdr:col>22</xdr:col>
                    <xdr:colOff>182880</xdr:colOff>
                    <xdr:row>87</xdr:row>
                    <xdr:rowOff>182880</xdr:rowOff>
                  </to>
                </anchor>
              </controlPr>
            </control>
          </mc:Choice>
        </mc:AlternateContent>
        <mc:AlternateContent xmlns:mc="http://schemas.openxmlformats.org/markup-compatibility/2006">
          <mc:Choice Requires="x14">
            <control shapeId="3253" r:id="rId28" name="Check Box 181">
              <controlPr locked="0" defaultSize="0" autoFill="0" autoLine="0" autoPict="0">
                <anchor moveWithCells="1" sizeWithCells="1">
                  <from>
                    <xdr:col>22</xdr:col>
                    <xdr:colOff>0</xdr:colOff>
                    <xdr:row>89</xdr:row>
                    <xdr:rowOff>0</xdr:rowOff>
                  </from>
                  <to>
                    <xdr:col>22</xdr:col>
                    <xdr:colOff>182880</xdr:colOff>
                    <xdr:row>89</xdr:row>
                    <xdr:rowOff>182880</xdr:rowOff>
                  </to>
                </anchor>
              </controlPr>
            </control>
          </mc:Choice>
        </mc:AlternateContent>
        <mc:AlternateContent xmlns:mc="http://schemas.openxmlformats.org/markup-compatibility/2006">
          <mc:Choice Requires="x14">
            <control shapeId="3254" r:id="rId29" name="Check Box 182">
              <controlPr locked="0" defaultSize="0" autoFill="0" autoLine="0" autoPict="0">
                <anchor moveWithCells="1" sizeWithCells="1">
                  <from>
                    <xdr:col>22</xdr:col>
                    <xdr:colOff>0</xdr:colOff>
                    <xdr:row>90</xdr:row>
                    <xdr:rowOff>0</xdr:rowOff>
                  </from>
                  <to>
                    <xdr:col>22</xdr:col>
                    <xdr:colOff>182880</xdr:colOff>
                    <xdr:row>90</xdr:row>
                    <xdr:rowOff>182880</xdr:rowOff>
                  </to>
                </anchor>
              </controlPr>
            </control>
          </mc:Choice>
        </mc:AlternateContent>
        <mc:AlternateContent xmlns:mc="http://schemas.openxmlformats.org/markup-compatibility/2006">
          <mc:Choice Requires="x14">
            <control shapeId="3255" r:id="rId30" name="Check Box 183">
              <controlPr locked="0" defaultSize="0" autoFill="0" autoLine="0" autoPict="0">
                <anchor moveWithCells="1" sizeWithCells="1">
                  <from>
                    <xdr:col>22</xdr:col>
                    <xdr:colOff>0</xdr:colOff>
                    <xdr:row>91</xdr:row>
                    <xdr:rowOff>0</xdr:rowOff>
                  </from>
                  <to>
                    <xdr:col>22</xdr:col>
                    <xdr:colOff>182880</xdr:colOff>
                    <xdr:row>91</xdr:row>
                    <xdr:rowOff>182880</xdr:rowOff>
                  </to>
                </anchor>
              </controlPr>
            </control>
          </mc:Choice>
        </mc:AlternateContent>
        <mc:AlternateContent xmlns:mc="http://schemas.openxmlformats.org/markup-compatibility/2006">
          <mc:Choice Requires="x14">
            <control shapeId="3256" r:id="rId31" name="Check Box 184">
              <controlPr locked="0" defaultSize="0" autoFill="0" autoLine="0" autoPict="0">
                <anchor moveWithCells="1" sizeWithCells="1">
                  <from>
                    <xdr:col>22</xdr:col>
                    <xdr:colOff>0</xdr:colOff>
                    <xdr:row>99</xdr:row>
                    <xdr:rowOff>0</xdr:rowOff>
                  </from>
                  <to>
                    <xdr:col>22</xdr:col>
                    <xdr:colOff>182880</xdr:colOff>
                    <xdr:row>99</xdr:row>
                    <xdr:rowOff>182880</xdr:rowOff>
                  </to>
                </anchor>
              </controlPr>
            </control>
          </mc:Choice>
        </mc:AlternateContent>
        <mc:AlternateContent xmlns:mc="http://schemas.openxmlformats.org/markup-compatibility/2006">
          <mc:Choice Requires="x14">
            <control shapeId="3257" r:id="rId32" name="Check Box 185">
              <controlPr locked="0" defaultSize="0" autoFill="0" autoLine="0" autoPict="0">
                <anchor moveWithCells="1" sizeWithCells="1">
                  <from>
                    <xdr:col>22</xdr:col>
                    <xdr:colOff>0</xdr:colOff>
                    <xdr:row>102</xdr:row>
                    <xdr:rowOff>0</xdr:rowOff>
                  </from>
                  <to>
                    <xdr:col>22</xdr:col>
                    <xdr:colOff>182880</xdr:colOff>
                    <xdr:row>102</xdr:row>
                    <xdr:rowOff>182880</xdr:rowOff>
                  </to>
                </anchor>
              </controlPr>
            </control>
          </mc:Choice>
        </mc:AlternateContent>
        <mc:AlternateContent xmlns:mc="http://schemas.openxmlformats.org/markup-compatibility/2006">
          <mc:Choice Requires="x14">
            <control shapeId="3260" r:id="rId33" name="Check Box 188">
              <controlPr locked="0" defaultSize="0" autoFill="0" autoLine="0" autoPict="0">
                <anchor moveWithCells="1" sizeWithCells="1">
                  <from>
                    <xdr:col>22</xdr:col>
                    <xdr:colOff>0</xdr:colOff>
                    <xdr:row>128</xdr:row>
                    <xdr:rowOff>0</xdr:rowOff>
                  </from>
                  <to>
                    <xdr:col>22</xdr:col>
                    <xdr:colOff>182880</xdr:colOff>
                    <xdr:row>128</xdr:row>
                    <xdr:rowOff>182880</xdr:rowOff>
                  </to>
                </anchor>
              </controlPr>
            </control>
          </mc:Choice>
        </mc:AlternateContent>
        <mc:AlternateContent xmlns:mc="http://schemas.openxmlformats.org/markup-compatibility/2006">
          <mc:Choice Requires="x14">
            <control shapeId="3261" r:id="rId34" name="Check Box 189">
              <controlPr locked="0" defaultSize="0" autoFill="0" autoLine="0" autoPict="0">
                <anchor moveWithCells="1" sizeWithCells="1">
                  <from>
                    <xdr:col>22</xdr:col>
                    <xdr:colOff>0</xdr:colOff>
                    <xdr:row>130</xdr:row>
                    <xdr:rowOff>0</xdr:rowOff>
                  </from>
                  <to>
                    <xdr:col>22</xdr:col>
                    <xdr:colOff>182880</xdr:colOff>
                    <xdr:row>130</xdr:row>
                    <xdr:rowOff>182880</xdr:rowOff>
                  </to>
                </anchor>
              </controlPr>
            </control>
          </mc:Choice>
        </mc:AlternateContent>
        <mc:AlternateContent xmlns:mc="http://schemas.openxmlformats.org/markup-compatibility/2006">
          <mc:Choice Requires="x14">
            <control shapeId="3262" r:id="rId35" name="Check Box 190">
              <controlPr locked="0" defaultSize="0" autoFill="0" autoLine="0" autoPict="0">
                <anchor moveWithCells="1" sizeWithCells="1">
                  <from>
                    <xdr:col>22</xdr:col>
                    <xdr:colOff>0</xdr:colOff>
                    <xdr:row>132</xdr:row>
                    <xdr:rowOff>0</xdr:rowOff>
                  </from>
                  <to>
                    <xdr:col>22</xdr:col>
                    <xdr:colOff>182880</xdr:colOff>
                    <xdr:row>132</xdr:row>
                    <xdr:rowOff>182880</xdr:rowOff>
                  </to>
                </anchor>
              </controlPr>
            </control>
          </mc:Choice>
        </mc:AlternateContent>
        <mc:AlternateContent xmlns:mc="http://schemas.openxmlformats.org/markup-compatibility/2006">
          <mc:Choice Requires="x14">
            <control shapeId="3263" r:id="rId36" name="Check Box 191">
              <controlPr locked="0" defaultSize="0" autoFill="0" autoLine="0" autoPict="0">
                <anchor moveWithCells="1" sizeWithCells="1">
                  <from>
                    <xdr:col>22</xdr:col>
                    <xdr:colOff>0</xdr:colOff>
                    <xdr:row>139</xdr:row>
                    <xdr:rowOff>0</xdr:rowOff>
                  </from>
                  <to>
                    <xdr:col>22</xdr:col>
                    <xdr:colOff>182880</xdr:colOff>
                    <xdr:row>139</xdr:row>
                    <xdr:rowOff>182880</xdr:rowOff>
                  </to>
                </anchor>
              </controlPr>
            </control>
          </mc:Choice>
        </mc:AlternateContent>
        <mc:AlternateContent xmlns:mc="http://schemas.openxmlformats.org/markup-compatibility/2006">
          <mc:Choice Requires="x14">
            <control shapeId="3264" r:id="rId37" name="Check Box 192">
              <controlPr locked="0" defaultSize="0" autoFill="0" autoLine="0" autoPict="0">
                <anchor moveWithCells="1" sizeWithCells="1">
                  <from>
                    <xdr:col>22</xdr:col>
                    <xdr:colOff>0</xdr:colOff>
                    <xdr:row>140</xdr:row>
                    <xdr:rowOff>0</xdr:rowOff>
                  </from>
                  <to>
                    <xdr:col>22</xdr:col>
                    <xdr:colOff>182880</xdr:colOff>
                    <xdr:row>140</xdr:row>
                    <xdr:rowOff>182880</xdr:rowOff>
                  </to>
                </anchor>
              </controlPr>
            </control>
          </mc:Choice>
        </mc:AlternateContent>
        <mc:AlternateContent xmlns:mc="http://schemas.openxmlformats.org/markup-compatibility/2006">
          <mc:Choice Requires="x14">
            <control shapeId="3265" r:id="rId38" name="Check Box 193">
              <controlPr locked="0" defaultSize="0" autoFill="0" autoLine="0" autoPict="0">
                <anchor moveWithCells="1" sizeWithCells="1">
                  <from>
                    <xdr:col>22</xdr:col>
                    <xdr:colOff>0</xdr:colOff>
                    <xdr:row>145</xdr:row>
                    <xdr:rowOff>0</xdr:rowOff>
                  </from>
                  <to>
                    <xdr:col>22</xdr:col>
                    <xdr:colOff>182880</xdr:colOff>
                    <xdr:row>145</xdr:row>
                    <xdr:rowOff>182880</xdr:rowOff>
                  </to>
                </anchor>
              </controlPr>
            </control>
          </mc:Choice>
        </mc:AlternateContent>
        <mc:AlternateContent xmlns:mc="http://schemas.openxmlformats.org/markup-compatibility/2006">
          <mc:Choice Requires="x14">
            <control shapeId="3266" r:id="rId39" name="Check Box 194">
              <controlPr locked="0" defaultSize="0" autoFill="0" autoLine="0" autoPict="0">
                <anchor moveWithCells="1" sizeWithCells="1">
                  <from>
                    <xdr:col>22</xdr:col>
                    <xdr:colOff>0</xdr:colOff>
                    <xdr:row>147</xdr:row>
                    <xdr:rowOff>0</xdr:rowOff>
                  </from>
                  <to>
                    <xdr:col>22</xdr:col>
                    <xdr:colOff>182880</xdr:colOff>
                    <xdr:row>147</xdr:row>
                    <xdr:rowOff>182880</xdr:rowOff>
                  </to>
                </anchor>
              </controlPr>
            </control>
          </mc:Choice>
        </mc:AlternateContent>
        <mc:AlternateContent xmlns:mc="http://schemas.openxmlformats.org/markup-compatibility/2006">
          <mc:Choice Requires="x14">
            <control shapeId="3267" r:id="rId40" name="Check Box 195">
              <controlPr locked="0" defaultSize="0" autoFill="0" autoLine="0" autoPict="0">
                <anchor moveWithCells="1" sizeWithCells="1">
                  <from>
                    <xdr:col>22</xdr:col>
                    <xdr:colOff>0</xdr:colOff>
                    <xdr:row>150</xdr:row>
                    <xdr:rowOff>0</xdr:rowOff>
                  </from>
                  <to>
                    <xdr:col>22</xdr:col>
                    <xdr:colOff>182880</xdr:colOff>
                    <xdr:row>150</xdr:row>
                    <xdr:rowOff>182880</xdr:rowOff>
                  </to>
                </anchor>
              </controlPr>
            </control>
          </mc:Choice>
        </mc:AlternateContent>
        <mc:AlternateContent xmlns:mc="http://schemas.openxmlformats.org/markup-compatibility/2006">
          <mc:Choice Requires="x14">
            <control shapeId="3268" r:id="rId41" name="Check Box 196">
              <controlPr locked="0" defaultSize="0" autoFill="0" autoLine="0" autoPict="0">
                <anchor moveWithCells="1" sizeWithCells="1">
                  <from>
                    <xdr:col>22</xdr:col>
                    <xdr:colOff>0</xdr:colOff>
                    <xdr:row>152</xdr:row>
                    <xdr:rowOff>0</xdr:rowOff>
                  </from>
                  <to>
                    <xdr:col>22</xdr:col>
                    <xdr:colOff>182880</xdr:colOff>
                    <xdr:row>152</xdr:row>
                    <xdr:rowOff>182880</xdr:rowOff>
                  </to>
                </anchor>
              </controlPr>
            </control>
          </mc:Choice>
        </mc:AlternateContent>
        <mc:AlternateContent xmlns:mc="http://schemas.openxmlformats.org/markup-compatibility/2006">
          <mc:Choice Requires="x14">
            <control shapeId="3269" r:id="rId42" name="Check Box 197">
              <controlPr locked="0" defaultSize="0" autoFill="0" autoLine="0" autoPict="0">
                <anchor moveWithCells="1" sizeWithCells="1">
                  <from>
                    <xdr:col>22</xdr:col>
                    <xdr:colOff>0</xdr:colOff>
                    <xdr:row>154</xdr:row>
                    <xdr:rowOff>0</xdr:rowOff>
                  </from>
                  <to>
                    <xdr:col>22</xdr:col>
                    <xdr:colOff>182880</xdr:colOff>
                    <xdr:row>154</xdr:row>
                    <xdr:rowOff>182880</xdr:rowOff>
                  </to>
                </anchor>
              </controlPr>
            </control>
          </mc:Choice>
        </mc:AlternateContent>
        <mc:AlternateContent xmlns:mc="http://schemas.openxmlformats.org/markup-compatibility/2006">
          <mc:Choice Requires="x14">
            <control shapeId="3270" r:id="rId43" name="Check Box 198">
              <controlPr locked="0" defaultSize="0" autoFill="0" autoLine="0" autoPict="0">
                <anchor moveWithCells="1" sizeWithCells="1">
                  <from>
                    <xdr:col>22</xdr:col>
                    <xdr:colOff>0</xdr:colOff>
                    <xdr:row>158</xdr:row>
                    <xdr:rowOff>0</xdr:rowOff>
                  </from>
                  <to>
                    <xdr:col>22</xdr:col>
                    <xdr:colOff>182880</xdr:colOff>
                    <xdr:row>158</xdr:row>
                    <xdr:rowOff>182880</xdr:rowOff>
                  </to>
                </anchor>
              </controlPr>
            </control>
          </mc:Choice>
        </mc:AlternateContent>
        <mc:AlternateContent xmlns:mc="http://schemas.openxmlformats.org/markup-compatibility/2006">
          <mc:Choice Requires="x14">
            <control shapeId="3271" r:id="rId44" name="Check Box 199">
              <controlPr locked="0" defaultSize="0" autoFill="0" autoLine="0" autoPict="0">
                <anchor moveWithCells="1" sizeWithCells="1">
                  <from>
                    <xdr:col>22</xdr:col>
                    <xdr:colOff>0</xdr:colOff>
                    <xdr:row>159</xdr:row>
                    <xdr:rowOff>0</xdr:rowOff>
                  </from>
                  <to>
                    <xdr:col>22</xdr:col>
                    <xdr:colOff>182880</xdr:colOff>
                    <xdr:row>159</xdr:row>
                    <xdr:rowOff>182880</xdr:rowOff>
                  </to>
                </anchor>
              </controlPr>
            </control>
          </mc:Choice>
        </mc:AlternateContent>
        <mc:AlternateContent xmlns:mc="http://schemas.openxmlformats.org/markup-compatibility/2006">
          <mc:Choice Requires="x14">
            <control shapeId="3272" r:id="rId45" name="Check Box 200">
              <controlPr locked="0" defaultSize="0" autoFill="0" autoLine="0" autoPict="0">
                <anchor moveWithCells="1" sizeWithCells="1">
                  <from>
                    <xdr:col>22</xdr:col>
                    <xdr:colOff>0</xdr:colOff>
                    <xdr:row>160</xdr:row>
                    <xdr:rowOff>0</xdr:rowOff>
                  </from>
                  <to>
                    <xdr:col>22</xdr:col>
                    <xdr:colOff>182880</xdr:colOff>
                    <xdr:row>160</xdr:row>
                    <xdr:rowOff>182880</xdr:rowOff>
                  </to>
                </anchor>
              </controlPr>
            </control>
          </mc:Choice>
        </mc:AlternateContent>
        <mc:AlternateContent xmlns:mc="http://schemas.openxmlformats.org/markup-compatibility/2006">
          <mc:Choice Requires="x14">
            <control shapeId="3273" r:id="rId46" name="Check Box 201">
              <controlPr locked="0" defaultSize="0" autoFill="0" autoLine="0" autoPict="0">
                <anchor moveWithCells="1" sizeWithCells="1">
                  <from>
                    <xdr:col>22</xdr:col>
                    <xdr:colOff>0</xdr:colOff>
                    <xdr:row>162</xdr:row>
                    <xdr:rowOff>0</xdr:rowOff>
                  </from>
                  <to>
                    <xdr:col>22</xdr:col>
                    <xdr:colOff>182880</xdr:colOff>
                    <xdr:row>162</xdr:row>
                    <xdr:rowOff>182880</xdr:rowOff>
                  </to>
                </anchor>
              </controlPr>
            </control>
          </mc:Choice>
        </mc:AlternateContent>
        <mc:AlternateContent xmlns:mc="http://schemas.openxmlformats.org/markup-compatibility/2006">
          <mc:Choice Requires="x14">
            <control shapeId="3274" r:id="rId47" name="Check Box 202">
              <controlPr locked="0" defaultSize="0" autoFill="0" autoLine="0" autoPict="0">
                <anchor moveWithCells="1" sizeWithCells="1">
                  <from>
                    <xdr:col>22</xdr:col>
                    <xdr:colOff>0</xdr:colOff>
                    <xdr:row>165</xdr:row>
                    <xdr:rowOff>0</xdr:rowOff>
                  </from>
                  <to>
                    <xdr:col>22</xdr:col>
                    <xdr:colOff>182880</xdr:colOff>
                    <xdr:row>165</xdr:row>
                    <xdr:rowOff>182880</xdr:rowOff>
                  </to>
                </anchor>
              </controlPr>
            </control>
          </mc:Choice>
        </mc:AlternateContent>
        <mc:AlternateContent xmlns:mc="http://schemas.openxmlformats.org/markup-compatibility/2006">
          <mc:Choice Requires="x14">
            <control shapeId="3275" r:id="rId48" name="Check Box 203">
              <controlPr locked="0" defaultSize="0" autoFill="0" autoLine="0" autoPict="0">
                <anchor moveWithCells="1" sizeWithCells="1">
                  <from>
                    <xdr:col>22</xdr:col>
                    <xdr:colOff>0</xdr:colOff>
                    <xdr:row>167</xdr:row>
                    <xdr:rowOff>0</xdr:rowOff>
                  </from>
                  <to>
                    <xdr:col>22</xdr:col>
                    <xdr:colOff>182880</xdr:colOff>
                    <xdr:row>167</xdr:row>
                    <xdr:rowOff>182880</xdr:rowOff>
                  </to>
                </anchor>
              </controlPr>
            </control>
          </mc:Choice>
        </mc:AlternateContent>
        <mc:AlternateContent xmlns:mc="http://schemas.openxmlformats.org/markup-compatibility/2006">
          <mc:Choice Requires="x14">
            <control shapeId="3276" r:id="rId49" name="Check Box 204">
              <controlPr locked="0" defaultSize="0" autoFill="0" autoLine="0" autoPict="0">
                <anchor moveWithCells="1" sizeWithCells="1">
                  <from>
                    <xdr:col>22</xdr:col>
                    <xdr:colOff>0</xdr:colOff>
                    <xdr:row>177</xdr:row>
                    <xdr:rowOff>0</xdr:rowOff>
                  </from>
                  <to>
                    <xdr:col>22</xdr:col>
                    <xdr:colOff>182880</xdr:colOff>
                    <xdr:row>177</xdr:row>
                    <xdr:rowOff>182880</xdr:rowOff>
                  </to>
                </anchor>
              </controlPr>
            </control>
          </mc:Choice>
        </mc:AlternateContent>
        <mc:AlternateContent xmlns:mc="http://schemas.openxmlformats.org/markup-compatibility/2006">
          <mc:Choice Requires="x14">
            <control shapeId="3277" r:id="rId50" name="Check Box 205">
              <controlPr locked="0" defaultSize="0" autoFill="0" autoLine="0" autoPict="0">
                <anchor moveWithCells="1" sizeWithCells="1">
                  <from>
                    <xdr:col>22</xdr:col>
                    <xdr:colOff>0</xdr:colOff>
                    <xdr:row>184</xdr:row>
                    <xdr:rowOff>0</xdr:rowOff>
                  </from>
                  <to>
                    <xdr:col>22</xdr:col>
                    <xdr:colOff>182880</xdr:colOff>
                    <xdr:row>184</xdr:row>
                    <xdr:rowOff>182880</xdr:rowOff>
                  </to>
                </anchor>
              </controlPr>
            </control>
          </mc:Choice>
        </mc:AlternateContent>
        <mc:AlternateContent xmlns:mc="http://schemas.openxmlformats.org/markup-compatibility/2006">
          <mc:Choice Requires="x14">
            <control shapeId="3278" r:id="rId51" name="Check Box 206">
              <controlPr locked="0" defaultSize="0" autoFill="0" autoLine="0" autoPict="0">
                <anchor moveWithCells="1" sizeWithCells="1">
                  <from>
                    <xdr:col>22</xdr:col>
                    <xdr:colOff>0</xdr:colOff>
                    <xdr:row>185</xdr:row>
                    <xdr:rowOff>0</xdr:rowOff>
                  </from>
                  <to>
                    <xdr:col>22</xdr:col>
                    <xdr:colOff>182880</xdr:colOff>
                    <xdr:row>185</xdr:row>
                    <xdr:rowOff>182880</xdr:rowOff>
                  </to>
                </anchor>
              </controlPr>
            </control>
          </mc:Choice>
        </mc:AlternateContent>
        <mc:AlternateContent xmlns:mc="http://schemas.openxmlformats.org/markup-compatibility/2006">
          <mc:Choice Requires="x14">
            <control shapeId="3279" r:id="rId52" name="Check Box 207">
              <controlPr locked="0" defaultSize="0" autoFill="0" autoLine="0" autoPict="0">
                <anchor moveWithCells="1" sizeWithCells="1">
                  <from>
                    <xdr:col>22</xdr:col>
                    <xdr:colOff>0</xdr:colOff>
                    <xdr:row>187</xdr:row>
                    <xdr:rowOff>0</xdr:rowOff>
                  </from>
                  <to>
                    <xdr:col>22</xdr:col>
                    <xdr:colOff>182880</xdr:colOff>
                    <xdr:row>187</xdr:row>
                    <xdr:rowOff>182880</xdr:rowOff>
                  </to>
                </anchor>
              </controlPr>
            </control>
          </mc:Choice>
        </mc:AlternateContent>
        <mc:AlternateContent xmlns:mc="http://schemas.openxmlformats.org/markup-compatibility/2006">
          <mc:Choice Requires="x14">
            <control shapeId="3280" r:id="rId53" name="Check Box 208">
              <controlPr locked="0" defaultSize="0" autoFill="0" autoLine="0" autoPict="0">
                <anchor moveWithCells="1" sizeWithCells="1">
                  <from>
                    <xdr:col>22</xdr:col>
                    <xdr:colOff>0</xdr:colOff>
                    <xdr:row>192</xdr:row>
                    <xdr:rowOff>0</xdr:rowOff>
                  </from>
                  <to>
                    <xdr:col>22</xdr:col>
                    <xdr:colOff>182880</xdr:colOff>
                    <xdr:row>192</xdr:row>
                    <xdr:rowOff>182880</xdr:rowOff>
                  </to>
                </anchor>
              </controlPr>
            </control>
          </mc:Choice>
        </mc:AlternateContent>
        <mc:AlternateContent xmlns:mc="http://schemas.openxmlformats.org/markup-compatibility/2006">
          <mc:Choice Requires="x14">
            <control shapeId="3281" r:id="rId54" name="Check Box 209">
              <controlPr locked="0" defaultSize="0" autoFill="0" autoLine="0" autoPict="0">
                <anchor moveWithCells="1" sizeWithCells="1">
                  <from>
                    <xdr:col>22</xdr:col>
                    <xdr:colOff>0</xdr:colOff>
                    <xdr:row>194</xdr:row>
                    <xdr:rowOff>0</xdr:rowOff>
                  </from>
                  <to>
                    <xdr:col>22</xdr:col>
                    <xdr:colOff>182880</xdr:colOff>
                    <xdr:row>194</xdr:row>
                    <xdr:rowOff>182880</xdr:rowOff>
                  </to>
                </anchor>
              </controlPr>
            </control>
          </mc:Choice>
        </mc:AlternateContent>
        <mc:AlternateContent xmlns:mc="http://schemas.openxmlformats.org/markup-compatibility/2006">
          <mc:Choice Requires="x14">
            <control shapeId="3282" r:id="rId55" name="Check Box 210">
              <controlPr locked="0" defaultSize="0" autoFill="0" autoLine="0" autoPict="0">
                <anchor moveWithCells="1" sizeWithCells="1">
                  <from>
                    <xdr:col>22</xdr:col>
                    <xdr:colOff>0</xdr:colOff>
                    <xdr:row>195</xdr:row>
                    <xdr:rowOff>0</xdr:rowOff>
                  </from>
                  <to>
                    <xdr:col>22</xdr:col>
                    <xdr:colOff>182880</xdr:colOff>
                    <xdr:row>195</xdr:row>
                    <xdr:rowOff>182880</xdr:rowOff>
                  </to>
                </anchor>
              </controlPr>
            </control>
          </mc:Choice>
        </mc:AlternateContent>
        <mc:AlternateContent xmlns:mc="http://schemas.openxmlformats.org/markup-compatibility/2006">
          <mc:Choice Requires="x14">
            <control shapeId="3283" r:id="rId56" name="Check Box 211">
              <controlPr locked="0" defaultSize="0" autoFill="0" autoLine="0" autoPict="0">
                <anchor moveWithCells="1" sizeWithCells="1">
                  <from>
                    <xdr:col>22</xdr:col>
                    <xdr:colOff>0</xdr:colOff>
                    <xdr:row>197</xdr:row>
                    <xdr:rowOff>0</xdr:rowOff>
                  </from>
                  <to>
                    <xdr:col>22</xdr:col>
                    <xdr:colOff>182880</xdr:colOff>
                    <xdr:row>197</xdr:row>
                    <xdr:rowOff>182880</xdr:rowOff>
                  </to>
                </anchor>
              </controlPr>
            </control>
          </mc:Choice>
        </mc:AlternateContent>
        <mc:AlternateContent xmlns:mc="http://schemas.openxmlformats.org/markup-compatibility/2006">
          <mc:Choice Requires="x14">
            <control shapeId="3284" r:id="rId57" name="Check Box 212">
              <controlPr locked="0" defaultSize="0" autoFill="0" autoLine="0" autoPict="0">
                <anchor moveWithCells="1" sizeWithCells="1">
                  <from>
                    <xdr:col>22</xdr:col>
                    <xdr:colOff>0</xdr:colOff>
                    <xdr:row>199</xdr:row>
                    <xdr:rowOff>0</xdr:rowOff>
                  </from>
                  <to>
                    <xdr:col>22</xdr:col>
                    <xdr:colOff>182880</xdr:colOff>
                    <xdr:row>199</xdr:row>
                    <xdr:rowOff>182880</xdr:rowOff>
                  </to>
                </anchor>
              </controlPr>
            </control>
          </mc:Choice>
        </mc:AlternateContent>
        <mc:AlternateContent xmlns:mc="http://schemas.openxmlformats.org/markup-compatibility/2006">
          <mc:Choice Requires="x14">
            <control shapeId="3285" r:id="rId58" name="Check Box 213">
              <controlPr locked="0" defaultSize="0" autoFill="0" autoLine="0" autoPict="0">
                <anchor moveWithCells="1" sizeWithCells="1">
                  <from>
                    <xdr:col>22</xdr:col>
                    <xdr:colOff>0</xdr:colOff>
                    <xdr:row>203</xdr:row>
                    <xdr:rowOff>0</xdr:rowOff>
                  </from>
                  <to>
                    <xdr:col>22</xdr:col>
                    <xdr:colOff>182880</xdr:colOff>
                    <xdr:row>203</xdr:row>
                    <xdr:rowOff>182880</xdr:rowOff>
                  </to>
                </anchor>
              </controlPr>
            </control>
          </mc:Choice>
        </mc:AlternateContent>
        <mc:AlternateContent xmlns:mc="http://schemas.openxmlformats.org/markup-compatibility/2006">
          <mc:Choice Requires="x14">
            <control shapeId="3286" r:id="rId59" name="Check Box 214">
              <controlPr locked="0" defaultSize="0" autoFill="0" autoLine="0" autoPict="0">
                <anchor moveWithCells="1" sizeWithCells="1">
                  <from>
                    <xdr:col>22</xdr:col>
                    <xdr:colOff>0</xdr:colOff>
                    <xdr:row>206</xdr:row>
                    <xdr:rowOff>0</xdr:rowOff>
                  </from>
                  <to>
                    <xdr:col>22</xdr:col>
                    <xdr:colOff>182880</xdr:colOff>
                    <xdr:row>206</xdr:row>
                    <xdr:rowOff>182880</xdr:rowOff>
                  </to>
                </anchor>
              </controlPr>
            </control>
          </mc:Choice>
        </mc:AlternateContent>
        <mc:AlternateContent xmlns:mc="http://schemas.openxmlformats.org/markup-compatibility/2006">
          <mc:Choice Requires="x14">
            <control shapeId="3287" r:id="rId60" name="Check Box 215">
              <controlPr locked="0" defaultSize="0" autoFill="0" autoLine="0" autoPict="0">
                <anchor moveWithCells="1" sizeWithCells="1">
                  <from>
                    <xdr:col>22</xdr:col>
                    <xdr:colOff>0</xdr:colOff>
                    <xdr:row>208</xdr:row>
                    <xdr:rowOff>0</xdr:rowOff>
                  </from>
                  <to>
                    <xdr:col>22</xdr:col>
                    <xdr:colOff>182880</xdr:colOff>
                    <xdr:row>208</xdr:row>
                    <xdr:rowOff>182880</xdr:rowOff>
                  </to>
                </anchor>
              </controlPr>
            </control>
          </mc:Choice>
        </mc:AlternateContent>
        <mc:AlternateContent xmlns:mc="http://schemas.openxmlformats.org/markup-compatibility/2006">
          <mc:Choice Requires="x14">
            <control shapeId="3288" r:id="rId61" name="Check Box 216">
              <controlPr locked="0" defaultSize="0" autoFill="0" autoLine="0" autoPict="0">
                <anchor moveWithCells="1" sizeWithCells="1">
                  <from>
                    <xdr:col>22</xdr:col>
                    <xdr:colOff>0</xdr:colOff>
                    <xdr:row>209</xdr:row>
                    <xdr:rowOff>0</xdr:rowOff>
                  </from>
                  <to>
                    <xdr:col>22</xdr:col>
                    <xdr:colOff>182880</xdr:colOff>
                    <xdr:row>209</xdr:row>
                    <xdr:rowOff>182880</xdr:rowOff>
                  </to>
                </anchor>
              </controlPr>
            </control>
          </mc:Choice>
        </mc:AlternateContent>
        <mc:AlternateContent xmlns:mc="http://schemas.openxmlformats.org/markup-compatibility/2006">
          <mc:Choice Requires="x14">
            <control shapeId="3289" r:id="rId62" name="Check Box 217">
              <controlPr locked="0" defaultSize="0" autoFill="0" autoLine="0" autoPict="0">
                <anchor moveWithCells="1" sizeWithCells="1">
                  <from>
                    <xdr:col>22</xdr:col>
                    <xdr:colOff>0</xdr:colOff>
                    <xdr:row>210</xdr:row>
                    <xdr:rowOff>0</xdr:rowOff>
                  </from>
                  <to>
                    <xdr:col>22</xdr:col>
                    <xdr:colOff>182880</xdr:colOff>
                    <xdr:row>210</xdr:row>
                    <xdr:rowOff>182880</xdr:rowOff>
                  </to>
                </anchor>
              </controlPr>
            </control>
          </mc:Choice>
        </mc:AlternateContent>
        <mc:AlternateContent xmlns:mc="http://schemas.openxmlformats.org/markup-compatibility/2006">
          <mc:Choice Requires="x14">
            <control shapeId="3290" r:id="rId63" name="Check Box 218">
              <controlPr locked="0" defaultSize="0" autoFill="0" autoLine="0" autoPict="0">
                <anchor moveWithCells="1" sizeWithCells="1">
                  <from>
                    <xdr:col>22</xdr:col>
                    <xdr:colOff>0</xdr:colOff>
                    <xdr:row>211</xdr:row>
                    <xdr:rowOff>0</xdr:rowOff>
                  </from>
                  <to>
                    <xdr:col>22</xdr:col>
                    <xdr:colOff>182880</xdr:colOff>
                    <xdr:row>211</xdr:row>
                    <xdr:rowOff>182880</xdr:rowOff>
                  </to>
                </anchor>
              </controlPr>
            </control>
          </mc:Choice>
        </mc:AlternateContent>
        <mc:AlternateContent xmlns:mc="http://schemas.openxmlformats.org/markup-compatibility/2006">
          <mc:Choice Requires="x14">
            <control shapeId="3291" r:id="rId64" name="Check Box 219">
              <controlPr locked="0" defaultSize="0" autoFill="0" autoLine="0" autoPict="0">
                <anchor moveWithCells="1" sizeWithCells="1">
                  <from>
                    <xdr:col>22</xdr:col>
                    <xdr:colOff>0</xdr:colOff>
                    <xdr:row>212</xdr:row>
                    <xdr:rowOff>0</xdr:rowOff>
                  </from>
                  <to>
                    <xdr:col>22</xdr:col>
                    <xdr:colOff>182880</xdr:colOff>
                    <xdr:row>212</xdr:row>
                    <xdr:rowOff>182880</xdr:rowOff>
                  </to>
                </anchor>
              </controlPr>
            </control>
          </mc:Choice>
        </mc:AlternateContent>
        <mc:AlternateContent xmlns:mc="http://schemas.openxmlformats.org/markup-compatibility/2006">
          <mc:Choice Requires="x14">
            <control shapeId="3292" r:id="rId65" name="Check Box 220">
              <controlPr locked="0" defaultSize="0" autoFill="0" autoLine="0" autoPict="0">
                <anchor moveWithCells="1" sizeWithCells="1">
                  <from>
                    <xdr:col>22</xdr:col>
                    <xdr:colOff>0</xdr:colOff>
                    <xdr:row>213</xdr:row>
                    <xdr:rowOff>0</xdr:rowOff>
                  </from>
                  <to>
                    <xdr:col>22</xdr:col>
                    <xdr:colOff>182880</xdr:colOff>
                    <xdr:row>213</xdr:row>
                    <xdr:rowOff>182880</xdr:rowOff>
                  </to>
                </anchor>
              </controlPr>
            </control>
          </mc:Choice>
        </mc:AlternateContent>
        <mc:AlternateContent xmlns:mc="http://schemas.openxmlformats.org/markup-compatibility/2006">
          <mc:Choice Requires="x14">
            <control shapeId="3293" r:id="rId66" name="Check Box 221">
              <controlPr locked="0" defaultSize="0" autoFill="0" autoLine="0" autoPict="0">
                <anchor moveWithCells="1" sizeWithCells="1">
                  <from>
                    <xdr:col>22</xdr:col>
                    <xdr:colOff>0</xdr:colOff>
                    <xdr:row>215</xdr:row>
                    <xdr:rowOff>0</xdr:rowOff>
                  </from>
                  <to>
                    <xdr:col>22</xdr:col>
                    <xdr:colOff>182880</xdr:colOff>
                    <xdr:row>215</xdr:row>
                    <xdr:rowOff>182880</xdr:rowOff>
                  </to>
                </anchor>
              </controlPr>
            </control>
          </mc:Choice>
        </mc:AlternateContent>
        <mc:AlternateContent xmlns:mc="http://schemas.openxmlformats.org/markup-compatibility/2006">
          <mc:Choice Requires="x14">
            <control shapeId="3294" r:id="rId67" name="Check Box 222">
              <controlPr locked="0" defaultSize="0" autoFill="0" autoLine="0" autoPict="0">
                <anchor moveWithCells="1" sizeWithCells="1">
                  <from>
                    <xdr:col>22</xdr:col>
                    <xdr:colOff>0</xdr:colOff>
                    <xdr:row>222</xdr:row>
                    <xdr:rowOff>0</xdr:rowOff>
                  </from>
                  <to>
                    <xdr:col>22</xdr:col>
                    <xdr:colOff>182880</xdr:colOff>
                    <xdr:row>222</xdr:row>
                    <xdr:rowOff>182880</xdr:rowOff>
                  </to>
                </anchor>
              </controlPr>
            </control>
          </mc:Choice>
        </mc:AlternateContent>
        <mc:AlternateContent xmlns:mc="http://schemas.openxmlformats.org/markup-compatibility/2006">
          <mc:Choice Requires="x14">
            <control shapeId="3295" r:id="rId68" name="Check Box 223">
              <controlPr locked="0" defaultSize="0" autoFill="0" autoLine="0" autoPict="0">
                <anchor moveWithCells="1" sizeWithCells="1">
                  <from>
                    <xdr:col>22</xdr:col>
                    <xdr:colOff>0</xdr:colOff>
                    <xdr:row>224</xdr:row>
                    <xdr:rowOff>0</xdr:rowOff>
                  </from>
                  <to>
                    <xdr:col>22</xdr:col>
                    <xdr:colOff>182880</xdr:colOff>
                    <xdr:row>224</xdr:row>
                    <xdr:rowOff>182880</xdr:rowOff>
                  </to>
                </anchor>
              </controlPr>
            </control>
          </mc:Choice>
        </mc:AlternateContent>
        <mc:AlternateContent xmlns:mc="http://schemas.openxmlformats.org/markup-compatibility/2006">
          <mc:Choice Requires="x14">
            <control shapeId="3296" r:id="rId69" name="Check Box 224">
              <controlPr locked="0" defaultSize="0" autoFill="0" autoLine="0" autoPict="0">
                <anchor moveWithCells="1" sizeWithCells="1">
                  <from>
                    <xdr:col>22</xdr:col>
                    <xdr:colOff>0</xdr:colOff>
                    <xdr:row>237</xdr:row>
                    <xdr:rowOff>0</xdr:rowOff>
                  </from>
                  <to>
                    <xdr:col>22</xdr:col>
                    <xdr:colOff>182880</xdr:colOff>
                    <xdr:row>237</xdr:row>
                    <xdr:rowOff>182880</xdr:rowOff>
                  </to>
                </anchor>
              </controlPr>
            </control>
          </mc:Choice>
        </mc:AlternateContent>
        <mc:AlternateContent xmlns:mc="http://schemas.openxmlformats.org/markup-compatibility/2006">
          <mc:Choice Requires="x14">
            <control shapeId="3297" r:id="rId70" name="Check Box 225">
              <controlPr locked="0" defaultSize="0" autoFill="0" autoLine="0" autoPict="0">
                <anchor moveWithCells="1" sizeWithCells="1">
                  <from>
                    <xdr:col>22</xdr:col>
                    <xdr:colOff>0</xdr:colOff>
                    <xdr:row>240</xdr:row>
                    <xdr:rowOff>0</xdr:rowOff>
                  </from>
                  <to>
                    <xdr:col>22</xdr:col>
                    <xdr:colOff>182880</xdr:colOff>
                    <xdr:row>240</xdr:row>
                    <xdr:rowOff>182880</xdr:rowOff>
                  </to>
                </anchor>
              </controlPr>
            </control>
          </mc:Choice>
        </mc:AlternateContent>
        <mc:AlternateContent xmlns:mc="http://schemas.openxmlformats.org/markup-compatibility/2006">
          <mc:Choice Requires="x14">
            <control shapeId="3298" r:id="rId71" name="Check Box 226">
              <controlPr locked="0" defaultSize="0" autoFill="0" autoLine="0" autoPict="0">
                <anchor moveWithCells="1" sizeWithCells="1">
                  <from>
                    <xdr:col>22</xdr:col>
                    <xdr:colOff>0</xdr:colOff>
                    <xdr:row>244</xdr:row>
                    <xdr:rowOff>0</xdr:rowOff>
                  </from>
                  <to>
                    <xdr:col>22</xdr:col>
                    <xdr:colOff>182880</xdr:colOff>
                    <xdr:row>244</xdr:row>
                    <xdr:rowOff>182880</xdr:rowOff>
                  </to>
                </anchor>
              </controlPr>
            </control>
          </mc:Choice>
        </mc:AlternateContent>
        <mc:AlternateContent xmlns:mc="http://schemas.openxmlformats.org/markup-compatibility/2006">
          <mc:Choice Requires="x14">
            <control shapeId="3299" r:id="rId72" name="Check Box 227">
              <controlPr locked="0" defaultSize="0" autoFill="0" autoLine="0" autoPict="0">
                <anchor moveWithCells="1" sizeWithCells="1">
                  <from>
                    <xdr:col>22</xdr:col>
                    <xdr:colOff>0</xdr:colOff>
                    <xdr:row>245</xdr:row>
                    <xdr:rowOff>0</xdr:rowOff>
                  </from>
                  <to>
                    <xdr:col>22</xdr:col>
                    <xdr:colOff>182880</xdr:colOff>
                    <xdr:row>245</xdr:row>
                    <xdr:rowOff>182880</xdr:rowOff>
                  </to>
                </anchor>
              </controlPr>
            </control>
          </mc:Choice>
        </mc:AlternateContent>
        <mc:AlternateContent xmlns:mc="http://schemas.openxmlformats.org/markup-compatibility/2006">
          <mc:Choice Requires="x14">
            <control shapeId="3300" r:id="rId73" name="Check Box 228">
              <controlPr locked="0" defaultSize="0" autoFill="0" autoLine="0" autoPict="0">
                <anchor moveWithCells="1" sizeWithCells="1">
                  <from>
                    <xdr:col>22</xdr:col>
                    <xdr:colOff>0</xdr:colOff>
                    <xdr:row>254</xdr:row>
                    <xdr:rowOff>0</xdr:rowOff>
                  </from>
                  <to>
                    <xdr:col>22</xdr:col>
                    <xdr:colOff>182880</xdr:colOff>
                    <xdr:row>254</xdr:row>
                    <xdr:rowOff>182880</xdr:rowOff>
                  </to>
                </anchor>
              </controlPr>
            </control>
          </mc:Choice>
        </mc:AlternateContent>
        <mc:AlternateContent xmlns:mc="http://schemas.openxmlformats.org/markup-compatibility/2006">
          <mc:Choice Requires="x14">
            <control shapeId="3301" r:id="rId74" name="Check Box 229">
              <controlPr locked="0" defaultSize="0" autoFill="0" autoLine="0" autoPict="0">
                <anchor moveWithCells="1" sizeWithCells="1">
                  <from>
                    <xdr:col>22</xdr:col>
                    <xdr:colOff>0</xdr:colOff>
                    <xdr:row>255</xdr:row>
                    <xdr:rowOff>0</xdr:rowOff>
                  </from>
                  <to>
                    <xdr:col>22</xdr:col>
                    <xdr:colOff>182880</xdr:colOff>
                    <xdr:row>255</xdr:row>
                    <xdr:rowOff>182880</xdr:rowOff>
                  </to>
                </anchor>
              </controlPr>
            </control>
          </mc:Choice>
        </mc:AlternateContent>
        <mc:AlternateContent xmlns:mc="http://schemas.openxmlformats.org/markup-compatibility/2006">
          <mc:Choice Requires="x14">
            <control shapeId="3302" r:id="rId75" name="Check Box 230">
              <controlPr locked="0" defaultSize="0" autoFill="0" autoLine="0" autoPict="0">
                <anchor moveWithCells="1" sizeWithCells="1">
                  <from>
                    <xdr:col>22</xdr:col>
                    <xdr:colOff>0</xdr:colOff>
                    <xdr:row>257</xdr:row>
                    <xdr:rowOff>0</xdr:rowOff>
                  </from>
                  <to>
                    <xdr:col>22</xdr:col>
                    <xdr:colOff>182880</xdr:colOff>
                    <xdr:row>257</xdr:row>
                    <xdr:rowOff>182880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dimension ref="B2:G9"/>
  <sheetViews>
    <sheetView showGridLines="0" zoomScaleNormal="100" workbookViewId="0">
      <selection activeCell="B2" sqref="B2:C2"/>
    </sheetView>
  </sheetViews>
  <sheetFormatPr defaultColWidth="9.109375" defaultRowHeight="14.4" x14ac:dyDescent="0.3"/>
  <cols>
    <col min="1" max="1" width="9.109375" style="486"/>
    <col min="2" max="2" width="37.6640625" style="486" bestFit="1" customWidth="1"/>
    <col min="3" max="3" width="8.88671875" style="486" bestFit="1" customWidth="1"/>
    <col min="4" max="16384" width="9.109375" style="486"/>
  </cols>
  <sheetData>
    <row r="2" spans="2:7" x14ac:dyDescent="0.3">
      <c r="B2" s="1761" t="s">
        <v>4709</v>
      </c>
      <c r="C2" s="1761"/>
      <c r="E2" s="1756" t="s">
        <v>4657</v>
      </c>
      <c r="F2" s="1757"/>
      <c r="G2" s="1758"/>
    </row>
    <row r="4" spans="2:7" ht="15" customHeight="1" x14ac:dyDescent="0.3">
      <c r="B4" s="1387" t="s">
        <v>3991</v>
      </c>
      <c r="C4" s="1387"/>
    </row>
    <row r="5" spans="2:7" ht="15" customHeight="1" thickBot="1" x14ac:dyDescent="0.35">
      <c r="B5" s="1846" t="s">
        <v>3990</v>
      </c>
      <c r="C5" s="1846"/>
    </row>
    <row r="6" spans="2:7" ht="15" customHeight="1" thickBot="1" x14ac:dyDescent="0.35">
      <c r="B6" s="497" t="s">
        <v>3989</v>
      </c>
      <c r="C6" s="406" t="s">
        <v>3988</v>
      </c>
    </row>
    <row r="7" spans="2:7" ht="15" customHeight="1" thickBot="1" x14ac:dyDescent="0.35">
      <c r="B7" s="502" t="s">
        <v>3987</v>
      </c>
      <c r="C7" s="491">
        <v>50</v>
      </c>
    </row>
    <row r="8" spans="2:7" ht="15" customHeight="1" thickBot="1" x14ac:dyDescent="0.35">
      <c r="B8" s="502" t="s">
        <v>3986</v>
      </c>
      <c r="C8" s="491">
        <v>600</v>
      </c>
    </row>
    <row r="9" spans="2:7" ht="15" customHeight="1" thickBot="1" x14ac:dyDescent="0.35">
      <c r="B9" s="502" t="s">
        <v>3985</v>
      </c>
      <c r="C9" s="491">
        <v>50</v>
      </c>
    </row>
  </sheetData>
  <sheetProtection algorithmName="SHA-512" hashValue="BkEt79hYirTrIhMnyUoK8YS/+U4xcmt38yQ3Q6tqwXvN2HXogIo6glZDtrDsx8WdidVj2bOMzVozInZhcjY72A==" saltValue="HW7B//NipWRzt88kC4fJhg==" spinCount="100000" sheet="1" objects="1" scenarios="1" selectLockedCells="1"/>
  <mergeCells count="4">
    <mergeCell ref="B4:C4"/>
    <mergeCell ref="B5:C5"/>
    <mergeCell ref="B2:C2"/>
    <mergeCell ref="E2:G2"/>
  </mergeCells>
  <hyperlinks>
    <hyperlink ref="B2:C2" location="hyptarg9.2" display="back to 901.9.1" xr:uid="{00000000-0004-0000-2700-000000000000}"/>
    <hyperlink ref="E2:F2" location="'Verification Report'!A1" display="back to Verification Report" xr:uid="{00000000-0004-0000-2700-000001000000}"/>
    <hyperlink ref="E2:G2" location="'Verification Report'!A1" display="back to Verification Report" xr:uid="{00000000-0004-0000-2700-000002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dimension ref="B2:G40"/>
  <sheetViews>
    <sheetView showGridLines="0" zoomScaleNormal="100" zoomScaleSheetLayoutView="100" workbookViewId="0">
      <selection activeCell="B2" sqref="B2:C2"/>
    </sheetView>
  </sheetViews>
  <sheetFormatPr defaultColWidth="9.109375" defaultRowHeight="14.4" x14ac:dyDescent="0.3"/>
  <cols>
    <col min="1" max="1" width="9.109375" style="486"/>
    <col min="2" max="2" width="32.6640625" style="486" customWidth="1"/>
    <col min="3" max="3" width="23.44140625" style="486" customWidth="1"/>
    <col min="4" max="16384" width="9.109375" style="486"/>
  </cols>
  <sheetData>
    <row r="2" spans="2:7" x14ac:dyDescent="0.3">
      <c r="B2" s="1761" t="s">
        <v>4028</v>
      </c>
      <c r="C2" s="1761"/>
      <c r="E2" s="1756" t="s">
        <v>4657</v>
      </c>
      <c r="F2" s="1757"/>
      <c r="G2" s="1758"/>
    </row>
    <row r="4" spans="2:7" ht="15" customHeight="1" x14ac:dyDescent="0.3">
      <c r="B4" s="1387" t="s">
        <v>4024</v>
      </c>
      <c r="C4" s="1372"/>
      <c r="D4" s="97"/>
    </row>
    <row r="5" spans="2:7" ht="15" customHeight="1" x14ac:dyDescent="0.3">
      <c r="B5" s="1372" t="s">
        <v>4023</v>
      </c>
      <c r="C5" s="1372"/>
      <c r="D5" s="97"/>
    </row>
    <row r="6" spans="2:7" ht="15" customHeight="1" x14ac:dyDescent="0.3">
      <c r="B6" s="507" t="s">
        <v>4012</v>
      </c>
      <c r="C6" s="507" t="s">
        <v>4011</v>
      </c>
    </row>
    <row r="7" spans="2:7" ht="15" customHeight="1" x14ac:dyDescent="0.3">
      <c r="B7" s="503" t="s">
        <v>4022</v>
      </c>
      <c r="C7" s="402">
        <v>50</v>
      </c>
    </row>
    <row r="8" spans="2:7" ht="15" customHeight="1" x14ac:dyDescent="0.3">
      <c r="B8" s="503" t="s">
        <v>4021</v>
      </c>
      <c r="C8" s="402">
        <v>50</v>
      </c>
    </row>
    <row r="9" spans="2:7" ht="15" customHeight="1" x14ac:dyDescent="0.3">
      <c r="B9" s="503" t="s">
        <v>4020</v>
      </c>
      <c r="C9" s="402">
        <v>150</v>
      </c>
    </row>
    <row r="10" spans="2:7" ht="15" customHeight="1" x14ac:dyDescent="0.3">
      <c r="B10" s="503" t="s">
        <v>4019</v>
      </c>
      <c r="C10" s="402">
        <v>100</v>
      </c>
    </row>
    <row r="11" spans="2:7" ht="15" customHeight="1" x14ac:dyDescent="0.3">
      <c r="B11" s="503" t="s">
        <v>4018</v>
      </c>
      <c r="C11" s="402">
        <v>60</v>
      </c>
    </row>
    <row r="12" spans="2:7" ht="15" customHeight="1" x14ac:dyDescent="0.3">
      <c r="B12" s="503" t="s">
        <v>4017</v>
      </c>
      <c r="C12" s="402">
        <v>50</v>
      </c>
    </row>
    <row r="13" spans="2:7" ht="15" customHeight="1" x14ac:dyDescent="0.3">
      <c r="B13" s="503" t="s">
        <v>4016</v>
      </c>
      <c r="C13" s="402">
        <v>65</v>
      </c>
    </row>
    <row r="14" spans="2:7" ht="15" customHeight="1" x14ac:dyDescent="0.3">
      <c r="B14" s="503" t="s">
        <v>4015</v>
      </c>
      <c r="C14" s="402">
        <v>50</v>
      </c>
    </row>
    <row r="15" spans="2:7" ht="15" customHeight="1" x14ac:dyDescent="0.3">
      <c r="B15" s="503" t="s">
        <v>4014</v>
      </c>
      <c r="C15" s="402">
        <v>50</v>
      </c>
    </row>
    <row r="16" spans="2:7" ht="15" customHeight="1" x14ac:dyDescent="0.3">
      <c r="B16" s="503" t="s">
        <v>4013</v>
      </c>
      <c r="C16" s="402">
        <v>50</v>
      </c>
    </row>
    <row r="17" spans="2:3" ht="15" customHeight="1" x14ac:dyDescent="0.3">
      <c r="B17" s="507" t="s">
        <v>4012</v>
      </c>
      <c r="C17" s="507" t="s">
        <v>4011</v>
      </c>
    </row>
    <row r="18" spans="2:3" ht="15" customHeight="1" x14ac:dyDescent="0.3">
      <c r="B18" s="503" t="s">
        <v>4010</v>
      </c>
      <c r="C18" s="402">
        <v>70</v>
      </c>
    </row>
    <row r="19" spans="2:3" ht="15" customHeight="1" x14ac:dyDescent="0.3">
      <c r="B19" s="503" t="s">
        <v>4009</v>
      </c>
      <c r="C19" s="402">
        <v>100</v>
      </c>
    </row>
    <row r="20" spans="2:3" ht="15" customHeight="1" x14ac:dyDescent="0.3">
      <c r="B20" s="503" t="s">
        <v>4008</v>
      </c>
      <c r="C20" s="402">
        <v>250</v>
      </c>
    </row>
    <row r="21" spans="2:3" ht="15" customHeight="1" x14ac:dyDescent="0.3">
      <c r="B21" s="508" t="s">
        <v>4007</v>
      </c>
      <c r="C21" s="506">
        <v>250</v>
      </c>
    </row>
    <row r="22" spans="2:3" ht="15" customHeight="1" x14ac:dyDescent="0.3">
      <c r="B22" s="508" t="s">
        <v>4006</v>
      </c>
      <c r="C22" s="506"/>
    </row>
    <row r="23" spans="2:3" ht="15" customHeight="1" x14ac:dyDescent="0.3">
      <c r="B23" s="510" t="s">
        <v>4005</v>
      </c>
      <c r="C23" s="505">
        <v>250</v>
      </c>
    </row>
    <row r="24" spans="2:3" ht="15" customHeight="1" x14ac:dyDescent="0.3">
      <c r="B24" s="509" t="s">
        <v>4004</v>
      </c>
      <c r="C24" s="504">
        <v>775</v>
      </c>
    </row>
    <row r="25" spans="2:3" ht="15" customHeight="1" x14ac:dyDescent="0.3">
      <c r="B25" s="509" t="s">
        <v>4003</v>
      </c>
      <c r="C25" s="504">
        <v>500</v>
      </c>
    </row>
    <row r="26" spans="2:3" ht="15" customHeight="1" x14ac:dyDescent="0.3">
      <c r="B26" s="503" t="s">
        <v>4002</v>
      </c>
      <c r="C26" s="402">
        <v>750</v>
      </c>
    </row>
    <row r="27" spans="2:3" ht="15" customHeight="1" x14ac:dyDescent="0.3">
      <c r="B27" s="503" t="s">
        <v>4001</v>
      </c>
      <c r="C27" s="402">
        <v>490</v>
      </c>
    </row>
    <row r="28" spans="2:3" ht="15" customHeight="1" x14ac:dyDescent="0.3">
      <c r="B28" s="503" t="s">
        <v>4000</v>
      </c>
      <c r="C28" s="402">
        <v>510</v>
      </c>
    </row>
    <row r="29" spans="2:3" ht="15" customHeight="1" x14ac:dyDescent="0.3">
      <c r="B29" s="503" t="s">
        <v>3999</v>
      </c>
      <c r="C29" s="402">
        <v>325</v>
      </c>
    </row>
    <row r="30" spans="2:3" ht="15" customHeight="1" x14ac:dyDescent="0.3">
      <c r="B30" s="503" t="s">
        <v>3998</v>
      </c>
      <c r="C30" s="402">
        <v>250</v>
      </c>
    </row>
    <row r="31" spans="2:3" ht="15" customHeight="1" x14ac:dyDescent="0.3">
      <c r="B31" s="503" t="s">
        <v>3997</v>
      </c>
      <c r="C31" s="402">
        <v>550</v>
      </c>
    </row>
    <row r="32" spans="2:3" ht="15" customHeight="1" x14ac:dyDescent="0.3">
      <c r="B32" s="503" t="s">
        <v>3996</v>
      </c>
      <c r="C32" s="402">
        <v>80</v>
      </c>
    </row>
    <row r="33" spans="2:3" ht="15" customHeight="1" x14ac:dyDescent="0.3">
      <c r="B33" s="503" t="s">
        <v>3995</v>
      </c>
      <c r="C33" s="402">
        <v>250</v>
      </c>
    </row>
    <row r="34" spans="2:3" ht="15" customHeight="1" x14ac:dyDescent="0.3">
      <c r="B34" s="503" t="s">
        <v>3994</v>
      </c>
      <c r="C34" s="402">
        <v>140</v>
      </c>
    </row>
    <row r="35" spans="2:3" x14ac:dyDescent="0.3">
      <c r="B35" s="1848" t="s">
        <v>3993</v>
      </c>
      <c r="C35" s="1848"/>
    </row>
    <row r="36" spans="2:3" x14ac:dyDescent="0.3">
      <c r="B36" s="1329" t="s">
        <v>3992</v>
      </c>
      <c r="C36" s="1329"/>
    </row>
    <row r="37" spans="2:3" x14ac:dyDescent="0.3">
      <c r="B37" s="1329"/>
      <c r="C37" s="1329"/>
    </row>
    <row r="38" spans="2:3" x14ac:dyDescent="0.3">
      <c r="B38" s="1329"/>
      <c r="C38" s="1329"/>
    </row>
    <row r="39" spans="2:3" x14ac:dyDescent="0.3">
      <c r="B39" s="1329"/>
      <c r="C39" s="1329"/>
    </row>
    <row r="40" spans="2:3" x14ac:dyDescent="0.3">
      <c r="B40" s="1329"/>
      <c r="C40" s="1329"/>
    </row>
  </sheetData>
  <sheetProtection algorithmName="SHA-512" hashValue="BPRXQ23OjEyBcuBcQxDqcKaHj1bmecqsrgX1WKvc1tFmJ47tLzzmYvdU5NQKQJb7tMP+6hfM/ORl7sUetGlZdA==" saltValue="eQVJnAA2B10s940F+6aRxQ==" spinCount="100000" sheet="1" objects="1" scenarios="1" selectLockedCells="1"/>
  <mergeCells count="6">
    <mergeCell ref="E2:G2"/>
    <mergeCell ref="B4:C4"/>
    <mergeCell ref="B5:C5"/>
    <mergeCell ref="B35:C35"/>
    <mergeCell ref="B36:C40"/>
    <mergeCell ref="B2:C2"/>
  </mergeCells>
  <hyperlinks>
    <hyperlink ref="B2:C2" location="hyptarg9.3" display="back to 901.10(3)" xr:uid="{00000000-0004-0000-2800-000000000000}"/>
    <hyperlink ref="E2:F2" location="'Verification Report'!A1" display="back to Verification Report" xr:uid="{00000000-0004-0000-2800-000001000000}"/>
    <hyperlink ref="E2:G2" location="'Verification Report'!A1" display="back to Verification Report" xr:uid="{00000000-0004-0000-2800-000002000000}"/>
  </hyperlinks>
  <pageMargins left="0.7" right="0.7" top="0.75" bottom="0.75" header="0.3" footer="0.3"/>
  <pageSetup orientation="portrait" horizontalDpi="0"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8"/>
  <dimension ref="A1:V40"/>
  <sheetViews>
    <sheetView workbookViewId="0">
      <selection activeCell="A22" sqref="A22"/>
    </sheetView>
  </sheetViews>
  <sheetFormatPr defaultRowHeight="14.4" x14ac:dyDescent="0.3"/>
  <cols>
    <col min="1" max="1" width="7.5546875" bestFit="1" customWidth="1"/>
    <col min="2" max="2" width="12" style="1056" bestFit="1" customWidth="1"/>
    <col min="3" max="3" width="10" bestFit="1" customWidth="1"/>
  </cols>
  <sheetData>
    <row r="1" spans="1:3" x14ac:dyDescent="0.3">
      <c r="A1" t="s">
        <v>4660</v>
      </c>
      <c r="B1" s="1056" t="s">
        <v>4662</v>
      </c>
      <c r="C1" t="s">
        <v>4661</v>
      </c>
    </row>
    <row r="2" spans="1:3" x14ac:dyDescent="0.3">
      <c r="A2" s="1057" t="s">
        <v>4679</v>
      </c>
      <c r="B2" s="1058">
        <v>42544</v>
      </c>
      <c r="C2" t="s">
        <v>4663</v>
      </c>
    </row>
    <row r="3" spans="1:3" x14ac:dyDescent="0.3">
      <c r="A3" s="1057" t="s">
        <v>4678</v>
      </c>
      <c r="B3" s="1058">
        <v>42548</v>
      </c>
      <c r="C3" t="s">
        <v>4680</v>
      </c>
    </row>
    <row r="4" spans="1:3" x14ac:dyDescent="0.3">
      <c r="A4" s="1057" t="s">
        <v>4681</v>
      </c>
      <c r="B4" s="1058">
        <v>42550</v>
      </c>
      <c r="C4" s="1056" t="s">
        <v>4683</v>
      </c>
    </row>
    <row r="5" spans="1:3" x14ac:dyDescent="0.3">
      <c r="A5" s="1057" t="s">
        <v>4687</v>
      </c>
      <c r="B5" s="1058">
        <v>42592</v>
      </c>
      <c r="C5" s="1056" t="s">
        <v>4686</v>
      </c>
    </row>
    <row r="6" spans="1:3" x14ac:dyDescent="0.3">
      <c r="A6" s="1057" t="s">
        <v>4689</v>
      </c>
      <c r="B6" s="1058" t="s">
        <v>4689</v>
      </c>
      <c r="C6" s="1056" t="s">
        <v>4696</v>
      </c>
    </row>
    <row r="7" spans="1:3" x14ac:dyDescent="0.3">
      <c r="A7" s="1057" t="s">
        <v>4689</v>
      </c>
      <c r="B7" s="1058" t="s">
        <v>4689</v>
      </c>
      <c r="C7" s="1056" t="s">
        <v>4697</v>
      </c>
    </row>
    <row r="8" spans="1:3" x14ac:dyDescent="0.3">
      <c r="A8" s="1057" t="s">
        <v>4699</v>
      </c>
      <c r="B8" s="1058">
        <v>42657</v>
      </c>
      <c r="C8" s="1056" t="s">
        <v>4701</v>
      </c>
    </row>
    <row r="9" spans="1:3" x14ac:dyDescent="0.3">
      <c r="A9" s="1057" t="s">
        <v>4705</v>
      </c>
      <c r="B9" s="1058">
        <v>42664</v>
      </c>
      <c r="C9" s="1056" t="s">
        <v>4706</v>
      </c>
    </row>
    <row r="10" spans="1:3" x14ac:dyDescent="0.3">
      <c r="A10" s="1057" t="s">
        <v>4714</v>
      </c>
      <c r="B10" s="1058">
        <v>42724</v>
      </c>
      <c r="C10" s="1056" t="s">
        <v>4711</v>
      </c>
    </row>
    <row r="11" spans="1:3" x14ac:dyDescent="0.3">
      <c r="A11" s="1057" t="s">
        <v>4689</v>
      </c>
      <c r="B11" s="1058" t="s">
        <v>4689</v>
      </c>
      <c r="C11" s="1056" t="s">
        <v>4713</v>
      </c>
    </row>
    <row r="12" spans="1:3" x14ac:dyDescent="0.3">
      <c r="A12" s="1057" t="s">
        <v>4715</v>
      </c>
      <c r="B12" s="1058">
        <v>42741</v>
      </c>
      <c r="C12" s="1056" t="s">
        <v>4716</v>
      </c>
    </row>
    <row r="13" spans="1:3" x14ac:dyDescent="0.3">
      <c r="A13" s="1057" t="s">
        <v>4717</v>
      </c>
      <c r="B13" s="1058">
        <v>42838</v>
      </c>
      <c r="C13" s="1056" t="s">
        <v>4718</v>
      </c>
    </row>
    <row r="14" spans="1:3" x14ac:dyDescent="0.3">
      <c r="A14" s="1057" t="s">
        <v>4723</v>
      </c>
      <c r="B14" s="1058">
        <v>42886</v>
      </c>
      <c r="C14" s="1056" t="s">
        <v>4727</v>
      </c>
    </row>
    <row r="15" spans="1:3" x14ac:dyDescent="0.3">
      <c r="A15" s="1057" t="s">
        <v>4689</v>
      </c>
      <c r="B15" s="1058" t="s">
        <v>4689</v>
      </c>
      <c r="C15" s="1179" t="s">
        <v>4730</v>
      </c>
    </row>
    <row r="16" spans="1:3" x14ac:dyDescent="0.3">
      <c r="A16" s="1057" t="s">
        <v>4758</v>
      </c>
      <c r="B16" s="1058">
        <v>42893</v>
      </c>
      <c r="C16" s="1056" t="s">
        <v>4759</v>
      </c>
    </row>
    <row r="17" spans="1:22" x14ac:dyDescent="0.3">
      <c r="A17" s="1057" t="s">
        <v>4761</v>
      </c>
      <c r="B17" s="1058">
        <v>43227</v>
      </c>
      <c r="C17" s="1183" t="s">
        <v>4762</v>
      </c>
      <c r="D17" s="1183"/>
      <c r="E17" s="1183"/>
      <c r="F17" s="1183"/>
      <c r="G17" s="1183"/>
    </row>
    <row r="18" spans="1:22" x14ac:dyDescent="0.3">
      <c r="A18" s="1057" t="s">
        <v>4760</v>
      </c>
      <c r="B18" s="1058">
        <v>43339</v>
      </c>
      <c r="C18" s="1183" t="s">
        <v>4764</v>
      </c>
      <c r="D18" s="1183"/>
      <c r="E18" s="1183"/>
      <c r="F18" s="1183"/>
      <c r="G18" s="1183"/>
    </row>
    <row r="19" spans="1:22" x14ac:dyDescent="0.3">
      <c r="A19" s="1057" t="s">
        <v>4765</v>
      </c>
      <c r="B19" s="1058">
        <v>43360</v>
      </c>
      <c r="C19" s="1056" t="s">
        <v>4766</v>
      </c>
    </row>
    <row r="20" spans="1:22" x14ac:dyDescent="0.3">
      <c r="A20" s="1057" t="s">
        <v>4768</v>
      </c>
      <c r="B20" s="1058">
        <v>43595</v>
      </c>
      <c r="C20" s="1849" t="s">
        <v>4769</v>
      </c>
      <c r="D20" s="1849"/>
      <c r="E20" s="1849"/>
      <c r="F20" s="1849"/>
      <c r="G20" s="1849"/>
      <c r="H20" s="1849"/>
      <c r="I20" s="1849"/>
      <c r="J20" s="1849"/>
      <c r="K20" s="1849"/>
      <c r="L20" s="1849"/>
      <c r="M20" s="1849"/>
      <c r="N20" s="1849"/>
      <c r="O20" s="1849"/>
      <c r="P20" s="1849"/>
      <c r="Q20" s="1849"/>
      <c r="R20" s="1849"/>
      <c r="S20" s="1849"/>
      <c r="T20" s="1849"/>
      <c r="U20" s="1849"/>
      <c r="V20" s="1849"/>
    </row>
    <row r="21" spans="1:22" x14ac:dyDescent="0.3">
      <c r="A21" s="1057" t="s">
        <v>4773</v>
      </c>
      <c r="B21" s="1058">
        <v>43643</v>
      </c>
      <c r="C21" s="724" t="s">
        <v>4774</v>
      </c>
    </row>
    <row r="22" spans="1:22" x14ac:dyDescent="0.3">
      <c r="A22" s="1057" t="s">
        <v>4775</v>
      </c>
      <c r="B22" s="1058">
        <v>43657</v>
      </c>
      <c r="C22" s="724" t="s">
        <v>4776</v>
      </c>
    </row>
    <row r="23" spans="1:22" x14ac:dyDescent="0.3">
      <c r="A23" s="1057"/>
      <c r="B23" s="1058"/>
      <c r="C23" s="1056"/>
    </row>
    <row r="24" spans="1:22" x14ac:dyDescent="0.3">
      <c r="A24" s="1057"/>
      <c r="B24" s="1058"/>
      <c r="C24" s="1056"/>
    </row>
    <row r="25" spans="1:22" x14ac:dyDescent="0.3">
      <c r="A25" s="1057"/>
      <c r="B25" s="1058"/>
      <c r="C25" s="1056"/>
    </row>
    <row r="26" spans="1:22" x14ac:dyDescent="0.3">
      <c r="A26" s="1057"/>
      <c r="B26" s="1058"/>
      <c r="C26" s="1056"/>
    </row>
    <row r="27" spans="1:22" x14ac:dyDescent="0.3">
      <c r="A27" s="1057"/>
      <c r="B27" s="1058"/>
      <c r="C27" s="1056"/>
    </row>
    <row r="28" spans="1:22" x14ac:dyDescent="0.3">
      <c r="A28" s="1057"/>
      <c r="B28" s="1058"/>
      <c r="C28" s="1056"/>
    </row>
    <row r="29" spans="1:22" x14ac:dyDescent="0.3">
      <c r="A29" s="1057"/>
      <c r="B29" s="1058"/>
      <c r="C29" s="1056"/>
    </row>
    <row r="30" spans="1:22" x14ac:dyDescent="0.3">
      <c r="A30" s="1057"/>
      <c r="B30" s="1058"/>
      <c r="C30" s="1056"/>
    </row>
    <row r="31" spans="1:22" x14ac:dyDescent="0.3">
      <c r="A31" s="1057"/>
      <c r="B31" s="1058"/>
      <c r="C31" s="1056"/>
    </row>
    <row r="32" spans="1:22" x14ac:dyDescent="0.3">
      <c r="A32" s="1057"/>
      <c r="B32" s="1058"/>
      <c r="C32" s="1056"/>
    </row>
    <row r="33" spans="1:3" x14ac:dyDescent="0.3">
      <c r="A33" s="1057"/>
      <c r="B33" s="1058"/>
      <c r="C33" s="1056"/>
    </row>
    <row r="34" spans="1:3" x14ac:dyDescent="0.3">
      <c r="A34" s="1057"/>
      <c r="B34" s="1058"/>
      <c r="C34" s="1056"/>
    </row>
    <row r="35" spans="1:3" x14ac:dyDescent="0.3">
      <c r="A35" s="1057"/>
      <c r="B35" s="1058"/>
      <c r="C35" s="1056"/>
    </row>
    <row r="36" spans="1:3" x14ac:dyDescent="0.3">
      <c r="A36" s="1057"/>
      <c r="B36" s="1058"/>
      <c r="C36" s="1056"/>
    </row>
    <row r="37" spans="1:3" x14ac:dyDescent="0.3">
      <c r="A37" s="1057"/>
      <c r="B37" s="1058"/>
      <c r="C37" s="1056"/>
    </row>
    <row r="38" spans="1:3" x14ac:dyDescent="0.3">
      <c r="A38" s="1057"/>
      <c r="B38" s="1058"/>
      <c r="C38" s="1056"/>
    </row>
    <row r="39" spans="1:3" x14ac:dyDescent="0.3">
      <c r="A39" s="1057"/>
      <c r="B39" s="1058"/>
      <c r="C39" s="1056"/>
    </row>
    <row r="40" spans="1:3" x14ac:dyDescent="0.3">
      <c r="A40" s="1057"/>
      <c r="B40" s="1058"/>
      <c r="C40" s="1056"/>
    </row>
  </sheetData>
  <sheetProtection algorithmName="SHA-512" hashValue="7OoBXNm5bPTfCFfJw5fw8d26820Y1oZLF900O6VLw0tV3LY4ADayAmuElvtNswgf1IxFeQZr81l/6xN9Ue8NTw==" saltValue="0QuWBKUD8FBmU/UmDdIr9g==" spinCount="100000" sheet="1" objects="1" scenarios="1" selectLockedCells="1" selectUnlockedCells="1"/>
  <mergeCells count="1">
    <mergeCell ref="C20:V2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pageSetUpPr fitToPage="1"/>
  </sheetPr>
  <dimension ref="A1:BI519"/>
  <sheetViews>
    <sheetView showGridLines="0" topLeftCell="H1" zoomScaleNormal="100" workbookViewId="0">
      <pane ySplit="7" topLeftCell="A9" activePane="bottomLeft" state="frozen"/>
      <selection activeCell="G8" sqref="G8:J8"/>
      <selection pane="bottomLeft" activeCell="H9" sqref="H9"/>
    </sheetView>
  </sheetViews>
  <sheetFormatPr defaultColWidth="9.109375" defaultRowHeight="14.4" x14ac:dyDescent="0.3"/>
  <cols>
    <col min="1" max="1" width="9.109375" style="18" hidden="1" customWidth="1"/>
    <col min="2" max="2" width="7.33203125" style="1061" hidden="1" customWidth="1"/>
    <col min="3" max="7" width="3.88671875" style="18" hidden="1" customWidth="1"/>
    <col min="8" max="8" width="3.88671875" style="18" customWidth="1"/>
    <col min="9" max="9" width="10.44140625" style="65" customWidth="1"/>
    <col min="10" max="11" width="3.88671875" style="65" customWidth="1"/>
    <col min="12" max="12" width="71.6640625" style="65" customWidth="1"/>
    <col min="13" max="13" width="13.5546875" style="69" customWidth="1"/>
    <col min="14" max="14" width="7.6640625" style="65" hidden="1" customWidth="1"/>
    <col min="15" max="15" width="7.6640625" style="138" customWidth="1"/>
    <col min="16" max="21" width="8.88671875" style="65" hidden="1" customWidth="1"/>
    <col min="22" max="22" width="3" style="65" hidden="1" customWidth="1"/>
    <col min="23" max="23" width="21.44140625" style="65" customWidth="1"/>
    <col min="24" max="24" width="69" style="65" customWidth="1"/>
    <col min="25" max="25" width="34.88671875" style="1107" hidden="1" customWidth="1"/>
    <col min="26" max="26" width="34.88671875" style="65" hidden="1" customWidth="1"/>
    <col min="27" max="27" width="9.109375" style="1110" hidden="1" customWidth="1"/>
    <col min="28" max="37" width="9.109375" style="65" hidden="1" customWidth="1"/>
    <col min="38" max="38" width="16.44140625" style="65" hidden="1" customWidth="1"/>
    <col min="39" max="39" width="3" style="65" hidden="1" customWidth="1"/>
    <col min="40" max="40" width="15.6640625" style="65" hidden="1" customWidth="1"/>
    <col min="41" max="41" width="2.109375" style="65" hidden="1" customWidth="1"/>
    <col min="42" max="42" width="15.6640625" style="65" hidden="1" customWidth="1"/>
    <col min="43" max="43" width="2.109375" style="65" hidden="1" customWidth="1"/>
    <col min="44" max="44" width="15.6640625" style="65" hidden="1" customWidth="1"/>
    <col min="45" max="45" width="2.109375" style="65" hidden="1" customWidth="1"/>
    <col min="46" max="61" width="9.109375" style="65" hidden="1" customWidth="1"/>
    <col min="62" max="16384" width="9.109375" style="65"/>
  </cols>
  <sheetData>
    <row r="1" spans="1:61" x14ac:dyDescent="0.3">
      <c r="H1" s="1316" t="s">
        <v>4691</v>
      </c>
      <c r="I1" s="1285" t="str">
        <f ca="1">IF(OR(AG3,AI3),"Errors on page, no Level reached","Current Chapter level: "&amp;AG1&amp;"                                            Total Points: "&amp;AG2)</f>
        <v>Current Chapter level: Silver                                            Total Points: 76</v>
      </c>
      <c r="J1" s="1285"/>
      <c r="K1" s="1285"/>
      <c r="L1" s="1285"/>
      <c r="M1" s="1317"/>
      <c r="N1" s="1317"/>
      <c r="O1" s="1317"/>
      <c r="P1" s="1317"/>
      <c r="Q1" s="1317"/>
      <c r="R1" s="1317"/>
      <c r="S1" s="1317"/>
      <c r="T1" s="1317"/>
      <c r="U1" s="1317"/>
      <c r="V1" s="1317"/>
      <c r="W1" s="1317"/>
      <c r="X1" s="1190" t="s">
        <v>4651</v>
      </c>
      <c r="AF1" s="64" t="s">
        <v>532</v>
      </c>
      <c r="AG1" s="65" t="str">
        <f ca="1">IF(OR(AG3,AI3),"None",Ch6Level)</f>
        <v>Silver</v>
      </c>
    </row>
    <row r="2" spans="1:61" x14ac:dyDescent="0.3">
      <c r="H2" s="1316"/>
      <c r="I2" s="1286" t="str">
        <f ca="1">"Points away from:  Bronze: "&amp;MAX(Points!C16-Ch6Points,0)&amp;",  Silver: "&amp;MAX(Points!D16-Ch6Points,0)&amp;",  Gold: "&amp;MAX(Points!E16-Ch6Points,0)&amp;",  Emerald: "&amp;MAX(Points!F16-Ch6Points,0)</f>
        <v>Points away from:  Bronze: 0,  Silver: 0,  Gold: 13,  Emerald: 43</v>
      </c>
      <c r="J2" s="1286"/>
      <c r="K2" s="1286"/>
      <c r="L2" s="1286"/>
      <c r="M2" s="1317"/>
      <c r="N2" s="1317"/>
      <c r="O2" s="1317"/>
      <c r="P2" s="1317"/>
      <c r="Q2" s="1317"/>
      <c r="R2" s="1317"/>
      <c r="S2" s="1317"/>
      <c r="T2" s="1317"/>
      <c r="U2" s="1317"/>
      <c r="V2" s="1317"/>
      <c r="W2" s="1317"/>
      <c r="X2" s="1190" t="s">
        <v>3731</v>
      </c>
      <c r="AF2" s="64" t="s">
        <v>533</v>
      </c>
      <c r="AG2" s="65">
        <f ca="1">Ch6Points</f>
        <v>76</v>
      </c>
      <c r="AH2" s="65" t="s">
        <v>812</v>
      </c>
      <c r="AI2" s="65">
        <f ca="1">Ch6NLev</f>
        <v>13</v>
      </c>
      <c r="AJ2"/>
      <c r="AK2"/>
    </row>
    <row r="3" spans="1:61" x14ac:dyDescent="0.3">
      <c r="H3" s="1316"/>
      <c r="I3" s="1286" t="str">
        <f ca="1">"Add'l pts earned above:  Bronze: "&amp; MAX(0,Ch6Points-Points!C16) &amp;",  Silver: " &amp; MAX(0,Ch6Points-Points!D16) &amp;",  Gold: " &amp; MAX(0,Ch6Points-Points!E16) &amp;",  Emerald: " &amp; MAX(0,Ch6Points-Points!F16)</f>
        <v>Add'l pts earned above:  Bronze: 33,  Silver: 17,  Gold: 0,  Emerald: 0</v>
      </c>
      <c r="J3" s="1286"/>
      <c r="K3" s="1286"/>
      <c r="L3" s="1286"/>
      <c r="M3" s="1317"/>
      <c r="N3" s="1317"/>
      <c r="O3" s="1317"/>
      <c r="P3" s="1317"/>
      <c r="Q3" s="1317"/>
      <c r="R3" s="1317"/>
      <c r="S3" s="1317"/>
      <c r="T3" s="1317"/>
      <c r="U3" s="1317"/>
      <c r="V3" s="1317"/>
      <c r="W3" s="1317"/>
      <c r="X3" s="1190" t="s">
        <v>3730</v>
      </c>
      <c r="AF3" s="64" t="s">
        <v>534</v>
      </c>
      <c r="AG3" s="65" t="b">
        <f>OR(AE:AE)</f>
        <v>0</v>
      </c>
      <c r="AH3" s="64" t="s">
        <v>813</v>
      </c>
      <c r="AI3" s="65" t="b">
        <f ca="1">OR(AD:AD)</f>
        <v>0</v>
      </c>
    </row>
    <row r="4" spans="1:61" x14ac:dyDescent="0.3">
      <c r="H4" s="1316"/>
      <c r="I4" s="1297" t="str">
        <f>"Total Chapter Points needed for:  Bronze: "&amp;Points!C16&amp;",  Silver: "&amp;Points!D16&amp;",  Gold: "&amp;Points!E16&amp;",  Emerald: "&amp;Points!F16</f>
        <v>Total Chapter Points needed for:  Bronze: 43,  Silver: 59,  Gold: 89,  Emerald: 119</v>
      </c>
      <c r="J4" s="1298"/>
      <c r="K4" s="1298"/>
      <c r="L4" s="1299"/>
      <c r="M4" s="1317"/>
      <c r="N4" s="1317"/>
      <c r="O4" s="1317"/>
      <c r="P4" s="1317"/>
      <c r="Q4" s="1317"/>
      <c r="R4" s="1317"/>
      <c r="S4" s="1317"/>
      <c r="T4" s="1317"/>
      <c r="U4" s="1317"/>
      <c r="V4" s="1317"/>
      <c r="W4" s="1317"/>
      <c r="X4" s="1231" t="s">
        <v>4722</v>
      </c>
      <c r="AF4" s="64"/>
      <c r="AH4" s="64"/>
    </row>
    <row r="5" spans="1:61" x14ac:dyDescent="0.3">
      <c r="H5" s="1316"/>
      <c r="I5" s="1300" t="str">
        <f>"Revision Date:  "&amp;TEXT('Info &amp; Intro'!E7,"m/d/yyyy")</f>
        <v>Revision Date:  7/11/2019</v>
      </c>
      <c r="J5" s="1301"/>
      <c r="K5" s="1301"/>
      <c r="L5" s="1302"/>
      <c r="M5" s="1317"/>
      <c r="N5" s="1317"/>
      <c r="O5" s="1317"/>
      <c r="P5" s="1317"/>
      <c r="Q5" s="1317"/>
      <c r="R5" s="1317"/>
      <c r="S5" s="1317"/>
      <c r="T5" s="1317"/>
      <c r="U5" s="1317"/>
      <c r="V5" s="1317"/>
      <c r="W5" s="1317"/>
      <c r="X5" s="1231"/>
      <c r="AF5" s="64"/>
      <c r="AH5" s="64"/>
    </row>
    <row r="6" spans="1:61" x14ac:dyDescent="0.3">
      <c r="H6" s="1316"/>
      <c r="I6" s="1339" t="s">
        <v>261</v>
      </c>
      <c r="J6" s="1340"/>
      <c r="K6" s="1341"/>
      <c r="L6" s="1321" t="s">
        <v>1310</v>
      </c>
      <c r="M6" s="1321" t="s">
        <v>262</v>
      </c>
      <c r="N6" s="1321"/>
      <c r="O6" s="35" t="s">
        <v>338</v>
      </c>
      <c r="P6" s="1321" t="s">
        <v>4719</v>
      </c>
      <c r="Q6" s="1321" t="s">
        <v>329</v>
      </c>
      <c r="R6" s="1321" t="s">
        <v>263</v>
      </c>
      <c r="S6" s="1321" t="s">
        <v>264</v>
      </c>
      <c r="T6" s="1321" t="s">
        <v>0</v>
      </c>
      <c r="U6" s="1321" t="s">
        <v>4720</v>
      </c>
      <c r="V6" s="1321"/>
      <c r="W6" s="1321" t="s">
        <v>265</v>
      </c>
      <c r="X6" s="1287" t="s">
        <v>1</v>
      </c>
      <c r="AC6" s="63" t="s">
        <v>327</v>
      </c>
      <c r="AD6" s="63" t="s">
        <v>0</v>
      </c>
      <c r="AE6" s="63" t="s">
        <v>326</v>
      </c>
    </row>
    <row r="7" spans="1:61" x14ac:dyDescent="0.3">
      <c r="H7" s="1316"/>
      <c r="I7" s="1339"/>
      <c r="J7" s="1340"/>
      <c r="K7" s="1341"/>
      <c r="L7" s="1322"/>
      <c r="M7" s="1322"/>
      <c r="N7" s="1322"/>
      <c r="O7" s="35" t="s">
        <v>339</v>
      </c>
      <c r="P7" s="1322"/>
      <c r="Q7" s="1322"/>
      <c r="R7" s="1322"/>
      <c r="S7" s="1322"/>
      <c r="T7" s="1322"/>
      <c r="U7" s="1322"/>
      <c r="V7" s="1322"/>
      <c r="W7" s="1322"/>
      <c r="X7" s="1288"/>
      <c r="AC7" s="63" t="s">
        <v>327</v>
      </c>
      <c r="AD7" s="63" t="s">
        <v>0</v>
      </c>
      <c r="AE7" s="63" t="s">
        <v>326</v>
      </c>
    </row>
    <row r="8" spans="1:61" s="1077" customFormat="1" hidden="1" x14ac:dyDescent="0.3">
      <c r="A8" s="18"/>
      <c r="B8" s="1061"/>
      <c r="C8" s="18"/>
      <c r="D8" s="18"/>
      <c r="E8" s="18"/>
      <c r="F8" s="18"/>
      <c r="G8" s="18"/>
      <c r="H8" s="18"/>
      <c r="I8" s="1079"/>
      <c r="J8" s="1079"/>
      <c r="K8" s="1079"/>
      <c r="L8" s="1078"/>
      <c r="M8" s="1078"/>
      <c r="N8" s="1078"/>
      <c r="O8" s="35"/>
      <c r="P8" s="1078"/>
      <c r="Q8" s="1078"/>
      <c r="R8" s="1078"/>
      <c r="S8" s="1078"/>
      <c r="T8" s="1078"/>
      <c r="U8" s="1078"/>
      <c r="V8" s="1078"/>
      <c r="W8" s="1078"/>
      <c r="X8" s="1079"/>
      <c r="Y8" s="1107"/>
      <c r="AA8" s="1110"/>
      <c r="AC8" s="1076"/>
      <c r="AD8" s="1076"/>
      <c r="AE8" s="1076"/>
    </row>
    <row r="9" spans="1:61" ht="18" x14ac:dyDescent="0.35">
      <c r="A9" s="18" t="s">
        <v>260</v>
      </c>
      <c r="B9" s="1061" t="s">
        <v>260</v>
      </c>
      <c r="C9" s="18" t="s">
        <v>260</v>
      </c>
      <c r="D9" s="18" t="s">
        <v>260</v>
      </c>
      <c r="E9" s="18" t="s">
        <v>260</v>
      </c>
      <c r="F9" s="18" t="s">
        <v>260</v>
      </c>
      <c r="G9" s="18" t="s">
        <v>260</v>
      </c>
      <c r="H9" s="1086"/>
      <c r="I9" s="22" t="s">
        <v>536</v>
      </c>
      <c r="J9" s="22"/>
      <c r="K9" s="22"/>
      <c r="L9" s="23"/>
      <c r="M9" s="24"/>
      <c r="N9" s="65" t="s">
        <v>260</v>
      </c>
      <c r="O9" s="24"/>
      <c r="P9" s="65" t="s">
        <v>260</v>
      </c>
      <c r="Q9" s="65" t="s">
        <v>260</v>
      </c>
      <c r="R9" s="65" t="s">
        <v>260</v>
      </c>
      <c r="S9" s="65" t="s">
        <v>260</v>
      </c>
      <c r="T9" s="65" t="s">
        <v>260</v>
      </c>
      <c r="U9" s="65" t="s">
        <v>260</v>
      </c>
      <c r="V9" s="65" t="s">
        <v>260</v>
      </c>
      <c r="W9" s="23"/>
      <c r="X9" s="23"/>
      <c r="Y9" s="1106" t="s">
        <v>260</v>
      </c>
      <c r="Z9" s="62" t="s">
        <v>260</v>
      </c>
      <c r="AA9" s="1108" t="s">
        <v>260</v>
      </c>
      <c r="AB9" s="1075" t="s">
        <v>260</v>
      </c>
      <c r="AC9" s="62" t="s">
        <v>260</v>
      </c>
      <c r="AD9" s="62" t="s">
        <v>260</v>
      </c>
      <c r="AE9" s="62" t="s">
        <v>260</v>
      </c>
      <c r="AF9" s="62" t="s">
        <v>260</v>
      </c>
      <c r="AG9" s="62" t="s">
        <v>260</v>
      </c>
      <c r="AH9" s="62" t="s">
        <v>260</v>
      </c>
      <c r="AI9" s="62" t="s">
        <v>260</v>
      </c>
      <c r="AJ9" s="62" t="s">
        <v>260</v>
      </c>
      <c r="AK9" s="62" t="s">
        <v>260</v>
      </c>
      <c r="AL9" s="62" t="s">
        <v>260</v>
      </c>
      <c r="AM9" s="62" t="s">
        <v>260</v>
      </c>
      <c r="AN9" s="62" t="s">
        <v>260</v>
      </c>
      <c r="AO9" s="62" t="s">
        <v>260</v>
      </c>
      <c r="AP9" s="62" t="s">
        <v>260</v>
      </c>
      <c r="AQ9" s="62" t="s">
        <v>260</v>
      </c>
      <c r="AR9" s="62" t="s">
        <v>260</v>
      </c>
      <c r="AS9" s="62" t="s">
        <v>260</v>
      </c>
      <c r="AT9" s="62" t="s">
        <v>260</v>
      </c>
      <c r="AU9" s="62" t="s">
        <v>260</v>
      </c>
      <c r="AV9" s="62" t="s">
        <v>260</v>
      </c>
      <c r="AW9" s="62" t="s">
        <v>260</v>
      </c>
      <c r="AX9" s="62" t="s">
        <v>260</v>
      </c>
      <c r="AY9" s="62" t="s">
        <v>260</v>
      </c>
      <c r="AZ9" s="62" t="s">
        <v>260</v>
      </c>
      <c r="BA9" s="62" t="s">
        <v>260</v>
      </c>
      <c r="BB9" s="62" t="s">
        <v>260</v>
      </c>
      <c r="BC9" s="62" t="s">
        <v>260</v>
      </c>
      <c r="BD9" s="62" t="s">
        <v>260</v>
      </c>
      <c r="BE9" s="62" t="s">
        <v>260</v>
      </c>
      <c r="BF9" s="62" t="s">
        <v>260</v>
      </c>
      <c r="BG9" s="62" t="s">
        <v>260</v>
      </c>
      <c r="BH9" s="62" t="s">
        <v>260</v>
      </c>
      <c r="BI9" s="1097" t="s">
        <v>260</v>
      </c>
    </row>
    <row r="10" spans="1:61" x14ac:dyDescent="0.3">
      <c r="B10" s="80" t="s">
        <v>537</v>
      </c>
      <c r="C10" s="21"/>
      <c r="D10" s="21"/>
      <c r="E10" s="21"/>
      <c r="F10" s="21"/>
      <c r="G10" s="21"/>
      <c r="H10" s="1084"/>
      <c r="I10" s="81" t="s">
        <v>537</v>
      </c>
      <c r="J10" s="27"/>
      <c r="K10" s="90"/>
      <c r="L10" s="1292" t="s">
        <v>538</v>
      </c>
      <c r="M10" s="83"/>
      <c r="N10"/>
      <c r="P10"/>
      <c r="Q10"/>
      <c r="R10"/>
      <c r="S10"/>
      <c r="T10"/>
      <c r="U10"/>
      <c r="V10"/>
      <c r="W10"/>
      <c r="X10"/>
      <c r="Z10"/>
      <c r="AB10"/>
      <c r="AC10"/>
      <c r="AD10"/>
      <c r="AE10"/>
      <c r="AF10"/>
      <c r="AG10"/>
      <c r="AH10"/>
      <c r="AI10"/>
      <c r="AJ10"/>
      <c r="AK10"/>
      <c r="AL10"/>
      <c r="AM10"/>
      <c r="AN10"/>
      <c r="AO10"/>
      <c r="AP10"/>
      <c r="AQ10"/>
      <c r="AR10"/>
      <c r="AS10"/>
    </row>
    <row r="11" spans="1:61" x14ac:dyDescent="0.3">
      <c r="B11" s="80" t="s">
        <v>537</v>
      </c>
      <c r="C11" s="21"/>
      <c r="D11" s="21"/>
      <c r="E11" s="21"/>
      <c r="F11" s="21"/>
      <c r="G11" s="21"/>
      <c r="H11" s="1084"/>
      <c r="I11" s="66"/>
      <c r="J11" s="4"/>
      <c r="K11" s="86"/>
      <c r="L11" s="1292"/>
      <c r="M11" s="83"/>
      <c r="N11"/>
      <c r="P11"/>
      <c r="Q11"/>
      <c r="R11"/>
      <c r="S11"/>
      <c r="T11"/>
      <c r="U11"/>
      <c r="V11"/>
      <c r="W11"/>
      <c r="X11"/>
      <c r="Z11"/>
      <c r="AB11"/>
      <c r="AC11"/>
      <c r="AD11"/>
      <c r="AE11"/>
      <c r="AF11"/>
      <c r="AG11"/>
      <c r="AH11"/>
      <c r="AI11"/>
      <c r="AJ11"/>
      <c r="AK11"/>
      <c r="AL11"/>
      <c r="AM11"/>
      <c r="AN11"/>
      <c r="AO11"/>
      <c r="AP11"/>
      <c r="AQ11"/>
      <c r="AR11"/>
      <c r="AS11"/>
      <c r="AX11" s="64" t="str">
        <f>'Overview (Design)'!A8</f>
        <v>Builder Name:</v>
      </c>
      <c r="AY11" s="65" t="str">
        <f>'Overview (Design)'!G8</f>
        <v>ZERH Builder</v>
      </c>
    </row>
    <row r="12" spans="1:61" ht="15" thickBot="1" x14ac:dyDescent="0.35">
      <c r="B12" s="80" t="s">
        <v>537</v>
      </c>
      <c r="C12" s="21"/>
      <c r="D12" s="21"/>
      <c r="E12" s="21"/>
      <c r="F12" s="21"/>
      <c r="G12" s="21"/>
      <c r="H12" s="1084"/>
      <c r="I12" s="66"/>
      <c r="J12" s="4"/>
      <c r="K12" s="86"/>
      <c r="L12" s="1292"/>
      <c r="M12" s="83"/>
      <c r="N12"/>
      <c r="P12"/>
      <c r="Q12"/>
      <c r="R12"/>
      <c r="S12"/>
      <c r="T12"/>
      <c r="U12"/>
      <c r="V12"/>
      <c r="W12"/>
      <c r="X12"/>
      <c r="Z12"/>
      <c r="AB12"/>
      <c r="AC12"/>
      <c r="AD12"/>
      <c r="AE12"/>
      <c r="AF12"/>
      <c r="AG12"/>
      <c r="AH12"/>
      <c r="AI12"/>
      <c r="AJ12"/>
      <c r="AK12"/>
      <c r="AL12"/>
      <c r="AM12"/>
      <c r="AN12"/>
      <c r="AO12"/>
      <c r="AP12"/>
      <c r="AQ12"/>
      <c r="AR12"/>
      <c r="AS12"/>
      <c r="AX12" s="64" t="str">
        <f>'Overview (Design)'!A9</f>
        <v>Physical Address of Home:</v>
      </c>
      <c r="AY12" s="65" t="str">
        <f>'Overview (Design)'!G9</f>
        <v>123 Main Sts</v>
      </c>
    </row>
    <row r="13" spans="1:61" ht="15" thickTop="1" x14ac:dyDescent="0.3">
      <c r="B13" s="80">
        <v>601.1</v>
      </c>
      <c r="C13" s="21"/>
      <c r="D13" s="21"/>
      <c r="E13" s="21"/>
      <c r="F13" s="21"/>
      <c r="G13" s="21"/>
      <c r="H13" s="1084"/>
      <c r="I13" s="200">
        <v>601.1</v>
      </c>
      <c r="J13" s="201"/>
      <c r="K13" s="202"/>
      <c r="L13" s="1331" t="s">
        <v>539</v>
      </c>
      <c r="M13" s="517"/>
      <c r="N13" s="201"/>
      <c r="O13" s="1336">
        <f>IFERROR(INDEX({14,12,9,6,3,0},MATCH(AY23,{1,701,1001,1501,2001,2501,100000},1)),0)</f>
        <v>0</v>
      </c>
      <c r="P13" s="110"/>
      <c r="Q13" s="110"/>
      <c r="R13" s="110"/>
      <c r="S13" s="110"/>
      <c r="T13" s="110"/>
      <c r="U13" s="110"/>
      <c r="V13" s="110"/>
      <c r="W13" s="110"/>
      <c r="X13" s="1327"/>
      <c r="Z13"/>
      <c r="AB13"/>
      <c r="AC13"/>
      <c r="AD13"/>
      <c r="AE13"/>
      <c r="AF13"/>
      <c r="AG13"/>
      <c r="AH13"/>
      <c r="AI13"/>
      <c r="AJ13"/>
      <c r="AK13"/>
      <c r="AL13"/>
      <c r="AM13"/>
      <c r="AN13" s="311" t="str">
        <f>SUBSTITUTE(SUBSTITUTE(SUBSTITUTE("dpc"&amp;$B13&amp;$C13&amp;$D13&amp;$E13&amp;$F13,".","_"),"(","_"),")","")</f>
        <v>dpc601_1</v>
      </c>
      <c r="AO13" s="311">
        <f>O13</f>
        <v>0</v>
      </c>
      <c r="AP13"/>
      <c r="AQ13"/>
      <c r="AR13" s="1059" t="str">
        <f>SUBSTITUTE(SUBSTITUTE(SUBSTITUTE("dnt"&amp;$B13&amp;$C13&amp;$D13&amp;$E13&amp;$F13,".","_"),"(","_"),")","")</f>
        <v>dnt601_1</v>
      </c>
      <c r="AS13" s="311">
        <f>X13</f>
        <v>0</v>
      </c>
      <c r="AX13" s="64" t="str">
        <f>'Overview (Design)'!A10</f>
        <v>Community/Lot #:</v>
      </c>
      <c r="AY13" s="65" t="str">
        <f>'Overview (Design)'!G10</f>
        <v>Lot 123</v>
      </c>
    </row>
    <row r="14" spans="1:61" x14ac:dyDescent="0.3">
      <c r="B14" s="80">
        <v>601.1</v>
      </c>
      <c r="C14" s="21"/>
      <c r="D14" s="21"/>
      <c r="E14" s="21"/>
      <c r="F14" s="21"/>
      <c r="G14" s="21"/>
      <c r="H14" s="1084"/>
      <c r="I14" s="141"/>
      <c r="J14" s="140"/>
      <c r="K14" s="98"/>
      <c r="L14" s="1313"/>
      <c r="M14" s="518"/>
      <c r="N14" s="140"/>
      <c r="O14" s="1308"/>
      <c r="P14" s="97"/>
      <c r="Q14" s="97"/>
      <c r="R14" s="97"/>
      <c r="S14" s="97"/>
      <c r="T14" s="97"/>
      <c r="U14" s="97"/>
      <c r="V14" s="97"/>
      <c r="W14" s="97"/>
      <c r="X14" s="1295"/>
      <c r="Z14"/>
      <c r="AB14"/>
      <c r="AC14"/>
      <c r="AD14"/>
      <c r="AE14"/>
      <c r="AF14"/>
      <c r="AG14"/>
      <c r="AH14"/>
      <c r="AI14"/>
      <c r="AJ14"/>
      <c r="AK14"/>
      <c r="AL14"/>
      <c r="AM14"/>
      <c r="AN14"/>
      <c r="AO14"/>
      <c r="AP14"/>
      <c r="AQ14"/>
      <c r="AR14"/>
      <c r="AS14"/>
      <c r="AX14" s="64" t="str">
        <f>'Overview (Design)'!A11</f>
        <v>City:</v>
      </c>
      <c r="AY14" s="65" t="str">
        <f>'Overview (Design)'!G11</f>
        <v>Durham</v>
      </c>
    </row>
    <row r="15" spans="1:61" x14ac:dyDescent="0.3">
      <c r="B15" s="80">
        <v>601.1</v>
      </c>
      <c r="C15" s="21"/>
      <c r="D15" s="21"/>
      <c r="E15" s="21"/>
      <c r="F15" s="21"/>
      <c r="G15" s="21"/>
      <c r="H15" s="1084"/>
      <c r="I15" s="141"/>
      <c r="J15" s="140"/>
      <c r="K15" s="98"/>
      <c r="L15" s="1313"/>
      <c r="M15" s="518"/>
      <c r="N15" s="140"/>
      <c r="O15" s="1308"/>
      <c r="P15" s="97"/>
      <c r="Q15" s="97"/>
      <c r="R15" s="97"/>
      <c r="S15" s="97"/>
      <c r="T15" s="97"/>
      <c r="U15" s="97"/>
      <c r="V15" s="97"/>
      <c r="W15" s="97"/>
      <c r="X15" s="1295"/>
      <c r="Z15"/>
      <c r="AB15"/>
      <c r="AC15"/>
      <c r="AD15"/>
      <c r="AE15"/>
      <c r="AF15"/>
      <c r="AG15"/>
      <c r="AH15"/>
      <c r="AI15"/>
      <c r="AJ15"/>
      <c r="AK15"/>
      <c r="AL15"/>
      <c r="AM15"/>
      <c r="AN15"/>
      <c r="AO15"/>
      <c r="AP15"/>
      <c r="AQ15"/>
      <c r="AR15"/>
      <c r="AS15"/>
      <c r="AX15" s="64" t="str">
        <f>'Overview (Design)'!A12</f>
        <v>State:</v>
      </c>
      <c r="AY15" s="65" t="str">
        <f>'Overview (Design)'!G12</f>
        <v>North Carolina</v>
      </c>
      <c r="BC15" s="65" t="str">
        <f>'Overview (Design)'!K12</f>
        <v>State</v>
      </c>
      <c r="BD15" s="65" t="str">
        <f>'Overview (Design)'!L12</f>
        <v>County</v>
      </c>
      <c r="BE15" s="65" t="str">
        <f>'Overview (Design)'!M12</f>
        <v>Radon</v>
      </c>
      <c r="BF15" s="65" t="str">
        <f>'Overview (Design)'!N12</f>
        <v>Climate</v>
      </c>
      <c r="BG15" s="65" t="str">
        <f>'Overview (Design)'!O12</f>
        <v>Moist</v>
      </c>
      <c r="BH15" s="65" t="str">
        <f>'Overview (Design)'!P12</f>
        <v>WarmHumid</v>
      </c>
      <c r="BI15" s="1101" t="str">
        <f>'Overview (Design)'!Q12</f>
        <v>Tropical</v>
      </c>
    </row>
    <row r="16" spans="1:61" x14ac:dyDescent="0.3">
      <c r="B16" s="80">
        <v>601.1</v>
      </c>
      <c r="C16" s="21"/>
      <c r="D16" s="21"/>
      <c r="E16" s="21"/>
      <c r="F16" s="21"/>
      <c r="G16" s="21"/>
      <c r="H16" s="1084"/>
      <c r="I16" s="141"/>
      <c r="J16" s="140"/>
      <c r="K16" s="98"/>
      <c r="L16" s="1313"/>
      <c r="M16" s="518"/>
      <c r="N16" s="140"/>
      <c r="O16" s="1308"/>
      <c r="P16" s="97"/>
      <c r="Q16" s="97"/>
      <c r="R16" s="97"/>
      <c r="S16" s="97"/>
      <c r="T16" s="97"/>
      <c r="U16" s="97"/>
      <c r="V16" s="97"/>
      <c r="W16" s="97"/>
      <c r="X16" s="1295"/>
      <c r="Z16"/>
      <c r="AB16"/>
      <c r="AC16" s="79" t="b">
        <f>OR(AD16:AE16)</f>
        <v>0</v>
      </c>
      <c r="AD16" s="79" t="b">
        <v>0</v>
      </c>
      <c r="AE16" s="79" t="b">
        <v>0</v>
      </c>
      <c r="AF16"/>
      <c r="AG16"/>
      <c r="AH16"/>
      <c r="AI16"/>
      <c r="AJ16"/>
      <c r="AK16"/>
      <c r="AL16"/>
      <c r="AM16"/>
      <c r="AN16"/>
      <c r="AO16"/>
      <c r="AP16"/>
      <c r="AQ16"/>
      <c r="AR16"/>
      <c r="AS16"/>
      <c r="AX16" s="64" t="str">
        <f>'Overview (Design)'!A13</f>
        <v>County:</v>
      </c>
      <c r="AY16" s="65" t="str">
        <f>'Overview (Design)'!G13</f>
        <v xml:space="preserve">Chatham  </v>
      </c>
      <c r="BC16" s="65" t="str">
        <f>'Overview (Design)'!K13</f>
        <v>North Carolina</v>
      </c>
      <c r="BD16" s="65" t="str">
        <f>'Overview (Design)'!L13</f>
        <v xml:space="preserve">Chatham  </v>
      </c>
      <c r="BE16" s="65">
        <f>'Overview (Design)'!M13</f>
        <v>3</v>
      </c>
      <c r="BF16" s="65">
        <f>'Overview (Design)'!N13</f>
        <v>4</v>
      </c>
      <c r="BG16" s="65" t="str">
        <f>'Overview (Design)'!O13</f>
        <v>Moist</v>
      </c>
      <c r="BH16" s="65" t="str">
        <f>'Overview (Design)'!P13</f>
        <v xml:space="preserve"> </v>
      </c>
      <c r="BI16" s="1101" t="str">
        <f>'Overview (Design)'!Q13</f>
        <v xml:space="preserve"> </v>
      </c>
    </row>
    <row r="17" spans="2:52" ht="15" x14ac:dyDescent="0.3">
      <c r="B17" s="80">
        <v>601.1</v>
      </c>
      <c r="C17" s="21"/>
      <c r="D17" s="21"/>
      <c r="E17" s="21" t="s">
        <v>271</v>
      </c>
      <c r="F17" s="21"/>
      <c r="G17" s="21"/>
      <c r="H17" s="1084"/>
      <c r="I17" s="141"/>
      <c r="J17" s="231" t="s">
        <v>271</v>
      </c>
      <c r="K17" s="193"/>
      <c r="L17" s="342" t="s">
        <v>540</v>
      </c>
      <c r="M17" s="520">
        <v>14</v>
      </c>
      <c r="N17" s="140"/>
      <c r="O17" s="269"/>
      <c r="P17" s="97"/>
      <c r="Q17" s="97"/>
      <c r="R17" s="97"/>
      <c r="S17" s="97"/>
      <c r="T17" s="97"/>
      <c r="U17" s="97"/>
      <c r="V17" s="97"/>
      <c r="W17" s="97"/>
      <c r="X17" s="1295"/>
      <c r="Z17"/>
      <c r="AB17"/>
      <c r="AC17"/>
      <c r="AD17"/>
      <c r="AE17"/>
      <c r="AF17"/>
      <c r="AG17"/>
      <c r="AH17"/>
      <c r="AI17"/>
      <c r="AJ17"/>
      <c r="AK17"/>
      <c r="AL17" s="311" t="str">
        <f>SUBSTITUTE(SUBSTITUTE(SUBSTITUTE("dpa"&amp;$B17&amp;$C17&amp;$D17&amp;$E17&amp;$F17,".","_"),"(","_"),")","")</f>
        <v>dpa601_1_1</v>
      </c>
      <c r="AM17" s="311">
        <f>M17</f>
        <v>14</v>
      </c>
      <c r="AN17"/>
      <c r="AO17"/>
      <c r="AP17"/>
      <c r="AQ17"/>
      <c r="AR17"/>
      <c r="AS17"/>
      <c r="AX17" s="64" t="str">
        <f>'Overview (Design)'!A14</f>
        <v>Zip:</v>
      </c>
      <c r="AY17" s="65" t="str">
        <f>'Overview (Design)'!G14</f>
        <v>27703</v>
      </c>
    </row>
    <row r="18" spans="2:52" ht="15" x14ac:dyDescent="0.3">
      <c r="B18" s="80">
        <v>601.1</v>
      </c>
      <c r="C18" s="21"/>
      <c r="D18" s="21"/>
      <c r="E18" s="21" t="s">
        <v>273</v>
      </c>
      <c r="F18" s="21"/>
      <c r="G18" s="21"/>
      <c r="H18" s="1084"/>
      <c r="I18" s="141"/>
      <c r="J18" s="233" t="s">
        <v>273</v>
      </c>
      <c r="K18" s="234"/>
      <c r="L18" s="364" t="s">
        <v>541</v>
      </c>
      <c r="M18" s="532">
        <v>12</v>
      </c>
      <c r="N18" s="140"/>
      <c r="O18" s="269"/>
      <c r="P18" s="97"/>
      <c r="Q18" s="97"/>
      <c r="R18" s="97"/>
      <c r="S18" s="97"/>
      <c r="T18" s="97"/>
      <c r="U18" s="97"/>
      <c r="V18" s="97"/>
      <c r="W18" s="97"/>
      <c r="X18" s="1295"/>
      <c r="Z18"/>
      <c r="AB18"/>
      <c r="AC18"/>
      <c r="AD18"/>
      <c r="AE18"/>
      <c r="AF18"/>
      <c r="AG18"/>
      <c r="AH18"/>
      <c r="AI18"/>
      <c r="AJ18"/>
      <c r="AK18"/>
      <c r="AL18" s="311" t="str">
        <f>SUBSTITUTE(SUBSTITUTE(SUBSTITUTE("dpa"&amp;$B18&amp;$C18&amp;$D18&amp;$E18&amp;$F18,".","_"),"(","_"),")","")</f>
        <v>dpa601_1_2</v>
      </c>
      <c r="AM18" s="311">
        <f>M18</f>
        <v>12</v>
      </c>
      <c r="AN18"/>
      <c r="AO18"/>
      <c r="AP18"/>
      <c r="AQ18"/>
      <c r="AR18"/>
      <c r="AS18"/>
      <c r="AX18" s="64"/>
    </row>
    <row r="19" spans="2:52" ht="15" x14ac:dyDescent="0.3">
      <c r="B19" s="80">
        <v>601.1</v>
      </c>
      <c r="C19" s="21"/>
      <c r="D19" s="21"/>
      <c r="E19" s="21" t="s">
        <v>275</v>
      </c>
      <c r="F19" s="21"/>
      <c r="G19" s="21"/>
      <c r="H19" s="1084"/>
      <c r="I19" s="141"/>
      <c r="J19" s="233" t="s">
        <v>275</v>
      </c>
      <c r="K19" s="234"/>
      <c r="L19" s="364" t="s">
        <v>542</v>
      </c>
      <c r="M19" s="532">
        <v>9</v>
      </c>
      <c r="N19" s="140"/>
      <c r="O19" s="269"/>
      <c r="P19" s="97"/>
      <c r="Q19" s="97"/>
      <c r="R19" s="97"/>
      <c r="S19" s="97"/>
      <c r="T19" s="97"/>
      <c r="U19" s="97"/>
      <c r="V19" s="97"/>
      <c r="W19" s="97"/>
      <c r="X19" s="1295"/>
      <c r="Z19"/>
      <c r="AB19"/>
      <c r="AC19"/>
      <c r="AD19"/>
      <c r="AE19"/>
      <c r="AF19"/>
      <c r="AG19"/>
      <c r="AH19"/>
      <c r="AI19"/>
      <c r="AJ19"/>
      <c r="AK19"/>
      <c r="AL19" s="311" t="str">
        <f t="shared" ref="AL19:AL21" si="0">SUBSTITUTE(SUBSTITUTE(SUBSTITUTE("dpa"&amp;$B19&amp;$C19&amp;$D19&amp;$E19&amp;$F19,".","_"),"(","_"),")","")</f>
        <v>dpa601_1_3</v>
      </c>
      <c r="AM19" s="311">
        <f>M19</f>
        <v>9</v>
      </c>
      <c r="AN19"/>
      <c r="AO19"/>
      <c r="AP19"/>
      <c r="AQ19"/>
      <c r="AR19"/>
      <c r="AS19"/>
      <c r="AX19" s="64" t="str">
        <f>'Overview (Design)'!A16</f>
        <v>Single-Family or Multifamily:</v>
      </c>
      <c r="AY19" s="65" t="str">
        <f>'Overview (Design)'!G16</f>
        <v>Single-Family</v>
      </c>
    </row>
    <row r="20" spans="2:52" ht="15" x14ac:dyDescent="0.3">
      <c r="B20" s="80">
        <v>601.1</v>
      </c>
      <c r="C20" s="21"/>
      <c r="D20" s="21"/>
      <c r="E20" s="21" t="s">
        <v>285</v>
      </c>
      <c r="F20" s="21"/>
      <c r="G20" s="21"/>
      <c r="H20" s="1084"/>
      <c r="I20" s="141"/>
      <c r="J20" s="233" t="s">
        <v>285</v>
      </c>
      <c r="K20" s="234"/>
      <c r="L20" s="364" t="s">
        <v>543</v>
      </c>
      <c r="M20" s="532">
        <v>6</v>
      </c>
      <c r="N20" s="140"/>
      <c r="O20" s="269"/>
      <c r="P20" s="97"/>
      <c r="Q20" s="97"/>
      <c r="R20" s="97"/>
      <c r="S20" s="97"/>
      <c r="T20" s="97"/>
      <c r="U20" s="97"/>
      <c r="V20" s="97"/>
      <c r="W20" s="97"/>
      <c r="X20" s="1295"/>
      <c r="Z20"/>
      <c r="AB20"/>
      <c r="AC20"/>
      <c r="AD20"/>
      <c r="AE20"/>
      <c r="AF20"/>
      <c r="AG20"/>
      <c r="AH20"/>
      <c r="AI20"/>
      <c r="AJ20"/>
      <c r="AK20"/>
      <c r="AL20" s="311" t="str">
        <f t="shared" si="0"/>
        <v>dpa601_1_4</v>
      </c>
      <c r="AM20" s="311">
        <f>M20</f>
        <v>6</v>
      </c>
      <c r="AN20"/>
      <c r="AO20"/>
      <c r="AP20"/>
      <c r="AQ20"/>
      <c r="AR20"/>
      <c r="AS20"/>
      <c r="AX20" s="64" t="str">
        <f>'Overview (Design)'!A17</f>
        <v>Number of Units:</v>
      </c>
      <c r="AY20" s="65">
        <f>'Overview (Design)'!G17</f>
        <v>0</v>
      </c>
    </row>
    <row r="21" spans="2:52" ht="15" x14ac:dyDescent="0.3">
      <c r="B21" s="80">
        <v>601.1</v>
      </c>
      <c r="C21" s="21"/>
      <c r="D21" s="21"/>
      <c r="E21" s="21" t="s">
        <v>291</v>
      </c>
      <c r="F21" s="21"/>
      <c r="G21" s="21"/>
      <c r="H21" s="1084"/>
      <c r="I21" s="141"/>
      <c r="J21" s="233" t="s">
        <v>291</v>
      </c>
      <c r="K21" s="234"/>
      <c r="L21" s="364" t="s">
        <v>544</v>
      </c>
      <c r="M21" s="532">
        <v>3</v>
      </c>
      <c r="N21" s="140"/>
      <c r="O21" s="269"/>
      <c r="P21" s="97"/>
      <c r="Q21" s="97"/>
      <c r="R21" s="97"/>
      <c r="S21" s="97"/>
      <c r="T21" s="97"/>
      <c r="U21" s="97"/>
      <c r="V21" s="97"/>
      <c r="W21" s="97"/>
      <c r="X21" s="1295"/>
      <c r="Z21"/>
      <c r="AB21"/>
      <c r="AC21"/>
      <c r="AD21"/>
      <c r="AE21"/>
      <c r="AF21"/>
      <c r="AG21"/>
      <c r="AH21"/>
      <c r="AI21"/>
      <c r="AJ21"/>
      <c r="AK21"/>
      <c r="AL21" s="311" t="str">
        <f t="shared" si="0"/>
        <v>dpa601_1_5</v>
      </c>
      <c r="AM21" s="311">
        <f>M21</f>
        <v>3</v>
      </c>
      <c r="AN21"/>
      <c r="AO21"/>
      <c r="AP21"/>
      <c r="AQ21"/>
      <c r="AR21"/>
      <c r="AS21"/>
      <c r="AX21" s="64" t="str">
        <f>'Overview (Design)'!A18</f>
        <v>Project Name:</v>
      </c>
      <c r="AY21" s="65">
        <f>'Overview (Design)'!G18</f>
        <v>0</v>
      </c>
    </row>
    <row r="22" spans="2:52" ht="15" x14ac:dyDescent="0.3">
      <c r="B22" s="80">
        <v>601.1</v>
      </c>
      <c r="C22" s="21"/>
      <c r="D22" s="21"/>
      <c r="E22" s="21" t="s">
        <v>293</v>
      </c>
      <c r="F22" s="21"/>
      <c r="G22" s="21"/>
      <c r="H22" s="1084"/>
      <c r="I22" s="141"/>
      <c r="J22" s="203" t="s">
        <v>293</v>
      </c>
      <c r="K22" s="98"/>
      <c r="L22" s="341" t="s">
        <v>545</v>
      </c>
      <c r="M22" s="1091" t="str">
        <f>IF(AY23&gt;4000,"Mandatory","N/A")</f>
        <v>N/A</v>
      </c>
      <c r="N22" s="140"/>
      <c r="O22" s="269"/>
      <c r="P22" s="97"/>
      <c r="Q22" s="97"/>
      <c r="R22" s="97"/>
      <c r="S22" s="97"/>
      <c r="T22" s="97"/>
      <c r="U22" s="97"/>
      <c r="V22" s="97"/>
      <c r="W22" s="97"/>
      <c r="X22" s="1295"/>
      <c r="Z22"/>
      <c r="AB22"/>
      <c r="AC22"/>
      <c r="AD22"/>
      <c r="AE22"/>
      <c r="AF22"/>
      <c r="AG22"/>
      <c r="AH22"/>
      <c r="AI22"/>
      <c r="AJ22"/>
      <c r="AK22"/>
      <c r="AL22"/>
      <c r="AM22"/>
      <c r="AN22"/>
      <c r="AO22"/>
      <c r="AP22"/>
      <c r="AQ22"/>
      <c r="AR22"/>
      <c r="AS22"/>
      <c r="AX22" s="64"/>
    </row>
    <row r="23" spans="2:52" x14ac:dyDescent="0.3">
      <c r="B23" s="80">
        <v>601.1</v>
      </c>
      <c r="C23" s="21"/>
      <c r="D23" s="21"/>
      <c r="E23" s="21" t="s">
        <v>293</v>
      </c>
      <c r="F23" s="21"/>
      <c r="G23" s="21"/>
      <c r="H23" s="1084"/>
      <c r="I23" s="141"/>
      <c r="J23" s="140"/>
      <c r="K23" s="98"/>
      <c r="L23" s="1313" t="s">
        <v>546</v>
      </c>
      <c r="M23" s="205" t="s">
        <v>1301</v>
      </c>
      <c r="N23" s="140"/>
      <c r="O23" s="269"/>
      <c r="P23" s="97"/>
      <c r="Q23" s="97"/>
      <c r="R23" s="97"/>
      <c r="S23" s="97"/>
      <c r="T23" s="97"/>
      <c r="U23" s="97"/>
      <c r="V23" s="97"/>
      <c r="W23" s="97"/>
      <c r="X23" s="1295"/>
      <c r="Z23"/>
      <c r="AB23"/>
      <c r="AC23"/>
      <c r="AD23"/>
      <c r="AE23"/>
      <c r="AF23"/>
      <c r="AG23"/>
      <c r="AH23"/>
      <c r="AI23"/>
      <c r="AJ23"/>
      <c r="AK23"/>
      <c r="AL23"/>
      <c r="AM23"/>
      <c r="AN23"/>
      <c r="AO23"/>
      <c r="AP23"/>
      <c r="AQ23"/>
      <c r="AR23"/>
      <c r="AS23"/>
      <c r="AX23" s="64" t="str">
        <f>'Overview (Design)'!A20</f>
        <v>Above grade plane finished floor area:</v>
      </c>
      <c r="AY23" s="65">
        <f>'Overview (Design)'!G20</f>
        <v>2650</v>
      </c>
    </row>
    <row r="24" spans="2:52" x14ac:dyDescent="0.3">
      <c r="B24" s="80">
        <v>601.1</v>
      </c>
      <c r="C24" s="21"/>
      <c r="D24" s="21"/>
      <c r="E24" s="21" t="s">
        <v>293</v>
      </c>
      <c r="F24" s="21"/>
      <c r="G24" s="21"/>
      <c r="H24" s="1084"/>
      <c r="I24" s="141"/>
      <c r="J24" s="140"/>
      <c r="K24" s="98"/>
      <c r="L24" s="1313"/>
      <c r="M24" s="205">
        <f>MAX(0,ROUNDDOWN((AY23-4000)/100,0))</f>
        <v>0</v>
      </c>
      <c r="N24" s="140"/>
      <c r="O24" s="269"/>
      <c r="P24" s="97"/>
      <c r="Q24" s="97"/>
      <c r="R24" s="97"/>
      <c r="S24" s="97"/>
      <c r="T24" s="97"/>
      <c r="U24" s="97"/>
      <c r="V24" s="97"/>
      <c r="W24" s="97"/>
      <c r="X24" s="1295"/>
      <c r="Z24"/>
      <c r="AB24"/>
      <c r="AC24"/>
      <c r="AD24"/>
      <c r="AE24"/>
      <c r="AF24"/>
      <c r="AG24"/>
      <c r="AH24"/>
      <c r="AI24"/>
      <c r="AJ24"/>
      <c r="AK24"/>
      <c r="AL24"/>
      <c r="AM24"/>
      <c r="AN24"/>
      <c r="AO24"/>
      <c r="AP24"/>
      <c r="AQ24"/>
      <c r="AR24"/>
      <c r="AS24"/>
      <c r="AX24" s="64" t="str">
        <f>'Overview (Design)'!A21</f>
        <v>Total conditioned floor area:</v>
      </c>
      <c r="AY24" s="65">
        <f>'Overview (Design)'!G21</f>
        <v>2650</v>
      </c>
    </row>
    <row r="25" spans="2:52" ht="15" customHeight="1" x14ac:dyDescent="0.3">
      <c r="B25" s="80">
        <v>601.1</v>
      </c>
      <c r="C25" s="21"/>
      <c r="D25" s="21"/>
      <c r="E25" s="21" t="s">
        <v>293</v>
      </c>
      <c r="F25" s="21"/>
      <c r="G25" s="21"/>
      <c r="H25" s="1084"/>
      <c r="I25" s="141"/>
      <c r="J25" s="140"/>
      <c r="L25" s="1328" t="s">
        <v>4102</v>
      </c>
      <c r="M25" s="518"/>
      <c r="N25" s="140"/>
      <c r="O25" s="269"/>
      <c r="P25" s="97"/>
      <c r="Q25" s="97"/>
      <c r="R25" s="97"/>
      <c r="S25" s="97"/>
      <c r="T25" s="97"/>
      <c r="U25" s="97"/>
      <c r="V25" s="97"/>
      <c r="W25" s="97"/>
      <c r="X25" s="1295"/>
      <c r="Z25"/>
      <c r="AB25"/>
      <c r="AC25"/>
      <c r="AD25"/>
      <c r="AE25"/>
      <c r="AF25"/>
      <c r="AG25"/>
      <c r="AH25"/>
      <c r="AI25"/>
      <c r="AJ25"/>
      <c r="AK25"/>
      <c r="AL25"/>
      <c r="AM25"/>
      <c r="AN25"/>
      <c r="AO25"/>
      <c r="AP25"/>
      <c r="AQ25"/>
      <c r="AR25"/>
      <c r="AS25"/>
      <c r="AX25" s="535" t="str">
        <f>'Overview (Design)'!A22</f>
        <v>Stories above grade:</v>
      </c>
      <c r="AY25" s="536">
        <f>'Overview (Design)'!G22</f>
        <v>2</v>
      </c>
    </row>
    <row r="26" spans="2:52" ht="15" thickBot="1" x14ac:dyDescent="0.35">
      <c r="B26" s="80">
        <v>601.1</v>
      </c>
      <c r="C26" s="21"/>
      <c r="D26" s="21"/>
      <c r="E26" s="21" t="s">
        <v>293</v>
      </c>
      <c r="F26" s="21"/>
      <c r="G26" s="21"/>
      <c r="H26" s="1084"/>
      <c r="I26" s="141"/>
      <c r="J26" s="140"/>
      <c r="K26" s="230"/>
      <c r="L26" s="1328"/>
      <c r="M26" s="518"/>
      <c r="N26" s="140"/>
      <c r="O26" s="269"/>
      <c r="P26" s="97"/>
      <c r="Q26" s="97"/>
      <c r="R26" s="97"/>
      <c r="S26" s="97"/>
      <c r="T26" s="97"/>
      <c r="U26" s="97"/>
      <c r="V26" s="97"/>
      <c r="W26" s="97"/>
      <c r="X26" s="1337"/>
      <c r="Z26"/>
      <c r="AB26"/>
      <c r="AC26"/>
      <c r="AD26"/>
      <c r="AE26"/>
      <c r="AF26"/>
      <c r="AG26"/>
      <c r="AH26"/>
      <c r="AI26"/>
      <c r="AJ26"/>
      <c r="AK26"/>
      <c r="AL26"/>
      <c r="AM26"/>
      <c r="AN26"/>
      <c r="AO26"/>
      <c r="AP26"/>
      <c r="AQ26"/>
      <c r="AR26"/>
      <c r="AS26"/>
    </row>
    <row r="27" spans="2:52" ht="15" thickTop="1" x14ac:dyDescent="0.3">
      <c r="B27" s="80">
        <v>601.20000000000005</v>
      </c>
      <c r="C27" s="21"/>
      <c r="D27" s="21"/>
      <c r="E27" s="21"/>
      <c r="F27" s="21"/>
      <c r="G27" s="21"/>
      <c r="H27" s="1084"/>
      <c r="I27" s="200">
        <v>601.20000000000005</v>
      </c>
      <c r="J27" s="201"/>
      <c r="K27" s="202"/>
      <c r="L27" s="1331" t="s">
        <v>547</v>
      </c>
      <c r="M27" s="517"/>
      <c r="N27" s="201"/>
      <c r="O27" s="596"/>
      <c r="P27" s="110"/>
      <c r="Q27" s="110"/>
      <c r="R27" s="110"/>
      <c r="S27" s="110"/>
      <c r="T27" s="110"/>
      <c r="U27" s="110"/>
      <c r="V27" s="110"/>
      <c r="W27" s="110"/>
      <c r="X27" s="206"/>
      <c r="Z27"/>
      <c r="AB27"/>
      <c r="AC27"/>
      <c r="AD27"/>
      <c r="AE27"/>
      <c r="AF27"/>
      <c r="AG27"/>
      <c r="AH27"/>
      <c r="AI27"/>
      <c r="AJ27"/>
      <c r="AK27"/>
      <c r="AL27"/>
      <c r="AM27"/>
      <c r="AN27"/>
      <c r="AO27"/>
      <c r="AP27"/>
      <c r="AQ27"/>
      <c r="AR27"/>
      <c r="AS27"/>
      <c r="AX27" s="64" t="str">
        <f>'Overview (Design)'!A24</f>
        <v xml:space="preserve">Project Description (optional): </v>
      </c>
      <c r="AY27" s="65">
        <f>'Overview (Design)'!G24</f>
        <v>0</v>
      </c>
    </row>
    <row r="28" spans="2:52" x14ac:dyDescent="0.3">
      <c r="B28" s="80">
        <v>601.20000000000005</v>
      </c>
      <c r="C28" s="21"/>
      <c r="D28" s="21"/>
      <c r="E28" s="21"/>
      <c r="F28" s="21"/>
      <c r="G28" s="21"/>
      <c r="H28" s="1084"/>
      <c r="I28" s="141"/>
      <c r="J28" s="140"/>
      <c r="K28" s="98"/>
      <c r="L28" s="1313"/>
      <c r="M28" s="518"/>
      <c r="N28" s="140"/>
      <c r="O28" s="269"/>
      <c r="P28" s="97"/>
      <c r="Q28" s="97"/>
      <c r="R28" s="97"/>
      <c r="S28" s="97"/>
      <c r="T28" s="97"/>
      <c r="U28" s="97"/>
      <c r="V28" s="97"/>
      <c r="W28" s="97"/>
      <c r="X28" s="118"/>
      <c r="Z28"/>
      <c r="AB28"/>
      <c r="AC28"/>
      <c r="AD28"/>
      <c r="AE28"/>
      <c r="AF28"/>
      <c r="AG28"/>
      <c r="AH28"/>
      <c r="AI28"/>
      <c r="AJ28"/>
      <c r="AK28"/>
      <c r="AL28"/>
      <c r="AM28"/>
      <c r="AN28"/>
      <c r="AO28"/>
      <c r="AP28"/>
      <c r="AQ28"/>
      <c r="AR28"/>
      <c r="AS28"/>
    </row>
    <row r="29" spans="2:52" x14ac:dyDescent="0.3">
      <c r="B29" s="80">
        <v>601.20000000000005</v>
      </c>
      <c r="C29" s="21"/>
      <c r="D29" s="21"/>
      <c r="E29" s="21" t="s">
        <v>271</v>
      </c>
      <c r="F29" s="21"/>
      <c r="G29" s="21"/>
      <c r="H29" s="1084"/>
      <c r="I29" s="66"/>
      <c r="J29" s="203" t="s">
        <v>271</v>
      </c>
      <c r="K29" s="98"/>
      <c r="L29" s="1305" t="s">
        <v>549</v>
      </c>
      <c r="M29" s="1318">
        <v>3</v>
      </c>
      <c r="N29" s="140"/>
      <c r="O29" s="1308">
        <f>M29*S29*W29</f>
        <v>3</v>
      </c>
      <c r="P29" s="440" t="b">
        <v>1</v>
      </c>
      <c r="Q29" s="440" t="b">
        <v>0</v>
      </c>
      <c r="R29" s="137" t="b">
        <v>0</v>
      </c>
      <c r="S29" s="137" t="b">
        <v>1</v>
      </c>
      <c r="T29" s="137" t="b">
        <v>0</v>
      </c>
      <c r="U29"/>
      <c r="V29"/>
      <c r="W29" s="25" t="b">
        <v>1</v>
      </c>
      <c r="X29" s="1303" t="s">
        <v>4787</v>
      </c>
      <c r="Z29"/>
      <c r="AB29"/>
      <c r="AC29"/>
      <c r="AD29"/>
      <c r="AE29"/>
      <c r="AF29"/>
      <c r="AG29"/>
      <c r="AH29"/>
      <c r="AI29"/>
      <c r="AJ29"/>
      <c r="AK29"/>
      <c r="AL29" s="311" t="str">
        <f>SUBSTITUTE(SUBSTITUTE(SUBSTITUTE("dpa"&amp;$B29&amp;$C29&amp;$D29&amp;$E29&amp;$F29,".","_"),"(","_"),")","")</f>
        <v>dpa601_2_1</v>
      </c>
      <c r="AM29" s="311">
        <f>M29</f>
        <v>3</v>
      </c>
      <c r="AN29" s="311" t="str">
        <f>SUBSTITUTE(SUBSTITUTE(SUBSTITUTE("dpc"&amp;$B29&amp;$C29&amp;$D29&amp;$E29&amp;$F29,".","_"),"(","_"),")","")</f>
        <v>dpc601_2_1</v>
      </c>
      <c r="AO29" s="311">
        <f>O29</f>
        <v>3</v>
      </c>
      <c r="AP29" s="1059" t="str">
        <f t="shared" ref="AP29" si="1">SUBSTITUTE(SUBSTITUTE(SUBSTITUTE("dch"&amp;$B29&amp;$C29&amp;$D29&amp;$E29&amp;$F29,".","_"),"(","_"),")","")</f>
        <v>dch601_2_1</v>
      </c>
      <c r="AQ29" s="311" t="b">
        <f>W29</f>
        <v>1</v>
      </c>
      <c r="AR29" s="1059" t="str">
        <f>SUBSTITUTE(SUBSTITUTE(SUBSTITUTE("dnt"&amp;$B29&amp;$C29&amp;$D29&amp;$E29&amp;$F29,".","_"),"(","_"),")","")</f>
        <v>dnt601_2_1</v>
      </c>
      <c r="AS29" s="311" t="str">
        <f>X29</f>
        <v>ZERH Requirement - ENERGY STAR Certified Home National Rater Field Checklist, Section 3.4.3 Advanced Framing</v>
      </c>
      <c r="AX29" s="64" t="str">
        <f>'Overview (Design)'!A26</f>
        <v>HERS Index (if available):</v>
      </c>
      <c r="AY29" s="65">
        <f>'Overview (Design)'!G26</f>
        <v>0</v>
      </c>
    </row>
    <row r="30" spans="2:52" x14ac:dyDescent="0.3">
      <c r="B30" s="80">
        <v>601.20000000000005</v>
      </c>
      <c r="C30" s="21"/>
      <c r="D30" s="21"/>
      <c r="E30" s="21" t="s">
        <v>271</v>
      </c>
      <c r="F30" s="21"/>
      <c r="G30" s="21"/>
      <c r="H30" s="1084"/>
      <c r="I30" s="66"/>
      <c r="J30" s="140"/>
      <c r="K30" s="98"/>
      <c r="L30" s="1305"/>
      <c r="M30" s="1318"/>
      <c r="N30" s="140"/>
      <c r="O30" s="1308"/>
      <c r="P30" s="440"/>
      <c r="Q30" s="440"/>
      <c r="R30"/>
      <c r="S30"/>
      <c r="T30"/>
      <c r="U30"/>
      <c r="V30"/>
      <c r="W30"/>
      <c r="X30" s="1303"/>
      <c r="Z30"/>
      <c r="AB30"/>
      <c r="AC30"/>
      <c r="AD30"/>
      <c r="AE30"/>
      <c r="AF30"/>
      <c r="AG30"/>
      <c r="AH30"/>
      <c r="AI30"/>
      <c r="AJ30"/>
      <c r="AK30"/>
      <c r="AL30"/>
      <c r="AM30"/>
      <c r="AN30"/>
      <c r="AO30"/>
      <c r="AP30"/>
      <c r="AQ30"/>
      <c r="AR30"/>
      <c r="AS30"/>
      <c r="AX30" s="64" t="str">
        <f>'Overview (Design)'!A27</f>
        <v>Foundation Type:</v>
      </c>
      <c r="AY30" s="65" t="str">
        <f>'Overview (Design)'!G27</f>
        <v>Conditioned crawlspace</v>
      </c>
      <c r="AZ30" s="1">
        <f>IFERROR(MATCH(AY30,ddFoundation,0),0)</f>
        <v>3</v>
      </c>
    </row>
    <row r="31" spans="2:52" x14ac:dyDescent="0.3">
      <c r="B31" s="80">
        <v>601.20000000000005</v>
      </c>
      <c r="C31" s="21"/>
      <c r="D31" s="21"/>
      <c r="E31" s="21" t="s">
        <v>271</v>
      </c>
      <c r="F31" s="21"/>
      <c r="G31" s="21"/>
      <c r="H31" s="1084"/>
      <c r="I31" s="66"/>
      <c r="J31" s="238"/>
      <c r="K31" s="193"/>
      <c r="L31" s="1306"/>
      <c r="M31" s="1319"/>
      <c r="N31" s="238"/>
      <c r="O31" s="1309"/>
      <c r="P31" s="440"/>
      <c r="Q31" s="440"/>
      <c r="R31" s="137"/>
      <c r="S31" s="137"/>
      <c r="T31" s="137"/>
      <c r="U31" s="137"/>
      <c r="V31" s="137"/>
      <c r="W31" s="137"/>
      <c r="X31" s="1303"/>
      <c r="Z31"/>
      <c r="AB31"/>
      <c r="AC31"/>
      <c r="AD31"/>
      <c r="AE31"/>
      <c r="AF31"/>
      <c r="AG31"/>
      <c r="AH31"/>
      <c r="AI31"/>
      <c r="AJ31"/>
      <c r="AK31"/>
      <c r="AL31"/>
      <c r="AM31"/>
      <c r="AN31"/>
      <c r="AO31"/>
      <c r="AP31"/>
      <c r="AQ31"/>
      <c r="AR31"/>
      <c r="AS31"/>
      <c r="AX31" s="535"/>
      <c r="AY31" s="536"/>
    </row>
    <row r="32" spans="2:52" x14ac:dyDescent="0.3">
      <c r="B32" s="80">
        <v>601.20000000000005</v>
      </c>
      <c r="C32" s="21"/>
      <c r="D32" s="21"/>
      <c r="E32" s="21" t="s">
        <v>273</v>
      </c>
      <c r="F32" s="21"/>
      <c r="G32" s="21"/>
      <c r="H32" s="1084"/>
      <c r="I32" s="66"/>
      <c r="J32" s="203" t="s">
        <v>273</v>
      </c>
      <c r="K32" s="98"/>
      <c r="L32" s="1305" t="s">
        <v>550</v>
      </c>
      <c r="M32" s="1318">
        <v>3</v>
      </c>
      <c r="N32" s="140"/>
      <c r="O32" s="1308">
        <f>M32*S32*W32</f>
        <v>0</v>
      </c>
      <c r="P32" s="440" t="b">
        <v>1</v>
      </c>
      <c r="Q32" s="440" t="b">
        <v>0</v>
      </c>
      <c r="R32" s="137" t="b">
        <v>0</v>
      </c>
      <c r="S32" s="137" t="b">
        <v>1</v>
      </c>
      <c r="T32" s="137" t="b">
        <v>0</v>
      </c>
      <c r="U32"/>
      <c r="V32"/>
      <c r="W32" s="25"/>
      <c r="X32" s="1303"/>
      <c r="Z32"/>
      <c r="AB32"/>
      <c r="AC32"/>
      <c r="AD32"/>
      <c r="AE32"/>
      <c r="AF32"/>
      <c r="AG32"/>
      <c r="AH32"/>
      <c r="AI32"/>
      <c r="AJ32"/>
      <c r="AK32"/>
      <c r="AL32" s="311" t="str">
        <f>SUBSTITUTE(SUBSTITUTE(SUBSTITUTE("dpa"&amp;$B32&amp;$C32&amp;$D32&amp;$E32&amp;$F32,".","_"),"(","_"),")","")</f>
        <v>dpa601_2_2</v>
      </c>
      <c r="AM32" s="311">
        <f>M32</f>
        <v>3</v>
      </c>
      <c r="AN32" s="311" t="str">
        <f>SUBSTITUTE(SUBSTITUTE(SUBSTITUTE("dpc"&amp;$B32&amp;$C32&amp;$D32&amp;$E32&amp;$F32,".","_"),"(","_"),")","")</f>
        <v>dpc601_2_2</v>
      </c>
      <c r="AO32" s="311">
        <f>O32</f>
        <v>0</v>
      </c>
      <c r="AP32" s="1059" t="str">
        <f t="shared" ref="AP32" si="2">SUBSTITUTE(SUBSTITUTE(SUBSTITUTE("dch"&amp;$B32&amp;$C32&amp;$D32&amp;$E32&amp;$F32,".","_"),"(","_"),")","")</f>
        <v>dch601_2_2</v>
      </c>
      <c r="AQ32" s="311">
        <f>W32</f>
        <v>0</v>
      </c>
      <c r="AR32" s="1059" t="str">
        <f>SUBSTITUTE(SUBSTITUTE(SUBSTITUTE("dnt"&amp;$B32&amp;$C32&amp;$D32&amp;$E32&amp;$F32,".","_"),"(","_"),")","")</f>
        <v>dnt601_2_2</v>
      </c>
      <c r="AS32" s="311">
        <f>X32</f>
        <v>0</v>
      </c>
      <c r="AX32" s="64" t="str">
        <f>'Overview (Design)'!A29</f>
        <v>Type of Heating System (main system):</v>
      </c>
      <c r="AY32" s="65" t="str">
        <f>'Overview (Design)'!G29</f>
        <v>Furnace</v>
      </c>
    </row>
    <row r="33" spans="2:51" x14ac:dyDescent="0.3">
      <c r="B33" s="80">
        <v>601.20000000000005</v>
      </c>
      <c r="C33" s="21"/>
      <c r="D33" s="21"/>
      <c r="E33" s="21" t="s">
        <v>273</v>
      </c>
      <c r="F33" s="21"/>
      <c r="G33" s="21"/>
      <c r="H33" s="1084"/>
      <c r="I33" s="66"/>
      <c r="J33" s="140"/>
      <c r="K33" s="98"/>
      <c r="L33" s="1305"/>
      <c r="M33" s="1318"/>
      <c r="N33" s="140"/>
      <c r="O33" s="1308"/>
      <c r="P33" s="440"/>
      <c r="Q33" s="440"/>
      <c r="R33"/>
      <c r="S33"/>
      <c r="T33"/>
      <c r="U33"/>
      <c r="V33"/>
      <c r="W33"/>
      <c r="X33" s="1303"/>
      <c r="Z33"/>
      <c r="AB33"/>
      <c r="AC33"/>
      <c r="AD33"/>
      <c r="AE33"/>
      <c r="AF33"/>
      <c r="AG33"/>
      <c r="AH33"/>
      <c r="AI33"/>
      <c r="AJ33"/>
      <c r="AK33"/>
      <c r="AL33"/>
      <c r="AM33"/>
      <c r="AN33"/>
      <c r="AO33"/>
      <c r="AP33"/>
      <c r="AQ33"/>
      <c r="AR33"/>
      <c r="AS33"/>
      <c r="AX33" s="64" t="str">
        <f>'Overview (Design)'!A30</f>
        <v>Type of Heating System (system 2):</v>
      </c>
      <c r="AY33" s="65">
        <f>'Overview (Design)'!G30</f>
        <v>0</v>
      </c>
    </row>
    <row r="34" spans="2:51" x14ac:dyDescent="0.3">
      <c r="B34" s="80">
        <v>601.20000000000005</v>
      </c>
      <c r="C34" s="21"/>
      <c r="D34" s="21"/>
      <c r="E34" s="21" t="s">
        <v>273</v>
      </c>
      <c r="F34" s="21"/>
      <c r="G34" s="21"/>
      <c r="H34" s="1084"/>
      <c r="I34" s="66"/>
      <c r="J34" s="238"/>
      <c r="K34" s="193"/>
      <c r="L34" s="1306"/>
      <c r="M34" s="1319"/>
      <c r="N34" s="238"/>
      <c r="O34" s="1309"/>
      <c r="P34" s="440"/>
      <c r="Q34" s="440"/>
      <c r="R34"/>
      <c r="S34"/>
      <c r="T34"/>
      <c r="U34"/>
      <c r="V34"/>
      <c r="W34"/>
      <c r="X34" s="1303"/>
      <c r="Z34"/>
      <c r="AB34"/>
      <c r="AC34"/>
      <c r="AD34"/>
      <c r="AE34"/>
      <c r="AF34"/>
      <c r="AG34"/>
      <c r="AH34"/>
      <c r="AI34"/>
      <c r="AJ34"/>
      <c r="AK34"/>
      <c r="AL34"/>
      <c r="AM34"/>
      <c r="AN34"/>
      <c r="AO34"/>
      <c r="AP34"/>
      <c r="AQ34"/>
      <c r="AR34"/>
      <c r="AS34"/>
      <c r="AX34" s="64" t="str">
        <f>'Overview (Design)'!A31</f>
        <v>Type of Heating System (system 3):</v>
      </c>
      <c r="AY34" s="65">
        <f>'Overview (Design)'!G31</f>
        <v>0</v>
      </c>
    </row>
    <row r="35" spans="2:51" ht="15" customHeight="1" thickBot="1" x14ac:dyDescent="0.35">
      <c r="B35" s="80">
        <v>601.20000000000005</v>
      </c>
      <c r="C35" s="21"/>
      <c r="D35" s="21"/>
      <c r="E35" s="21" t="s">
        <v>275</v>
      </c>
      <c r="F35" s="21"/>
      <c r="G35" s="21"/>
      <c r="H35" s="1084"/>
      <c r="I35" s="66"/>
      <c r="J35" s="27" t="s">
        <v>275</v>
      </c>
      <c r="K35" s="86"/>
      <c r="L35" s="350" t="s">
        <v>551</v>
      </c>
      <c r="M35" s="522">
        <v>3</v>
      </c>
      <c r="N35" s="4"/>
      <c r="O35" s="154">
        <f>M35*S35*W35</f>
        <v>0</v>
      </c>
      <c r="P35" s="440" t="b">
        <v>1</v>
      </c>
      <c r="Q35" s="440" t="b">
        <v>0</v>
      </c>
      <c r="R35" s="137" t="b">
        <v>0</v>
      </c>
      <c r="S35" s="137" t="b">
        <v>1</v>
      </c>
      <c r="T35" s="137" t="b">
        <v>0</v>
      </c>
      <c r="U35"/>
      <c r="V35"/>
      <c r="W35" s="25"/>
      <c r="X35" s="185"/>
      <c r="Z35"/>
      <c r="AB35"/>
      <c r="AC35"/>
      <c r="AD35"/>
      <c r="AE35"/>
      <c r="AF35"/>
      <c r="AG35"/>
      <c r="AH35"/>
      <c r="AI35"/>
      <c r="AJ35"/>
      <c r="AK35"/>
      <c r="AL35" s="311" t="str">
        <f>SUBSTITUTE(SUBSTITUTE(SUBSTITUTE("dpa"&amp;$B35&amp;$C35&amp;$D35&amp;$E35&amp;$F35,".","_"),"(","_"),")","")</f>
        <v>dpa601_2_3</v>
      </c>
      <c r="AM35" s="311">
        <f>M35</f>
        <v>3</v>
      </c>
      <c r="AN35" s="311" t="str">
        <f>SUBSTITUTE(SUBSTITUTE(SUBSTITUTE("dpc"&amp;$B35&amp;$C35&amp;$D35&amp;$E35&amp;$F35,".","_"),"(","_"),")","")</f>
        <v>dpc601_2_3</v>
      </c>
      <c r="AO35" s="311">
        <f>O35</f>
        <v>0</v>
      </c>
      <c r="AP35" s="1059" t="str">
        <f t="shared" ref="AP35" si="3">SUBSTITUTE(SUBSTITUTE(SUBSTITUTE("dch"&amp;$B35&amp;$C35&amp;$D35&amp;$E35&amp;$F35,".","_"),"(","_"),")","")</f>
        <v>dch601_2_3</v>
      </c>
      <c r="AQ35" s="311">
        <f>W35</f>
        <v>0</v>
      </c>
      <c r="AR35" s="1059" t="str">
        <f>SUBSTITUTE(SUBSTITUTE(SUBSTITUTE("dnt"&amp;$B35&amp;$C35&amp;$D35&amp;$E35&amp;$F35,".","_"),"(","_"),")","")</f>
        <v>dnt601_2_3</v>
      </c>
      <c r="AS35" s="311">
        <f>X35</f>
        <v>0</v>
      </c>
      <c r="AX35" s="64" t="str">
        <f>'Overview (Design)'!A32</f>
        <v>Heating Fuel:</v>
      </c>
      <c r="AY35" s="65">
        <f>'Overview (Design)'!G32</f>
        <v>0</v>
      </c>
    </row>
    <row r="36" spans="2:51" ht="15" thickTop="1" x14ac:dyDescent="0.3">
      <c r="B36" s="80">
        <v>601.29999999999995</v>
      </c>
      <c r="C36" s="21"/>
      <c r="D36" s="21"/>
      <c r="E36" s="21"/>
      <c r="F36" s="21"/>
      <c r="G36" s="21"/>
      <c r="H36" s="1084"/>
      <c r="I36" s="200">
        <v>601.29999999999995</v>
      </c>
      <c r="J36" s="201"/>
      <c r="K36" s="202"/>
      <c r="L36" s="1331" t="s">
        <v>552</v>
      </c>
      <c r="M36" s="517"/>
      <c r="N36" s="201"/>
      <c r="O36" s="596"/>
      <c r="P36" s="110"/>
      <c r="Q36" s="110"/>
      <c r="R36" s="110"/>
      <c r="S36" s="110"/>
      <c r="T36" s="110"/>
      <c r="U36" s="110"/>
      <c r="V36" s="110"/>
      <c r="W36" s="110"/>
      <c r="X36" s="206"/>
      <c r="Z36"/>
      <c r="AB36"/>
      <c r="AC36"/>
      <c r="AD36"/>
      <c r="AE36"/>
      <c r="AF36"/>
      <c r="AG36"/>
      <c r="AH36"/>
      <c r="AI36"/>
      <c r="AJ36"/>
      <c r="AK36"/>
      <c r="AL36"/>
      <c r="AM36"/>
      <c r="AN36"/>
      <c r="AO36"/>
      <c r="AP36"/>
      <c r="AQ36"/>
      <c r="AR36"/>
      <c r="AS36"/>
      <c r="AX36" s="535" t="str">
        <f>'Overview (Design)'!A33</f>
        <v>Heating Ducts:</v>
      </c>
      <c r="AY36" s="536" t="str">
        <f>'Overview (Design)'!G33</f>
        <v>Ducted</v>
      </c>
    </row>
    <row r="37" spans="2:51" x14ac:dyDescent="0.3">
      <c r="B37" s="80">
        <v>601.29999999999995</v>
      </c>
      <c r="C37" s="21"/>
      <c r="D37" s="21"/>
      <c r="E37" s="21"/>
      <c r="F37" s="21"/>
      <c r="G37" s="21"/>
      <c r="H37" s="1084"/>
      <c r="I37" s="141"/>
      <c r="J37" s="140"/>
      <c r="K37" s="98"/>
      <c r="L37" s="1313"/>
      <c r="M37" s="518"/>
      <c r="N37" s="140"/>
      <c r="O37" s="269"/>
      <c r="P37" s="97"/>
      <c r="Q37" s="97"/>
      <c r="R37" s="97"/>
      <c r="S37" s="97"/>
      <c r="T37" s="97"/>
      <c r="U37" s="97"/>
      <c r="V37" s="97"/>
      <c r="W37" s="97"/>
      <c r="X37" s="118"/>
      <c r="Z37"/>
      <c r="AB37"/>
      <c r="AC37"/>
      <c r="AD37"/>
      <c r="AE37"/>
      <c r="AF37"/>
      <c r="AG37"/>
      <c r="AH37"/>
      <c r="AI37"/>
      <c r="AJ37"/>
      <c r="AK37"/>
      <c r="AL37"/>
      <c r="AM37"/>
      <c r="AN37"/>
      <c r="AO37"/>
      <c r="AP37"/>
      <c r="AQ37"/>
      <c r="AR37"/>
      <c r="AS37"/>
      <c r="AX37" s="535" t="str">
        <f>'Overview (Design)'!A34</f>
        <v>Type of Cooling System (main system):</v>
      </c>
      <c r="AY37" s="536" t="str">
        <f>'Overview (Design)'!G34</f>
        <v>Electric Air Conditiner</v>
      </c>
    </row>
    <row r="38" spans="2:51" x14ac:dyDescent="0.3">
      <c r="B38" s="80">
        <v>601.29999999999995</v>
      </c>
      <c r="C38" s="21"/>
      <c r="D38" s="21"/>
      <c r="E38" s="21"/>
      <c r="F38" s="21"/>
      <c r="G38" s="21"/>
      <c r="H38" s="1084"/>
      <c r="I38" s="141"/>
      <c r="J38" s="140"/>
      <c r="K38" s="98"/>
      <c r="L38" s="1313"/>
      <c r="M38" s="518"/>
      <c r="N38" s="140"/>
      <c r="O38" s="269"/>
      <c r="P38" s="97"/>
      <c r="Q38" s="97"/>
      <c r="R38" s="97"/>
      <c r="S38" s="97"/>
      <c r="T38" s="97"/>
      <c r="U38" s="97"/>
      <c r="V38" s="97"/>
      <c r="W38" s="97"/>
      <c r="X38" s="118"/>
      <c r="Z38"/>
      <c r="AB38"/>
      <c r="AC38"/>
      <c r="AD38"/>
      <c r="AE38"/>
      <c r="AF38"/>
      <c r="AG38"/>
      <c r="AH38"/>
      <c r="AI38"/>
      <c r="AJ38"/>
      <c r="AK38"/>
      <c r="AL38"/>
      <c r="AM38"/>
      <c r="AN38"/>
      <c r="AO38"/>
      <c r="AP38"/>
      <c r="AQ38"/>
      <c r="AR38"/>
      <c r="AS38"/>
      <c r="AX38" s="535" t="str">
        <f>'Overview (Design)'!A35</f>
        <v>Type of Cooling System (system 2):</v>
      </c>
      <c r="AY38" s="536">
        <f>'Overview (Design)'!G35</f>
        <v>0</v>
      </c>
    </row>
    <row r="39" spans="2:51" x14ac:dyDescent="0.3">
      <c r="B39" s="80">
        <v>601.29999999999995</v>
      </c>
      <c r="C39" s="21"/>
      <c r="D39" s="21"/>
      <c r="E39" s="21" t="s">
        <v>271</v>
      </c>
      <c r="F39" s="21"/>
      <c r="G39" s="21"/>
      <c r="H39" s="1084"/>
      <c r="I39" s="66"/>
      <c r="J39" s="231" t="s">
        <v>271</v>
      </c>
      <c r="K39" s="193"/>
      <c r="L39" s="345" t="s">
        <v>553</v>
      </c>
      <c r="M39" s="520">
        <v>3</v>
      </c>
      <c r="N39" s="238"/>
      <c r="O39" s="597">
        <f t="shared" ref="O39:O44" si="4">M39*S39*W39</f>
        <v>0</v>
      </c>
      <c r="P39" s="440" t="b">
        <v>1</v>
      </c>
      <c r="Q39" s="440" t="b">
        <v>0</v>
      </c>
      <c r="R39" s="137" t="b">
        <v>0</v>
      </c>
      <c r="S39" s="137" t="b">
        <v>1</v>
      </c>
      <c r="T39" s="137" t="b">
        <v>0</v>
      </c>
      <c r="U39"/>
      <c r="V39"/>
      <c r="W39" s="25"/>
      <c r="X39" s="176"/>
      <c r="Z39"/>
      <c r="AB39"/>
      <c r="AC39"/>
      <c r="AD39"/>
      <c r="AE39"/>
      <c r="AF39"/>
      <c r="AG39"/>
      <c r="AH39"/>
      <c r="AI39"/>
      <c r="AJ39"/>
      <c r="AK39"/>
      <c r="AL39" s="311" t="str">
        <f t="shared" ref="AL39:AL44" si="5">SUBSTITUTE(SUBSTITUTE(SUBSTITUTE("dpa"&amp;$B39&amp;$C39&amp;$D39&amp;$E39&amp;$F39,".","_"),"(","_"),")","")</f>
        <v>dpa601_3_1</v>
      </c>
      <c r="AM39" s="311">
        <f t="shared" ref="AM39:AM44" si="6">M39</f>
        <v>3</v>
      </c>
      <c r="AN39" s="311" t="str">
        <f t="shared" ref="AN39:AN44" si="7">SUBSTITUTE(SUBSTITUTE(SUBSTITUTE("dpc"&amp;$B39&amp;$C39&amp;$D39&amp;$E39&amp;$F39,".","_"),"(","_"),")","")</f>
        <v>dpc601_3_1</v>
      </c>
      <c r="AO39" s="311">
        <f t="shared" ref="AO39:AO44" si="8">O39</f>
        <v>0</v>
      </c>
      <c r="AP39" s="1059" t="str">
        <f t="shared" ref="AP39:AP44" si="9">SUBSTITUTE(SUBSTITUTE(SUBSTITUTE("dch"&amp;$B39&amp;$C39&amp;$D39&amp;$E39&amp;$F39,".","_"),"(","_"),")","")</f>
        <v>dch601_3_1</v>
      </c>
      <c r="AQ39" s="311">
        <f t="shared" ref="AQ39:AQ44" si="10">W39</f>
        <v>0</v>
      </c>
      <c r="AR39" s="1059" t="str">
        <f t="shared" ref="AR39:AR44" si="11">SUBSTITUTE(SUBSTITUTE(SUBSTITUTE("dnt"&amp;$B39&amp;$C39&amp;$D39&amp;$E39&amp;$F39,".","_"),"(","_"),")","")</f>
        <v>dnt601_3_1</v>
      </c>
      <c r="AS39" s="311">
        <f t="shared" ref="AS39:AS44" si="12">X39</f>
        <v>0</v>
      </c>
      <c r="AX39" s="535" t="str">
        <f>'Overview (Design)'!A36</f>
        <v>Type of Cooling System (system 3):</v>
      </c>
      <c r="AY39" s="536">
        <f>'Overview (Design)'!G36</f>
        <v>0</v>
      </c>
    </row>
    <row r="40" spans="2:51" x14ac:dyDescent="0.3">
      <c r="B40" s="80">
        <v>601.29999999999995</v>
      </c>
      <c r="C40" s="21"/>
      <c r="D40" s="21"/>
      <c r="E40" s="21" t="s">
        <v>273</v>
      </c>
      <c r="F40" s="21"/>
      <c r="G40" s="21"/>
      <c r="H40" s="1084"/>
      <c r="I40" s="66"/>
      <c r="J40" s="233" t="s">
        <v>273</v>
      </c>
      <c r="K40" s="234"/>
      <c r="L40" s="365" t="s">
        <v>554</v>
      </c>
      <c r="M40" s="532">
        <v>3</v>
      </c>
      <c r="N40" s="274"/>
      <c r="O40" s="531">
        <f t="shared" si="4"/>
        <v>0</v>
      </c>
      <c r="P40" s="440" t="b">
        <v>1</v>
      </c>
      <c r="Q40" s="440" t="b">
        <v>0</v>
      </c>
      <c r="R40" s="137" t="b">
        <v>0</v>
      </c>
      <c r="S40" s="137" t="b">
        <v>1</v>
      </c>
      <c r="T40" s="137" t="b">
        <v>0</v>
      </c>
      <c r="U40"/>
      <c r="V40"/>
      <c r="W40" s="25"/>
      <c r="X40" s="176"/>
      <c r="Z40"/>
      <c r="AB40"/>
      <c r="AC40"/>
      <c r="AD40"/>
      <c r="AE40"/>
      <c r="AF40"/>
      <c r="AG40"/>
      <c r="AH40"/>
      <c r="AI40"/>
      <c r="AJ40"/>
      <c r="AK40"/>
      <c r="AL40" s="311" t="str">
        <f t="shared" si="5"/>
        <v>dpa601_3_2</v>
      </c>
      <c r="AM40" s="311">
        <f t="shared" si="6"/>
        <v>3</v>
      </c>
      <c r="AN40" s="311" t="str">
        <f t="shared" si="7"/>
        <v>dpc601_3_2</v>
      </c>
      <c r="AO40" s="311">
        <f t="shared" si="8"/>
        <v>0</v>
      </c>
      <c r="AP40" s="1059" t="str">
        <f t="shared" si="9"/>
        <v>dch601_3_2</v>
      </c>
      <c r="AQ40" s="311">
        <f t="shared" si="10"/>
        <v>0</v>
      </c>
      <c r="AR40" s="1059" t="str">
        <f t="shared" si="11"/>
        <v>dnt601_3_2</v>
      </c>
      <c r="AS40" s="311">
        <f t="shared" si="12"/>
        <v>0</v>
      </c>
      <c r="AX40" s="535" t="str">
        <f>'Overview (Design)'!A37</f>
        <v>Cooling Ducts:</v>
      </c>
      <c r="AY40" s="536" t="str">
        <f>'Overview (Design)'!G37</f>
        <v>Ducted</v>
      </c>
    </row>
    <row r="41" spans="2:51" x14ac:dyDescent="0.3">
      <c r="B41" s="80">
        <v>601.29999999999995</v>
      </c>
      <c r="C41" s="21"/>
      <c r="D41" s="21"/>
      <c r="E41" s="21" t="s">
        <v>275</v>
      </c>
      <c r="F41" s="21"/>
      <c r="G41" s="21"/>
      <c r="H41" s="1084"/>
      <c r="I41" s="66"/>
      <c r="J41" s="233" t="s">
        <v>275</v>
      </c>
      <c r="K41" s="234"/>
      <c r="L41" s="365" t="s">
        <v>555</v>
      </c>
      <c r="M41" s="532">
        <v>3</v>
      </c>
      <c r="N41" s="274"/>
      <c r="O41" s="531">
        <f t="shared" si="4"/>
        <v>0</v>
      </c>
      <c r="P41" s="440" t="b">
        <v>1</v>
      </c>
      <c r="Q41" s="440" t="b">
        <v>0</v>
      </c>
      <c r="R41" s="137" t="b">
        <v>0</v>
      </c>
      <c r="S41" s="137" t="b">
        <v>1</v>
      </c>
      <c r="T41" s="137" t="b">
        <v>0</v>
      </c>
      <c r="U41"/>
      <c r="V41"/>
      <c r="W41" s="25"/>
      <c r="X41" s="176"/>
      <c r="Z41"/>
      <c r="AB41"/>
      <c r="AC41"/>
      <c r="AD41"/>
      <c r="AE41"/>
      <c r="AF41"/>
      <c r="AG41"/>
      <c r="AH41"/>
      <c r="AI41"/>
      <c r="AJ41"/>
      <c r="AK41"/>
      <c r="AL41" s="311" t="str">
        <f t="shared" si="5"/>
        <v>dpa601_3_3</v>
      </c>
      <c r="AM41" s="311">
        <f t="shared" si="6"/>
        <v>3</v>
      </c>
      <c r="AN41" s="311" t="str">
        <f t="shared" si="7"/>
        <v>dpc601_3_3</v>
      </c>
      <c r="AO41" s="311">
        <f t="shared" si="8"/>
        <v>0</v>
      </c>
      <c r="AP41" s="1059" t="str">
        <f t="shared" si="9"/>
        <v>dch601_3_3</v>
      </c>
      <c r="AQ41" s="311">
        <f t="shared" si="10"/>
        <v>0</v>
      </c>
      <c r="AR41" s="1059" t="str">
        <f t="shared" si="11"/>
        <v>dnt601_3_3</v>
      </c>
      <c r="AS41" s="311">
        <f t="shared" si="12"/>
        <v>0</v>
      </c>
      <c r="AX41" s="535"/>
      <c r="AY41" s="536"/>
    </row>
    <row r="42" spans="2:51" x14ac:dyDescent="0.3">
      <c r="B42" s="80">
        <v>601.29999999999995</v>
      </c>
      <c r="C42" s="21"/>
      <c r="D42" s="21"/>
      <c r="E42" s="21" t="s">
        <v>285</v>
      </c>
      <c r="F42" s="21"/>
      <c r="G42" s="21"/>
      <c r="H42" s="1084"/>
      <c r="I42" s="66"/>
      <c r="J42" s="233" t="s">
        <v>285</v>
      </c>
      <c r="K42" s="234"/>
      <c r="L42" s="365" t="s">
        <v>556</v>
      </c>
      <c r="M42" s="532">
        <v>3</v>
      </c>
      <c r="N42" s="274"/>
      <c r="O42" s="531">
        <f t="shared" si="4"/>
        <v>0</v>
      </c>
      <c r="P42" s="440" t="b">
        <v>1</v>
      </c>
      <c r="Q42" s="440" t="b">
        <v>0</v>
      </c>
      <c r="R42" s="137" t="b">
        <v>0</v>
      </c>
      <c r="S42" s="137" t="b">
        <v>1</v>
      </c>
      <c r="T42" s="137" t="b">
        <v>0</v>
      </c>
      <c r="U42"/>
      <c r="V42"/>
      <c r="W42" s="25"/>
      <c r="X42" s="176"/>
      <c r="Z42"/>
      <c r="AB42"/>
      <c r="AC42"/>
      <c r="AD42"/>
      <c r="AE42"/>
      <c r="AF42"/>
      <c r="AG42"/>
      <c r="AH42"/>
      <c r="AI42"/>
      <c r="AJ42"/>
      <c r="AK42"/>
      <c r="AL42" s="311" t="str">
        <f t="shared" si="5"/>
        <v>dpa601_3_4</v>
      </c>
      <c r="AM42" s="311">
        <f t="shared" si="6"/>
        <v>3</v>
      </c>
      <c r="AN42" s="311" t="str">
        <f t="shared" si="7"/>
        <v>dpc601_3_4</v>
      </c>
      <c r="AO42" s="311">
        <f t="shared" si="8"/>
        <v>0</v>
      </c>
      <c r="AP42" s="1059" t="str">
        <f t="shared" si="9"/>
        <v>dch601_3_4</v>
      </c>
      <c r="AQ42" s="311">
        <f t="shared" si="10"/>
        <v>0</v>
      </c>
      <c r="AR42" s="1059" t="str">
        <f t="shared" si="11"/>
        <v>dnt601_3_4</v>
      </c>
      <c r="AS42" s="311">
        <f t="shared" si="12"/>
        <v>0</v>
      </c>
      <c r="AX42" s="535" t="str">
        <f>'Overview (Design)'!A39</f>
        <v>Maximum window and door SHGC:</v>
      </c>
      <c r="AY42" s="536">
        <f>'Overview (Design)'!G39</f>
        <v>0.22</v>
      </c>
    </row>
    <row r="43" spans="2:51" ht="15" thickBot="1" x14ac:dyDescent="0.35">
      <c r="B43" s="80">
        <v>601.29999999999995</v>
      </c>
      <c r="C43" s="21"/>
      <c r="D43" s="21"/>
      <c r="E43" s="21" t="s">
        <v>291</v>
      </c>
      <c r="F43" s="21"/>
      <c r="G43" s="21"/>
      <c r="H43" s="1084"/>
      <c r="I43" s="66"/>
      <c r="J43" s="27" t="s">
        <v>291</v>
      </c>
      <c r="K43" s="86"/>
      <c r="L43" s="350" t="s">
        <v>557</v>
      </c>
      <c r="M43" s="522">
        <v>1</v>
      </c>
      <c r="N43" s="4"/>
      <c r="O43" s="154">
        <f t="shared" si="4"/>
        <v>0</v>
      </c>
      <c r="P43" s="440" t="b">
        <v>1</v>
      </c>
      <c r="Q43" s="440" t="b">
        <v>0</v>
      </c>
      <c r="R43" s="137" t="b">
        <v>0</v>
      </c>
      <c r="S43" s="137" t="b">
        <v>1</v>
      </c>
      <c r="T43" s="137" t="b">
        <v>0</v>
      </c>
      <c r="U43"/>
      <c r="V43"/>
      <c r="W43" s="105"/>
      <c r="X43" s="185"/>
      <c r="Z43"/>
      <c r="AB43"/>
      <c r="AC43"/>
      <c r="AD43"/>
      <c r="AE43"/>
      <c r="AF43"/>
      <c r="AG43"/>
      <c r="AH43"/>
      <c r="AI43"/>
      <c r="AJ43"/>
      <c r="AK43"/>
      <c r="AL43" s="311" t="str">
        <f t="shared" si="5"/>
        <v>dpa601_3_5</v>
      </c>
      <c r="AM43" s="311">
        <f t="shared" si="6"/>
        <v>1</v>
      </c>
      <c r="AN43" s="311" t="str">
        <f t="shared" si="7"/>
        <v>dpc601_3_5</v>
      </c>
      <c r="AO43" s="311">
        <f t="shared" si="8"/>
        <v>0</v>
      </c>
      <c r="AP43" s="1059" t="str">
        <f t="shared" si="9"/>
        <v>dch601_3_5</v>
      </c>
      <c r="AQ43" s="311">
        <f t="shared" si="10"/>
        <v>0</v>
      </c>
      <c r="AR43" s="1059" t="str">
        <f t="shared" si="11"/>
        <v>dnt601_3_5</v>
      </c>
      <c r="AS43" s="311">
        <f t="shared" si="12"/>
        <v>0</v>
      </c>
      <c r="AX43" s="535" t="str">
        <f>'Overview (Design)'!A40</f>
        <v>Maximum skylight SHGC:</v>
      </c>
      <c r="AY43" s="536">
        <f>'Overview (Design)'!G40</f>
        <v>0</v>
      </c>
    </row>
    <row r="44" spans="2:51" ht="15" thickTop="1" x14ac:dyDescent="0.3">
      <c r="B44" s="80">
        <v>601.4</v>
      </c>
      <c r="C44" s="21"/>
      <c r="D44" s="21"/>
      <c r="E44" s="21"/>
      <c r="F44" s="21"/>
      <c r="G44" s="21"/>
      <c r="H44" s="1084"/>
      <c r="I44" s="200">
        <v>601.4</v>
      </c>
      <c r="J44" s="201"/>
      <c r="K44" s="202"/>
      <c r="L44" s="1331" t="s">
        <v>558</v>
      </c>
      <c r="M44" s="1343">
        <v>4</v>
      </c>
      <c r="N44" s="201"/>
      <c r="O44" s="1336">
        <f t="shared" si="4"/>
        <v>4</v>
      </c>
      <c r="P44" s="440" t="b">
        <v>1</v>
      </c>
      <c r="Q44" s="440" t="b">
        <v>0</v>
      </c>
      <c r="R44" s="110" t="b">
        <v>0</v>
      </c>
      <c r="S44" s="110" t="b">
        <v>1</v>
      </c>
      <c r="T44" s="110" t="b">
        <v>0</v>
      </c>
      <c r="U44" s="110"/>
      <c r="V44" s="110"/>
      <c r="W44" s="127" t="b">
        <v>1</v>
      </c>
      <c r="X44" s="1327"/>
      <c r="Z44"/>
      <c r="AB44"/>
      <c r="AC44"/>
      <c r="AD44"/>
      <c r="AE44"/>
      <c r="AF44"/>
      <c r="AG44"/>
      <c r="AH44"/>
      <c r="AI44"/>
      <c r="AJ44"/>
      <c r="AK44"/>
      <c r="AL44" s="311" t="str">
        <f t="shared" si="5"/>
        <v>dpa601_4</v>
      </c>
      <c r="AM44" s="311">
        <f t="shared" si="6"/>
        <v>4</v>
      </c>
      <c r="AN44" s="311" t="str">
        <f t="shared" si="7"/>
        <v>dpc601_4</v>
      </c>
      <c r="AO44" s="311">
        <f t="shared" si="8"/>
        <v>4</v>
      </c>
      <c r="AP44" s="1059" t="str">
        <f t="shared" si="9"/>
        <v>dch601_4</v>
      </c>
      <c r="AQ44" s="311" t="b">
        <f t="shared" si="10"/>
        <v>1</v>
      </c>
      <c r="AR44" s="1059" t="str">
        <f t="shared" si="11"/>
        <v>dnt601_4</v>
      </c>
      <c r="AS44" s="311">
        <f t="shared" si="12"/>
        <v>0</v>
      </c>
      <c r="AX44" s="535" t="str">
        <f>'Overview (Design)'!A41</f>
        <v>Maximum window and door U-value:</v>
      </c>
      <c r="AY44" s="536">
        <f>'Overview (Design)'!G41</f>
        <v>0.32</v>
      </c>
    </row>
    <row r="45" spans="2:51" x14ac:dyDescent="0.3">
      <c r="B45" s="80">
        <v>601.4</v>
      </c>
      <c r="C45" s="21"/>
      <c r="D45" s="21"/>
      <c r="E45" s="21"/>
      <c r="F45" s="21"/>
      <c r="G45" s="21"/>
      <c r="H45" s="1084"/>
      <c r="I45" s="141"/>
      <c r="J45" s="140"/>
      <c r="K45" s="98"/>
      <c r="L45" s="1313"/>
      <c r="M45" s="1318"/>
      <c r="N45" s="140"/>
      <c r="O45" s="1308"/>
      <c r="P45" s="97"/>
      <c r="Q45" s="97"/>
      <c r="R45" s="97"/>
      <c r="S45" s="97"/>
      <c r="T45" s="97"/>
      <c r="U45" s="97"/>
      <c r="V45" s="97"/>
      <c r="W45" s="97"/>
      <c r="X45" s="1295"/>
      <c r="Z45"/>
      <c r="AB45"/>
      <c r="AC45"/>
      <c r="AD45"/>
      <c r="AE45"/>
      <c r="AF45"/>
      <c r="AG45"/>
      <c r="AH45"/>
      <c r="AI45"/>
      <c r="AJ45"/>
      <c r="AK45"/>
      <c r="AL45"/>
      <c r="AM45"/>
      <c r="AN45"/>
      <c r="AO45"/>
      <c r="AP45"/>
      <c r="AQ45"/>
      <c r="AR45"/>
      <c r="AS45"/>
      <c r="AX45" s="535" t="str">
        <f>'Overview (Design)'!A42</f>
        <v>Maximum skylight U-value:</v>
      </c>
      <c r="AY45" s="536">
        <f>'Overview (Design)'!G42</f>
        <v>0</v>
      </c>
    </row>
    <row r="46" spans="2:51" ht="15" thickBot="1" x14ac:dyDescent="0.35">
      <c r="B46" s="80">
        <v>601.4</v>
      </c>
      <c r="C46" s="21"/>
      <c r="D46" s="21"/>
      <c r="E46" s="21"/>
      <c r="F46" s="21"/>
      <c r="G46" s="21"/>
      <c r="H46" s="1084"/>
      <c r="I46" s="141"/>
      <c r="J46" s="140"/>
      <c r="K46" s="98"/>
      <c r="L46" s="1313"/>
      <c r="M46" s="1318"/>
      <c r="N46" s="140"/>
      <c r="O46" s="1308"/>
      <c r="P46" s="97"/>
      <c r="Q46" s="97"/>
      <c r="R46" s="97"/>
      <c r="S46" s="97"/>
      <c r="T46" s="97"/>
      <c r="U46" s="97"/>
      <c r="V46" s="97"/>
      <c r="W46" s="97"/>
      <c r="X46" s="1337"/>
      <c r="Z46"/>
      <c r="AB46"/>
      <c r="AC46"/>
      <c r="AD46"/>
      <c r="AE46"/>
      <c r="AF46"/>
      <c r="AG46"/>
      <c r="AH46"/>
      <c r="AI46"/>
      <c r="AJ46"/>
      <c r="AK46"/>
      <c r="AL46"/>
      <c r="AM46"/>
      <c r="AN46"/>
      <c r="AO46"/>
      <c r="AP46"/>
      <c r="AQ46"/>
      <c r="AR46"/>
      <c r="AS46"/>
      <c r="AX46" s="64" t="str">
        <f>'Overview (Design)'!A43</f>
        <v>Renewable Energy:</v>
      </c>
      <c r="AY46" s="65">
        <f>'Overview (Design)'!G43</f>
        <v>0</v>
      </c>
    </row>
    <row r="47" spans="2:51" ht="15" thickTop="1" x14ac:dyDescent="0.3">
      <c r="B47" s="80">
        <v>601.5</v>
      </c>
      <c r="C47" s="21"/>
      <c r="D47" s="21"/>
      <c r="E47" s="21"/>
      <c r="F47" s="21"/>
      <c r="G47" s="21"/>
      <c r="H47" s="1084"/>
      <c r="I47" s="111">
        <v>601.5</v>
      </c>
      <c r="J47" s="201"/>
      <c r="K47" s="202"/>
      <c r="L47" s="1331" t="s">
        <v>559</v>
      </c>
      <c r="M47" s="1343" t="s">
        <v>560</v>
      </c>
      <c r="N47" s="201"/>
      <c r="O47" s="596"/>
      <c r="P47" s="110"/>
      <c r="Q47" s="110"/>
      <c r="R47" s="110"/>
      <c r="S47" s="110"/>
      <c r="T47" s="110"/>
      <c r="U47" s="110"/>
      <c r="V47" s="110"/>
      <c r="W47" s="110"/>
      <c r="X47" s="206"/>
      <c r="Z47"/>
      <c r="AB47"/>
      <c r="AC47"/>
      <c r="AD47"/>
      <c r="AE47"/>
      <c r="AF47"/>
      <c r="AG47"/>
      <c r="AH47"/>
      <c r="AI47"/>
      <c r="AJ47"/>
      <c r="AK47"/>
      <c r="AL47" s="311" t="str">
        <f>SUBSTITUTE(SUBSTITUTE(SUBSTITUTE("dpa"&amp;$B47&amp;$C47&amp;$D47&amp;$E47&amp;$F47,".","_"),"(","_"),")","")</f>
        <v>dpa601_5</v>
      </c>
      <c r="AM47" s="311" t="str">
        <f>M47</f>
        <v>13 Max</v>
      </c>
      <c r="AN47"/>
      <c r="AO47"/>
      <c r="AP47"/>
      <c r="AQ47"/>
      <c r="AR47"/>
      <c r="AS47"/>
      <c r="AX47" s="64" t="str">
        <f>'Overview (Design)'!A44</f>
        <v>Thermal Envelope Insulation:</v>
      </c>
      <c r="AY47" s="65">
        <f>'Overview (Design)'!G44</f>
        <v>0</v>
      </c>
    </row>
    <row r="48" spans="2:51" x14ac:dyDescent="0.3">
      <c r="B48" s="80">
        <v>601.5</v>
      </c>
      <c r="C48" s="21"/>
      <c r="D48" s="21"/>
      <c r="E48" s="21"/>
      <c r="F48" s="21"/>
      <c r="G48" s="21"/>
      <c r="H48" s="1084"/>
      <c r="I48" s="141"/>
      <c r="J48" s="140"/>
      <c r="K48" s="98"/>
      <c r="L48" s="1313"/>
      <c r="M48" s="1318"/>
      <c r="N48" s="140"/>
      <c r="O48" s="269"/>
      <c r="P48" s="97"/>
      <c r="Q48" s="97"/>
      <c r="R48" s="97"/>
      <c r="S48" s="97"/>
      <c r="T48" s="97"/>
      <c r="U48" s="97"/>
      <c r="V48" s="97"/>
      <c r="W48" s="97"/>
      <c r="X48" s="118"/>
      <c r="Z48"/>
      <c r="AB48"/>
      <c r="AC48"/>
      <c r="AD48"/>
      <c r="AE48"/>
      <c r="AF48"/>
      <c r="AG48"/>
      <c r="AH48"/>
      <c r="AI48"/>
      <c r="AJ48"/>
      <c r="AK48"/>
      <c r="AL48"/>
      <c r="AM48"/>
      <c r="AN48"/>
      <c r="AO48"/>
      <c r="AP48"/>
      <c r="AQ48"/>
      <c r="AR48"/>
      <c r="AS48"/>
      <c r="AX48" s="64" t="str">
        <f>'Overview (Design)'!A45</f>
        <v>Attic Type:</v>
      </c>
      <c r="AY48" s="65" t="str">
        <f>'Overview (Design)'!G45</f>
        <v>Vented</v>
      </c>
    </row>
    <row r="49" spans="1:51" x14ac:dyDescent="0.3">
      <c r="B49" s="80">
        <v>601.5</v>
      </c>
      <c r="C49" s="21"/>
      <c r="D49" s="21"/>
      <c r="E49" s="21"/>
      <c r="F49" s="21"/>
      <c r="G49" s="21"/>
      <c r="H49" s="1084"/>
      <c r="I49" s="141"/>
      <c r="J49" s="140"/>
      <c r="K49" s="98"/>
      <c r="L49" s="1313"/>
      <c r="M49" s="1318"/>
      <c r="N49" s="140"/>
      <c r="O49" s="269"/>
      <c r="P49" s="97"/>
      <c r="Q49" s="97"/>
      <c r="R49" s="97"/>
      <c r="S49" s="97"/>
      <c r="T49" s="97"/>
      <c r="U49" s="97"/>
      <c r="V49" s="97"/>
      <c r="W49" s="97"/>
      <c r="X49" s="118"/>
      <c r="Z49"/>
      <c r="AB49"/>
      <c r="AC49"/>
      <c r="AD49"/>
      <c r="AE49"/>
      <c r="AF49"/>
      <c r="AG49"/>
      <c r="AH49"/>
      <c r="AI49"/>
      <c r="AJ49"/>
      <c r="AK49"/>
      <c r="AL49"/>
      <c r="AM49"/>
      <c r="AN49"/>
      <c r="AO49"/>
      <c r="AP49" s="311"/>
      <c r="AQ49" s="311"/>
      <c r="AR49"/>
      <c r="AS49"/>
      <c r="AX49" s="64" t="str">
        <f>'Overview (Design)'!A46</f>
        <v>Attached Garage:</v>
      </c>
      <c r="AY49" s="65" t="str">
        <f>'Overview (Design)'!G46</f>
        <v>Yes</v>
      </c>
    </row>
    <row r="50" spans="1:51" x14ac:dyDescent="0.3">
      <c r="B50" s="80">
        <v>601.5</v>
      </c>
      <c r="C50" s="21"/>
      <c r="D50" s="21"/>
      <c r="E50" s="21" t="s">
        <v>271</v>
      </c>
      <c r="F50" s="21"/>
      <c r="G50" s="21"/>
      <c r="H50" s="1084"/>
      <c r="I50" s="66"/>
      <c r="J50" s="231" t="s">
        <v>271</v>
      </c>
      <c r="K50" s="193"/>
      <c r="L50" s="345" t="s">
        <v>561</v>
      </c>
      <c r="M50" s="520">
        <v>4</v>
      </c>
      <c r="N50" s="238"/>
      <c r="O50" s="597">
        <f>M50*S50*W50</f>
        <v>4</v>
      </c>
      <c r="P50" s="440" t="b">
        <v>1</v>
      </c>
      <c r="Q50" s="440" t="b">
        <v>0</v>
      </c>
      <c r="R50" s="137" t="b">
        <v>0</v>
      </c>
      <c r="S50" s="137" t="b">
        <f>AND(NOT(W53=TRUE),NOT(W54=TRUE))</f>
        <v>1</v>
      </c>
      <c r="T50" s="97" t="b">
        <f>AND(NOT(S50),W50=TRUE)</f>
        <v>0</v>
      </c>
      <c r="U50"/>
      <c r="V50"/>
      <c r="W50" s="25" t="b">
        <v>1</v>
      </c>
      <c r="X50" s="176"/>
      <c r="Z50"/>
      <c r="AB50"/>
      <c r="AC50" s="137" t="b">
        <f>OR(AD50:AE50)</f>
        <v>0</v>
      </c>
      <c r="AD50" s="137" t="b">
        <f>T50</f>
        <v>0</v>
      </c>
      <c r="AE50" s="137" t="b">
        <v>0</v>
      </c>
      <c r="AF50"/>
      <c r="AG50"/>
      <c r="AH50"/>
      <c r="AI50"/>
      <c r="AJ50"/>
      <c r="AK50"/>
      <c r="AL50" s="311" t="str">
        <f t="shared" ref="AL50:AL55" si="13">SUBSTITUTE(SUBSTITUTE(SUBSTITUTE("dpa"&amp;$B50&amp;$C50&amp;$D50&amp;$E50&amp;$F50,".","_"),"(","_"),")","")</f>
        <v>dpa601_5_1</v>
      </c>
      <c r="AM50" s="311">
        <f t="shared" ref="AM50:AM55" si="14">M50</f>
        <v>4</v>
      </c>
      <c r="AN50" s="311" t="str">
        <f t="shared" ref="AN50:AN55" si="15">SUBSTITUTE(SUBSTITUTE(SUBSTITUTE("dpc"&amp;$B50&amp;$C50&amp;$D50&amp;$E50&amp;$F50,".","_"),"(","_"),")","")</f>
        <v>dpc601_5_1</v>
      </c>
      <c r="AO50" s="311">
        <f t="shared" ref="AO50:AO55" si="16">O50</f>
        <v>4</v>
      </c>
      <c r="AP50" s="1059" t="str">
        <f t="shared" ref="AP50:AP54" si="17">SUBSTITUTE(SUBSTITUTE(SUBSTITUTE("dch"&amp;$B50&amp;$C50&amp;$D50&amp;$E50&amp;$F50,".","_"),"(","_"),")","")</f>
        <v>dch601_5_1</v>
      </c>
      <c r="AQ50" s="311" t="b">
        <f>W50</f>
        <v>1</v>
      </c>
      <c r="AR50" s="1059" t="str">
        <f t="shared" ref="AR50:AR55" si="18">SUBSTITUTE(SUBSTITUTE(SUBSTITUTE("dnt"&amp;$B50&amp;$C50&amp;$D50&amp;$E50&amp;$F50,".","_"),"(","_"),")","")</f>
        <v>dnt601_5_1</v>
      </c>
      <c r="AS50" s="311">
        <f t="shared" ref="AS50:AS55" si="19">X50</f>
        <v>0</v>
      </c>
      <c r="AX50" s="64" t="str">
        <f>'Overview (Design)'!A47</f>
        <v>Recessed Lighting:</v>
      </c>
      <c r="AY50" s="65">
        <f>'Overview (Design)'!G47</f>
        <v>0</v>
      </c>
    </row>
    <row r="51" spans="1:51" x14ac:dyDescent="0.3">
      <c r="B51" s="80">
        <v>601.5</v>
      </c>
      <c r="C51" s="21"/>
      <c r="D51" s="21"/>
      <c r="E51" s="21" t="s">
        <v>273</v>
      </c>
      <c r="F51" s="21"/>
      <c r="G51" s="21"/>
      <c r="H51" s="1084"/>
      <c r="I51" s="66"/>
      <c r="J51" s="233" t="s">
        <v>273</v>
      </c>
      <c r="K51" s="234"/>
      <c r="L51" s="365" t="s">
        <v>562</v>
      </c>
      <c r="M51" s="532">
        <v>4</v>
      </c>
      <c r="N51" s="274"/>
      <c r="O51" s="531">
        <f>M51*S51*W51</f>
        <v>0</v>
      </c>
      <c r="P51" s="440" t="b">
        <v>1</v>
      </c>
      <c r="Q51" s="440" t="b">
        <v>0</v>
      </c>
      <c r="R51" s="137" t="b">
        <v>0</v>
      </c>
      <c r="S51" s="137" t="b">
        <f>AND(NOT(W53=TRUE),NOT(W54=TRUE))</f>
        <v>1</v>
      </c>
      <c r="T51" s="97" t="b">
        <f>AND(NOT(S51),W51=TRUE)</f>
        <v>0</v>
      </c>
      <c r="U51"/>
      <c r="V51"/>
      <c r="W51" s="25"/>
      <c r="X51" s="176"/>
      <c r="Z51"/>
      <c r="AB51"/>
      <c r="AC51" s="137" t="b">
        <f>OR(AD51:AE51)</f>
        <v>0</v>
      </c>
      <c r="AD51" s="137" t="b">
        <f>T51</f>
        <v>0</v>
      </c>
      <c r="AE51" s="137" t="b">
        <v>0</v>
      </c>
      <c r="AF51"/>
      <c r="AG51"/>
      <c r="AH51"/>
      <c r="AI51"/>
      <c r="AJ51"/>
      <c r="AK51"/>
      <c r="AL51" s="311" t="str">
        <f t="shared" si="13"/>
        <v>dpa601_5_2</v>
      </c>
      <c r="AM51" s="311">
        <f t="shared" si="14"/>
        <v>4</v>
      </c>
      <c r="AN51" s="311" t="str">
        <f t="shared" si="15"/>
        <v>dpc601_5_2</v>
      </c>
      <c r="AO51" s="311">
        <f t="shared" si="16"/>
        <v>0</v>
      </c>
      <c r="AP51" s="1059" t="str">
        <f t="shared" si="17"/>
        <v>dch601_5_2</v>
      </c>
      <c r="AQ51" s="311">
        <f>W51</f>
        <v>0</v>
      </c>
      <c r="AR51" s="1059" t="str">
        <f t="shared" si="18"/>
        <v>dnt601_5_2</v>
      </c>
      <c r="AS51" s="311">
        <f t="shared" si="19"/>
        <v>0</v>
      </c>
      <c r="AX51" s="64"/>
    </row>
    <row r="52" spans="1:51" x14ac:dyDescent="0.3">
      <c r="B52" s="80">
        <v>601.5</v>
      </c>
      <c r="C52" s="21"/>
      <c r="D52" s="21"/>
      <c r="E52" s="21" t="s">
        <v>275</v>
      </c>
      <c r="F52" s="21"/>
      <c r="G52" s="21"/>
      <c r="H52" s="1084"/>
      <c r="I52" s="66"/>
      <c r="J52" s="233" t="s">
        <v>275</v>
      </c>
      <c r="K52" s="234"/>
      <c r="L52" s="365" t="s">
        <v>563</v>
      </c>
      <c r="M52" s="532">
        <v>4</v>
      </c>
      <c r="N52" s="274"/>
      <c r="O52" s="531">
        <f>M52*S52*W52</f>
        <v>0</v>
      </c>
      <c r="P52" s="440" t="b">
        <v>1</v>
      </c>
      <c r="Q52" s="440" t="b">
        <v>0</v>
      </c>
      <c r="R52" s="137" t="b">
        <v>0</v>
      </c>
      <c r="S52" s="137" t="b">
        <f>AND(NOT(W53=TRUE),NOT(W54=TRUE))</f>
        <v>1</v>
      </c>
      <c r="T52" s="97" t="b">
        <f>AND(NOT(S52),W52=TRUE)</f>
        <v>0</v>
      </c>
      <c r="U52"/>
      <c r="V52"/>
      <c r="W52" s="25"/>
      <c r="X52" s="176"/>
      <c r="Z52"/>
      <c r="AB52"/>
      <c r="AC52" s="137" t="b">
        <f>OR(AD52:AE52)</f>
        <v>0</v>
      </c>
      <c r="AD52" s="137" t="b">
        <f>T52</f>
        <v>0</v>
      </c>
      <c r="AE52" s="137" t="b">
        <v>0</v>
      </c>
      <c r="AF52"/>
      <c r="AG52"/>
      <c r="AH52"/>
      <c r="AI52"/>
      <c r="AJ52"/>
      <c r="AK52"/>
      <c r="AL52" s="311" t="str">
        <f t="shared" si="13"/>
        <v>dpa601_5_3</v>
      </c>
      <c r="AM52" s="311">
        <f t="shared" si="14"/>
        <v>4</v>
      </c>
      <c r="AN52" s="311" t="str">
        <f t="shared" si="15"/>
        <v>dpc601_5_3</v>
      </c>
      <c r="AO52" s="311">
        <f t="shared" si="16"/>
        <v>0</v>
      </c>
      <c r="AP52" s="1059" t="str">
        <f t="shared" si="17"/>
        <v>dch601_5_3</v>
      </c>
      <c r="AQ52" s="311">
        <f>W52</f>
        <v>0</v>
      </c>
      <c r="AR52" s="1059" t="str">
        <f t="shared" si="18"/>
        <v>dnt601_5_3</v>
      </c>
      <c r="AS52" s="311">
        <f t="shared" si="19"/>
        <v>0</v>
      </c>
      <c r="AX52" s="64" t="str">
        <f>'Overview (Design)'!A49</f>
        <v>Special Design Features:</v>
      </c>
      <c r="AY52" s="65">
        <f>'Overview (Design)'!G49</f>
        <v>0</v>
      </c>
    </row>
    <row r="53" spans="1:51" x14ac:dyDescent="0.3">
      <c r="B53" s="80">
        <v>601.5</v>
      </c>
      <c r="C53" s="21"/>
      <c r="D53" s="21"/>
      <c r="E53" s="21" t="s">
        <v>285</v>
      </c>
      <c r="F53" s="21"/>
      <c r="G53" s="21"/>
      <c r="H53" s="1084"/>
      <c r="I53" s="66"/>
      <c r="J53" s="233" t="s">
        <v>285</v>
      </c>
      <c r="K53" s="234"/>
      <c r="L53" s="365" t="s">
        <v>564</v>
      </c>
      <c r="M53" s="532">
        <v>13</v>
      </c>
      <c r="N53" s="274"/>
      <c r="O53" s="531">
        <f>M53*S53*W53</f>
        <v>0</v>
      </c>
      <c r="P53" s="440" t="b">
        <v>1</v>
      </c>
      <c r="Q53" s="440" t="b">
        <v>0</v>
      </c>
      <c r="R53" s="137" t="b">
        <v>0</v>
      </c>
      <c r="S53" s="137" t="b">
        <f>NOT(OR(W50=TRUE,W51=TRUE,W52=TRUE,W54=TRUE))</f>
        <v>0</v>
      </c>
      <c r="T53" s="97" t="b">
        <f>AND(NOT(S53),W53=TRUE)</f>
        <v>0</v>
      </c>
      <c r="U53"/>
      <c r="V53"/>
      <c r="W53" s="25"/>
      <c r="X53" s="176"/>
      <c r="Z53"/>
      <c r="AB53"/>
      <c r="AC53" s="137" t="b">
        <f>OR(AD53:AE53)</f>
        <v>0</v>
      </c>
      <c r="AD53" s="137" t="b">
        <f>T53</f>
        <v>0</v>
      </c>
      <c r="AE53" s="137" t="b">
        <v>0</v>
      </c>
      <c r="AF53"/>
      <c r="AG53"/>
      <c r="AH53"/>
      <c r="AI53"/>
      <c r="AJ53"/>
      <c r="AK53"/>
      <c r="AL53" s="311" t="str">
        <f t="shared" si="13"/>
        <v>dpa601_5_4</v>
      </c>
      <c r="AM53" s="311">
        <f t="shared" si="14"/>
        <v>13</v>
      </c>
      <c r="AN53" s="311" t="str">
        <f t="shared" si="15"/>
        <v>dpc601_5_4</v>
      </c>
      <c r="AO53" s="311">
        <f t="shared" si="16"/>
        <v>0</v>
      </c>
      <c r="AP53" s="1059" t="str">
        <f t="shared" si="17"/>
        <v>dch601_5_4</v>
      </c>
      <c r="AQ53" s="311">
        <f>W53</f>
        <v>0</v>
      </c>
      <c r="AR53" s="1059" t="str">
        <f t="shared" si="18"/>
        <v>dnt601_5_4</v>
      </c>
      <c r="AS53" s="311">
        <f t="shared" si="19"/>
        <v>0</v>
      </c>
      <c r="AX53" s="64" t="str">
        <f>'Overview (Design)'!A50</f>
        <v>Passive Solar:</v>
      </c>
      <c r="AY53" s="65" t="str">
        <f>'Overview (Design)'!G50</f>
        <v>No</v>
      </c>
    </row>
    <row r="54" spans="1:51" ht="15" thickBot="1" x14ac:dyDescent="0.35">
      <c r="B54" s="80">
        <v>601.5</v>
      </c>
      <c r="C54" s="21"/>
      <c r="D54" s="21"/>
      <c r="E54" s="21" t="s">
        <v>291</v>
      </c>
      <c r="F54" s="21"/>
      <c r="G54" s="21"/>
      <c r="H54" s="1084"/>
      <c r="I54" s="66"/>
      <c r="J54" s="27" t="s">
        <v>291</v>
      </c>
      <c r="K54" s="86"/>
      <c r="L54" s="350" t="s">
        <v>565</v>
      </c>
      <c r="M54" s="522">
        <v>13</v>
      </c>
      <c r="N54" s="4"/>
      <c r="O54" s="154">
        <f>M54*S54*W54</f>
        <v>0</v>
      </c>
      <c r="P54" s="440" t="b">
        <v>1</v>
      </c>
      <c r="Q54" s="440" t="b">
        <v>0</v>
      </c>
      <c r="R54" s="137" t="b">
        <v>0</v>
      </c>
      <c r="S54" s="137" t="b">
        <f>NOT(OR(W50=TRUE,W51=TRUE,W52=TRUE,W53=TRUE))</f>
        <v>0</v>
      </c>
      <c r="T54" s="97" t="b">
        <f>AND(NOT(S54),W54=TRUE)</f>
        <v>0</v>
      </c>
      <c r="U54"/>
      <c r="V54"/>
      <c r="W54" s="25"/>
      <c r="X54" s="185"/>
      <c r="Z54"/>
      <c r="AB54"/>
      <c r="AC54" s="137" t="b">
        <f>OR(AD54:AE54)</f>
        <v>0</v>
      </c>
      <c r="AD54" s="137" t="b">
        <f>T54</f>
        <v>0</v>
      </c>
      <c r="AE54" s="137" t="b">
        <v>0</v>
      </c>
      <c r="AF54"/>
      <c r="AG54"/>
      <c r="AH54"/>
      <c r="AI54"/>
      <c r="AJ54"/>
      <c r="AK54"/>
      <c r="AL54" s="311" t="str">
        <f t="shared" si="13"/>
        <v>dpa601_5_5</v>
      </c>
      <c r="AM54" s="311">
        <f t="shared" si="14"/>
        <v>13</v>
      </c>
      <c r="AN54" s="311" t="str">
        <f t="shared" si="15"/>
        <v>dpc601_5_5</v>
      </c>
      <c r="AO54" s="311">
        <f t="shared" si="16"/>
        <v>0</v>
      </c>
      <c r="AP54" s="1059" t="str">
        <f t="shared" si="17"/>
        <v>dch601_5_5</v>
      </c>
      <c r="AQ54" s="311">
        <f>W54</f>
        <v>0</v>
      </c>
      <c r="AR54" s="1059" t="str">
        <f t="shared" si="18"/>
        <v>dnt601_5_5</v>
      </c>
      <c r="AS54" s="311">
        <f t="shared" si="19"/>
        <v>0</v>
      </c>
      <c r="AX54" s="64" t="str">
        <f>'Overview (Design)'!A51</f>
        <v>Mass Walls:</v>
      </c>
      <c r="AY54" s="65" t="str">
        <f>'Overview (Design)'!G51</f>
        <v>No</v>
      </c>
    </row>
    <row r="55" spans="1:51" ht="15" thickTop="1" x14ac:dyDescent="0.3">
      <c r="B55" s="80">
        <v>601.6</v>
      </c>
      <c r="C55" s="21"/>
      <c r="D55" s="21"/>
      <c r="E55" s="21"/>
      <c r="F55" s="21"/>
      <c r="G55" s="21"/>
      <c r="H55" s="1084"/>
      <c r="I55" s="200">
        <v>601.6</v>
      </c>
      <c r="J55" s="201"/>
      <c r="K55" s="202"/>
      <c r="L55" s="1331" t="s">
        <v>566</v>
      </c>
      <c r="M55" s="1343" t="s">
        <v>567</v>
      </c>
      <c r="N55" s="201"/>
      <c r="O55" s="1336">
        <f ca="1">IFERROR(INDEX({4,6,8},MATCH(W56,INDIRECT(U56),0)),0)</f>
        <v>0</v>
      </c>
      <c r="P55" s="110"/>
      <c r="Q55" s="110"/>
      <c r="R55" s="110"/>
      <c r="S55" s="110"/>
      <c r="T55" s="110"/>
      <c r="U55" s="110"/>
      <c r="V55" s="110"/>
      <c r="W55" s="110"/>
      <c r="X55" s="1327"/>
      <c r="Z55"/>
      <c r="AB55"/>
      <c r="AC55"/>
      <c r="AD55"/>
      <c r="AE55"/>
      <c r="AF55"/>
      <c r="AG55"/>
      <c r="AH55"/>
      <c r="AI55"/>
      <c r="AJ55"/>
      <c r="AK55"/>
      <c r="AL55" s="311" t="str">
        <f t="shared" si="13"/>
        <v>dpa601_6</v>
      </c>
      <c r="AM55" s="311" t="str">
        <f t="shared" si="14"/>
        <v>8 Max</v>
      </c>
      <c r="AN55" s="311" t="str">
        <f t="shared" si="15"/>
        <v>dpc601_6</v>
      </c>
      <c r="AO55" s="311">
        <f t="shared" ca="1" si="16"/>
        <v>0</v>
      </c>
      <c r="AP55"/>
      <c r="AQ55"/>
      <c r="AR55" s="1059" t="str">
        <f t="shared" si="18"/>
        <v>dnt601_6</v>
      </c>
      <c r="AS55" s="311">
        <f t="shared" si="19"/>
        <v>0</v>
      </c>
      <c r="AX55" s="64" t="str">
        <f>'Overview (Design)'!A52</f>
        <v>Ductless:</v>
      </c>
      <c r="AY55" s="65" t="str">
        <f>'Overview (Design)'!G52</f>
        <v>No</v>
      </c>
    </row>
    <row r="56" spans="1:51" x14ac:dyDescent="0.3">
      <c r="B56" s="80">
        <v>601.6</v>
      </c>
      <c r="C56" s="21"/>
      <c r="D56" s="21"/>
      <c r="E56" s="21"/>
      <c r="F56" s="21"/>
      <c r="G56" s="21"/>
      <c r="H56" s="1084"/>
      <c r="I56" s="141"/>
      <c r="J56" s="140"/>
      <c r="K56" s="98"/>
      <c r="L56" s="1313"/>
      <c r="M56" s="1318"/>
      <c r="N56" s="140"/>
      <c r="O56" s="1308"/>
      <c r="P56" s="440" t="b">
        <v>1</v>
      </c>
      <c r="Q56" s="440" t="b">
        <v>0</v>
      </c>
      <c r="R56" s="97" t="b">
        <v>0</v>
      </c>
      <c r="S56" s="97" t="b">
        <v>1</v>
      </c>
      <c r="T56" s="97" t="b">
        <v>0</v>
      </c>
      <c r="U56" s="97" t="str">
        <f>SUBSTITUTE(SUBSTITUTE(SUBSTITUTE("dd"&amp;B56&amp;C56&amp;D56&amp;E56&amp;F56,".","_"),"(","_"),")","")</f>
        <v>dd601_6</v>
      </c>
      <c r="V56" s="97"/>
      <c r="W56" s="114"/>
      <c r="X56" s="1295"/>
      <c r="Z56"/>
      <c r="AB56"/>
      <c r="AC56"/>
      <c r="AD56"/>
      <c r="AE56"/>
      <c r="AF56"/>
      <c r="AG56"/>
      <c r="AH56"/>
      <c r="AI56"/>
      <c r="AJ56"/>
      <c r="AK56"/>
      <c r="AL56"/>
      <c r="AM56"/>
      <c r="AN56"/>
      <c r="AO56"/>
      <c r="AP56" s="1059" t="str">
        <f t="shared" ref="AP56" si="20">SUBSTITUTE(SUBSTITUTE(SUBSTITUTE("dch"&amp;$B56&amp;$C56&amp;$D56&amp;$E56&amp;$F56,".","_"),"(","_"),")","")</f>
        <v>dch601_6</v>
      </c>
      <c r="AQ56" s="311">
        <f>W56</f>
        <v>0</v>
      </c>
      <c r="AR56"/>
      <c r="AS56"/>
      <c r="AX56" s="64" t="str">
        <f>'Overview (Design)'!A53</f>
        <v>Radiant/Hydronic:</v>
      </c>
      <c r="AY56" s="65" t="str">
        <f>'Overview (Design)'!G53</f>
        <v>No</v>
      </c>
    </row>
    <row r="57" spans="1:51" x14ac:dyDescent="0.3">
      <c r="B57" s="80">
        <v>601.6</v>
      </c>
      <c r="C57" s="21"/>
      <c r="D57" s="21"/>
      <c r="E57" s="21"/>
      <c r="F57" s="21"/>
      <c r="G57" s="21"/>
      <c r="H57" s="1084"/>
      <c r="I57" s="141"/>
      <c r="J57" s="140"/>
      <c r="K57" s="98"/>
      <c r="L57" s="1313"/>
      <c r="M57" s="1318"/>
      <c r="N57" s="140"/>
      <c r="O57" s="1308"/>
      <c r="P57" s="97"/>
      <c r="Q57" s="97"/>
      <c r="R57" s="97"/>
      <c r="S57" s="97"/>
      <c r="T57" s="97"/>
      <c r="U57" s="97"/>
      <c r="V57" s="97"/>
      <c r="W57" s="97"/>
      <c r="X57" s="1295"/>
      <c r="Z57"/>
      <c r="AB57"/>
      <c r="AC57"/>
      <c r="AD57"/>
      <c r="AE57"/>
      <c r="AF57"/>
      <c r="AG57"/>
      <c r="AH57"/>
      <c r="AI57"/>
      <c r="AJ57"/>
      <c r="AK57"/>
      <c r="AL57"/>
      <c r="AM57"/>
      <c r="AN57"/>
      <c r="AO57"/>
      <c r="AP57"/>
      <c r="AQ57"/>
      <c r="AR57"/>
      <c r="AS57"/>
      <c r="AX57" s="64" t="str">
        <f>'Overview (Design)'!A54</f>
        <v>Tankless Water Heater:</v>
      </c>
      <c r="AY57" s="65" t="str">
        <f>'Overview (Design)'!G54</f>
        <v>No</v>
      </c>
    </row>
    <row r="58" spans="1:51" x14ac:dyDescent="0.3">
      <c r="B58" s="80">
        <v>601.6</v>
      </c>
      <c r="C58" s="21"/>
      <c r="D58" s="21"/>
      <c r="E58" s="21" t="s">
        <v>271</v>
      </c>
      <c r="F58" s="21"/>
      <c r="G58" s="21"/>
      <c r="H58" s="1084"/>
      <c r="I58" s="141"/>
      <c r="J58" s="231" t="s">
        <v>271</v>
      </c>
      <c r="K58" s="193"/>
      <c r="L58" s="345" t="s">
        <v>568</v>
      </c>
      <c r="M58" s="520">
        <v>4</v>
      </c>
      <c r="N58" s="140"/>
      <c r="O58" s="269"/>
      <c r="P58" s="97"/>
      <c r="Q58" s="97"/>
      <c r="R58" s="97"/>
      <c r="S58" s="97"/>
      <c r="T58" s="97"/>
      <c r="U58" s="97"/>
      <c r="V58" s="97"/>
      <c r="W58" s="97"/>
      <c r="X58" s="1295"/>
      <c r="Z58"/>
      <c r="AB58"/>
      <c r="AC58"/>
      <c r="AD58"/>
      <c r="AE58"/>
      <c r="AF58"/>
      <c r="AG58"/>
      <c r="AH58"/>
      <c r="AI58"/>
      <c r="AJ58"/>
      <c r="AK58"/>
      <c r="AL58" s="311" t="str">
        <f t="shared" ref="AL58:AL60" si="21">SUBSTITUTE(SUBSTITUTE(SUBSTITUTE("dpa"&amp;$B58&amp;$C58&amp;$D58&amp;$E58&amp;$F58,".","_"),"(","_"),")","")</f>
        <v>dpa601_6_1</v>
      </c>
      <c r="AM58" s="311">
        <f>M58</f>
        <v>4</v>
      </c>
      <c r="AN58"/>
      <c r="AO58"/>
      <c r="AP58"/>
      <c r="AQ58"/>
      <c r="AR58"/>
      <c r="AS58"/>
      <c r="AX58" s="64" t="str">
        <f>'Overview (Design)'!A55</f>
        <v>Composting Toilet:</v>
      </c>
      <c r="AY58" s="65" t="str">
        <f>'Overview (Design)'!G55</f>
        <v>No</v>
      </c>
    </row>
    <row r="59" spans="1:51" ht="15" thickBot="1" x14ac:dyDescent="0.35">
      <c r="B59" s="80">
        <v>601.6</v>
      </c>
      <c r="C59" s="21"/>
      <c r="D59" s="21"/>
      <c r="E59" s="21" t="s">
        <v>273</v>
      </c>
      <c r="F59" s="21"/>
      <c r="G59" s="21"/>
      <c r="H59" s="1084"/>
      <c r="I59" s="141"/>
      <c r="J59" s="203" t="s">
        <v>273</v>
      </c>
      <c r="K59" s="98"/>
      <c r="L59" s="344" t="s">
        <v>569</v>
      </c>
      <c r="M59" s="518">
        <v>2</v>
      </c>
      <c r="N59" s="140"/>
      <c r="O59" s="269"/>
      <c r="P59" s="97"/>
      <c r="Q59" s="97"/>
      <c r="R59" s="97"/>
      <c r="S59" s="97"/>
      <c r="T59" s="97"/>
      <c r="U59" s="97"/>
      <c r="V59" s="97"/>
      <c r="W59" s="97"/>
      <c r="X59" s="1337"/>
      <c r="Z59"/>
      <c r="AB59"/>
      <c r="AC59"/>
      <c r="AD59"/>
      <c r="AE59"/>
      <c r="AF59"/>
      <c r="AG59"/>
      <c r="AH59"/>
      <c r="AI59"/>
      <c r="AJ59"/>
      <c r="AK59"/>
      <c r="AL59" s="311" t="str">
        <f t="shared" si="21"/>
        <v>dpa601_6_2</v>
      </c>
      <c r="AM59" s="311">
        <f>M59</f>
        <v>2</v>
      </c>
      <c r="AN59"/>
      <c r="AO59"/>
      <c r="AP59"/>
      <c r="AQ59"/>
      <c r="AR59"/>
      <c r="AS59"/>
      <c r="AX59" s="64"/>
    </row>
    <row r="60" spans="1:51" ht="15" thickTop="1" x14ac:dyDescent="0.3">
      <c r="B60" s="80">
        <v>601.70000000000005</v>
      </c>
      <c r="C60" s="21"/>
      <c r="D60" s="21"/>
      <c r="E60" s="21"/>
      <c r="F60" s="21"/>
      <c r="G60" s="21"/>
      <c r="H60" s="1084"/>
      <c r="I60" s="200">
        <v>601.70000000000005</v>
      </c>
      <c r="J60" s="201"/>
      <c r="K60" s="202"/>
      <c r="L60" s="1331" t="s">
        <v>570</v>
      </c>
      <c r="M60" s="1343" t="s">
        <v>571</v>
      </c>
      <c r="N60" s="201"/>
      <c r="O60" s="1336">
        <f ca="1">MIN(12,IFERROR(INDEX({1,2,5},MATCH(W63,INDIRECT(U63),0)),0)+IFERROR(INDEX({1,2,5},MATCH(W64,INDIRECT(U64),0)),0)+IFERROR(INDEX({1,2,5},MATCH(W65,INDIRECT(U65),0)),0)+IFERROR(INDEX({1,2,5},MATCH(W69,INDIRECT(U69),0)),0)+IFERROR(INDEX({1,2,5},MATCH(W71,INDIRECT(U71),0)),0))</f>
        <v>5</v>
      </c>
      <c r="P60" s="110"/>
      <c r="Q60" s="110"/>
      <c r="R60" s="110"/>
      <c r="S60" s="110"/>
      <c r="T60" s="110"/>
      <c r="U60" s="110"/>
      <c r="V60" s="110"/>
      <c r="W60" s="110"/>
      <c r="X60" s="1311"/>
      <c r="Z60"/>
      <c r="AB60"/>
      <c r="AC60"/>
      <c r="AD60"/>
      <c r="AE60"/>
      <c r="AF60"/>
      <c r="AG60"/>
      <c r="AH60"/>
      <c r="AI60"/>
      <c r="AJ60"/>
      <c r="AK60"/>
      <c r="AL60" s="311" t="str">
        <f t="shared" si="21"/>
        <v>dpa601_7</v>
      </c>
      <c r="AM60" s="311" t="str">
        <f>M60</f>
        <v>12 Max</v>
      </c>
      <c r="AN60" s="311" t="str">
        <f>SUBSTITUTE(SUBSTITUTE(SUBSTITUTE("dpc"&amp;$B60&amp;$C60&amp;$D60&amp;$E60&amp;$F60,".","_"),"(","_"),")","")</f>
        <v>dpc601_7</v>
      </c>
      <c r="AO60" s="311">
        <f ca="1">O60</f>
        <v>5</v>
      </c>
      <c r="AP60"/>
      <c r="AQ60"/>
      <c r="AR60" s="1059" t="str">
        <f>SUBSTITUTE(SUBSTITUTE(SUBSTITUTE("dnt"&amp;$B60&amp;$C60&amp;$D60&amp;$E60&amp;$F60,".","_"),"(","_"),")","")</f>
        <v>dnt601_7</v>
      </c>
      <c r="AS60" s="311">
        <f>X60</f>
        <v>0</v>
      </c>
      <c r="AX60" s="64" t="str">
        <f>'Overview (Design)'!A57</f>
        <v>Local Energy Code:</v>
      </c>
      <c r="AY60" s="65" t="str">
        <f>'Overview (Design)'!G57</f>
        <v>Other</v>
      </c>
    </row>
    <row r="61" spans="1:51" x14ac:dyDescent="0.3">
      <c r="B61" s="80">
        <v>601.70000000000005</v>
      </c>
      <c r="C61" s="21"/>
      <c r="D61" s="21"/>
      <c r="E61" s="21"/>
      <c r="F61" s="21"/>
      <c r="G61" s="21"/>
      <c r="H61" s="1084"/>
      <c r="I61" s="141"/>
      <c r="J61" s="140"/>
      <c r="K61" s="98"/>
      <c r="L61" s="1313"/>
      <c r="M61" s="1318"/>
      <c r="N61" s="140"/>
      <c r="O61" s="1308"/>
      <c r="P61" s="97"/>
      <c r="Q61" s="97"/>
      <c r="R61" s="97"/>
      <c r="S61" s="97"/>
      <c r="T61" s="97"/>
      <c r="U61" s="97"/>
      <c r="V61" s="97"/>
      <c r="W61" s="97"/>
      <c r="X61" s="1312"/>
      <c r="Z61"/>
      <c r="AB61"/>
      <c r="AC61"/>
      <c r="AD61"/>
      <c r="AE61"/>
      <c r="AF61"/>
      <c r="AG61"/>
      <c r="AH61"/>
      <c r="AI61"/>
      <c r="AJ61"/>
      <c r="AK61"/>
      <c r="AL61"/>
      <c r="AM61"/>
      <c r="AN61"/>
      <c r="AO61"/>
      <c r="AP61"/>
      <c r="AQ61"/>
      <c r="AR61"/>
      <c r="AS61"/>
      <c r="AX61" s="64" t="str">
        <f>'Overview (Design)'!A58</f>
        <v>Local Building Code:</v>
      </c>
      <c r="AY61" s="65" t="str">
        <f>'Overview (Design)'!G58</f>
        <v>Other</v>
      </c>
    </row>
    <row r="62" spans="1:51" s="143" customFormat="1" x14ac:dyDescent="0.3">
      <c r="A62" s="18"/>
      <c r="B62" s="80">
        <v>601.70000000000005</v>
      </c>
      <c r="C62" s="21"/>
      <c r="D62" s="21"/>
      <c r="E62" s="21"/>
      <c r="F62" s="21"/>
      <c r="G62" s="21"/>
      <c r="H62" s="1084"/>
      <c r="I62" s="141"/>
      <c r="J62" s="140"/>
      <c r="K62" s="98"/>
      <c r="L62" s="347" t="s">
        <v>581</v>
      </c>
      <c r="M62" s="518"/>
      <c r="N62" s="140"/>
      <c r="O62" s="269"/>
      <c r="P62" s="97"/>
      <c r="Q62" s="97"/>
      <c r="R62" s="97"/>
      <c r="S62" s="97"/>
      <c r="T62" s="97"/>
      <c r="U62" s="97"/>
      <c r="V62" s="97"/>
      <c r="W62" s="97"/>
      <c r="X62" s="1312"/>
      <c r="Y62" s="1107"/>
      <c r="AA62" s="1110"/>
      <c r="AX62" s="65"/>
      <c r="AY62" s="65"/>
    </row>
    <row r="63" spans="1:51" x14ac:dyDescent="0.3">
      <c r="B63" s="80">
        <v>601.70000000000005</v>
      </c>
      <c r="C63" s="21"/>
      <c r="D63" s="21"/>
      <c r="E63" s="21"/>
      <c r="F63" s="21" t="s">
        <v>121</v>
      </c>
      <c r="G63" s="21"/>
      <c r="H63" s="1084"/>
      <c r="I63" s="141"/>
      <c r="J63" s="140"/>
      <c r="K63" s="192" t="s">
        <v>121</v>
      </c>
      <c r="L63" s="345" t="s">
        <v>572</v>
      </c>
      <c r="M63" s="518"/>
      <c r="N63" s="140"/>
      <c r="O63" s="269"/>
      <c r="P63" s="97" t="b">
        <v>1</v>
      </c>
      <c r="Q63" s="97" t="b">
        <v>1</v>
      </c>
      <c r="R63" s="97" t="b">
        <v>0</v>
      </c>
      <c r="S63" s="97" t="b">
        <v>1</v>
      </c>
      <c r="T63" s="97" t="b">
        <v>0</v>
      </c>
      <c r="U63" s="97" t="str">
        <f>SUBSTITUTE(SUBSTITUTE(SUBSTITUTE("dd"&amp;B63&amp;C63&amp;D63&amp;E63&amp;F63,".","_"),"(","_"),")","")</f>
        <v>dd601_7_a</v>
      </c>
      <c r="V63" s="97"/>
      <c r="W63" s="114"/>
      <c r="X63" s="1312"/>
      <c r="Z63"/>
      <c r="AB63"/>
      <c r="AC63"/>
      <c r="AD63"/>
      <c r="AE63"/>
      <c r="AF63"/>
      <c r="AG63"/>
      <c r="AH63"/>
      <c r="AI63"/>
      <c r="AJ63"/>
      <c r="AK63"/>
      <c r="AL63"/>
      <c r="AM63"/>
      <c r="AN63"/>
      <c r="AO63"/>
      <c r="AP63" s="1059" t="str">
        <f t="shared" ref="AP63:AP65" si="22">SUBSTITUTE(SUBSTITUTE(SUBSTITUTE("dch"&amp;$B63&amp;$C63&amp;$D63&amp;$E63&amp;$F63,".","_"),"(","_"),")","")</f>
        <v>dch601_7_a</v>
      </c>
      <c r="AQ63" s="311">
        <f>W63</f>
        <v>0</v>
      </c>
      <c r="AR63"/>
      <c r="AS63"/>
    </row>
    <row r="64" spans="1:51" x14ac:dyDescent="0.3">
      <c r="B64" s="80">
        <v>601.70000000000005</v>
      </c>
      <c r="C64" s="21"/>
      <c r="D64" s="21"/>
      <c r="E64" s="21"/>
      <c r="F64" s="21" t="s">
        <v>122</v>
      </c>
      <c r="G64" s="21"/>
      <c r="H64" s="1084"/>
      <c r="I64" s="141"/>
      <c r="J64" s="140"/>
      <c r="K64" s="241" t="s">
        <v>122</v>
      </c>
      <c r="L64" s="365" t="s">
        <v>573</v>
      </c>
      <c r="M64" s="518"/>
      <c r="N64" s="140"/>
      <c r="O64" s="269"/>
      <c r="P64" s="97" t="b">
        <v>1</v>
      </c>
      <c r="Q64" s="97" t="b">
        <v>1</v>
      </c>
      <c r="R64" s="97" t="b">
        <v>0</v>
      </c>
      <c r="S64" s="97" t="b">
        <v>1</v>
      </c>
      <c r="T64" s="97" t="b">
        <v>0</v>
      </c>
      <c r="U64" s="97" t="str">
        <f>SUBSTITUTE(SUBSTITUTE(SUBSTITUTE("dd"&amp;B64&amp;C64&amp;D64&amp;E64&amp;F64,".","_"),"(","_"),")","")</f>
        <v>dd601_7_b</v>
      </c>
      <c r="V64" s="97"/>
      <c r="W64" s="114"/>
      <c r="X64" s="1312"/>
      <c r="Z64"/>
      <c r="AB64"/>
      <c r="AC64"/>
      <c r="AD64"/>
      <c r="AE64"/>
      <c r="AF64"/>
      <c r="AG64"/>
      <c r="AH64"/>
      <c r="AI64"/>
      <c r="AJ64"/>
      <c r="AK64"/>
      <c r="AL64"/>
      <c r="AM64"/>
      <c r="AN64"/>
      <c r="AO64"/>
      <c r="AP64" s="1059" t="str">
        <f t="shared" si="22"/>
        <v>dch601_7_b</v>
      </c>
      <c r="AQ64" s="311">
        <f>W64</f>
        <v>0</v>
      </c>
      <c r="AR64"/>
      <c r="AS64"/>
    </row>
    <row r="65" spans="1:51" x14ac:dyDescent="0.3">
      <c r="B65" s="80">
        <v>601.70000000000005</v>
      </c>
      <c r="C65" s="21"/>
      <c r="D65" s="21"/>
      <c r="E65" s="21"/>
      <c r="F65" s="26" t="s">
        <v>123</v>
      </c>
      <c r="G65" s="26"/>
      <c r="H65" s="1085"/>
      <c r="I65" s="141"/>
      <c r="J65" s="140"/>
      <c r="K65" s="242" t="s">
        <v>123</v>
      </c>
      <c r="L65" s="1373" t="s">
        <v>574</v>
      </c>
      <c r="M65" s="518"/>
      <c r="N65" s="140"/>
      <c r="O65" s="269"/>
      <c r="P65" s="97" t="b">
        <v>1</v>
      </c>
      <c r="Q65" s="97" t="b">
        <v>1</v>
      </c>
      <c r="R65" s="97" t="b">
        <v>0</v>
      </c>
      <c r="S65" s="97" t="b">
        <v>1</v>
      </c>
      <c r="T65" s="97" t="b">
        <v>0</v>
      </c>
      <c r="U65" s="97" t="str">
        <f>SUBSTITUTE(SUBSTITUTE(SUBSTITUTE("dd"&amp;B65&amp;C65&amp;D65&amp;E65&amp;F65,".","_"),"(","_"),")","")</f>
        <v>dd601_7_c</v>
      </c>
      <c r="V65" s="97"/>
      <c r="W65" s="114" t="s">
        <v>3741</v>
      </c>
      <c r="X65" s="1312"/>
      <c r="Z65"/>
      <c r="AB65"/>
      <c r="AC65"/>
      <c r="AD65"/>
      <c r="AE65"/>
      <c r="AF65"/>
      <c r="AG65"/>
      <c r="AH65"/>
      <c r="AI65"/>
      <c r="AJ65"/>
      <c r="AK65"/>
      <c r="AL65"/>
      <c r="AM65"/>
      <c r="AN65"/>
      <c r="AO65"/>
      <c r="AP65" s="1059" t="str">
        <f t="shared" si="22"/>
        <v>dch601_7_c</v>
      </c>
      <c r="AQ65" s="311" t="str">
        <f>W65</f>
        <v>90% or more</v>
      </c>
      <c r="AR65"/>
      <c r="AS65"/>
    </row>
    <row r="66" spans="1:51" x14ac:dyDescent="0.3">
      <c r="B66" s="80">
        <v>601.70000000000005</v>
      </c>
      <c r="C66" s="21"/>
      <c r="D66" s="21"/>
      <c r="E66" s="21"/>
      <c r="F66" s="26" t="s">
        <v>123</v>
      </c>
      <c r="G66" s="26"/>
      <c r="H66" s="1085"/>
      <c r="I66" s="141"/>
      <c r="J66" s="140"/>
      <c r="K66" s="98"/>
      <c r="L66" s="1374"/>
      <c r="M66" s="518"/>
      <c r="N66" s="140"/>
      <c r="O66" s="269"/>
      <c r="P66" s="97"/>
      <c r="Q66" s="97"/>
      <c r="R66" s="97"/>
      <c r="S66" s="97"/>
      <c r="T66" s="97"/>
      <c r="U66" s="97"/>
      <c r="V66" s="97"/>
      <c r="W66" s="97"/>
      <c r="X66" s="1312"/>
      <c r="Z66"/>
      <c r="AB66"/>
      <c r="AC66"/>
      <c r="AD66"/>
      <c r="AE66"/>
      <c r="AF66"/>
      <c r="AG66"/>
      <c r="AH66"/>
      <c r="AI66"/>
      <c r="AJ66"/>
      <c r="AK66"/>
      <c r="AL66"/>
      <c r="AM66"/>
      <c r="AN66"/>
      <c r="AO66"/>
      <c r="AP66"/>
      <c r="AQ66"/>
      <c r="AR66"/>
      <c r="AS66"/>
    </row>
    <row r="67" spans="1:51" x14ac:dyDescent="0.3">
      <c r="B67" s="80">
        <v>601.70000000000005</v>
      </c>
      <c r="C67" s="21"/>
      <c r="D67" s="21"/>
      <c r="E67" s="21"/>
      <c r="F67" s="26" t="s">
        <v>123</v>
      </c>
      <c r="G67" s="26"/>
      <c r="H67" s="1085"/>
      <c r="I67" s="141"/>
      <c r="J67" s="140"/>
      <c r="K67" s="98"/>
      <c r="L67" s="366" t="s">
        <v>575</v>
      </c>
      <c r="M67" s="518"/>
      <c r="N67" s="140"/>
      <c r="O67" s="269"/>
      <c r="P67" s="97"/>
      <c r="Q67" s="97"/>
      <c r="R67" s="97"/>
      <c r="S67" s="97"/>
      <c r="T67" s="97"/>
      <c r="U67" s="97"/>
      <c r="V67" s="97"/>
      <c r="W67" s="97"/>
      <c r="X67" s="1312"/>
      <c r="Z67"/>
      <c r="AB67"/>
      <c r="AC67"/>
      <c r="AD67"/>
      <c r="AE67"/>
      <c r="AF67"/>
      <c r="AG67"/>
      <c r="AH67"/>
      <c r="AI67"/>
      <c r="AJ67"/>
      <c r="AK67"/>
      <c r="AL67"/>
      <c r="AM67"/>
      <c r="AN67"/>
      <c r="AO67"/>
      <c r="AP67"/>
      <c r="AQ67"/>
      <c r="AR67"/>
      <c r="AS67"/>
    </row>
    <row r="68" spans="1:51" x14ac:dyDescent="0.3">
      <c r="B68" s="80">
        <v>601.70000000000005</v>
      </c>
      <c r="C68" s="21"/>
      <c r="D68" s="21"/>
      <c r="E68" s="21"/>
      <c r="F68" s="26" t="s">
        <v>123</v>
      </c>
      <c r="G68" s="26"/>
      <c r="H68" s="1085"/>
      <c r="I68" s="141"/>
      <c r="J68" s="140"/>
      <c r="K68" s="193"/>
      <c r="L68" s="342" t="s">
        <v>576</v>
      </c>
      <c r="M68" s="518"/>
      <c r="N68" s="140"/>
      <c r="O68" s="269"/>
      <c r="P68" s="97"/>
      <c r="Q68" s="97"/>
      <c r="R68" s="97"/>
      <c r="S68" s="97"/>
      <c r="T68" s="97"/>
      <c r="U68" s="97"/>
      <c r="V68" s="97"/>
      <c r="W68" s="97"/>
      <c r="X68" s="1312"/>
      <c r="Z68"/>
      <c r="AB68"/>
      <c r="AC68"/>
      <c r="AD68"/>
      <c r="AE68"/>
      <c r="AF68"/>
      <c r="AG68"/>
      <c r="AH68"/>
      <c r="AI68"/>
      <c r="AJ68"/>
      <c r="AK68"/>
      <c r="AL68"/>
      <c r="AM68"/>
      <c r="AN68"/>
      <c r="AO68"/>
      <c r="AP68"/>
      <c r="AQ68"/>
      <c r="AR68"/>
      <c r="AS68"/>
    </row>
    <row r="69" spans="1:51" x14ac:dyDescent="0.3">
      <c r="B69" s="80">
        <v>601.70000000000005</v>
      </c>
      <c r="C69" s="21"/>
      <c r="D69" s="21"/>
      <c r="E69" s="21"/>
      <c r="F69" s="21" t="s">
        <v>423</v>
      </c>
      <c r="G69" s="21"/>
      <c r="H69" s="1084"/>
      <c r="I69" s="141"/>
      <c r="J69" s="140"/>
      <c r="K69" s="243" t="s">
        <v>423</v>
      </c>
      <c r="L69" s="1356" t="s">
        <v>577</v>
      </c>
      <c r="M69" s="518"/>
      <c r="N69" s="140"/>
      <c r="O69" s="269"/>
      <c r="P69" s="97" t="b">
        <v>1</v>
      </c>
      <c r="Q69" s="97" t="b">
        <v>1</v>
      </c>
      <c r="R69" s="97" t="b">
        <v>0</v>
      </c>
      <c r="S69" s="97" t="b">
        <v>1</v>
      </c>
      <c r="T69" s="97" t="b">
        <v>0</v>
      </c>
      <c r="U69" s="97" t="str">
        <f>SUBSTITUTE(SUBSTITUTE(SUBSTITUTE("dd"&amp;B69&amp;C69&amp;D69&amp;E69&amp;F69,".","_"),"(","_"),")","")</f>
        <v>dd601_7_d</v>
      </c>
      <c r="V69" s="97"/>
      <c r="W69" s="114"/>
      <c r="X69" s="1312"/>
      <c r="Z69"/>
      <c r="AB69"/>
      <c r="AC69"/>
      <c r="AD69"/>
      <c r="AE69"/>
      <c r="AF69"/>
      <c r="AG69"/>
      <c r="AH69"/>
      <c r="AI69"/>
      <c r="AJ69"/>
      <c r="AK69"/>
      <c r="AL69"/>
      <c r="AM69"/>
      <c r="AN69"/>
      <c r="AO69"/>
      <c r="AP69" s="1059" t="str">
        <f t="shared" ref="AP69" si="23">SUBSTITUTE(SUBSTITUTE(SUBSTITUTE("dch"&amp;$B69&amp;$C69&amp;$D69&amp;$E69&amp;$F69,".","_"),"(","_"),")","")</f>
        <v>dch601_7_d</v>
      </c>
      <c r="AQ69" s="311">
        <f>W69</f>
        <v>0</v>
      </c>
      <c r="AR69"/>
      <c r="AS69"/>
    </row>
    <row r="70" spans="1:51" x14ac:dyDescent="0.3">
      <c r="B70" s="80">
        <v>601.70000000000005</v>
      </c>
      <c r="C70" s="21"/>
      <c r="D70" s="21"/>
      <c r="E70" s="21"/>
      <c r="F70" s="21" t="s">
        <v>423</v>
      </c>
      <c r="G70" s="21"/>
      <c r="H70" s="1084"/>
      <c r="I70" s="141"/>
      <c r="J70" s="140"/>
      <c r="K70" s="193"/>
      <c r="L70" s="1306"/>
      <c r="M70" s="518"/>
      <c r="N70" s="140"/>
      <c r="O70" s="269"/>
      <c r="P70" s="97"/>
      <c r="Q70" s="97"/>
      <c r="R70" s="97"/>
      <c r="S70" s="97"/>
      <c r="T70" s="97"/>
      <c r="U70" s="97"/>
      <c r="V70" s="97"/>
      <c r="W70" s="97"/>
      <c r="X70" s="1312"/>
      <c r="Z70"/>
      <c r="AB70"/>
      <c r="AC70"/>
      <c r="AD70"/>
      <c r="AE70"/>
      <c r="AF70"/>
      <c r="AG70"/>
      <c r="AH70"/>
      <c r="AI70"/>
      <c r="AJ70"/>
      <c r="AK70"/>
      <c r="AL70"/>
      <c r="AM70"/>
      <c r="AN70"/>
      <c r="AO70"/>
      <c r="AP70"/>
      <c r="AQ70"/>
      <c r="AR70"/>
      <c r="AS70"/>
    </row>
    <row r="71" spans="1:51" x14ac:dyDescent="0.3">
      <c r="B71" s="80">
        <v>601.70000000000005</v>
      </c>
      <c r="C71" s="21"/>
      <c r="D71" s="21"/>
      <c r="E71" s="21"/>
      <c r="F71" s="21" t="s">
        <v>578</v>
      </c>
      <c r="G71" s="21"/>
      <c r="H71" s="1084"/>
      <c r="I71" s="141"/>
      <c r="J71" s="140"/>
      <c r="K71" s="243" t="s">
        <v>578</v>
      </c>
      <c r="L71" s="1356" t="s">
        <v>579</v>
      </c>
      <c r="M71" s="518"/>
      <c r="N71" s="140"/>
      <c r="O71" s="269"/>
      <c r="P71" s="97" t="b">
        <v>1</v>
      </c>
      <c r="Q71" s="97" t="b">
        <v>1</v>
      </c>
      <c r="R71" s="97" t="b">
        <v>0</v>
      </c>
      <c r="S71" s="97" t="b">
        <v>1</v>
      </c>
      <c r="T71" s="97" t="b">
        <v>0</v>
      </c>
      <c r="U71" s="97" t="str">
        <f>SUBSTITUTE(SUBSTITUTE(SUBSTITUTE("dd"&amp;B71&amp;C71&amp;D71&amp;E71&amp;F71,".","_"),"(","_"),")","")</f>
        <v>dd601_7_e</v>
      </c>
      <c r="V71" s="97"/>
      <c r="W71" s="114"/>
      <c r="X71" s="1312"/>
      <c r="Z71"/>
      <c r="AB71"/>
      <c r="AC71"/>
      <c r="AD71"/>
      <c r="AE71"/>
      <c r="AF71"/>
      <c r="AG71"/>
      <c r="AH71"/>
      <c r="AI71"/>
      <c r="AJ71"/>
      <c r="AK71"/>
      <c r="AL71"/>
      <c r="AM71"/>
      <c r="AN71"/>
      <c r="AO71"/>
      <c r="AP71" s="1059" t="str">
        <f t="shared" ref="AP71" si="24">SUBSTITUTE(SUBSTITUTE(SUBSTITUTE("dch"&amp;$B71&amp;$C71&amp;$D71&amp;$E71&amp;$F71,".","_"),"(","_"),")","")</f>
        <v>dch601_7_e</v>
      </c>
      <c r="AQ71" s="311">
        <f>W71</f>
        <v>0</v>
      </c>
      <c r="AR71"/>
      <c r="AS71"/>
    </row>
    <row r="72" spans="1:51" x14ac:dyDescent="0.3">
      <c r="B72" s="80">
        <v>601.70000000000005</v>
      </c>
      <c r="C72" s="21"/>
      <c r="D72" s="21"/>
      <c r="E72" s="21"/>
      <c r="F72" s="21" t="s">
        <v>578</v>
      </c>
      <c r="G72" s="21"/>
      <c r="H72" s="1084"/>
      <c r="I72" s="141"/>
      <c r="J72" s="140"/>
      <c r="K72" s="193"/>
      <c r="L72" s="1306"/>
      <c r="M72" s="518"/>
      <c r="N72" s="140"/>
      <c r="O72" s="269"/>
      <c r="P72" s="97"/>
      <c r="Q72" s="97"/>
      <c r="R72" s="97"/>
      <c r="S72" s="97"/>
      <c r="T72" s="97"/>
      <c r="U72" s="97"/>
      <c r="V72" s="97"/>
      <c r="W72" s="97"/>
      <c r="X72" s="1312"/>
      <c r="Z72"/>
      <c r="AB72"/>
      <c r="AC72"/>
      <c r="AD72"/>
      <c r="AE72"/>
      <c r="AF72"/>
      <c r="AG72"/>
      <c r="AH72"/>
      <c r="AI72"/>
      <c r="AJ72"/>
      <c r="AK72"/>
      <c r="AL72"/>
      <c r="AM72"/>
      <c r="AN72"/>
      <c r="AO72"/>
      <c r="AP72"/>
      <c r="AQ72"/>
      <c r="AR72"/>
      <c r="AS72"/>
    </row>
    <row r="73" spans="1:51" x14ac:dyDescent="0.3">
      <c r="B73" s="80">
        <v>601.70000000000005</v>
      </c>
      <c r="C73" s="21"/>
      <c r="D73" s="21"/>
      <c r="E73" s="21" t="s">
        <v>271</v>
      </c>
      <c r="F73" s="21"/>
      <c r="G73" s="21"/>
      <c r="H73" s="1084"/>
      <c r="I73" s="141"/>
      <c r="J73" s="231" t="s">
        <v>271</v>
      </c>
      <c r="K73" s="98"/>
      <c r="L73" s="345" t="s">
        <v>580</v>
      </c>
      <c r="M73" s="520">
        <v>5</v>
      </c>
      <c r="N73" s="140"/>
      <c r="O73" s="269"/>
      <c r="P73" s="97"/>
      <c r="Q73" s="97"/>
      <c r="R73" s="97"/>
      <c r="S73" s="97"/>
      <c r="T73" s="97"/>
      <c r="U73" s="97"/>
      <c r="V73" s="97"/>
      <c r="W73" s="97"/>
      <c r="X73" s="1312"/>
      <c r="Z73"/>
      <c r="AB73"/>
      <c r="AC73"/>
      <c r="AD73"/>
      <c r="AE73"/>
      <c r="AF73"/>
      <c r="AG73"/>
      <c r="AH73"/>
      <c r="AI73"/>
      <c r="AJ73"/>
      <c r="AK73"/>
      <c r="AL73" s="311" t="str">
        <f t="shared" ref="AL73:AL74" si="25">SUBSTITUTE(SUBSTITUTE(SUBSTITUTE("dpa"&amp;$B73&amp;$C73&amp;$D73&amp;$E73&amp;$F73,".","_"),"(","_"),")","")</f>
        <v>dpa601_7_1</v>
      </c>
      <c r="AM73" s="311">
        <f>M73</f>
        <v>5</v>
      </c>
      <c r="AN73"/>
      <c r="AO73"/>
      <c r="AP73"/>
      <c r="AQ73"/>
      <c r="AR73"/>
      <c r="AS73"/>
    </row>
    <row r="74" spans="1:51" x14ac:dyDescent="0.3">
      <c r="B74" s="80">
        <v>601.70000000000005</v>
      </c>
      <c r="C74" s="21"/>
      <c r="D74" s="21"/>
      <c r="E74" s="21" t="s">
        <v>273</v>
      </c>
      <c r="F74" s="21"/>
      <c r="G74" s="21"/>
      <c r="H74" s="1084"/>
      <c r="I74" s="141"/>
      <c r="J74" s="203" t="s">
        <v>273</v>
      </c>
      <c r="K74" s="218"/>
      <c r="L74" s="1355" t="s">
        <v>582</v>
      </c>
      <c r="M74" s="1323">
        <v>2</v>
      </c>
      <c r="N74" s="140"/>
      <c r="O74" s="269"/>
      <c r="P74" s="97"/>
      <c r="Q74" s="97"/>
      <c r="R74" s="97"/>
      <c r="S74" s="97"/>
      <c r="T74" s="97"/>
      <c r="U74" s="97"/>
      <c r="V74" s="97"/>
      <c r="W74" s="97"/>
      <c r="X74" s="1312"/>
      <c r="Z74"/>
      <c r="AB74"/>
      <c r="AC74"/>
      <c r="AD74"/>
      <c r="AE74"/>
      <c r="AF74"/>
      <c r="AG74"/>
      <c r="AH74"/>
      <c r="AI74"/>
      <c r="AJ74"/>
      <c r="AK74"/>
      <c r="AL74" s="311" t="str">
        <f t="shared" si="25"/>
        <v>dpa601_7_2</v>
      </c>
      <c r="AM74" s="311">
        <f>M74</f>
        <v>2</v>
      </c>
      <c r="AN74"/>
      <c r="AO74"/>
      <c r="AP74"/>
      <c r="AQ74"/>
      <c r="AR74"/>
      <c r="AS74"/>
      <c r="AX74" s="339"/>
      <c r="AY74" s="339"/>
    </row>
    <row r="75" spans="1:51" s="339" customFormat="1" x14ac:dyDescent="0.3">
      <c r="A75" s="18"/>
      <c r="B75" s="80">
        <v>601.70000000000005</v>
      </c>
      <c r="C75" s="21"/>
      <c r="D75" s="21"/>
      <c r="E75" s="21"/>
      <c r="F75" s="21"/>
      <c r="G75" s="21"/>
      <c r="H75" s="1084"/>
      <c r="I75" s="141"/>
      <c r="J75" s="196"/>
      <c r="K75" s="193"/>
      <c r="L75" s="1294"/>
      <c r="M75" s="1319"/>
      <c r="N75" s="140"/>
      <c r="O75" s="269"/>
      <c r="P75" s="97"/>
      <c r="Q75" s="97"/>
      <c r="R75" s="97"/>
      <c r="S75" s="97"/>
      <c r="T75" s="97"/>
      <c r="U75" s="97"/>
      <c r="V75" s="97"/>
      <c r="W75" s="97"/>
      <c r="X75" s="1312"/>
      <c r="Y75" s="1107"/>
      <c r="AA75" s="1110"/>
      <c r="AL75" s="311"/>
      <c r="AM75" s="311"/>
      <c r="AX75" s="65"/>
      <c r="AY75" s="65"/>
    </row>
    <row r="76" spans="1:51" x14ac:dyDescent="0.3">
      <c r="B76" s="80">
        <v>601.70000000000005</v>
      </c>
      <c r="C76" s="21"/>
      <c r="D76" s="21"/>
      <c r="E76" s="21" t="s">
        <v>275</v>
      </c>
      <c r="F76" s="21"/>
      <c r="G76" s="21"/>
      <c r="H76" s="1084"/>
      <c r="I76" s="141"/>
      <c r="J76" s="203" t="s">
        <v>275</v>
      </c>
      <c r="K76" s="98"/>
      <c r="L76" s="1293" t="s">
        <v>583</v>
      </c>
      <c r="M76" s="518">
        <v>1</v>
      </c>
      <c r="N76" s="140"/>
      <c r="O76" s="269"/>
      <c r="P76" s="97"/>
      <c r="Q76" s="97"/>
      <c r="R76" s="97"/>
      <c r="S76" s="97"/>
      <c r="T76" s="97"/>
      <c r="U76" s="97"/>
      <c r="V76" s="97"/>
      <c r="X76" s="1312"/>
      <c r="Z76"/>
      <c r="AB76"/>
      <c r="AC76"/>
      <c r="AD76"/>
      <c r="AE76"/>
      <c r="AF76"/>
      <c r="AG76"/>
      <c r="AH76"/>
      <c r="AI76"/>
      <c r="AJ76"/>
      <c r="AK76"/>
      <c r="AL76" s="311" t="str">
        <f>SUBSTITUTE(SUBSTITUTE(SUBSTITUTE("dpa"&amp;$B76&amp;$C76&amp;$D76&amp;$E76&amp;$F76,".","_"),"(","_"),")","")</f>
        <v>dpa601_7_3</v>
      </c>
      <c r="AM76" s="311">
        <f>M76</f>
        <v>1</v>
      </c>
      <c r="AN76"/>
      <c r="AO76"/>
      <c r="AP76"/>
      <c r="AQ76"/>
      <c r="AR76"/>
      <c r="AS76"/>
      <c r="AX76" s="339"/>
      <c r="AY76" s="339"/>
    </row>
    <row r="77" spans="1:51" s="339" customFormat="1" ht="15" thickBot="1" x14ac:dyDescent="0.35">
      <c r="A77" s="18"/>
      <c r="B77" s="80">
        <v>601.70000000000005</v>
      </c>
      <c r="C77" s="21"/>
      <c r="D77" s="21"/>
      <c r="E77" s="21"/>
      <c r="F77" s="21"/>
      <c r="G77" s="21"/>
      <c r="H77" s="1084"/>
      <c r="I77" s="141"/>
      <c r="J77" s="203"/>
      <c r="K77" s="98"/>
      <c r="L77" s="1348"/>
      <c r="M77" s="518"/>
      <c r="N77" s="140"/>
      <c r="O77" s="269"/>
      <c r="P77" s="97"/>
      <c r="Q77" s="97"/>
      <c r="R77" s="97"/>
      <c r="S77" s="97"/>
      <c r="T77" s="97"/>
      <c r="U77" s="97"/>
      <c r="V77" s="97"/>
      <c r="W77" s="117"/>
      <c r="X77" s="1338"/>
      <c r="Y77" s="1107"/>
      <c r="AA77" s="1110"/>
      <c r="AL77" s="311"/>
      <c r="AM77" s="311"/>
      <c r="AX77" s="65"/>
      <c r="AY77" s="65"/>
    </row>
    <row r="78" spans="1:51" ht="15" thickTop="1" x14ac:dyDescent="0.3">
      <c r="B78" s="80">
        <v>601.79999999999995</v>
      </c>
      <c r="C78" s="21"/>
      <c r="D78" s="21"/>
      <c r="E78" s="21"/>
      <c r="F78" s="21"/>
      <c r="G78" s="21"/>
      <c r="H78" s="1084"/>
      <c r="I78" s="200">
        <v>601.79999999999995</v>
      </c>
      <c r="J78" s="201"/>
      <c r="K78" s="202"/>
      <c r="L78" s="1331" t="s">
        <v>584</v>
      </c>
      <c r="M78" s="1343">
        <v>3</v>
      </c>
      <c r="N78" s="201"/>
      <c r="O78" s="1336">
        <f>M78*S78*W78</f>
        <v>0</v>
      </c>
      <c r="P78" s="440" t="b">
        <v>1</v>
      </c>
      <c r="Q78" s="440" t="b">
        <v>0</v>
      </c>
      <c r="R78" s="110" t="b">
        <v>0</v>
      </c>
      <c r="S78" s="110" t="b">
        <f>NOT(AZ30=1)</f>
        <v>1</v>
      </c>
      <c r="T78" s="97" t="b">
        <f>AND(NOT(S78),W78=TRUE)</f>
        <v>0</v>
      </c>
      <c r="U78" s="110"/>
      <c r="V78" s="110"/>
      <c r="W78" s="127"/>
      <c r="X78" s="1327"/>
      <c r="Z78"/>
      <c r="AB78"/>
      <c r="AC78" s="150" t="b">
        <f>OR(AD78:AE78)</f>
        <v>0</v>
      </c>
      <c r="AD78" s="150" t="b">
        <v>0</v>
      </c>
      <c r="AE78" s="150" t="b">
        <f>AND(W78=TRUE,LEN(X78)=0)</f>
        <v>0</v>
      </c>
      <c r="AF78"/>
      <c r="AG78"/>
      <c r="AH78"/>
      <c r="AI78"/>
      <c r="AJ78"/>
      <c r="AK78"/>
      <c r="AL78" s="311" t="str">
        <f>SUBSTITUTE(SUBSTITUTE(SUBSTITUTE("dpa"&amp;$B78&amp;$C78&amp;$D78&amp;$E78&amp;$F78,".","_"),"(","_"),")","")</f>
        <v>dpa601_8</v>
      </c>
      <c r="AM78" s="311">
        <f>M78</f>
        <v>3</v>
      </c>
      <c r="AN78" s="311" t="str">
        <f>SUBSTITUTE(SUBSTITUTE(SUBSTITUTE("dpc"&amp;$B78&amp;$C78&amp;$D78&amp;$E78&amp;$F78,".","_"),"(","_"),")","")</f>
        <v>dpc601_8</v>
      </c>
      <c r="AO78" s="311">
        <f>O78</f>
        <v>0</v>
      </c>
      <c r="AP78" s="1059" t="str">
        <f t="shared" ref="AP78" si="26">SUBSTITUTE(SUBSTITUTE(SUBSTITUTE("dch"&amp;$B78&amp;$C78&amp;$D78&amp;$E78&amp;$F78,".","_"),"(","_"),")","")</f>
        <v>dch601_8</v>
      </c>
      <c r="AQ78" s="311">
        <f>W78</f>
        <v>0</v>
      </c>
      <c r="AR78" s="1059" t="str">
        <f>SUBSTITUTE(SUBSTITUTE(SUBSTITUTE("dnt"&amp;$B78&amp;$C78&amp;$D78&amp;$E78&amp;$F78,".","_"),"(","_"),")","")</f>
        <v>dnt601_8</v>
      </c>
      <c r="AS78" s="311">
        <f>X78</f>
        <v>0</v>
      </c>
    </row>
    <row r="79" spans="1:51" x14ac:dyDescent="0.3">
      <c r="B79" s="80">
        <v>601.79999999999995</v>
      </c>
      <c r="C79" s="21"/>
      <c r="D79" s="21"/>
      <c r="E79" s="21"/>
      <c r="F79" s="21"/>
      <c r="G79" s="21"/>
      <c r="H79" s="1084"/>
      <c r="I79" s="141"/>
      <c r="J79" s="140"/>
      <c r="K79" s="98"/>
      <c r="L79" s="1313"/>
      <c r="M79" s="1318"/>
      <c r="N79" s="140"/>
      <c r="O79" s="1308"/>
      <c r="P79" s="97"/>
      <c r="Q79" s="97"/>
      <c r="R79" s="97"/>
      <c r="S79" s="97"/>
      <c r="T79" s="97"/>
      <c r="U79" s="97"/>
      <c r="V79" s="97"/>
      <c r="W79" s="97"/>
      <c r="X79" s="1295"/>
      <c r="Z79"/>
      <c r="AB79"/>
      <c r="AC79"/>
      <c r="AD79"/>
      <c r="AE79"/>
      <c r="AF79"/>
      <c r="AG79"/>
      <c r="AH79"/>
      <c r="AI79"/>
      <c r="AJ79"/>
      <c r="AK79"/>
      <c r="AL79"/>
      <c r="AM79"/>
      <c r="AN79"/>
      <c r="AO79"/>
      <c r="AP79"/>
      <c r="AQ79"/>
      <c r="AR79"/>
      <c r="AS79"/>
    </row>
    <row r="80" spans="1:51" x14ac:dyDescent="0.3">
      <c r="B80" s="80">
        <v>601.79999999999995</v>
      </c>
      <c r="C80" s="21"/>
      <c r="D80" s="21"/>
      <c r="E80" s="21"/>
      <c r="F80" s="21"/>
      <c r="G80" s="21"/>
      <c r="H80" s="1084"/>
      <c r="I80" s="141"/>
      <c r="J80" s="140"/>
      <c r="K80" s="98"/>
      <c r="L80" s="1313"/>
      <c r="M80" s="1318"/>
      <c r="N80" s="140"/>
      <c r="O80" s="1308"/>
      <c r="P80" s="97"/>
      <c r="Q80" s="97"/>
      <c r="R80" s="97"/>
      <c r="S80" s="97"/>
      <c r="T80" s="97"/>
      <c r="U80" s="97"/>
      <c r="V80" s="97"/>
      <c r="W80" s="97"/>
      <c r="X80" s="1295"/>
      <c r="Z80"/>
      <c r="AB80"/>
      <c r="AC80"/>
      <c r="AD80"/>
      <c r="AE80"/>
      <c r="AF80"/>
      <c r="AG80"/>
      <c r="AH80"/>
      <c r="AI80"/>
      <c r="AJ80"/>
      <c r="AK80"/>
      <c r="AL80"/>
      <c r="AM80"/>
      <c r="AN80"/>
      <c r="AO80"/>
      <c r="AP80"/>
      <c r="AQ80"/>
      <c r="AR80"/>
      <c r="AS80"/>
    </row>
    <row r="81" spans="1:51" x14ac:dyDescent="0.3">
      <c r="B81" s="80">
        <v>601.79999999999995</v>
      </c>
      <c r="C81" s="21"/>
      <c r="D81" s="21"/>
      <c r="E81" s="21"/>
      <c r="F81" s="21"/>
      <c r="G81" s="21"/>
      <c r="H81" s="1084"/>
      <c r="I81" s="141"/>
      <c r="J81" s="140"/>
      <c r="K81" s="98"/>
      <c r="L81" s="1313"/>
      <c r="M81" s="1318"/>
      <c r="N81" s="140"/>
      <c r="O81" s="1308"/>
      <c r="P81" s="97"/>
      <c r="Q81" s="97"/>
      <c r="R81" s="97"/>
      <c r="S81" s="97"/>
      <c r="T81" s="97"/>
      <c r="U81" s="97"/>
      <c r="V81" s="97"/>
      <c r="W81" s="97"/>
      <c r="X81" s="1295"/>
      <c r="Z81"/>
      <c r="AB81"/>
      <c r="AC81"/>
      <c r="AD81"/>
      <c r="AE81"/>
      <c r="AF81"/>
      <c r="AG81"/>
      <c r="AH81"/>
      <c r="AI81"/>
      <c r="AJ81"/>
      <c r="AK81"/>
      <c r="AL81"/>
      <c r="AM81"/>
      <c r="AN81"/>
      <c r="AO81"/>
      <c r="AP81"/>
      <c r="AQ81"/>
      <c r="AR81"/>
      <c r="AS81"/>
    </row>
    <row r="82" spans="1:51" x14ac:dyDescent="0.3">
      <c r="B82" s="80">
        <v>601.79999999999995</v>
      </c>
      <c r="C82" s="21"/>
      <c r="D82" s="21"/>
      <c r="E82" s="21"/>
      <c r="F82" s="21"/>
      <c r="G82" s="21"/>
      <c r="H82" s="1084"/>
      <c r="I82" s="141"/>
      <c r="J82" s="140"/>
      <c r="K82" s="98"/>
      <c r="L82" s="1313"/>
      <c r="M82" s="1318"/>
      <c r="N82" s="140"/>
      <c r="O82" s="1308"/>
      <c r="P82" s="97"/>
      <c r="Q82" s="97"/>
      <c r="R82" s="97"/>
      <c r="S82" s="97"/>
      <c r="T82" s="97"/>
      <c r="U82" s="97"/>
      <c r="V82" s="97"/>
      <c r="W82" s="97"/>
      <c r="X82" s="1295"/>
      <c r="Z82"/>
      <c r="AB82"/>
      <c r="AC82"/>
      <c r="AD82"/>
      <c r="AE82"/>
      <c r="AF82"/>
      <c r="AG82"/>
      <c r="AH82"/>
      <c r="AI82"/>
      <c r="AJ82"/>
      <c r="AK82"/>
      <c r="AL82"/>
      <c r="AM82"/>
      <c r="AN82"/>
      <c r="AO82"/>
      <c r="AP82"/>
      <c r="AQ82"/>
      <c r="AR82"/>
      <c r="AS82"/>
    </row>
    <row r="83" spans="1:51" x14ac:dyDescent="0.3">
      <c r="B83" s="80">
        <v>601.79999999999995</v>
      </c>
      <c r="C83" s="21"/>
      <c r="D83" s="21"/>
      <c r="E83" s="21"/>
      <c r="F83" s="21"/>
      <c r="G83" s="21"/>
      <c r="H83" s="1084"/>
      <c r="I83" s="141"/>
      <c r="J83" s="140"/>
      <c r="K83" s="98"/>
      <c r="L83" s="1369" t="s">
        <v>1302</v>
      </c>
      <c r="M83" s="1318"/>
      <c r="N83" s="140"/>
      <c r="O83" s="1308"/>
      <c r="P83" s="97"/>
      <c r="Q83" s="97"/>
      <c r="R83" s="97"/>
      <c r="S83" s="97"/>
      <c r="T83" s="97"/>
      <c r="U83" s="97"/>
      <c r="V83" s="97"/>
      <c r="W83" s="97"/>
      <c r="X83" s="1295"/>
      <c r="Z83"/>
      <c r="AB83"/>
      <c r="AC83"/>
      <c r="AD83"/>
      <c r="AE83"/>
      <c r="AF83"/>
      <c r="AG83"/>
      <c r="AH83"/>
      <c r="AI83"/>
      <c r="AJ83"/>
      <c r="AK83"/>
      <c r="AL83"/>
      <c r="AM83"/>
      <c r="AN83"/>
      <c r="AO83"/>
      <c r="AP83"/>
      <c r="AQ83"/>
      <c r="AR83"/>
      <c r="AS83"/>
    </row>
    <row r="84" spans="1:51" x14ac:dyDescent="0.3">
      <c r="B84" s="80">
        <v>601.79999999999995</v>
      </c>
      <c r="C84" s="21"/>
      <c r="D84" s="21"/>
      <c r="E84" s="21"/>
      <c r="F84" s="21"/>
      <c r="G84" s="21"/>
      <c r="H84" s="1084"/>
      <c r="I84" s="141"/>
      <c r="J84" s="140"/>
      <c r="K84" s="98"/>
      <c r="L84" s="1369"/>
      <c r="M84" s="1318"/>
      <c r="N84" s="140"/>
      <c r="O84" s="1308"/>
      <c r="P84" s="97"/>
      <c r="Q84" s="97"/>
      <c r="R84" s="97"/>
      <c r="S84" s="97"/>
      <c r="T84" s="97"/>
      <c r="U84" s="97"/>
      <c r="V84" s="97"/>
      <c r="W84" s="97"/>
      <c r="X84" s="1295"/>
      <c r="Z84"/>
      <c r="AB84"/>
      <c r="AC84"/>
      <c r="AD84"/>
      <c r="AE84"/>
      <c r="AF84"/>
      <c r="AG84"/>
      <c r="AH84"/>
      <c r="AI84"/>
      <c r="AJ84"/>
      <c r="AK84"/>
      <c r="AL84"/>
      <c r="AM84"/>
      <c r="AN84"/>
      <c r="AO84"/>
      <c r="AP84"/>
      <c r="AQ84"/>
      <c r="AR84"/>
      <c r="AS84"/>
    </row>
    <row r="85" spans="1:51" ht="15" thickBot="1" x14ac:dyDescent="0.35">
      <c r="B85" s="80">
        <v>601.79999999999995</v>
      </c>
      <c r="C85" s="21"/>
      <c r="D85" s="21"/>
      <c r="E85" s="21"/>
      <c r="F85" s="21"/>
      <c r="G85" s="21"/>
      <c r="H85" s="1084"/>
      <c r="I85" s="141"/>
      <c r="J85" s="140"/>
      <c r="K85" s="98"/>
      <c r="L85" s="1357"/>
      <c r="M85" s="1318"/>
      <c r="N85" s="140"/>
      <c r="O85" s="1308"/>
      <c r="P85" s="97"/>
      <c r="Q85" s="97"/>
      <c r="R85" s="97"/>
      <c r="S85" s="97"/>
      <c r="T85" s="97"/>
      <c r="U85" s="97"/>
      <c r="V85" s="97"/>
      <c r="W85" s="117"/>
      <c r="X85" s="1337"/>
      <c r="Z85"/>
      <c r="AB85"/>
      <c r="AC85"/>
      <c r="AD85"/>
      <c r="AE85"/>
      <c r="AF85"/>
      <c r="AG85"/>
      <c r="AH85"/>
      <c r="AI85"/>
      <c r="AJ85"/>
      <c r="AK85"/>
      <c r="AL85"/>
      <c r="AM85"/>
      <c r="AN85"/>
      <c r="AO85"/>
      <c r="AP85"/>
      <c r="AQ85"/>
      <c r="AR85"/>
      <c r="AS85"/>
    </row>
    <row r="86" spans="1:51" ht="15" customHeight="1" thickTop="1" x14ac:dyDescent="0.3">
      <c r="B86" s="80">
        <v>601.9</v>
      </c>
      <c r="C86" s="21"/>
      <c r="D86" s="21"/>
      <c r="E86" s="21"/>
      <c r="F86" s="21"/>
      <c r="G86" s="21"/>
      <c r="H86" s="1084"/>
      <c r="I86" s="200">
        <v>601.9</v>
      </c>
      <c r="J86" s="201"/>
      <c r="K86" s="202"/>
      <c r="L86" s="1331" t="s">
        <v>585</v>
      </c>
      <c r="M86" s="1343">
        <v>4</v>
      </c>
      <c r="N86" s="201"/>
      <c r="O86" s="1336">
        <f>M86*S86*W86</f>
        <v>0</v>
      </c>
      <c r="P86" s="440" t="b">
        <v>1</v>
      </c>
      <c r="Q86" s="440" t="b">
        <v>0</v>
      </c>
      <c r="R86" s="110" t="b">
        <v>0</v>
      </c>
      <c r="S86" s="110" t="b">
        <v>1</v>
      </c>
      <c r="T86" s="110" t="b">
        <v>0</v>
      </c>
      <c r="U86" s="110"/>
      <c r="V86" s="110"/>
      <c r="W86" s="127"/>
      <c r="X86" s="1327"/>
      <c r="Z86"/>
      <c r="AB86"/>
      <c r="AC86" s="150" t="b">
        <f>OR(AD86:AE86)</f>
        <v>0</v>
      </c>
      <c r="AD86" s="150" t="b">
        <v>0</v>
      </c>
      <c r="AE86" s="150" t="b">
        <f>AND(W86=TRUE,LEN(X86)=0)</f>
        <v>0</v>
      </c>
      <c r="AF86"/>
      <c r="AG86"/>
      <c r="AH86"/>
      <c r="AI86"/>
      <c r="AJ86"/>
      <c r="AK86"/>
      <c r="AL86" s="311" t="str">
        <f>SUBSTITUTE(SUBSTITUTE(SUBSTITUTE("dpa"&amp;$B86&amp;$C86&amp;$D86&amp;$E86&amp;$F86,".","_"),"(","_"),")","")</f>
        <v>dpa601_9</v>
      </c>
      <c r="AM86" s="311">
        <f>M86</f>
        <v>4</v>
      </c>
      <c r="AN86" s="311" t="str">
        <f>SUBSTITUTE(SUBSTITUTE(SUBSTITUTE("dpc"&amp;$B86&amp;$C86&amp;$D86&amp;$E86&amp;$F86,".","_"),"(","_"),")","")</f>
        <v>dpc601_9</v>
      </c>
      <c r="AO86" s="311">
        <f>O86</f>
        <v>0</v>
      </c>
      <c r="AP86" s="1059" t="str">
        <f t="shared" ref="AP86" si="27">SUBSTITUTE(SUBSTITUTE(SUBSTITUTE("dch"&amp;$B86&amp;$C86&amp;$D86&amp;$E86&amp;$F86,".","_"),"(","_"),")","")</f>
        <v>dch601_9</v>
      </c>
      <c r="AQ86" s="311">
        <f>W86</f>
        <v>0</v>
      </c>
      <c r="AR86" s="1059" t="str">
        <f>SUBSTITUTE(SUBSTITUTE(SUBSTITUTE("dnt"&amp;$B86&amp;$C86&amp;$D86&amp;$E86&amp;$F86,".","_"),"(","_"),")","")</f>
        <v>dnt601_9</v>
      </c>
      <c r="AS86" s="311">
        <f>X86</f>
        <v>0</v>
      </c>
    </row>
    <row r="87" spans="1:51" x14ac:dyDescent="0.3">
      <c r="B87" s="80">
        <v>601.9</v>
      </c>
      <c r="C87" s="21"/>
      <c r="D87" s="21"/>
      <c r="E87" s="21"/>
      <c r="F87" s="21"/>
      <c r="G87" s="21"/>
      <c r="H87" s="1084"/>
      <c r="I87" s="141"/>
      <c r="J87" s="140"/>
      <c r="K87" s="98"/>
      <c r="L87" s="1313"/>
      <c r="M87" s="1318"/>
      <c r="N87" s="140"/>
      <c r="O87" s="1308"/>
      <c r="P87" s="97"/>
      <c r="Q87" s="97"/>
      <c r="R87" s="97"/>
      <c r="S87" s="97"/>
      <c r="T87" s="97"/>
      <c r="U87" s="97"/>
      <c r="V87" s="97"/>
      <c r="W87" s="97"/>
      <c r="X87" s="1295"/>
      <c r="Z87"/>
      <c r="AB87"/>
      <c r="AC87"/>
      <c r="AD87"/>
      <c r="AE87"/>
      <c r="AF87"/>
      <c r="AG87"/>
      <c r="AH87"/>
      <c r="AI87"/>
      <c r="AJ87"/>
      <c r="AK87"/>
      <c r="AL87"/>
      <c r="AM87"/>
      <c r="AN87"/>
      <c r="AO87"/>
      <c r="AP87"/>
      <c r="AQ87"/>
      <c r="AR87"/>
      <c r="AS87"/>
      <c r="AX87" s="150"/>
      <c r="AY87" s="150"/>
    </row>
    <row r="88" spans="1:51" s="150" customFormat="1" x14ac:dyDescent="0.3">
      <c r="A88" s="18"/>
      <c r="B88" s="80">
        <v>601.9</v>
      </c>
      <c r="C88" s="21"/>
      <c r="D88" s="21"/>
      <c r="E88" s="21"/>
      <c r="F88" s="21"/>
      <c r="G88" s="21"/>
      <c r="H88" s="1084"/>
      <c r="I88" s="141"/>
      <c r="J88" s="140"/>
      <c r="K88" s="98"/>
      <c r="L88" s="1313"/>
      <c r="M88" s="1318"/>
      <c r="N88" s="140"/>
      <c r="O88" s="1308"/>
      <c r="P88" s="97"/>
      <c r="Q88" s="97"/>
      <c r="R88" s="97"/>
      <c r="S88" s="97"/>
      <c r="T88" s="97"/>
      <c r="U88" s="97"/>
      <c r="V88" s="97"/>
      <c r="W88" s="97"/>
      <c r="X88" s="1295"/>
      <c r="Y88" s="1107"/>
      <c r="AA88" s="1110"/>
    </row>
    <row r="89" spans="1:51" s="150" customFormat="1" x14ac:dyDescent="0.3">
      <c r="A89" s="18"/>
      <c r="B89" s="80">
        <v>601.9</v>
      </c>
      <c r="C89" s="21"/>
      <c r="D89" s="21"/>
      <c r="E89" s="21"/>
      <c r="F89" s="21"/>
      <c r="G89" s="21"/>
      <c r="H89" s="1084"/>
      <c r="I89" s="141"/>
      <c r="J89" s="140"/>
      <c r="K89" s="98"/>
      <c r="L89" s="1369" t="s">
        <v>1302</v>
      </c>
      <c r="M89" s="1318"/>
      <c r="N89" s="140"/>
      <c r="O89" s="1308"/>
      <c r="P89" s="97"/>
      <c r="Q89" s="97"/>
      <c r="R89" s="97"/>
      <c r="S89" s="97"/>
      <c r="T89" s="97"/>
      <c r="U89" s="97"/>
      <c r="V89" s="97"/>
      <c r="W89" s="97"/>
      <c r="X89" s="1295"/>
      <c r="Y89" s="1107"/>
      <c r="AA89" s="1110"/>
    </row>
    <row r="90" spans="1:51" s="150" customFormat="1" x14ac:dyDescent="0.3">
      <c r="A90" s="18"/>
      <c r="B90" s="80">
        <v>601.9</v>
      </c>
      <c r="C90" s="21"/>
      <c r="D90" s="21"/>
      <c r="E90" s="21"/>
      <c r="F90" s="21"/>
      <c r="G90" s="21"/>
      <c r="H90" s="1084"/>
      <c r="I90" s="141"/>
      <c r="J90" s="140"/>
      <c r="K90" s="98"/>
      <c r="L90" s="1369"/>
      <c r="M90" s="1318"/>
      <c r="N90" s="140"/>
      <c r="O90" s="1308"/>
      <c r="P90" s="97"/>
      <c r="Q90" s="97"/>
      <c r="R90" s="97"/>
      <c r="S90" s="97"/>
      <c r="T90" s="97"/>
      <c r="U90" s="97"/>
      <c r="V90" s="97"/>
      <c r="W90" s="97"/>
      <c r="X90" s="1295"/>
      <c r="Y90" s="1107"/>
      <c r="AA90" s="1110"/>
      <c r="AX90" s="65"/>
      <c r="AY90" s="65"/>
    </row>
    <row r="91" spans="1:51" x14ac:dyDescent="0.3">
      <c r="B91" s="80">
        <v>601.9</v>
      </c>
      <c r="C91" s="21"/>
      <c r="D91" s="21"/>
      <c r="E91" s="21"/>
      <c r="F91" s="21"/>
      <c r="G91" s="21"/>
      <c r="H91" s="1084"/>
      <c r="I91" s="141"/>
      <c r="J91" s="140"/>
      <c r="K91" s="98"/>
      <c r="L91" s="1369"/>
      <c r="M91" s="1318"/>
      <c r="N91" s="140"/>
      <c r="O91" s="1308"/>
      <c r="P91" s="97"/>
      <c r="Q91" s="97"/>
      <c r="R91" s="97"/>
      <c r="S91" s="97"/>
      <c r="T91" s="97"/>
      <c r="U91" s="97"/>
      <c r="V91" s="97"/>
      <c r="W91" s="97"/>
      <c r="X91" s="1295"/>
      <c r="Z91"/>
      <c r="AB91"/>
      <c r="AC91"/>
      <c r="AD91"/>
      <c r="AE91"/>
      <c r="AF91"/>
      <c r="AG91"/>
      <c r="AH91"/>
      <c r="AI91"/>
      <c r="AJ91"/>
      <c r="AK91"/>
      <c r="AL91"/>
      <c r="AM91"/>
      <c r="AN91"/>
      <c r="AO91"/>
      <c r="AP91"/>
      <c r="AQ91"/>
      <c r="AR91"/>
      <c r="AS91"/>
    </row>
    <row r="92" spans="1:51" ht="18" x14ac:dyDescent="0.35">
      <c r="B92" s="80">
        <v>602</v>
      </c>
      <c r="C92" s="21"/>
      <c r="D92" s="21"/>
      <c r="E92" s="21"/>
      <c r="F92" s="21"/>
      <c r="G92" s="21"/>
      <c r="H92" s="1084"/>
      <c r="I92" s="72" t="s">
        <v>586</v>
      </c>
      <c r="J92" s="72"/>
      <c r="K92" s="72"/>
      <c r="L92" s="259"/>
      <c r="M92" s="484"/>
      <c r="N92" s="604"/>
      <c r="O92" s="594"/>
      <c r="P92" s="23"/>
      <c r="Q92" s="23"/>
      <c r="R92" s="23"/>
      <c r="S92" s="23"/>
      <c r="T92" s="23"/>
      <c r="U92" s="23"/>
      <c r="V92" s="23"/>
      <c r="W92" s="23"/>
      <c r="X92" s="23"/>
      <c r="Z92"/>
      <c r="AB92"/>
      <c r="AC92"/>
      <c r="AD92"/>
      <c r="AE92"/>
      <c r="AF92"/>
      <c r="AG92"/>
      <c r="AH92"/>
      <c r="AI92"/>
      <c r="AJ92"/>
      <c r="AK92"/>
      <c r="AL92"/>
      <c r="AM92"/>
      <c r="AN92"/>
      <c r="AO92"/>
      <c r="AP92"/>
      <c r="AQ92"/>
      <c r="AR92"/>
      <c r="AS92"/>
    </row>
    <row r="93" spans="1:51" x14ac:dyDescent="0.3">
      <c r="B93" s="80" t="s">
        <v>3346</v>
      </c>
      <c r="C93" s="21"/>
      <c r="D93" s="21"/>
      <c r="E93" s="21"/>
      <c r="F93" s="21"/>
      <c r="G93" s="21"/>
      <c r="H93" s="1084"/>
      <c r="I93" s="81" t="s">
        <v>3346</v>
      </c>
      <c r="J93" s="4"/>
      <c r="K93" s="86"/>
      <c r="L93" s="1292" t="s">
        <v>587</v>
      </c>
      <c r="M93" s="522"/>
      <c r="N93" s="4"/>
      <c r="O93" s="154"/>
      <c r="P93" s="440"/>
      <c r="Q93" s="440"/>
      <c r="R93"/>
      <c r="S93"/>
      <c r="T93"/>
      <c r="U93"/>
      <c r="V93"/>
      <c r="W93"/>
      <c r="X93"/>
      <c r="Z93"/>
      <c r="AB93"/>
      <c r="AC93"/>
      <c r="AD93"/>
      <c r="AE93"/>
      <c r="AF93"/>
      <c r="AG93"/>
      <c r="AH93"/>
      <c r="AI93"/>
      <c r="AJ93"/>
      <c r="AK93"/>
      <c r="AL93"/>
      <c r="AM93"/>
      <c r="AN93"/>
      <c r="AO93"/>
      <c r="AP93"/>
      <c r="AQ93"/>
      <c r="AR93"/>
      <c r="AS93"/>
    </row>
    <row r="94" spans="1:51" ht="15" thickBot="1" x14ac:dyDescent="0.35">
      <c r="B94" s="80" t="s">
        <v>3346</v>
      </c>
      <c r="C94" s="21"/>
      <c r="D94" s="21"/>
      <c r="E94" s="21"/>
      <c r="F94" s="21"/>
      <c r="G94" s="21"/>
      <c r="H94" s="1084"/>
      <c r="I94" s="66"/>
      <c r="J94" s="4"/>
      <c r="K94" s="86"/>
      <c r="L94" s="1292"/>
      <c r="M94" s="522"/>
      <c r="N94" s="4"/>
      <c r="O94" s="154"/>
      <c r="P94" s="440"/>
      <c r="Q94" s="440"/>
      <c r="R94"/>
      <c r="S94"/>
      <c r="T94"/>
      <c r="U94"/>
      <c r="V94"/>
      <c r="W94"/>
      <c r="X94"/>
      <c r="Z94"/>
      <c r="AB94"/>
      <c r="AC94"/>
      <c r="AD94"/>
      <c r="AE94"/>
      <c r="AF94"/>
      <c r="AG94"/>
      <c r="AH94"/>
      <c r="AI94"/>
      <c r="AJ94"/>
      <c r="AK94"/>
      <c r="AL94"/>
      <c r="AM94"/>
      <c r="AN94"/>
      <c r="AO94"/>
      <c r="AP94"/>
      <c r="AQ94"/>
      <c r="AR94"/>
      <c r="AS94"/>
    </row>
    <row r="95" spans="1:51" ht="15.6" thickTop="1" thickBot="1" x14ac:dyDescent="0.35">
      <c r="B95" s="80">
        <v>602.1</v>
      </c>
      <c r="C95" s="21"/>
      <c r="D95" s="21"/>
      <c r="E95" s="21"/>
      <c r="F95" s="21"/>
      <c r="G95" s="21"/>
      <c r="H95" s="1084"/>
      <c r="I95" s="200">
        <v>602.1</v>
      </c>
      <c r="J95" s="201"/>
      <c r="K95" s="202"/>
      <c r="L95" s="367" t="s">
        <v>588</v>
      </c>
      <c r="M95" s="517"/>
      <c r="N95" s="201"/>
      <c r="O95" s="596"/>
      <c r="P95" s="110"/>
      <c r="Q95" s="110"/>
      <c r="R95" s="110"/>
      <c r="S95" s="110"/>
      <c r="T95" s="110"/>
      <c r="U95" s="110"/>
      <c r="V95" s="110"/>
      <c r="W95" s="110"/>
      <c r="X95" s="110"/>
      <c r="Z95"/>
      <c r="AB95"/>
      <c r="AC95"/>
      <c r="AD95"/>
      <c r="AE95"/>
      <c r="AF95"/>
      <c r="AG95"/>
      <c r="AH95"/>
      <c r="AI95"/>
      <c r="AJ95"/>
      <c r="AK95"/>
      <c r="AL95"/>
      <c r="AM95"/>
      <c r="AN95"/>
      <c r="AO95"/>
      <c r="AP95"/>
      <c r="AQ95"/>
      <c r="AR95"/>
      <c r="AS95"/>
    </row>
    <row r="96" spans="1:51" ht="15" thickTop="1" x14ac:dyDescent="0.3">
      <c r="B96" s="80" t="s">
        <v>589</v>
      </c>
      <c r="C96" s="21"/>
      <c r="D96" s="21"/>
      <c r="E96" s="21"/>
      <c r="F96" s="21"/>
      <c r="G96" s="21"/>
      <c r="H96" s="1084"/>
      <c r="I96" s="200" t="s">
        <v>589</v>
      </c>
      <c r="J96" s="201"/>
      <c r="K96" s="202"/>
      <c r="L96" s="367" t="s">
        <v>590</v>
      </c>
      <c r="M96" s="517"/>
      <c r="N96" s="201"/>
      <c r="O96" s="596"/>
      <c r="P96" s="110"/>
      <c r="Q96" s="110"/>
      <c r="R96" s="110"/>
      <c r="S96" s="110"/>
      <c r="T96" s="110"/>
      <c r="U96" s="110"/>
      <c r="V96" s="110"/>
      <c r="W96" s="110"/>
      <c r="X96" s="110"/>
      <c r="Z96"/>
      <c r="AB96"/>
      <c r="AC96"/>
      <c r="AD96"/>
      <c r="AE96"/>
      <c r="AF96"/>
      <c r="AG96"/>
      <c r="AH96"/>
      <c r="AI96"/>
      <c r="AJ96"/>
      <c r="AK96"/>
      <c r="AL96"/>
      <c r="AM96"/>
      <c r="AN96"/>
      <c r="AO96"/>
      <c r="AP96"/>
      <c r="AQ96"/>
      <c r="AR96"/>
      <c r="AS96"/>
    </row>
    <row r="97" spans="2:51" x14ac:dyDescent="0.3">
      <c r="B97" s="80" t="s">
        <v>591</v>
      </c>
      <c r="C97" s="80"/>
      <c r="D97" s="21"/>
      <c r="E97" s="21"/>
      <c r="F97" s="21"/>
      <c r="G97" s="21"/>
      <c r="H97" s="1084"/>
      <c r="I97" s="141" t="s">
        <v>591</v>
      </c>
      <c r="J97" s="140"/>
      <c r="K97" s="98"/>
      <c r="L97" s="1313" t="s">
        <v>592</v>
      </c>
      <c r="M97" s="1351" t="str">
        <f>IF(R97,"Mandatory","N/A")</f>
        <v>N/A</v>
      </c>
      <c r="N97" s="4"/>
      <c r="O97" s="154"/>
      <c r="P97" s="440" t="b">
        <v>1</v>
      </c>
      <c r="Q97" s="440" t="b">
        <v>0</v>
      </c>
      <c r="R97" s="137" t="b">
        <f>S97</f>
        <v>0</v>
      </c>
      <c r="S97" s="137" t="b">
        <f>IF(OR(AZ30=2,AZ30=3),FALSE,TRUE)</f>
        <v>0</v>
      </c>
      <c r="T97" s="97" t="b">
        <f>AND(NOT(S97),W97=TRUE)</f>
        <v>0</v>
      </c>
      <c r="U97"/>
      <c r="V97"/>
      <c r="W97" s="25"/>
      <c r="X97" s="1303"/>
      <c r="Z97"/>
      <c r="AB97"/>
      <c r="AC97" s="153" t="b">
        <f>OR(AD97:AE97)</f>
        <v>0</v>
      </c>
      <c r="AD97" s="153" t="b">
        <f>T97</f>
        <v>0</v>
      </c>
      <c r="AE97" s="153" t="b">
        <f>AND(R97,NOT(W97))</f>
        <v>0</v>
      </c>
      <c r="AF97"/>
      <c r="AG97"/>
      <c r="AH97"/>
      <c r="AI97"/>
      <c r="AJ97"/>
      <c r="AK97"/>
      <c r="AL97" s="311" t="str">
        <f>SUBSTITUTE(SUBSTITUTE(SUBSTITUTE("dpa"&amp;$B97&amp;$C97&amp;$D97&amp;$E97&amp;$F97,".","_"),"(","_"),")","")</f>
        <v>dpa602_1_1_1</v>
      </c>
      <c r="AM97" s="311" t="str">
        <f>M97</f>
        <v>N/A</v>
      </c>
      <c r="AN97"/>
      <c r="AO97"/>
      <c r="AP97" s="1059" t="str">
        <f t="shared" ref="AP97" si="28">SUBSTITUTE(SUBSTITUTE(SUBSTITUTE("dch"&amp;$B97&amp;$C97&amp;$D97&amp;$E97&amp;$F97,".","_"),"(","_"),")","")</f>
        <v>dch602_1_1_1</v>
      </c>
      <c r="AQ97" s="311">
        <f>W97</f>
        <v>0</v>
      </c>
      <c r="AR97" s="1059" t="str">
        <f>SUBSTITUTE(SUBSTITUTE(SUBSTITUTE("dnt"&amp;$B97&amp;$C97&amp;$D97&amp;$E97&amp;$F97,".","_"),"(","_"),")","")</f>
        <v>dnt602_1_1_1</v>
      </c>
      <c r="AS97" s="311">
        <f>X97</f>
        <v>0</v>
      </c>
    </row>
    <row r="98" spans="2:51" x14ac:dyDescent="0.3">
      <c r="B98" s="80" t="s">
        <v>591</v>
      </c>
      <c r="C98" s="80"/>
      <c r="D98" s="21"/>
      <c r="E98" s="21"/>
      <c r="F98" s="21"/>
      <c r="G98" s="21"/>
      <c r="H98" s="1084"/>
      <c r="I98" s="141"/>
      <c r="J98" s="140"/>
      <c r="K98" s="98"/>
      <c r="L98" s="1313"/>
      <c r="M98" s="1351"/>
      <c r="N98" s="4"/>
      <c r="O98" s="154"/>
      <c r="P98" s="440"/>
      <c r="Q98" s="440"/>
      <c r="R98"/>
      <c r="S98"/>
      <c r="T98"/>
      <c r="U98"/>
      <c r="V98"/>
      <c r="W98"/>
      <c r="X98" s="1303"/>
      <c r="Z98"/>
      <c r="AB98"/>
      <c r="AC98"/>
      <c r="AD98"/>
      <c r="AE98"/>
      <c r="AF98"/>
      <c r="AG98"/>
      <c r="AH98"/>
      <c r="AI98"/>
      <c r="AJ98"/>
      <c r="AK98"/>
      <c r="AL98"/>
      <c r="AM98"/>
      <c r="AN98"/>
      <c r="AO98"/>
      <c r="AP98"/>
      <c r="AQ98"/>
      <c r="AR98"/>
      <c r="AS98"/>
    </row>
    <row r="99" spans="2:51" x14ac:dyDescent="0.3">
      <c r="B99" s="80" t="s">
        <v>591</v>
      </c>
      <c r="C99" s="80"/>
      <c r="D99" s="21"/>
      <c r="E99" s="21"/>
      <c r="F99" s="21"/>
      <c r="G99" s="21"/>
      <c r="H99" s="1084"/>
      <c r="I99" s="244"/>
      <c r="J99" s="238"/>
      <c r="K99" s="193"/>
      <c r="L99" s="1350"/>
      <c r="M99" s="1352"/>
      <c r="N99" s="4"/>
      <c r="O99" s="154"/>
      <c r="P99" s="440"/>
      <c r="Q99" s="440"/>
      <c r="R99"/>
      <c r="S99"/>
      <c r="T99"/>
      <c r="U99"/>
      <c r="V99"/>
      <c r="W99"/>
      <c r="X99" s="1303"/>
      <c r="Z99"/>
      <c r="AB99"/>
      <c r="AC99"/>
      <c r="AD99"/>
      <c r="AE99"/>
      <c r="AF99"/>
      <c r="AG99"/>
      <c r="AH99"/>
      <c r="AI99"/>
      <c r="AJ99"/>
      <c r="AK99"/>
      <c r="AL99"/>
      <c r="AM99"/>
      <c r="AN99"/>
      <c r="AO99"/>
      <c r="AP99"/>
      <c r="AQ99"/>
      <c r="AR99"/>
      <c r="AS99"/>
    </row>
    <row r="100" spans="2:51" x14ac:dyDescent="0.3">
      <c r="B100" s="80" t="s">
        <v>593</v>
      </c>
      <c r="C100" s="80"/>
      <c r="D100" s="21"/>
      <c r="E100" s="21"/>
      <c r="F100" s="21"/>
      <c r="G100" s="21"/>
      <c r="H100" s="1084"/>
      <c r="I100" s="66" t="s">
        <v>593</v>
      </c>
      <c r="J100" s="4"/>
      <c r="K100" s="86"/>
      <c r="L100" s="1292" t="s">
        <v>594</v>
      </c>
      <c r="M100" s="1335">
        <v>3</v>
      </c>
      <c r="N100" s="4"/>
      <c r="O100" s="1310">
        <f>M100*S100*W100</f>
        <v>3</v>
      </c>
      <c r="P100" s="440" t="b">
        <v>1</v>
      </c>
      <c r="Q100" s="440" t="b">
        <v>0</v>
      </c>
      <c r="R100" s="137" t="b">
        <v>0</v>
      </c>
      <c r="S100" s="137" t="b">
        <v>1</v>
      </c>
      <c r="T100" s="137" t="b">
        <v>0</v>
      </c>
      <c r="U100"/>
      <c r="V100"/>
      <c r="W100" s="25" t="b">
        <v>1</v>
      </c>
      <c r="X100" s="1303" t="s">
        <v>4788</v>
      </c>
      <c r="Z100"/>
      <c r="AB100"/>
      <c r="AC100"/>
      <c r="AD100"/>
      <c r="AE100"/>
      <c r="AF100"/>
      <c r="AG100"/>
      <c r="AH100"/>
      <c r="AI100"/>
      <c r="AJ100"/>
      <c r="AK100"/>
      <c r="AL100" s="311" t="str">
        <f>SUBSTITUTE(SUBSTITUTE(SUBSTITUTE("dpa"&amp;$B100&amp;$C100&amp;$D100&amp;$E100&amp;$F100,".","_"),"(","_"),")","")</f>
        <v xml:space="preserve">dpa602_1_1_2 </v>
      </c>
      <c r="AM100" s="311">
        <f>M100</f>
        <v>3</v>
      </c>
      <c r="AN100" s="311" t="str">
        <f>SUBSTITUTE(SUBSTITUTE(SUBSTITUTE("dpc"&amp;$B100&amp;$C100&amp;$D100&amp;$E100&amp;$F100,".","_"),"(","_"),")","")</f>
        <v xml:space="preserve">dpc602_1_1_2 </v>
      </c>
      <c r="AO100" s="311">
        <f>O100</f>
        <v>3</v>
      </c>
      <c r="AP100" s="1059" t="str">
        <f t="shared" ref="AP100" si="29">SUBSTITUTE(SUBSTITUTE(SUBSTITUTE("dch"&amp;$B100&amp;$C100&amp;$D100&amp;$E100&amp;$F100,".","_"),"(","_"),")","")</f>
        <v xml:space="preserve">dch602_1_1_2 </v>
      </c>
      <c r="AQ100" s="311" t="b">
        <f>W100</f>
        <v>1</v>
      </c>
      <c r="AR100" s="1059" t="str">
        <f>SUBSTITUTE(SUBSTITUTE(SUBSTITUTE("dnt"&amp;$B100&amp;$C100&amp;$D100&amp;$E100&amp;$F100,".","_"),"(","_"),")","")</f>
        <v xml:space="preserve">dnt602_1_1_2 </v>
      </c>
      <c r="AS100" s="311" t="str">
        <f>X100</f>
        <v>ZERH Requirement - ENERGY STAR Certified Homes National Water Management Requirements, Section 1.3 Capillary Break</v>
      </c>
    </row>
    <row r="101" spans="2:51" ht="15" thickBot="1" x14ac:dyDescent="0.35">
      <c r="B101" s="80" t="s">
        <v>593</v>
      </c>
      <c r="C101" s="80"/>
      <c r="D101" s="21"/>
      <c r="E101" s="21"/>
      <c r="F101" s="21"/>
      <c r="G101" s="21"/>
      <c r="H101" s="1084"/>
      <c r="I101" s="66"/>
      <c r="J101" s="4"/>
      <c r="K101" s="86"/>
      <c r="L101" s="1292"/>
      <c r="M101" s="1335"/>
      <c r="N101" s="4"/>
      <c r="O101" s="1310"/>
      <c r="P101" s="440"/>
      <c r="Q101" s="440"/>
      <c r="R101"/>
      <c r="S101"/>
      <c r="T101"/>
      <c r="U101"/>
      <c r="V101"/>
      <c r="W101"/>
      <c r="X101" s="1337"/>
      <c r="Z101"/>
      <c r="AB101"/>
      <c r="AC101"/>
      <c r="AD101"/>
      <c r="AE101"/>
      <c r="AF101"/>
      <c r="AG101"/>
      <c r="AH101"/>
      <c r="AI101"/>
      <c r="AJ101"/>
      <c r="AK101"/>
      <c r="AL101"/>
      <c r="AM101"/>
      <c r="AN101"/>
      <c r="AO101"/>
      <c r="AP101"/>
      <c r="AQ101"/>
      <c r="AR101"/>
      <c r="AS101"/>
    </row>
    <row r="102" spans="2:51" ht="15" thickTop="1" x14ac:dyDescent="0.3">
      <c r="B102" s="1062" t="s">
        <v>595</v>
      </c>
      <c r="C102" s="21"/>
      <c r="D102" s="21"/>
      <c r="E102" s="21"/>
      <c r="F102" s="21"/>
      <c r="G102" s="21"/>
      <c r="H102" s="1084"/>
      <c r="I102" s="200" t="s">
        <v>3347</v>
      </c>
      <c r="J102" s="201"/>
      <c r="K102" s="202"/>
      <c r="L102" s="1331" t="s">
        <v>596</v>
      </c>
      <c r="M102" s="1343">
        <v>4</v>
      </c>
      <c r="N102" s="201"/>
      <c r="O102" s="1336">
        <f>M102*OR(S104*W104,S105*W105)</f>
        <v>0</v>
      </c>
      <c r="P102" s="110"/>
      <c r="Q102" s="110"/>
      <c r="R102" s="110"/>
      <c r="S102" s="110"/>
      <c r="T102" s="110"/>
      <c r="U102" s="110"/>
      <c r="V102" s="110"/>
      <c r="W102" s="110"/>
      <c r="X102" s="1327"/>
      <c r="Z102"/>
      <c r="AB102"/>
      <c r="AC102"/>
      <c r="AD102"/>
      <c r="AE102"/>
      <c r="AF102"/>
      <c r="AG102"/>
      <c r="AH102"/>
      <c r="AI102"/>
      <c r="AJ102"/>
      <c r="AK102"/>
      <c r="AL102" s="311" t="str">
        <f>SUBSTITUTE(SUBSTITUTE(SUBSTITUTE("dpa"&amp;$B102&amp;$C102&amp;$D102&amp;$E102&amp;$F102,".","_"),"(","_"),")","")</f>
        <v xml:space="preserve">dpa602_1_2 </v>
      </c>
      <c r="AM102" s="311">
        <f>M102</f>
        <v>4</v>
      </c>
      <c r="AN102" s="311" t="str">
        <f>SUBSTITUTE(SUBSTITUTE(SUBSTITUTE("dpc"&amp;$B102&amp;$C102&amp;$D102&amp;$E102&amp;$F102,".","_"),"(","_"),")","")</f>
        <v xml:space="preserve">dpc602_1_2 </v>
      </c>
      <c r="AO102" s="311">
        <f>O102</f>
        <v>0</v>
      </c>
      <c r="AP102"/>
      <c r="AQ102"/>
      <c r="AR102" s="1059" t="str">
        <f>SUBSTITUTE(SUBSTITUTE(SUBSTITUTE("dnt"&amp;$B102&amp;$C102&amp;$D102&amp;$E102&amp;$F102,".","_"),"(","_"),")","")</f>
        <v xml:space="preserve">dnt602_1_2 </v>
      </c>
      <c r="AS102" s="311">
        <f>X102</f>
        <v>0</v>
      </c>
    </row>
    <row r="103" spans="2:51" x14ac:dyDescent="0.3">
      <c r="B103" s="1062" t="s">
        <v>595</v>
      </c>
      <c r="C103" s="21"/>
      <c r="D103" s="21"/>
      <c r="E103" s="21"/>
      <c r="F103" s="21"/>
      <c r="G103" s="21"/>
      <c r="H103" s="1084"/>
      <c r="I103" s="141"/>
      <c r="J103" s="140"/>
      <c r="K103" s="98"/>
      <c r="L103" s="1313"/>
      <c r="M103" s="1318"/>
      <c r="N103" s="140"/>
      <c r="O103" s="1308"/>
      <c r="P103" s="97"/>
      <c r="Q103" s="97"/>
      <c r="R103" s="97"/>
      <c r="S103" s="97"/>
      <c r="T103" s="97"/>
      <c r="U103" s="97"/>
      <c r="V103" s="97"/>
      <c r="W103" s="97"/>
      <c r="X103" s="1295"/>
      <c r="Z103"/>
      <c r="AB103"/>
      <c r="AC103"/>
      <c r="AD103"/>
      <c r="AE103"/>
      <c r="AF103"/>
      <c r="AG103"/>
      <c r="AH103"/>
      <c r="AI103"/>
      <c r="AJ103"/>
      <c r="AK103"/>
      <c r="AL103"/>
      <c r="AM103"/>
      <c r="AN103"/>
      <c r="AO103"/>
      <c r="AP103"/>
      <c r="AQ103"/>
      <c r="AR103"/>
      <c r="AS103"/>
    </row>
    <row r="104" spans="2:51" x14ac:dyDescent="0.3">
      <c r="B104" s="1062" t="s">
        <v>595</v>
      </c>
      <c r="C104" s="21"/>
      <c r="D104" s="21"/>
      <c r="E104" s="21" t="s">
        <v>271</v>
      </c>
      <c r="F104" s="21"/>
      <c r="G104" s="21"/>
      <c r="H104" s="1084"/>
      <c r="I104" s="141"/>
      <c r="J104" s="231" t="s">
        <v>271</v>
      </c>
      <c r="K104" s="193"/>
      <c r="L104" s="345" t="s">
        <v>597</v>
      </c>
      <c r="M104" s="1318"/>
      <c r="N104" s="140"/>
      <c r="O104" s="1308"/>
      <c r="P104" s="440" t="b">
        <v>1</v>
      </c>
      <c r="Q104" s="440" t="b">
        <v>0</v>
      </c>
      <c r="R104" s="97" t="b">
        <v>0</v>
      </c>
      <c r="S104" s="97" t="b">
        <f>NOT(AZ30=4)</f>
        <v>1</v>
      </c>
      <c r="T104" s="97" t="b">
        <f>AND(NOT(S104),W104=TRUE)</f>
        <v>0</v>
      </c>
      <c r="U104" s="97"/>
      <c r="V104" s="97"/>
      <c r="W104" s="25"/>
      <c r="X104" s="1295"/>
      <c r="Z104"/>
      <c r="AB104"/>
      <c r="AC104" s="153" t="b">
        <f>OR(AD104:AE104)</f>
        <v>0</v>
      </c>
      <c r="AD104" s="153" t="b">
        <f>T104</f>
        <v>0</v>
      </c>
      <c r="AE104"/>
      <c r="AF104"/>
      <c r="AG104"/>
      <c r="AH104"/>
      <c r="AI104"/>
      <c r="AJ104"/>
      <c r="AK104"/>
      <c r="AL104"/>
      <c r="AM104"/>
      <c r="AN104"/>
      <c r="AO104"/>
      <c r="AP104" s="311" t="str">
        <f t="shared" ref="AP104:AP105" si="30">SUBSTITUTE(SUBSTITUTE(SUBSTITUTE("dch"&amp;$B104&amp;$C104&amp;$D104&amp;$E104&amp;$F104,".","_"),"(","_"),")","")</f>
        <v>dch602_1_2 _1</v>
      </c>
      <c r="AQ104" s="311">
        <f>W104</f>
        <v>0</v>
      </c>
      <c r="AR104"/>
      <c r="AS104"/>
    </row>
    <row r="105" spans="2:51" ht="15" thickBot="1" x14ac:dyDescent="0.35">
      <c r="B105" s="1062" t="s">
        <v>595</v>
      </c>
      <c r="C105" s="21"/>
      <c r="D105" s="21"/>
      <c r="E105" s="21" t="s">
        <v>273</v>
      </c>
      <c r="F105" s="21"/>
      <c r="G105" s="21"/>
      <c r="H105" s="1084"/>
      <c r="I105" s="212"/>
      <c r="J105" s="213" t="s">
        <v>273</v>
      </c>
      <c r="K105" s="100"/>
      <c r="L105" s="368" t="s">
        <v>598</v>
      </c>
      <c r="M105" s="1334"/>
      <c r="N105" s="270"/>
      <c r="O105" s="1315"/>
      <c r="P105" s="104"/>
      <c r="Q105" s="104"/>
      <c r="R105" s="104" t="b">
        <v>0</v>
      </c>
      <c r="S105" s="104" t="b">
        <f>NOT(AZ30=4)</f>
        <v>1</v>
      </c>
      <c r="T105" s="97" t="b">
        <f>AND(NOT(S105),W105=TRUE)</f>
        <v>0</v>
      </c>
      <c r="U105" s="104"/>
      <c r="V105" s="104"/>
      <c r="W105" s="25"/>
      <c r="X105" s="1296"/>
      <c r="Z105"/>
      <c r="AB105"/>
      <c r="AC105" s="153" t="b">
        <f>OR(AD105:AE105)</f>
        <v>0</v>
      </c>
      <c r="AD105" s="153" t="b">
        <f>T105</f>
        <v>0</v>
      </c>
      <c r="AE105"/>
      <c r="AF105"/>
      <c r="AG105"/>
      <c r="AH105"/>
      <c r="AI105"/>
      <c r="AJ105"/>
      <c r="AK105"/>
      <c r="AL105"/>
      <c r="AM105"/>
      <c r="AN105"/>
      <c r="AO105"/>
      <c r="AP105" s="311" t="str">
        <f t="shared" si="30"/>
        <v>dch602_1_2 _2</v>
      </c>
      <c r="AQ105" s="311">
        <f>W105</f>
        <v>0</v>
      </c>
      <c r="AR105"/>
      <c r="AS105"/>
    </row>
    <row r="106" spans="2:51" ht="15" thickTop="1" x14ac:dyDescent="0.3">
      <c r="B106" s="80" t="s">
        <v>599</v>
      </c>
      <c r="C106" s="21"/>
      <c r="D106" s="21"/>
      <c r="E106" s="21"/>
      <c r="F106" s="21"/>
      <c r="G106" s="21"/>
      <c r="H106" s="1084"/>
      <c r="I106" s="200" t="s">
        <v>599</v>
      </c>
      <c r="J106" s="201"/>
      <c r="K106" s="202"/>
      <c r="L106" s="367" t="s">
        <v>600</v>
      </c>
      <c r="M106" s="517"/>
      <c r="N106" s="201"/>
      <c r="O106" s="596"/>
      <c r="P106" s="110"/>
      <c r="Q106" s="110"/>
      <c r="R106" s="110"/>
      <c r="S106" s="110"/>
      <c r="T106" s="110"/>
      <c r="U106" s="110"/>
      <c r="V106" s="110"/>
      <c r="W106" s="333"/>
      <c r="X106" s="110"/>
      <c r="Z106"/>
      <c r="AB106"/>
      <c r="AC106"/>
      <c r="AD106"/>
      <c r="AE106"/>
      <c r="AF106"/>
      <c r="AG106"/>
      <c r="AH106"/>
      <c r="AI106"/>
      <c r="AJ106"/>
      <c r="AK106"/>
      <c r="AL106"/>
      <c r="AM106"/>
      <c r="AN106"/>
      <c r="AO106"/>
      <c r="AP106"/>
      <c r="AQ106"/>
      <c r="AR106"/>
      <c r="AS106"/>
    </row>
    <row r="107" spans="2:51" x14ac:dyDescent="0.3">
      <c r="B107" s="80" t="s">
        <v>601</v>
      </c>
      <c r="C107" s="80"/>
      <c r="D107" s="21"/>
      <c r="E107" s="21"/>
      <c r="F107" s="21"/>
      <c r="G107" s="21"/>
      <c r="H107" s="1084"/>
      <c r="I107" s="141" t="s">
        <v>601</v>
      </c>
      <c r="J107" s="140"/>
      <c r="K107" s="98"/>
      <c r="L107" s="1313" t="s">
        <v>602</v>
      </c>
      <c r="M107" s="1351" t="str">
        <f>IF(R107,"Mandatory","N/A")</f>
        <v>N/A</v>
      </c>
      <c r="N107" s="4"/>
      <c r="O107" s="154"/>
      <c r="P107" s="440" t="b">
        <v>1</v>
      </c>
      <c r="Q107" s="440" t="b">
        <v>0</v>
      </c>
      <c r="R107" s="153" t="b">
        <f>S107</f>
        <v>0</v>
      </c>
      <c r="S107" s="137" t="b">
        <f>OR(AZ30=1,AZ30=5,AZ30=6)</f>
        <v>0</v>
      </c>
      <c r="T107" s="97" t="b">
        <f>AND(NOT(S107),W107=TRUE)</f>
        <v>0</v>
      </c>
      <c r="U107"/>
      <c r="V107"/>
      <c r="W107" s="25"/>
      <c r="X107" s="1303" t="s">
        <v>4789</v>
      </c>
      <c r="Z107"/>
      <c r="AB107"/>
      <c r="AC107" s="153" t="b">
        <f>OR(AD107:AE107)</f>
        <v>0</v>
      </c>
      <c r="AD107" s="153" t="b">
        <f>T107</f>
        <v>0</v>
      </c>
      <c r="AE107" s="153" t="b">
        <f>AND(R107,NOT(W107))</f>
        <v>0</v>
      </c>
      <c r="AF107"/>
      <c r="AG107"/>
      <c r="AH107"/>
      <c r="AI107"/>
      <c r="AJ107"/>
      <c r="AK107"/>
      <c r="AL107" s="311" t="str">
        <f>SUBSTITUTE(SUBSTITUTE(SUBSTITUTE("dpa"&amp;$B107&amp;$C107&amp;$D107&amp;$E107&amp;$F107,".","_"),"(","_"),")","")</f>
        <v>dpa602_1_3_1</v>
      </c>
      <c r="AM107" s="311" t="str">
        <f>M107</f>
        <v>N/A</v>
      </c>
      <c r="AN107"/>
      <c r="AO107"/>
      <c r="AP107" s="311" t="str">
        <f t="shared" ref="AP107" si="31">SUBSTITUTE(SUBSTITUTE(SUBSTITUTE("dch"&amp;$B107&amp;$C107&amp;$D107&amp;$E107&amp;$F107,".","_"),"(","_"),")","")</f>
        <v>dch602_1_3_1</v>
      </c>
      <c r="AQ107" s="311">
        <f>W107</f>
        <v>0</v>
      </c>
      <c r="AR107" s="1059" t="str">
        <f>SUBSTITUTE(SUBSTITUTE(SUBSTITUTE("dnt"&amp;$B107&amp;$C107&amp;$D107&amp;$E107&amp;$F107,".","_"),"(","_"),")","")</f>
        <v>dnt602_1_3_1</v>
      </c>
      <c r="AS107" s="311" t="str">
        <f>X107</f>
        <v>ZERH Requirement - ENERGY STAR Certified Homes National Water Management Requirements, Section 1.8, Drain Tile</v>
      </c>
    </row>
    <row r="108" spans="2:51" x14ac:dyDescent="0.3">
      <c r="B108" s="80" t="s">
        <v>601</v>
      </c>
      <c r="C108" s="80"/>
      <c r="D108" s="21"/>
      <c r="E108" s="21"/>
      <c r="F108" s="21"/>
      <c r="G108" s="21"/>
      <c r="H108" s="1084"/>
      <c r="I108" s="244"/>
      <c r="J108" s="238"/>
      <c r="K108" s="193"/>
      <c r="L108" s="1350"/>
      <c r="M108" s="1352"/>
      <c r="N108" s="4"/>
      <c r="O108" s="154"/>
      <c r="P108" s="440"/>
      <c r="Q108" s="440"/>
      <c r="R108"/>
      <c r="S108"/>
      <c r="T108"/>
      <c r="U108"/>
      <c r="V108"/>
      <c r="W108"/>
      <c r="X108" s="1303"/>
      <c r="Z108"/>
      <c r="AB108"/>
      <c r="AC108"/>
      <c r="AD108"/>
      <c r="AE108"/>
      <c r="AF108"/>
      <c r="AG108"/>
      <c r="AH108"/>
      <c r="AI108"/>
      <c r="AJ108"/>
      <c r="AK108"/>
      <c r="AL108"/>
      <c r="AM108"/>
      <c r="AN108"/>
      <c r="AO108"/>
      <c r="AP108"/>
      <c r="AQ108"/>
      <c r="AR108"/>
      <c r="AS108"/>
    </row>
    <row r="109" spans="2:51" x14ac:dyDescent="0.3">
      <c r="B109" s="938" t="s">
        <v>603</v>
      </c>
      <c r="C109" s="938"/>
      <c r="D109" s="21"/>
      <c r="E109" s="21"/>
      <c r="F109" s="21"/>
      <c r="G109" s="21"/>
      <c r="H109" s="1084"/>
      <c r="I109" s="66" t="s">
        <v>603</v>
      </c>
      <c r="J109" s="4"/>
      <c r="K109" s="86"/>
      <c r="L109" s="1292" t="s">
        <v>604</v>
      </c>
      <c r="M109" s="1335">
        <v>4</v>
      </c>
      <c r="N109" s="4"/>
      <c r="O109" s="1310">
        <f>M109*S109*W109</f>
        <v>4</v>
      </c>
      <c r="P109" s="440" t="b">
        <v>1</v>
      </c>
      <c r="Q109" s="440" t="b">
        <v>0</v>
      </c>
      <c r="R109" s="137" t="b">
        <v>0</v>
      </c>
      <c r="S109" s="137" t="b">
        <v>1</v>
      </c>
      <c r="T109" s="137" t="b">
        <v>0</v>
      </c>
      <c r="U109"/>
      <c r="V109"/>
      <c r="W109" s="25" t="b">
        <v>1</v>
      </c>
      <c r="X109" s="1303"/>
      <c r="Z109"/>
      <c r="AB109"/>
      <c r="AC109"/>
      <c r="AD109"/>
      <c r="AE109"/>
      <c r="AF109"/>
      <c r="AG109"/>
      <c r="AH109"/>
      <c r="AI109"/>
      <c r="AJ109"/>
      <c r="AK109"/>
      <c r="AL109" s="311" t="str">
        <f>SUBSTITUTE(SUBSTITUTE(SUBSTITUTE("dpa"&amp;$B109&amp;$C109&amp;$D109&amp;$E109&amp;$F109,".","_"),"(","_"),")","")</f>
        <v>dpa602_1_3_2</v>
      </c>
      <c r="AM109" s="311">
        <f>M109</f>
        <v>4</v>
      </c>
      <c r="AN109" s="311" t="str">
        <f>SUBSTITUTE(SUBSTITUTE(SUBSTITUTE("dpc"&amp;$B109&amp;$C109&amp;$D109&amp;$E109&amp;$F109,".","_"),"(","_"),")","")</f>
        <v>dpc602_1_3_2</v>
      </c>
      <c r="AO109" s="311">
        <f>O109</f>
        <v>4</v>
      </c>
      <c r="AP109" s="311" t="str">
        <f t="shared" ref="AP109" si="32">SUBSTITUTE(SUBSTITUTE(SUBSTITUTE("dch"&amp;$B109&amp;$C109&amp;$D109&amp;$E109&amp;$F109,".","_"),"(","_"),")","")</f>
        <v>dch602_1_3_2</v>
      </c>
      <c r="AQ109" s="311" t="b">
        <f>W109</f>
        <v>1</v>
      </c>
      <c r="AR109" s="1059" t="str">
        <f>SUBSTITUTE(SUBSTITUTE(SUBSTITUTE("dnt"&amp;$B109&amp;$C109&amp;$D109&amp;$E109&amp;$F109,".","_"),"(","_"),")","")</f>
        <v>dnt602_1_3_2</v>
      </c>
      <c r="AS109" s="311">
        <f>X109</f>
        <v>0</v>
      </c>
    </row>
    <row r="110" spans="2:51" ht="15" thickBot="1" x14ac:dyDescent="0.35">
      <c r="B110" s="938" t="s">
        <v>603</v>
      </c>
      <c r="C110" s="938"/>
      <c r="D110" s="21"/>
      <c r="E110" s="21"/>
      <c r="F110" s="21"/>
      <c r="G110" s="21"/>
      <c r="H110" s="1084"/>
      <c r="I110" s="66"/>
      <c r="J110" s="4"/>
      <c r="K110" s="86"/>
      <c r="L110" s="1292"/>
      <c r="M110" s="1335"/>
      <c r="N110" s="4"/>
      <c r="O110" s="1310"/>
      <c r="P110" s="440"/>
      <c r="Q110" s="440"/>
      <c r="R110"/>
      <c r="S110"/>
      <c r="T110"/>
      <c r="U110"/>
      <c r="V110"/>
      <c r="W110"/>
      <c r="X110" s="1337"/>
      <c r="Z110"/>
      <c r="AB110"/>
      <c r="AC110"/>
      <c r="AD110"/>
      <c r="AE110"/>
      <c r="AF110"/>
      <c r="AG110"/>
      <c r="AH110"/>
      <c r="AI110"/>
      <c r="AJ110"/>
      <c r="AK110"/>
      <c r="AL110"/>
      <c r="AM110"/>
      <c r="AN110"/>
      <c r="AO110"/>
      <c r="AP110"/>
      <c r="AQ110"/>
      <c r="AR110"/>
      <c r="AS110"/>
    </row>
    <row r="111" spans="2:51" ht="15" thickTop="1" x14ac:dyDescent="0.3">
      <c r="B111" s="80" t="s">
        <v>605</v>
      </c>
      <c r="C111" s="21"/>
      <c r="D111" s="21"/>
      <c r="E111" s="21"/>
      <c r="F111" s="21"/>
      <c r="G111" s="21"/>
      <c r="H111" s="1084"/>
      <c r="I111" s="200" t="s">
        <v>605</v>
      </c>
      <c r="J111" s="201"/>
      <c r="K111" s="202"/>
      <c r="L111" s="367" t="s">
        <v>606</v>
      </c>
      <c r="M111" s="517"/>
      <c r="N111" s="201"/>
      <c r="O111" s="596"/>
      <c r="P111" s="110"/>
      <c r="Q111" s="110"/>
      <c r="R111" s="110"/>
      <c r="S111" s="110"/>
      <c r="T111" s="110"/>
      <c r="U111" s="110"/>
      <c r="V111" s="110"/>
      <c r="W111" s="110"/>
      <c r="X111" s="110"/>
      <c r="Z111"/>
      <c r="AB111"/>
      <c r="AC111"/>
      <c r="AD111"/>
      <c r="AE111"/>
      <c r="AF111"/>
      <c r="AG111"/>
      <c r="AH111"/>
      <c r="AI111"/>
      <c r="AJ111"/>
      <c r="AK111"/>
      <c r="AL111"/>
      <c r="AM111"/>
      <c r="AN111"/>
      <c r="AO111"/>
      <c r="AP111"/>
      <c r="AQ111"/>
      <c r="AR111"/>
      <c r="AS111"/>
    </row>
    <row r="112" spans="2:51" x14ac:dyDescent="0.3">
      <c r="B112" s="938" t="s">
        <v>607</v>
      </c>
      <c r="C112" s="938"/>
      <c r="D112" s="21"/>
      <c r="E112" s="21"/>
      <c r="F112" s="21"/>
      <c r="G112" s="21"/>
      <c r="H112" s="1084"/>
      <c r="I112" s="66" t="s">
        <v>607</v>
      </c>
      <c r="J112" s="4"/>
      <c r="K112" s="86"/>
      <c r="L112" s="1292" t="s">
        <v>608</v>
      </c>
      <c r="M112" s="522"/>
      <c r="N112" s="4"/>
      <c r="O112" s="154"/>
      <c r="P112" s="440"/>
      <c r="Q112" s="440"/>
      <c r="R112"/>
      <c r="S112"/>
      <c r="T112"/>
      <c r="U112"/>
      <c r="V112"/>
      <c r="W112"/>
      <c r="X112"/>
      <c r="Z112"/>
      <c r="AB112"/>
      <c r="AC112"/>
      <c r="AD112"/>
      <c r="AE112"/>
      <c r="AF112"/>
      <c r="AG112"/>
      <c r="AH112"/>
      <c r="AI112"/>
      <c r="AJ112"/>
      <c r="AK112"/>
      <c r="AL112"/>
      <c r="AM112"/>
      <c r="AN112"/>
      <c r="AO112"/>
      <c r="AP112"/>
      <c r="AQ112"/>
      <c r="AR112"/>
      <c r="AS112"/>
      <c r="AX112" s="153"/>
      <c r="AY112" s="153"/>
    </row>
    <row r="113" spans="1:51" s="153" customFormat="1" x14ac:dyDescent="0.3">
      <c r="A113" s="18"/>
      <c r="B113" s="938" t="s">
        <v>607</v>
      </c>
      <c r="C113" s="938"/>
      <c r="D113" s="21"/>
      <c r="E113" s="21"/>
      <c r="F113" s="21"/>
      <c r="G113" s="21"/>
      <c r="H113" s="1084"/>
      <c r="I113" s="66"/>
      <c r="J113" s="4"/>
      <c r="K113" s="86"/>
      <c r="L113" s="1292"/>
      <c r="M113" s="522"/>
      <c r="N113" s="4"/>
      <c r="O113" s="154"/>
      <c r="P113" s="440"/>
      <c r="Q113" s="440"/>
      <c r="Y113" s="1107"/>
      <c r="AA113" s="1110"/>
      <c r="AX113" s="65"/>
      <c r="AY113" s="65"/>
    </row>
    <row r="114" spans="1:51" x14ac:dyDescent="0.3">
      <c r="B114" s="938" t="s">
        <v>607</v>
      </c>
      <c r="C114" s="938"/>
      <c r="D114" s="21"/>
      <c r="E114" s="21"/>
      <c r="F114" s="21"/>
      <c r="G114" s="21"/>
      <c r="H114" s="1084"/>
      <c r="I114" s="66"/>
      <c r="J114" s="4"/>
      <c r="K114" s="86"/>
      <c r="L114" s="1292"/>
      <c r="M114" s="522"/>
      <c r="N114" s="4"/>
      <c r="O114" s="154"/>
      <c r="P114" s="440"/>
      <c r="Q114" s="440"/>
      <c r="R114"/>
      <c r="S114"/>
      <c r="T114"/>
      <c r="U114"/>
      <c r="V114"/>
      <c r="W114"/>
      <c r="X114"/>
      <c r="Z114"/>
      <c r="AB114"/>
      <c r="AC114"/>
      <c r="AD114"/>
      <c r="AE114"/>
      <c r="AF114"/>
      <c r="AG114"/>
      <c r="AH114"/>
      <c r="AI114"/>
      <c r="AJ114"/>
      <c r="AK114"/>
      <c r="AL114"/>
      <c r="AM114"/>
      <c r="AN114"/>
      <c r="AO114"/>
      <c r="AP114"/>
      <c r="AQ114"/>
      <c r="AR114"/>
      <c r="AS114"/>
    </row>
    <row r="115" spans="1:51" x14ac:dyDescent="0.3">
      <c r="B115" s="938" t="s">
        <v>607</v>
      </c>
      <c r="C115" s="938"/>
      <c r="D115" s="21"/>
      <c r="E115" s="21" t="s">
        <v>271</v>
      </c>
      <c r="F115" s="21"/>
      <c r="G115" s="21"/>
      <c r="H115" s="1084"/>
      <c r="I115" s="66"/>
      <c r="J115" s="203" t="s">
        <v>271</v>
      </c>
      <c r="K115" s="98"/>
      <c r="L115" s="1305" t="s">
        <v>609</v>
      </c>
      <c r="M115" s="1318">
        <v>6</v>
      </c>
      <c r="N115" s="140"/>
      <c r="O115" s="1308">
        <f>M115*S115*W115</f>
        <v>0</v>
      </c>
      <c r="P115" s="440" t="b">
        <v>1</v>
      </c>
      <c r="Q115" s="440" t="b">
        <v>0</v>
      </c>
      <c r="R115" s="137" t="b">
        <v>0</v>
      </c>
      <c r="S115" s="137" t="b">
        <f>OR(AZ30=2,AZ30=7)</f>
        <v>0</v>
      </c>
      <c r="T115" s="97" t="b">
        <f>AND(NOT(S115),W115=TRUE)</f>
        <v>0</v>
      </c>
      <c r="U115"/>
      <c r="V115"/>
      <c r="W115" s="25" t="b">
        <v>0</v>
      </c>
      <c r="X115" s="1303"/>
      <c r="Z115"/>
      <c r="AB115"/>
      <c r="AC115" s="153" t="b">
        <f>OR(AD115:AE115)</f>
        <v>0</v>
      </c>
      <c r="AD115" s="153" t="b">
        <f>T115</f>
        <v>0</v>
      </c>
      <c r="AE115"/>
      <c r="AF115"/>
      <c r="AG115"/>
      <c r="AH115"/>
      <c r="AI115"/>
      <c r="AJ115"/>
      <c r="AK115"/>
      <c r="AL115" s="311" t="str">
        <f>SUBSTITUTE(SUBSTITUTE(SUBSTITUTE("dpa"&amp;$B115&amp;$C115&amp;$D115&amp;$E115&amp;$F115,".","_"),"(","_"),")","")</f>
        <v>dpa602_1_4_1_1</v>
      </c>
      <c r="AM115" s="311">
        <f>M115</f>
        <v>6</v>
      </c>
      <c r="AN115" s="311" t="str">
        <f>SUBSTITUTE(SUBSTITUTE(SUBSTITUTE("dpc"&amp;$B115&amp;$C115&amp;$D115&amp;$E115&amp;$F115,".","_"),"(","_"),")","")</f>
        <v>dpc602_1_4_1_1</v>
      </c>
      <c r="AO115" s="311">
        <f>O115</f>
        <v>0</v>
      </c>
      <c r="AP115" s="311" t="str">
        <f t="shared" ref="AP115" si="33">SUBSTITUTE(SUBSTITUTE(SUBSTITUTE("dch"&amp;$B115&amp;$C115&amp;$D115&amp;$E115&amp;$F115,".","_"),"(","_"),")","")</f>
        <v>dch602_1_4_1_1</v>
      </c>
      <c r="AQ115" s="311" t="b">
        <f>W115</f>
        <v>0</v>
      </c>
      <c r="AR115" s="1059" t="str">
        <f>SUBSTITUTE(SUBSTITUTE(SUBSTITUTE("dnt"&amp;$B115&amp;$C115&amp;$D115&amp;$E115&amp;$F115,".","_"),"(","_"),")","")</f>
        <v>dnt602_1_4_1_1</v>
      </c>
      <c r="AS115" s="311">
        <f>X115</f>
        <v>0</v>
      </c>
    </row>
    <row r="116" spans="1:51" x14ac:dyDescent="0.3">
      <c r="B116" s="938" t="s">
        <v>607</v>
      </c>
      <c r="C116" s="938"/>
      <c r="D116" s="21"/>
      <c r="E116" s="21" t="s">
        <v>271</v>
      </c>
      <c r="F116" s="21"/>
      <c r="G116" s="21"/>
      <c r="H116" s="1084"/>
      <c r="I116" s="66"/>
      <c r="J116" s="238"/>
      <c r="K116" s="193"/>
      <c r="L116" s="1306"/>
      <c r="M116" s="1319"/>
      <c r="N116" s="238"/>
      <c r="O116" s="1309"/>
      <c r="P116" s="440"/>
      <c r="Q116" s="440"/>
      <c r="R116"/>
      <c r="S116"/>
      <c r="T116"/>
      <c r="U116"/>
      <c r="V116"/>
      <c r="W116"/>
      <c r="X116" s="1303"/>
      <c r="Z116"/>
      <c r="AB116"/>
      <c r="AC116"/>
      <c r="AD116"/>
      <c r="AE116"/>
      <c r="AF116"/>
      <c r="AG116"/>
      <c r="AH116"/>
      <c r="AI116"/>
      <c r="AJ116"/>
      <c r="AK116"/>
      <c r="AL116"/>
      <c r="AM116"/>
      <c r="AN116"/>
      <c r="AO116"/>
      <c r="AP116"/>
      <c r="AQ116"/>
      <c r="AR116"/>
      <c r="AS116"/>
    </row>
    <row r="117" spans="1:51" x14ac:dyDescent="0.3">
      <c r="B117" s="938" t="s">
        <v>607</v>
      </c>
      <c r="C117" s="938"/>
      <c r="D117" s="21"/>
      <c r="E117" s="21" t="s">
        <v>273</v>
      </c>
      <c r="F117" s="21"/>
      <c r="G117" s="21"/>
      <c r="H117" s="1084"/>
      <c r="I117" s="244"/>
      <c r="J117" s="231" t="s">
        <v>273</v>
      </c>
      <c r="K117" s="193"/>
      <c r="L117" s="345" t="s">
        <v>610</v>
      </c>
      <c r="M117" s="1090" t="str">
        <f>IF(R117,"Mandatory","N/A")</f>
        <v>N/A</v>
      </c>
      <c r="N117" s="4"/>
      <c r="O117" s="154"/>
      <c r="P117" s="440" t="b">
        <v>1</v>
      </c>
      <c r="Q117" s="440" t="b">
        <v>0</v>
      </c>
      <c r="R117" s="153" t="b">
        <f>S117</f>
        <v>0</v>
      </c>
      <c r="S117" s="153" t="b">
        <f>OR(AZ30=2,AZ30=7)</f>
        <v>0</v>
      </c>
      <c r="T117" s="97" t="b">
        <f>AND(NOT(S117),LEN(W117)&gt;0)</f>
        <v>0</v>
      </c>
      <c r="U117" s="97" t="str">
        <f>SUBSTITUTE(SUBSTITUTE(SUBSTITUTE("dd"&amp;B117&amp;C117&amp;D117&amp;E117&amp;F117,".","_"),"(","_"),")","")</f>
        <v>dd602_1_4_1_2</v>
      </c>
      <c r="V117"/>
      <c r="W117" s="12"/>
      <c r="X117" s="176"/>
      <c r="Z117"/>
      <c r="AB117"/>
      <c r="AC117" s="153" t="b">
        <f>OR(AD117:AE117)</f>
        <v>0</v>
      </c>
      <c r="AD117" s="153" t="b">
        <f>T117</f>
        <v>0</v>
      </c>
      <c r="AE117" s="153" t="b">
        <f>AND(R117,NOT(W117="Met"),NOT(W117="N/A"))</f>
        <v>0</v>
      </c>
      <c r="AF117"/>
      <c r="AG117"/>
      <c r="AH117"/>
      <c r="AI117"/>
      <c r="AJ117"/>
      <c r="AK117"/>
      <c r="AL117" s="311" t="str">
        <f>SUBSTITUTE(SUBSTITUTE(SUBSTITUTE("dpa"&amp;$B117&amp;$C117&amp;$D117&amp;$E117&amp;$F117,".","_"),"(","_"),")","")</f>
        <v>dpa602_1_4_1_2</v>
      </c>
      <c r="AM117" s="311" t="str">
        <f>M117</f>
        <v>N/A</v>
      </c>
      <c r="AN117"/>
      <c r="AO117"/>
      <c r="AP117" s="311" t="str">
        <f t="shared" ref="AP117" si="34">SUBSTITUTE(SUBSTITUTE(SUBSTITUTE("dch"&amp;$B117&amp;$C117&amp;$D117&amp;$E117&amp;$F117,".","_"),"(","_"),")","")</f>
        <v>dch602_1_4_1_2</v>
      </c>
      <c r="AQ117" s="311">
        <f>W117</f>
        <v>0</v>
      </c>
      <c r="AR117" s="1059" t="str">
        <f>SUBSTITUTE(SUBSTITUTE(SUBSTITUTE("dnt"&amp;$B117&amp;$C117&amp;$D117&amp;$E117&amp;$F117,".","_"),"(","_"),")","")</f>
        <v>dnt602_1_4_1_2</v>
      </c>
      <c r="AS117" s="311">
        <f>X117</f>
        <v>0</v>
      </c>
    </row>
    <row r="118" spans="1:51" ht="15" customHeight="1" x14ac:dyDescent="0.3">
      <c r="B118" s="80" t="s">
        <v>611</v>
      </c>
      <c r="C118" s="21"/>
      <c r="D118" s="21"/>
      <c r="E118" s="21"/>
      <c r="F118" s="21"/>
      <c r="G118" s="21"/>
      <c r="H118" s="1084"/>
      <c r="I118" s="66" t="s">
        <v>611</v>
      </c>
      <c r="J118" s="4"/>
      <c r="K118" s="86"/>
      <c r="L118" s="1292" t="s">
        <v>612</v>
      </c>
      <c r="M118" s="522"/>
      <c r="N118" s="4"/>
      <c r="O118" s="154"/>
      <c r="P118" s="440"/>
      <c r="Q118" s="440"/>
      <c r="R118"/>
      <c r="S118"/>
      <c r="T118"/>
      <c r="U118"/>
      <c r="V118"/>
      <c r="W118"/>
      <c r="X118"/>
      <c r="Z118"/>
      <c r="AB118"/>
      <c r="AC118"/>
      <c r="AD118"/>
      <c r="AE118"/>
      <c r="AF118"/>
      <c r="AG118"/>
      <c r="AH118"/>
      <c r="AI118"/>
      <c r="AJ118"/>
      <c r="AK118"/>
      <c r="AL118"/>
      <c r="AM118"/>
      <c r="AN118"/>
      <c r="AO118"/>
      <c r="AP118"/>
      <c r="AQ118"/>
      <c r="AR118"/>
      <c r="AS118"/>
      <c r="AX118" s="153"/>
      <c r="AY118" s="153"/>
    </row>
    <row r="119" spans="1:51" s="153" customFormat="1" x14ac:dyDescent="0.3">
      <c r="A119" s="18"/>
      <c r="B119" s="80" t="s">
        <v>611</v>
      </c>
      <c r="C119" s="21"/>
      <c r="D119" s="21"/>
      <c r="E119" s="21"/>
      <c r="F119" s="21"/>
      <c r="G119" s="21"/>
      <c r="H119" s="1084"/>
      <c r="I119" s="66"/>
      <c r="J119" s="4"/>
      <c r="K119" s="86"/>
      <c r="L119" s="1292"/>
      <c r="M119" s="522"/>
      <c r="N119" s="4"/>
      <c r="O119" s="154"/>
      <c r="P119" s="440"/>
      <c r="Q119" s="440"/>
      <c r="Y119" s="1107"/>
      <c r="AA119" s="1110"/>
    </row>
    <row r="120" spans="1:51" s="153" customFormat="1" x14ac:dyDescent="0.3">
      <c r="A120" s="18"/>
      <c r="B120" s="80" t="s">
        <v>611</v>
      </c>
      <c r="C120" s="21"/>
      <c r="D120" s="21"/>
      <c r="E120" s="21"/>
      <c r="F120" s="21"/>
      <c r="G120" s="21"/>
      <c r="H120" s="1084"/>
      <c r="I120" s="66"/>
      <c r="J120" s="4"/>
      <c r="K120" s="86"/>
      <c r="L120" s="1292"/>
      <c r="M120" s="522"/>
      <c r="N120" s="4"/>
      <c r="O120" s="154"/>
      <c r="P120" s="440"/>
      <c r="Q120" s="440"/>
      <c r="Y120" s="1107"/>
      <c r="AA120" s="1110"/>
    </row>
    <row r="121" spans="1:51" s="153" customFormat="1" ht="15" customHeight="1" x14ac:dyDescent="0.3">
      <c r="A121" s="18"/>
      <c r="B121" s="80" t="s">
        <v>611</v>
      </c>
      <c r="C121" s="21"/>
      <c r="D121" s="21"/>
      <c r="E121" s="21" t="s">
        <v>271</v>
      </c>
      <c r="F121" s="21"/>
      <c r="G121" s="21"/>
      <c r="H121" s="1084"/>
      <c r="I121" s="66"/>
      <c r="J121" s="203" t="s">
        <v>271</v>
      </c>
      <c r="K121" s="98"/>
      <c r="L121" s="1305" t="s">
        <v>3245</v>
      </c>
      <c r="M121" s="1318">
        <v>8</v>
      </c>
      <c r="N121" s="140"/>
      <c r="O121" s="1308">
        <f>M121*S121*W121</f>
        <v>0</v>
      </c>
      <c r="P121" s="440" t="b">
        <v>1</v>
      </c>
      <c r="Q121" s="440" t="b">
        <v>0</v>
      </c>
      <c r="R121" s="153" t="b">
        <v>0</v>
      </c>
      <c r="S121" s="153" t="b">
        <f>OR(AZ30=3,AZ30=7)</f>
        <v>1</v>
      </c>
      <c r="T121" s="97" t="b">
        <f>AND(NOT(S121),W121=TRUE)</f>
        <v>0</v>
      </c>
      <c r="W121" s="25"/>
      <c r="X121" s="1303"/>
      <c r="Y121" s="1107"/>
      <c r="AA121" s="1110"/>
      <c r="AC121" s="153" t="b">
        <f>OR(AD121:AE121)</f>
        <v>0</v>
      </c>
      <c r="AD121" s="153" t="b">
        <f>T121</f>
        <v>0</v>
      </c>
      <c r="AL121" s="311" t="str">
        <f>SUBSTITUTE(SUBSTITUTE(SUBSTITUTE("dpa"&amp;$B121&amp;$C121&amp;$D121&amp;$E121&amp;$F121,".","_"),"(","_"),")","")</f>
        <v>dpa602_1_4_2_1</v>
      </c>
      <c r="AM121" s="311">
        <f>M121</f>
        <v>8</v>
      </c>
      <c r="AN121" s="311" t="str">
        <f>SUBSTITUTE(SUBSTITUTE(SUBSTITUTE("dpc"&amp;$B121&amp;$C121&amp;$D121&amp;$E121&amp;$F121,".","_"),"(","_"),")","")</f>
        <v>dpc602_1_4_2_1</v>
      </c>
      <c r="AO121" s="311">
        <f>O121</f>
        <v>0</v>
      </c>
      <c r="AP121" s="311" t="str">
        <f t="shared" ref="AP121" si="35">SUBSTITUTE(SUBSTITUTE(SUBSTITUTE("dch"&amp;$B121&amp;$C121&amp;$D121&amp;$E121&amp;$F121,".","_"),"(","_"),")","")</f>
        <v>dch602_1_4_2_1</v>
      </c>
      <c r="AQ121" s="311">
        <f>W121</f>
        <v>0</v>
      </c>
      <c r="AR121" s="1059" t="str">
        <f>SUBSTITUTE(SUBSTITUTE(SUBSTITUTE("dnt"&amp;$B121&amp;$C121&amp;$D121&amp;$E121&amp;$F121,".","_"),"(","_"),")","")</f>
        <v>dnt602_1_4_2_1</v>
      </c>
      <c r="AS121" s="311">
        <f>X121</f>
        <v>0</v>
      </c>
    </row>
    <row r="122" spans="1:51" s="153" customFormat="1" x14ac:dyDescent="0.3">
      <c r="A122" s="18"/>
      <c r="B122" s="80" t="s">
        <v>611</v>
      </c>
      <c r="C122" s="21"/>
      <c r="D122" s="21"/>
      <c r="E122" s="21" t="s">
        <v>271</v>
      </c>
      <c r="F122" s="21"/>
      <c r="G122" s="21"/>
      <c r="H122" s="1084"/>
      <c r="I122" s="66"/>
      <c r="J122" s="238"/>
      <c r="K122" s="193"/>
      <c r="L122" s="1306"/>
      <c r="M122" s="1319"/>
      <c r="N122" s="238"/>
      <c r="O122" s="1309"/>
      <c r="P122" s="440"/>
      <c r="Q122" s="440"/>
      <c r="X122" s="1303"/>
      <c r="Y122" s="1107"/>
      <c r="AA122" s="1110"/>
    </row>
    <row r="123" spans="1:51" s="153" customFormat="1" x14ac:dyDescent="0.3">
      <c r="A123" s="18"/>
      <c r="B123" s="80" t="s">
        <v>611</v>
      </c>
      <c r="C123" s="21"/>
      <c r="D123" s="21"/>
      <c r="E123" s="21" t="s">
        <v>273</v>
      </c>
      <c r="F123" s="21"/>
      <c r="G123" s="21"/>
      <c r="H123" s="1084"/>
      <c r="I123" s="66"/>
      <c r="J123" s="27" t="s">
        <v>273</v>
      </c>
      <c r="K123" s="86"/>
      <c r="L123" s="1329" t="s">
        <v>3246</v>
      </c>
      <c r="M123" s="1361" t="str">
        <f>IF(R123,"Mandatory","N/A")</f>
        <v>Mandatory</v>
      </c>
      <c r="N123" s="4"/>
      <c r="O123" s="154"/>
      <c r="P123" s="440" t="b">
        <v>1</v>
      </c>
      <c r="Q123" s="440" t="b">
        <v>0</v>
      </c>
      <c r="R123" s="153" t="b">
        <f>S123</f>
        <v>1</v>
      </c>
      <c r="S123" s="153" t="b">
        <f>OR(AZ30=3,AZ30=7)</f>
        <v>1</v>
      </c>
      <c r="T123" s="97" t="b">
        <f>AND(NOT(S123),LEN(W123)&gt;0)</f>
        <v>0</v>
      </c>
      <c r="U123" s="97" t="str">
        <f>SUBSTITUTE(SUBSTITUTE(SUBSTITUTE("dd"&amp;B123&amp;C123&amp;D123&amp;E123&amp;F123,".","_"),"(","_"),")","")</f>
        <v>dd602_1_4_2_2</v>
      </c>
      <c r="W123" s="12" t="s">
        <v>3242</v>
      </c>
      <c r="X123" s="1303"/>
      <c r="Y123" s="1107"/>
      <c r="AA123" s="1110"/>
      <c r="AC123" s="153" t="b">
        <f>OR(AD123:AE123)</f>
        <v>0</v>
      </c>
      <c r="AD123" s="153" t="b">
        <f>T123</f>
        <v>0</v>
      </c>
      <c r="AE123" s="153" t="b">
        <f>AND(R123,NOT(W123="Met"),NOT(W123="N/A"))</f>
        <v>0</v>
      </c>
      <c r="AL123" s="311" t="str">
        <f>SUBSTITUTE(SUBSTITUTE(SUBSTITUTE("dpa"&amp;$B123&amp;$C123&amp;$D123&amp;$E123&amp;$F123,".","_"),"(","_"),")","")</f>
        <v>dpa602_1_4_2_2</v>
      </c>
      <c r="AM123" s="311" t="str">
        <f>M123</f>
        <v>Mandatory</v>
      </c>
      <c r="AP123" s="311" t="str">
        <f t="shared" ref="AP123" si="36">SUBSTITUTE(SUBSTITUTE(SUBSTITUTE("dch"&amp;$B123&amp;$C123&amp;$D123&amp;$E123&amp;$F123,".","_"),"(","_"),")","")</f>
        <v>dch602_1_4_2_2</v>
      </c>
      <c r="AQ123" s="311" t="str">
        <f>W123</f>
        <v>Met</v>
      </c>
      <c r="AR123" s="1059" t="str">
        <f>SUBSTITUTE(SUBSTITUTE(SUBSTITUTE("dnt"&amp;$B123&amp;$C123&amp;$D123&amp;$E123&amp;$F123,".","_"),"(","_"),")","")</f>
        <v>dnt602_1_4_2_2</v>
      </c>
      <c r="AS123" s="311">
        <f>X123</f>
        <v>0</v>
      </c>
      <c r="AX123" s="65"/>
      <c r="AY123" s="65"/>
    </row>
    <row r="124" spans="1:51" ht="15" thickBot="1" x14ac:dyDescent="0.35">
      <c r="B124" s="80" t="s">
        <v>611</v>
      </c>
      <c r="C124" s="21"/>
      <c r="D124" s="21"/>
      <c r="E124" s="21" t="s">
        <v>273</v>
      </c>
      <c r="F124" s="21"/>
      <c r="G124" s="21"/>
      <c r="H124" s="1084"/>
      <c r="I124" s="66"/>
      <c r="J124" s="4"/>
      <c r="K124" s="86"/>
      <c r="L124" s="1329"/>
      <c r="M124" s="1361"/>
      <c r="N124" s="4"/>
      <c r="O124" s="154"/>
      <c r="P124" s="440"/>
      <c r="Q124" s="440"/>
      <c r="R124"/>
      <c r="S124"/>
      <c r="T124"/>
      <c r="U124"/>
      <c r="V124"/>
      <c r="W124"/>
      <c r="X124" s="1337"/>
      <c r="Z124"/>
      <c r="AB124"/>
      <c r="AC124"/>
      <c r="AD124"/>
      <c r="AE124"/>
      <c r="AF124"/>
      <c r="AG124"/>
      <c r="AH124"/>
      <c r="AI124"/>
      <c r="AJ124"/>
      <c r="AK124"/>
      <c r="AL124"/>
      <c r="AM124"/>
      <c r="AN124"/>
      <c r="AO124"/>
      <c r="AP124"/>
      <c r="AQ124"/>
      <c r="AR124"/>
      <c r="AS124"/>
    </row>
    <row r="125" spans="1:51" ht="15" thickTop="1" x14ac:dyDescent="0.3">
      <c r="B125" s="80" t="s">
        <v>613</v>
      </c>
      <c r="C125" s="21"/>
      <c r="D125" s="21"/>
      <c r="E125" s="21"/>
      <c r="F125" s="21"/>
      <c r="G125" s="21"/>
      <c r="H125" s="1084"/>
      <c r="I125" s="200" t="s">
        <v>613</v>
      </c>
      <c r="J125" s="201"/>
      <c r="K125" s="202"/>
      <c r="L125" s="343" t="s">
        <v>614</v>
      </c>
      <c r="M125" s="517"/>
      <c r="N125" s="201"/>
      <c r="O125" s="596"/>
      <c r="P125" s="110"/>
      <c r="Q125" s="110"/>
      <c r="R125" s="110"/>
      <c r="S125" s="110"/>
      <c r="T125" s="110"/>
      <c r="U125" s="110"/>
      <c r="V125" s="110"/>
      <c r="W125" s="110" t="s">
        <v>1303</v>
      </c>
      <c r="X125" s="110"/>
      <c r="Z125"/>
      <c r="AB125"/>
      <c r="AC125"/>
      <c r="AD125"/>
      <c r="AE125"/>
      <c r="AF125"/>
      <c r="AG125"/>
      <c r="AH125"/>
      <c r="AI125"/>
      <c r="AJ125"/>
      <c r="AK125"/>
      <c r="AL125"/>
      <c r="AM125"/>
      <c r="AN125"/>
      <c r="AO125"/>
      <c r="AP125"/>
      <c r="AQ125"/>
      <c r="AR125"/>
      <c r="AS125"/>
      <c r="AX125" s="143"/>
      <c r="AY125" s="143"/>
    </row>
    <row r="126" spans="1:51" s="143" customFormat="1" x14ac:dyDescent="0.3">
      <c r="A126" s="18"/>
      <c r="B126" s="80" t="s">
        <v>613</v>
      </c>
      <c r="C126" s="21"/>
      <c r="D126" s="21"/>
      <c r="E126" s="21"/>
      <c r="F126" s="21"/>
      <c r="G126" s="21"/>
      <c r="H126" s="1084"/>
      <c r="I126" s="66"/>
      <c r="J126" s="4"/>
      <c r="K126" s="86"/>
      <c r="L126" s="356" t="s">
        <v>3237</v>
      </c>
      <c r="M126" s="522"/>
      <c r="N126" s="4"/>
      <c r="O126" s="154"/>
      <c r="P126" s="440" t="b">
        <v>1</v>
      </c>
      <c r="Q126" s="440" t="b">
        <v>0</v>
      </c>
      <c r="R126" s="143" t="b">
        <v>0</v>
      </c>
      <c r="S126" s="143" t="b">
        <v>1</v>
      </c>
      <c r="T126" s="143" t="b">
        <v>0</v>
      </c>
      <c r="U126" s="97" t="str">
        <f>SUBSTITUTE(SUBSTITUTE(SUBSTITUTE("dd"&amp;B126&amp;C126&amp;D126&amp;E126&amp;F126,".","_"),"(","_"),")","")</f>
        <v>dd602_1_5</v>
      </c>
      <c r="W126" s="12" t="s">
        <v>3249</v>
      </c>
      <c r="X126" s="1303"/>
      <c r="Y126" s="1107"/>
      <c r="AA126" s="1110"/>
      <c r="AP126" s="311" t="str">
        <f t="shared" ref="AP126:AP127" si="37">SUBSTITUTE(SUBSTITUTE(SUBSTITUTE("dch"&amp;$B126&amp;$C126&amp;$D126&amp;$E126&amp;$F126,".","_"),"(","_"),")","")</f>
        <v>dch602_1_5</v>
      </c>
      <c r="AQ126" s="311" t="str">
        <f>W126</f>
        <v>Moderate to heavy</v>
      </c>
      <c r="AR126" s="1059" t="str">
        <f>SUBSTITUTE(SUBSTITUTE(SUBSTITUTE("dnt"&amp;$B126&amp;$C126&amp;$D126&amp;$E126&amp;$F126,".","_"),"(","_"),")","")</f>
        <v>dnt602_1_5</v>
      </c>
      <c r="AS126" s="311">
        <f>X126</f>
        <v>0</v>
      </c>
      <c r="AX126" s="65"/>
      <c r="AY126" s="65"/>
    </row>
    <row r="127" spans="1:51" x14ac:dyDescent="0.3">
      <c r="B127" s="80" t="s">
        <v>613</v>
      </c>
      <c r="C127" s="21"/>
      <c r="D127" s="21"/>
      <c r="E127" s="21" t="s">
        <v>271</v>
      </c>
      <c r="F127" s="21"/>
      <c r="G127" s="21"/>
      <c r="H127" s="1084"/>
      <c r="I127" s="66"/>
      <c r="J127" s="203" t="s">
        <v>271</v>
      </c>
      <c r="K127" s="98"/>
      <c r="L127" s="1305" t="s">
        <v>615</v>
      </c>
      <c r="M127" s="1318">
        <v>4</v>
      </c>
      <c r="N127" s="140"/>
      <c r="O127" s="1308">
        <f ca="1">M127*S127*W127</f>
        <v>4</v>
      </c>
      <c r="P127" s="440" t="b">
        <v>1</v>
      </c>
      <c r="Q127" s="440" t="b">
        <v>0</v>
      </c>
      <c r="R127" s="137" t="b">
        <v>0</v>
      </c>
      <c r="S127" s="143" t="b">
        <f ca="1">IF(IFERROR(MATCH(W126,INDIRECT(U126),0),0)=3,TRUE,FALSE)</f>
        <v>1</v>
      </c>
      <c r="T127" s="97" t="b">
        <f ca="1">AND(NOT(S127),W127=TRUE)</f>
        <v>0</v>
      </c>
      <c r="U127"/>
      <c r="V127"/>
      <c r="W127" s="25" t="b">
        <v>1</v>
      </c>
      <c r="X127" s="1303"/>
      <c r="Z127"/>
      <c r="AB127"/>
      <c r="AC127" s="153" t="b">
        <f ca="1">OR(AD127:AE127)</f>
        <v>0</v>
      </c>
      <c r="AD127" s="153" t="b">
        <f ca="1">T127</f>
        <v>0</v>
      </c>
      <c r="AE127" s="153" t="b">
        <v>0</v>
      </c>
      <c r="AF127"/>
      <c r="AG127"/>
      <c r="AH127"/>
      <c r="AI127"/>
      <c r="AJ127"/>
      <c r="AK127"/>
      <c r="AL127" s="311" t="str">
        <f>SUBSTITUTE(SUBSTITUTE(SUBSTITUTE("dpa"&amp;$B127&amp;$C127&amp;$D127&amp;$E127&amp;$F127,".","_"),"(","_"),")","")</f>
        <v>dpa602_1_5_1</v>
      </c>
      <c r="AM127" s="311">
        <f>M127</f>
        <v>4</v>
      </c>
      <c r="AN127" s="311" t="str">
        <f>SUBSTITUTE(SUBSTITUTE(SUBSTITUTE("dpc"&amp;$B127&amp;$C127&amp;$D127&amp;$E127&amp;$F127,".","_"),"(","_"),")","")</f>
        <v>dpc602_1_5_1</v>
      </c>
      <c r="AO127" s="311">
        <f ca="1">O127</f>
        <v>4</v>
      </c>
      <c r="AP127" s="311" t="str">
        <f t="shared" si="37"/>
        <v>dch602_1_5_1</v>
      </c>
      <c r="AQ127" s="311" t="b">
        <f>W127</f>
        <v>1</v>
      </c>
      <c r="AR127"/>
      <c r="AS127"/>
    </row>
    <row r="128" spans="1:51" x14ac:dyDescent="0.3">
      <c r="B128" s="80" t="s">
        <v>613</v>
      </c>
      <c r="C128" s="21"/>
      <c r="D128" s="21"/>
      <c r="E128" s="21" t="s">
        <v>271</v>
      </c>
      <c r="F128" s="21"/>
      <c r="G128" s="21"/>
      <c r="H128" s="1084"/>
      <c r="I128" s="66"/>
      <c r="J128" s="238"/>
      <c r="K128" s="193"/>
      <c r="L128" s="1306"/>
      <c r="M128" s="1319"/>
      <c r="N128" s="238"/>
      <c r="O128" s="1309"/>
      <c r="P128" s="440"/>
      <c r="Q128" s="440"/>
      <c r="R128"/>
      <c r="S128"/>
      <c r="T128"/>
      <c r="U128"/>
      <c r="V128"/>
      <c r="W128"/>
      <c r="X128" s="1303"/>
      <c r="Z128"/>
      <c r="AB128"/>
      <c r="AC128"/>
      <c r="AD128"/>
      <c r="AE128"/>
      <c r="AF128"/>
      <c r="AG128"/>
      <c r="AH128"/>
      <c r="AI128"/>
      <c r="AJ128"/>
      <c r="AK128"/>
      <c r="AL128"/>
      <c r="AM128"/>
      <c r="AN128"/>
      <c r="AO128"/>
      <c r="AP128"/>
      <c r="AQ128"/>
      <c r="AR128"/>
      <c r="AS128"/>
    </row>
    <row r="129" spans="1:51" x14ac:dyDescent="0.3">
      <c r="B129" s="80" t="s">
        <v>613</v>
      </c>
      <c r="C129" s="21"/>
      <c r="D129" s="21"/>
      <c r="E129" s="21" t="s">
        <v>273</v>
      </c>
      <c r="F129" s="21"/>
      <c r="G129" s="21"/>
      <c r="H129" s="1084"/>
      <c r="I129" s="66"/>
      <c r="J129" s="27" t="s">
        <v>273</v>
      </c>
      <c r="K129" s="86"/>
      <c r="L129" s="1329" t="s">
        <v>616</v>
      </c>
      <c r="M129" s="1335">
        <v>4</v>
      </c>
      <c r="N129" s="4"/>
      <c r="O129" s="1310">
        <f ca="1">M129*S129*W129</f>
        <v>0</v>
      </c>
      <c r="P129" s="440" t="b">
        <v>1</v>
      </c>
      <c r="Q129" s="440" t="b">
        <v>0</v>
      </c>
      <c r="R129" s="137" t="b">
        <v>0</v>
      </c>
      <c r="S129" s="143" t="b">
        <f ca="1">IF(IFERROR(MATCH(W126,INDIRECT(U126),0),0)=4,TRUE,FALSE)</f>
        <v>0</v>
      </c>
      <c r="T129" s="97" t="b">
        <f ca="1">AND(NOT(S129),W129=TRUE)</f>
        <v>0</v>
      </c>
      <c r="U129"/>
      <c r="V129"/>
      <c r="W129" s="25"/>
      <c r="X129" s="1303"/>
      <c r="Z129"/>
      <c r="AB129"/>
      <c r="AC129" s="153" t="b">
        <f ca="1">OR(AD129:AE129)</f>
        <v>0</v>
      </c>
      <c r="AD129" s="153" t="b">
        <f ca="1">T129</f>
        <v>0</v>
      </c>
      <c r="AE129" s="153" t="b">
        <v>0</v>
      </c>
      <c r="AF129"/>
      <c r="AG129"/>
      <c r="AH129"/>
      <c r="AI129"/>
      <c r="AJ129"/>
      <c r="AK129"/>
      <c r="AL129" s="311" t="str">
        <f>SUBSTITUTE(SUBSTITUTE(SUBSTITUTE("dpa"&amp;$B129&amp;$C129&amp;$D129&amp;$E129&amp;$F129,".","_"),"(","_"),")","")</f>
        <v>dpa602_1_5_2</v>
      </c>
      <c r="AM129" s="311">
        <f>M129</f>
        <v>4</v>
      </c>
      <c r="AN129" s="311" t="str">
        <f>SUBSTITUTE(SUBSTITUTE(SUBSTITUTE("dpc"&amp;$B129&amp;$C129&amp;$D129&amp;$E129&amp;$F129,".","_"),"(","_"),")","")</f>
        <v>dpc602_1_5_2</v>
      </c>
      <c r="AO129" s="311">
        <f ca="1">O129</f>
        <v>0</v>
      </c>
      <c r="AP129" s="311" t="str">
        <f t="shared" ref="AP129" si="38">SUBSTITUTE(SUBSTITUTE(SUBSTITUTE("dch"&amp;$B129&amp;$C129&amp;$D129&amp;$E129&amp;$F129,".","_"),"(","_"),")","")</f>
        <v>dch602_1_5_2</v>
      </c>
      <c r="AQ129" s="311">
        <f>W129</f>
        <v>0</v>
      </c>
      <c r="AR129"/>
      <c r="AS129"/>
    </row>
    <row r="130" spans="1:51" x14ac:dyDescent="0.3">
      <c r="B130" s="80" t="s">
        <v>613</v>
      </c>
      <c r="C130" s="21"/>
      <c r="D130" s="21"/>
      <c r="E130" s="21" t="s">
        <v>273</v>
      </c>
      <c r="F130" s="21"/>
      <c r="G130" s="21"/>
      <c r="H130" s="1084"/>
      <c r="I130" s="66"/>
      <c r="J130" s="4"/>
      <c r="K130" s="86"/>
      <c r="L130" s="1329"/>
      <c r="M130" s="1335"/>
      <c r="N130" s="4"/>
      <c r="O130" s="1310"/>
      <c r="P130" s="440"/>
      <c r="Q130" s="440"/>
      <c r="R130"/>
      <c r="S130"/>
      <c r="T130"/>
      <c r="U130"/>
      <c r="V130"/>
      <c r="W130"/>
      <c r="X130" s="1303"/>
      <c r="Z130"/>
      <c r="AB130"/>
      <c r="AC130"/>
      <c r="AD130"/>
      <c r="AE130"/>
      <c r="AF130"/>
      <c r="AG130"/>
      <c r="AH130"/>
      <c r="AI130"/>
      <c r="AJ130"/>
      <c r="AK130"/>
      <c r="AL130"/>
      <c r="AM130"/>
      <c r="AN130"/>
      <c r="AO130"/>
      <c r="AP130"/>
      <c r="AQ130"/>
      <c r="AR130"/>
      <c r="AS130"/>
      <c r="AX130" s="175"/>
      <c r="AY130" s="175"/>
    </row>
    <row r="131" spans="1:51" s="175" customFormat="1" ht="15" thickBot="1" x14ac:dyDescent="0.35">
      <c r="A131" s="18"/>
      <c r="B131" s="80" t="s">
        <v>613</v>
      </c>
      <c r="C131" s="21"/>
      <c r="D131" s="21"/>
      <c r="E131" s="21" t="s">
        <v>273</v>
      </c>
      <c r="F131" s="21"/>
      <c r="G131" s="21"/>
      <c r="H131" s="1084"/>
      <c r="I131" s="66"/>
      <c r="J131" s="4"/>
      <c r="K131" s="86"/>
      <c r="L131" s="1329"/>
      <c r="M131" s="1335"/>
      <c r="N131" s="4"/>
      <c r="O131" s="1310"/>
      <c r="P131" s="440"/>
      <c r="Q131" s="440"/>
      <c r="X131" s="1303"/>
      <c r="Y131" s="1107"/>
      <c r="AA131" s="1110"/>
      <c r="AX131" s="65"/>
      <c r="AY131" s="65"/>
    </row>
    <row r="132" spans="1:51" ht="15" customHeight="1" thickTop="1" x14ac:dyDescent="0.3">
      <c r="B132" s="80" t="s">
        <v>617</v>
      </c>
      <c r="C132" s="21"/>
      <c r="D132" s="21"/>
      <c r="E132" s="21"/>
      <c r="F132" s="21"/>
      <c r="G132" s="21"/>
      <c r="H132" s="1084"/>
      <c r="I132" s="200" t="s">
        <v>617</v>
      </c>
      <c r="J132" s="201"/>
      <c r="K132" s="202"/>
      <c r="L132" s="1331" t="s">
        <v>618</v>
      </c>
      <c r="M132" s="517"/>
      <c r="N132" s="201"/>
      <c r="O132" s="596"/>
      <c r="P132" s="110"/>
      <c r="Q132" s="110"/>
      <c r="R132" s="110"/>
      <c r="S132" s="110"/>
      <c r="T132" s="110"/>
      <c r="U132" s="110"/>
      <c r="V132" s="110"/>
      <c r="W132" s="110"/>
      <c r="X132" s="110"/>
      <c r="Z132"/>
      <c r="AB132"/>
      <c r="AC132"/>
      <c r="AD132"/>
      <c r="AE132"/>
      <c r="AF132"/>
      <c r="AG132"/>
      <c r="AH132"/>
      <c r="AI132"/>
      <c r="AJ132"/>
      <c r="AK132"/>
      <c r="AL132"/>
      <c r="AM132"/>
      <c r="AN132"/>
      <c r="AO132"/>
      <c r="AP132"/>
      <c r="AQ132"/>
      <c r="AR132"/>
      <c r="AS132"/>
      <c r="AX132" s="150"/>
      <c r="AY132" s="150"/>
    </row>
    <row r="133" spans="1:51" s="150" customFormat="1" x14ac:dyDescent="0.3">
      <c r="A133" s="18"/>
      <c r="B133" s="80" t="s">
        <v>617</v>
      </c>
      <c r="C133" s="21"/>
      <c r="D133" s="21"/>
      <c r="E133" s="21"/>
      <c r="F133" s="21"/>
      <c r="G133" s="21"/>
      <c r="H133" s="1084"/>
      <c r="I133" s="141"/>
      <c r="J133" s="140"/>
      <c r="K133" s="98"/>
      <c r="L133" s="1313"/>
      <c r="M133" s="518"/>
      <c r="N133" s="140"/>
      <c r="O133" s="269"/>
      <c r="P133" s="97"/>
      <c r="Q133" s="97"/>
      <c r="R133" s="97"/>
      <c r="S133" s="97"/>
      <c r="T133" s="97"/>
      <c r="U133" s="97"/>
      <c r="V133" s="97"/>
      <c r="W133" s="97"/>
      <c r="X133" s="97"/>
      <c r="Y133" s="1107"/>
      <c r="AA133" s="1110"/>
      <c r="AX133" s="65"/>
      <c r="AY133" s="65"/>
    </row>
    <row r="134" spans="1:51" x14ac:dyDescent="0.3">
      <c r="B134" s="80" t="s">
        <v>617</v>
      </c>
      <c r="C134" s="21"/>
      <c r="D134" s="21"/>
      <c r="E134" s="21"/>
      <c r="F134" s="21"/>
      <c r="G134" s="21"/>
      <c r="H134" s="1084"/>
      <c r="I134" s="66"/>
      <c r="J134" s="4"/>
      <c r="K134" s="86"/>
      <c r="L134" s="356" t="s">
        <v>3237</v>
      </c>
      <c r="M134" s="522"/>
      <c r="N134" s="4"/>
      <c r="O134" s="154"/>
      <c r="P134" s="440"/>
      <c r="Q134" s="440"/>
      <c r="U134" s="97"/>
      <c r="V134"/>
      <c r="X134"/>
      <c r="Z134"/>
      <c r="AB134"/>
      <c r="AC134"/>
      <c r="AD134"/>
      <c r="AE134"/>
      <c r="AF134"/>
      <c r="AG134"/>
      <c r="AH134"/>
      <c r="AI134"/>
      <c r="AJ134"/>
      <c r="AK134"/>
      <c r="AL134"/>
      <c r="AM134"/>
      <c r="AN134"/>
      <c r="AO134"/>
      <c r="AP134"/>
      <c r="AQ134"/>
      <c r="AR134"/>
      <c r="AS134"/>
    </row>
    <row r="135" spans="1:51" x14ac:dyDescent="0.3">
      <c r="B135" s="80" t="s">
        <v>617</v>
      </c>
      <c r="C135" s="21"/>
      <c r="D135" s="21"/>
      <c r="E135" s="21" t="s">
        <v>271</v>
      </c>
      <c r="F135" s="21"/>
      <c r="G135" s="21"/>
      <c r="H135" s="1084"/>
      <c r="I135" s="66"/>
      <c r="J135" s="203" t="s">
        <v>271</v>
      </c>
      <c r="K135" s="98"/>
      <c r="L135" s="1305" t="s">
        <v>619</v>
      </c>
      <c r="M135" s="1318">
        <v>2</v>
      </c>
      <c r="N135" s="140"/>
      <c r="O135" s="1308">
        <f ca="1">M135*S135*W135</f>
        <v>0</v>
      </c>
      <c r="P135" s="440" t="b">
        <v>1</v>
      </c>
      <c r="Q135" s="440" t="b">
        <v>1</v>
      </c>
      <c r="R135" s="137" t="b">
        <v>0</v>
      </c>
      <c r="S135" s="137" t="b">
        <f ca="1">IF(IFERROR(MATCH(W126,INDIRECT(U126),0),0)=2,TRUE,FALSE)</f>
        <v>0</v>
      </c>
      <c r="T135" s="97" t="b">
        <f ca="1">AND(NOT(S135),W135=TRUE)</f>
        <v>0</v>
      </c>
      <c r="U135"/>
      <c r="V135"/>
      <c r="W135" s="25"/>
      <c r="X135" s="1303"/>
      <c r="Z135"/>
      <c r="AB135"/>
      <c r="AC135" s="143" t="b">
        <f ca="1">OR(AD135:AE135)</f>
        <v>0</v>
      </c>
      <c r="AD135" s="143" t="b">
        <f ca="1">T135</f>
        <v>0</v>
      </c>
      <c r="AE135" s="143" t="b">
        <v>0</v>
      </c>
      <c r="AF135"/>
      <c r="AG135"/>
      <c r="AH135"/>
      <c r="AI135"/>
      <c r="AJ135"/>
      <c r="AK135"/>
      <c r="AL135" s="311" t="str">
        <f>SUBSTITUTE(SUBSTITUTE(SUBSTITUTE("dpa"&amp;$B135&amp;$C135&amp;$D135&amp;$E135&amp;$F135,".","_"),"(","_"),")","")</f>
        <v>dpa602_1_6_1</v>
      </c>
      <c r="AM135" s="311">
        <f>M135</f>
        <v>2</v>
      </c>
      <c r="AN135" s="311" t="str">
        <f>SUBSTITUTE(SUBSTITUTE(SUBSTITUTE("dpc"&amp;$B135&amp;$C135&amp;$D135&amp;$E135&amp;$F135,".","_"),"(","_"),")","")</f>
        <v>dpc602_1_6_1</v>
      </c>
      <c r="AO135" s="311">
        <f ca="1">O135</f>
        <v>0</v>
      </c>
      <c r="AP135" s="311" t="str">
        <f t="shared" ref="AP135" si="39">SUBSTITUTE(SUBSTITUTE(SUBSTITUTE("dch"&amp;$B135&amp;$C135&amp;$D135&amp;$E135&amp;$F135,".","_"),"(","_"),")","")</f>
        <v>dch602_1_6_1</v>
      </c>
      <c r="AQ135" s="311">
        <f>W135</f>
        <v>0</v>
      </c>
      <c r="AR135" s="1059" t="str">
        <f>SUBSTITUTE(SUBSTITUTE(SUBSTITUTE("dnt"&amp;$B135&amp;$C135&amp;$D135&amp;$E135&amp;$F135,".","_"),"(","_"),")","")</f>
        <v>dnt602_1_6_1</v>
      </c>
      <c r="AS135" s="311">
        <f>X135</f>
        <v>0</v>
      </c>
    </row>
    <row r="136" spans="1:51" x14ac:dyDescent="0.3">
      <c r="B136" s="80" t="s">
        <v>617</v>
      </c>
      <c r="C136" s="21"/>
      <c r="D136" s="21"/>
      <c r="E136" s="21" t="s">
        <v>271</v>
      </c>
      <c r="F136" s="21"/>
      <c r="G136" s="21"/>
      <c r="H136" s="1084"/>
      <c r="I136" s="66"/>
      <c r="J136" s="140"/>
      <c r="K136" s="98"/>
      <c r="L136" s="1305"/>
      <c r="M136" s="1318"/>
      <c r="N136" s="140"/>
      <c r="O136" s="1308"/>
      <c r="P136" s="440"/>
      <c r="Q136" s="440"/>
      <c r="R136"/>
      <c r="S136"/>
      <c r="T136"/>
      <c r="U136"/>
      <c r="V136"/>
      <c r="W136"/>
      <c r="X136" s="1303"/>
      <c r="Z136"/>
      <c r="AB136"/>
      <c r="AC136"/>
      <c r="AD136"/>
      <c r="AE136"/>
      <c r="AF136"/>
      <c r="AG136"/>
      <c r="AH136"/>
      <c r="AI136"/>
      <c r="AJ136"/>
      <c r="AK136"/>
      <c r="AL136"/>
      <c r="AM136"/>
      <c r="AN136"/>
      <c r="AO136"/>
      <c r="AP136"/>
      <c r="AQ136"/>
      <c r="AR136"/>
      <c r="AS136"/>
    </row>
    <row r="137" spans="1:51" x14ac:dyDescent="0.3">
      <c r="B137" s="80" t="s">
        <v>617</v>
      </c>
      <c r="C137" s="21"/>
      <c r="D137" s="21"/>
      <c r="E137" s="21" t="s">
        <v>271</v>
      </c>
      <c r="F137" s="21"/>
      <c r="G137" s="21"/>
      <c r="H137" s="1084"/>
      <c r="I137" s="66"/>
      <c r="J137" s="140"/>
      <c r="K137" s="98"/>
      <c r="L137" s="1305"/>
      <c r="M137" s="1318"/>
      <c r="N137" s="140"/>
      <c r="O137" s="1308"/>
      <c r="P137" s="440"/>
      <c r="Q137" s="440"/>
      <c r="R137"/>
      <c r="S137"/>
      <c r="T137"/>
      <c r="U137"/>
      <c r="V137"/>
      <c r="W137"/>
      <c r="X137" s="1303"/>
      <c r="Z137"/>
      <c r="AB137"/>
      <c r="AC137"/>
      <c r="AD137"/>
      <c r="AE137"/>
      <c r="AF137"/>
      <c r="AG137"/>
      <c r="AH137"/>
      <c r="AI137"/>
      <c r="AJ137"/>
      <c r="AK137"/>
      <c r="AL137"/>
      <c r="AM137"/>
      <c r="AN137"/>
      <c r="AO137"/>
      <c r="AP137"/>
      <c r="AQ137"/>
      <c r="AR137"/>
      <c r="AS137"/>
      <c r="AX137" s="143"/>
      <c r="AY137" s="143"/>
    </row>
    <row r="138" spans="1:51" s="143" customFormat="1" x14ac:dyDescent="0.3">
      <c r="A138" s="18"/>
      <c r="B138" s="80" t="s">
        <v>617</v>
      </c>
      <c r="C138" s="21"/>
      <c r="D138" s="21"/>
      <c r="E138" s="21" t="s">
        <v>271</v>
      </c>
      <c r="F138" s="21"/>
      <c r="G138" s="21"/>
      <c r="H138" s="1084"/>
      <c r="I138" s="66"/>
      <c r="J138" s="238"/>
      <c r="K138" s="193"/>
      <c r="L138" s="1306"/>
      <c r="M138" s="1319"/>
      <c r="N138" s="238"/>
      <c r="O138" s="1309"/>
      <c r="P138" s="440"/>
      <c r="Q138" s="440"/>
      <c r="X138" s="1303"/>
      <c r="Y138" s="1107"/>
      <c r="AA138" s="1110"/>
      <c r="AX138" s="65"/>
      <c r="AY138" s="65"/>
    </row>
    <row r="139" spans="1:51" x14ac:dyDescent="0.3">
      <c r="B139" s="80" t="s">
        <v>617</v>
      </c>
      <c r="C139" s="21"/>
      <c r="D139" s="21"/>
      <c r="E139" s="21" t="s">
        <v>273</v>
      </c>
      <c r="F139" s="21"/>
      <c r="G139" s="21"/>
      <c r="H139" s="1084"/>
      <c r="I139" s="66"/>
      <c r="J139" s="237" t="s">
        <v>273</v>
      </c>
      <c r="K139" s="217"/>
      <c r="L139" s="1356" t="s">
        <v>620</v>
      </c>
      <c r="M139" s="1323">
        <v>4</v>
      </c>
      <c r="N139" s="216"/>
      <c r="O139" s="1324">
        <f ca="1">M139*S139*W139</f>
        <v>0</v>
      </c>
      <c r="P139" s="440" t="b">
        <v>1</v>
      </c>
      <c r="Q139" s="440" t="b">
        <v>1</v>
      </c>
      <c r="R139" s="137" t="b">
        <v>0</v>
      </c>
      <c r="S139" s="143" t="b">
        <f ca="1">IF(IFERROR(MATCH(W126,INDIRECT(U126),0),0)=3,TRUE,FALSE)</f>
        <v>1</v>
      </c>
      <c r="T139" s="97" t="b">
        <f ca="1">AND(NOT(S139),W139=TRUE)</f>
        <v>0</v>
      </c>
      <c r="U139"/>
      <c r="V139"/>
      <c r="W139" s="25"/>
      <c r="X139" s="1303"/>
      <c r="Z139"/>
      <c r="AB139"/>
      <c r="AC139" s="143" t="b">
        <f ca="1">OR(AD139:AE139)</f>
        <v>0</v>
      </c>
      <c r="AD139" s="143" t="b">
        <f ca="1">T139</f>
        <v>0</v>
      </c>
      <c r="AE139" s="143" t="b">
        <v>0</v>
      </c>
      <c r="AF139"/>
      <c r="AG139"/>
      <c r="AH139"/>
      <c r="AI139"/>
      <c r="AJ139"/>
      <c r="AK139"/>
      <c r="AL139" s="311" t="str">
        <f>SUBSTITUTE(SUBSTITUTE(SUBSTITUTE("dpa"&amp;$B139&amp;$C139&amp;$D139&amp;$E139&amp;$F139,".","_"),"(","_"),")","")</f>
        <v>dpa602_1_6_2</v>
      </c>
      <c r="AM139" s="311">
        <f>M139</f>
        <v>4</v>
      </c>
      <c r="AN139" s="311" t="str">
        <f>SUBSTITUTE(SUBSTITUTE(SUBSTITUTE("dpc"&amp;$B139&amp;$C139&amp;$D139&amp;$E139&amp;$F139,".","_"),"(","_"),")","")</f>
        <v>dpc602_1_6_2</v>
      </c>
      <c r="AO139" s="311">
        <f ca="1">O139</f>
        <v>0</v>
      </c>
      <c r="AP139" s="311" t="str">
        <f t="shared" ref="AP139" si="40">SUBSTITUTE(SUBSTITUTE(SUBSTITUTE("dch"&amp;$B139&amp;$C139&amp;$D139&amp;$E139&amp;$F139,".","_"),"(","_"),")","")</f>
        <v>dch602_1_6_2</v>
      </c>
      <c r="AQ139" s="311">
        <f>W139</f>
        <v>0</v>
      </c>
      <c r="AR139"/>
      <c r="AS139"/>
    </row>
    <row r="140" spans="1:51" x14ac:dyDescent="0.3">
      <c r="B140" s="80" t="s">
        <v>617</v>
      </c>
      <c r="C140" s="21"/>
      <c r="D140" s="21"/>
      <c r="E140" s="21" t="s">
        <v>273</v>
      </c>
      <c r="F140" s="21"/>
      <c r="G140" s="21"/>
      <c r="H140" s="1084"/>
      <c r="I140" s="66"/>
      <c r="J140" s="140"/>
      <c r="K140" s="98"/>
      <c r="L140" s="1305"/>
      <c r="M140" s="1318"/>
      <c r="N140" s="140"/>
      <c r="O140" s="1308"/>
      <c r="P140" s="440"/>
      <c r="Q140" s="440"/>
      <c r="R140"/>
      <c r="S140"/>
      <c r="T140"/>
      <c r="U140"/>
      <c r="V140"/>
      <c r="W140"/>
      <c r="X140" s="1303"/>
      <c r="Z140"/>
      <c r="AB140"/>
      <c r="AC140"/>
      <c r="AD140"/>
      <c r="AE140"/>
      <c r="AF140"/>
      <c r="AG140"/>
      <c r="AH140"/>
      <c r="AI140"/>
      <c r="AJ140"/>
      <c r="AK140"/>
      <c r="AL140"/>
      <c r="AM140"/>
      <c r="AN140"/>
      <c r="AO140"/>
      <c r="AP140"/>
      <c r="AQ140"/>
      <c r="AR140"/>
      <c r="AS140"/>
    </row>
    <row r="141" spans="1:51" x14ac:dyDescent="0.3">
      <c r="B141" s="80" t="s">
        <v>617</v>
      </c>
      <c r="C141" s="21"/>
      <c r="D141" s="21"/>
      <c r="E141" s="21" t="s">
        <v>273</v>
      </c>
      <c r="F141" s="21"/>
      <c r="G141" s="21"/>
      <c r="H141" s="1084"/>
      <c r="I141" s="66"/>
      <c r="J141" s="140"/>
      <c r="K141" s="98"/>
      <c r="L141" s="1305"/>
      <c r="M141" s="1318"/>
      <c r="N141" s="140"/>
      <c r="O141" s="1308"/>
      <c r="P141" s="440"/>
      <c r="Q141" s="440"/>
      <c r="R141"/>
      <c r="S141"/>
      <c r="T141"/>
      <c r="U141"/>
      <c r="V141"/>
      <c r="W141"/>
      <c r="X141" s="1303"/>
      <c r="Z141"/>
      <c r="AB141"/>
      <c r="AC141"/>
      <c r="AD141"/>
      <c r="AE141"/>
      <c r="AF141"/>
      <c r="AG141"/>
      <c r="AH141"/>
      <c r="AI141"/>
      <c r="AJ141"/>
      <c r="AK141"/>
      <c r="AL141"/>
      <c r="AM141"/>
      <c r="AN141"/>
      <c r="AO141"/>
      <c r="AP141"/>
      <c r="AQ141"/>
      <c r="AR141"/>
      <c r="AS141"/>
      <c r="AX141" s="143"/>
      <c r="AY141" s="143"/>
    </row>
    <row r="142" spans="1:51" s="143" customFormat="1" x14ac:dyDescent="0.3">
      <c r="A142" s="18"/>
      <c r="B142" s="80" t="s">
        <v>617</v>
      </c>
      <c r="C142" s="21"/>
      <c r="D142" s="21"/>
      <c r="E142" s="21" t="s">
        <v>273</v>
      </c>
      <c r="F142" s="21"/>
      <c r="G142" s="21"/>
      <c r="H142" s="1084"/>
      <c r="I142" s="66"/>
      <c r="J142" s="238"/>
      <c r="K142" s="193"/>
      <c r="L142" s="1306"/>
      <c r="M142" s="1319"/>
      <c r="N142" s="238"/>
      <c r="O142" s="1309"/>
      <c r="P142" s="440"/>
      <c r="Q142" s="440"/>
      <c r="X142" s="1303"/>
      <c r="Y142" s="1107"/>
      <c r="AA142" s="1110"/>
      <c r="AX142" s="65"/>
      <c r="AY142" s="65"/>
    </row>
    <row r="143" spans="1:51" x14ac:dyDescent="0.3">
      <c r="B143" s="80" t="s">
        <v>617</v>
      </c>
      <c r="C143" s="21"/>
      <c r="D143" s="21"/>
      <c r="E143" s="21" t="s">
        <v>275</v>
      </c>
      <c r="F143" s="21"/>
      <c r="G143" s="21"/>
      <c r="H143" s="1084"/>
      <c r="I143" s="66"/>
      <c r="J143" s="27" t="s">
        <v>275</v>
      </c>
      <c r="K143" s="86"/>
      <c r="L143" s="1329" t="s">
        <v>621</v>
      </c>
      <c r="M143" s="1335">
        <v>6</v>
      </c>
      <c r="N143" s="4"/>
      <c r="O143" s="1310">
        <f ca="1">M143*S143*W143</f>
        <v>0</v>
      </c>
      <c r="P143" s="440" t="b">
        <v>1</v>
      </c>
      <c r="Q143" s="440" t="b">
        <v>1</v>
      </c>
      <c r="R143" s="137" t="b">
        <v>0</v>
      </c>
      <c r="S143" s="143" t="b">
        <f ca="1">IF(IFERROR(MATCH(W126,INDIRECT(U126),0),0)=4,TRUE,FALSE)</f>
        <v>0</v>
      </c>
      <c r="T143" s="97" t="b">
        <f ca="1">AND(NOT(S143),W143=TRUE)</f>
        <v>0</v>
      </c>
      <c r="U143"/>
      <c r="V143"/>
      <c r="W143" s="25"/>
      <c r="X143" s="1303"/>
      <c r="Z143"/>
      <c r="AB143"/>
      <c r="AC143" s="143" t="b">
        <f ca="1">OR(AD143:AE143)</f>
        <v>0</v>
      </c>
      <c r="AD143" s="143" t="b">
        <f ca="1">T143</f>
        <v>0</v>
      </c>
      <c r="AE143" s="143" t="b">
        <v>0</v>
      </c>
      <c r="AF143"/>
      <c r="AG143"/>
      <c r="AH143"/>
      <c r="AI143"/>
      <c r="AJ143"/>
      <c r="AK143"/>
      <c r="AL143" s="311" t="str">
        <f>SUBSTITUTE(SUBSTITUTE(SUBSTITUTE("dpa"&amp;$B143&amp;$C143&amp;$D143&amp;$E143&amp;$F143,".","_"),"(","_"),")","")</f>
        <v>dpa602_1_6_3</v>
      </c>
      <c r="AM143" s="311">
        <f>M143</f>
        <v>6</v>
      </c>
      <c r="AN143" s="311" t="str">
        <f>SUBSTITUTE(SUBSTITUTE(SUBSTITUTE("dpc"&amp;$B143&amp;$C143&amp;$D143&amp;$E143&amp;$F143,".","_"),"(","_"),")","")</f>
        <v>dpc602_1_6_3</v>
      </c>
      <c r="AO143" s="311">
        <f ca="1">O143</f>
        <v>0</v>
      </c>
      <c r="AP143" s="311" t="str">
        <f t="shared" ref="AP143" si="41">SUBSTITUTE(SUBSTITUTE(SUBSTITUTE("dch"&amp;$B143&amp;$C143&amp;$D143&amp;$E143&amp;$F143,".","_"),"(","_"),")","")</f>
        <v>dch602_1_6_3</v>
      </c>
      <c r="AQ143" s="311">
        <f>W143</f>
        <v>0</v>
      </c>
      <c r="AR143"/>
      <c r="AS143"/>
    </row>
    <row r="144" spans="1:51" x14ac:dyDescent="0.3">
      <c r="B144" s="80" t="s">
        <v>617</v>
      </c>
      <c r="C144" s="21"/>
      <c r="D144" s="21"/>
      <c r="E144" s="21" t="s">
        <v>275</v>
      </c>
      <c r="F144" s="21"/>
      <c r="G144" s="21"/>
      <c r="H144" s="1084"/>
      <c r="I144" s="66"/>
      <c r="J144" s="4"/>
      <c r="K144" s="86"/>
      <c r="L144" s="1329"/>
      <c r="M144" s="1335"/>
      <c r="N144" s="4"/>
      <c r="O144" s="1310"/>
      <c r="P144" s="440"/>
      <c r="Q144" s="440"/>
      <c r="R144"/>
      <c r="S144"/>
      <c r="T144"/>
      <c r="U144"/>
      <c r="V144"/>
      <c r="W144"/>
      <c r="X144" s="1303"/>
      <c r="Z144"/>
      <c r="AB144"/>
      <c r="AC144"/>
      <c r="AD144"/>
      <c r="AE144"/>
      <c r="AF144"/>
      <c r="AG144"/>
      <c r="AH144"/>
      <c r="AI144"/>
      <c r="AJ144"/>
      <c r="AK144"/>
      <c r="AL144"/>
      <c r="AM144"/>
      <c r="AN144"/>
      <c r="AO144"/>
      <c r="AP144"/>
      <c r="AQ144"/>
      <c r="AR144"/>
      <c r="AS144"/>
    </row>
    <row r="145" spans="1:51" ht="15" thickBot="1" x14ac:dyDescent="0.35">
      <c r="B145" s="80" t="s">
        <v>617</v>
      </c>
      <c r="C145" s="21"/>
      <c r="D145" s="21"/>
      <c r="E145" s="21" t="s">
        <v>275</v>
      </c>
      <c r="F145" s="21"/>
      <c r="G145" s="21"/>
      <c r="H145" s="1084"/>
      <c r="I145" s="66"/>
      <c r="J145" s="4"/>
      <c r="K145" s="86"/>
      <c r="L145" s="1329"/>
      <c r="M145" s="1335"/>
      <c r="N145" s="4"/>
      <c r="O145" s="1310"/>
      <c r="P145" s="440"/>
      <c r="Q145" s="440"/>
      <c r="R145"/>
      <c r="S145"/>
      <c r="T145"/>
      <c r="U145"/>
      <c r="V145"/>
      <c r="W145"/>
      <c r="X145" s="1337"/>
      <c r="Z145"/>
      <c r="AB145"/>
      <c r="AC145"/>
      <c r="AD145"/>
      <c r="AE145"/>
      <c r="AF145"/>
      <c r="AG145"/>
      <c r="AH145"/>
      <c r="AI145"/>
      <c r="AJ145"/>
      <c r="AK145"/>
      <c r="AL145"/>
      <c r="AM145"/>
      <c r="AN145"/>
      <c r="AO145"/>
      <c r="AP145"/>
      <c r="AQ145"/>
      <c r="AR145"/>
      <c r="AS145"/>
    </row>
    <row r="146" spans="1:51" ht="15" thickTop="1" x14ac:dyDescent="0.3">
      <c r="B146" s="80" t="s">
        <v>622</v>
      </c>
      <c r="C146" s="21"/>
      <c r="D146" s="21"/>
      <c r="E146" s="21"/>
      <c r="F146" s="21"/>
      <c r="G146" s="21"/>
      <c r="H146" s="1084"/>
      <c r="I146" s="200" t="s">
        <v>622</v>
      </c>
      <c r="J146" s="201"/>
      <c r="K146" s="202"/>
      <c r="L146" s="367" t="s">
        <v>623</v>
      </c>
      <c r="M146" s="517"/>
      <c r="N146" s="201"/>
      <c r="O146" s="596"/>
      <c r="P146" s="110"/>
      <c r="Q146" s="110"/>
      <c r="R146" s="110"/>
      <c r="S146" s="110"/>
      <c r="T146" s="110"/>
      <c r="U146" s="110"/>
      <c r="V146" s="110"/>
      <c r="W146" s="110"/>
      <c r="X146" s="110"/>
      <c r="Z146"/>
      <c r="AB146"/>
      <c r="AC146"/>
      <c r="AD146"/>
      <c r="AE146"/>
      <c r="AF146"/>
      <c r="AG146"/>
      <c r="AH146"/>
      <c r="AI146"/>
      <c r="AJ146"/>
      <c r="AK146"/>
      <c r="AL146"/>
      <c r="AM146"/>
      <c r="AN146"/>
      <c r="AO146"/>
      <c r="AP146"/>
      <c r="AQ146"/>
      <c r="AR146"/>
      <c r="AS146"/>
    </row>
    <row r="147" spans="1:51" x14ac:dyDescent="0.3">
      <c r="B147" s="938" t="s">
        <v>624</v>
      </c>
      <c r="C147" s="938"/>
      <c r="D147" s="21"/>
      <c r="E147" s="21"/>
      <c r="F147" s="21"/>
      <c r="G147" s="21"/>
      <c r="H147" s="1084"/>
      <c r="I147" s="66" t="s">
        <v>624</v>
      </c>
      <c r="J147" s="4"/>
      <c r="K147" s="86"/>
      <c r="L147" s="355" t="s">
        <v>625</v>
      </c>
      <c r="M147" s="522"/>
      <c r="N147" s="4"/>
      <c r="O147" s="154"/>
      <c r="P147" s="440"/>
      <c r="Q147" s="440"/>
      <c r="R147"/>
      <c r="S147"/>
      <c r="T147"/>
      <c r="U147"/>
      <c r="V147"/>
      <c r="W147"/>
      <c r="X147"/>
      <c r="Z147"/>
      <c r="AB147"/>
      <c r="AC147"/>
      <c r="AD147"/>
      <c r="AE147"/>
      <c r="AF147"/>
      <c r="AG147"/>
      <c r="AH147"/>
      <c r="AI147"/>
      <c r="AJ147"/>
      <c r="AK147"/>
      <c r="AL147"/>
      <c r="AM147"/>
      <c r="AN147"/>
      <c r="AO147"/>
      <c r="AP147"/>
      <c r="AQ147"/>
      <c r="AR147"/>
      <c r="AS147"/>
    </row>
    <row r="148" spans="1:51" x14ac:dyDescent="0.3">
      <c r="B148" s="938" t="s">
        <v>624</v>
      </c>
      <c r="C148" s="938"/>
      <c r="D148" s="21"/>
      <c r="E148" s="21" t="s">
        <v>271</v>
      </c>
      <c r="F148" s="21"/>
      <c r="G148" s="21"/>
      <c r="H148" s="1084"/>
      <c r="I148" s="66"/>
      <c r="J148" s="203" t="s">
        <v>271</v>
      </c>
      <c r="K148" s="98"/>
      <c r="L148" s="1305" t="s">
        <v>626</v>
      </c>
      <c r="M148" s="1318">
        <v>2</v>
      </c>
      <c r="N148" s="140"/>
      <c r="O148" s="1308">
        <f>M148*S148*W148</f>
        <v>2</v>
      </c>
      <c r="P148" s="440" t="b">
        <v>1</v>
      </c>
      <c r="Q148" s="440" t="b">
        <v>0</v>
      </c>
      <c r="R148" s="137" t="b">
        <v>0</v>
      </c>
      <c r="S148" s="137" t="b">
        <v>1</v>
      </c>
      <c r="T148" s="137" t="b">
        <v>0</v>
      </c>
      <c r="U148"/>
      <c r="V148"/>
      <c r="W148" s="25" t="b">
        <v>1</v>
      </c>
      <c r="X148" s="1303" t="s">
        <v>4790</v>
      </c>
      <c r="Z148"/>
      <c r="AB148"/>
      <c r="AC148"/>
      <c r="AD148"/>
      <c r="AE148"/>
      <c r="AF148"/>
      <c r="AG148"/>
      <c r="AH148"/>
      <c r="AI148"/>
      <c r="AJ148"/>
      <c r="AK148"/>
      <c r="AL148" s="311" t="str">
        <f>SUBSTITUTE(SUBSTITUTE(SUBSTITUTE("dpa"&amp;$B148&amp;$C148&amp;$D148&amp;$E148&amp;$F148,".","_"),"(","_"),")","")</f>
        <v>dpa602_1_7_1_1</v>
      </c>
      <c r="AM148" s="311">
        <f>M148</f>
        <v>2</v>
      </c>
      <c r="AN148" s="311" t="str">
        <f>SUBSTITUTE(SUBSTITUTE(SUBSTITUTE("dpc"&amp;$B148&amp;$C148&amp;$D148&amp;$E148&amp;$F148,".","_"),"(","_"),")","")</f>
        <v>dpc602_1_7_1_1</v>
      </c>
      <c r="AO148" s="311">
        <f>O148</f>
        <v>2</v>
      </c>
      <c r="AP148" s="311" t="str">
        <f t="shared" ref="AP148" si="42">SUBSTITUTE(SUBSTITUTE(SUBSTITUTE("dch"&amp;$B148&amp;$C148&amp;$D148&amp;$E148&amp;$F148,".","_"),"(","_"),")","")</f>
        <v>dch602_1_7_1_1</v>
      </c>
      <c r="AQ148" s="311" t="b">
        <f>W148</f>
        <v>1</v>
      </c>
      <c r="AR148" s="1059" t="str">
        <f>SUBSTITUTE(SUBSTITUTE(SUBSTITUTE("dnt"&amp;$B148&amp;$C148&amp;$D148&amp;$E148&amp;$F148,".","_"),"(","_"),")","")</f>
        <v>dnt602_1_7_1_1</v>
      </c>
      <c r="AS148" s="311" t="str">
        <f>X148</f>
        <v>ZERH Requirement - ENERGY STAR Certified Homes National Water Mangement Requirements, Section 4.4 Water Damaged Materials</v>
      </c>
    </row>
    <row r="149" spans="1:51" x14ac:dyDescent="0.3">
      <c r="B149" s="938" t="s">
        <v>624</v>
      </c>
      <c r="C149" s="938"/>
      <c r="D149" s="21"/>
      <c r="E149" s="21" t="s">
        <v>271</v>
      </c>
      <c r="F149" s="21"/>
      <c r="G149" s="21"/>
      <c r="H149" s="1084"/>
      <c r="I149" s="66"/>
      <c r="J149" s="238"/>
      <c r="K149" s="193"/>
      <c r="L149" s="1306"/>
      <c r="M149" s="1319"/>
      <c r="N149" s="238"/>
      <c r="O149" s="1309"/>
      <c r="P149" s="440"/>
      <c r="Q149" s="440"/>
      <c r="R149"/>
      <c r="S149"/>
      <c r="T149"/>
      <c r="U149"/>
      <c r="V149"/>
      <c r="W149"/>
      <c r="X149" s="1303"/>
      <c r="Z149"/>
      <c r="AB149"/>
      <c r="AC149"/>
      <c r="AD149"/>
      <c r="AE149"/>
      <c r="AF149"/>
      <c r="AG149"/>
      <c r="AH149"/>
      <c r="AI149"/>
      <c r="AJ149"/>
      <c r="AK149"/>
      <c r="AL149"/>
      <c r="AM149"/>
      <c r="AN149"/>
      <c r="AO149"/>
      <c r="AP149"/>
      <c r="AQ149"/>
      <c r="AR149"/>
      <c r="AS149"/>
    </row>
    <row r="150" spans="1:51" x14ac:dyDescent="0.3">
      <c r="B150" s="938" t="s">
        <v>624</v>
      </c>
      <c r="C150" s="938"/>
      <c r="D150" s="21"/>
      <c r="E150" s="21" t="s">
        <v>273</v>
      </c>
      <c r="F150" s="21"/>
      <c r="G150" s="21"/>
      <c r="H150" s="1084"/>
      <c r="I150" s="66"/>
      <c r="J150" s="203" t="s">
        <v>273</v>
      </c>
      <c r="K150" s="98"/>
      <c r="L150" s="1305" t="s">
        <v>627</v>
      </c>
      <c r="M150" s="1353" t="str">
        <f>IF(R150,"Mandatory
2","N/A")</f>
        <v>Mandatory
2</v>
      </c>
      <c r="N150" s="140"/>
      <c r="O150" s="1308">
        <f>IF(AND(S150,W150="Met"),2,0)</f>
        <v>2</v>
      </c>
      <c r="P150" s="440" t="b">
        <v>1</v>
      </c>
      <c r="Q150" s="440" t="b">
        <v>0</v>
      </c>
      <c r="R150" s="153" t="b">
        <f>S150</f>
        <v>1</v>
      </c>
      <c r="S150" s="137" t="b">
        <v>1</v>
      </c>
      <c r="T150" s="137" t="b">
        <v>0</v>
      </c>
      <c r="U150" s="97" t="str">
        <f>SUBSTITUTE(SUBSTITUTE(SUBSTITUTE("dd"&amp;B150&amp;C150&amp;D150&amp;E150&amp;F150,".","_"),"(","_"),")","")</f>
        <v>dd602_1_7_1_2</v>
      </c>
      <c r="V150"/>
      <c r="W150" s="12" t="s">
        <v>3242</v>
      </c>
      <c r="X150" s="1303" t="s">
        <v>4791</v>
      </c>
      <c r="Z150"/>
      <c r="AB150"/>
      <c r="AC150" s="143" t="b">
        <f>OR(AD150:AE150)</f>
        <v>0</v>
      </c>
      <c r="AD150" s="143" t="b">
        <f>T150</f>
        <v>0</v>
      </c>
      <c r="AE150" s="143" t="b">
        <f>OR(AND(R150,NOT(W150="Met"),NOT(W150="N/A")),AND(W150="N/A",ISBLANK(X150)))</f>
        <v>0</v>
      </c>
      <c r="AF150"/>
      <c r="AG150"/>
      <c r="AH150"/>
      <c r="AI150"/>
      <c r="AJ150"/>
      <c r="AK150"/>
      <c r="AL150" s="311" t="str">
        <f>SUBSTITUTE(SUBSTITUTE(SUBSTITUTE("dpa"&amp;$B150&amp;$C150&amp;$D150&amp;$E150&amp;$F150,".","_"),"(","_"),")","")</f>
        <v>dpa602_1_7_1_2</v>
      </c>
      <c r="AM150" s="311" t="str">
        <f>M150</f>
        <v>Mandatory
2</v>
      </c>
      <c r="AN150" s="311" t="str">
        <f>SUBSTITUTE(SUBSTITUTE(SUBSTITUTE("dpc"&amp;$B150&amp;$C150&amp;$D150&amp;$E150&amp;$F150,".","_"),"(","_"),")","")</f>
        <v>dpc602_1_7_1_2</v>
      </c>
      <c r="AO150" s="311">
        <f>O150</f>
        <v>2</v>
      </c>
      <c r="AP150" s="311" t="str">
        <f t="shared" ref="AP150" si="43">SUBSTITUTE(SUBSTITUTE(SUBSTITUTE("dch"&amp;$B150&amp;$C150&amp;$D150&amp;$E150&amp;$F150,".","_"),"(","_"),")","")</f>
        <v>dch602_1_7_1_2</v>
      </c>
      <c r="AQ150" s="311" t="str">
        <f>W150</f>
        <v>Met</v>
      </c>
      <c r="AR150" s="1059" t="str">
        <f>SUBSTITUTE(SUBSTITUTE(SUBSTITUTE("dnt"&amp;$B150&amp;$C150&amp;$D150&amp;$E150&amp;$F150,".","_"),"(","_"),")","")</f>
        <v>dnt602_1_7_1_2</v>
      </c>
      <c r="AS150" s="311" t="str">
        <f>X150</f>
        <v>ZERH Requirement - ENERGY STAR Certified Homes National Water Mangement Requirements, Section 4.5 Framing Members Moisture Content</v>
      </c>
    </row>
    <row r="151" spans="1:51" x14ac:dyDescent="0.3">
      <c r="B151" s="938" t="s">
        <v>624</v>
      </c>
      <c r="C151" s="938"/>
      <c r="D151" s="21"/>
      <c r="E151" s="21" t="s">
        <v>273</v>
      </c>
      <c r="F151" s="21"/>
      <c r="G151" s="21"/>
      <c r="H151" s="1084"/>
      <c r="I151" s="66"/>
      <c r="J151" s="140"/>
      <c r="K151" s="98"/>
      <c r="L151" s="1305"/>
      <c r="M151" s="1353"/>
      <c r="N151" s="140"/>
      <c r="O151" s="1308"/>
      <c r="P151" s="440"/>
      <c r="Q151" s="440"/>
      <c r="R151"/>
      <c r="S151"/>
      <c r="T151"/>
      <c r="U151"/>
      <c r="V151"/>
      <c r="W151"/>
      <c r="X151" s="1303"/>
      <c r="Z151"/>
      <c r="AB151"/>
      <c r="AC151" s="153"/>
      <c r="AD151" s="153"/>
      <c r="AE151" s="153"/>
      <c r="AF151"/>
      <c r="AG151"/>
      <c r="AH151"/>
      <c r="AI151"/>
      <c r="AJ151"/>
      <c r="AK151"/>
      <c r="AL151"/>
      <c r="AM151"/>
      <c r="AN151"/>
      <c r="AO151"/>
      <c r="AP151"/>
      <c r="AQ151"/>
      <c r="AR151"/>
      <c r="AS151"/>
      <c r="AX151" s="143"/>
      <c r="AY151" s="143"/>
    </row>
    <row r="152" spans="1:51" s="143" customFormat="1" x14ac:dyDescent="0.3">
      <c r="A152" s="18"/>
      <c r="B152" s="938" t="s">
        <v>624</v>
      </c>
      <c r="C152" s="938"/>
      <c r="D152" s="21"/>
      <c r="E152" s="21" t="s">
        <v>273</v>
      </c>
      <c r="F152" s="21"/>
      <c r="G152" s="21"/>
      <c r="H152" s="1084"/>
      <c r="I152" s="66"/>
      <c r="J152" s="238"/>
      <c r="K152" s="193"/>
      <c r="L152" s="245" t="s">
        <v>1304</v>
      </c>
      <c r="M152" s="1354"/>
      <c r="N152" s="238"/>
      <c r="O152" s="1309"/>
      <c r="P152" s="440"/>
      <c r="Q152" s="440"/>
      <c r="X152" s="1303"/>
      <c r="Y152" s="1107"/>
      <c r="AA152" s="1110"/>
      <c r="AX152" s="65"/>
      <c r="AY152" s="65"/>
    </row>
    <row r="153" spans="1:51" x14ac:dyDescent="0.3">
      <c r="B153" s="938" t="s">
        <v>624</v>
      </c>
      <c r="C153" s="938"/>
      <c r="D153" s="21"/>
      <c r="E153" s="21" t="s">
        <v>275</v>
      </c>
      <c r="F153" s="21"/>
      <c r="G153" s="21"/>
      <c r="H153" s="1084"/>
      <c r="I153" s="141"/>
      <c r="J153" s="203" t="s">
        <v>275</v>
      </c>
      <c r="K153" s="98"/>
      <c r="L153" s="1305" t="s">
        <v>628</v>
      </c>
      <c r="M153" s="1360">
        <v>4</v>
      </c>
      <c r="N153" s="140"/>
      <c r="O153" s="1308">
        <f>M153*S153*W153</f>
        <v>4</v>
      </c>
      <c r="P153" s="440" t="b">
        <v>1</v>
      </c>
      <c r="Q153" s="440" t="b">
        <v>0</v>
      </c>
      <c r="R153" s="137" t="b">
        <v>0</v>
      </c>
      <c r="S153" s="137" t="b">
        <v>1</v>
      </c>
      <c r="T153" s="137" t="b">
        <v>0</v>
      </c>
      <c r="U153"/>
      <c r="V153"/>
      <c r="W153" s="25" t="b">
        <v>1</v>
      </c>
      <c r="X153" s="1303" t="s">
        <v>4792</v>
      </c>
      <c r="Z153"/>
      <c r="AB153"/>
      <c r="AC153"/>
      <c r="AD153"/>
      <c r="AE153"/>
      <c r="AF153"/>
      <c r="AG153"/>
      <c r="AH153"/>
      <c r="AI153"/>
      <c r="AJ153"/>
      <c r="AK153"/>
      <c r="AL153" s="311" t="str">
        <f>SUBSTITUTE(SUBSTITUTE(SUBSTITUTE("dpa"&amp;$B153&amp;$C153&amp;$D153&amp;$E153&amp;$F153,".","_"),"(","_"),")","")</f>
        <v>dpa602_1_7_1_3</v>
      </c>
      <c r="AM153" s="311">
        <f>M153</f>
        <v>4</v>
      </c>
      <c r="AN153" s="311" t="str">
        <f>SUBSTITUTE(SUBSTITUTE(SUBSTITUTE("dpc"&amp;$B153&amp;$C153&amp;$D153&amp;$E153&amp;$F153,".","_"),"(","_"),")","")</f>
        <v>dpc602_1_7_1_3</v>
      </c>
      <c r="AO153" s="311">
        <f>O153</f>
        <v>4</v>
      </c>
      <c r="AP153" s="311" t="str">
        <f t="shared" ref="AP153" si="44">SUBSTITUTE(SUBSTITUTE(SUBSTITUTE("dch"&amp;$B153&amp;$C153&amp;$D153&amp;$E153&amp;$F153,".","_"),"(","_"),")","")</f>
        <v>dch602_1_7_1_3</v>
      </c>
      <c r="AQ153" s="311" t="b">
        <f>W153</f>
        <v>1</v>
      </c>
      <c r="AR153" s="1059" t="str">
        <f>SUBSTITUTE(SUBSTITUTE(SUBSTITUTE("dnt"&amp;$B153&amp;$C153&amp;$D153&amp;$E153&amp;$F153,".","_"),"(","_"),")","")</f>
        <v>dnt602_1_7_1_3</v>
      </c>
      <c r="AS153" s="311" t="str">
        <f>X153</f>
        <v>ZERH Requirement - ENERGY STAR Certified Homes National Water Management Requirements, Footnote 18, Lumber Moisture Content</v>
      </c>
    </row>
    <row r="154" spans="1:51" x14ac:dyDescent="0.3">
      <c r="B154" s="938" t="s">
        <v>624</v>
      </c>
      <c r="C154" s="938"/>
      <c r="D154" s="21"/>
      <c r="E154" s="21" t="s">
        <v>275</v>
      </c>
      <c r="F154" s="21"/>
      <c r="G154" s="21"/>
      <c r="H154" s="1084"/>
      <c r="I154" s="244"/>
      <c r="J154" s="238"/>
      <c r="K154" s="193"/>
      <c r="L154" s="1306"/>
      <c r="M154" s="1363"/>
      <c r="N154" s="238"/>
      <c r="O154" s="1309"/>
      <c r="P154" s="440"/>
      <c r="Q154" s="440"/>
      <c r="R154"/>
      <c r="S154"/>
      <c r="T154"/>
      <c r="U154"/>
      <c r="V154"/>
      <c r="W154"/>
      <c r="X154" s="1303"/>
      <c r="Z154"/>
      <c r="AB154"/>
      <c r="AC154"/>
      <c r="AD154"/>
      <c r="AE154"/>
      <c r="AF154"/>
      <c r="AG154"/>
      <c r="AH154"/>
      <c r="AI154"/>
      <c r="AJ154"/>
      <c r="AK154"/>
      <c r="AL154"/>
      <c r="AM154"/>
      <c r="AN154"/>
      <c r="AO154"/>
      <c r="AP154"/>
      <c r="AQ154"/>
      <c r="AR154"/>
      <c r="AS154"/>
    </row>
    <row r="155" spans="1:51" ht="15" customHeight="1" x14ac:dyDescent="0.3">
      <c r="B155" s="938" t="s">
        <v>629</v>
      </c>
      <c r="C155" s="938"/>
      <c r="D155" s="21"/>
      <c r="E155" s="21"/>
      <c r="F155" s="21"/>
      <c r="G155" s="21"/>
      <c r="H155" s="1084"/>
      <c r="I155" s="215" t="s">
        <v>630</v>
      </c>
      <c r="J155" s="216"/>
      <c r="K155" s="217"/>
      <c r="L155" s="1364" t="s">
        <v>631</v>
      </c>
      <c r="M155" s="1323">
        <v>2</v>
      </c>
      <c r="N155" s="216"/>
      <c r="O155" s="1324">
        <f>M155*S155*W155</f>
        <v>0</v>
      </c>
      <c r="P155" s="440" t="b">
        <v>1</v>
      </c>
      <c r="Q155" s="440" t="b">
        <v>1</v>
      </c>
      <c r="R155" s="137" t="b">
        <v>0</v>
      </c>
      <c r="S155" s="137" t="b">
        <v>1</v>
      </c>
      <c r="T155" s="137" t="b">
        <v>0</v>
      </c>
      <c r="U155"/>
      <c r="V155"/>
      <c r="W155" s="25"/>
      <c r="X155" s="1303"/>
      <c r="Z155"/>
      <c r="AB155"/>
      <c r="AC155"/>
      <c r="AD155"/>
      <c r="AE155"/>
      <c r="AF155"/>
      <c r="AG155"/>
      <c r="AH155"/>
      <c r="AI155"/>
      <c r="AJ155"/>
      <c r="AK155"/>
      <c r="AL155" s="311" t="str">
        <f>SUBSTITUTE(SUBSTITUTE(SUBSTITUTE("dpa"&amp;$B155&amp;$C155&amp;$D155&amp;$E155&amp;$F155,".","_"),"(","_"),")","")</f>
        <v>dpa602_1_7_2</v>
      </c>
      <c r="AM155" s="311">
        <f>M155</f>
        <v>2</v>
      </c>
      <c r="AN155" s="311" t="str">
        <f>SUBSTITUTE(SUBSTITUTE(SUBSTITUTE("dpc"&amp;$B155&amp;$C155&amp;$D155&amp;$E155&amp;$F155,".","_"),"(","_"),")","")</f>
        <v>dpc602_1_7_2</v>
      </c>
      <c r="AO155" s="311">
        <f>O155</f>
        <v>0</v>
      </c>
      <c r="AP155" s="311" t="str">
        <f t="shared" ref="AP155" si="45">SUBSTITUTE(SUBSTITUTE(SUBSTITUTE("dch"&amp;$B155&amp;$C155&amp;$D155&amp;$E155&amp;$F155,".","_"),"(","_"),")","")</f>
        <v>dch602_1_7_2</v>
      </c>
      <c r="AQ155" s="311">
        <f>W155</f>
        <v>0</v>
      </c>
      <c r="AR155" s="1059" t="str">
        <f>SUBSTITUTE(SUBSTITUTE(SUBSTITUTE("dnt"&amp;$B155&amp;$C155&amp;$D155&amp;$E155&amp;$F155,".","_"),"(","_"),")","")</f>
        <v>dnt602_1_7_2</v>
      </c>
      <c r="AS155" s="311">
        <f>X155</f>
        <v>0</v>
      </c>
    </row>
    <row r="156" spans="1:51" x14ac:dyDescent="0.3">
      <c r="B156" s="80" t="s">
        <v>629</v>
      </c>
      <c r="C156" s="80"/>
      <c r="D156" s="21"/>
      <c r="E156" s="21"/>
      <c r="F156" s="21"/>
      <c r="G156" s="21"/>
      <c r="H156" s="1084"/>
      <c r="I156" s="244"/>
      <c r="J156" s="238"/>
      <c r="K156" s="193"/>
      <c r="L156" s="1350"/>
      <c r="M156" s="1319"/>
      <c r="N156" s="238"/>
      <c r="O156" s="1309"/>
      <c r="P156" s="440"/>
      <c r="Q156" s="440"/>
      <c r="R156"/>
      <c r="S156"/>
      <c r="T156"/>
      <c r="U156"/>
      <c r="V156"/>
      <c r="W156"/>
      <c r="X156" s="1303"/>
      <c r="Z156"/>
      <c r="AB156"/>
      <c r="AC156"/>
      <c r="AD156"/>
      <c r="AE156"/>
      <c r="AF156"/>
      <c r="AG156"/>
      <c r="AH156"/>
      <c r="AI156"/>
      <c r="AJ156"/>
      <c r="AK156"/>
      <c r="AL156"/>
      <c r="AM156"/>
      <c r="AN156"/>
      <c r="AO156"/>
      <c r="AP156"/>
      <c r="AQ156"/>
      <c r="AR156"/>
      <c r="AS156"/>
    </row>
    <row r="157" spans="1:51" x14ac:dyDescent="0.3">
      <c r="B157" s="80" t="s">
        <v>632</v>
      </c>
      <c r="C157" s="80"/>
      <c r="D157" s="21"/>
      <c r="E157" s="21"/>
      <c r="F157" s="21"/>
      <c r="G157" s="21"/>
      <c r="H157" s="1084"/>
      <c r="I157" s="66" t="s">
        <v>633</v>
      </c>
      <c r="J157" s="4"/>
      <c r="K157" s="86"/>
      <c r="L157" s="1292" t="s">
        <v>634</v>
      </c>
      <c r="M157" s="1335">
        <v>4</v>
      </c>
      <c r="N157" s="4"/>
      <c r="O157" s="1310">
        <f>M157*S157*W157</f>
        <v>0</v>
      </c>
      <c r="P157" s="440" t="b">
        <v>1</v>
      </c>
      <c r="Q157" s="440" t="b">
        <v>0</v>
      </c>
      <c r="R157" s="137" t="b">
        <v>0</v>
      </c>
      <c r="S157" s="137" t="b">
        <v>1</v>
      </c>
      <c r="T157" s="137" t="b">
        <v>0</v>
      </c>
      <c r="U157"/>
      <c r="V157"/>
      <c r="W157" s="25"/>
      <c r="X157" s="1303"/>
      <c r="Z157"/>
      <c r="AB157"/>
      <c r="AC157"/>
      <c r="AD157"/>
      <c r="AE157"/>
      <c r="AF157"/>
      <c r="AG157"/>
      <c r="AH157"/>
      <c r="AI157"/>
      <c r="AJ157"/>
      <c r="AK157"/>
      <c r="AL157" s="311" t="str">
        <f>SUBSTITUTE(SUBSTITUTE(SUBSTITUTE("dpa"&amp;$B157&amp;$C157&amp;$D157&amp;$E157&amp;$F157,".","_"),"(","_"),")","")</f>
        <v>dpa602_1_7_3</v>
      </c>
      <c r="AM157" s="311">
        <f>M157</f>
        <v>4</v>
      </c>
      <c r="AN157" s="311" t="str">
        <f>SUBSTITUTE(SUBSTITUTE(SUBSTITUTE("dpc"&amp;$B157&amp;$C157&amp;$D157&amp;$E157&amp;$F157,".","_"),"(","_"),")","")</f>
        <v>dpc602_1_7_3</v>
      </c>
      <c r="AO157" s="311">
        <f>O157</f>
        <v>0</v>
      </c>
      <c r="AP157" s="311" t="str">
        <f t="shared" ref="AP157" si="46">SUBSTITUTE(SUBSTITUTE(SUBSTITUTE("dch"&amp;$B157&amp;$C157&amp;$D157&amp;$E157&amp;$F157,".","_"),"(","_"),")","")</f>
        <v>dch602_1_7_3</v>
      </c>
      <c r="AQ157" s="311">
        <f>W157</f>
        <v>0</v>
      </c>
      <c r="AR157" s="1059" t="str">
        <f>SUBSTITUTE(SUBSTITUTE(SUBSTITUTE("dnt"&amp;$B157&amp;$C157&amp;$D157&amp;$E157&amp;$F157,".","_"),"(","_"),")","")</f>
        <v>dnt602_1_7_3</v>
      </c>
      <c r="AS157" s="311">
        <f>X157</f>
        <v>0</v>
      </c>
    </row>
    <row r="158" spans="1:51" x14ac:dyDescent="0.3">
      <c r="B158" s="80" t="s">
        <v>632</v>
      </c>
      <c r="C158" s="80"/>
      <c r="D158" s="21"/>
      <c r="E158" s="21"/>
      <c r="F158" s="21"/>
      <c r="G158" s="21"/>
      <c r="H158" s="1084"/>
      <c r="I158" s="66"/>
      <c r="J158" s="4"/>
      <c r="K158" s="86"/>
      <c r="L158" s="1292"/>
      <c r="M158" s="1335"/>
      <c r="N158" s="4"/>
      <c r="O158" s="1310"/>
      <c r="P158" s="440"/>
      <c r="Q158" s="440"/>
      <c r="R158"/>
      <c r="S158"/>
      <c r="T158"/>
      <c r="U158"/>
      <c r="V158"/>
      <c r="W158"/>
      <c r="X158" s="1303"/>
      <c r="Z158"/>
      <c r="AB158"/>
      <c r="AC158"/>
      <c r="AD158"/>
      <c r="AE158"/>
      <c r="AF158"/>
      <c r="AG158"/>
      <c r="AH158"/>
      <c r="AI158"/>
      <c r="AJ158"/>
      <c r="AK158"/>
      <c r="AL158"/>
      <c r="AM158"/>
      <c r="AN158"/>
      <c r="AO158"/>
      <c r="AP158"/>
      <c r="AQ158"/>
      <c r="AR158"/>
      <c r="AS158"/>
    </row>
    <row r="159" spans="1:51" x14ac:dyDescent="0.3">
      <c r="B159" s="80" t="s">
        <v>632</v>
      </c>
      <c r="C159" s="80"/>
      <c r="D159" s="21"/>
      <c r="E159" s="21"/>
      <c r="F159" s="21"/>
      <c r="G159" s="21"/>
      <c r="H159" s="1084"/>
      <c r="I159" s="66"/>
      <c r="J159" s="4"/>
      <c r="K159" s="86"/>
      <c r="L159" s="1292"/>
      <c r="M159" s="1335"/>
      <c r="N159" s="4"/>
      <c r="O159" s="1310"/>
      <c r="P159" s="440"/>
      <c r="Q159" s="440"/>
      <c r="R159"/>
      <c r="S159"/>
      <c r="T159"/>
      <c r="U159"/>
      <c r="V159"/>
      <c r="W159"/>
      <c r="X159" s="1303"/>
      <c r="Z159"/>
      <c r="AB159"/>
      <c r="AC159"/>
      <c r="AD159"/>
      <c r="AE159"/>
      <c r="AF159"/>
      <c r="AG159"/>
      <c r="AH159"/>
      <c r="AI159"/>
      <c r="AJ159"/>
      <c r="AK159"/>
      <c r="AL159"/>
      <c r="AM159"/>
      <c r="AN159"/>
      <c r="AO159"/>
      <c r="AP159"/>
      <c r="AQ159"/>
      <c r="AR159"/>
      <c r="AS159"/>
    </row>
    <row r="160" spans="1:51" ht="15" thickBot="1" x14ac:dyDescent="0.35">
      <c r="B160" s="80" t="s">
        <v>632</v>
      </c>
      <c r="C160" s="80"/>
      <c r="D160" s="21"/>
      <c r="E160" s="21"/>
      <c r="F160" s="21"/>
      <c r="G160" s="21"/>
      <c r="H160" s="1084"/>
      <c r="I160" s="66"/>
      <c r="J160" s="4"/>
      <c r="K160" s="86"/>
      <c r="L160" s="1292"/>
      <c r="M160" s="1335"/>
      <c r="N160" s="4"/>
      <c r="O160" s="1310"/>
      <c r="P160" s="440"/>
      <c r="Q160" s="440"/>
      <c r="R160"/>
      <c r="S160"/>
      <c r="T160"/>
      <c r="U160"/>
      <c r="V160"/>
      <c r="W160" s="117"/>
      <c r="X160" s="1337"/>
      <c r="Z160"/>
      <c r="AB160"/>
      <c r="AC160"/>
      <c r="AD160"/>
      <c r="AE160"/>
      <c r="AF160"/>
      <c r="AG160"/>
      <c r="AH160"/>
      <c r="AI160"/>
      <c r="AJ160"/>
      <c r="AK160"/>
      <c r="AL160"/>
      <c r="AM160"/>
      <c r="AN160"/>
      <c r="AO160"/>
      <c r="AP160"/>
      <c r="AQ160"/>
      <c r="AR160"/>
      <c r="AS160"/>
    </row>
    <row r="161" spans="1:51" ht="15" thickTop="1" x14ac:dyDescent="0.3">
      <c r="B161" s="80" t="s">
        <v>635</v>
      </c>
      <c r="C161" s="21"/>
      <c r="D161" s="21"/>
      <c r="E161" s="21"/>
      <c r="F161" s="21"/>
      <c r="G161" s="21"/>
      <c r="H161" s="1084"/>
      <c r="I161" s="200" t="s">
        <v>635</v>
      </c>
      <c r="J161" s="201"/>
      <c r="K161" s="202"/>
      <c r="L161" s="1331" t="s">
        <v>636</v>
      </c>
      <c r="M161" s="1362" t="str">
        <f>IF(R161,"Mandatory","N/A")</f>
        <v>Mandatory</v>
      </c>
      <c r="N161" s="201"/>
      <c r="O161" s="596"/>
      <c r="P161" s="440" t="b">
        <v>1</v>
      </c>
      <c r="Q161" s="440" t="b">
        <v>0</v>
      </c>
      <c r="R161" s="110" t="b">
        <f>S161</f>
        <v>1</v>
      </c>
      <c r="S161" s="110" t="b">
        <v>1</v>
      </c>
      <c r="T161" s="110" t="b">
        <v>0</v>
      </c>
      <c r="U161" s="110" t="str">
        <f>SUBSTITUTE(SUBSTITUTE(SUBSTITUTE("dd"&amp;B161&amp;C161&amp;D161&amp;E161&amp;F161,".","_"),"(","_"),")","")</f>
        <v>dd602_1_8</v>
      </c>
      <c r="V161" s="110"/>
      <c r="W161" s="316" t="s">
        <v>3242</v>
      </c>
      <c r="X161" s="1327" t="s">
        <v>4793</v>
      </c>
      <c r="Z161"/>
      <c r="AB161"/>
      <c r="AC161" s="143" t="b">
        <f>OR(AD161:AE161)</f>
        <v>0</v>
      </c>
      <c r="AD161" s="143" t="b">
        <f>T161</f>
        <v>0</v>
      </c>
      <c r="AE161" s="153" t="b">
        <f>OR(AND(R161,NOT(W161="Met"),NOT(W161="N/A")),AND(W161="N/A",ISBLANK(X161)))</f>
        <v>0</v>
      </c>
      <c r="AF161"/>
      <c r="AG161"/>
      <c r="AH161"/>
      <c r="AI161"/>
      <c r="AJ161"/>
      <c r="AK161"/>
      <c r="AL161" s="311" t="str">
        <f>SUBSTITUTE(SUBSTITUTE(SUBSTITUTE("dpa"&amp;$B161&amp;$C161&amp;$D161&amp;$E161&amp;$F161,".","_"),"(","_"),")","")</f>
        <v>dpa602_1_8</v>
      </c>
      <c r="AM161" s="311" t="str">
        <f>M161</f>
        <v>Mandatory</v>
      </c>
      <c r="AN161"/>
      <c r="AO161"/>
      <c r="AP161" s="311" t="str">
        <f t="shared" ref="AP161" si="47">SUBSTITUTE(SUBSTITUTE(SUBSTITUTE("dch"&amp;$B161&amp;$C161&amp;$D161&amp;$E161&amp;$F161,".","_"),"(","_"),")","")</f>
        <v>dch602_1_8</v>
      </c>
      <c r="AQ161" s="311" t="str">
        <f>W161</f>
        <v>Met</v>
      </c>
      <c r="AR161" s="1059" t="str">
        <f>SUBSTITUTE(SUBSTITUTE(SUBSTITUTE("dnt"&amp;$B161&amp;$C161&amp;$D161&amp;$E161&amp;$F161,".","_"),"(","_"),")","")</f>
        <v>dnt602_1_8</v>
      </c>
      <c r="AS161" s="311" t="str">
        <f>X161</f>
        <v>ZERH Requirement - ENERGY STAR Certified Homes National Water Management Requirements, Section 2.2 Drainage Plane Behind Cladding</v>
      </c>
    </row>
    <row r="162" spans="1:51" x14ac:dyDescent="0.3">
      <c r="B162" s="80" t="s">
        <v>635</v>
      </c>
      <c r="C162" s="21"/>
      <c r="D162" s="21"/>
      <c r="E162" s="21"/>
      <c r="F162" s="21"/>
      <c r="G162" s="21"/>
      <c r="H162" s="1084"/>
      <c r="I162" s="141"/>
      <c r="J162" s="140"/>
      <c r="K162" s="98"/>
      <c r="L162" s="1313"/>
      <c r="M162" s="1351"/>
      <c r="N162" s="140"/>
      <c r="O162" s="269"/>
      <c r="P162" s="97"/>
      <c r="Q162" s="97"/>
      <c r="R162" s="97"/>
      <c r="S162" s="97"/>
      <c r="T162" s="97"/>
      <c r="U162" s="97"/>
      <c r="V162" s="97"/>
      <c r="W162" s="97"/>
      <c r="X162" s="1295"/>
      <c r="Z162"/>
      <c r="AB162"/>
      <c r="AC162"/>
      <c r="AD162"/>
      <c r="AE162"/>
      <c r="AF162"/>
      <c r="AG162"/>
      <c r="AH162"/>
      <c r="AI162"/>
      <c r="AJ162"/>
      <c r="AK162"/>
      <c r="AL162"/>
      <c r="AM162"/>
      <c r="AN162"/>
      <c r="AO162"/>
      <c r="AP162"/>
      <c r="AQ162"/>
      <c r="AR162"/>
      <c r="AS162"/>
      <c r="AX162" s="153"/>
      <c r="AY162" s="153"/>
    </row>
    <row r="163" spans="1:51" s="153" customFormat="1" ht="15" thickBot="1" x14ac:dyDescent="0.35">
      <c r="A163" s="18"/>
      <c r="B163" s="80" t="s">
        <v>635</v>
      </c>
      <c r="C163" s="21"/>
      <c r="D163" s="21"/>
      <c r="E163" s="21"/>
      <c r="F163" s="21"/>
      <c r="G163" s="21"/>
      <c r="H163" s="1084"/>
      <c r="I163" s="141"/>
      <c r="J163" s="140"/>
      <c r="K163" s="98"/>
      <c r="L163" s="352" t="s">
        <v>1304</v>
      </c>
      <c r="M163" s="1351"/>
      <c r="N163" s="140"/>
      <c r="O163" s="269"/>
      <c r="P163" s="97"/>
      <c r="Q163" s="97"/>
      <c r="R163" s="97"/>
      <c r="S163" s="97"/>
      <c r="T163" s="97"/>
      <c r="U163" s="97"/>
      <c r="V163" s="97"/>
      <c r="W163" s="97"/>
      <c r="X163" s="1337"/>
      <c r="Y163" s="1107"/>
      <c r="AA163" s="1110"/>
      <c r="AX163" s="65"/>
      <c r="AY163" s="65"/>
    </row>
    <row r="164" spans="1:51" ht="15" thickTop="1" x14ac:dyDescent="0.3">
      <c r="B164" s="80" t="s">
        <v>637</v>
      </c>
      <c r="C164" s="21"/>
      <c r="D164" s="21"/>
      <c r="E164" s="21"/>
      <c r="F164" s="21"/>
      <c r="G164" s="21"/>
      <c r="H164" s="1084"/>
      <c r="I164" s="200" t="s">
        <v>637</v>
      </c>
      <c r="J164" s="201"/>
      <c r="K164" s="202"/>
      <c r="L164" s="1331" t="s">
        <v>638</v>
      </c>
      <c r="M164" s="517"/>
      <c r="N164" s="201"/>
      <c r="O164" s="596"/>
      <c r="P164" s="110"/>
      <c r="Q164" s="110"/>
      <c r="R164" s="110"/>
      <c r="S164" s="110"/>
      <c r="T164" s="110"/>
      <c r="U164" s="110"/>
      <c r="V164" s="110"/>
      <c r="W164" s="110"/>
      <c r="X164" s="110"/>
      <c r="Z164"/>
      <c r="AB164"/>
      <c r="AC164"/>
      <c r="AD164"/>
      <c r="AE164"/>
      <c r="AF164"/>
      <c r="AG164"/>
      <c r="AH164"/>
      <c r="AI164"/>
      <c r="AJ164"/>
      <c r="AK164"/>
      <c r="AL164"/>
      <c r="AM164"/>
      <c r="AN164"/>
      <c r="AO164"/>
      <c r="AP164"/>
      <c r="AQ164"/>
      <c r="AR164"/>
      <c r="AS164"/>
    </row>
    <row r="165" spans="1:51" x14ac:dyDescent="0.3">
      <c r="B165" s="80" t="s">
        <v>637</v>
      </c>
      <c r="C165" s="21"/>
      <c r="D165" s="21"/>
      <c r="E165" s="21"/>
      <c r="F165" s="21"/>
      <c r="G165" s="21"/>
      <c r="H165" s="1084"/>
      <c r="I165" s="141"/>
      <c r="J165" s="140"/>
      <c r="K165" s="98"/>
      <c r="L165" s="1313"/>
      <c r="M165" s="518"/>
      <c r="N165" s="140"/>
      <c r="O165" s="269"/>
      <c r="P165" s="97"/>
      <c r="Q165" s="97"/>
      <c r="R165" s="97"/>
      <c r="S165" s="97"/>
      <c r="T165" s="97"/>
      <c r="U165" s="97"/>
      <c r="V165" s="97"/>
      <c r="W165" s="97"/>
      <c r="X165" s="97"/>
      <c r="Z165"/>
      <c r="AB165"/>
      <c r="AC165"/>
      <c r="AD165"/>
      <c r="AE165"/>
      <c r="AF165"/>
      <c r="AG165"/>
      <c r="AH165"/>
      <c r="AI165"/>
      <c r="AJ165"/>
      <c r="AK165"/>
      <c r="AL165"/>
      <c r="AM165"/>
      <c r="AN165"/>
      <c r="AO165"/>
      <c r="AP165"/>
      <c r="AQ165"/>
      <c r="AR165"/>
      <c r="AS165"/>
    </row>
    <row r="166" spans="1:51" x14ac:dyDescent="0.3">
      <c r="B166" s="80" t="s">
        <v>637</v>
      </c>
      <c r="C166" s="21"/>
      <c r="D166" s="21"/>
      <c r="E166" s="21"/>
      <c r="F166" s="21"/>
      <c r="G166" s="21"/>
      <c r="H166" s="1084"/>
      <c r="I166" s="141"/>
      <c r="J166" s="140"/>
      <c r="K166" s="98"/>
      <c r="L166" s="1313"/>
      <c r="M166" s="518"/>
      <c r="N166" s="140"/>
      <c r="O166" s="269"/>
      <c r="P166" s="97"/>
      <c r="Q166" s="97"/>
      <c r="R166" s="97"/>
      <c r="S166" s="97"/>
      <c r="T166" s="97"/>
      <c r="U166" s="97"/>
      <c r="V166" s="97"/>
      <c r="W166" s="97"/>
      <c r="X166" s="97"/>
      <c r="Z166"/>
      <c r="AB166"/>
      <c r="AC166"/>
      <c r="AD166"/>
      <c r="AE166"/>
      <c r="AF166"/>
      <c r="AG166"/>
      <c r="AH166"/>
      <c r="AI166"/>
      <c r="AJ166"/>
      <c r="AK166"/>
      <c r="AL166"/>
      <c r="AM166"/>
      <c r="AN166"/>
      <c r="AO166"/>
      <c r="AP166"/>
      <c r="AQ166"/>
      <c r="AR166"/>
      <c r="AS166"/>
    </row>
    <row r="167" spans="1:51" x14ac:dyDescent="0.3">
      <c r="B167" s="80" t="s">
        <v>637</v>
      </c>
      <c r="C167" s="21"/>
      <c r="D167" s="21"/>
      <c r="E167" s="21"/>
      <c r="F167" s="21"/>
      <c r="G167" s="21"/>
      <c r="H167" s="1084"/>
      <c r="I167" s="141"/>
      <c r="J167" s="140"/>
      <c r="K167" s="98"/>
      <c r="L167" s="1313"/>
      <c r="M167" s="518"/>
      <c r="N167" s="140"/>
      <c r="O167" s="269"/>
      <c r="P167" s="97"/>
      <c r="Q167" s="97"/>
      <c r="R167" s="97"/>
      <c r="S167" s="97"/>
      <c r="T167" s="97"/>
      <c r="U167" s="97"/>
      <c r="V167" s="97"/>
      <c r="W167" s="97"/>
      <c r="X167" s="97"/>
      <c r="Z167"/>
      <c r="AB167"/>
      <c r="AC167"/>
      <c r="AD167"/>
      <c r="AE167"/>
      <c r="AF167"/>
      <c r="AG167"/>
      <c r="AH167"/>
      <c r="AI167"/>
      <c r="AJ167"/>
      <c r="AK167"/>
      <c r="AL167"/>
      <c r="AM167"/>
      <c r="AN167"/>
      <c r="AO167"/>
      <c r="AP167"/>
      <c r="AQ167"/>
      <c r="AR167"/>
      <c r="AS167"/>
    </row>
    <row r="168" spans="1:51" x14ac:dyDescent="0.3">
      <c r="B168" s="80" t="s">
        <v>637</v>
      </c>
      <c r="C168" s="21"/>
      <c r="D168" s="21"/>
      <c r="E168" s="21"/>
      <c r="F168" s="21"/>
      <c r="G168" s="21"/>
      <c r="H168" s="1084"/>
      <c r="I168" s="141"/>
      <c r="J168" s="140"/>
      <c r="K168" s="98"/>
      <c r="L168" s="1313"/>
      <c r="M168" s="518"/>
      <c r="N168" s="140"/>
      <c r="O168" s="269"/>
      <c r="P168" s="97"/>
      <c r="Q168" s="97"/>
      <c r="R168" s="97"/>
      <c r="S168" s="97"/>
      <c r="T168" s="97"/>
      <c r="U168" s="97"/>
      <c r="V168" s="97"/>
      <c r="W168" s="97"/>
      <c r="X168" s="97"/>
      <c r="Z168"/>
      <c r="AB168"/>
      <c r="AC168"/>
      <c r="AD168"/>
      <c r="AE168"/>
      <c r="AF168"/>
      <c r="AG168"/>
      <c r="AH168"/>
      <c r="AI168"/>
      <c r="AJ168"/>
      <c r="AK168"/>
      <c r="AL168"/>
      <c r="AM168"/>
      <c r="AN168"/>
      <c r="AO168"/>
      <c r="AP168"/>
      <c r="AQ168"/>
      <c r="AR168"/>
      <c r="AS168"/>
    </row>
    <row r="169" spans="1:51" x14ac:dyDescent="0.3">
      <c r="B169" s="80" t="s">
        <v>637</v>
      </c>
      <c r="C169" s="21"/>
      <c r="D169" s="21"/>
      <c r="E169" s="21" t="s">
        <v>271</v>
      </c>
      <c r="F169" s="21"/>
      <c r="G169" s="21"/>
      <c r="H169" s="1084"/>
      <c r="I169" s="66"/>
      <c r="J169" s="203" t="s">
        <v>271</v>
      </c>
      <c r="K169" s="98"/>
      <c r="L169" s="344" t="s">
        <v>639</v>
      </c>
      <c r="M169" s="1351" t="str">
        <f>IF(R169,"Mandatory","N/A")</f>
        <v>Mandatory</v>
      </c>
      <c r="N169" s="4"/>
      <c r="O169" s="154"/>
      <c r="P169" s="440" t="b">
        <v>1</v>
      </c>
      <c r="Q169" s="440" t="b">
        <v>0</v>
      </c>
      <c r="R169" s="153" t="b">
        <f>S169</f>
        <v>1</v>
      </c>
      <c r="S169" s="137" t="b">
        <v>1</v>
      </c>
      <c r="T169" s="137" t="b">
        <v>0</v>
      </c>
      <c r="U169" s="97"/>
      <c r="V169"/>
      <c r="W169" s="25" t="b">
        <v>1</v>
      </c>
      <c r="X169" s="1303" t="s">
        <v>4794</v>
      </c>
      <c r="Z169"/>
      <c r="AB169"/>
      <c r="AC169" s="143" t="b">
        <f>OR(AD169:AE169)</f>
        <v>0</v>
      </c>
      <c r="AD169" s="143" t="b">
        <f>T169</f>
        <v>0</v>
      </c>
      <c r="AE169" s="143" t="b">
        <f>NOT(W169)</f>
        <v>0</v>
      </c>
      <c r="AF169"/>
      <c r="AG169"/>
      <c r="AH169"/>
      <c r="AI169"/>
      <c r="AJ169"/>
      <c r="AK169"/>
      <c r="AL169" s="311" t="str">
        <f>SUBSTITUTE(SUBSTITUTE(SUBSTITUTE("dpa"&amp;$B169&amp;$C169&amp;$D169&amp;$E169&amp;$F169,".","_"),"(","_"),")","")</f>
        <v>dpa602_1_9_1</v>
      </c>
      <c r="AM169" s="311" t="str">
        <f>M169</f>
        <v>Mandatory</v>
      </c>
      <c r="AN169"/>
      <c r="AO169"/>
      <c r="AP169" s="311" t="str">
        <f t="shared" ref="AP169" si="48">SUBSTITUTE(SUBSTITUTE(SUBSTITUTE("dch"&amp;$B169&amp;$C169&amp;$D169&amp;$E169&amp;$F169,".","_"),"(","_"),")","")</f>
        <v>dch602_1_9_1</v>
      </c>
      <c r="AQ169" s="311" t="b">
        <f>W169</f>
        <v>1</v>
      </c>
      <c r="AR169" s="1059" t="str">
        <f>SUBSTITUTE(SUBSTITUTE(SUBSTITUTE("dnt"&amp;$B169&amp;$C169&amp;$D169&amp;$E169&amp;$F169,".","_"),"(","_"),")","")</f>
        <v>dnt602_1_9_1</v>
      </c>
      <c r="AS169" s="311" t="str">
        <f>X169</f>
        <v>ZERH Requirement - ENERGY STAR Certified Homes National Water Management Requirements, Section 3.1 Step and Kick-Out Flashing</v>
      </c>
    </row>
    <row r="170" spans="1:51" x14ac:dyDescent="0.3">
      <c r="B170" s="80" t="s">
        <v>637</v>
      </c>
      <c r="C170" s="21"/>
      <c r="D170" s="21"/>
      <c r="E170" s="21" t="s">
        <v>271</v>
      </c>
      <c r="F170" s="21" t="s">
        <v>121</v>
      </c>
      <c r="G170" s="21"/>
      <c r="H170" s="1084"/>
      <c r="I170" s="66"/>
      <c r="J170" s="140"/>
      <c r="K170" s="94" t="s">
        <v>121</v>
      </c>
      <c r="L170" s="344" t="s">
        <v>640</v>
      </c>
      <c r="M170" s="1351"/>
      <c r="N170" s="4"/>
      <c r="O170" s="154"/>
      <c r="P170" s="440"/>
      <c r="Q170" s="440"/>
      <c r="R170"/>
      <c r="S170"/>
      <c r="T170"/>
      <c r="U170"/>
      <c r="V170"/>
      <c r="W170"/>
      <c r="X170" s="1303"/>
      <c r="Z170"/>
      <c r="AB170"/>
      <c r="AC170"/>
      <c r="AD170"/>
      <c r="AE170"/>
      <c r="AF170"/>
      <c r="AG170"/>
      <c r="AH170"/>
      <c r="AI170"/>
      <c r="AJ170"/>
      <c r="AK170"/>
      <c r="AL170"/>
      <c r="AM170"/>
      <c r="AN170"/>
      <c r="AO170"/>
      <c r="AP170"/>
      <c r="AQ170"/>
      <c r="AR170"/>
      <c r="AS170"/>
    </row>
    <row r="171" spans="1:51" x14ac:dyDescent="0.3">
      <c r="B171" s="80" t="s">
        <v>637</v>
      </c>
      <c r="C171" s="21"/>
      <c r="D171" s="21"/>
      <c r="E171" s="21" t="s">
        <v>271</v>
      </c>
      <c r="F171" s="21" t="s">
        <v>122</v>
      </c>
      <c r="G171" s="21"/>
      <c r="H171" s="1084"/>
      <c r="I171" s="66"/>
      <c r="J171" s="140"/>
      <c r="K171" s="94" t="s">
        <v>122</v>
      </c>
      <c r="L171" s="344" t="s">
        <v>641</v>
      </c>
      <c r="M171" s="1351"/>
      <c r="N171" s="4"/>
      <c r="O171" s="154"/>
      <c r="P171" s="440"/>
      <c r="Q171" s="440"/>
      <c r="R171"/>
      <c r="S171"/>
      <c r="T171"/>
      <c r="U171"/>
      <c r="V171"/>
      <c r="W171"/>
      <c r="X171" s="1303"/>
      <c r="Z171"/>
      <c r="AB171"/>
      <c r="AC171"/>
      <c r="AD171"/>
      <c r="AE171"/>
      <c r="AF171"/>
      <c r="AG171"/>
      <c r="AH171"/>
      <c r="AI171"/>
      <c r="AJ171"/>
      <c r="AK171"/>
      <c r="AL171"/>
      <c r="AM171"/>
      <c r="AN171"/>
      <c r="AO171"/>
      <c r="AP171"/>
      <c r="AQ171"/>
      <c r="AR171"/>
      <c r="AS171"/>
    </row>
    <row r="172" spans="1:51" x14ac:dyDescent="0.3">
      <c r="B172" s="80" t="s">
        <v>637</v>
      </c>
      <c r="C172" s="21"/>
      <c r="D172" s="21"/>
      <c r="E172" s="21" t="s">
        <v>271</v>
      </c>
      <c r="F172" s="26" t="s">
        <v>123</v>
      </c>
      <c r="G172" s="26"/>
      <c r="H172" s="1085"/>
      <c r="I172" s="66"/>
      <c r="J172" s="140"/>
      <c r="K172" s="115" t="s">
        <v>123</v>
      </c>
      <c r="L172" s="344" t="s">
        <v>642</v>
      </c>
      <c r="M172" s="1351"/>
      <c r="N172" s="4"/>
      <c r="O172" s="154"/>
      <c r="P172" s="440"/>
      <c r="Q172" s="440"/>
      <c r="R172"/>
      <c r="S172"/>
      <c r="T172"/>
      <c r="U172"/>
      <c r="V172"/>
      <c r="W172"/>
      <c r="X172" s="1303"/>
      <c r="Z172"/>
      <c r="AB172"/>
      <c r="AC172"/>
      <c r="AD172"/>
      <c r="AE172"/>
      <c r="AF172"/>
      <c r="AG172"/>
      <c r="AH172"/>
      <c r="AI172"/>
      <c r="AJ172"/>
      <c r="AK172"/>
      <c r="AL172"/>
      <c r="AM172"/>
      <c r="AN172"/>
      <c r="AO172"/>
      <c r="AP172"/>
      <c r="AQ172"/>
      <c r="AR172"/>
      <c r="AS172"/>
    </row>
    <row r="173" spans="1:51" x14ac:dyDescent="0.3">
      <c r="B173" s="80" t="s">
        <v>637</v>
      </c>
      <c r="C173" s="21"/>
      <c r="D173" s="21"/>
      <c r="E173" s="21" t="s">
        <v>271</v>
      </c>
      <c r="F173" s="21" t="s">
        <v>423</v>
      </c>
      <c r="G173" s="21"/>
      <c r="H173" s="1084"/>
      <c r="I173" s="66"/>
      <c r="J173" s="140"/>
      <c r="K173" s="210" t="s">
        <v>423</v>
      </c>
      <c r="L173" s="1305" t="s">
        <v>643</v>
      </c>
      <c r="M173" s="1351"/>
      <c r="N173" s="4"/>
      <c r="O173" s="154"/>
      <c r="P173" s="440"/>
      <c r="Q173" s="440"/>
      <c r="R173"/>
      <c r="S173"/>
      <c r="T173"/>
      <c r="U173"/>
      <c r="V173"/>
      <c r="W173"/>
      <c r="X173" s="1303"/>
      <c r="Z173"/>
      <c r="AB173"/>
      <c r="AC173"/>
      <c r="AD173"/>
      <c r="AE173"/>
      <c r="AF173"/>
      <c r="AG173"/>
      <c r="AH173"/>
      <c r="AI173"/>
      <c r="AJ173"/>
      <c r="AK173"/>
      <c r="AL173"/>
      <c r="AM173"/>
      <c r="AN173"/>
      <c r="AO173"/>
      <c r="AP173"/>
      <c r="AQ173"/>
      <c r="AR173"/>
      <c r="AS173"/>
    </row>
    <row r="174" spans="1:51" x14ac:dyDescent="0.3">
      <c r="B174" s="80" t="s">
        <v>637</v>
      </c>
      <c r="C174" s="21"/>
      <c r="D174" s="21"/>
      <c r="E174" s="21" t="s">
        <v>271</v>
      </c>
      <c r="F174" s="21" t="s">
        <v>423</v>
      </c>
      <c r="G174" s="21"/>
      <c r="H174" s="1084"/>
      <c r="I174" s="66"/>
      <c r="J174" s="140"/>
      <c r="K174" s="98"/>
      <c r="L174" s="1305"/>
      <c r="M174" s="1351"/>
      <c r="N174" s="4"/>
      <c r="O174" s="154"/>
      <c r="P174" s="440"/>
      <c r="Q174" s="440"/>
      <c r="R174"/>
      <c r="S174"/>
      <c r="T174"/>
      <c r="U174"/>
      <c r="V174"/>
      <c r="W174"/>
      <c r="X174" s="1303"/>
      <c r="Z174"/>
      <c r="AB174"/>
      <c r="AC174"/>
      <c r="AD174"/>
      <c r="AE174"/>
      <c r="AF174"/>
      <c r="AG174"/>
      <c r="AH174"/>
      <c r="AI174"/>
      <c r="AJ174"/>
      <c r="AK174"/>
      <c r="AL174"/>
      <c r="AM174"/>
      <c r="AN174"/>
      <c r="AO174"/>
      <c r="AP174"/>
      <c r="AQ174"/>
      <c r="AR174"/>
      <c r="AS174"/>
    </row>
    <row r="175" spans="1:51" x14ac:dyDescent="0.3">
      <c r="B175" s="80" t="s">
        <v>637</v>
      </c>
      <c r="C175" s="21"/>
      <c r="D175" s="21"/>
      <c r="E175" s="21" t="s">
        <v>271</v>
      </c>
      <c r="F175" s="21" t="s">
        <v>578</v>
      </c>
      <c r="G175" s="21"/>
      <c r="H175" s="1084"/>
      <c r="I175" s="66"/>
      <c r="J175" s="140"/>
      <c r="K175" s="210" t="s">
        <v>578</v>
      </c>
      <c r="L175" s="344" t="s">
        <v>644</v>
      </c>
      <c r="M175" s="1351"/>
      <c r="N175" s="4"/>
      <c r="O175" s="154"/>
      <c r="P175" s="440"/>
      <c r="Q175" s="440"/>
      <c r="R175"/>
      <c r="S175"/>
      <c r="T175"/>
      <c r="U175"/>
      <c r="V175"/>
      <c r="W175"/>
      <c r="X175" s="1303"/>
      <c r="Z175"/>
      <c r="AB175"/>
      <c r="AC175"/>
      <c r="AD175"/>
      <c r="AE175"/>
      <c r="AF175"/>
      <c r="AG175"/>
      <c r="AH175"/>
      <c r="AI175"/>
      <c r="AJ175"/>
      <c r="AK175"/>
      <c r="AL175"/>
      <c r="AM175"/>
      <c r="AN175"/>
      <c r="AO175"/>
      <c r="AP175"/>
      <c r="AQ175"/>
      <c r="AR175"/>
      <c r="AS175"/>
    </row>
    <row r="176" spans="1:51" x14ac:dyDescent="0.3">
      <c r="B176" s="80" t="s">
        <v>637</v>
      </c>
      <c r="C176" s="21"/>
      <c r="D176" s="21"/>
      <c r="E176" s="21" t="s">
        <v>271</v>
      </c>
      <c r="F176" s="26" t="s">
        <v>645</v>
      </c>
      <c r="G176" s="26"/>
      <c r="H176" s="1085"/>
      <c r="I176" s="66"/>
      <c r="J176" s="140"/>
      <c r="K176" s="115" t="s">
        <v>645</v>
      </c>
      <c r="L176" s="344" t="s">
        <v>646</v>
      </c>
      <c r="M176" s="1351"/>
      <c r="N176" s="4"/>
      <c r="O176" s="154"/>
      <c r="P176" s="440"/>
      <c r="Q176" s="440"/>
      <c r="R176"/>
      <c r="S176"/>
      <c r="T176"/>
      <c r="U176"/>
      <c r="V176"/>
      <c r="W176"/>
      <c r="X176" s="1303"/>
      <c r="Z176"/>
      <c r="AB176"/>
      <c r="AC176"/>
      <c r="AD176"/>
      <c r="AE176"/>
      <c r="AF176"/>
      <c r="AG176"/>
      <c r="AH176"/>
      <c r="AI176"/>
      <c r="AJ176"/>
      <c r="AK176"/>
      <c r="AL176"/>
      <c r="AM176"/>
      <c r="AN176"/>
      <c r="AO176"/>
      <c r="AP176"/>
      <c r="AQ176"/>
      <c r="AR176"/>
      <c r="AS176"/>
    </row>
    <row r="177" spans="1:51" x14ac:dyDescent="0.3">
      <c r="B177" s="80" t="s">
        <v>637</v>
      </c>
      <c r="C177" s="21"/>
      <c r="D177" s="21"/>
      <c r="E177" s="21" t="s">
        <v>271</v>
      </c>
      <c r="F177" s="21" t="s">
        <v>647</v>
      </c>
      <c r="G177" s="21"/>
      <c r="H177" s="1084"/>
      <c r="I177" s="66"/>
      <c r="J177" s="140"/>
      <c r="K177" s="210" t="s">
        <v>647</v>
      </c>
      <c r="L177" s="344" t="s">
        <v>648</v>
      </c>
      <c r="M177" s="1351"/>
      <c r="N177" s="4"/>
      <c r="O177" s="154"/>
      <c r="P177" s="440"/>
      <c r="Q177" s="440"/>
      <c r="R177"/>
      <c r="S177"/>
      <c r="T177"/>
      <c r="U177"/>
      <c r="V177"/>
      <c r="W177"/>
      <c r="X177" s="1303"/>
      <c r="Z177"/>
      <c r="AB177"/>
      <c r="AC177"/>
      <c r="AD177"/>
      <c r="AE177"/>
      <c r="AF177"/>
      <c r="AG177"/>
      <c r="AH177"/>
      <c r="AI177"/>
      <c r="AJ177"/>
      <c r="AK177"/>
      <c r="AL177"/>
      <c r="AM177"/>
      <c r="AN177"/>
      <c r="AO177"/>
      <c r="AP177"/>
      <c r="AQ177"/>
      <c r="AR177"/>
      <c r="AS177"/>
    </row>
    <row r="178" spans="1:51" x14ac:dyDescent="0.3">
      <c r="B178" s="80" t="s">
        <v>637</v>
      </c>
      <c r="C178" s="21"/>
      <c r="D178" s="21"/>
      <c r="E178" s="21" t="s">
        <v>271</v>
      </c>
      <c r="F178" s="21" t="s">
        <v>649</v>
      </c>
      <c r="G178" s="21"/>
      <c r="H178" s="1084"/>
      <c r="I178" s="66"/>
      <c r="J178" s="238"/>
      <c r="K178" s="246" t="s">
        <v>649</v>
      </c>
      <c r="L178" s="345" t="s">
        <v>650</v>
      </c>
      <c r="M178" s="1352"/>
      <c r="N178" s="4"/>
      <c r="O178" s="154"/>
      <c r="P178" s="440"/>
      <c r="Q178" s="440"/>
      <c r="R178"/>
      <c r="S178"/>
      <c r="T178"/>
      <c r="U178"/>
      <c r="V178"/>
      <c r="W178"/>
      <c r="X178" s="1303"/>
      <c r="Z178"/>
      <c r="AB178"/>
      <c r="AC178"/>
      <c r="AD178"/>
      <c r="AE178"/>
      <c r="AF178"/>
      <c r="AG178"/>
      <c r="AH178"/>
      <c r="AI178"/>
      <c r="AJ178"/>
      <c r="AK178"/>
      <c r="AL178"/>
      <c r="AM178"/>
      <c r="AN178"/>
      <c r="AO178"/>
      <c r="AP178"/>
      <c r="AQ178"/>
      <c r="AR178"/>
      <c r="AS178"/>
    </row>
    <row r="179" spans="1:51" x14ac:dyDescent="0.3">
      <c r="B179" s="80" t="s">
        <v>637</v>
      </c>
      <c r="C179" s="21"/>
      <c r="D179" s="21"/>
      <c r="E179" s="21" t="s">
        <v>273</v>
      </c>
      <c r="F179" s="80"/>
      <c r="G179" s="80"/>
      <c r="H179" s="1087"/>
      <c r="I179" s="66"/>
      <c r="J179" s="203" t="s">
        <v>273</v>
      </c>
      <c r="K179" s="98"/>
      <c r="L179" s="1305" t="s">
        <v>651</v>
      </c>
      <c r="M179" s="1318">
        <v>2</v>
      </c>
      <c r="N179" s="140"/>
      <c r="O179" s="1308">
        <f>M179*S179*W179</f>
        <v>0</v>
      </c>
      <c r="P179" s="440" t="b">
        <v>1</v>
      </c>
      <c r="Q179" s="440" t="b">
        <v>0</v>
      </c>
      <c r="R179" s="137" t="b">
        <v>0</v>
      </c>
      <c r="S179" s="137" t="b">
        <v>1</v>
      </c>
      <c r="T179" s="137" t="b">
        <v>0</v>
      </c>
      <c r="U179"/>
      <c r="V179"/>
      <c r="W179" s="25"/>
      <c r="X179" s="1303"/>
      <c r="Z179"/>
      <c r="AB179"/>
      <c r="AC179"/>
      <c r="AD179"/>
      <c r="AE179"/>
      <c r="AF179"/>
      <c r="AG179"/>
      <c r="AH179"/>
      <c r="AI179"/>
      <c r="AJ179"/>
      <c r="AK179"/>
      <c r="AL179" s="311" t="str">
        <f>SUBSTITUTE(SUBSTITUTE(SUBSTITUTE("dpa"&amp;$B179&amp;$C179&amp;$D179&amp;$E179&amp;$F179,".","_"),"(","_"),")","")</f>
        <v>dpa602_1_9_2</v>
      </c>
      <c r="AM179" s="311">
        <f>M179</f>
        <v>2</v>
      </c>
      <c r="AN179" s="311" t="str">
        <f>SUBSTITUTE(SUBSTITUTE(SUBSTITUTE("dpc"&amp;$B179&amp;$C179&amp;$D179&amp;$E179&amp;$F179,".","_"),"(","_"),")","")</f>
        <v>dpc602_1_9_2</v>
      </c>
      <c r="AO179" s="311">
        <f>O179</f>
        <v>0</v>
      </c>
      <c r="AP179" s="311" t="str">
        <f t="shared" ref="AP179" si="49">SUBSTITUTE(SUBSTITUTE(SUBSTITUTE("dch"&amp;$B179&amp;$C179&amp;$D179&amp;$E179&amp;$F179,".","_"),"(","_"),")","")</f>
        <v>dch602_1_9_2</v>
      </c>
      <c r="AQ179" s="311">
        <f>W179</f>
        <v>0</v>
      </c>
      <c r="AR179" s="1059" t="str">
        <f>SUBSTITUTE(SUBSTITUTE(SUBSTITUTE("dnt"&amp;$B179&amp;$C179&amp;$D179&amp;$E179&amp;$F179,".","_"),"(","_"),")","")</f>
        <v>dnt602_1_9_2</v>
      </c>
      <c r="AS179" s="311">
        <f>X179</f>
        <v>0</v>
      </c>
    </row>
    <row r="180" spans="1:51" x14ac:dyDescent="0.3">
      <c r="B180" s="80" t="s">
        <v>637</v>
      </c>
      <c r="C180" s="21"/>
      <c r="D180" s="21"/>
      <c r="E180" s="21" t="s">
        <v>273</v>
      </c>
      <c r="F180" s="80"/>
      <c r="G180" s="80"/>
      <c r="H180" s="1087"/>
      <c r="I180" s="66"/>
      <c r="J180" s="140"/>
      <c r="K180" s="98"/>
      <c r="L180" s="1305"/>
      <c r="M180" s="1318"/>
      <c r="N180" s="140"/>
      <c r="O180" s="1308"/>
      <c r="P180" s="440"/>
      <c r="Q180" s="440"/>
      <c r="R180"/>
      <c r="S180"/>
      <c r="T180"/>
      <c r="U180"/>
      <c r="V180"/>
      <c r="W180"/>
      <c r="X180" s="1303"/>
      <c r="Z180"/>
      <c r="AB180"/>
      <c r="AC180"/>
      <c r="AD180"/>
      <c r="AE180"/>
      <c r="AF180"/>
      <c r="AG180"/>
      <c r="AH180"/>
      <c r="AI180"/>
      <c r="AJ180"/>
      <c r="AK180"/>
      <c r="AL180"/>
      <c r="AM180"/>
      <c r="AN180"/>
      <c r="AO180"/>
      <c r="AP180"/>
      <c r="AQ180"/>
      <c r="AR180"/>
      <c r="AS180"/>
    </row>
    <row r="181" spans="1:51" x14ac:dyDescent="0.3">
      <c r="B181" s="80" t="s">
        <v>637</v>
      </c>
      <c r="C181" s="21"/>
      <c r="D181" s="21"/>
      <c r="E181" s="21" t="s">
        <v>273</v>
      </c>
      <c r="F181" s="80"/>
      <c r="G181" s="80"/>
      <c r="H181" s="1087"/>
      <c r="I181" s="66"/>
      <c r="J181" s="238"/>
      <c r="K181" s="193"/>
      <c r="L181" s="1306"/>
      <c r="M181" s="1319"/>
      <c r="N181" s="238"/>
      <c r="O181" s="1309"/>
      <c r="P181" s="440"/>
      <c r="Q181" s="440"/>
      <c r="R181"/>
      <c r="S181"/>
      <c r="T181"/>
      <c r="U181"/>
      <c r="V181"/>
      <c r="W181"/>
      <c r="X181" s="1303"/>
      <c r="Z181"/>
      <c r="AB181"/>
      <c r="AC181"/>
      <c r="AD181"/>
      <c r="AE181"/>
      <c r="AF181"/>
      <c r="AG181"/>
      <c r="AH181"/>
      <c r="AI181"/>
      <c r="AJ181"/>
      <c r="AK181"/>
      <c r="AL181"/>
      <c r="AM181"/>
      <c r="AN181"/>
      <c r="AO181"/>
      <c r="AP181"/>
      <c r="AQ181"/>
      <c r="AR181"/>
      <c r="AS181"/>
    </row>
    <row r="182" spans="1:51" x14ac:dyDescent="0.3">
      <c r="B182" s="80" t="s">
        <v>637</v>
      </c>
      <c r="C182" s="21"/>
      <c r="D182" s="21"/>
      <c r="E182" s="21" t="s">
        <v>275</v>
      </c>
      <c r="F182" s="80"/>
      <c r="G182" s="80"/>
      <c r="H182" s="1087"/>
      <c r="I182" s="66"/>
      <c r="J182" s="233" t="s">
        <v>275</v>
      </c>
      <c r="K182" s="234"/>
      <c r="L182" s="365" t="s">
        <v>652</v>
      </c>
      <c r="M182" s="532">
        <v>3</v>
      </c>
      <c r="N182" s="274"/>
      <c r="O182" s="531">
        <f>M182*S182*W182</f>
        <v>0</v>
      </c>
      <c r="P182" s="440" t="b">
        <v>1</v>
      </c>
      <c r="Q182" s="440" t="b">
        <v>0</v>
      </c>
      <c r="R182" s="137" t="b">
        <v>0</v>
      </c>
      <c r="S182" s="137" t="b">
        <v>1</v>
      </c>
      <c r="T182" s="137" t="b">
        <v>0</v>
      </c>
      <c r="U182"/>
      <c r="V182"/>
      <c r="W182" s="25"/>
      <c r="X182" s="176"/>
      <c r="Z182"/>
      <c r="AB182"/>
      <c r="AC182"/>
      <c r="AD182"/>
      <c r="AE182"/>
      <c r="AF182"/>
      <c r="AG182"/>
      <c r="AH182"/>
      <c r="AI182"/>
      <c r="AJ182"/>
      <c r="AK182"/>
      <c r="AL182" s="311" t="str">
        <f t="shared" ref="AL182:AL183" si="50">SUBSTITUTE(SUBSTITUTE(SUBSTITUTE("dpa"&amp;$B182&amp;$C182&amp;$D182&amp;$E182&amp;$F182,".","_"),"(","_"),")","")</f>
        <v>dpa602_1_9_3</v>
      </c>
      <c r="AM182" s="311">
        <f>M182</f>
        <v>3</v>
      </c>
      <c r="AN182" s="311" t="str">
        <f t="shared" ref="AN182:AN183" si="51">SUBSTITUTE(SUBSTITUTE(SUBSTITUTE("dpc"&amp;$B182&amp;$C182&amp;$D182&amp;$E182&amp;$F182,".","_"),"(","_"),")","")</f>
        <v>dpc602_1_9_3</v>
      </c>
      <c r="AO182" s="311">
        <f>O182</f>
        <v>0</v>
      </c>
      <c r="AP182" s="311" t="str">
        <f t="shared" ref="AP182:AP183" si="52">SUBSTITUTE(SUBSTITUTE(SUBSTITUTE("dch"&amp;$B182&amp;$C182&amp;$D182&amp;$E182&amp;$F182,".","_"),"(","_"),")","")</f>
        <v>dch602_1_9_3</v>
      </c>
      <c r="AQ182" s="311">
        <f>W182</f>
        <v>0</v>
      </c>
      <c r="AR182" s="1059" t="str">
        <f>SUBSTITUTE(SUBSTITUTE(SUBSTITUTE("dnt"&amp;$B182&amp;$C182&amp;$D182&amp;$E182&amp;$F182,".","_"),"(","_"),")","")</f>
        <v>dnt602_1_9_3</v>
      </c>
      <c r="AS182" s="311">
        <f>X182</f>
        <v>0</v>
      </c>
    </row>
    <row r="183" spans="1:51" x14ac:dyDescent="0.3">
      <c r="B183" s="80" t="s">
        <v>637</v>
      </c>
      <c r="C183" s="21"/>
      <c r="D183" s="21"/>
      <c r="E183" s="21" t="s">
        <v>285</v>
      </c>
      <c r="F183" s="80"/>
      <c r="G183" s="80"/>
      <c r="H183" s="1087"/>
      <c r="I183" s="66"/>
      <c r="J183" s="237" t="s">
        <v>285</v>
      </c>
      <c r="K183" s="217"/>
      <c r="L183" s="1356" t="s">
        <v>653</v>
      </c>
      <c r="M183" s="1323">
        <v>3</v>
      </c>
      <c r="N183" s="216"/>
      <c r="O183" s="1324">
        <f>M183*S183*W183</f>
        <v>0</v>
      </c>
      <c r="P183" s="440" t="b">
        <v>1</v>
      </c>
      <c r="Q183" s="440" t="b">
        <v>0</v>
      </c>
      <c r="R183" s="137" t="b">
        <v>0</v>
      </c>
      <c r="S183" s="137" t="b">
        <v>1</v>
      </c>
      <c r="T183" s="137" t="b">
        <v>0</v>
      </c>
      <c r="U183"/>
      <c r="V183"/>
      <c r="W183" s="25"/>
      <c r="X183" s="1303"/>
      <c r="Z183"/>
      <c r="AB183"/>
      <c r="AC183"/>
      <c r="AD183"/>
      <c r="AE183"/>
      <c r="AF183"/>
      <c r="AG183"/>
      <c r="AH183"/>
      <c r="AI183"/>
      <c r="AJ183"/>
      <c r="AK183"/>
      <c r="AL183" s="311" t="str">
        <f t="shared" si="50"/>
        <v>dpa602_1_9_4</v>
      </c>
      <c r="AM183" s="311">
        <f>M183</f>
        <v>3</v>
      </c>
      <c r="AN183" s="311" t="str">
        <f t="shared" si="51"/>
        <v>dpc602_1_9_4</v>
      </c>
      <c r="AO183" s="311">
        <f>O183</f>
        <v>0</v>
      </c>
      <c r="AP183" s="311" t="str">
        <f t="shared" si="52"/>
        <v>dch602_1_9_4</v>
      </c>
      <c r="AQ183" s="311">
        <f>W183</f>
        <v>0</v>
      </c>
      <c r="AR183" s="1059" t="str">
        <f>SUBSTITUTE(SUBSTITUTE(SUBSTITUTE("dnt"&amp;$B183&amp;$C183&amp;$D183&amp;$E183&amp;$F183,".","_"),"(","_"),")","")</f>
        <v>dnt602_1_9_4</v>
      </c>
      <c r="AS183" s="311">
        <f>X183</f>
        <v>0</v>
      </c>
    </row>
    <row r="184" spans="1:51" x14ac:dyDescent="0.3">
      <c r="B184" s="80" t="s">
        <v>637</v>
      </c>
      <c r="C184" s="21"/>
      <c r="D184" s="21"/>
      <c r="E184" s="21" t="s">
        <v>285</v>
      </c>
      <c r="F184" s="80"/>
      <c r="G184" s="80"/>
      <c r="H184" s="1087"/>
      <c r="I184" s="66"/>
      <c r="J184" s="140"/>
      <c r="K184" s="98"/>
      <c r="L184" s="1305"/>
      <c r="M184" s="1318"/>
      <c r="N184" s="140"/>
      <c r="O184" s="1308"/>
      <c r="P184" s="440"/>
      <c r="Q184" s="440"/>
      <c r="R184"/>
      <c r="S184"/>
      <c r="T184"/>
      <c r="U184"/>
      <c r="V184"/>
      <c r="W184"/>
      <c r="X184" s="1303"/>
      <c r="Z184"/>
      <c r="AB184"/>
      <c r="AC184"/>
      <c r="AD184"/>
      <c r="AE184"/>
      <c r="AF184"/>
      <c r="AG184"/>
      <c r="AH184"/>
      <c r="AI184"/>
      <c r="AJ184"/>
      <c r="AK184"/>
      <c r="AL184"/>
      <c r="AM184"/>
      <c r="AN184"/>
      <c r="AO184"/>
      <c r="AP184"/>
      <c r="AQ184"/>
      <c r="AR184"/>
      <c r="AS184"/>
    </row>
    <row r="185" spans="1:51" x14ac:dyDescent="0.3">
      <c r="B185" s="80" t="s">
        <v>637</v>
      </c>
      <c r="C185" s="21"/>
      <c r="D185" s="21"/>
      <c r="E185" s="21" t="s">
        <v>285</v>
      </c>
      <c r="F185" s="80"/>
      <c r="G185" s="80"/>
      <c r="H185" s="1087"/>
      <c r="I185" s="66"/>
      <c r="J185" s="140"/>
      <c r="K185" s="98"/>
      <c r="L185" s="1305"/>
      <c r="M185" s="1318"/>
      <c r="N185" s="140"/>
      <c r="O185" s="1308"/>
      <c r="P185" s="440"/>
      <c r="Q185" s="440"/>
      <c r="R185"/>
      <c r="S185"/>
      <c r="T185"/>
      <c r="U185"/>
      <c r="V185"/>
      <c r="W185"/>
      <c r="X185" s="1303"/>
      <c r="Z185"/>
      <c r="AB185"/>
      <c r="AC185"/>
      <c r="AD185"/>
      <c r="AE185"/>
      <c r="AF185"/>
      <c r="AG185"/>
      <c r="AH185"/>
      <c r="AI185"/>
      <c r="AJ185"/>
      <c r="AK185"/>
      <c r="AL185"/>
      <c r="AM185"/>
      <c r="AN185"/>
      <c r="AO185"/>
      <c r="AP185"/>
      <c r="AQ185"/>
      <c r="AR185"/>
      <c r="AS185"/>
    </row>
    <row r="186" spans="1:51" x14ac:dyDescent="0.3">
      <c r="B186" s="80" t="s">
        <v>637</v>
      </c>
      <c r="C186" s="21"/>
      <c r="D186" s="21"/>
      <c r="E186" s="21" t="s">
        <v>285</v>
      </c>
      <c r="F186" s="80"/>
      <c r="G186" s="80"/>
      <c r="H186" s="1087"/>
      <c r="I186" s="66"/>
      <c r="J186" s="238"/>
      <c r="K186" s="193"/>
      <c r="L186" s="1306"/>
      <c r="M186" s="1319"/>
      <c r="N186" s="238"/>
      <c r="O186" s="1309"/>
      <c r="P186" s="440"/>
      <c r="Q186" s="440"/>
      <c r="R186"/>
      <c r="S186"/>
      <c r="T186"/>
      <c r="U186"/>
      <c r="V186"/>
      <c r="W186"/>
      <c r="X186" s="1303"/>
      <c r="Z186"/>
      <c r="AB186"/>
      <c r="AC186"/>
      <c r="AD186"/>
      <c r="AE186"/>
      <c r="AF186"/>
      <c r="AG186"/>
      <c r="AH186"/>
      <c r="AI186"/>
      <c r="AJ186"/>
      <c r="AK186"/>
      <c r="AL186"/>
      <c r="AM186"/>
      <c r="AN186"/>
      <c r="AO186"/>
      <c r="AP186"/>
      <c r="AQ186"/>
      <c r="AR186"/>
      <c r="AS186"/>
    </row>
    <row r="187" spans="1:51" x14ac:dyDescent="0.3">
      <c r="B187" s="80" t="s">
        <v>637</v>
      </c>
      <c r="C187" s="21"/>
      <c r="D187" s="21"/>
      <c r="E187" s="21" t="s">
        <v>291</v>
      </c>
      <c r="F187" s="80"/>
      <c r="G187" s="80"/>
      <c r="H187" s="1087"/>
      <c r="I187" s="66"/>
      <c r="J187" s="27" t="s">
        <v>291</v>
      </c>
      <c r="K187" s="86"/>
      <c r="L187" s="350" t="s">
        <v>654</v>
      </c>
      <c r="M187" s="522"/>
      <c r="N187" s="4"/>
      <c r="O187" s="154">
        <f ca="1">IFERROR(INDEX({4,2},MATCH(W187,INDIRECT(U187),0)),0)</f>
        <v>0</v>
      </c>
      <c r="P187" s="440" t="b">
        <v>1</v>
      </c>
      <c r="Q187" s="440" t="b">
        <v>0</v>
      </c>
      <c r="R187" s="137" t="b">
        <v>0</v>
      </c>
      <c r="S187" s="137" t="b">
        <v>1</v>
      </c>
      <c r="T187" s="137" t="b">
        <v>0</v>
      </c>
      <c r="U187" s="97" t="str">
        <f>SUBSTITUTE(SUBSTITUTE(SUBSTITUTE("dd"&amp;B187&amp;C187&amp;D187&amp;E187&amp;F187,".","_"),"(","_"),")","")</f>
        <v>dd602_1_9_5</v>
      </c>
      <c r="V187"/>
      <c r="W187" s="12"/>
      <c r="X187" s="1303"/>
      <c r="Z187"/>
      <c r="AB187"/>
      <c r="AC187"/>
      <c r="AD187"/>
      <c r="AE187"/>
      <c r="AF187"/>
      <c r="AG187"/>
      <c r="AH187"/>
      <c r="AI187"/>
      <c r="AJ187"/>
      <c r="AK187"/>
      <c r="AL187"/>
      <c r="AM187"/>
      <c r="AN187" s="311" t="str">
        <f>SUBSTITUTE(SUBSTITUTE(SUBSTITUTE("dpc"&amp;$B187&amp;$C187&amp;$D187&amp;$E187&amp;$F187,".","_"),"(","_"),")","")</f>
        <v>dpc602_1_9_5</v>
      </c>
      <c r="AO187" s="311">
        <f ca="1">O187</f>
        <v>0</v>
      </c>
      <c r="AP187" s="311" t="str">
        <f t="shared" ref="AP187" si="53">SUBSTITUTE(SUBSTITUTE(SUBSTITUTE("dch"&amp;$B187&amp;$C187&amp;$D187&amp;$E187&amp;$F187,".","_"),"(","_"),")","")</f>
        <v>dch602_1_9_5</v>
      </c>
      <c r="AQ187" s="311">
        <f>W187</f>
        <v>0</v>
      </c>
      <c r="AR187" s="1059" t="str">
        <f>SUBSTITUTE(SUBSTITUTE(SUBSTITUTE("dnt"&amp;$B187&amp;$C187&amp;$D187&amp;$E187&amp;$F187,".","_"),"(","_"),")","")</f>
        <v>dnt602_1_9_5</v>
      </c>
      <c r="AS187" s="311">
        <f>X187</f>
        <v>0</v>
      </c>
    </row>
    <row r="188" spans="1:51" x14ac:dyDescent="0.3">
      <c r="B188" s="80" t="s">
        <v>637</v>
      </c>
      <c r="C188" s="21"/>
      <c r="D188" s="21"/>
      <c r="E188" s="21" t="s">
        <v>291</v>
      </c>
      <c r="F188" s="21" t="s">
        <v>121</v>
      </c>
      <c r="G188" s="21"/>
      <c r="H188" s="1084"/>
      <c r="I188" s="66"/>
      <c r="J188" s="4"/>
      <c r="K188" s="94" t="s">
        <v>121</v>
      </c>
      <c r="L188" s="1305" t="s">
        <v>655</v>
      </c>
      <c r="M188" s="1318">
        <v>4</v>
      </c>
      <c r="N188" s="4"/>
      <c r="O188" s="154"/>
      <c r="P188" s="440"/>
      <c r="Q188" s="440"/>
      <c r="R188"/>
      <c r="S188"/>
      <c r="T188"/>
      <c r="U188"/>
      <c r="V188"/>
      <c r="W188"/>
      <c r="X188" s="1303"/>
      <c r="Z188"/>
      <c r="AB188"/>
      <c r="AC188"/>
      <c r="AD188"/>
      <c r="AE188"/>
      <c r="AF188"/>
      <c r="AG188"/>
      <c r="AH188"/>
      <c r="AI188"/>
      <c r="AJ188"/>
      <c r="AK188"/>
      <c r="AL188" s="311" t="str">
        <f>SUBSTITUTE(SUBSTITUTE(SUBSTITUTE("dpa"&amp;$B188&amp;$C188&amp;$D188&amp;$E188&amp;$F188,".","_"),"(","_"),")","")</f>
        <v>dpa602_1_9_5_a</v>
      </c>
      <c r="AM188" s="311">
        <f>M188</f>
        <v>4</v>
      </c>
      <c r="AN188"/>
      <c r="AO188"/>
      <c r="AP188"/>
      <c r="AQ188"/>
      <c r="AR188"/>
      <c r="AS188"/>
    </row>
    <row r="189" spans="1:51" x14ac:dyDescent="0.3">
      <c r="B189" s="80" t="s">
        <v>637</v>
      </c>
      <c r="C189" s="21"/>
      <c r="D189" s="21"/>
      <c r="E189" s="21" t="s">
        <v>291</v>
      </c>
      <c r="F189" s="21" t="s">
        <v>121</v>
      </c>
      <c r="G189" s="21"/>
      <c r="H189" s="1084"/>
      <c r="I189" s="66"/>
      <c r="J189" s="4"/>
      <c r="K189" s="94"/>
      <c r="L189" s="1305"/>
      <c r="M189" s="1318"/>
      <c r="N189" s="4"/>
      <c r="O189" s="154"/>
      <c r="P189" s="440"/>
      <c r="Q189" s="440"/>
      <c r="R189"/>
      <c r="S189"/>
      <c r="T189"/>
      <c r="U189"/>
      <c r="V189"/>
      <c r="W189"/>
      <c r="X189" s="1303"/>
      <c r="Z189"/>
      <c r="AB189"/>
      <c r="AC189"/>
      <c r="AD189"/>
      <c r="AE189"/>
      <c r="AF189"/>
      <c r="AG189"/>
      <c r="AH189"/>
      <c r="AI189"/>
      <c r="AJ189"/>
      <c r="AK189"/>
      <c r="AL189"/>
      <c r="AM189"/>
      <c r="AN189"/>
      <c r="AO189"/>
      <c r="AP189"/>
      <c r="AQ189"/>
      <c r="AR189"/>
      <c r="AS189"/>
      <c r="AX189" s="143"/>
      <c r="AY189" s="143"/>
    </row>
    <row r="190" spans="1:51" s="143" customFormat="1" x14ac:dyDescent="0.3">
      <c r="A190" s="18"/>
      <c r="B190" s="80" t="s">
        <v>637</v>
      </c>
      <c r="C190" s="21"/>
      <c r="D190" s="21"/>
      <c r="E190" s="21" t="s">
        <v>291</v>
      </c>
      <c r="F190" s="21" t="s">
        <v>121</v>
      </c>
      <c r="G190" s="21"/>
      <c r="H190" s="1084"/>
      <c r="I190" s="66"/>
      <c r="J190" s="4"/>
      <c r="K190" s="192"/>
      <c r="L190" s="1306"/>
      <c r="M190" s="1319"/>
      <c r="N190" s="4"/>
      <c r="O190" s="154"/>
      <c r="P190" s="440"/>
      <c r="Q190" s="440"/>
      <c r="X190" s="1303"/>
      <c r="Y190" s="1107"/>
      <c r="AA190" s="1110"/>
      <c r="AX190" s="65"/>
      <c r="AY190" s="65"/>
    </row>
    <row r="191" spans="1:51" x14ac:dyDescent="0.3">
      <c r="B191" s="80" t="s">
        <v>637</v>
      </c>
      <c r="C191" s="21"/>
      <c r="D191" s="21"/>
      <c r="E191" s="21" t="s">
        <v>291</v>
      </c>
      <c r="F191" s="21" t="s">
        <v>122</v>
      </c>
      <c r="G191" s="21"/>
      <c r="H191" s="1084"/>
      <c r="I191" s="66"/>
      <c r="J191" s="140"/>
      <c r="K191" s="94" t="s">
        <v>122</v>
      </c>
      <c r="L191" s="1305" t="s">
        <v>656</v>
      </c>
      <c r="M191" s="1318">
        <v>2</v>
      </c>
      <c r="N191" s="140"/>
      <c r="O191" s="269"/>
      <c r="P191" s="440"/>
      <c r="Q191" s="440"/>
      <c r="R191"/>
      <c r="S191"/>
      <c r="T191"/>
      <c r="U191"/>
      <c r="V191"/>
      <c r="W191"/>
      <c r="X191" s="1303"/>
      <c r="Z191"/>
      <c r="AB191"/>
      <c r="AC191"/>
      <c r="AD191"/>
      <c r="AE191"/>
      <c r="AF191"/>
      <c r="AG191"/>
      <c r="AH191"/>
      <c r="AI191"/>
      <c r="AJ191"/>
      <c r="AK191"/>
      <c r="AL191" s="311" t="str">
        <f>SUBSTITUTE(SUBSTITUTE(SUBSTITUTE("dpa"&amp;$B191&amp;$C191&amp;$D191&amp;$E191&amp;$F191,".","_"),"(","_"),")","")</f>
        <v>dpa602_1_9_5_b</v>
      </c>
      <c r="AM191" s="311">
        <f>M191</f>
        <v>2</v>
      </c>
      <c r="AN191"/>
      <c r="AO191"/>
      <c r="AP191"/>
      <c r="AQ191"/>
      <c r="AR191"/>
      <c r="AS191"/>
    </row>
    <row r="192" spans="1:51" x14ac:dyDescent="0.3">
      <c r="B192" s="80" t="s">
        <v>637</v>
      </c>
      <c r="C192" s="21"/>
      <c r="D192" s="21"/>
      <c r="E192" s="21" t="s">
        <v>291</v>
      </c>
      <c r="F192" s="21" t="s">
        <v>122</v>
      </c>
      <c r="G192" s="21"/>
      <c r="H192" s="1084"/>
      <c r="I192" s="66"/>
      <c r="J192" s="238"/>
      <c r="K192" s="193"/>
      <c r="L192" s="1306"/>
      <c r="M192" s="1319"/>
      <c r="N192" s="238"/>
      <c r="O192" s="597"/>
      <c r="P192" s="440"/>
      <c r="Q192" s="440"/>
      <c r="R192"/>
      <c r="S192"/>
      <c r="T192"/>
      <c r="U192"/>
      <c r="V192"/>
      <c r="W192"/>
      <c r="X192" s="1303"/>
      <c r="Z192"/>
      <c r="AB192"/>
      <c r="AC192"/>
      <c r="AD192"/>
      <c r="AE192"/>
      <c r="AF192"/>
      <c r="AG192"/>
      <c r="AH192"/>
      <c r="AI192"/>
      <c r="AJ192"/>
      <c r="AK192"/>
      <c r="AL192"/>
      <c r="AM192"/>
      <c r="AN192"/>
      <c r="AO192"/>
      <c r="AP192"/>
      <c r="AQ192"/>
      <c r="AR192"/>
      <c r="AS192"/>
    </row>
    <row r="193" spans="1:51" x14ac:dyDescent="0.3">
      <c r="B193" s="80" t="s">
        <v>637</v>
      </c>
      <c r="C193" s="21"/>
      <c r="D193" s="21"/>
      <c r="E193" s="21" t="s">
        <v>293</v>
      </c>
      <c r="F193" s="80"/>
      <c r="G193" s="80"/>
      <c r="H193" s="1087"/>
      <c r="I193" s="66"/>
      <c r="J193" s="237" t="s">
        <v>293</v>
      </c>
      <c r="K193" s="217"/>
      <c r="L193" s="1356" t="s">
        <v>657</v>
      </c>
      <c r="M193" s="1323">
        <v>2</v>
      </c>
      <c r="N193" s="216"/>
      <c r="O193" s="1324">
        <f>M193*S193*W193</f>
        <v>0</v>
      </c>
      <c r="P193" s="440" t="b">
        <v>1</v>
      </c>
      <c r="Q193" s="440" t="b">
        <v>0</v>
      </c>
      <c r="R193" s="137" t="b">
        <v>0</v>
      </c>
      <c r="S193" s="137" t="b">
        <v>1</v>
      </c>
      <c r="T193" s="137" t="b">
        <v>0</v>
      </c>
      <c r="U193"/>
      <c r="V193"/>
      <c r="W193" s="25"/>
      <c r="X193" s="1303"/>
      <c r="Z193"/>
      <c r="AB193"/>
      <c r="AC193"/>
      <c r="AD193"/>
      <c r="AE193"/>
      <c r="AF193"/>
      <c r="AG193"/>
      <c r="AH193"/>
      <c r="AI193"/>
      <c r="AJ193"/>
      <c r="AK193"/>
      <c r="AL193" s="311" t="str">
        <f>SUBSTITUTE(SUBSTITUTE(SUBSTITUTE("dpa"&amp;$B193&amp;$C193&amp;$D193&amp;$E193&amp;$F193,".","_"),"(","_"),")","")</f>
        <v>dpa602_1_9_6</v>
      </c>
      <c r="AM193" s="311">
        <f>M193</f>
        <v>2</v>
      </c>
      <c r="AN193" s="311" t="str">
        <f>SUBSTITUTE(SUBSTITUTE(SUBSTITUTE("dpc"&amp;$B193&amp;$C193&amp;$D193&amp;$E193&amp;$F193,".","_"),"(","_"),")","")</f>
        <v>dpc602_1_9_6</v>
      </c>
      <c r="AO193" s="311">
        <f>O193</f>
        <v>0</v>
      </c>
      <c r="AP193" s="311" t="str">
        <f t="shared" ref="AP193" si="54">SUBSTITUTE(SUBSTITUTE(SUBSTITUTE("dch"&amp;$B193&amp;$C193&amp;$D193&amp;$E193&amp;$F193,".","_"),"(","_"),")","")</f>
        <v>dch602_1_9_6</v>
      </c>
      <c r="AQ193" s="311">
        <f>W193</f>
        <v>0</v>
      </c>
      <c r="AR193" s="1059" t="str">
        <f>SUBSTITUTE(SUBSTITUTE(SUBSTITUTE("dnt"&amp;$B193&amp;$C193&amp;$D193&amp;$E193&amp;$F193,".","_"),"(","_"),")","")</f>
        <v>dnt602_1_9_6</v>
      </c>
      <c r="AS193" s="311">
        <f>X193</f>
        <v>0</v>
      </c>
    </row>
    <row r="194" spans="1:51" x14ac:dyDescent="0.3">
      <c r="B194" s="80" t="s">
        <v>637</v>
      </c>
      <c r="C194" s="21"/>
      <c r="D194" s="21"/>
      <c r="E194" s="21" t="s">
        <v>293</v>
      </c>
      <c r="F194" s="80"/>
      <c r="G194" s="80"/>
      <c r="H194" s="1087"/>
      <c r="I194" s="66"/>
      <c r="J194" s="238"/>
      <c r="K194" s="193"/>
      <c r="L194" s="1306"/>
      <c r="M194" s="1319"/>
      <c r="N194" s="238"/>
      <c r="O194" s="1309"/>
      <c r="P194" s="440"/>
      <c r="Q194" s="440"/>
      <c r="R194"/>
      <c r="S194"/>
      <c r="T194"/>
      <c r="U194"/>
      <c r="V194"/>
      <c r="W194"/>
      <c r="X194" s="1303"/>
      <c r="Z194"/>
      <c r="AB194"/>
      <c r="AC194"/>
      <c r="AD194"/>
      <c r="AE194"/>
      <c r="AF194"/>
      <c r="AG194"/>
      <c r="AH194"/>
      <c r="AI194"/>
      <c r="AJ194"/>
      <c r="AK194"/>
      <c r="AL194"/>
      <c r="AM194"/>
      <c r="AN194"/>
      <c r="AO194"/>
      <c r="AP194"/>
      <c r="AQ194"/>
      <c r="AR194"/>
      <c r="AS194"/>
    </row>
    <row r="195" spans="1:51" ht="15" thickBot="1" x14ac:dyDescent="0.35">
      <c r="B195" s="80" t="s">
        <v>637</v>
      </c>
      <c r="C195" s="21"/>
      <c r="D195" s="21"/>
      <c r="E195" s="21" t="s">
        <v>405</v>
      </c>
      <c r="F195" s="81"/>
      <c r="G195" s="81"/>
      <c r="H195" s="1089"/>
      <c r="I195" s="66"/>
      <c r="J195" s="27" t="s">
        <v>405</v>
      </c>
      <c r="K195" s="86"/>
      <c r="L195" s="350" t="s">
        <v>658</v>
      </c>
      <c r="M195" s="522">
        <v>2</v>
      </c>
      <c r="N195" s="4"/>
      <c r="O195" s="154">
        <f>M195*S195*W195</f>
        <v>0</v>
      </c>
      <c r="P195" s="440" t="b">
        <v>1</v>
      </c>
      <c r="Q195" s="440" t="b">
        <v>0</v>
      </c>
      <c r="R195" s="137" t="b">
        <v>0</v>
      </c>
      <c r="S195" s="137" t="b">
        <v>1</v>
      </c>
      <c r="T195" s="137" t="b">
        <v>0</v>
      </c>
      <c r="U195"/>
      <c r="V195"/>
      <c r="W195" s="25"/>
      <c r="X195" s="185"/>
      <c r="Z195"/>
      <c r="AB195"/>
      <c r="AC195"/>
      <c r="AD195"/>
      <c r="AE195"/>
      <c r="AF195"/>
      <c r="AG195"/>
      <c r="AH195"/>
      <c r="AI195"/>
      <c r="AJ195"/>
      <c r="AK195"/>
      <c r="AL195" s="311" t="str">
        <f>SUBSTITUTE(SUBSTITUTE(SUBSTITUTE("dpa"&amp;$B195&amp;$C195&amp;$D195&amp;$E195&amp;$F195,".","_"),"(","_"),")","")</f>
        <v>dpa602_1_9_7</v>
      </c>
      <c r="AM195" s="311">
        <f>M195</f>
        <v>2</v>
      </c>
      <c r="AN195" s="311" t="str">
        <f t="shared" ref="AN195:AN196" si="55">SUBSTITUTE(SUBSTITUTE(SUBSTITUTE("dpc"&amp;$B195&amp;$C195&amp;$D195&amp;$E195&amp;$F195,".","_"),"(","_"),")","")</f>
        <v>dpc602_1_9_7</v>
      </c>
      <c r="AO195" s="311">
        <f>O195</f>
        <v>0</v>
      </c>
      <c r="AP195" s="311" t="str">
        <f t="shared" ref="AP195" si="56">SUBSTITUTE(SUBSTITUTE(SUBSTITUTE("dch"&amp;$B195&amp;$C195&amp;$D195&amp;$E195&amp;$F195,".","_"),"(","_"),")","")</f>
        <v>dch602_1_9_7</v>
      </c>
      <c r="AQ195" s="311">
        <f>W195</f>
        <v>0</v>
      </c>
      <c r="AR195" s="1059" t="str">
        <f>SUBSTITUTE(SUBSTITUTE(SUBSTITUTE("dnt"&amp;$B195&amp;$C195&amp;$D195&amp;$E195&amp;$F195,".","_"),"(","_"),")","")</f>
        <v>dnt602_1_9_7</v>
      </c>
      <c r="AS195" s="311">
        <f>X195</f>
        <v>0</v>
      </c>
    </row>
    <row r="196" spans="1:51" ht="15" customHeight="1" thickTop="1" x14ac:dyDescent="0.3">
      <c r="B196" s="938" t="s">
        <v>659</v>
      </c>
      <c r="C196" s="1063"/>
      <c r="D196" s="21"/>
      <c r="E196" s="21"/>
      <c r="F196" s="21"/>
      <c r="G196" s="21"/>
      <c r="H196" s="1084"/>
      <c r="I196" s="200" t="s">
        <v>660</v>
      </c>
      <c r="J196" s="201"/>
      <c r="K196" s="202"/>
      <c r="L196" s="1331" t="s">
        <v>661</v>
      </c>
      <c r="M196" s="1371" t="s">
        <v>809</v>
      </c>
      <c r="N196" s="201"/>
      <c r="O196" s="1336">
        <f ca="1">IFERROR(INDEX({2,4,6},MATCH(W197,INDIRECT(U197),0)),0)</f>
        <v>4</v>
      </c>
      <c r="P196" s="110"/>
      <c r="Q196" s="110"/>
      <c r="R196" s="110"/>
      <c r="S196" s="110"/>
      <c r="T196" s="110"/>
      <c r="U196" s="110"/>
      <c r="V196" s="110"/>
      <c r="W196" s="110"/>
      <c r="X196" s="110"/>
      <c r="Z196"/>
      <c r="AB196"/>
      <c r="AC196"/>
      <c r="AD196"/>
      <c r="AE196"/>
      <c r="AF196"/>
      <c r="AG196"/>
      <c r="AH196"/>
      <c r="AI196"/>
      <c r="AJ196"/>
      <c r="AK196"/>
      <c r="AL196" s="311" t="str">
        <f>SUBSTITUTE(SUBSTITUTE(SUBSTITUTE("dpa"&amp;$B196&amp;$C196&amp;$D196&amp;$E196&amp;$F196,".","_"),"(","_"),")","")</f>
        <v>dpa602_1_10</v>
      </c>
      <c r="AM196" s="311" t="str">
        <f>M196</f>
        <v>2 per exterior door
6 Max</v>
      </c>
      <c r="AN196" s="311" t="str">
        <f t="shared" si="55"/>
        <v>dpc602_1_10</v>
      </c>
      <c r="AO196" s="311">
        <f ca="1">O196</f>
        <v>4</v>
      </c>
      <c r="AP196"/>
      <c r="AQ196"/>
      <c r="AR196"/>
      <c r="AS196"/>
    </row>
    <row r="197" spans="1:51" ht="15" customHeight="1" x14ac:dyDescent="0.3">
      <c r="B197" s="938" t="s">
        <v>659</v>
      </c>
      <c r="C197" s="1063"/>
      <c r="D197" s="21"/>
      <c r="E197" s="21"/>
      <c r="F197" s="21"/>
      <c r="G197" s="21"/>
      <c r="H197" s="1084"/>
      <c r="I197" s="141"/>
      <c r="J197" s="140"/>
      <c r="K197" s="98"/>
      <c r="L197" s="1313"/>
      <c r="M197" s="1372"/>
      <c r="N197" s="140"/>
      <c r="O197" s="1308"/>
      <c r="P197" s="97" t="b">
        <v>1</v>
      </c>
      <c r="Q197" s="97" t="b">
        <v>1</v>
      </c>
      <c r="R197" s="97" t="b">
        <v>0</v>
      </c>
      <c r="S197" s="97" t="b">
        <v>1</v>
      </c>
      <c r="T197" s="97" t="b">
        <v>0</v>
      </c>
      <c r="U197" s="97" t="str">
        <f>SUBSTITUTE(SUBSTITUTE(SUBSTITUTE("dd"&amp;B197&amp;C197&amp;D197&amp;E197&amp;F197,".","_"),"(","_"),")","")</f>
        <v>dd602_1_10</v>
      </c>
      <c r="V197" s="97"/>
      <c r="W197" s="114" t="s">
        <v>3252</v>
      </c>
      <c r="X197" s="1295"/>
      <c r="Z197"/>
      <c r="AB197"/>
      <c r="AC197"/>
      <c r="AD197"/>
      <c r="AE197"/>
      <c r="AF197"/>
      <c r="AG197"/>
      <c r="AH197"/>
      <c r="AI197"/>
      <c r="AJ197"/>
      <c r="AK197"/>
      <c r="AL197" s="311"/>
      <c r="AM197" s="311"/>
      <c r="AN197"/>
      <c r="AO197"/>
      <c r="AP197" s="311" t="str">
        <f t="shared" ref="AP197" si="57">SUBSTITUTE(SUBSTITUTE(SUBSTITUTE("dch"&amp;$B197&amp;$C197&amp;$D197&amp;$E197&amp;$F197,".","_"),"(","_"),")","")</f>
        <v>dch602_1_10</v>
      </c>
      <c r="AQ197" s="311" t="str">
        <f>W197</f>
        <v>2 exterior door</v>
      </c>
      <c r="AR197" s="1059" t="str">
        <f>SUBSTITUTE(SUBSTITUTE(SUBSTITUTE("dnt"&amp;$B197&amp;$C197&amp;$D197&amp;$E197&amp;$F197,".","_"),"(","_"),")","")</f>
        <v>dnt602_1_10</v>
      </c>
      <c r="AS197" s="311">
        <f>X197</f>
        <v>0</v>
      </c>
    </row>
    <row r="198" spans="1:51" ht="15" customHeight="1" x14ac:dyDescent="0.3">
      <c r="B198" s="938" t="s">
        <v>659</v>
      </c>
      <c r="C198" s="1063"/>
      <c r="D198" s="21"/>
      <c r="E198" s="21"/>
      <c r="F198" s="21"/>
      <c r="G198" s="21"/>
      <c r="H198" s="1084"/>
      <c r="I198" s="141"/>
      <c r="J198" s="140"/>
      <c r="K198" s="98"/>
      <c r="L198" s="1313"/>
      <c r="M198" s="1372"/>
      <c r="N198" s="140"/>
      <c r="O198" s="1308"/>
      <c r="P198" s="97"/>
      <c r="Q198" s="97"/>
      <c r="R198" s="97"/>
      <c r="S198" s="97"/>
      <c r="T198" s="97"/>
      <c r="U198" s="97"/>
      <c r="V198" s="97"/>
      <c r="W198" s="97"/>
      <c r="X198" s="1295"/>
      <c r="Z198"/>
      <c r="AB198"/>
      <c r="AC198"/>
      <c r="AD198"/>
      <c r="AE198"/>
      <c r="AF198"/>
      <c r="AG198"/>
      <c r="AH198"/>
      <c r="AI198"/>
      <c r="AJ198"/>
      <c r="AK198"/>
      <c r="AL198"/>
      <c r="AM198"/>
      <c r="AN198"/>
      <c r="AO198"/>
      <c r="AP198"/>
      <c r="AQ198"/>
      <c r="AR198"/>
      <c r="AS198"/>
    </row>
    <row r="199" spans="1:51" ht="15" customHeight="1" x14ac:dyDescent="0.3">
      <c r="B199" s="938" t="s">
        <v>659</v>
      </c>
      <c r="C199" s="1063"/>
      <c r="D199" s="21"/>
      <c r="E199" s="21"/>
      <c r="F199" s="21"/>
      <c r="G199" s="21"/>
      <c r="H199" s="1084"/>
      <c r="I199" s="141"/>
      <c r="J199" s="140"/>
      <c r="K199" s="98"/>
      <c r="L199" s="1313"/>
      <c r="M199" s="1372"/>
      <c r="N199" s="140"/>
      <c r="O199" s="1308"/>
      <c r="P199" s="97"/>
      <c r="Q199" s="97"/>
      <c r="R199" s="97"/>
      <c r="S199" s="97"/>
      <c r="T199" s="97"/>
      <c r="U199" s="97"/>
      <c r="V199" s="97"/>
      <c r="W199" s="97"/>
      <c r="X199" s="1295"/>
      <c r="Z199"/>
      <c r="AB199"/>
      <c r="AC199"/>
      <c r="AD199"/>
      <c r="AE199"/>
      <c r="AF199"/>
      <c r="AG199"/>
      <c r="AH199"/>
      <c r="AI199"/>
      <c r="AJ199"/>
      <c r="AK199"/>
      <c r="AL199"/>
      <c r="AM199"/>
      <c r="AN199"/>
      <c r="AO199"/>
      <c r="AP199"/>
      <c r="AQ199"/>
      <c r="AR199"/>
      <c r="AS199"/>
    </row>
    <row r="200" spans="1:51" ht="15" customHeight="1" x14ac:dyDescent="0.3">
      <c r="B200" s="938" t="s">
        <v>659</v>
      </c>
      <c r="C200" s="1063"/>
      <c r="D200" s="21"/>
      <c r="E200" s="21"/>
      <c r="F200" s="21"/>
      <c r="G200" s="21"/>
      <c r="H200" s="1084"/>
      <c r="I200" s="141"/>
      <c r="J200" s="140"/>
      <c r="K200" s="98"/>
      <c r="L200" s="1313"/>
      <c r="M200" s="1372"/>
      <c r="N200" s="140"/>
      <c r="O200" s="1308"/>
      <c r="P200" s="97"/>
      <c r="Q200" s="97"/>
      <c r="R200" s="97"/>
      <c r="S200" s="97"/>
      <c r="T200" s="97"/>
      <c r="U200" s="97"/>
      <c r="V200" s="97"/>
      <c r="W200" s="97"/>
      <c r="X200" s="1295"/>
      <c r="Z200"/>
      <c r="AB200"/>
      <c r="AC200"/>
      <c r="AD200"/>
      <c r="AE200"/>
      <c r="AF200"/>
      <c r="AG200"/>
      <c r="AH200"/>
      <c r="AI200"/>
      <c r="AJ200"/>
      <c r="AK200"/>
      <c r="AL200"/>
      <c r="AM200"/>
      <c r="AN200"/>
      <c r="AO200"/>
      <c r="AP200"/>
      <c r="AQ200"/>
      <c r="AR200"/>
      <c r="AS200"/>
    </row>
    <row r="201" spans="1:51" ht="15" customHeight="1" x14ac:dyDescent="0.3">
      <c r="B201" s="938" t="s">
        <v>659</v>
      </c>
      <c r="C201" s="1063"/>
      <c r="D201" s="21"/>
      <c r="E201" s="21"/>
      <c r="F201" s="21"/>
      <c r="G201" s="21"/>
      <c r="H201" s="1084"/>
      <c r="I201" s="141"/>
      <c r="J201" s="140"/>
      <c r="K201" s="98"/>
      <c r="L201" s="1313"/>
      <c r="M201" s="1372"/>
      <c r="N201" s="140"/>
      <c r="O201" s="1308"/>
      <c r="P201" s="97"/>
      <c r="Q201" s="97"/>
      <c r="R201" s="97"/>
      <c r="S201" s="97"/>
      <c r="T201" s="97"/>
      <c r="U201" s="97"/>
      <c r="V201" s="97"/>
      <c r="W201" s="97"/>
      <c r="X201" s="1295"/>
      <c r="Z201"/>
      <c r="AB201"/>
      <c r="AC201"/>
      <c r="AD201"/>
      <c r="AE201"/>
      <c r="AF201"/>
      <c r="AG201"/>
      <c r="AH201"/>
      <c r="AI201"/>
      <c r="AJ201"/>
      <c r="AK201"/>
      <c r="AL201"/>
      <c r="AM201"/>
      <c r="AN201"/>
      <c r="AO201"/>
      <c r="AP201"/>
      <c r="AQ201"/>
      <c r="AR201"/>
      <c r="AS201"/>
      <c r="AX201" s="153"/>
      <c r="AY201" s="153"/>
    </row>
    <row r="202" spans="1:51" s="153" customFormat="1" x14ac:dyDescent="0.3">
      <c r="A202" s="18"/>
      <c r="B202" s="938" t="s">
        <v>659</v>
      </c>
      <c r="C202" s="1063"/>
      <c r="D202" s="21"/>
      <c r="E202" s="21"/>
      <c r="F202" s="21"/>
      <c r="G202" s="21"/>
      <c r="H202" s="1084"/>
      <c r="I202" s="141"/>
      <c r="J202" s="140"/>
      <c r="K202" s="98"/>
      <c r="L202" s="351" t="str">
        <f>"This Project's Climate Zone: "&amp;BF16</f>
        <v>This Project's Climate Zone: 4</v>
      </c>
      <c r="M202" s="1372"/>
      <c r="N202" s="140"/>
      <c r="O202" s="1308"/>
      <c r="P202" s="97"/>
      <c r="Q202" s="97"/>
      <c r="R202" s="97"/>
      <c r="S202" s="97"/>
      <c r="T202" s="97"/>
      <c r="U202" s="97"/>
      <c r="V202" s="97"/>
      <c r="W202" s="97"/>
      <c r="X202" s="1295"/>
      <c r="Y202" s="1107"/>
      <c r="AA202" s="1110"/>
      <c r="AX202" s="65"/>
      <c r="AY202" s="65"/>
    </row>
    <row r="203" spans="1:51" ht="15" customHeight="1" x14ac:dyDescent="0.3">
      <c r="B203" s="938" t="s">
        <v>659</v>
      </c>
      <c r="C203" s="1063"/>
      <c r="D203" s="21"/>
      <c r="E203" s="21"/>
      <c r="F203" s="21" t="s">
        <v>121</v>
      </c>
      <c r="G203" s="21"/>
      <c r="H203" s="1084"/>
      <c r="I203" s="141"/>
      <c r="J203" s="140"/>
      <c r="K203" s="94" t="s">
        <v>121</v>
      </c>
      <c r="L203" s="344" t="s">
        <v>662</v>
      </c>
      <c r="M203" s="1372"/>
      <c r="N203" s="140"/>
      <c r="O203" s="1308"/>
      <c r="P203" s="97"/>
      <c r="Q203" s="97"/>
      <c r="R203" s="97"/>
      <c r="S203" s="97"/>
      <c r="T203" s="97"/>
      <c r="U203" s="97"/>
      <c r="V203" s="97"/>
      <c r="W203" s="97"/>
      <c r="X203" s="1295"/>
      <c r="Z203"/>
      <c r="AB203"/>
      <c r="AC203"/>
      <c r="AD203"/>
      <c r="AE203"/>
      <c r="AF203"/>
      <c r="AG203"/>
      <c r="AH203"/>
      <c r="AI203"/>
      <c r="AJ203"/>
      <c r="AK203"/>
      <c r="AL203"/>
      <c r="AM203"/>
      <c r="AN203"/>
      <c r="AO203"/>
      <c r="AP203"/>
      <c r="AQ203"/>
      <c r="AR203"/>
      <c r="AS203"/>
    </row>
    <row r="204" spans="1:51" ht="15" customHeight="1" x14ac:dyDescent="0.3">
      <c r="B204" s="938" t="s">
        <v>659</v>
      </c>
      <c r="C204" s="1063"/>
      <c r="D204" s="21"/>
      <c r="E204" s="21"/>
      <c r="F204" s="21" t="s">
        <v>122</v>
      </c>
      <c r="G204" s="21"/>
      <c r="H204" s="1084"/>
      <c r="I204" s="141"/>
      <c r="J204" s="140"/>
      <c r="K204" s="94" t="s">
        <v>122</v>
      </c>
      <c r="L204" s="344" t="s">
        <v>663</v>
      </c>
      <c r="M204" s="1372"/>
      <c r="N204" s="140"/>
      <c r="O204" s="1308"/>
      <c r="P204" s="97"/>
      <c r="Q204" s="97"/>
      <c r="R204" s="97"/>
      <c r="S204" s="97"/>
      <c r="T204" s="97"/>
      <c r="U204" s="97"/>
      <c r="V204" s="97"/>
      <c r="W204" s="97"/>
      <c r="X204" s="1295"/>
      <c r="Z204"/>
      <c r="AB204"/>
      <c r="AC204"/>
      <c r="AD204"/>
      <c r="AE204"/>
      <c r="AF204"/>
      <c r="AG204"/>
      <c r="AH204"/>
      <c r="AI204"/>
      <c r="AJ204"/>
      <c r="AK204"/>
      <c r="AL204"/>
      <c r="AM204"/>
      <c r="AN204"/>
      <c r="AO204"/>
      <c r="AP204"/>
      <c r="AQ204"/>
      <c r="AR204"/>
      <c r="AS204"/>
    </row>
    <row r="205" spans="1:51" ht="15" customHeight="1" x14ac:dyDescent="0.3">
      <c r="B205" s="938" t="s">
        <v>659</v>
      </c>
      <c r="C205" s="1063"/>
      <c r="D205" s="21"/>
      <c r="E205" s="21"/>
      <c r="F205" s="21" t="s">
        <v>123</v>
      </c>
      <c r="G205" s="21"/>
      <c r="H205" s="1084"/>
      <c r="I205" s="141"/>
      <c r="J205" s="140"/>
      <c r="K205" s="115" t="s">
        <v>123</v>
      </c>
      <c r="L205" s="344" t="s">
        <v>664</v>
      </c>
      <c r="M205" s="1372"/>
      <c r="N205" s="140"/>
      <c r="O205" s="1308"/>
      <c r="P205" s="97"/>
      <c r="Q205" s="97"/>
      <c r="R205" s="97"/>
      <c r="S205" s="97"/>
      <c r="T205" s="97"/>
      <c r="U205" s="97"/>
      <c r="V205" s="97"/>
      <c r="W205" s="97"/>
      <c r="X205" s="1295"/>
      <c r="Z205"/>
      <c r="AB205"/>
      <c r="AC205"/>
      <c r="AD205"/>
      <c r="AE205"/>
      <c r="AF205"/>
      <c r="AG205"/>
      <c r="AH205"/>
      <c r="AI205"/>
      <c r="AJ205"/>
      <c r="AK205"/>
      <c r="AL205"/>
      <c r="AM205"/>
      <c r="AN205"/>
      <c r="AO205"/>
      <c r="AP205"/>
      <c r="AQ205"/>
      <c r="AR205"/>
      <c r="AS205"/>
    </row>
    <row r="206" spans="1:51" ht="15" customHeight="1" x14ac:dyDescent="0.3">
      <c r="B206" s="938" t="s">
        <v>659</v>
      </c>
      <c r="C206" s="1063"/>
      <c r="D206" s="21"/>
      <c r="E206" s="21"/>
      <c r="F206" s="21" t="s">
        <v>423</v>
      </c>
      <c r="G206" s="21"/>
      <c r="H206" s="1084"/>
      <c r="I206" s="141"/>
      <c r="J206" s="140"/>
      <c r="K206" s="210" t="s">
        <v>423</v>
      </c>
      <c r="L206" s="344" t="s">
        <v>665</v>
      </c>
      <c r="M206" s="1372"/>
      <c r="N206" s="140"/>
      <c r="O206" s="1308"/>
      <c r="P206" s="97"/>
      <c r="Q206" s="97"/>
      <c r="R206" s="97"/>
      <c r="S206" s="97"/>
      <c r="T206" s="97"/>
      <c r="U206" s="97"/>
      <c r="V206" s="97"/>
      <c r="W206" s="97"/>
      <c r="X206" s="1295"/>
      <c r="Z206"/>
      <c r="AB206"/>
      <c r="AC206"/>
      <c r="AD206"/>
      <c r="AE206"/>
      <c r="AF206"/>
      <c r="AG206"/>
      <c r="AH206"/>
      <c r="AI206"/>
      <c r="AJ206"/>
      <c r="AK206"/>
      <c r="AL206"/>
      <c r="AM206"/>
      <c r="AN206"/>
      <c r="AO206"/>
      <c r="AP206"/>
      <c r="AQ206"/>
      <c r="AR206"/>
      <c r="AS206"/>
      <c r="AX206" s="153"/>
      <c r="AY206" s="153"/>
    </row>
    <row r="207" spans="1:51" s="153" customFormat="1" x14ac:dyDescent="0.3">
      <c r="A207" s="18"/>
      <c r="B207" s="938" t="s">
        <v>659</v>
      </c>
      <c r="C207" s="1063"/>
      <c r="D207" s="21"/>
      <c r="E207" s="21"/>
      <c r="F207" s="21"/>
      <c r="G207" s="21"/>
      <c r="H207" s="1084"/>
      <c r="I207" s="141"/>
      <c r="J207" s="140"/>
      <c r="K207" s="210"/>
      <c r="L207" s="1369" t="s">
        <v>3254</v>
      </c>
      <c r="M207" s="1372"/>
      <c r="N207" s="140"/>
      <c r="O207" s="1308"/>
      <c r="P207" s="97"/>
      <c r="Q207" s="97"/>
      <c r="R207" s="97"/>
      <c r="S207" s="97"/>
      <c r="T207" s="97"/>
      <c r="U207" s="97"/>
      <c r="V207" s="97"/>
      <c r="W207" s="97"/>
      <c r="X207" s="1295"/>
      <c r="Y207" s="1107"/>
      <c r="AA207" s="1110"/>
    </row>
    <row r="208" spans="1:51" s="153" customFormat="1" ht="15" thickBot="1" x14ac:dyDescent="0.35">
      <c r="A208" s="18"/>
      <c r="B208" s="938" t="s">
        <v>659</v>
      </c>
      <c r="C208" s="1063"/>
      <c r="D208" s="21"/>
      <c r="E208" s="21"/>
      <c r="F208" s="21"/>
      <c r="G208" s="21"/>
      <c r="H208" s="1084"/>
      <c r="I208" s="141"/>
      <c r="J208" s="140"/>
      <c r="K208" s="210"/>
      <c r="L208" s="1357"/>
      <c r="M208" s="1372"/>
      <c r="N208" s="140"/>
      <c r="O208" s="1308"/>
      <c r="P208" s="97"/>
      <c r="Q208" s="97"/>
      <c r="R208" s="97"/>
      <c r="S208" s="97"/>
      <c r="T208" s="97"/>
      <c r="U208" s="97"/>
      <c r="V208" s="97"/>
      <c r="W208" s="117"/>
      <c r="X208" s="1337"/>
      <c r="Y208" s="1107"/>
      <c r="AA208" s="1110"/>
      <c r="AX208" s="65"/>
      <c r="AY208" s="65"/>
    </row>
    <row r="209" spans="1:51" ht="15" customHeight="1" thickTop="1" x14ac:dyDescent="0.3">
      <c r="B209" s="938" t="s">
        <v>666</v>
      </c>
      <c r="C209" s="1063"/>
      <c r="D209" s="21"/>
      <c r="E209" s="21"/>
      <c r="F209" s="21"/>
      <c r="G209" s="21"/>
      <c r="H209" s="1084"/>
      <c r="I209" s="200" t="s">
        <v>667</v>
      </c>
      <c r="J209" s="201"/>
      <c r="K209" s="202"/>
      <c r="L209" s="1331" t="s">
        <v>668</v>
      </c>
      <c r="M209" s="1362" t="str">
        <f>IF(R209,"Mandatory","N/A")</f>
        <v>Mandatory</v>
      </c>
      <c r="N209" s="201"/>
      <c r="O209" s="596"/>
      <c r="P209" s="110" t="b">
        <v>1</v>
      </c>
      <c r="Q209" s="110" t="b">
        <v>1</v>
      </c>
      <c r="R209" s="110" t="b">
        <f>S209</f>
        <v>1</v>
      </c>
      <c r="S209" s="110" t="b">
        <v>1</v>
      </c>
      <c r="T209" s="110" t="b">
        <v>0</v>
      </c>
      <c r="U209" s="110" t="str">
        <f>SUBSTITUTE(SUBSTITUTE(SUBSTITUTE("dd"&amp;B209&amp;C209&amp;D209&amp;E209&amp;F209,".","_"),"(","_"),")","")</f>
        <v>dd602_1_11</v>
      </c>
      <c r="V209" s="110"/>
      <c r="W209" s="316" t="s">
        <v>3242</v>
      </c>
      <c r="X209" s="1327" t="s">
        <v>4795</v>
      </c>
      <c r="Z209"/>
      <c r="AB209"/>
      <c r="AC209" s="153" t="b">
        <f>OR(AD209:AE209)</f>
        <v>0</v>
      </c>
      <c r="AD209" s="153" t="b">
        <f>T209</f>
        <v>0</v>
      </c>
      <c r="AE209" s="153" t="b">
        <f>AND(R209,NOT(W209="Met"),NOT(W209="N/A"))</f>
        <v>0</v>
      </c>
      <c r="AF209"/>
      <c r="AG209"/>
      <c r="AH209"/>
      <c r="AI209"/>
      <c r="AJ209"/>
      <c r="AK209"/>
      <c r="AL209" s="311" t="str">
        <f>SUBSTITUTE(SUBSTITUTE(SUBSTITUTE("dpa"&amp;$B209&amp;$C209&amp;$D209&amp;$E209&amp;$F209,".","_"),"(","_"),")","")</f>
        <v>dpa602_1_11</v>
      </c>
      <c r="AM209" s="311" t="str">
        <f>M209</f>
        <v>Mandatory</v>
      </c>
      <c r="AN209"/>
      <c r="AO209"/>
      <c r="AP209" s="311" t="str">
        <f t="shared" ref="AP209" si="58">SUBSTITUTE(SUBSTITUTE(SUBSTITUTE("dch"&amp;$B209&amp;$C209&amp;$D209&amp;$E209&amp;$F209,".","_"),"(","_"),")","")</f>
        <v>dch602_1_11</v>
      </c>
      <c r="AQ209" s="311" t="str">
        <f>W209</f>
        <v>Met</v>
      </c>
      <c r="AR209" s="1059" t="str">
        <f>SUBSTITUTE(SUBSTITUTE(SUBSTITUTE("dnt"&amp;$B209&amp;$C209&amp;$D209&amp;$E209&amp;$F209,".","_"),"(","_"),")","")</f>
        <v>dnt602_1_11</v>
      </c>
      <c r="AS209" s="311" t="str">
        <f>X209</f>
        <v xml:space="preserve">ZERH Requirement - ENERGY STAR Certified Homes National Water Management Requirements, Section 4.2 Backing Material on Tub and Shower Enclosure </v>
      </c>
    </row>
    <row r="210" spans="1:51" ht="15" customHeight="1" thickBot="1" x14ac:dyDescent="0.35">
      <c r="B210" s="938" t="s">
        <v>666</v>
      </c>
      <c r="C210" s="1063"/>
      <c r="D210" s="21"/>
      <c r="E210" s="21"/>
      <c r="F210" s="21"/>
      <c r="G210" s="21"/>
      <c r="H210" s="1084"/>
      <c r="I210" s="141"/>
      <c r="J210" s="140"/>
      <c r="K210" s="98"/>
      <c r="L210" s="1313"/>
      <c r="M210" s="1351"/>
      <c r="N210" s="140"/>
      <c r="O210" s="269"/>
      <c r="P210" s="97"/>
      <c r="Q210" s="97"/>
      <c r="R210" s="97"/>
      <c r="S210" s="97"/>
      <c r="T210" s="97"/>
      <c r="U210" s="97"/>
      <c r="V210" s="97"/>
      <c r="W210" s="317"/>
      <c r="X210" s="1337"/>
      <c r="Z210"/>
      <c r="AB210"/>
      <c r="AC210"/>
      <c r="AD210"/>
      <c r="AE210"/>
      <c r="AF210"/>
      <c r="AG210"/>
      <c r="AH210"/>
      <c r="AI210"/>
      <c r="AJ210"/>
      <c r="AK210"/>
      <c r="AL210"/>
      <c r="AM210"/>
      <c r="AN210"/>
      <c r="AO210"/>
      <c r="AP210"/>
      <c r="AQ210"/>
      <c r="AR210"/>
      <c r="AS210"/>
    </row>
    <row r="211" spans="1:51" ht="15" customHeight="1" thickTop="1" x14ac:dyDescent="0.3">
      <c r="B211" s="938" t="s">
        <v>669</v>
      </c>
      <c r="C211" s="1063"/>
      <c r="D211" s="21"/>
      <c r="E211" s="21"/>
      <c r="F211" s="21"/>
      <c r="G211" s="21"/>
      <c r="H211" s="1084"/>
      <c r="I211" s="200" t="s">
        <v>669</v>
      </c>
      <c r="J211" s="201"/>
      <c r="K211" s="202"/>
      <c r="L211" s="1331" t="s">
        <v>670</v>
      </c>
      <c r="M211" s="1343">
        <v>4</v>
      </c>
      <c r="N211" s="201"/>
      <c r="O211" s="1336">
        <f ca="1">M211*S211*hyptarg3</f>
        <v>0</v>
      </c>
      <c r="P211" s="440" t="b">
        <v>1</v>
      </c>
      <c r="Q211" s="440" t="b">
        <v>0</v>
      </c>
      <c r="R211" s="110" t="b">
        <v>0</v>
      </c>
      <c r="S211" s="110" t="b">
        <f ca="1">OR(ISBLANK(W56),W56=INDEX(INDIRECT(U56),1))</f>
        <v>1</v>
      </c>
      <c r="T211" s="97" t="b">
        <f ca="1">AND(NOT(S211),W211=TRUE)</f>
        <v>0</v>
      </c>
      <c r="U211" s="110"/>
      <c r="V211" s="110"/>
      <c r="W211" s="127"/>
      <c r="X211" s="1327"/>
      <c r="Z211"/>
      <c r="AB211"/>
      <c r="AC211" s="153" t="b">
        <f ca="1">OR(AD211:AE211)</f>
        <v>0</v>
      </c>
      <c r="AD211" s="153" t="b">
        <f ca="1">T211</f>
        <v>0</v>
      </c>
      <c r="AE211" s="153" t="b">
        <v>0</v>
      </c>
      <c r="AF211"/>
      <c r="AG211"/>
      <c r="AH211"/>
      <c r="AI211"/>
      <c r="AJ211"/>
      <c r="AK211"/>
      <c r="AL211" s="311" t="str">
        <f>SUBSTITUTE(SUBSTITUTE(SUBSTITUTE("dpa"&amp;$B211&amp;$C211&amp;$D211&amp;$E211&amp;$F211,".","_"),"(","_"),")","")</f>
        <v>dpa602_1_12</v>
      </c>
      <c r="AM211" s="311">
        <f>M211</f>
        <v>4</v>
      </c>
      <c r="AN211" s="311" t="str">
        <f>SUBSTITUTE(SUBSTITUTE(SUBSTITUTE("dpc"&amp;$B211&amp;$C211&amp;$D211&amp;$E211&amp;$F211,".","_"),"(","_"),")","")</f>
        <v>dpc602_1_12</v>
      </c>
      <c r="AO211" s="311">
        <f ca="1">O211</f>
        <v>0</v>
      </c>
      <c r="AP211" s="311" t="str">
        <f t="shared" ref="AP211" si="59">SUBSTITUTE(SUBSTITUTE(SUBSTITUTE("dch"&amp;$B211&amp;$C211&amp;$D211&amp;$E211&amp;$F211,".","_"),"(","_"),")","")</f>
        <v>dch602_1_12</v>
      </c>
      <c r="AQ211" s="311">
        <f>W211</f>
        <v>0</v>
      </c>
      <c r="AR211" s="1059" t="str">
        <f>SUBSTITUTE(SUBSTITUTE(SUBSTITUTE("dnt"&amp;$B211&amp;$C211&amp;$D211&amp;$E211&amp;$F211,".","_"),"(","_"),")","")</f>
        <v>dnt602_1_12</v>
      </c>
      <c r="AS211" s="311">
        <f>X211</f>
        <v>0</v>
      </c>
    </row>
    <row r="212" spans="1:51" ht="15" customHeight="1" x14ac:dyDescent="0.3">
      <c r="B212" s="938" t="s">
        <v>669</v>
      </c>
      <c r="C212" s="1063"/>
      <c r="D212" s="21"/>
      <c r="E212" s="21"/>
      <c r="F212" s="21"/>
      <c r="G212" s="21"/>
      <c r="H212" s="1084"/>
      <c r="I212" s="141"/>
      <c r="J212" s="140"/>
      <c r="K212" s="98"/>
      <c r="L212" s="1313"/>
      <c r="M212" s="1318"/>
      <c r="N212" s="140"/>
      <c r="O212" s="1308"/>
      <c r="P212" s="97"/>
      <c r="Q212" s="97"/>
      <c r="R212" s="97"/>
      <c r="S212" s="97"/>
      <c r="T212" s="97"/>
      <c r="U212" s="97"/>
      <c r="V212" s="97"/>
      <c r="W212" s="97"/>
      <c r="X212" s="1295"/>
      <c r="Z212"/>
      <c r="AB212"/>
      <c r="AC212"/>
      <c r="AD212"/>
      <c r="AE212"/>
      <c r="AF212"/>
      <c r="AG212"/>
      <c r="AH212"/>
      <c r="AI212"/>
      <c r="AJ212"/>
      <c r="AK212"/>
      <c r="AL212"/>
      <c r="AM212"/>
      <c r="AN212"/>
      <c r="AO212"/>
      <c r="AP212"/>
      <c r="AQ212"/>
      <c r="AR212"/>
      <c r="AS212"/>
      <c r="AX212" s="150"/>
      <c r="AY212" s="150"/>
    </row>
    <row r="213" spans="1:51" s="150" customFormat="1" ht="15" thickBot="1" x14ac:dyDescent="0.35">
      <c r="A213" s="18"/>
      <c r="B213" s="938" t="s">
        <v>669</v>
      </c>
      <c r="C213" s="1063"/>
      <c r="D213" s="21"/>
      <c r="E213" s="21"/>
      <c r="F213" s="21"/>
      <c r="G213" s="21"/>
      <c r="H213" s="1084"/>
      <c r="I213" s="141"/>
      <c r="J213" s="140"/>
      <c r="K213" s="98"/>
      <c r="L213" s="1102" t="s">
        <v>3239</v>
      </c>
      <c r="M213" s="1318"/>
      <c r="N213" s="140"/>
      <c r="O213" s="1308"/>
      <c r="P213" s="97"/>
      <c r="Q213" s="97"/>
      <c r="R213" s="97"/>
      <c r="S213" s="97"/>
      <c r="T213" s="97"/>
      <c r="U213" s="97"/>
      <c r="V213" s="97"/>
      <c r="W213" s="117"/>
      <c r="X213" s="1337"/>
      <c r="Y213" s="1107"/>
      <c r="AA213" s="1110"/>
      <c r="AX213" s="65"/>
      <c r="AY213" s="65"/>
    </row>
    <row r="214" spans="1:51" ht="15" thickTop="1" x14ac:dyDescent="0.3">
      <c r="B214" s="80" t="s">
        <v>671</v>
      </c>
      <c r="C214" s="80"/>
      <c r="D214" s="21"/>
      <c r="E214" s="21"/>
      <c r="F214" s="21"/>
      <c r="G214" s="21"/>
      <c r="H214" s="1084"/>
      <c r="I214" s="200" t="s">
        <v>672</v>
      </c>
      <c r="J214" s="201"/>
      <c r="K214" s="202"/>
      <c r="L214" s="1331" t="s">
        <v>673</v>
      </c>
      <c r="M214" s="1362" t="str">
        <f>IF(R214,"Mandatory","N/A")</f>
        <v>Mandatory</v>
      </c>
      <c r="N214" s="201"/>
      <c r="O214" s="596"/>
      <c r="P214" s="110" t="b">
        <v>1</v>
      </c>
      <c r="Q214" s="110" t="b">
        <v>0</v>
      </c>
      <c r="R214" s="110" t="b">
        <f>S214</f>
        <v>1</v>
      </c>
      <c r="S214" s="110" t="b">
        <v>1</v>
      </c>
      <c r="T214" s="110" t="b">
        <v>0</v>
      </c>
      <c r="U214" s="110" t="str">
        <f>SUBSTITUTE(SUBSTITUTE(SUBSTITUTE("dd"&amp;B214&amp;C214&amp;D214&amp;E214&amp;F214,".","_"),"(","_"),")","")</f>
        <v>dd602_1_13</v>
      </c>
      <c r="V214" s="110"/>
      <c r="W214" s="316" t="s">
        <v>3244</v>
      </c>
      <c r="X214" s="1327"/>
      <c r="Z214"/>
      <c r="AB214"/>
      <c r="AC214" s="153" t="b">
        <f>OR(AD214:AE214)</f>
        <v>0</v>
      </c>
      <c r="AD214" s="153" t="b">
        <f>T214</f>
        <v>0</v>
      </c>
      <c r="AE214" s="153" t="b">
        <f>AND(R214,NOT(W214="Met"),NOT(W214="N/A"))</f>
        <v>0</v>
      </c>
      <c r="AF214"/>
      <c r="AG214"/>
      <c r="AH214"/>
      <c r="AI214"/>
      <c r="AJ214"/>
      <c r="AK214"/>
      <c r="AL214" s="311" t="str">
        <f>SUBSTITUTE(SUBSTITUTE(SUBSTITUTE("dpa"&amp;$B214&amp;$C214&amp;$D214&amp;$E214&amp;$F214,".","_"),"(","_"),")","")</f>
        <v>dpa602_1_13</v>
      </c>
      <c r="AM214" s="311" t="str">
        <f>M214</f>
        <v>Mandatory</v>
      </c>
      <c r="AN214"/>
      <c r="AO214"/>
      <c r="AP214" s="311" t="str">
        <f t="shared" ref="AP214" si="60">SUBSTITUTE(SUBSTITUTE(SUBSTITUTE("dch"&amp;$B214&amp;$C214&amp;$D214&amp;$E214&amp;$F214,".","_"),"(","_"),")","")</f>
        <v>dch602_1_13</v>
      </c>
      <c r="AQ214" s="311" t="str">
        <f>W214</f>
        <v>N/A</v>
      </c>
      <c r="AR214" s="1059" t="str">
        <f>SUBSTITUTE(SUBSTITUTE(SUBSTITUTE("dnt"&amp;$B214&amp;$C214&amp;$D214&amp;$E214&amp;$F214,".","_"),"(","_"),")","")</f>
        <v>dnt602_1_13</v>
      </c>
      <c r="AS214" s="311">
        <f>X214</f>
        <v>0</v>
      </c>
    </row>
    <row r="215" spans="1:51" x14ac:dyDescent="0.3">
      <c r="B215" s="80" t="s">
        <v>671</v>
      </c>
      <c r="C215" s="80"/>
      <c r="D215" s="21"/>
      <c r="E215" s="21"/>
      <c r="F215" s="21"/>
      <c r="G215" s="21"/>
      <c r="H215" s="1084"/>
      <c r="I215" s="141"/>
      <c r="J215" s="140"/>
      <c r="K215" s="98"/>
      <c r="L215" s="1313"/>
      <c r="M215" s="1351"/>
      <c r="N215" s="140"/>
      <c r="O215" s="269"/>
      <c r="P215" s="97"/>
      <c r="Q215" s="97"/>
      <c r="R215" s="97"/>
      <c r="S215" s="97"/>
      <c r="T215" s="97"/>
      <c r="U215" s="97"/>
      <c r="V215" s="97"/>
      <c r="W215" s="97"/>
      <c r="X215" s="1295"/>
      <c r="Z215"/>
      <c r="AB215"/>
      <c r="AC215"/>
      <c r="AD215"/>
      <c r="AE215"/>
      <c r="AF215"/>
      <c r="AG215"/>
      <c r="AH215"/>
      <c r="AI215"/>
      <c r="AJ215"/>
      <c r="AK215"/>
      <c r="AL215"/>
      <c r="AM215"/>
      <c r="AN215"/>
      <c r="AO215"/>
      <c r="AP215"/>
      <c r="AQ215"/>
      <c r="AR215"/>
      <c r="AS215"/>
    </row>
    <row r="216" spans="1:51" x14ac:dyDescent="0.3">
      <c r="B216" s="80" t="s">
        <v>671</v>
      </c>
      <c r="C216" s="80"/>
      <c r="D216" s="21"/>
      <c r="E216" s="21"/>
      <c r="F216" s="21"/>
      <c r="G216" s="21"/>
      <c r="H216" s="1084"/>
      <c r="I216" s="141"/>
      <c r="J216" s="140"/>
      <c r="K216" s="98"/>
      <c r="L216" s="1313"/>
      <c r="M216" s="1351"/>
      <c r="N216" s="140"/>
      <c r="O216" s="269"/>
      <c r="P216" s="97"/>
      <c r="Q216" s="97"/>
      <c r="R216" s="97"/>
      <c r="S216" s="97"/>
      <c r="T216" s="97"/>
      <c r="U216" s="97"/>
      <c r="V216" s="97"/>
      <c r="W216" s="97"/>
      <c r="X216" s="1295"/>
      <c r="Z216"/>
      <c r="AB216"/>
      <c r="AC216"/>
      <c r="AD216"/>
      <c r="AE216"/>
      <c r="AF216"/>
      <c r="AG216"/>
      <c r="AH216"/>
      <c r="AI216"/>
      <c r="AJ216"/>
      <c r="AK216"/>
      <c r="AL216"/>
      <c r="AM216"/>
      <c r="AN216"/>
      <c r="AO216"/>
      <c r="AP216"/>
      <c r="AQ216"/>
      <c r="AR216"/>
      <c r="AS216"/>
    </row>
    <row r="217" spans="1:51" ht="15" thickBot="1" x14ac:dyDescent="0.35">
      <c r="B217" s="80" t="s">
        <v>671</v>
      </c>
      <c r="C217" s="80"/>
      <c r="D217" s="21"/>
      <c r="E217" s="21"/>
      <c r="F217" s="21"/>
      <c r="G217" s="21"/>
      <c r="H217" s="1084"/>
      <c r="I217" s="141"/>
      <c r="J217" s="140"/>
      <c r="K217" s="98"/>
      <c r="L217" s="1313"/>
      <c r="M217" s="1351"/>
      <c r="N217" s="140"/>
      <c r="O217" s="269"/>
      <c r="P217" s="97"/>
      <c r="Q217" s="97"/>
      <c r="R217" s="97"/>
      <c r="S217" s="97"/>
      <c r="T217" s="97"/>
      <c r="U217" s="97"/>
      <c r="V217" s="97"/>
      <c r="W217" s="97"/>
      <c r="X217" s="1337"/>
      <c r="Z217"/>
      <c r="AB217"/>
      <c r="AC217"/>
      <c r="AD217"/>
      <c r="AE217"/>
      <c r="AF217"/>
      <c r="AG217"/>
      <c r="AH217"/>
      <c r="AI217"/>
      <c r="AJ217"/>
      <c r="AK217"/>
      <c r="AL217"/>
      <c r="AM217"/>
      <c r="AN217"/>
      <c r="AO217"/>
      <c r="AP217"/>
      <c r="AQ217"/>
      <c r="AR217"/>
      <c r="AS217"/>
    </row>
    <row r="218" spans="1:51" ht="15" thickTop="1" x14ac:dyDescent="0.3">
      <c r="B218" s="80" t="s">
        <v>674</v>
      </c>
      <c r="C218" s="80"/>
      <c r="D218" s="21"/>
      <c r="E218" s="21"/>
      <c r="F218" s="21"/>
      <c r="G218" s="21"/>
      <c r="H218" s="1084"/>
      <c r="I218" s="200" t="s">
        <v>674</v>
      </c>
      <c r="J218" s="201"/>
      <c r="K218" s="202"/>
      <c r="L218" s="1331" t="s">
        <v>675</v>
      </c>
      <c r="M218" s="517"/>
      <c r="N218" s="201"/>
      <c r="O218" s="596"/>
      <c r="P218" s="110"/>
      <c r="Q218" s="110"/>
      <c r="R218" s="110"/>
      <c r="S218" s="110"/>
      <c r="T218" s="110"/>
      <c r="U218" s="110"/>
      <c r="V218" s="110"/>
      <c r="W218" s="110"/>
      <c r="X218" s="110"/>
      <c r="Z218"/>
      <c r="AB218"/>
      <c r="AC218"/>
      <c r="AD218"/>
      <c r="AE218"/>
      <c r="AF218"/>
      <c r="AG218"/>
      <c r="AH218"/>
      <c r="AI218"/>
      <c r="AJ218"/>
      <c r="AK218"/>
      <c r="AL218"/>
      <c r="AM218"/>
      <c r="AN218"/>
      <c r="AO218"/>
      <c r="AP218"/>
      <c r="AQ218"/>
      <c r="AR218"/>
      <c r="AS218"/>
    </row>
    <row r="219" spans="1:51" x14ac:dyDescent="0.3">
      <c r="B219" s="80" t="s">
        <v>674</v>
      </c>
      <c r="C219" s="80"/>
      <c r="D219" s="21"/>
      <c r="E219" s="21"/>
      <c r="F219" s="21"/>
      <c r="G219" s="21"/>
      <c r="H219" s="1084"/>
      <c r="I219" s="141"/>
      <c r="J219" s="140"/>
      <c r="K219" s="98"/>
      <c r="L219" s="1313"/>
      <c r="M219" s="518"/>
      <c r="N219" s="140"/>
      <c r="O219" s="269"/>
      <c r="P219" s="97"/>
      <c r="Q219" s="97"/>
      <c r="R219" s="97"/>
      <c r="S219" s="97"/>
      <c r="T219" s="97"/>
      <c r="U219" s="97"/>
      <c r="V219" s="97"/>
      <c r="W219" s="97"/>
      <c r="X219" s="97"/>
      <c r="Z219"/>
      <c r="AB219"/>
      <c r="AC219"/>
      <c r="AD219"/>
      <c r="AE219"/>
      <c r="AF219"/>
      <c r="AG219"/>
      <c r="AH219"/>
      <c r="AI219"/>
      <c r="AJ219"/>
      <c r="AK219"/>
      <c r="AL219"/>
      <c r="AM219"/>
      <c r="AN219"/>
      <c r="AO219"/>
      <c r="AP219"/>
      <c r="AQ219"/>
      <c r="AR219"/>
      <c r="AS219"/>
    </row>
    <row r="220" spans="1:51" x14ac:dyDescent="0.3">
      <c r="B220" s="80" t="s">
        <v>674</v>
      </c>
      <c r="C220" s="80"/>
      <c r="D220" s="21"/>
      <c r="E220" s="21" t="s">
        <v>271</v>
      </c>
      <c r="F220" s="21"/>
      <c r="G220" s="21"/>
      <c r="H220" s="1084"/>
      <c r="I220" s="66"/>
      <c r="J220" s="203" t="s">
        <v>271</v>
      </c>
      <c r="K220" s="98"/>
      <c r="L220" s="1305" t="s">
        <v>676</v>
      </c>
      <c r="M220" s="1353" t="str">
        <f>IF(R220,"Mandatory
1","N/A")</f>
        <v>Mandatory
1</v>
      </c>
      <c r="N220" s="140"/>
      <c r="O220" s="1308">
        <f>IF(AND(S220,W220="Met"),1,0)</f>
        <v>1</v>
      </c>
      <c r="P220" s="440" t="b">
        <v>1</v>
      </c>
      <c r="Q220" s="440" t="b">
        <v>1</v>
      </c>
      <c r="R220" s="153" t="b">
        <f>S220</f>
        <v>1</v>
      </c>
      <c r="S220" s="137" t="b">
        <v>1</v>
      </c>
      <c r="T220" s="137" t="b">
        <v>0</v>
      </c>
      <c r="U220" s="97" t="str">
        <f>SUBSTITUTE(SUBSTITUTE(SUBSTITUTE("dd"&amp;B220&amp;C220&amp;D220&amp;E220&amp;F220,".","_"),"(","_"),")","")</f>
        <v>dd602_1_14_1</v>
      </c>
      <c r="V220"/>
      <c r="W220" s="12" t="s">
        <v>3242</v>
      </c>
      <c r="X220" s="1303"/>
      <c r="Z220"/>
      <c r="AB220"/>
      <c r="AC220" s="153" t="b">
        <f>OR(AD220:AE220)</f>
        <v>0</v>
      </c>
      <c r="AD220" s="153" t="b">
        <f>T220</f>
        <v>0</v>
      </c>
      <c r="AE220" s="153" t="b">
        <f>AND(R220,NOT(W220="Met"),NOT(W220="N/A"))</f>
        <v>0</v>
      </c>
      <c r="AF220"/>
      <c r="AG220"/>
      <c r="AH220"/>
      <c r="AI220"/>
      <c r="AJ220"/>
      <c r="AK220"/>
      <c r="AL220" s="311" t="str">
        <f>SUBSTITUTE(SUBSTITUTE(SUBSTITUTE("dpa"&amp;$B220&amp;$C220&amp;$D220&amp;$E220&amp;$F220,".","_"),"(","_"),")","")</f>
        <v>dpa602_1_14_1</v>
      </c>
      <c r="AM220" s="311" t="str">
        <f>M220</f>
        <v>Mandatory
1</v>
      </c>
      <c r="AN220" s="311" t="str">
        <f>SUBSTITUTE(SUBSTITUTE(SUBSTITUTE("dpc"&amp;$B220&amp;$C220&amp;$D220&amp;$E220&amp;$F220,".","_"),"(","_"),")","")</f>
        <v>dpc602_1_14_1</v>
      </c>
      <c r="AO220" s="311">
        <f>O220</f>
        <v>1</v>
      </c>
      <c r="AP220" s="311" t="str">
        <f t="shared" ref="AP220" si="61">SUBSTITUTE(SUBSTITUTE(SUBSTITUTE("dch"&amp;$B220&amp;$C220&amp;$D220&amp;$E220&amp;$F220,".","_"),"(","_"),")","")</f>
        <v>dch602_1_14_1</v>
      </c>
      <c r="AQ220" s="311" t="str">
        <f>W220</f>
        <v>Met</v>
      </c>
      <c r="AR220" s="1059" t="str">
        <f>SUBSTITUTE(SUBSTITUTE(SUBSTITUTE("dnt"&amp;$B220&amp;$C220&amp;$D220&amp;$E220&amp;$F220,".","_"),"(","_"),")","")</f>
        <v>dnt602_1_14_1</v>
      </c>
      <c r="AS220" s="311">
        <f>X220</f>
        <v>0</v>
      </c>
    </row>
    <row r="221" spans="1:51" x14ac:dyDescent="0.3">
      <c r="B221" s="80" t="s">
        <v>674</v>
      </c>
      <c r="C221" s="80"/>
      <c r="D221" s="21"/>
      <c r="E221" s="21" t="s">
        <v>271</v>
      </c>
      <c r="F221" s="21"/>
      <c r="G221" s="21"/>
      <c r="H221" s="1084"/>
      <c r="I221" s="66"/>
      <c r="J221" s="238"/>
      <c r="K221" s="193"/>
      <c r="L221" s="1306"/>
      <c r="M221" s="1354"/>
      <c r="N221" s="238"/>
      <c r="O221" s="1309"/>
      <c r="P221" s="440"/>
      <c r="Q221" s="440"/>
      <c r="R221"/>
      <c r="S221"/>
      <c r="T221"/>
      <c r="U221"/>
      <c r="V221"/>
      <c r="W221"/>
      <c r="X221" s="1303"/>
      <c r="Z221"/>
      <c r="AB221"/>
      <c r="AC221"/>
      <c r="AD221"/>
      <c r="AE221"/>
      <c r="AF221"/>
      <c r="AG221"/>
      <c r="AH221"/>
      <c r="AI221"/>
      <c r="AJ221"/>
      <c r="AK221"/>
      <c r="AL221"/>
      <c r="AM221"/>
      <c r="AN221"/>
      <c r="AO221"/>
      <c r="AP221"/>
      <c r="AQ221"/>
      <c r="AR221"/>
      <c r="AS221"/>
    </row>
    <row r="222" spans="1:51" x14ac:dyDescent="0.3">
      <c r="B222" s="80" t="s">
        <v>674</v>
      </c>
      <c r="C222" s="80"/>
      <c r="D222" s="21"/>
      <c r="E222" s="21" t="s">
        <v>273</v>
      </c>
      <c r="F222" s="21"/>
      <c r="G222" s="21"/>
      <c r="H222" s="1084"/>
      <c r="I222" s="66"/>
      <c r="J222" s="233" t="s">
        <v>273</v>
      </c>
      <c r="K222" s="234"/>
      <c r="L222" s="365" t="s">
        <v>677</v>
      </c>
      <c r="M222" s="532">
        <v>2</v>
      </c>
      <c r="N222" s="274"/>
      <c r="O222" s="531">
        <f>M222*S222*W222</f>
        <v>2</v>
      </c>
      <c r="P222" s="440" t="b">
        <v>1</v>
      </c>
      <c r="Q222" s="440" t="b">
        <v>1</v>
      </c>
      <c r="R222" s="137" t="b">
        <v>0</v>
      </c>
      <c r="S222" s="137" t="b">
        <v>1</v>
      </c>
      <c r="T222" s="137" t="b">
        <v>0</v>
      </c>
      <c r="U222"/>
      <c r="V222"/>
      <c r="W222" s="25" t="b">
        <v>1</v>
      </c>
      <c r="X222" s="176"/>
      <c r="Z222"/>
      <c r="AB222"/>
      <c r="AC222"/>
      <c r="AD222"/>
      <c r="AE222"/>
      <c r="AF222"/>
      <c r="AG222"/>
      <c r="AH222"/>
      <c r="AI222"/>
      <c r="AJ222"/>
      <c r="AK222"/>
      <c r="AL222" s="311" t="str">
        <f>SUBSTITUTE(SUBSTITUTE(SUBSTITUTE("dpa"&amp;$B222&amp;$C222&amp;$D222&amp;$E222&amp;$F222,".","_"),"(","_"),")","")</f>
        <v>dpa602_1_14_2</v>
      </c>
      <c r="AM222" s="311">
        <f>M222</f>
        <v>2</v>
      </c>
      <c r="AN222" s="311" t="str">
        <f t="shared" ref="AN222:AN224" si="62">SUBSTITUTE(SUBSTITUTE(SUBSTITUTE("dpc"&amp;$B222&amp;$C222&amp;$D222&amp;$E222&amp;$F222,".","_"),"(","_"),")","")</f>
        <v>dpc602_1_14_2</v>
      </c>
      <c r="AO222" s="311">
        <f>O222</f>
        <v>2</v>
      </c>
      <c r="AP222" s="311" t="str">
        <f t="shared" ref="AP222:AP223" si="63">SUBSTITUTE(SUBSTITUTE(SUBSTITUTE("dch"&amp;$B222&amp;$C222&amp;$D222&amp;$E222&amp;$F222,".","_"),"(","_"),")","")</f>
        <v>dch602_1_14_2</v>
      </c>
      <c r="AQ222" s="311" t="b">
        <f>W222</f>
        <v>1</v>
      </c>
      <c r="AR222" s="1059" t="str">
        <f>SUBSTITUTE(SUBSTITUTE(SUBSTITUTE("dnt"&amp;$B222&amp;$C222&amp;$D222&amp;$E222&amp;$F222,".","_"),"(","_"),")","")</f>
        <v>dnt602_1_14_2</v>
      </c>
      <c r="AS222" s="311">
        <f>X222</f>
        <v>0</v>
      </c>
    </row>
    <row r="223" spans="1:51" ht="15" thickBot="1" x14ac:dyDescent="0.35">
      <c r="B223" s="80" t="s">
        <v>674</v>
      </c>
      <c r="C223" s="80"/>
      <c r="D223" s="21"/>
      <c r="E223" s="21" t="s">
        <v>275</v>
      </c>
      <c r="F223" s="21"/>
      <c r="G223" s="21"/>
      <c r="H223" s="1084"/>
      <c r="I223" s="66"/>
      <c r="J223" s="27" t="s">
        <v>275</v>
      </c>
      <c r="K223" s="86"/>
      <c r="L223" s="350" t="s">
        <v>678</v>
      </c>
      <c r="M223" s="522">
        <v>2</v>
      </c>
      <c r="N223" s="4"/>
      <c r="O223" s="154">
        <f>M223*S223*W223</f>
        <v>2</v>
      </c>
      <c r="P223" s="440" t="b">
        <v>1</v>
      </c>
      <c r="Q223" s="440" t="b">
        <v>1</v>
      </c>
      <c r="R223" s="137" t="b">
        <v>0</v>
      </c>
      <c r="S223" s="137" t="b">
        <v>1</v>
      </c>
      <c r="T223" s="137" t="b">
        <v>0</v>
      </c>
      <c r="U223"/>
      <c r="V223"/>
      <c r="W223" s="25" t="b">
        <v>1</v>
      </c>
      <c r="X223" s="185"/>
      <c r="Z223"/>
      <c r="AB223"/>
      <c r="AC223"/>
      <c r="AD223"/>
      <c r="AE223"/>
      <c r="AF223"/>
      <c r="AG223"/>
      <c r="AH223"/>
      <c r="AI223"/>
      <c r="AJ223"/>
      <c r="AK223"/>
      <c r="AL223" s="311" t="str">
        <f>SUBSTITUTE(SUBSTITUTE(SUBSTITUTE("dpa"&amp;$B223&amp;$C223&amp;$D223&amp;$E223&amp;$F223,".","_"),"(","_"),")","")</f>
        <v>dpa602_1_14_3</v>
      </c>
      <c r="AM223" s="311">
        <f>M223</f>
        <v>2</v>
      </c>
      <c r="AN223" s="311" t="str">
        <f t="shared" si="62"/>
        <v>dpc602_1_14_3</v>
      </c>
      <c r="AO223" s="311">
        <f>O223</f>
        <v>2</v>
      </c>
      <c r="AP223" s="311" t="str">
        <f t="shared" si="63"/>
        <v>dch602_1_14_3</v>
      </c>
      <c r="AQ223" s="311" t="b">
        <f>W223</f>
        <v>1</v>
      </c>
      <c r="AR223" s="1059" t="str">
        <f>SUBSTITUTE(SUBSTITUTE(SUBSTITUTE("dnt"&amp;$B223&amp;$C223&amp;$D223&amp;$E223&amp;$F223,".","_"),"(","_"),")","")</f>
        <v>dnt602_1_14_3</v>
      </c>
      <c r="AS223" s="311">
        <f>X223</f>
        <v>0</v>
      </c>
    </row>
    <row r="224" spans="1:51" ht="15" thickTop="1" x14ac:dyDescent="0.3">
      <c r="B224" s="80">
        <v>602.20000000000005</v>
      </c>
      <c r="C224" s="21"/>
      <c r="D224" s="21"/>
      <c r="E224" s="21"/>
      <c r="F224" s="21"/>
      <c r="G224" s="21"/>
      <c r="H224" s="1084"/>
      <c r="I224" s="200">
        <v>602.20000000000005</v>
      </c>
      <c r="J224" s="201"/>
      <c r="K224" s="202"/>
      <c r="L224" s="1331" t="s">
        <v>679</v>
      </c>
      <c r="M224" s="1343">
        <v>3</v>
      </c>
      <c r="N224" s="201"/>
      <c r="O224" s="1336">
        <f>IFERROR(OR(W228,W230,W231),0)*M224</f>
        <v>0</v>
      </c>
      <c r="P224" s="110"/>
      <c r="Q224" s="110"/>
      <c r="R224" s="110"/>
      <c r="S224" s="110"/>
      <c r="T224" s="110"/>
      <c r="U224" s="110"/>
      <c r="V224" s="110"/>
      <c r="W224" s="110"/>
      <c r="X224" s="110"/>
      <c r="Z224"/>
      <c r="AB224"/>
      <c r="AC224"/>
      <c r="AD224"/>
      <c r="AE224"/>
      <c r="AF224"/>
      <c r="AG224"/>
      <c r="AH224"/>
      <c r="AI224"/>
      <c r="AJ224"/>
      <c r="AK224"/>
      <c r="AL224" s="311" t="str">
        <f>SUBSTITUTE(SUBSTITUTE(SUBSTITUTE("dpa"&amp;$B224&amp;$C224&amp;$D224&amp;$E224&amp;$F224,".","_"),"(","_"),")","")</f>
        <v>dpa602_2</v>
      </c>
      <c r="AM224" s="311">
        <f>M224</f>
        <v>3</v>
      </c>
      <c r="AN224" s="311" t="str">
        <f t="shared" si="62"/>
        <v>dpc602_2</v>
      </c>
      <c r="AO224" s="311">
        <f>O224</f>
        <v>0</v>
      </c>
      <c r="AP224"/>
      <c r="AQ224"/>
      <c r="AR224"/>
      <c r="AS224"/>
    </row>
    <row r="225" spans="1:51" x14ac:dyDescent="0.3">
      <c r="B225" s="80">
        <v>602.20000000000005</v>
      </c>
      <c r="C225" s="21"/>
      <c r="D225" s="21"/>
      <c r="E225" s="21"/>
      <c r="F225" s="21"/>
      <c r="G225" s="21"/>
      <c r="H225" s="1084"/>
      <c r="I225" s="141"/>
      <c r="J225" s="140"/>
      <c r="K225" s="98"/>
      <c r="L225" s="1313"/>
      <c r="M225" s="1318"/>
      <c r="N225" s="140"/>
      <c r="O225" s="1308"/>
      <c r="P225" s="97"/>
      <c r="Q225" s="97"/>
      <c r="R225" s="97"/>
      <c r="S225" s="97"/>
      <c r="T225" s="97"/>
      <c r="U225" s="97"/>
      <c r="V225" s="97"/>
      <c r="W225" s="97"/>
      <c r="X225" s="97"/>
      <c r="Z225"/>
      <c r="AB225"/>
      <c r="AC225"/>
      <c r="AD225"/>
      <c r="AE225"/>
      <c r="AF225"/>
      <c r="AG225"/>
      <c r="AH225"/>
      <c r="AI225"/>
      <c r="AJ225"/>
      <c r="AK225"/>
      <c r="AL225"/>
      <c r="AM225"/>
      <c r="AN225"/>
      <c r="AO225"/>
      <c r="AP225"/>
      <c r="AQ225"/>
      <c r="AR225"/>
      <c r="AS225"/>
    </row>
    <row r="226" spans="1:51" x14ac:dyDescent="0.3">
      <c r="B226" s="80">
        <v>602.20000000000005</v>
      </c>
      <c r="C226" s="21"/>
      <c r="D226" s="21"/>
      <c r="E226" s="21"/>
      <c r="F226" s="21"/>
      <c r="G226" s="21"/>
      <c r="H226" s="1084"/>
      <c r="I226" s="141"/>
      <c r="J226" s="140"/>
      <c r="K226" s="98"/>
      <c r="L226" s="1313"/>
      <c r="M226" s="1318"/>
      <c r="N226" s="140"/>
      <c r="O226" s="1308"/>
      <c r="P226" s="97"/>
      <c r="Q226" s="97"/>
      <c r="R226" s="97"/>
      <c r="S226" s="97"/>
      <c r="T226" s="97"/>
      <c r="U226" s="97"/>
      <c r="V226" s="97"/>
      <c r="W226" s="97"/>
      <c r="X226" s="97"/>
      <c r="Z226"/>
      <c r="AB226"/>
      <c r="AC226"/>
      <c r="AD226"/>
      <c r="AE226"/>
      <c r="AF226"/>
      <c r="AG226"/>
      <c r="AH226"/>
      <c r="AI226"/>
      <c r="AJ226"/>
      <c r="AK226"/>
      <c r="AL226"/>
      <c r="AM226"/>
      <c r="AN226"/>
      <c r="AO226"/>
      <c r="AP226"/>
      <c r="AQ226"/>
      <c r="AR226"/>
      <c r="AS226"/>
    </row>
    <row r="227" spans="1:51" x14ac:dyDescent="0.3">
      <c r="B227" s="80">
        <v>602.20000000000005</v>
      </c>
      <c r="C227" s="21"/>
      <c r="D227" s="21"/>
      <c r="E227" s="21"/>
      <c r="F227" s="21"/>
      <c r="G227" s="21"/>
      <c r="H227" s="1084"/>
      <c r="I227" s="141"/>
      <c r="J227" s="140"/>
      <c r="K227" s="98"/>
      <c r="L227" s="1313"/>
      <c r="M227" s="1318"/>
      <c r="N227" s="140"/>
      <c r="O227" s="1308"/>
      <c r="P227" s="97"/>
      <c r="Q227" s="97"/>
      <c r="R227" s="97"/>
      <c r="S227" s="97"/>
      <c r="T227" s="97"/>
      <c r="U227" s="97"/>
      <c r="V227" s="97"/>
      <c r="W227" s="97"/>
      <c r="X227" s="97"/>
      <c r="Z227"/>
      <c r="AB227"/>
      <c r="AC227"/>
      <c r="AD227"/>
      <c r="AE227"/>
      <c r="AF227"/>
      <c r="AG227"/>
      <c r="AH227"/>
      <c r="AI227"/>
      <c r="AJ227"/>
      <c r="AK227"/>
      <c r="AL227"/>
      <c r="AM227"/>
      <c r="AN227"/>
      <c r="AO227"/>
      <c r="AP227"/>
      <c r="AQ227"/>
      <c r="AR227"/>
      <c r="AS227"/>
    </row>
    <row r="228" spans="1:51" x14ac:dyDescent="0.3">
      <c r="B228" s="80">
        <v>602.20000000000005</v>
      </c>
      <c r="C228" s="21"/>
      <c r="D228" s="21"/>
      <c r="E228" s="21" t="s">
        <v>271</v>
      </c>
      <c r="F228" s="21"/>
      <c r="G228" s="21"/>
      <c r="H228" s="1084"/>
      <c r="I228" s="66"/>
      <c r="J228" s="203" t="s">
        <v>271</v>
      </c>
      <c r="K228" s="98"/>
      <c r="L228" s="1293" t="s">
        <v>680</v>
      </c>
      <c r="M228" s="522"/>
      <c r="N228" s="4"/>
      <c r="O228" s="154"/>
      <c r="P228" s="440" t="b">
        <v>1</v>
      </c>
      <c r="Q228" s="440" t="b">
        <v>1</v>
      </c>
      <c r="R228" s="145" t="b">
        <v>0</v>
      </c>
      <c r="S228" s="145" t="b">
        <v>1</v>
      </c>
      <c r="T228" s="145" t="b">
        <v>0</v>
      </c>
      <c r="U228"/>
      <c r="V228"/>
      <c r="W228" s="25"/>
      <c r="X228" s="1303"/>
      <c r="Z228"/>
      <c r="AB228"/>
      <c r="AC228"/>
      <c r="AD228"/>
      <c r="AE228"/>
      <c r="AF228"/>
      <c r="AG228"/>
      <c r="AH228"/>
      <c r="AI228"/>
      <c r="AJ228"/>
      <c r="AK228"/>
      <c r="AL228"/>
      <c r="AM228"/>
      <c r="AN228"/>
      <c r="AO228"/>
      <c r="AP228" s="311" t="str">
        <f t="shared" ref="AP228" si="64">SUBSTITUTE(SUBSTITUTE(SUBSTITUTE("dch"&amp;$B228&amp;$C228&amp;$D228&amp;$E228&amp;$F228,".","_"),"(","_"),")","")</f>
        <v>dch602_2_1</v>
      </c>
      <c r="AQ228" s="311">
        <f>W228</f>
        <v>0</v>
      </c>
      <c r="AR228" s="1059" t="str">
        <f>SUBSTITUTE(SUBSTITUTE(SUBSTITUTE("dnt"&amp;$B228&amp;$C228&amp;$D228&amp;$E228&amp;$F228,".","_"),"(","_"),")","")</f>
        <v>dnt602_2_1</v>
      </c>
      <c r="AS228" s="311">
        <f>X228</f>
        <v>0</v>
      </c>
      <c r="AX228" s="153"/>
      <c r="AY228" s="153"/>
    </row>
    <row r="229" spans="1:51" s="153" customFormat="1" x14ac:dyDescent="0.3">
      <c r="A229" s="18"/>
      <c r="B229" s="80">
        <v>602.20000000000005</v>
      </c>
      <c r="C229" s="21"/>
      <c r="D229" s="21"/>
      <c r="E229" s="21" t="s">
        <v>271</v>
      </c>
      <c r="F229" s="21"/>
      <c r="G229" s="21"/>
      <c r="H229" s="1084"/>
      <c r="I229" s="66"/>
      <c r="J229" s="231"/>
      <c r="K229" s="193"/>
      <c r="L229" s="1294"/>
      <c r="M229" s="522"/>
      <c r="N229" s="4"/>
      <c r="O229" s="154"/>
      <c r="P229" s="440"/>
      <c r="Q229" s="440"/>
      <c r="W229"/>
      <c r="X229" s="1303"/>
      <c r="Y229" s="1107"/>
      <c r="AA229" s="1110"/>
      <c r="AX229" s="65"/>
      <c r="AY229" s="65"/>
    </row>
    <row r="230" spans="1:51" x14ac:dyDescent="0.3">
      <c r="B230" s="80">
        <v>602.20000000000005</v>
      </c>
      <c r="C230" s="21"/>
      <c r="D230" s="21"/>
      <c r="E230" s="21" t="s">
        <v>273</v>
      </c>
      <c r="F230" s="21"/>
      <c r="G230" s="21"/>
      <c r="H230" s="1084"/>
      <c r="I230" s="66"/>
      <c r="J230" s="233" t="s">
        <v>273</v>
      </c>
      <c r="K230" s="234"/>
      <c r="L230" s="365" t="s">
        <v>681</v>
      </c>
      <c r="M230" s="522"/>
      <c r="N230" s="4"/>
      <c r="O230" s="154"/>
      <c r="P230" s="440" t="b">
        <v>1</v>
      </c>
      <c r="Q230" s="440" t="b">
        <v>1</v>
      </c>
      <c r="R230" s="145" t="b">
        <v>0</v>
      </c>
      <c r="S230" s="145" t="b">
        <v>1</v>
      </c>
      <c r="T230" s="145" t="b">
        <v>0</v>
      </c>
      <c r="U230"/>
      <c r="V230"/>
      <c r="W230" s="25"/>
      <c r="X230" s="176"/>
      <c r="Z230"/>
      <c r="AB230"/>
      <c r="AC230"/>
      <c r="AD230"/>
      <c r="AE230"/>
      <c r="AF230"/>
      <c r="AG230"/>
      <c r="AH230"/>
      <c r="AI230"/>
      <c r="AJ230"/>
      <c r="AK230"/>
      <c r="AL230"/>
      <c r="AM230"/>
      <c r="AN230"/>
      <c r="AO230"/>
      <c r="AP230" s="311" t="str">
        <f t="shared" ref="AP230:AP231" si="65">SUBSTITUTE(SUBSTITUTE(SUBSTITUTE("dch"&amp;$B230&amp;$C230&amp;$D230&amp;$E230&amp;$F230,".","_"),"(","_"),")","")</f>
        <v>dch602_2_2</v>
      </c>
      <c r="AQ230" s="311">
        <f>W230</f>
        <v>0</v>
      </c>
      <c r="AR230" s="1059" t="str">
        <f>SUBSTITUTE(SUBSTITUTE(SUBSTITUTE("dnt"&amp;$B230&amp;$C230&amp;$D230&amp;$E230&amp;$F230,".","_"),"(","_"),")","")</f>
        <v>dnt602_2_2</v>
      </c>
      <c r="AS230" s="311">
        <f>X230</f>
        <v>0</v>
      </c>
    </row>
    <row r="231" spans="1:51" x14ac:dyDescent="0.3">
      <c r="B231" s="80">
        <v>602.20000000000005</v>
      </c>
      <c r="C231" s="21"/>
      <c r="D231" s="21"/>
      <c r="E231" s="21" t="s">
        <v>275</v>
      </c>
      <c r="F231" s="21"/>
      <c r="G231" s="21"/>
      <c r="H231" s="1084"/>
      <c r="I231" s="66"/>
      <c r="J231" s="27" t="s">
        <v>275</v>
      </c>
      <c r="K231" s="86"/>
      <c r="L231" s="1329" t="s">
        <v>682</v>
      </c>
      <c r="M231" s="522"/>
      <c r="N231" s="4"/>
      <c r="O231" s="154"/>
      <c r="P231" s="440" t="b">
        <v>1</v>
      </c>
      <c r="Q231" s="440" t="b">
        <v>1</v>
      </c>
      <c r="R231" s="145" t="b">
        <v>0</v>
      </c>
      <c r="S231" s="145" t="b">
        <v>1</v>
      </c>
      <c r="T231" s="145" t="b">
        <v>0</v>
      </c>
      <c r="U231"/>
      <c r="V231"/>
      <c r="W231" s="25"/>
      <c r="X231" s="1303"/>
      <c r="Z231"/>
      <c r="AB231"/>
      <c r="AC231"/>
      <c r="AD231"/>
      <c r="AE231"/>
      <c r="AF231"/>
      <c r="AG231"/>
      <c r="AH231"/>
      <c r="AI231"/>
      <c r="AJ231"/>
      <c r="AK231"/>
      <c r="AL231"/>
      <c r="AM231"/>
      <c r="AN231"/>
      <c r="AO231"/>
      <c r="AP231" s="311" t="str">
        <f t="shared" si="65"/>
        <v>dch602_2_3</v>
      </c>
      <c r="AQ231" s="311">
        <f>W231</f>
        <v>0</v>
      </c>
      <c r="AR231" s="1059" t="str">
        <f>SUBSTITUTE(SUBSTITUTE(SUBSTITUTE("dnt"&amp;$B231&amp;$C231&amp;$D231&amp;$E231&amp;$F231,".","_"),"(","_"),")","")</f>
        <v>dnt602_2_3</v>
      </c>
      <c r="AS231" s="311">
        <f>X231</f>
        <v>0</v>
      </c>
    </row>
    <row r="232" spans="1:51" x14ac:dyDescent="0.3">
      <c r="B232" s="80">
        <v>602.20000000000005</v>
      </c>
      <c r="C232" s="21"/>
      <c r="D232" s="21"/>
      <c r="E232" s="21"/>
      <c r="F232" s="21"/>
      <c r="G232" s="21"/>
      <c r="H232" s="1084"/>
      <c r="I232" s="66"/>
      <c r="J232" s="4"/>
      <c r="K232" s="86"/>
      <c r="L232" s="1329"/>
      <c r="M232" s="522"/>
      <c r="N232" s="4"/>
      <c r="O232" s="154"/>
      <c r="P232" s="440"/>
      <c r="Q232" s="440"/>
      <c r="R232"/>
      <c r="S232"/>
      <c r="T232"/>
      <c r="U232"/>
      <c r="V232"/>
      <c r="W232"/>
      <c r="X232" s="1303"/>
      <c r="Z232"/>
      <c r="AB232"/>
      <c r="AC232"/>
      <c r="AD232"/>
      <c r="AE232"/>
      <c r="AF232"/>
      <c r="AG232"/>
      <c r="AH232"/>
      <c r="AI232"/>
      <c r="AJ232"/>
      <c r="AK232"/>
      <c r="AL232"/>
      <c r="AM232"/>
      <c r="AN232"/>
      <c r="AO232"/>
      <c r="AP232"/>
      <c r="AQ232"/>
      <c r="AR232"/>
      <c r="AS232"/>
    </row>
    <row r="233" spans="1:51" ht="15" thickBot="1" x14ac:dyDescent="0.35">
      <c r="B233" s="80">
        <v>602.20000000000005</v>
      </c>
      <c r="C233" s="21"/>
      <c r="D233" s="21"/>
      <c r="E233" s="21"/>
      <c r="F233" s="21"/>
      <c r="G233" s="21"/>
      <c r="H233" s="1084"/>
      <c r="I233" s="66"/>
      <c r="J233" s="4"/>
      <c r="K233" s="86"/>
      <c r="L233" s="1329"/>
      <c r="M233" s="522"/>
      <c r="N233" s="4"/>
      <c r="O233" s="154"/>
      <c r="P233" s="440"/>
      <c r="Q233" s="440"/>
      <c r="R233"/>
      <c r="S233"/>
      <c r="T233"/>
      <c r="U233"/>
      <c r="V233"/>
      <c r="W233" s="117"/>
      <c r="X233" s="1337"/>
      <c r="Z233"/>
      <c r="AB233"/>
      <c r="AC233"/>
      <c r="AD233"/>
      <c r="AE233"/>
      <c r="AF233"/>
      <c r="AG233"/>
      <c r="AH233"/>
      <c r="AI233"/>
      <c r="AJ233"/>
      <c r="AK233"/>
      <c r="AL233"/>
      <c r="AM233"/>
      <c r="AN233"/>
      <c r="AO233"/>
      <c r="AP233"/>
      <c r="AQ233"/>
      <c r="AR233"/>
      <c r="AS233"/>
    </row>
    <row r="234" spans="1:51" ht="15" thickTop="1" x14ac:dyDescent="0.3">
      <c r="B234" s="80">
        <v>602.29999999999995</v>
      </c>
      <c r="C234" s="21"/>
      <c r="D234" s="21"/>
      <c r="E234" s="21"/>
      <c r="F234" s="21"/>
      <c r="G234" s="21"/>
      <c r="H234" s="1084"/>
      <c r="I234" s="200">
        <v>602.29999999999995</v>
      </c>
      <c r="J234" s="201"/>
      <c r="K234" s="202"/>
      <c r="L234" s="1331" t="s">
        <v>683</v>
      </c>
      <c r="M234" s="1343">
        <v>4</v>
      </c>
      <c r="N234" s="201"/>
      <c r="O234" s="1336">
        <f>M234*S234*W234</f>
        <v>4</v>
      </c>
      <c r="P234" s="440" t="b">
        <v>0</v>
      </c>
      <c r="Q234" s="440" t="b">
        <v>1</v>
      </c>
      <c r="R234" s="110" t="b">
        <v>0</v>
      </c>
      <c r="S234" s="110" t="b">
        <v>1</v>
      </c>
      <c r="T234" s="110" t="b">
        <v>0</v>
      </c>
      <c r="U234" s="110"/>
      <c r="V234" s="110"/>
      <c r="W234" s="127" t="b">
        <v>1</v>
      </c>
      <c r="X234" s="1327" t="s">
        <v>4796</v>
      </c>
      <c r="Z234"/>
      <c r="AB234"/>
      <c r="AC234"/>
      <c r="AD234"/>
      <c r="AE234"/>
      <c r="AF234"/>
      <c r="AG234"/>
      <c r="AH234"/>
      <c r="AI234"/>
      <c r="AJ234"/>
      <c r="AK234"/>
      <c r="AL234" s="311" t="str">
        <f>SUBSTITUTE(SUBSTITUTE(SUBSTITUTE("dpa"&amp;$B234&amp;$C234&amp;$D234&amp;$E234&amp;$F234,".","_"),"(","_"),")","")</f>
        <v>dpa602_3</v>
      </c>
      <c r="AM234" s="311">
        <f>M234</f>
        <v>4</v>
      </c>
      <c r="AN234" s="311" t="str">
        <f>SUBSTITUTE(SUBSTITUTE(SUBSTITUTE("dpc"&amp;$B234&amp;$C234&amp;$D234&amp;$E234&amp;$F234,".","_"),"(","_"),")","")</f>
        <v>dpc602_3</v>
      </c>
      <c r="AO234" s="311">
        <f>O234</f>
        <v>4</v>
      </c>
      <c r="AP234" s="311" t="str">
        <f t="shared" ref="AP234" si="66">SUBSTITUTE(SUBSTITUTE(SUBSTITUTE("dch"&amp;$B234&amp;$C234&amp;$D234&amp;$E234&amp;$F234,".","_"),"(","_"),")","")</f>
        <v>dch602_3</v>
      </c>
      <c r="AQ234" s="311" t="b">
        <f>W234</f>
        <v>1</v>
      </c>
      <c r="AR234" s="1059" t="str">
        <f>SUBSTITUTE(SUBSTITUTE(SUBSTITUTE("dnt"&amp;$B234&amp;$C234&amp;$D234&amp;$E234&amp;$F234,".","_"),"(","_"),")","")</f>
        <v>dnt602_3</v>
      </c>
      <c r="AS234" s="311" t="str">
        <f>X234</f>
        <v>ZERH Requirement - ENERGY STAR Certified Homes National Water Management Requirements, Section 3.2 Gutters and Downspouts</v>
      </c>
    </row>
    <row r="235" spans="1:51" x14ac:dyDescent="0.3">
      <c r="B235" s="80">
        <v>602.29999999999995</v>
      </c>
      <c r="C235" s="21"/>
      <c r="D235" s="21"/>
      <c r="E235" s="21"/>
      <c r="F235" s="21"/>
      <c r="G235" s="21"/>
      <c r="H235" s="1084"/>
      <c r="I235" s="141"/>
      <c r="J235" s="140"/>
      <c r="K235" s="98"/>
      <c r="L235" s="1313"/>
      <c r="M235" s="1318"/>
      <c r="N235" s="140"/>
      <c r="O235" s="1308"/>
      <c r="P235" s="97"/>
      <c r="Q235" s="97"/>
      <c r="R235" s="97"/>
      <c r="S235" s="97"/>
      <c r="T235" s="97"/>
      <c r="U235" s="97"/>
      <c r="V235" s="97"/>
      <c r="W235" s="97"/>
      <c r="X235" s="1295"/>
      <c r="Z235"/>
      <c r="AB235"/>
      <c r="AC235"/>
      <c r="AD235"/>
      <c r="AE235"/>
      <c r="AF235"/>
      <c r="AG235"/>
      <c r="AH235"/>
      <c r="AI235"/>
      <c r="AJ235"/>
      <c r="AK235"/>
      <c r="AL235"/>
      <c r="AM235"/>
      <c r="AN235"/>
      <c r="AO235"/>
      <c r="AP235"/>
      <c r="AQ235"/>
      <c r="AR235"/>
      <c r="AS235"/>
    </row>
    <row r="236" spans="1:51" ht="15" thickBot="1" x14ac:dyDescent="0.35">
      <c r="B236" s="80">
        <v>602.29999999999995</v>
      </c>
      <c r="C236" s="21"/>
      <c r="D236" s="21"/>
      <c r="E236" s="21"/>
      <c r="F236" s="21"/>
      <c r="G236" s="21"/>
      <c r="H236" s="1084"/>
      <c r="I236" s="141"/>
      <c r="J236" s="140"/>
      <c r="K236" s="98"/>
      <c r="L236" s="1313"/>
      <c r="M236" s="1318"/>
      <c r="N236" s="140"/>
      <c r="O236" s="1308"/>
      <c r="P236" s="97"/>
      <c r="Q236" s="97"/>
      <c r="R236" s="97"/>
      <c r="S236" s="97"/>
      <c r="T236" s="97"/>
      <c r="U236" s="97"/>
      <c r="V236" s="97"/>
      <c r="W236" s="97"/>
      <c r="X236" s="1337"/>
      <c r="Z236"/>
      <c r="AB236"/>
      <c r="AC236"/>
      <c r="AD236"/>
      <c r="AE236"/>
      <c r="AF236"/>
      <c r="AG236"/>
      <c r="AH236"/>
      <c r="AI236"/>
      <c r="AJ236"/>
      <c r="AK236"/>
      <c r="AL236"/>
      <c r="AM236"/>
      <c r="AN236"/>
      <c r="AO236"/>
      <c r="AP236"/>
      <c r="AQ236"/>
      <c r="AR236"/>
      <c r="AS236"/>
    </row>
    <row r="237" spans="1:51" ht="15" thickTop="1" x14ac:dyDescent="0.3">
      <c r="B237" s="80">
        <v>602.4</v>
      </c>
      <c r="C237" s="21"/>
      <c r="D237" s="21"/>
      <c r="E237" s="21"/>
      <c r="F237" s="21"/>
      <c r="G237" s="21"/>
      <c r="H237" s="1084"/>
      <c r="I237" s="200">
        <v>602.4</v>
      </c>
      <c r="J237" s="201"/>
      <c r="K237" s="202"/>
      <c r="L237" s="367" t="s">
        <v>684</v>
      </c>
      <c r="M237" s="517"/>
      <c r="N237" s="201"/>
      <c r="O237" s="596"/>
      <c r="P237" s="110"/>
      <c r="Q237" s="110"/>
      <c r="R237" s="110"/>
      <c r="S237" s="110"/>
      <c r="T237" s="110"/>
      <c r="U237" s="110"/>
      <c r="V237" s="110"/>
      <c r="W237" s="110"/>
      <c r="X237" s="110"/>
      <c r="Z237"/>
      <c r="AB237"/>
      <c r="AC237"/>
      <c r="AD237"/>
      <c r="AE237"/>
      <c r="AF237"/>
      <c r="AG237"/>
      <c r="AH237"/>
      <c r="AI237"/>
      <c r="AJ237"/>
      <c r="AK237"/>
      <c r="AL237"/>
      <c r="AM237"/>
      <c r="AN237"/>
      <c r="AO237"/>
      <c r="AP237"/>
      <c r="AQ237"/>
      <c r="AR237"/>
      <c r="AS237"/>
    </row>
    <row r="238" spans="1:51" x14ac:dyDescent="0.3">
      <c r="B238" s="80" t="s">
        <v>685</v>
      </c>
      <c r="C238" s="21"/>
      <c r="D238" s="21"/>
      <c r="E238" s="21"/>
      <c r="F238" s="21"/>
      <c r="G238" s="21"/>
      <c r="H238" s="1084"/>
      <c r="I238" s="141" t="s">
        <v>685</v>
      </c>
      <c r="J238" s="140"/>
      <c r="K238" s="98"/>
      <c r="L238" s="1313" t="s">
        <v>686</v>
      </c>
      <c r="M238" s="1351" t="str">
        <f>IF(R238,"Mandatory","N/A")</f>
        <v>Mandatory</v>
      </c>
      <c r="N238" s="4"/>
      <c r="O238" s="154"/>
      <c r="P238" s="440" t="b">
        <v>1</v>
      </c>
      <c r="Q238" s="440" t="b">
        <v>1</v>
      </c>
      <c r="R238" s="153" t="b">
        <f>S238</f>
        <v>1</v>
      </c>
      <c r="S238" s="137" t="b">
        <v>1</v>
      </c>
      <c r="T238" s="137" t="b">
        <v>0</v>
      </c>
      <c r="U238"/>
      <c r="V238"/>
      <c r="W238" s="25" t="b">
        <v>1</v>
      </c>
      <c r="X238" s="1303"/>
      <c r="Z238"/>
      <c r="AB238"/>
      <c r="AC238" s="145" t="b">
        <f>OR(AD238:AE238)</f>
        <v>0</v>
      </c>
      <c r="AD238" s="145" t="b">
        <f>T238</f>
        <v>0</v>
      </c>
      <c r="AE238" s="145" t="b">
        <f>NOT(W238)</f>
        <v>0</v>
      </c>
      <c r="AF238"/>
      <c r="AG238"/>
      <c r="AH238"/>
      <c r="AI238"/>
      <c r="AJ238"/>
      <c r="AK238"/>
      <c r="AL238" s="311" t="str">
        <f>SUBSTITUTE(SUBSTITUTE(SUBSTITUTE("dpa"&amp;$B238&amp;$C238&amp;$D238&amp;$E238&amp;$F238,".","_"),"(","_"),")","")</f>
        <v>dpa602_4_1</v>
      </c>
      <c r="AM238" s="311" t="str">
        <f>M238</f>
        <v>Mandatory</v>
      </c>
      <c r="AN238"/>
      <c r="AO238"/>
      <c r="AP238" s="311" t="str">
        <f t="shared" ref="AP238" si="67">SUBSTITUTE(SUBSTITUTE(SUBSTITUTE("dch"&amp;$B238&amp;$C238&amp;$D238&amp;$E238&amp;$F238,".","_"),"(","_"),")","")</f>
        <v>dch602_4_1</v>
      </c>
      <c r="AQ238" s="311" t="b">
        <f>W238</f>
        <v>1</v>
      </c>
      <c r="AR238" s="1059" t="str">
        <f>SUBSTITUTE(SUBSTITUTE(SUBSTITUTE("dnt"&amp;$B238&amp;$C238&amp;$D238&amp;$E238&amp;$F238,".","_"),"(","_"),")","")</f>
        <v>dnt602_4_1</v>
      </c>
      <c r="AS238" s="311">
        <f>X238</f>
        <v>0</v>
      </c>
    </row>
    <row r="239" spans="1:51" x14ac:dyDescent="0.3">
      <c r="B239" s="80" t="s">
        <v>685</v>
      </c>
      <c r="C239" s="21"/>
      <c r="D239" s="21"/>
      <c r="E239" s="21"/>
      <c r="F239" s="21"/>
      <c r="G239" s="21"/>
      <c r="H239" s="1084"/>
      <c r="I239" s="141"/>
      <c r="J239" s="140"/>
      <c r="K239" s="98"/>
      <c r="L239" s="1313"/>
      <c r="M239" s="1351"/>
      <c r="N239" s="4"/>
      <c r="O239" s="154"/>
      <c r="P239" s="440"/>
      <c r="Q239" s="440"/>
      <c r="R239"/>
      <c r="S239"/>
      <c r="T239"/>
      <c r="U239"/>
      <c r="V239"/>
      <c r="W239"/>
      <c r="X239" s="1303"/>
      <c r="Z239"/>
      <c r="AB239"/>
      <c r="AC239"/>
      <c r="AD239"/>
      <c r="AE239"/>
      <c r="AF239"/>
      <c r="AG239"/>
      <c r="AH239"/>
      <c r="AI239"/>
      <c r="AJ239"/>
      <c r="AK239"/>
      <c r="AL239"/>
      <c r="AM239"/>
      <c r="AN239"/>
      <c r="AO239"/>
      <c r="AP239"/>
      <c r="AQ239"/>
      <c r="AR239"/>
      <c r="AS239"/>
    </row>
    <row r="240" spans="1:51" x14ac:dyDescent="0.3">
      <c r="B240" s="80" t="s">
        <v>685</v>
      </c>
      <c r="C240" s="21"/>
      <c r="D240" s="21"/>
      <c r="E240" s="21"/>
      <c r="F240" s="21"/>
      <c r="G240" s="21"/>
      <c r="H240" s="1084"/>
      <c r="I240" s="141"/>
      <c r="J240" s="140"/>
      <c r="K240" s="98"/>
      <c r="L240" s="1313"/>
      <c r="M240" s="1351"/>
      <c r="N240" s="4"/>
      <c r="O240" s="154"/>
      <c r="P240" s="440"/>
      <c r="Q240" s="440"/>
      <c r="R240"/>
      <c r="S240"/>
      <c r="T240"/>
      <c r="U240"/>
      <c r="V240"/>
      <c r="W240"/>
      <c r="X240" s="1303"/>
      <c r="Z240"/>
      <c r="AB240"/>
      <c r="AC240"/>
      <c r="AD240"/>
      <c r="AE240"/>
      <c r="AF240"/>
      <c r="AG240"/>
      <c r="AH240"/>
      <c r="AI240"/>
      <c r="AJ240"/>
      <c r="AK240"/>
      <c r="AL240"/>
      <c r="AM240"/>
      <c r="AN240"/>
      <c r="AO240"/>
      <c r="AP240"/>
      <c r="AQ240"/>
      <c r="AR240"/>
      <c r="AS240"/>
    </row>
    <row r="241" spans="1:51" x14ac:dyDescent="0.3">
      <c r="B241" s="80" t="s">
        <v>685</v>
      </c>
      <c r="C241" s="21"/>
      <c r="D241" s="21"/>
      <c r="E241" s="21"/>
      <c r="F241" s="21"/>
      <c r="G241" s="21"/>
      <c r="H241" s="1084"/>
      <c r="I241" s="141"/>
      <c r="J241" s="140"/>
      <c r="K241" s="98"/>
      <c r="L241" s="1313"/>
      <c r="M241" s="1351"/>
      <c r="N241" s="4"/>
      <c r="O241" s="154"/>
      <c r="P241" s="440"/>
      <c r="Q241" s="440"/>
      <c r="R241"/>
      <c r="S241"/>
      <c r="T241"/>
      <c r="U241"/>
      <c r="V241"/>
      <c r="W241"/>
      <c r="X241" s="1303"/>
      <c r="Z241"/>
      <c r="AB241"/>
      <c r="AC241"/>
      <c r="AD241"/>
      <c r="AE241"/>
      <c r="AF241"/>
      <c r="AG241"/>
      <c r="AH241"/>
      <c r="AI241"/>
      <c r="AJ241"/>
      <c r="AK241"/>
      <c r="AL241"/>
      <c r="AM241"/>
      <c r="AN241"/>
      <c r="AO241"/>
      <c r="AP241"/>
      <c r="AQ241"/>
      <c r="AR241"/>
      <c r="AS241"/>
      <c r="AX241" s="145"/>
      <c r="AY241" s="145"/>
    </row>
    <row r="242" spans="1:51" s="145" customFormat="1" x14ac:dyDescent="0.3">
      <c r="A242" s="18"/>
      <c r="B242" s="80" t="s">
        <v>685</v>
      </c>
      <c r="C242" s="21"/>
      <c r="D242" s="21"/>
      <c r="E242" s="21"/>
      <c r="F242" s="21"/>
      <c r="G242" s="21"/>
      <c r="H242" s="1084"/>
      <c r="I242" s="244"/>
      <c r="J242" s="238"/>
      <c r="K242" s="193"/>
      <c r="L242" s="1350"/>
      <c r="M242" s="1352"/>
      <c r="N242" s="4"/>
      <c r="O242" s="154"/>
      <c r="P242" s="440"/>
      <c r="Q242" s="440"/>
      <c r="X242" s="1303"/>
      <c r="Y242" s="1107"/>
      <c r="AA242" s="1110"/>
      <c r="AX242" s="65"/>
      <c r="AY242" s="65"/>
    </row>
    <row r="243" spans="1:51" x14ac:dyDescent="0.3">
      <c r="B243" s="80" t="s">
        <v>687</v>
      </c>
      <c r="C243" s="21"/>
      <c r="D243" s="21"/>
      <c r="E243" s="21"/>
      <c r="F243" s="21"/>
      <c r="G243" s="21"/>
      <c r="H243" s="1084"/>
      <c r="I243" s="141" t="s">
        <v>687</v>
      </c>
      <c r="J243" s="140"/>
      <c r="K243" s="98"/>
      <c r="L243" s="1313" t="s">
        <v>688</v>
      </c>
      <c r="M243" s="1318">
        <v>1</v>
      </c>
      <c r="N243" s="140"/>
      <c r="O243" s="1308">
        <f>M243*S243*W243</f>
        <v>1</v>
      </c>
      <c r="P243" s="440" t="b">
        <v>1</v>
      </c>
      <c r="Q243" s="440" t="b">
        <v>1</v>
      </c>
      <c r="R243" s="137" t="b">
        <v>0</v>
      </c>
      <c r="S243" s="137" t="b">
        <v>1</v>
      </c>
      <c r="T243" s="137" t="b">
        <v>0</v>
      </c>
      <c r="U243"/>
      <c r="V243"/>
      <c r="W243" s="25" t="b">
        <v>1</v>
      </c>
      <c r="X243" s="1303"/>
      <c r="Z243"/>
      <c r="AB243"/>
      <c r="AC243"/>
      <c r="AD243"/>
      <c r="AE243"/>
      <c r="AF243"/>
      <c r="AG243"/>
      <c r="AH243"/>
      <c r="AI243"/>
      <c r="AJ243"/>
      <c r="AK243"/>
      <c r="AL243" s="311" t="str">
        <f>SUBSTITUTE(SUBSTITUTE(SUBSTITUTE("dpa"&amp;$B243&amp;$C243&amp;$D243&amp;$E243&amp;$F243,".","_"),"(","_"),")","")</f>
        <v>dpa602_4_2</v>
      </c>
      <c r="AM243" s="311">
        <f>M243</f>
        <v>1</v>
      </c>
      <c r="AN243" s="311" t="str">
        <f>SUBSTITUTE(SUBSTITUTE(SUBSTITUTE("dpc"&amp;$B243&amp;$C243&amp;$D243&amp;$E243&amp;$F243,".","_"),"(","_"),")","")</f>
        <v>dpc602_4_2</v>
      </c>
      <c r="AO243" s="311">
        <f>O243</f>
        <v>1</v>
      </c>
      <c r="AP243" s="311" t="str">
        <f t="shared" ref="AP243" si="68">SUBSTITUTE(SUBSTITUTE(SUBSTITUTE("dch"&amp;$B243&amp;$C243&amp;$D243&amp;$E243&amp;$F243,".","_"),"(","_"),")","")</f>
        <v>dch602_4_2</v>
      </c>
      <c r="AQ243" s="311" t="b">
        <f>W243</f>
        <v>1</v>
      </c>
      <c r="AR243" s="1059" t="str">
        <f>SUBSTITUTE(SUBSTITUTE(SUBSTITUTE("dnt"&amp;$B243&amp;$C243&amp;$D243&amp;$E243&amp;$F243,".","_"),"(","_"),")","")</f>
        <v>dnt602_4_2</v>
      </c>
      <c r="AS243" s="311">
        <f>X243</f>
        <v>0</v>
      </c>
    </row>
    <row r="244" spans="1:51" x14ac:dyDescent="0.3">
      <c r="B244" s="80" t="s">
        <v>687</v>
      </c>
      <c r="C244" s="21"/>
      <c r="D244" s="21"/>
      <c r="E244" s="21"/>
      <c r="F244" s="21"/>
      <c r="G244" s="21"/>
      <c r="H244" s="1084"/>
      <c r="I244" s="244"/>
      <c r="J244" s="238"/>
      <c r="K244" s="193"/>
      <c r="L244" s="1350"/>
      <c r="M244" s="1319"/>
      <c r="N244" s="238"/>
      <c r="O244" s="1309"/>
      <c r="P244" s="440"/>
      <c r="Q244" s="440"/>
      <c r="R244"/>
      <c r="S244"/>
      <c r="T244"/>
      <c r="U244"/>
      <c r="V244"/>
      <c r="W244"/>
      <c r="X244" s="1303"/>
      <c r="Z244"/>
      <c r="AB244"/>
      <c r="AC244"/>
      <c r="AD244"/>
      <c r="AE244"/>
      <c r="AF244"/>
      <c r="AG244"/>
      <c r="AH244"/>
      <c r="AI244"/>
      <c r="AJ244"/>
      <c r="AK244"/>
      <c r="AL244"/>
      <c r="AM244"/>
      <c r="AN244"/>
      <c r="AO244"/>
      <c r="AP244"/>
      <c r="AQ244"/>
      <c r="AR244"/>
      <c r="AS244"/>
    </row>
    <row r="245" spans="1:51" ht="15" customHeight="1" x14ac:dyDescent="0.3">
      <c r="B245" s="80" t="s">
        <v>689</v>
      </c>
      <c r="C245" s="21"/>
      <c r="D245" s="21"/>
      <c r="E245" s="21"/>
      <c r="F245" s="21"/>
      <c r="G245" s="21"/>
      <c r="H245" s="1084"/>
      <c r="I245" s="66" t="s">
        <v>689</v>
      </c>
      <c r="J245" s="4"/>
      <c r="K245" s="86"/>
      <c r="L245" s="355" t="s">
        <v>690</v>
      </c>
      <c r="M245" s="522">
        <v>1</v>
      </c>
      <c r="N245" s="4"/>
      <c r="O245" s="154">
        <f>M245*S245*W245</f>
        <v>1</v>
      </c>
      <c r="P245" s="440" t="b">
        <v>1</v>
      </c>
      <c r="Q245" s="440" t="b">
        <v>1</v>
      </c>
      <c r="R245" s="137" t="b">
        <v>0</v>
      </c>
      <c r="S245" s="137" t="b">
        <v>1</v>
      </c>
      <c r="T245" s="137" t="b">
        <v>0</v>
      </c>
      <c r="U245"/>
      <c r="V245"/>
      <c r="W245" s="25" t="b">
        <v>1</v>
      </c>
      <c r="X245" s="176"/>
      <c r="Z245"/>
      <c r="AB245"/>
      <c r="AC245"/>
      <c r="AD245"/>
      <c r="AE245"/>
      <c r="AF245"/>
      <c r="AG245"/>
      <c r="AH245"/>
      <c r="AI245"/>
      <c r="AJ245"/>
      <c r="AK245"/>
      <c r="AL245" s="311" t="str">
        <f>SUBSTITUTE(SUBSTITUTE(SUBSTITUTE("dpa"&amp;$B245&amp;$C245&amp;$D245&amp;$E245&amp;$F245,".","_"),"(","_"),")","")</f>
        <v>dpa602_4_3</v>
      </c>
      <c r="AM245" s="311">
        <f>M245</f>
        <v>1</v>
      </c>
      <c r="AN245" s="311" t="str">
        <f>SUBSTITUTE(SUBSTITUTE(SUBSTITUTE("dpc"&amp;$B245&amp;$C245&amp;$D245&amp;$E245&amp;$F245,".","_"),"(","_"),")","")</f>
        <v>dpc602_4_3</v>
      </c>
      <c r="AO245" s="311">
        <f>O245</f>
        <v>1</v>
      </c>
      <c r="AP245" s="311" t="str">
        <f t="shared" ref="AP245" si="69">SUBSTITUTE(SUBSTITUTE(SUBSTITUTE("dch"&amp;$B245&amp;$C245&amp;$D245&amp;$E245&amp;$F245,".","_"),"(","_"),")","")</f>
        <v>dch602_4_3</v>
      </c>
      <c r="AQ245" s="311" t="b">
        <f>W245</f>
        <v>1</v>
      </c>
      <c r="AR245" s="1059" t="str">
        <f>SUBSTITUTE(SUBSTITUTE(SUBSTITUTE("dnt"&amp;$B245&amp;$C245&amp;$D245&amp;$E245&amp;$F245,".","_"),"(","_"),")","")</f>
        <v>dnt602_4_3</v>
      </c>
      <c r="AS245" s="311">
        <f>X245</f>
        <v>0</v>
      </c>
    </row>
    <row r="246" spans="1:51" ht="18" x14ac:dyDescent="0.35">
      <c r="B246" s="80">
        <v>603</v>
      </c>
      <c r="C246" s="21"/>
      <c r="D246" s="21"/>
      <c r="E246" s="21"/>
      <c r="F246" s="21"/>
      <c r="G246" s="21"/>
      <c r="H246" s="1084"/>
      <c r="I246" s="72" t="s">
        <v>691</v>
      </c>
      <c r="J246" s="23"/>
      <c r="K246" s="85"/>
      <c r="L246" s="259"/>
      <c r="M246" s="484"/>
      <c r="N246" s="604"/>
      <c r="O246" s="594"/>
      <c r="P246" s="23"/>
      <c r="Q246" s="23"/>
      <c r="R246" s="23"/>
      <c r="S246" s="23"/>
      <c r="T246" s="23"/>
      <c r="U246" s="23"/>
      <c r="V246" s="23"/>
      <c r="W246" s="23"/>
      <c r="X246" s="23"/>
      <c r="Z246"/>
      <c r="AB246"/>
      <c r="AC246"/>
      <c r="AD246"/>
      <c r="AE246"/>
      <c r="AF246"/>
      <c r="AG246"/>
      <c r="AH246"/>
      <c r="AI246"/>
      <c r="AJ246"/>
      <c r="AK246"/>
      <c r="AL246"/>
      <c r="AM246"/>
      <c r="AN246"/>
      <c r="AO246"/>
      <c r="AP246"/>
      <c r="AQ246"/>
      <c r="AR246"/>
      <c r="AS246"/>
    </row>
    <row r="247" spans="1:51" x14ac:dyDescent="0.3">
      <c r="B247" s="80" t="s">
        <v>4436</v>
      </c>
      <c r="C247" s="21"/>
      <c r="D247" s="21"/>
      <c r="E247" s="21"/>
      <c r="F247" s="21"/>
      <c r="G247" s="21"/>
      <c r="H247" s="1084"/>
      <c r="I247" s="925" t="s">
        <v>4436</v>
      </c>
      <c r="J247" s="4"/>
      <c r="K247" s="86"/>
      <c r="L247" s="1292" t="s">
        <v>692</v>
      </c>
      <c r="M247" s="522"/>
      <c r="N247" s="4"/>
      <c r="O247" s="154"/>
      <c r="P247" s="440"/>
      <c r="Q247" s="440"/>
      <c r="R247"/>
      <c r="S247"/>
      <c r="T247"/>
      <c r="U247"/>
      <c r="V247"/>
      <c r="W247"/>
      <c r="X247"/>
      <c r="Z247"/>
      <c r="AB247"/>
      <c r="AC247"/>
      <c r="AD247"/>
      <c r="AE247"/>
      <c r="AF247"/>
      <c r="AG247"/>
      <c r="AH247"/>
      <c r="AI247"/>
      <c r="AJ247"/>
      <c r="AK247"/>
      <c r="AL247"/>
      <c r="AM247"/>
      <c r="AN247"/>
      <c r="AO247"/>
      <c r="AP247"/>
      <c r="AQ247"/>
      <c r="AR247"/>
      <c r="AS247"/>
    </row>
    <row r="248" spans="1:51" ht="15" thickBot="1" x14ac:dyDescent="0.35">
      <c r="B248" s="80" t="s">
        <v>4436</v>
      </c>
      <c r="C248" s="21"/>
      <c r="D248" s="21"/>
      <c r="E248" s="21"/>
      <c r="F248" s="21"/>
      <c r="G248" s="21"/>
      <c r="H248" s="1084"/>
      <c r="I248" s="66"/>
      <c r="J248" s="4"/>
      <c r="K248" s="86"/>
      <c r="L248" s="1292"/>
      <c r="M248" s="522"/>
      <c r="N248" s="4"/>
      <c r="O248" s="154"/>
      <c r="P248" s="440"/>
      <c r="Q248" s="440"/>
      <c r="R248"/>
      <c r="S248"/>
      <c r="T248"/>
      <c r="U248"/>
      <c r="V248"/>
      <c r="W248"/>
      <c r="X248"/>
      <c r="Z248"/>
      <c r="AB248"/>
      <c r="AC248"/>
      <c r="AD248"/>
      <c r="AE248"/>
      <c r="AF248"/>
      <c r="AG248"/>
      <c r="AH248"/>
      <c r="AI248"/>
      <c r="AJ248"/>
      <c r="AK248"/>
      <c r="AL248"/>
      <c r="AM248"/>
      <c r="AN248"/>
      <c r="AO248"/>
      <c r="AP248"/>
      <c r="AQ248"/>
      <c r="AR248"/>
      <c r="AS248"/>
    </row>
    <row r="249" spans="1:51" ht="15" thickTop="1" x14ac:dyDescent="0.3">
      <c r="B249" s="80">
        <v>603.1</v>
      </c>
      <c r="C249" s="21"/>
      <c r="D249" s="21"/>
      <c r="E249" s="21"/>
      <c r="F249" s="21"/>
      <c r="G249" s="21"/>
      <c r="H249" s="1084"/>
      <c r="I249" s="200">
        <v>603.1</v>
      </c>
      <c r="J249" s="201"/>
      <c r="K249" s="202"/>
      <c r="L249" s="1331" t="s">
        <v>693</v>
      </c>
      <c r="M249" s="1359" t="s">
        <v>3257</v>
      </c>
      <c r="N249" s="201"/>
      <c r="O249" s="1336">
        <f>MIN(ROUNDDOWN(W249/200,0),12)</f>
        <v>0</v>
      </c>
      <c r="P249" s="110" t="b">
        <v>1</v>
      </c>
      <c r="Q249" s="110" t="b">
        <v>0</v>
      </c>
      <c r="R249" s="110" t="b">
        <v>0</v>
      </c>
      <c r="S249" s="110" t="b">
        <v>1</v>
      </c>
      <c r="T249" s="110" t="b">
        <v>0</v>
      </c>
      <c r="U249" s="110"/>
      <c r="V249" s="110"/>
      <c r="W249" s="214"/>
      <c r="X249" s="1311"/>
      <c r="Z249"/>
      <c r="AB249"/>
      <c r="AC249" s="170" t="b">
        <f>OR(AD249:AE249)</f>
        <v>0</v>
      </c>
      <c r="AD249" s="170" t="b">
        <v>0</v>
      </c>
      <c r="AE249" s="170" t="b">
        <f>AND(W249&gt;0,LEN(X249)=0)</f>
        <v>0</v>
      </c>
      <c r="AF249"/>
      <c r="AG249"/>
      <c r="AH249"/>
      <c r="AI249"/>
      <c r="AJ249"/>
      <c r="AK249"/>
      <c r="AL249" s="311" t="str">
        <f>SUBSTITUTE(SUBSTITUTE(SUBSTITUTE("dpa"&amp;$B249&amp;$C249&amp;$D249&amp;$E249&amp;$F249,".","_"),"(","_"),")","")</f>
        <v>dpa603_1</v>
      </c>
      <c r="AM249" s="311" t="str">
        <f>M249</f>
        <v>1
12 Max</v>
      </c>
      <c r="AN249" s="311" t="str">
        <f>SUBSTITUTE(SUBSTITUTE(SUBSTITUTE("dpc"&amp;$B249&amp;$C249&amp;$D249&amp;$E249&amp;$F249,".","_"),"(","_"),")","")</f>
        <v>dpc603_1</v>
      </c>
      <c r="AO249" s="311">
        <f>O249</f>
        <v>0</v>
      </c>
      <c r="AP249" s="311" t="str">
        <f t="shared" ref="AP249" si="70">SUBSTITUTE(SUBSTITUTE(SUBSTITUTE("dch"&amp;$B249&amp;$C249&amp;$D249&amp;$E249&amp;$F249,".","_"),"(","_"),")","")</f>
        <v>dch603_1</v>
      </c>
      <c r="AQ249" s="311">
        <f>W249</f>
        <v>0</v>
      </c>
      <c r="AR249" s="1059" t="str">
        <f>SUBSTITUTE(SUBSTITUTE(SUBSTITUTE("dnt"&amp;$B249&amp;$C249&amp;$D249&amp;$E249&amp;$F249,".","_"),"(","_"),")","")</f>
        <v>dnt603_1</v>
      </c>
      <c r="AS249" s="311">
        <f>X249</f>
        <v>0</v>
      </c>
    </row>
    <row r="250" spans="1:51" x14ac:dyDescent="0.3">
      <c r="B250" s="80">
        <v>603.1</v>
      </c>
      <c r="C250" s="21"/>
      <c r="D250" s="21"/>
      <c r="E250" s="21"/>
      <c r="F250" s="21"/>
      <c r="G250" s="21"/>
      <c r="H250" s="1084"/>
      <c r="I250" s="141"/>
      <c r="J250" s="140"/>
      <c r="K250" s="98"/>
      <c r="L250" s="1313"/>
      <c r="M250" s="1360"/>
      <c r="N250" s="140"/>
      <c r="O250" s="1308"/>
      <c r="P250" s="97"/>
      <c r="Q250" s="97"/>
      <c r="R250" s="97"/>
      <c r="S250" s="97"/>
      <c r="T250" s="97"/>
      <c r="U250" s="97"/>
      <c r="V250" s="97"/>
      <c r="W250" s="97"/>
      <c r="X250" s="1312"/>
      <c r="Z250"/>
      <c r="AB250"/>
      <c r="AC250"/>
      <c r="AD250"/>
      <c r="AE250"/>
      <c r="AF250"/>
      <c r="AG250"/>
      <c r="AH250"/>
      <c r="AI250"/>
      <c r="AJ250"/>
      <c r="AK250"/>
      <c r="AL250"/>
      <c r="AM250"/>
      <c r="AN250"/>
      <c r="AO250"/>
      <c r="AP250"/>
      <c r="AQ250"/>
      <c r="AR250"/>
      <c r="AS250"/>
    </row>
    <row r="251" spans="1:51" ht="15" x14ac:dyDescent="0.3">
      <c r="B251" s="80">
        <v>603.1</v>
      </c>
      <c r="C251" s="21"/>
      <c r="D251" s="21"/>
      <c r="E251" s="21"/>
      <c r="F251" s="21"/>
      <c r="G251" s="21"/>
      <c r="H251" s="1084"/>
      <c r="I251" s="141"/>
      <c r="J251" s="140"/>
      <c r="K251" s="98"/>
      <c r="L251" s="347" t="s">
        <v>694</v>
      </c>
      <c r="M251" s="1360"/>
      <c r="N251" s="140"/>
      <c r="O251" s="1308"/>
      <c r="P251" s="97"/>
      <c r="Q251" s="97"/>
      <c r="R251" s="97"/>
      <c r="S251" s="97"/>
      <c r="T251" s="97"/>
      <c r="U251" s="97"/>
      <c r="V251" s="97"/>
      <c r="W251" s="97"/>
      <c r="X251" s="1312"/>
      <c r="Z251"/>
      <c r="AB251"/>
      <c r="AC251"/>
      <c r="AD251"/>
      <c r="AE251"/>
      <c r="AF251"/>
      <c r="AG251"/>
      <c r="AH251"/>
      <c r="AI251"/>
      <c r="AJ251"/>
      <c r="AK251"/>
      <c r="AL251"/>
      <c r="AM251"/>
      <c r="AN251"/>
      <c r="AO251"/>
      <c r="AP251"/>
      <c r="AQ251"/>
      <c r="AR251"/>
      <c r="AS251"/>
      <c r="AX251" s="170"/>
      <c r="AY251" s="170"/>
    </row>
    <row r="252" spans="1:51" s="170" customFormat="1" x14ac:dyDescent="0.3">
      <c r="A252" s="18"/>
      <c r="B252" s="80">
        <v>603.1</v>
      </c>
      <c r="C252" s="21"/>
      <c r="D252" s="21"/>
      <c r="E252" s="21"/>
      <c r="F252" s="21"/>
      <c r="G252" s="21"/>
      <c r="H252" s="1084"/>
      <c r="I252" s="141"/>
      <c r="J252" s="140"/>
      <c r="K252" s="98"/>
      <c r="L252" s="1357" t="s">
        <v>3258</v>
      </c>
      <c r="M252" s="1360"/>
      <c r="N252" s="140"/>
      <c r="O252" s="1308"/>
      <c r="P252" s="97"/>
      <c r="Q252" s="97"/>
      <c r="R252" s="97"/>
      <c r="S252" s="97"/>
      <c r="T252" s="97"/>
      <c r="U252" s="97"/>
      <c r="V252" s="97"/>
      <c r="W252" s="97"/>
      <c r="X252" s="1312"/>
      <c r="Y252" s="1107"/>
      <c r="AA252" s="1110"/>
    </row>
    <row r="253" spans="1:51" s="170" customFormat="1" x14ac:dyDescent="0.3">
      <c r="A253" s="18"/>
      <c r="B253" s="80">
        <v>603.1</v>
      </c>
      <c r="C253" s="21"/>
      <c r="D253" s="21"/>
      <c r="E253" s="21"/>
      <c r="F253" s="21"/>
      <c r="G253" s="21"/>
      <c r="H253" s="1084"/>
      <c r="I253" s="141"/>
      <c r="J253" s="140"/>
      <c r="K253" s="98"/>
      <c r="L253" s="1358"/>
      <c r="M253" s="1360"/>
      <c r="N253" s="140"/>
      <c r="O253" s="1308"/>
      <c r="P253" s="97"/>
      <c r="Q253" s="97"/>
      <c r="R253" s="97"/>
      <c r="S253" s="97"/>
      <c r="T253" s="97"/>
      <c r="U253" s="97"/>
      <c r="V253" s="97"/>
      <c r="W253" s="97"/>
      <c r="X253" s="1312"/>
      <c r="Y253" s="1107"/>
      <c r="AA253" s="1110"/>
    </row>
    <row r="254" spans="1:51" s="170" customFormat="1" ht="15" thickBot="1" x14ac:dyDescent="0.35">
      <c r="A254" s="18"/>
      <c r="B254" s="80">
        <v>603.1</v>
      </c>
      <c r="C254" s="21"/>
      <c r="D254" s="21"/>
      <c r="E254" s="21"/>
      <c r="F254" s="21"/>
      <c r="G254" s="21"/>
      <c r="H254" s="1084"/>
      <c r="I254" s="141"/>
      <c r="J254" s="140"/>
      <c r="K254" s="98"/>
      <c r="L254" s="1358"/>
      <c r="M254" s="1360"/>
      <c r="N254" s="140"/>
      <c r="O254" s="1308"/>
      <c r="P254" s="97"/>
      <c r="Q254" s="97"/>
      <c r="R254" s="97"/>
      <c r="S254" s="97"/>
      <c r="T254" s="97"/>
      <c r="U254" s="97"/>
      <c r="V254" s="97"/>
      <c r="W254" s="97"/>
      <c r="X254" s="1312"/>
      <c r="Y254" s="1107"/>
      <c r="AA254" s="1110"/>
      <c r="AX254" s="65"/>
      <c r="AY254" s="65"/>
    </row>
    <row r="255" spans="1:51" ht="15" thickTop="1" x14ac:dyDescent="0.3">
      <c r="B255" s="80">
        <v>603.20000000000005</v>
      </c>
      <c r="C255" s="21"/>
      <c r="D255" s="21"/>
      <c r="E255" s="21"/>
      <c r="F255" s="21"/>
      <c r="G255" s="21"/>
      <c r="H255" s="1084"/>
      <c r="I255" s="200">
        <v>603.20000000000005</v>
      </c>
      <c r="J255" s="201"/>
      <c r="K255" s="202"/>
      <c r="L255" s="1331" t="s">
        <v>695</v>
      </c>
      <c r="M255" s="1359" t="s">
        <v>3259</v>
      </c>
      <c r="N255" s="201"/>
      <c r="O255" s="1336">
        <f>MIN(9,ROUNDDOWN(W255/0.01,0))</f>
        <v>0</v>
      </c>
      <c r="P255" s="110" t="b">
        <v>1</v>
      </c>
      <c r="Q255" s="110" t="b">
        <v>1</v>
      </c>
      <c r="R255" s="110" t="b">
        <v>0</v>
      </c>
      <c r="S255" s="110" t="b">
        <v>1</v>
      </c>
      <c r="T255" s="110" t="b">
        <v>0</v>
      </c>
      <c r="U255" s="110"/>
      <c r="V255" s="110"/>
      <c r="W255" s="220"/>
      <c r="X255" s="1327"/>
      <c r="Z255"/>
      <c r="AB255"/>
      <c r="AC255" s="170" t="b">
        <f>OR(AD255:AE255)</f>
        <v>0</v>
      </c>
      <c r="AD255" s="170" t="b">
        <v>0</v>
      </c>
      <c r="AE255" s="170" t="b">
        <f>AND(W255&gt;0,LEN(X255)=0)</f>
        <v>0</v>
      </c>
      <c r="AF255"/>
      <c r="AG255"/>
      <c r="AH255"/>
      <c r="AI255"/>
      <c r="AJ255"/>
      <c r="AK255"/>
      <c r="AL255" s="311" t="str">
        <f>SUBSTITUTE(SUBSTITUTE(SUBSTITUTE("dpa"&amp;$B255&amp;$C255&amp;$D255&amp;$E255&amp;$F255,".","_"),"(","_"),")","")</f>
        <v>dpa603_2</v>
      </c>
      <c r="AM255" s="311" t="str">
        <f>M255</f>
        <v>1
9 Max</v>
      </c>
      <c r="AN255" s="311" t="str">
        <f>SUBSTITUTE(SUBSTITUTE(SUBSTITUTE("dpc"&amp;$B255&amp;$C255&amp;$D255&amp;$E255&amp;$F255,".","_"),"(","_"),")","")</f>
        <v>dpc603_2</v>
      </c>
      <c r="AO255" s="311">
        <f>O255</f>
        <v>0</v>
      </c>
      <c r="AP255" s="311" t="str">
        <f t="shared" ref="AP255" si="71">SUBSTITUTE(SUBSTITUTE(SUBSTITUTE("dch"&amp;$B255&amp;$C255&amp;$D255&amp;$E255&amp;$F255,".","_"),"(","_"),")","")</f>
        <v>dch603_2</v>
      </c>
      <c r="AQ255" s="311">
        <f>W255</f>
        <v>0</v>
      </c>
      <c r="AR255" s="1059" t="str">
        <f>SUBSTITUTE(SUBSTITUTE(SUBSTITUTE("dnt"&amp;$B255&amp;$C255&amp;$D255&amp;$E255&amp;$F255,".","_"),"(","_"),")","")</f>
        <v>dnt603_2</v>
      </c>
      <c r="AS255" s="311">
        <f>X255</f>
        <v>0</v>
      </c>
    </row>
    <row r="256" spans="1:51" x14ac:dyDescent="0.3">
      <c r="B256" s="80">
        <v>603.20000000000005</v>
      </c>
      <c r="C256" s="21"/>
      <c r="D256" s="21"/>
      <c r="E256" s="21"/>
      <c r="F256" s="21"/>
      <c r="G256" s="21"/>
      <c r="H256" s="1084"/>
      <c r="I256" s="141"/>
      <c r="J256" s="140"/>
      <c r="K256" s="98"/>
      <c r="L256" s="1313"/>
      <c r="M256" s="1360"/>
      <c r="N256" s="140"/>
      <c r="O256" s="1308"/>
      <c r="P256" s="97"/>
      <c r="Q256" s="97"/>
      <c r="R256" s="97"/>
      <c r="S256" s="97"/>
      <c r="T256" s="97"/>
      <c r="U256" s="97"/>
      <c r="V256" s="97"/>
      <c r="W256" s="97"/>
      <c r="X256" s="1295"/>
      <c r="Z256"/>
      <c r="AB256"/>
      <c r="AC256"/>
      <c r="AD256"/>
      <c r="AE256"/>
      <c r="AF256"/>
      <c r="AG256"/>
      <c r="AH256"/>
      <c r="AI256"/>
      <c r="AJ256"/>
      <c r="AK256"/>
      <c r="AL256"/>
      <c r="AM256"/>
      <c r="AN256"/>
      <c r="AO256"/>
      <c r="AP256"/>
      <c r="AQ256"/>
      <c r="AR256"/>
      <c r="AS256"/>
    </row>
    <row r="257" spans="1:51" x14ac:dyDescent="0.3">
      <c r="B257" s="80">
        <v>603.20000000000005</v>
      </c>
      <c r="C257" s="21"/>
      <c r="D257" s="21"/>
      <c r="E257" s="21"/>
      <c r="F257" s="21"/>
      <c r="G257" s="21"/>
      <c r="H257" s="1084"/>
      <c r="I257" s="141"/>
      <c r="J257" s="140"/>
      <c r="K257" s="98"/>
      <c r="L257" s="1313"/>
      <c r="M257" s="1360"/>
      <c r="N257" s="140"/>
      <c r="O257" s="1308"/>
      <c r="P257" s="97"/>
      <c r="Q257" s="97"/>
      <c r="R257" s="97"/>
      <c r="S257" s="97"/>
      <c r="T257" s="97"/>
      <c r="U257" s="97"/>
      <c r="V257" s="97"/>
      <c r="W257" s="97"/>
      <c r="X257" s="1295"/>
      <c r="Z257"/>
      <c r="AB257"/>
      <c r="AC257"/>
      <c r="AD257"/>
      <c r="AE257"/>
      <c r="AF257"/>
      <c r="AG257"/>
      <c r="AH257"/>
      <c r="AI257"/>
      <c r="AJ257"/>
      <c r="AK257"/>
      <c r="AL257"/>
      <c r="AM257"/>
      <c r="AN257"/>
      <c r="AO257"/>
      <c r="AP257"/>
      <c r="AQ257"/>
      <c r="AR257"/>
      <c r="AS257"/>
    </row>
    <row r="258" spans="1:51" ht="15" customHeight="1" x14ac:dyDescent="0.3">
      <c r="B258" s="80">
        <v>603.20000000000005</v>
      </c>
      <c r="C258" s="21"/>
      <c r="D258" s="21"/>
      <c r="E258" s="21"/>
      <c r="F258" s="21"/>
      <c r="G258" s="21"/>
      <c r="H258" s="1084"/>
      <c r="I258" s="141"/>
      <c r="J258" s="140"/>
      <c r="K258" s="98"/>
      <c r="L258" s="219" t="s">
        <v>3260</v>
      </c>
      <c r="M258" s="1360"/>
      <c r="N258" s="140"/>
      <c r="O258" s="1308"/>
      <c r="P258" s="97"/>
      <c r="Q258" s="97"/>
      <c r="R258" s="97"/>
      <c r="S258" s="97"/>
      <c r="T258" s="97"/>
      <c r="U258" s="97"/>
      <c r="V258" s="97"/>
      <c r="W258" s="97"/>
      <c r="X258" s="1295"/>
      <c r="Z258"/>
      <c r="AB258"/>
      <c r="AC258"/>
      <c r="AD258"/>
      <c r="AE258"/>
      <c r="AF258"/>
      <c r="AG258"/>
      <c r="AH258"/>
      <c r="AI258"/>
      <c r="AJ258"/>
      <c r="AK258"/>
      <c r="AL258"/>
      <c r="AM258"/>
      <c r="AN258"/>
      <c r="AO258"/>
      <c r="AP258"/>
      <c r="AQ258"/>
      <c r="AR258"/>
      <c r="AS258"/>
      <c r="AX258" s="170"/>
      <c r="AY258" s="170"/>
    </row>
    <row r="259" spans="1:51" s="170" customFormat="1" x14ac:dyDescent="0.3">
      <c r="A259" s="18"/>
      <c r="B259" s="80">
        <v>603.20000000000005</v>
      </c>
      <c r="C259" s="21"/>
      <c r="D259" s="21"/>
      <c r="E259" s="21"/>
      <c r="F259" s="21"/>
      <c r="G259" s="21"/>
      <c r="H259" s="1084"/>
      <c r="I259" s="141"/>
      <c r="J259" s="140"/>
      <c r="K259" s="98"/>
      <c r="L259" s="1357" t="s">
        <v>3258</v>
      </c>
      <c r="M259" s="1360"/>
      <c r="N259" s="140"/>
      <c r="O259" s="1308"/>
      <c r="P259" s="97"/>
      <c r="Q259" s="97"/>
      <c r="R259" s="97"/>
      <c r="S259" s="97"/>
      <c r="T259" s="97"/>
      <c r="U259" s="97"/>
      <c r="V259" s="97"/>
      <c r="W259" s="97"/>
      <c r="X259" s="1295"/>
      <c r="Y259" s="1107"/>
      <c r="AA259" s="1110"/>
    </row>
    <row r="260" spans="1:51" s="170" customFormat="1" x14ac:dyDescent="0.3">
      <c r="A260" s="18"/>
      <c r="B260" s="80">
        <v>603.20000000000005</v>
      </c>
      <c r="C260" s="21"/>
      <c r="D260" s="21"/>
      <c r="E260" s="21"/>
      <c r="F260" s="21"/>
      <c r="G260" s="21"/>
      <c r="H260" s="1084"/>
      <c r="I260" s="141"/>
      <c r="J260" s="140"/>
      <c r="K260" s="98"/>
      <c r="L260" s="1358"/>
      <c r="M260" s="1360"/>
      <c r="N260" s="140"/>
      <c r="O260" s="1308"/>
      <c r="P260" s="97"/>
      <c r="Q260" s="97"/>
      <c r="R260" s="97"/>
      <c r="S260" s="97"/>
      <c r="T260" s="97"/>
      <c r="U260" s="97"/>
      <c r="V260" s="97"/>
      <c r="W260" s="97"/>
      <c r="X260" s="1295"/>
      <c r="Y260" s="1107"/>
      <c r="AA260" s="1110"/>
      <c r="AX260" s="65"/>
      <c r="AY260" s="65"/>
    </row>
    <row r="261" spans="1:51" ht="15" thickBot="1" x14ac:dyDescent="0.35">
      <c r="B261" s="80">
        <v>603.20000000000005</v>
      </c>
      <c r="C261" s="21"/>
      <c r="D261" s="21"/>
      <c r="E261" s="21"/>
      <c r="F261" s="21"/>
      <c r="G261" s="21"/>
      <c r="H261" s="1084"/>
      <c r="I261" s="141"/>
      <c r="J261" s="140"/>
      <c r="K261" s="98"/>
      <c r="L261" s="1358"/>
      <c r="M261" s="1360"/>
      <c r="N261" s="140"/>
      <c r="O261" s="1308"/>
      <c r="P261" s="97"/>
      <c r="Q261" s="97"/>
      <c r="R261" s="97"/>
      <c r="S261" s="97"/>
      <c r="T261" s="97"/>
      <c r="U261" s="97"/>
      <c r="V261" s="97"/>
      <c r="W261" s="117"/>
      <c r="X261" s="1337"/>
      <c r="Z261"/>
      <c r="AB261"/>
      <c r="AC261"/>
      <c r="AD261"/>
      <c r="AE261"/>
      <c r="AF261"/>
      <c r="AG261"/>
      <c r="AH261"/>
      <c r="AI261"/>
      <c r="AJ261"/>
      <c r="AK261"/>
      <c r="AL261"/>
      <c r="AM261"/>
      <c r="AN261"/>
      <c r="AO261"/>
      <c r="AP261"/>
      <c r="AQ261"/>
      <c r="AR261"/>
      <c r="AS261"/>
    </row>
    <row r="262" spans="1:51" ht="15" customHeight="1" thickTop="1" x14ac:dyDescent="0.3">
      <c r="B262" s="80">
        <v>603.29999999999995</v>
      </c>
      <c r="C262" s="21"/>
      <c r="D262" s="21"/>
      <c r="E262" s="21"/>
      <c r="F262" s="21"/>
      <c r="G262" s="21"/>
      <c r="H262" s="1084"/>
      <c r="I262" s="200">
        <v>603.29999999999995</v>
      </c>
      <c r="J262" s="201"/>
      <c r="K262" s="202"/>
      <c r="L262" s="1331" t="s">
        <v>696</v>
      </c>
      <c r="M262" s="1343">
        <v>4</v>
      </c>
      <c r="N262" s="201"/>
      <c r="O262" s="1336">
        <f>M262*S262*W262</f>
        <v>0</v>
      </c>
      <c r="P262" s="110" t="b">
        <v>1</v>
      </c>
      <c r="Q262" s="110" t="b">
        <v>1</v>
      </c>
      <c r="R262" s="110" t="b">
        <v>0</v>
      </c>
      <c r="S262" s="110" t="b">
        <v>1</v>
      </c>
      <c r="T262" s="110" t="b">
        <v>0</v>
      </c>
      <c r="U262" s="110"/>
      <c r="V262" s="110"/>
      <c r="W262" s="127"/>
      <c r="X262" s="1327"/>
      <c r="Z262"/>
      <c r="AB262"/>
      <c r="AC262" s="170" t="b">
        <f>OR(AD262:AE262)</f>
        <v>0</v>
      </c>
      <c r="AD262" s="170" t="b">
        <v>0</v>
      </c>
      <c r="AE262" s="170" t="b">
        <f>AND(W262=TRUE,LEN(X262)=0)</f>
        <v>0</v>
      </c>
      <c r="AF262"/>
      <c r="AG262"/>
      <c r="AH262"/>
      <c r="AI262"/>
      <c r="AJ262"/>
      <c r="AK262"/>
      <c r="AL262" s="311" t="str">
        <f>SUBSTITUTE(SUBSTITUTE(SUBSTITUTE("dpa"&amp;$B262&amp;$C262&amp;$D262&amp;$E262&amp;$F262,".","_"),"(","_"),")","")</f>
        <v>dpa603_3</v>
      </c>
      <c r="AM262" s="311">
        <f>M262</f>
        <v>4</v>
      </c>
      <c r="AN262" s="311" t="str">
        <f>SUBSTITUTE(SUBSTITUTE(SUBSTITUTE("dpc"&amp;$B262&amp;$C262&amp;$D262&amp;$E262&amp;$F262,".","_"),"(","_"),")","")</f>
        <v>dpc603_3</v>
      </c>
      <c r="AO262" s="311">
        <f>O262</f>
        <v>0</v>
      </c>
      <c r="AP262" s="311" t="str">
        <f t="shared" ref="AP262" si="72">SUBSTITUTE(SUBSTITUTE(SUBSTITUTE("dch"&amp;$B262&amp;$C262&amp;$D262&amp;$E262&amp;$F262,".","_"),"(","_"),")","")</f>
        <v>dch603_3</v>
      </c>
      <c r="AQ262" s="311">
        <f>W262</f>
        <v>0</v>
      </c>
      <c r="AR262" s="1059" t="str">
        <f>SUBSTITUTE(SUBSTITUTE(SUBSTITUTE("dnt"&amp;$B262&amp;$C262&amp;$D262&amp;$E262&amp;$F262,".","_"),"(","_"),")","")</f>
        <v>dnt603_3</v>
      </c>
      <c r="AS262" s="311">
        <f>X262</f>
        <v>0</v>
      </c>
      <c r="AX262" s="170"/>
      <c r="AY262" s="170"/>
    </row>
    <row r="263" spans="1:51" s="170" customFormat="1" x14ac:dyDescent="0.3">
      <c r="A263" s="18"/>
      <c r="B263" s="80">
        <v>603.29999999999995</v>
      </c>
      <c r="C263" s="21"/>
      <c r="D263" s="21"/>
      <c r="E263" s="21"/>
      <c r="F263" s="21"/>
      <c r="G263" s="21"/>
      <c r="H263" s="1084"/>
      <c r="I263" s="141"/>
      <c r="J263" s="140"/>
      <c r="K263" s="98"/>
      <c r="L263" s="1313"/>
      <c r="M263" s="1318"/>
      <c r="N263" s="140"/>
      <c r="O263" s="1308"/>
      <c r="P263" s="97"/>
      <c r="Q263" s="97"/>
      <c r="R263" s="97"/>
      <c r="S263" s="97"/>
      <c r="T263" s="97"/>
      <c r="U263" s="97"/>
      <c r="V263" s="97"/>
      <c r="W263" s="97"/>
      <c r="X263" s="1295"/>
      <c r="Y263" s="1107"/>
      <c r="AA263" s="1110"/>
    </row>
    <row r="264" spans="1:51" s="170" customFormat="1" ht="15" customHeight="1" x14ac:dyDescent="0.3">
      <c r="A264" s="18"/>
      <c r="B264" s="80">
        <v>603.29999999999995</v>
      </c>
      <c r="C264" s="21"/>
      <c r="D264" s="21"/>
      <c r="E264" s="21"/>
      <c r="F264" s="21"/>
      <c r="G264" s="21"/>
      <c r="H264" s="1084"/>
      <c r="I264" s="141"/>
      <c r="J264" s="140"/>
      <c r="K264" s="98"/>
      <c r="L264" s="351" t="s">
        <v>3256</v>
      </c>
      <c r="M264" s="1318"/>
      <c r="N264" s="140"/>
      <c r="O264" s="1308"/>
      <c r="P264" s="97"/>
      <c r="Q264" s="97"/>
      <c r="R264" s="97"/>
      <c r="S264" s="97"/>
      <c r="T264" s="97"/>
      <c r="U264" s="97"/>
      <c r="V264" s="97"/>
      <c r="W264" s="97"/>
      <c r="X264" s="1295"/>
      <c r="Y264" s="1107"/>
      <c r="AA264" s="1110"/>
      <c r="AX264" s="65"/>
      <c r="AY264" s="65"/>
    </row>
    <row r="265" spans="1:51" ht="18" x14ac:dyDescent="0.35">
      <c r="B265" s="80">
        <v>604</v>
      </c>
      <c r="C265" s="21"/>
      <c r="D265" s="21"/>
      <c r="E265" s="21"/>
      <c r="F265" s="21"/>
      <c r="G265" s="21"/>
      <c r="H265" s="1084"/>
      <c r="I265" s="14" t="s">
        <v>697</v>
      </c>
      <c r="J265" s="23"/>
      <c r="K265" s="85"/>
      <c r="L265" s="259"/>
      <c r="M265" s="484"/>
      <c r="N265" s="604"/>
      <c r="O265" s="594"/>
      <c r="P265" s="23"/>
      <c r="Q265" s="23"/>
      <c r="R265" s="23"/>
      <c r="S265" s="23"/>
      <c r="T265" s="23"/>
      <c r="U265" s="23"/>
      <c r="V265" s="23"/>
      <c r="W265" s="23"/>
      <c r="X265" s="23"/>
      <c r="Z265"/>
      <c r="AB265"/>
      <c r="AC265"/>
      <c r="AD265"/>
      <c r="AE265"/>
      <c r="AF265"/>
      <c r="AG265"/>
      <c r="AH265"/>
      <c r="AI265"/>
      <c r="AJ265"/>
      <c r="AK265"/>
      <c r="AL265"/>
      <c r="AM265"/>
      <c r="AN265"/>
      <c r="AO265"/>
      <c r="AP265"/>
      <c r="AQ265"/>
      <c r="AR265"/>
      <c r="AS265"/>
    </row>
    <row r="266" spans="1:51" ht="15" customHeight="1" x14ac:dyDescent="0.3">
      <c r="B266" s="80">
        <v>604.1</v>
      </c>
      <c r="C266" s="21" t="s">
        <v>3173</v>
      </c>
      <c r="D266" s="21"/>
      <c r="E266" s="21"/>
      <c r="F266" s="21"/>
      <c r="G266" s="21"/>
      <c r="H266" s="1084"/>
      <c r="I266" s="66">
        <v>604.1</v>
      </c>
      <c r="J266" s="4"/>
      <c r="K266" s="86"/>
      <c r="L266" s="1292" t="s">
        <v>698</v>
      </c>
      <c r="M266" s="1375" t="s">
        <v>3262</v>
      </c>
      <c r="N266" s="4"/>
      <c r="O266" s="1310">
        <f>IFERROR(INDEX({0,1,2,3},MATCH(MIN(W269+0,W267+0),{0,0.25,0.5,0.75},1)),0)+IFERROR(INDEX({0,2,4,6},MATCH(MIN(W271+0,W273+0),{0,0.25,0.5,0.75},1)),0)</f>
        <v>0</v>
      </c>
      <c r="P266" s="440"/>
      <c r="Q266" s="440"/>
      <c r="U266"/>
      <c r="V266"/>
      <c r="W266" t="s">
        <v>3263</v>
      </c>
      <c r="X266" s="1337"/>
      <c r="Z266"/>
      <c r="AB266"/>
      <c r="AC266"/>
      <c r="AD266"/>
      <c r="AE266"/>
      <c r="AF266"/>
      <c r="AG266"/>
      <c r="AH266"/>
      <c r="AI266"/>
      <c r="AJ266"/>
      <c r="AK266"/>
      <c r="AL266" s="311" t="str">
        <f>SUBSTITUTE(SUBSTITUTE(SUBSTITUTE("dpa"&amp;$B266&amp;$C266&amp;$D266&amp;$E266&amp;$F266,".","_"),"(","_"),")","")</f>
        <v>dpa604_1a</v>
      </c>
      <c r="AM266" s="311" t="str">
        <f>M266</f>
        <v>per Table
604.1</v>
      </c>
      <c r="AN266" s="311" t="str">
        <f>SUBSTITUTE(SUBSTITUTE(SUBSTITUTE("dpc"&amp;$B266&amp;$C266&amp;$D266&amp;$E266&amp;$F266,".","_"),"(","_"),")","")</f>
        <v>dpc604_1a</v>
      </c>
      <c r="AO266" s="311">
        <f>O266</f>
        <v>0</v>
      </c>
      <c r="AP266"/>
      <c r="AQ266"/>
      <c r="AR266" s="1059" t="str">
        <f>SUBSTITUTE(SUBSTITUTE(SUBSTITUTE("dnt"&amp;$B266&amp;$C266&amp;$D266&amp;$E266&amp;$F266,".","_"),"(","_"),")","")</f>
        <v>dnt604_1a</v>
      </c>
      <c r="AS266" s="311">
        <f>X266</f>
        <v>0</v>
      </c>
      <c r="AX266" s="170"/>
      <c r="AY266" s="170"/>
    </row>
    <row r="267" spans="1:51" s="170" customFormat="1" x14ac:dyDescent="0.3">
      <c r="A267" s="18"/>
      <c r="B267" s="80">
        <v>604.1</v>
      </c>
      <c r="C267" s="21" t="s">
        <v>3173</v>
      </c>
      <c r="D267" s="21"/>
      <c r="E267" s="21"/>
      <c r="F267" s="21"/>
      <c r="G267" s="21"/>
      <c r="H267" s="1084"/>
      <c r="I267" s="66"/>
      <c r="J267" s="4"/>
      <c r="K267" s="86"/>
      <c r="L267" s="1292"/>
      <c r="M267" s="1375"/>
      <c r="N267" s="4"/>
      <c r="O267" s="1310"/>
      <c r="P267" s="440" t="b">
        <v>1</v>
      </c>
      <c r="Q267" s="440" t="b">
        <v>1</v>
      </c>
      <c r="R267" s="137" t="b">
        <v>0</v>
      </c>
      <c r="S267" s="137" t="b">
        <v>1</v>
      </c>
      <c r="T267" s="137" t="b">
        <v>0</v>
      </c>
      <c r="U267" s="97"/>
      <c r="W267" s="186"/>
      <c r="X267" s="1304"/>
      <c r="Y267" s="1107"/>
      <c r="AA267" s="1110"/>
      <c r="AC267" s="170" t="b">
        <f>OR(AD267:AE267)</f>
        <v>0</v>
      </c>
      <c r="AD267" s="170" t="b">
        <v>0</v>
      </c>
      <c r="AE267" s="170" t="b">
        <f>AND(W267&gt;0,LEN(X266)=0)</f>
        <v>0</v>
      </c>
      <c r="AP267" s="311" t="str">
        <f t="shared" ref="AP267" si="73">SUBSTITUTE(SUBSTITUTE(SUBSTITUTE("dch"&amp;$B267&amp;$C267&amp;$D267&amp;$E267&amp;$F267,".","_"),"(","_"),")","")</f>
        <v>dch604_1a</v>
      </c>
      <c r="AQ267" s="311">
        <f>W267</f>
        <v>0</v>
      </c>
    </row>
    <row r="268" spans="1:51" s="170" customFormat="1" x14ac:dyDescent="0.3">
      <c r="A268" s="18"/>
      <c r="B268" s="80">
        <v>604.1</v>
      </c>
      <c r="C268" s="21" t="s">
        <v>3174</v>
      </c>
      <c r="D268" s="21"/>
      <c r="E268" s="21"/>
      <c r="F268" s="21"/>
      <c r="G268" s="21"/>
      <c r="H268" s="1084"/>
      <c r="I268" s="66"/>
      <c r="J268" s="4"/>
      <c r="K268" s="86"/>
      <c r="L268" s="353" t="s">
        <v>3270</v>
      </c>
      <c r="M268" s="1375"/>
      <c r="N268" s="4"/>
      <c r="O268" s="1310"/>
      <c r="P268" s="440"/>
      <c r="Q268" s="440"/>
      <c r="W268" s="170" t="s">
        <v>3264</v>
      </c>
      <c r="X268" s="1303"/>
      <c r="Y268" s="1107"/>
      <c r="AA268" s="1110"/>
      <c r="AR268" s="1059" t="str">
        <f>SUBSTITUTE(SUBSTITUTE(SUBSTITUTE("dnt"&amp;$B268&amp;$C268&amp;$D268&amp;$E268&amp;$F268,".","_"),"(","_"),")","")</f>
        <v>dnt604_1b</v>
      </c>
      <c r="AS268" s="311">
        <f>X268</f>
        <v>0</v>
      </c>
    </row>
    <row r="269" spans="1:51" s="170" customFormat="1" x14ac:dyDescent="0.3">
      <c r="A269" s="18"/>
      <c r="B269" s="80">
        <v>604.1</v>
      </c>
      <c r="C269" s="21" t="s">
        <v>3174</v>
      </c>
      <c r="D269" s="21"/>
      <c r="E269" s="21"/>
      <c r="F269" s="21"/>
      <c r="G269" s="21"/>
      <c r="H269" s="1084"/>
      <c r="I269" s="66"/>
      <c r="J269" s="4"/>
      <c r="K269" s="86"/>
      <c r="L269" s="329" t="s">
        <v>3267</v>
      </c>
      <c r="M269" s="1375"/>
      <c r="N269" s="4"/>
      <c r="O269" s="1310"/>
      <c r="P269" s="440" t="b">
        <v>1</v>
      </c>
      <c r="Q269" s="440" t="b">
        <v>1</v>
      </c>
      <c r="R269" s="170" t="b">
        <v>0</v>
      </c>
      <c r="S269" s="170" t="b">
        <v>1</v>
      </c>
      <c r="T269" s="170" t="b">
        <v>0</v>
      </c>
      <c r="U269" s="97"/>
      <c r="W269" s="186"/>
      <c r="X269" s="1303"/>
      <c r="Y269" s="1107"/>
      <c r="AA269" s="1110"/>
      <c r="AC269" s="170" t="b">
        <f>OR(AD269:AE269)</f>
        <v>0</v>
      </c>
      <c r="AD269" s="170" t="b">
        <v>0</v>
      </c>
      <c r="AE269" s="170" t="b">
        <f>AND(W269&gt;0,LEN(X268)=0)</f>
        <v>0</v>
      </c>
      <c r="AP269" s="311" t="str">
        <f t="shared" ref="AP269" si="74">SUBSTITUTE(SUBSTITUTE(SUBSTITUTE("dch"&amp;$B269&amp;$C269&amp;$D269&amp;$E269&amp;$F269,".","_"),"(","_"),")","")</f>
        <v>dch604_1b</v>
      </c>
      <c r="AQ269" s="311">
        <f>W269</f>
        <v>0</v>
      </c>
    </row>
    <row r="270" spans="1:51" s="170" customFormat="1" x14ac:dyDescent="0.3">
      <c r="A270" s="18"/>
      <c r="B270" s="80">
        <v>604.1</v>
      </c>
      <c r="C270" s="21" t="s">
        <v>3175</v>
      </c>
      <c r="D270" s="21"/>
      <c r="E270" s="21"/>
      <c r="F270" s="21"/>
      <c r="G270" s="21"/>
      <c r="H270" s="1084"/>
      <c r="I270" s="66"/>
      <c r="J270" s="4"/>
      <c r="K270" s="86"/>
      <c r="L270" s="1349" t="s">
        <v>3269</v>
      </c>
      <c r="M270" s="1375"/>
      <c r="N270" s="4"/>
      <c r="O270" s="1310"/>
      <c r="P270" s="440"/>
      <c r="Q270" s="440"/>
      <c r="W270" s="170" t="s">
        <v>3266</v>
      </c>
      <c r="X270" s="1303"/>
      <c r="Y270" s="1107"/>
      <c r="AA270" s="1110"/>
      <c r="AR270" s="1059" t="str">
        <f>SUBSTITUTE(SUBSTITUTE(SUBSTITUTE("dnt"&amp;$B270&amp;$C270&amp;$D270&amp;$E270&amp;$F270,".","_"),"(","_"),")","")</f>
        <v>dnt604_1c</v>
      </c>
      <c r="AS270" s="311">
        <f>X270</f>
        <v>0</v>
      </c>
    </row>
    <row r="271" spans="1:51" s="170" customFormat="1" x14ac:dyDescent="0.3">
      <c r="A271" s="18"/>
      <c r="B271" s="80">
        <v>604.1</v>
      </c>
      <c r="C271" s="21" t="s">
        <v>3175</v>
      </c>
      <c r="D271" s="21"/>
      <c r="E271" s="21"/>
      <c r="F271" s="21"/>
      <c r="G271" s="21"/>
      <c r="H271" s="1084"/>
      <c r="I271" s="66"/>
      <c r="J271" s="4"/>
      <c r="K271" s="86"/>
      <c r="L271" s="1349"/>
      <c r="M271" s="1375"/>
      <c r="N271" s="4"/>
      <c r="O271" s="1310"/>
      <c r="P271" s="440" t="b">
        <v>1</v>
      </c>
      <c r="Q271" s="440" t="b">
        <v>1</v>
      </c>
      <c r="R271" s="170" t="b">
        <v>0</v>
      </c>
      <c r="S271" s="170" t="b">
        <v>1</v>
      </c>
      <c r="T271" s="170" t="b">
        <v>0</v>
      </c>
      <c r="U271" s="97"/>
      <c r="W271" s="186"/>
      <c r="X271" s="1303"/>
      <c r="Y271" s="1107"/>
      <c r="AA271" s="1110"/>
      <c r="AC271" s="170" t="b">
        <f>OR(AD271:AE271)</f>
        <v>0</v>
      </c>
      <c r="AD271" s="170" t="b">
        <v>0</v>
      </c>
      <c r="AE271" s="170" t="b">
        <f>AND(W271&gt;0,LEN(X270)=0)</f>
        <v>0</v>
      </c>
      <c r="AP271" s="311" t="str">
        <f t="shared" ref="AP271" si="75">SUBSTITUTE(SUBSTITUTE(SUBSTITUTE("dch"&amp;$B271&amp;$C271&amp;$D271&amp;$E271&amp;$F271,".","_"),"(","_"),")","")</f>
        <v>dch604_1c</v>
      </c>
      <c r="AQ271" s="311">
        <f>W271</f>
        <v>0</v>
      </c>
    </row>
    <row r="272" spans="1:51" s="170" customFormat="1" x14ac:dyDescent="0.3">
      <c r="A272" s="18"/>
      <c r="B272" s="80">
        <v>604.1</v>
      </c>
      <c r="C272" s="21" t="s">
        <v>3176</v>
      </c>
      <c r="D272" s="21"/>
      <c r="E272" s="21"/>
      <c r="F272" s="21"/>
      <c r="G272" s="21"/>
      <c r="H272" s="1084"/>
      <c r="I272" s="66"/>
      <c r="J272" s="4"/>
      <c r="K272" s="86"/>
      <c r="L272" s="348"/>
      <c r="M272" s="1375"/>
      <c r="N272" s="4"/>
      <c r="O272" s="1310"/>
      <c r="P272" s="440"/>
      <c r="Q272" s="440"/>
      <c r="W272" s="170" t="s">
        <v>3265</v>
      </c>
      <c r="X272" s="1303"/>
      <c r="Y272" s="1107"/>
      <c r="AA272" s="1110"/>
      <c r="AR272" s="1059" t="str">
        <f>SUBSTITUTE(SUBSTITUTE(SUBSTITUTE("dnt"&amp;$B272&amp;$C272&amp;$D272&amp;$E272&amp;$F272,".","_"),"(","_"),")","")</f>
        <v>dnt604_1d</v>
      </c>
      <c r="AS272" s="311">
        <f>X272</f>
        <v>0</v>
      </c>
    </row>
    <row r="273" spans="1:51" s="170" customFormat="1" x14ac:dyDescent="0.3">
      <c r="A273" s="18"/>
      <c r="B273" s="80">
        <v>604.1</v>
      </c>
      <c r="C273" s="21" t="s">
        <v>3176</v>
      </c>
      <c r="D273" s="21"/>
      <c r="E273" s="21"/>
      <c r="F273" s="21"/>
      <c r="G273" s="21"/>
      <c r="H273" s="1084"/>
      <c r="I273" s="66"/>
      <c r="J273" s="4"/>
      <c r="K273" s="86"/>
      <c r="L273" s="348"/>
      <c r="M273" s="1375"/>
      <c r="N273" s="4"/>
      <c r="O273" s="1310"/>
      <c r="P273" s="440" t="b">
        <v>1</v>
      </c>
      <c r="Q273" s="440" t="b">
        <v>1</v>
      </c>
      <c r="R273" s="170" t="b">
        <v>0</v>
      </c>
      <c r="S273" s="170" t="b">
        <v>1</v>
      </c>
      <c r="T273" s="170" t="b">
        <v>0</v>
      </c>
      <c r="U273" s="97"/>
      <c r="W273" s="186"/>
      <c r="X273" s="1303"/>
      <c r="Y273" s="1107"/>
      <c r="AA273" s="1110"/>
      <c r="AC273" s="170" t="b">
        <f>OR(AD273:AE273)</f>
        <v>0</v>
      </c>
      <c r="AD273" s="170" t="b">
        <v>0</v>
      </c>
      <c r="AE273" s="170" t="b">
        <f>AND(W273&gt;0,LEN(X272)=0)</f>
        <v>0</v>
      </c>
      <c r="AP273" s="311" t="str">
        <f t="shared" ref="AP273" si="76">SUBSTITUTE(SUBSTITUTE(SUBSTITUTE("dch"&amp;$B273&amp;$C273&amp;$D273&amp;$E273&amp;$F273,".","_"),"(","_"),")","")</f>
        <v>dch604_1d</v>
      </c>
      <c r="AQ273" s="311">
        <f>W273</f>
        <v>0</v>
      </c>
      <c r="AX273" s="65"/>
      <c r="AY273" s="65"/>
    </row>
    <row r="274" spans="1:51" ht="18" x14ac:dyDescent="0.35">
      <c r="B274" s="80">
        <v>605</v>
      </c>
      <c r="C274" s="21"/>
      <c r="D274" s="21"/>
      <c r="E274" s="21"/>
      <c r="F274" s="21"/>
      <c r="G274" s="21"/>
      <c r="H274" s="1084"/>
      <c r="I274" s="14" t="s">
        <v>699</v>
      </c>
      <c r="J274" s="23"/>
      <c r="K274" s="85"/>
      <c r="L274" s="258"/>
      <c r="M274" s="484"/>
      <c r="N274" s="604"/>
      <c r="O274" s="594"/>
      <c r="P274" s="23"/>
      <c r="Q274" s="23"/>
      <c r="R274" s="23"/>
      <c r="S274" s="23"/>
      <c r="T274" s="23"/>
      <c r="U274" s="23"/>
      <c r="V274" s="23"/>
      <c r="W274" s="23"/>
      <c r="X274" s="23"/>
      <c r="Z274"/>
      <c r="AB274"/>
      <c r="AC274"/>
      <c r="AD274"/>
      <c r="AE274"/>
      <c r="AF274"/>
      <c r="AG274"/>
      <c r="AH274"/>
      <c r="AI274"/>
      <c r="AJ274"/>
      <c r="AK274"/>
      <c r="AL274"/>
      <c r="AM274"/>
      <c r="AN274"/>
      <c r="AO274"/>
      <c r="AP274"/>
      <c r="AQ274"/>
      <c r="AR274"/>
      <c r="AS274"/>
    </row>
    <row r="275" spans="1:51" x14ac:dyDescent="0.3">
      <c r="B275" s="80" t="s">
        <v>4435</v>
      </c>
      <c r="C275" s="21"/>
      <c r="D275" s="21"/>
      <c r="E275" s="21"/>
      <c r="F275" s="21"/>
      <c r="G275" s="21"/>
      <c r="H275" s="1084"/>
      <c r="I275" s="81" t="s">
        <v>4435</v>
      </c>
      <c r="J275" s="4"/>
      <c r="K275" s="86"/>
      <c r="L275" s="1292" t="s">
        <v>700</v>
      </c>
      <c r="M275" s="522"/>
      <c r="N275" s="4"/>
      <c r="O275" s="154"/>
      <c r="P275" s="440"/>
      <c r="Q275" s="440"/>
      <c r="R275"/>
      <c r="S275"/>
      <c r="T275"/>
      <c r="U275"/>
      <c r="V275"/>
      <c r="W275"/>
      <c r="X275"/>
      <c r="Z275"/>
      <c r="AB275"/>
      <c r="AC275"/>
      <c r="AD275"/>
      <c r="AE275"/>
      <c r="AF275"/>
      <c r="AG275"/>
      <c r="AH275"/>
      <c r="AI275"/>
      <c r="AJ275"/>
      <c r="AK275"/>
      <c r="AL275"/>
      <c r="AM275"/>
      <c r="AN275"/>
      <c r="AO275"/>
      <c r="AP275"/>
      <c r="AQ275"/>
      <c r="AR275"/>
      <c r="AS275"/>
    </row>
    <row r="276" spans="1:51" x14ac:dyDescent="0.3">
      <c r="B276" s="80" t="s">
        <v>4435</v>
      </c>
      <c r="C276" s="21"/>
      <c r="D276" s="21"/>
      <c r="E276" s="21"/>
      <c r="F276" s="21"/>
      <c r="G276" s="21"/>
      <c r="H276" s="1084"/>
      <c r="I276" s="66"/>
      <c r="J276" s="4"/>
      <c r="K276" s="86"/>
      <c r="L276" s="1292"/>
      <c r="M276" s="522"/>
      <c r="N276" s="4"/>
      <c r="O276" s="154"/>
      <c r="P276" s="440"/>
      <c r="Q276" s="440"/>
      <c r="R276"/>
      <c r="S276"/>
      <c r="T276"/>
      <c r="U276"/>
      <c r="V276"/>
      <c r="W276"/>
      <c r="X276"/>
      <c r="Z276"/>
      <c r="AB276"/>
      <c r="AC276"/>
      <c r="AD276"/>
      <c r="AE276"/>
      <c r="AF276"/>
      <c r="AG276"/>
      <c r="AH276"/>
      <c r="AI276"/>
      <c r="AJ276"/>
      <c r="AK276"/>
      <c r="AL276"/>
      <c r="AM276"/>
      <c r="AN276"/>
      <c r="AO276"/>
      <c r="AP276"/>
      <c r="AQ276"/>
      <c r="AR276"/>
      <c r="AS276"/>
    </row>
    <row r="277" spans="1:51" ht="15" thickBot="1" x14ac:dyDescent="0.35">
      <c r="B277" s="80" t="s">
        <v>4435</v>
      </c>
      <c r="C277" s="21"/>
      <c r="D277" s="21"/>
      <c r="E277" s="21"/>
      <c r="F277" s="21"/>
      <c r="G277" s="21"/>
      <c r="H277" s="1084"/>
      <c r="I277" s="66"/>
      <c r="J277" s="4"/>
      <c r="K277" s="86"/>
      <c r="L277" s="349" t="s">
        <v>701</v>
      </c>
      <c r="M277" s="522"/>
      <c r="N277" s="4"/>
      <c r="O277" s="154"/>
      <c r="P277" s="440"/>
      <c r="Q277" s="440"/>
      <c r="R277"/>
      <c r="S277"/>
      <c r="T277"/>
      <c r="U277"/>
      <c r="V277"/>
      <c r="W277" s="104"/>
      <c r="X277"/>
      <c r="Z277"/>
      <c r="AB277"/>
      <c r="AC277"/>
      <c r="AD277"/>
      <c r="AE277"/>
      <c r="AF277"/>
      <c r="AG277"/>
      <c r="AH277"/>
      <c r="AI277"/>
      <c r="AJ277"/>
      <c r="AK277"/>
      <c r="AL277"/>
      <c r="AM277"/>
      <c r="AN277"/>
      <c r="AO277"/>
      <c r="AP277"/>
      <c r="AQ277"/>
      <c r="AR277"/>
      <c r="AS277"/>
    </row>
    <row r="278" spans="1:51" ht="15" thickTop="1" x14ac:dyDescent="0.3">
      <c r="B278" s="80">
        <v>605.1</v>
      </c>
      <c r="C278" s="21"/>
      <c r="D278" s="21"/>
      <c r="E278" s="21"/>
      <c r="F278" s="21"/>
      <c r="G278" s="21"/>
      <c r="H278" s="1084"/>
      <c r="I278" s="200">
        <v>605.1</v>
      </c>
      <c r="J278" s="201"/>
      <c r="K278" s="202"/>
      <c r="L278" s="1331" t="s">
        <v>702</v>
      </c>
      <c r="M278" s="1343">
        <v>6</v>
      </c>
      <c r="N278" s="201"/>
      <c r="O278" s="1336">
        <f>M278*S278*IFERROR(OR(W278,W291),0)</f>
        <v>0</v>
      </c>
      <c r="P278" s="97" t="b">
        <v>1</v>
      </c>
      <c r="Q278" s="97" t="b">
        <v>1</v>
      </c>
      <c r="R278" s="110" t="b">
        <v>0</v>
      </c>
      <c r="S278" s="110" t="b">
        <v>1</v>
      </c>
      <c r="T278" s="110" t="b">
        <v>0</v>
      </c>
      <c r="U278" s="110"/>
      <c r="V278" s="110"/>
      <c r="W278" s="127"/>
      <c r="X278" s="1327"/>
      <c r="Z278"/>
      <c r="AB278"/>
      <c r="AC278"/>
      <c r="AD278"/>
      <c r="AE278"/>
      <c r="AF278"/>
      <c r="AG278"/>
      <c r="AH278"/>
      <c r="AI278"/>
      <c r="AJ278"/>
      <c r="AK278"/>
      <c r="AL278" s="311" t="str">
        <f>SUBSTITUTE(SUBSTITUTE(SUBSTITUTE("dpa"&amp;$B278&amp;$C278&amp;$D278&amp;$E278&amp;$F278,".","_"),"(","_"),")","")</f>
        <v>dpa605_1</v>
      </c>
      <c r="AM278" s="311">
        <f>M278</f>
        <v>6</v>
      </c>
      <c r="AN278" s="311" t="str">
        <f>SUBSTITUTE(SUBSTITUTE(SUBSTITUTE("dpc"&amp;$B278&amp;$C278&amp;$D278&amp;$E278&amp;$F278,".","_"),"(","_"),")","")</f>
        <v>dpc605_1</v>
      </c>
      <c r="AO278" s="311">
        <f>O278</f>
        <v>0</v>
      </c>
      <c r="AP278" s="311" t="str">
        <f t="shared" ref="AP278" si="77">SUBSTITUTE(SUBSTITUTE(SUBSTITUTE("dch"&amp;$B278&amp;$C278&amp;$D278&amp;$E278&amp;$F278,".","_"),"(","_"),")","")</f>
        <v>dch605_1</v>
      </c>
      <c r="AQ278" s="311">
        <f>W278</f>
        <v>0</v>
      </c>
      <c r="AR278" s="1059" t="str">
        <f>SUBSTITUTE(SUBSTITUTE(SUBSTITUTE("dnt"&amp;$B278&amp;$C278&amp;$D278&amp;$E278&amp;$F278,".","_"),"(","_"),")","")</f>
        <v>dnt605_1</v>
      </c>
      <c r="AS278" s="311">
        <f>X278</f>
        <v>0</v>
      </c>
    </row>
    <row r="279" spans="1:51" x14ac:dyDescent="0.3">
      <c r="B279" s="80">
        <v>605.1</v>
      </c>
      <c r="C279" s="21"/>
      <c r="D279" s="21"/>
      <c r="E279" s="21"/>
      <c r="F279" s="21"/>
      <c r="G279" s="21"/>
      <c r="H279" s="1084"/>
      <c r="I279" s="141"/>
      <c r="J279" s="140"/>
      <c r="K279" s="98"/>
      <c r="L279" s="1313"/>
      <c r="M279" s="1318"/>
      <c r="N279" s="140"/>
      <c r="O279" s="1308"/>
      <c r="P279" s="97"/>
      <c r="Q279" s="97"/>
      <c r="R279" s="97"/>
      <c r="S279" s="97"/>
      <c r="T279" s="97"/>
      <c r="U279" s="97"/>
      <c r="V279" s="97"/>
      <c r="W279" s="97"/>
      <c r="X279" s="1295"/>
      <c r="Z279"/>
      <c r="AB279"/>
      <c r="AC279"/>
      <c r="AD279"/>
      <c r="AE279"/>
      <c r="AF279"/>
      <c r="AG279"/>
      <c r="AH279"/>
      <c r="AI279"/>
      <c r="AJ279"/>
      <c r="AK279"/>
      <c r="AL279"/>
      <c r="AM279"/>
      <c r="AN279"/>
      <c r="AO279"/>
      <c r="AP279"/>
      <c r="AQ279"/>
      <c r="AR279"/>
      <c r="AS279"/>
    </row>
    <row r="280" spans="1:51" x14ac:dyDescent="0.3">
      <c r="B280" s="80">
        <v>605.1</v>
      </c>
      <c r="C280" s="21"/>
      <c r="D280" s="21"/>
      <c r="E280" s="21"/>
      <c r="F280" s="21"/>
      <c r="G280" s="21"/>
      <c r="H280" s="1084"/>
      <c r="I280" s="141"/>
      <c r="J280" s="140"/>
      <c r="K280" s="98"/>
      <c r="L280" s="1313"/>
      <c r="M280" s="1318"/>
      <c r="N280" s="140"/>
      <c r="O280" s="1308"/>
      <c r="P280" s="97"/>
      <c r="Q280" s="97"/>
      <c r="R280" s="97"/>
      <c r="S280" s="97"/>
      <c r="T280" s="97"/>
      <c r="U280" s="97"/>
      <c r="V280" s="97"/>
      <c r="W280" s="97"/>
      <c r="X280" s="1295"/>
      <c r="Z280"/>
      <c r="AB280"/>
      <c r="AC280"/>
      <c r="AD280"/>
      <c r="AE280"/>
      <c r="AF280"/>
      <c r="AG280"/>
      <c r="AH280"/>
      <c r="AI280"/>
      <c r="AJ280"/>
      <c r="AK280"/>
      <c r="AL280"/>
      <c r="AM280"/>
      <c r="AN280"/>
      <c r="AO280"/>
      <c r="AP280"/>
      <c r="AQ280"/>
      <c r="AR280"/>
      <c r="AS280"/>
    </row>
    <row r="281" spans="1:51" x14ac:dyDescent="0.3">
      <c r="B281" s="80">
        <v>605.1</v>
      </c>
      <c r="C281" s="21"/>
      <c r="D281" s="21"/>
      <c r="E281" s="21"/>
      <c r="F281" s="21"/>
      <c r="G281" s="21"/>
      <c r="H281" s="1084"/>
      <c r="I281" s="141"/>
      <c r="J281" s="140"/>
      <c r="K281" s="98"/>
      <c r="L281" s="1313"/>
      <c r="M281" s="1318"/>
      <c r="N281" s="140"/>
      <c r="O281" s="1308"/>
      <c r="P281" s="97"/>
      <c r="Q281" s="97"/>
      <c r="R281" s="97"/>
      <c r="S281" s="97"/>
      <c r="T281" s="97"/>
      <c r="U281" s="97"/>
      <c r="V281" s="97"/>
      <c r="W281" s="97"/>
      <c r="X281" s="1295"/>
      <c r="Z281"/>
      <c r="AB281"/>
      <c r="AC281"/>
      <c r="AD281"/>
      <c r="AE281"/>
      <c r="AF281"/>
      <c r="AG281"/>
      <c r="AH281"/>
      <c r="AI281"/>
      <c r="AJ281"/>
      <c r="AK281"/>
      <c r="AL281"/>
      <c r="AM281"/>
      <c r="AN281"/>
      <c r="AO281"/>
      <c r="AP281"/>
      <c r="AQ281"/>
      <c r="AR281"/>
      <c r="AS281"/>
    </row>
    <row r="282" spans="1:51" x14ac:dyDescent="0.3">
      <c r="B282" s="80">
        <v>605.1</v>
      </c>
      <c r="C282" s="21"/>
      <c r="D282" s="21"/>
      <c r="E282" s="21"/>
      <c r="F282" s="21"/>
      <c r="G282" s="21"/>
      <c r="H282" s="1084"/>
      <c r="I282" s="141"/>
      <c r="J282" s="140"/>
      <c r="K282" s="98"/>
      <c r="L282" s="1313"/>
      <c r="M282" s="1318"/>
      <c r="N282" s="140"/>
      <c r="O282" s="1308"/>
      <c r="P282" s="97"/>
      <c r="Q282" s="97"/>
      <c r="R282" s="97"/>
      <c r="S282" s="97"/>
      <c r="T282" s="97"/>
      <c r="U282" s="97"/>
      <c r="V282" s="97"/>
      <c r="W282" s="97"/>
      <c r="X282" s="1295"/>
      <c r="Z282"/>
      <c r="AB282"/>
      <c r="AC282"/>
      <c r="AD282"/>
      <c r="AE282"/>
      <c r="AF282"/>
      <c r="AG282"/>
      <c r="AH282"/>
      <c r="AI282"/>
      <c r="AJ282"/>
      <c r="AK282"/>
      <c r="AL282"/>
      <c r="AM282"/>
      <c r="AN282"/>
      <c r="AO282"/>
      <c r="AP282"/>
      <c r="AQ282"/>
      <c r="AR282"/>
      <c r="AS282"/>
    </row>
    <row r="283" spans="1:51" x14ac:dyDescent="0.3">
      <c r="B283" s="80">
        <v>605.1</v>
      </c>
      <c r="C283" s="21"/>
      <c r="D283" s="21"/>
      <c r="E283" s="21"/>
      <c r="F283" s="21"/>
      <c r="G283" s="21"/>
      <c r="H283" s="1084"/>
      <c r="I283" s="141"/>
      <c r="J283" s="140"/>
      <c r="K283" s="98"/>
      <c r="L283" s="1313"/>
      <c r="M283" s="1318"/>
      <c r="N283" s="140"/>
      <c r="O283" s="1308"/>
      <c r="P283" s="97"/>
      <c r="Q283" s="97"/>
      <c r="R283" s="97"/>
      <c r="S283" s="97"/>
      <c r="T283" s="97"/>
      <c r="U283" s="97"/>
      <c r="V283" s="97"/>
      <c r="W283" s="97"/>
      <c r="X283" s="1295"/>
      <c r="Z283"/>
      <c r="AB283"/>
      <c r="AC283"/>
      <c r="AD283"/>
      <c r="AE283"/>
      <c r="AF283"/>
      <c r="AG283"/>
      <c r="AH283"/>
      <c r="AI283"/>
      <c r="AJ283"/>
      <c r="AK283"/>
      <c r="AL283"/>
      <c r="AM283"/>
      <c r="AN283"/>
      <c r="AO283"/>
      <c r="AP283"/>
      <c r="AQ283"/>
      <c r="AR283"/>
      <c r="AS283"/>
    </row>
    <row r="284" spans="1:51" x14ac:dyDescent="0.3">
      <c r="B284" s="80">
        <v>605.1</v>
      </c>
      <c r="C284" s="21"/>
      <c r="D284" s="21"/>
      <c r="E284" s="21"/>
      <c r="F284" s="21"/>
      <c r="G284" s="21"/>
      <c r="H284" s="1084"/>
      <c r="I284" s="141"/>
      <c r="J284" s="140"/>
      <c r="K284" s="98"/>
      <c r="L284" s="1305" t="s">
        <v>703</v>
      </c>
      <c r="M284" s="1318"/>
      <c r="N284" s="140"/>
      <c r="O284" s="1308"/>
      <c r="P284" s="97"/>
      <c r="Q284" s="97"/>
      <c r="R284" s="97"/>
      <c r="S284" s="97"/>
      <c r="T284" s="97"/>
      <c r="U284" s="97"/>
      <c r="V284" s="97"/>
      <c r="W284" s="97"/>
      <c r="X284" s="1295"/>
      <c r="Z284"/>
      <c r="AB284"/>
      <c r="AC284"/>
      <c r="AD284"/>
      <c r="AE284"/>
      <c r="AF284"/>
      <c r="AG284"/>
      <c r="AH284"/>
      <c r="AI284"/>
      <c r="AJ284"/>
      <c r="AK284"/>
      <c r="AL284"/>
      <c r="AM284"/>
      <c r="AN284"/>
      <c r="AO284"/>
      <c r="AP284"/>
      <c r="AQ284"/>
      <c r="AR284"/>
      <c r="AS284"/>
    </row>
    <row r="285" spans="1:51" x14ac:dyDescent="0.3">
      <c r="B285" s="80">
        <v>605.1</v>
      </c>
      <c r="C285" s="21"/>
      <c r="D285" s="21"/>
      <c r="E285" s="21"/>
      <c r="F285" s="21"/>
      <c r="G285" s="21"/>
      <c r="H285" s="1084"/>
      <c r="I285" s="141"/>
      <c r="J285" s="140"/>
      <c r="K285" s="98"/>
      <c r="L285" s="1305"/>
      <c r="M285" s="1318"/>
      <c r="N285" s="140"/>
      <c r="O285" s="1308"/>
      <c r="P285" s="97"/>
      <c r="Q285" s="97"/>
      <c r="R285" s="97"/>
      <c r="S285" s="97"/>
      <c r="T285" s="97"/>
      <c r="U285" s="97"/>
      <c r="V285" s="97"/>
      <c r="W285" s="97"/>
      <c r="X285" s="1295"/>
      <c r="Z285"/>
      <c r="AB285"/>
      <c r="AC285"/>
      <c r="AD285"/>
      <c r="AE285"/>
      <c r="AF285"/>
      <c r="AG285"/>
      <c r="AH285"/>
      <c r="AI285"/>
      <c r="AJ285"/>
      <c r="AK285"/>
      <c r="AL285"/>
      <c r="AM285"/>
      <c r="AN285"/>
      <c r="AO285"/>
      <c r="AP285"/>
      <c r="AQ285"/>
      <c r="AR285"/>
      <c r="AS285"/>
    </row>
    <row r="286" spans="1:51" x14ac:dyDescent="0.3">
      <c r="B286" s="80">
        <v>605.1</v>
      </c>
      <c r="C286" s="21"/>
      <c r="D286" s="21"/>
      <c r="E286" s="21"/>
      <c r="F286" s="21"/>
      <c r="G286" s="21"/>
      <c r="H286" s="1084"/>
      <c r="I286" s="141"/>
      <c r="J286" s="140"/>
      <c r="K286" s="98"/>
      <c r="L286" s="1305"/>
      <c r="M286" s="1318"/>
      <c r="N286" s="140"/>
      <c r="O286" s="1308"/>
      <c r="P286" s="97"/>
      <c r="Q286" s="97"/>
      <c r="R286" s="97"/>
      <c r="S286" s="97"/>
      <c r="T286" s="97"/>
      <c r="U286" s="97"/>
      <c r="V286" s="97"/>
      <c r="W286" s="97"/>
      <c r="X286" s="1295"/>
      <c r="Z286"/>
      <c r="AB286"/>
      <c r="AC286"/>
      <c r="AD286"/>
      <c r="AE286"/>
      <c r="AF286"/>
      <c r="AG286"/>
      <c r="AH286"/>
      <c r="AI286"/>
      <c r="AJ286"/>
      <c r="AK286"/>
      <c r="AL286"/>
      <c r="AM286"/>
      <c r="AN286"/>
      <c r="AO286"/>
      <c r="AP286"/>
      <c r="AQ286"/>
      <c r="AR286"/>
      <c r="AS286"/>
    </row>
    <row r="287" spans="1:51" x14ac:dyDescent="0.3">
      <c r="B287" s="80">
        <v>605.1</v>
      </c>
      <c r="C287" s="21"/>
      <c r="D287" s="21"/>
      <c r="E287" s="21"/>
      <c r="F287" s="21"/>
      <c r="G287" s="21"/>
      <c r="H287" s="1084"/>
      <c r="I287" s="141"/>
      <c r="J287" s="140"/>
      <c r="K287" s="98"/>
      <c r="L287" s="1305"/>
      <c r="M287" s="1318"/>
      <c r="N287" s="140"/>
      <c r="O287" s="1308"/>
      <c r="P287" s="97"/>
      <c r="Q287" s="97"/>
      <c r="R287" s="97"/>
      <c r="S287" s="97"/>
      <c r="T287" s="97"/>
      <c r="U287" s="97"/>
      <c r="V287" s="97"/>
      <c r="W287" s="97"/>
      <c r="X287" s="1295"/>
      <c r="Z287"/>
      <c r="AB287"/>
      <c r="AC287"/>
      <c r="AD287"/>
      <c r="AE287"/>
      <c r="AF287"/>
      <c r="AG287"/>
      <c r="AH287"/>
      <c r="AI287"/>
      <c r="AJ287"/>
      <c r="AK287"/>
      <c r="AL287"/>
      <c r="AM287"/>
      <c r="AN287"/>
      <c r="AO287"/>
      <c r="AP287"/>
      <c r="AQ287"/>
      <c r="AR287"/>
      <c r="AS287"/>
    </row>
    <row r="288" spans="1:51" x14ac:dyDescent="0.3">
      <c r="B288" s="80">
        <v>605.1</v>
      </c>
      <c r="C288" s="21"/>
      <c r="D288" s="21"/>
      <c r="E288" s="21"/>
      <c r="F288" s="21"/>
      <c r="G288" s="21"/>
      <c r="H288" s="1084"/>
      <c r="I288" s="141"/>
      <c r="J288" s="140"/>
      <c r="K288" s="98"/>
      <c r="L288" s="369" t="s">
        <v>704</v>
      </c>
      <c r="M288" s="1318"/>
      <c r="N288" s="140"/>
      <c r="O288" s="1308"/>
      <c r="P288" s="97"/>
      <c r="Q288" s="97"/>
      <c r="R288" s="97"/>
      <c r="S288" s="97"/>
      <c r="T288" s="97"/>
      <c r="U288" s="97"/>
      <c r="V288" s="97"/>
      <c r="W288" s="97"/>
      <c r="X288" s="1295"/>
      <c r="Z288"/>
      <c r="AB288"/>
      <c r="AC288"/>
      <c r="AD288"/>
      <c r="AE288"/>
      <c r="AF288"/>
      <c r="AG288"/>
      <c r="AH288"/>
      <c r="AI288"/>
      <c r="AJ288"/>
      <c r="AK288"/>
      <c r="AL288"/>
      <c r="AM288"/>
      <c r="AN288"/>
      <c r="AO288"/>
      <c r="AP288"/>
      <c r="AQ288"/>
      <c r="AR288"/>
      <c r="AS288"/>
    </row>
    <row r="289" spans="1:51" x14ac:dyDescent="0.3">
      <c r="B289" s="80">
        <v>605.1</v>
      </c>
      <c r="C289" s="21"/>
      <c r="D289" s="21"/>
      <c r="E289" s="21" t="s">
        <v>271</v>
      </c>
      <c r="F289" s="21"/>
      <c r="G289" s="21"/>
      <c r="H289" s="1084"/>
      <c r="I289" s="141"/>
      <c r="J289" s="203" t="s">
        <v>271</v>
      </c>
      <c r="K289" s="98"/>
      <c r="L289" s="1305" t="s">
        <v>705</v>
      </c>
      <c r="M289" s="1318"/>
      <c r="N289" s="140"/>
      <c r="O289" s="1308"/>
      <c r="P289" s="97"/>
      <c r="Q289" s="97"/>
      <c r="R289" s="97"/>
      <c r="S289" s="97"/>
      <c r="T289" s="97"/>
      <c r="U289" s="97"/>
      <c r="V289" s="97"/>
      <c r="W289" s="97"/>
      <c r="X289" s="1295"/>
      <c r="Z289"/>
      <c r="AB289"/>
      <c r="AC289"/>
      <c r="AD289"/>
      <c r="AE289"/>
      <c r="AF289"/>
      <c r="AG289"/>
      <c r="AH289"/>
      <c r="AI289"/>
      <c r="AJ289"/>
      <c r="AK289"/>
      <c r="AL289"/>
      <c r="AM289"/>
      <c r="AN289"/>
      <c r="AO289"/>
      <c r="AP289"/>
      <c r="AQ289"/>
      <c r="AR289"/>
      <c r="AS289"/>
    </row>
    <row r="290" spans="1:51" x14ac:dyDescent="0.3">
      <c r="B290" s="80">
        <v>605.1</v>
      </c>
      <c r="C290" s="21"/>
      <c r="D290" s="21"/>
      <c r="E290" s="21" t="s">
        <v>271</v>
      </c>
      <c r="F290" s="21"/>
      <c r="G290" s="21"/>
      <c r="H290" s="1084"/>
      <c r="I290" s="141"/>
      <c r="J290" s="140"/>
      <c r="K290" s="98"/>
      <c r="L290" s="1305"/>
      <c r="M290" s="1318"/>
      <c r="N290" s="140"/>
      <c r="O290" s="1308"/>
      <c r="P290" s="97"/>
      <c r="Q290" s="97"/>
      <c r="R290" s="97"/>
      <c r="S290" s="97"/>
      <c r="T290" s="97"/>
      <c r="U290" s="97"/>
      <c r="V290" s="97"/>
      <c r="W290" s="97"/>
      <c r="X290" s="1295"/>
      <c r="Z290"/>
      <c r="AB290"/>
      <c r="AC290"/>
      <c r="AD290"/>
      <c r="AE290"/>
      <c r="AF290"/>
      <c r="AG290"/>
      <c r="AH290"/>
      <c r="AI290"/>
      <c r="AJ290"/>
      <c r="AK290"/>
      <c r="AL290"/>
      <c r="AM290"/>
      <c r="AN290"/>
      <c r="AO290"/>
      <c r="AP290"/>
      <c r="AQ290"/>
      <c r="AR290"/>
      <c r="AS290"/>
    </row>
    <row r="291" spans="1:51" x14ac:dyDescent="0.3">
      <c r="B291" s="80">
        <v>605.1</v>
      </c>
      <c r="C291" s="21"/>
      <c r="D291" s="21"/>
      <c r="E291" s="21" t="s">
        <v>273</v>
      </c>
      <c r="F291" s="21"/>
      <c r="G291" s="21"/>
      <c r="H291" s="1084"/>
      <c r="I291" s="141"/>
      <c r="J291" s="203" t="s">
        <v>273</v>
      </c>
      <c r="K291" s="98"/>
      <c r="L291" s="1305" t="s">
        <v>706</v>
      </c>
      <c r="M291" s="1318"/>
      <c r="N291" s="140"/>
      <c r="O291" s="1308"/>
      <c r="P291" s="97" t="b">
        <v>1</v>
      </c>
      <c r="Q291" s="97" t="b">
        <v>1</v>
      </c>
      <c r="R291" s="97" t="b">
        <v>0</v>
      </c>
      <c r="S291" s="97" t="b">
        <v>1</v>
      </c>
      <c r="T291" s="97" t="b">
        <v>0</v>
      </c>
      <c r="U291" s="97"/>
      <c r="V291" s="97"/>
      <c r="W291" s="25"/>
      <c r="X291" s="1295"/>
      <c r="Z291"/>
      <c r="AB291"/>
      <c r="AC291"/>
      <c r="AD291"/>
      <c r="AE291"/>
      <c r="AF291"/>
      <c r="AG291"/>
      <c r="AH291"/>
      <c r="AI291"/>
      <c r="AJ291"/>
      <c r="AK291"/>
      <c r="AL291"/>
      <c r="AM291"/>
      <c r="AN291"/>
      <c r="AO291"/>
      <c r="AP291" s="311" t="str">
        <f t="shared" ref="AP291" si="78">SUBSTITUTE(SUBSTITUTE(SUBSTITUTE("dch"&amp;$B291&amp;$C291&amp;$D291&amp;$E291&amp;$F291,".","_"),"(","_"),")","")</f>
        <v>dch605_1_2</v>
      </c>
      <c r="AQ291" s="311">
        <f>W291</f>
        <v>0</v>
      </c>
      <c r="AR291"/>
      <c r="AS291"/>
    </row>
    <row r="292" spans="1:51" ht="15" thickBot="1" x14ac:dyDescent="0.35">
      <c r="B292" s="80">
        <v>605.1</v>
      </c>
      <c r="C292" s="21"/>
      <c r="D292" s="21"/>
      <c r="E292" s="21" t="s">
        <v>273</v>
      </c>
      <c r="F292" s="21"/>
      <c r="G292" s="21"/>
      <c r="H292" s="1084"/>
      <c r="I292" s="141"/>
      <c r="J292" s="140"/>
      <c r="K292" s="98"/>
      <c r="L292" s="1305"/>
      <c r="M292" s="1318"/>
      <c r="N292" s="140"/>
      <c r="O292" s="1308"/>
      <c r="P292" s="97"/>
      <c r="Q292" s="97"/>
      <c r="R292" s="97"/>
      <c r="S292" s="97"/>
      <c r="T292" s="97"/>
      <c r="U292" s="97"/>
      <c r="V292" s="97"/>
      <c r="W292" s="317"/>
      <c r="X292" s="1337"/>
      <c r="Z292"/>
      <c r="AB292"/>
      <c r="AC292"/>
      <c r="AD292"/>
      <c r="AE292"/>
      <c r="AF292"/>
      <c r="AG292"/>
      <c r="AH292"/>
      <c r="AI292"/>
      <c r="AJ292"/>
      <c r="AK292"/>
      <c r="AL292"/>
      <c r="AM292"/>
      <c r="AN292"/>
      <c r="AO292"/>
      <c r="AP292"/>
      <c r="AQ292"/>
      <c r="AR292"/>
      <c r="AS292"/>
    </row>
    <row r="293" spans="1:51" ht="15" thickTop="1" x14ac:dyDescent="0.3">
      <c r="B293" s="80">
        <v>605.20000000000005</v>
      </c>
      <c r="C293" s="21"/>
      <c r="D293" s="21"/>
      <c r="E293" s="21"/>
      <c r="F293" s="21"/>
      <c r="G293" s="21"/>
      <c r="H293" s="1084"/>
      <c r="I293" s="200">
        <v>605.20000000000005</v>
      </c>
      <c r="J293" s="201"/>
      <c r="K293" s="202"/>
      <c r="L293" s="1331" t="s">
        <v>707</v>
      </c>
      <c r="M293" s="1343">
        <v>7</v>
      </c>
      <c r="N293" s="201"/>
      <c r="O293" s="1336">
        <f>M293*S293*W293</f>
        <v>0</v>
      </c>
      <c r="P293" s="97" t="b">
        <v>1</v>
      </c>
      <c r="Q293" s="97" t="b">
        <v>1</v>
      </c>
      <c r="R293" s="110" t="b">
        <v>0</v>
      </c>
      <c r="S293" s="110" t="b">
        <v>1</v>
      </c>
      <c r="T293" s="110" t="b">
        <v>0</v>
      </c>
      <c r="U293" s="110"/>
      <c r="V293" s="110"/>
      <c r="W293" s="127"/>
      <c r="X293" s="1327"/>
      <c r="Z293"/>
      <c r="AB293"/>
      <c r="AC293"/>
      <c r="AD293"/>
      <c r="AE293"/>
      <c r="AF293"/>
      <c r="AG293"/>
      <c r="AH293"/>
      <c r="AI293"/>
      <c r="AJ293"/>
      <c r="AK293"/>
      <c r="AL293" s="311" t="str">
        <f>SUBSTITUTE(SUBSTITUTE(SUBSTITUTE("dpa"&amp;$B293&amp;$C293&amp;$D293&amp;$E293&amp;$F293,".","_"),"(","_"),")","")</f>
        <v>dpa605_2</v>
      </c>
      <c r="AM293" s="311">
        <f>M293</f>
        <v>7</v>
      </c>
      <c r="AN293" s="311" t="str">
        <f>SUBSTITUTE(SUBSTITUTE(SUBSTITUTE("dpc"&amp;$B293&amp;$C293&amp;$D293&amp;$E293&amp;$F293,".","_"),"(","_"),")","")</f>
        <v>dpc605_2</v>
      </c>
      <c r="AO293" s="311">
        <f>O293</f>
        <v>0</v>
      </c>
      <c r="AP293" s="311" t="str">
        <f t="shared" ref="AP293" si="79">SUBSTITUTE(SUBSTITUTE(SUBSTITUTE("dch"&amp;$B293&amp;$C293&amp;$D293&amp;$E293&amp;$F293,".","_"),"(","_"),")","")</f>
        <v>dch605_2</v>
      </c>
      <c r="AQ293" s="311">
        <f>W293</f>
        <v>0</v>
      </c>
      <c r="AR293" s="1059" t="str">
        <f>SUBSTITUTE(SUBSTITUTE(SUBSTITUTE("dnt"&amp;$B293&amp;$C293&amp;$D293&amp;$E293&amp;$F293,".","_"),"(","_"),")","")</f>
        <v>dnt605_2</v>
      </c>
      <c r="AS293" s="311">
        <f>X293</f>
        <v>0</v>
      </c>
    </row>
    <row r="294" spans="1:51" x14ac:dyDescent="0.3">
      <c r="B294" s="80">
        <v>605.20000000000005</v>
      </c>
      <c r="C294" s="21"/>
      <c r="D294" s="21"/>
      <c r="E294" s="21"/>
      <c r="F294" s="21"/>
      <c r="G294" s="21"/>
      <c r="H294" s="1084"/>
      <c r="I294" s="141"/>
      <c r="J294" s="140"/>
      <c r="K294" s="98"/>
      <c r="L294" s="1313"/>
      <c r="M294" s="1318"/>
      <c r="N294" s="140"/>
      <c r="O294" s="1308"/>
      <c r="P294" s="97"/>
      <c r="Q294" s="97"/>
      <c r="R294" s="97"/>
      <c r="S294" s="97"/>
      <c r="T294" s="97"/>
      <c r="U294" s="97"/>
      <c r="V294" s="97"/>
      <c r="W294" s="97"/>
      <c r="X294" s="1295"/>
      <c r="Z294"/>
      <c r="AB294"/>
      <c r="AC294"/>
      <c r="AD294"/>
      <c r="AE294"/>
      <c r="AF294"/>
      <c r="AG294"/>
      <c r="AH294"/>
      <c r="AI294"/>
      <c r="AJ294"/>
      <c r="AK294"/>
      <c r="AL294"/>
      <c r="AM294"/>
      <c r="AN294"/>
      <c r="AO294"/>
      <c r="AP294"/>
      <c r="AQ294"/>
      <c r="AR294"/>
      <c r="AS294"/>
    </row>
    <row r="295" spans="1:51" x14ac:dyDescent="0.3">
      <c r="B295" s="80">
        <v>605.20000000000005</v>
      </c>
      <c r="C295" s="21"/>
      <c r="D295" s="21"/>
      <c r="E295" s="21"/>
      <c r="F295" s="21" t="s">
        <v>121</v>
      </c>
      <c r="G295" s="21"/>
      <c r="H295" s="1084"/>
      <c r="I295" s="141"/>
      <c r="J295" s="140"/>
      <c r="K295" s="94" t="s">
        <v>121</v>
      </c>
      <c r="L295" s="1305" t="s">
        <v>708</v>
      </c>
      <c r="M295" s="518"/>
      <c r="N295" s="140"/>
      <c r="O295" s="269"/>
      <c r="P295" s="97"/>
      <c r="Q295" s="97"/>
      <c r="R295" s="97"/>
      <c r="S295" s="97"/>
      <c r="T295" s="97"/>
      <c r="U295" s="97"/>
      <c r="V295" s="97"/>
      <c r="W295" s="97"/>
      <c r="X295" s="1295"/>
      <c r="Z295"/>
      <c r="AB295"/>
      <c r="AC295"/>
      <c r="AD295"/>
      <c r="AE295"/>
      <c r="AF295"/>
      <c r="AG295"/>
      <c r="AH295"/>
      <c r="AI295"/>
      <c r="AJ295"/>
      <c r="AK295"/>
      <c r="AL295"/>
      <c r="AM295"/>
      <c r="AN295"/>
      <c r="AO295"/>
      <c r="AP295"/>
      <c r="AQ295"/>
      <c r="AR295"/>
      <c r="AS295"/>
    </row>
    <row r="296" spans="1:51" x14ac:dyDescent="0.3">
      <c r="B296" s="80">
        <v>605.20000000000005</v>
      </c>
      <c r="C296" s="21"/>
      <c r="D296" s="21"/>
      <c r="E296" s="21"/>
      <c r="F296" s="21" t="s">
        <v>121</v>
      </c>
      <c r="G296" s="21"/>
      <c r="H296" s="1084"/>
      <c r="I296" s="141"/>
      <c r="J296" s="140"/>
      <c r="K296" s="98"/>
      <c r="L296" s="1305"/>
      <c r="M296" s="518"/>
      <c r="N296" s="140"/>
      <c r="O296" s="269"/>
      <c r="P296" s="97"/>
      <c r="Q296" s="97"/>
      <c r="R296" s="97"/>
      <c r="S296" s="97"/>
      <c r="T296" s="97"/>
      <c r="U296" s="97"/>
      <c r="V296" s="97"/>
      <c r="W296" s="97"/>
      <c r="X296" s="1295"/>
      <c r="Z296"/>
      <c r="AB296"/>
      <c r="AC296"/>
      <c r="AD296"/>
      <c r="AE296"/>
      <c r="AF296"/>
      <c r="AG296"/>
      <c r="AH296"/>
      <c r="AI296"/>
      <c r="AJ296"/>
      <c r="AK296"/>
      <c r="AL296"/>
      <c r="AM296"/>
      <c r="AN296"/>
      <c r="AO296"/>
      <c r="AP296"/>
      <c r="AQ296"/>
      <c r="AR296"/>
      <c r="AS296"/>
    </row>
    <row r="297" spans="1:51" x14ac:dyDescent="0.3">
      <c r="B297" s="80">
        <v>605.20000000000005</v>
      </c>
      <c r="C297" s="21"/>
      <c r="D297" s="21"/>
      <c r="E297" s="21"/>
      <c r="F297" s="21" t="s">
        <v>121</v>
      </c>
      <c r="G297" s="21"/>
      <c r="H297" s="1084"/>
      <c r="I297" s="141"/>
      <c r="J297" s="140"/>
      <c r="K297" s="193"/>
      <c r="L297" s="1306"/>
      <c r="M297" s="518"/>
      <c r="N297" s="140"/>
      <c r="O297" s="269"/>
      <c r="P297" s="97"/>
      <c r="Q297" s="97"/>
      <c r="R297" s="97"/>
      <c r="S297" s="97"/>
      <c r="T297" s="97"/>
      <c r="U297" s="97"/>
      <c r="V297" s="97"/>
      <c r="W297" s="97"/>
      <c r="X297" s="1295"/>
      <c r="Z297"/>
      <c r="AB297"/>
      <c r="AC297"/>
      <c r="AD297"/>
      <c r="AE297"/>
      <c r="AF297"/>
      <c r="AG297"/>
      <c r="AH297"/>
      <c r="AI297"/>
      <c r="AJ297"/>
      <c r="AK297"/>
      <c r="AL297"/>
      <c r="AM297"/>
      <c r="AN297"/>
      <c r="AO297"/>
      <c r="AP297"/>
      <c r="AQ297"/>
      <c r="AR297"/>
      <c r="AS297"/>
    </row>
    <row r="298" spans="1:51" x14ac:dyDescent="0.3">
      <c r="B298" s="80">
        <v>605.20000000000005</v>
      </c>
      <c r="C298" s="21"/>
      <c r="D298" s="21"/>
      <c r="E298" s="21"/>
      <c r="F298" s="21" t="s">
        <v>122</v>
      </c>
      <c r="G298" s="21"/>
      <c r="H298" s="1084"/>
      <c r="I298" s="141"/>
      <c r="J298" s="140"/>
      <c r="K298" s="241" t="s">
        <v>122</v>
      </c>
      <c r="L298" s="365" t="s">
        <v>709</v>
      </c>
      <c r="M298" s="518"/>
      <c r="N298" s="140"/>
      <c r="O298" s="269"/>
      <c r="P298" s="97"/>
      <c r="Q298" s="97"/>
      <c r="R298" s="97"/>
      <c r="S298" s="97"/>
      <c r="T298" s="97"/>
      <c r="U298" s="97"/>
      <c r="V298" s="97"/>
      <c r="W298" s="97"/>
      <c r="X298" s="1295"/>
      <c r="Z298"/>
      <c r="AB298"/>
      <c r="AC298"/>
      <c r="AD298"/>
      <c r="AE298"/>
      <c r="AF298"/>
      <c r="AG298"/>
      <c r="AH298"/>
      <c r="AI298"/>
      <c r="AJ298"/>
      <c r="AK298"/>
      <c r="AL298"/>
      <c r="AM298"/>
      <c r="AN298"/>
      <c r="AO298"/>
      <c r="AP298"/>
      <c r="AQ298"/>
      <c r="AR298"/>
      <c r="AS298"/>
    </row>
    <row r="299" spans="1:51" x14ac:dyDescent="0.3">
      <c r="B299" s="80">
        <v>605.20000000000005</v>
      </c>
      <c r="C299" s="21"/>
      <c r="D299" s="21"/>
      <c r="E299" s="21"/>
      <c r="F299" s="21" t="s">
        <v>123</v>
      </c>
      <c r="G299" s="21"/>
      <c r="H299" s="1084"/>
      <c r="I299" s="141"/>
      <c r="J299" s="140"/>
      <c r="K299" s="115" t="s">
        <v>123</v>
      </c>
      <c r="L299" s="1305" t="s">
        <v>710</v>
      </c>
      <c r="M299" s="518"/>
      <c r="N299" s="140"/>
      <c r="O299" s="269"/>
      <c r="P299" s="97"/>
      <c r="Q299" s="97"/>
      <c r="R299" s="97"/>
      <c r="S299" s="97"/>
      <c r="T299" s="97"/>
      <c r="U299" s="97"/>
      <c r="V299" s="97"/>
      <c r="W299" s="97"/>
      <c r="X299" s="1295"/>
      <c r="Z299"/>
      <c r="AB299"/>
      <c r="AC299"/>
      <c r="AD299"/>
      <c r="AE299"/>
      <c r="AF299"/>
      <c r="AG299"/>
      <c r="AH299"/>
      <c r="AI299"/>
      <c r="AJ299"/>
      <c r="AK299"/>
      <c r="AL299"/>
      <c r="AM299"/>
      <c r="AN299"/>
      <c r="AO299"/>
      <c r="AP299"/>
      <c r="AQ299"/>
      <c r="AR299"/>
      <c r="AS299"/>
    </row>
    <row r="300" spans="1:51" x14ac:dyDescent="0.3">
      <c r="B300" s="80">
        <v>605.20000000000005</v>
      </c>
      <c r="C300" s="21"/>
      <c r="D300" s="21"/>
      <c r="E300" s="21"/>
      <c r="F300" s="21" t="s">
        <v>123</v>
      </c>
      <c r="G300" s="21"/>
      <c r="H300" s="1084"/>
      <c r="I300" s="141"/>
      <c r="J300" s="140"/>
      <c r="K300" s="210"/>
      <c r="L300" s="1305"/>
      <c r="M300" s="518"/>
      <c r="N300" s="140"/>
      <c r="O300" s="269"/>
      <c r="P300" s="97"/>
      <c r="Q300" s="97"/>
      <c r="R300" s="97"/>
      <c r="S300" s="97"/>
      <c r="T300" s="97"/>
      <c r="U300" s="97"/>
      <c r="V300" s="97"/>
      <c r="W300" s="97"/>
      <c r="X300" s="1295"/>
      <c r="Z300"/>
      <c r="AB300"/>
      <c r="AC300"/>
      <c r="AD300"/>
      <c r="AE300"/>
      <c r="AF300"/>
      <c r="AG300"/>
      <c r="AH300"/>
      <c r="AI300"/>
      <c r="AJ300"/>
      <c r="AK300"/>
      <c r="AL300"/>
      <c r="AM300"/>
      <c r="AN300"/>
      <c r="AO300"/>
      <c r="AP300"/>
      <c r="AQ300"/>
      <c r="AR300"/>
      <c r="AS300"/>
    </row>
    <row r="301" spans="1:51" ht="15" thickBot="1" x14ac:dyDescent="0.35">
      <c r="B301" s="80">
        <v>605.20000000000005</v>
      </c>
      <c r="C301" s="21"/>
      <c r="D301" s="21"/>
      <c r="E301" s="21"/>
      <c r="F301" s="21" t="s">
        <v>123</v>
      </c>
      <c r="G301" s="21"/>
      <c r="H301" s="1084"/>
      <c r="I301" s="141"/>
      <c r="J301" s="140"/>
      <c r="K301" s="98"/>
      <c r="L301" s="1305"/>
      <c r="M301" s="518"/>
      <c r="N301" s="140"/>
      <c r="O301" s="269"/>
      <c r="P301" s="97"/>
      <c r="Q301" s="97"/>
      <c r="R301" s="97"/>
      <c r="S301" s="97"/>
      <c r="T301" s="97"/>
      <c r="U301" s="97"/>
      <c r="V301" s="97"/>
      <c r="W301" s="97"/>
      <c r="X301" s="1337"/>
      <c r="Z301"/>
      <c r="AB301"/>
      <c r="AC301"/>
      <c r="AD301"/>
      <c r="AE301"/>
      <c r="AF301"/>
      <c r="AG301"/>
      <c r="AH301"/>
      <c r="AI301"/>
      <c r="AJ301"/>
      <c r="AK301"/>
      <c r="AL301"/>
      <c r="AM301"/>
      <c r="AN301"/>
      <c r="AO301"/>
      <c r="AP301"/>
      <c r="AQ301"/>
      <c r="AR301"/>
      <c r="AS301"/>
    </row>
    <row r="302" spans="1:51" ht="15" thickTop="1" x14ac:dyDescent="0.3">
      <c r="B302" s="80">
        <v>605.29999999999995</v>
      </c>
      <c r="C302" s="21"/>
      <c r="D302" s="21"/>
      <c r="E302" s="21"/>
      <c r="F302" s="21"/>
      <c r="G302" s="21"/>
      <c r="H302" s="1084"/>
      <c r="I302" s="200">
        <v>605.29999999999995</v>
      </c>
      <c r="J302" s="201"/>
      <c r="K302" s="202"/>
      <c r="L302" s="1331" t="s">
        <v>711</v>
      </c>
      <c r="M302" s="1343" t="s">
        <v>712</v>
      </c>
      <c r="N302" s="201"/>
      <c r="O302" s="1336">
        <f>IF(COUNTIF(W306:W314,TRUE)&lt;2,0,MIN(6,(COUNTIF(W306:W314,TRUE)+1)))</f>
        <v>4</v>
      </c>
      <c r="P302" s="97" t="b">
        <v>1</v>
      </c>
      <c r="Q302" s="97" t="b">
        <v>1</v>
      </c>
      <c r="R302" s="110" t="b">
        <v>0</v>
      </c>
      <c r="S302" s="110" t="b">
        <v>1</v>
      </c>
      <c r="T302" s="110" t="b">
        <v>0</v>
      </c>
      <c r="U302" s="110"/>
      <c r="V302" s="110"/>
      <c r="W302" s="110"/>
      <c r="X302" s="110"/>
      <c r="Z302"/>
      <c r="AB302"/>
      <c r="AC302"/>
      <c r="AD302"/>
      <c r="AE302"/>
      <c r="AF302"/>
      <c r="AG302"/>
      <c r="AH302"/>
      <c r="AI302"/>
      <c r="AJ302"/>
      <c r="AK302"/>
      <c r="AL302" s="311" t="str">
        <f>SUBSTITUTE(SUBSTITUTE(SUBSTITUTE("dpa"&amp;$B302&amp;$C302&amp;$D302&amp;$E302&amp;$F302,".","_"),"(","_"),")","")</f>
        <v>dpa605_3</v>
      </c>
      <c r="AM302" s="311" t="str">
        <f>M302</f>
        <v>6 Max</v>
      </c>
      <c r="AN302" s="311" t="str">
        <f>SUBSTITUTE(SUBSTITUTE(SUBSTITUTE("dpc"&amp;$B302&amp;$C302&amp;$D302&amp;$E302&amp;$F302,".","_"),"(","_"),")","")</f>
        <v>dpc605_3</v>
      </c>
      <c r="AO302" s="311">
        <f>O302</f>
        <v>4</v>
      </c>
      <c r="AP302" s="311"/>
      <c r="AQ302" s="311"/>
      <c r="AR302"/>
      <c r="AS302"/>
    </row>
    <row r="303" spans="1:51" x14ac:dyDescent="0.3">
      <c r="B303" s="80">
        <v>605.29999999999995</v>
      </c>
      <c r="C303" s="21"/>
      <c r="D303" s="21"/>
      <c r="E303" s="21"/>
      <c r="F303" s="21"/>
      <c r="G303" s="21"/>
      <c r="H303" s="1084"/>
      <c r="I303" s="141"/>
      <c r="J303" s="140"/>
      <c r="K303" s="98"/>
      <c r="L303" s="1313"/>
      <c r="M303" s="1318"/>
      <c r="N303" s="140"/>
      <c r="O303" s="1308"/>
      <c r="P303" s="97"/>
      <c r="Q303" s="97"/>
      <c r="R303" s="97"/>
      <c r="S303" s="97"/>
      <c r="T303" s="97"/>
      <c r="U303" s="97"/>
      <c r="V303" s="97"/>
      <c r="W303" s="97"/>
      <c r="X303" s="97"/>
      <c r="Z303"/>
      <c r="AB303"/>
      <c r="AC303"/>
      <c r="AD303"/>
      <c r="AE303"/>
      <c r="AF303"/>
      <c r="AG303"/>
      <c r="AH303"/>
      <c r="AI303"/>
      <c r="AJ303"/>
      <c r="AK303"/>
      <c r="AL303"/>
      <c r="AM303"/>
      <c r="AN303"/>
      <c r="AO303"/>
      <c r="AP303"/>
      <c r="AQ303"/>
      <c r="AR303"/>
      <c r="AS303"/>
      <c r="AX303" s="170"/>
      <c r="AY303" s="170"/>
    </row>
    <row r="304" spans="1:51" s="170" customFormat="1" x14ac:dyDescent="0.3">
      <c r="A304" s="18"/>
      <c r="B304" s="80">
        <v>605.29999999999995</v>
      </c>
      <c r="C304" s="21"/>
      <c r="D304" s="21"/>
      <c r="E304" s="21" t="s">
        <v>271</v>
      </c>
      <c r="F304" s="21"/>
      <c r="G304" s="21"/>
      <c r="H304" s="1084"/>
      <c r="I304" s="66"/>
      <c r="J304" s="231" t="s">
        <v>271</v>
      </c>
      <c r="K304" s="193"/>
      <c r="L304" s="345" t="s">
        <v>713</v>
      </c>
      <c r="M304" s="520">
        <v>3</v>
      </c>
      <c r="N304" s="4"/>
      <c r="O304" s="154"/>
      <c r="P304" s="440"/>
      <c r="Q304" s="440"/>
      <c r="Y304" s="1107"/>
      <c r="AA304" s="1110"/>
      <c r="AL304" s="311" t="str">
        <f t="shared" ref="AL304:AL305" si="80">SUBSTITUTE(SUBSTITUTE(SUBSTITUTE("dpa"&amp;$B304&amp;$C304&amp;$D304&amp;$E304&amp;$F304,".","_"),"(","_"),")","")</f>
        <v>dpa605_3_1</v>
      </c>
      <c r="AM304" s="311">
        <f>M304</f>
        <v>3</v>
      </c>
    </row>
    <row r="305" spans="1:51" s="170" customFormat="1" x14ac:dyDescent="0.3">
      <c r="A305" s="18"/>
      <c r="B305" s="80">
        <v>605.29999999999995</v>
      </c>
      <c r="C305" s="21"/>
      <c r="D305" s="21"/>
      <c r="E305" s="21" t="s">
        <v>273</v>
      </c>
      <c r="F305" s="21"/>
      <c r="G305" s="21"/>
      <c r="H305" s="1084"/>
      <c r="I305" s="66"/>
      <c r="J305" s="27" t="s">
        <v>273</v>
      </c>
      <c r="K305" s="86"/>
      <c r="L305" s="350" t="s">
        <v>714</v>
      </c>
      <c r="M305" s="522">
        <v>1</v>
      </c>
      <c r="N305" s="4"/>
      <c r="O305" s="154"/>
      <c r="P305" s="440"/>
      <c r="Q305" s="440"/>
      <c r="Y305" s="1107"/>
      <c r="AA305" s="1110"/>
      <c r="AL305" s="311" t="str">
        <f t="shared" si="80"/>
        <v>dpa605_3_2</v>
      </c>
      <c r="AM305" s="311">
        <f>M305</f>
        <v>1</v>
      </c>
    </row>
    <row r="306" spans="1:51" s="170" customFormat="1" x14ac:dyDescent="0.3">
      <c r="A306" s="18"/>
      <c r="B306" s="80">
        <v>605.29999999999995</v>
      </c>
      <c r="C306" s="21"/>
      <c r="D306" s="21"/>
      <c r="E306" s="21" t="s">
        <v>273</v>
      </c>
      <c r="F306" s="21" t="s">
        <v>121</v>
      </c>
      <c r="G306" s="21"/>
      <c r="H306" s="1084"/>
      <c r="I306" s="66"/>
      <c r="J306" s="4"/>
      <c r="K306" s="192" t="s">
        <v>121</v>
      </c>
      <c r="L306" s="345" t="s">
        <v>3271</v>
      </c>
      <c r="M306" s="522"/>
      <c r="N306" s="4"/>
      <c r="O306" s="154"/>
      <c r="P306" s="97" t="b">
        <v>1</v>
      </c>
      <c r="Q306" s="97" t="b">
        <v>1</v>
      </c>
      <c r="R306" s="170" t="b">
        <v>0</v>
      </c>
      <c r="S306" s="170" t="b">
        <v>1</v>
      </c>
      <c r="T306" s="170" t="b">
        <v>0</v>
      </c>
      <c r="W306" s="25" t="b">
        <v>1</v>
      </c>
      <c r="X306" s="1303"/>
      <c r="Y306" s="1107"/>
      <c r="AA306" s="1110"/>
      <c r="AP306" s="311" t="str">
        <f t="shared" ref="AP306:AP314" si="81">SUBSTITUTE(SUBSTITUTE(SUBSTITUTE("dch"&amp;$B306&amp;$C306&amp;$D306&amp;$E306&amp;$F306,".","_"),"(","_"),")","")</f>
        <v>dch605_3_2_a</v>
      </c>
      <c r="AQ306" s="311" t="b">
        <f t="shared" ref="AQ306:AQ314" si="82">W306</f>
        <v>1</v>
      </c>
      <c r="AR306" s="1059" t="str">
        <f>SUBSTITUTE(SUBSTITUTE(SUBSTITUTE("dnt"&amp;$B306&amp;$C306&amp;$D306&amp;$E306&amp;$F306,".","_"),"(","_"),")","")</f>
        <v>dnt605_3_2_a</v>
      </c>
      <c r="AS306" s="311">
        <f>X306</f>
        <v>0</v>
      </c>
    </row>
    <row r="307" spans="1:51" s="170" customFormat="1" x14ac:dyDescent="0.3">
      <c r="A307" s="18"/>
      <c r="B307" s="80">
        <v>605.29999999999995</v>
      </c>
      <c r="C307" s="21"/>
      <c r="D307" s="21"/>
      <c r="E307" s="21" t="s">
        <v>273</v>
      </c>
      <c r="F307" s="21" t="s">
        <v>122</v>
      </c>
      <c r="G307" s="21"/>
      <c r="H307" s="1084"/>
      <c r="I307" s="66"/>
      <c r="J307" s="4"/>
      <c r="K307" s="241" t="s">
        <v>122</v>
      </c>
      <c r="L307" s="365" t="s">
        <v>3272</v>
      </c>
      <c r="M307" s="522"/>
      <c r="N307" s="4"/>
      <c r="O307" s="154"/>
      <c r="P307" s="97" t="b">
        <v>1</v>
      </c>
      <c r="Q307" s="97" t="b">
        <v>1</v>
      </c>
      <c r="R307" s="170" t="b">
        <v>0</v>
      </c>
      <c r="S307" s="170" t="b">
        <v>1</v>
      </c>
      <c r="T307" s="170" t="b">
        <v>0</v>
      </c>
      <c r="W307" s="25" t="b">
        <v>1</v>
      </c>
      <c r="X307" s="1303"/>
      <c r="Y307" s="1107"/>
      <c r="AA307" s="1110"/>
      <c r="AP307" s="311" t="str">
        <f t="shared" si="81"/>
        <v>dch605_3_2_b</v>
      </c>
      <c r="AQ307" s="311" t="b">
        <f t="shared" si="82"/>
        <v>1</v>
      </c>
    </row>
    <row r="308" spans="1:51" s="170" customFormat="1" x14ac:dyDescent="0.3">
      <c r="A308" s="18"/>
      <c r="B308" s="80">
        <v>605.29999999999995</v>
      </c>
      <c r="C308" s="21"/>
      <c r="D308" s="21"/>
      <c r="E308" s="21" t="s">
        <v>273</v>
      </c>
      <c r="F308" s="21" t="s">
        <v>123</v>
      </c>
      <c r="G308" s="21"/>
      <c r="H308" s="1084"/>
      <c r="I308" s="66"/>
      <c r="J308" s="4"/>
      <c r="K308" s="247" t="s">
        <v>123</v>
      </c>
      <c r="L308" s="365" t="s">
        <v>3273</v>
      </c>
      <c r="M308" s="522"/>
      <c r="N308" s="4"/>
      <c r="O308" s="154"/>
      <c r="P308" s="97" t="b">
        <v>1</v>
      </c>
      <c r="Q308" s="97" t="b">
        <v>1</v>
      </c>
      <c r="R308" s="170" t="b">
        <v>0</v>
      </c>
      <c r="S308" s="170" t="b">
        <v>1</v>
      </c>
      <c r="T308" s="170" t="b">
        <v>0</v>
      </c>
      <c r="W308" s="25" t="b">
        <v>1</v>
      </c>
      <c r="X308" s="1303"/>
      <c r="Y308" s="1107"/>
      <c r="AA308" s="1110"/>
      <c r="AP308" s="311" t="str">
        <f t="shared" si="81"/>
        <v>dch605_3_2_c</v>
      </c>
      <c r="AQ308" s="311" t="b">
        <f t="shared" si="82"/>
        <v>1</v>
      </c>
    </row>
    <row r="309" spans="1:51" s="170" customFormat="1" x14ac:dyDescent="0.3">
      <c r="A309" s="18"/>
      <c r="B309" s="80">
        <v>605.29999999999995</v>
      </c>
      <c r="C309" s="21"/>
      <c r="D309" s="21"/>
      <c r="E309" s="21" t="s">
        <v>273</v>
      </c>
      <c r="F309" s="21" t="s">
        <v>423</v>
      </c>
      <c r="G309" s="21"/>
      <c r="H309" s="1084"/>
      <c r="I309" s="66"/>
      <c r="J309" s="4"/>
      <c r="K309" s="248" t="s">
        <v>423</v>
      </c>
      <c r="L309" s="365" t="s">
        <v>3274</v>
      </c>
      <c r="M309" s="522"/>
      <c r="N309" s="4"/>
      <c r="O309" s="154"/>
      <c r="P309" s="97" t="b">
        <v>1</v>
      </c>
      <c r="Q309" s="97" t="b">
        <v>1</v>
      </c>
      <c r="R309" s="170" t="b">
        <v>0</v>
      </c>
      <c r="S309" s="170" t="b">
        <v>1</v>
      </c>
      <c r="T309" s="170" t="b">
        <v>0</v>
      </c>
      <c r="W309" s="25"/>
      <c r="X309" s="1303"/>
      <c r="Y309" s="1107"/>
      <c r="AA309" s="1110"/>
      <c r="AP309" s="311" t="str">
        <f t="shared" si="81"/>
        <v>dch605_3_2_d</v>
      </c>
      <c r="AQ309" s="311">
        <f t="shared" si="82"/>
        <v>0</v>
      </c>
    </row>
    <row r="310" spans="1:51" s="170" customFormat="1" x14ac:dyDescent="0.3">
      <c r="A310" s="18"/>
      <c r="B310" s="80">
        <v>605.29999999999995</v>
      </c>
      <c r="C310" s="21"/>
      <c r="D310" s="21"/>
      <c r="E310" s="21" t="s">
        <v>273</v>
      </c>
      <c r="F310" s="21" t="s">
        <v>578</v>
      </c>
      <c r="G310" s="21"/>
      <c r="H310" s="1084"/>
      <c r="I310" s="66"/>
      <c r="J310" s="4"/>
      <c r="K310" s="241" t="s">
        <v>578</v>
      </c>
      <c r="L310" s="365" t="s">
        <v>3275</v>
      </c>
      <c r="M310" s="522"/>
      <c r="N310" s="4"/>
      <c r="O310" s="154"/>
      <c r="P310" s="97" t="b">
        <v>1</v>
      </c>
      <c r="Q310" s="97" t="b">
        <v>1</v>
      </c>
      <c r="R310" s="170" t="b">
        <v>0</v>
      </c>
      <c r="S310" s="170" t="b">
        <v>1</v>
      </c>
      <c r="T310" s="170" t="b">
        <v>0</v>
      </c>
      <c r="W310" s="25"/>
      <c r="X310" s="1303"/>
      <c r="Y310" s="1107"/>
      <c r="AA310" s="1110"/>
      <c r="AP310" s="311" t="str">
        <f t="shared" si="81"/>
        <v>dch605_3_2_e</v>
      </c>
      <c r="AQ310" s="311">
        <f t="shared" si="82"/>
        <v>0</v>
      </c>
    </row>
    <row r="311" spans="1:51" s="170" customFormat="1" x14ac:dyDescent="0.3">
      <c r="A311" s="18"/>
      <c r="B311" s="80">
        <v>605.29999999999995</v>
      </c>
      <c r="C311" s="21"/>
      <c r="D311" s="21"/>
      <c r="E311" s="21" t="s">
        <v>273</v>
      </c>
      <c r="F311" s="21" t="s">
        <v>645</v>
      </c>
      <c r="G311" s="21"/>
      <c r="H311" s="1084"/>
      <c r="I311" s="66"/>
      <c r="J311" s="4"/>
      <c r="K311" s="241" t="s">
        <v>645</v>
      </c>
      <c r="L311" s="365" t="s">
        <v>3276</v>
      </c>
      <c r="M311" s="522"/>
      <c r="N311" s="4"/>
      <c r="O311" s="154"/>
      <c r="P311" s="97" t="b">
        <v>1</v>
      </c>
      <c r="Q311" s="97" t="b">
        <v>1</v>
      </c>
      <c r="R311" s="170" t="b">
        <v>0</v>
      </c>
      <c r="S311" s="170" t="b">
        <v>1</v>
      </c>
      <c r="T311" s="170" t="b">
        <v>0</v>
      </c>
      <c r="W311" s="25"/>
      <c r="X311" s="1303"/>
      <c r="Y311" s="1107"/>
      <c r="AA311" s="1110"/>
      <c r="AP311" s="311" t="str">
        <f t="shared" si="81"/>
        <v>dch605_3_2_f</v>
      </c>
      <c r="AQ311" s="311">
        <f t="shared" si="82"/>
        <v>0</v>
      </c>
    </row>
    <row r="312" spans="1:51" s="170" customFormat="1" x14ac:dyDescent="0.3">
      <c r="A312" s="18"/>
      <c r="B312" s="80">
        <v>605.29999999999995</v>
      </c>
      <c r="C312" s="21"/>
      <c r="D312" s="21"/>
      <c r="E312" s="21" t="s">
        <v>273</v>
      </c>
      <c r="F312" s="21" t="s">
        <v>647</v>
      </c>
      <c r="G312" s="21"/>
      <c r="H312" s="1084"/>
      <c r="I312" s="66"/>
      <c r="J312" s="4"/>
      <c r="K312" s="247" t="s">
        <v>647</v>
      </c>
      <c r="L312" s="365" t="s">
        <v>3277</v>
      </c>
      <c r="M312" s="522"/>
      <c r="N312" s="4"/>
      <c r="O312" s="154"/>
      <c r="P312" s="97" t="b">
        <v>1</v>
      </c>
      <c r="Q312" s="97" t="b">
        <v>1</v>
      </c>
      <c r="R312" s="170" t="b">
        <v>0</v>
      </c>
      <c r="S312" s="170" t="b">
        <v>1</v>
      </c>
      <c r="T312" s="170" t="b">
        <v>0</v>
      </c>
      <c r="W312" s="25"/>
      <c r="X312" s="1303"/>
      <c r="Y312" s="1107"/>
      <c r="AA312" s="1110"/>
      <c r="AP312" s="311" t="str">
        <f t="shared" si="81"/>
        <v>dch605_3_2_g</v>
      </c>
      <c r="AQ312" s="311">
        <f t="shared" si="82"/>
        <v>0</v>
      </c>
      <c r="AX312" s="65"/>
      <c r="AY312" s="65"/>
    </row>
    <row r="313" spans="1:51" x14ac:dyDescent="0.3">
      <c r="B313" s="80">
        <v>605.29999999999995</v>
      </c>
      <c r="C313" s="21"/>
      <c r="D313" s="21"/>
      <c r="E313" s="21" t="s">
        <v>273</v>
      </c>
      <c r="F313" s="21" t="s">
        <v>649</v>
      </c>
      <c r="G313" s="21"/>
      <c r="H313" s="1084"/>
      <c r="I313" s="66"/>
      <c r="K313" s="248" t="s">
        <v>649</v>
      </c>
      <c r="L313" s="365" t="s">
        <v>3278</v>
      </c>
      <c r="M313" s="68"/>
      <c r="N313" s="4"/>
      <c r="O313" s="154"/>
      <c r="P313" s="97" t="b">
        <v>1</v>
      </c>
      <c r="Q313" s="97" t="b">
        <v>1</v>
      </c>
      <c r="R313" s="170" t="b">
        <v>0</v>
      </c>
      <c r="S313" s="170" t="b">
        <v>1</v>
      </c>
      <c r="T313" s="170" t="b">
        <v>0</v>
      </c>
      <c r="U313"/>
      <c r="V313"/>
      <c r="W313" s="25"/>
      <c r="X313" s="171"/>
      <c r="Z313"/>
      <c r="AB313"/>
      <c r="AC313" s="170" t="b">
        <f>OR(AD313:AE313)</f>
        <v>0</v>
      </c>
      <c r="AD313" s="170" t="b">
        <v>0</v>
      </c>
      <c r="AE313" s="170" t="b">
        <f>AND(W313=TRUE,LEN(X313)=0)</f>
        <v>0</v>
      </c>
      <c r="AF313"/>
      <c r="AG313"/>
      <c r="AH313"/>
      <c r="AI313"/>
      <c r="AJ313"/>
      <c r="AK313"/>
      <c r="AL313"/>
      <c r="AM313"/>
      <c r="AN313"/>
      <c r="AO313"/>
      <c r="AP313" s="311" t="str">
        <f t="shared" si="81"/>
        <v>dch605_3_2_h</v>
      </c>
      <c r="AQ313" s="311">
        <f t="shared" si="82"/>
        <v>0</v>
      </c>
      <c r="AR313" s="1059" t="str">
        <f>SUBSTITUTE(SUBSTITUTE(SUBSTITUTE("dnt"&amp;$B313&amp;$C313&amp;$D313&amp;$E313&amp;$F313,".","_"),"(","_"),")","")</f>
        <v>dnt605_3_2_h</v>
      </c>
      <c r="AS313" s="311">
        <f>X313</f>
        <v>0</v>
      </c>
    </row>
    <row r="314" spans="1:51" x14ac:dyDescent="0.3">
      <c r="B314" s="80">
        <v>605.29999999999995</v>
      </c>
      <c r="C314" s="21"/>
      <c r="D314" s="21"/>
      <c r="E314" s="21" t="s">
        <v>273</v>
      </c>
      <c r="F314" s="21" t="s">
        <v>985</v>
      </c>
      <c r="G314" s="21"/>
      <c r="H314" s="1084"/>
      <c r="I314" s="66"/>
      <c r="K314" s="88" t="s">
        <v>985</v>
      </c>
      <c r="L314" s="350" t="s">
        <v>3278</v>
      </c>
      <c r="M314" s="68"/>
      <c r="N314" s="4"/>
      <c r="O314" s="154"/>
      <c r="P314" s="97" t="b">
        <v>1</v>
      </c>
      <c r="Q314" s="97" t="b">
        <v>1</v>
      </c>
      <c r="R314" s="170" t="b">
        <v>0</v>
      </c>
      <c r="S314" s="170" t="b">
        <v>1</v>
      </c>
      <c r="T314" s="170" t="b">
        <v>0</v>
      </c>
      <c r="U314"/>
      <c r="V314"/>
      <c r="W314" s="25"/>
      <c r="X314" s="171"/>
      <c r="Z314"/>
      <c r="AB314"/>
      <c r="AC314" s="170" t="b">
        <f>OR(AD314:AE314)</f>
        <v>0</v>
      </c>
      <c r="AD314" s="170" t="b">
        <v>0</v>
      </c>
      <c r="AE314" s="170" t="b">
        <f>AND(W314=TRUE,LEN(X314)=0)</f>
        <v>0</v>
      </c>
      <c r="AF314"/>
      <c r="AG314"/>
      <c r="AH314"/>
      <c r="AI314"/>
      <c r="AJ314"/>
      <c r="AK314"/>
      <c r="AL314"/>
      <c r="AM314"/>
      <c r="AN314"/>
      <c r="AO314"/>
      <c r="AP314" s="311" t="str">
        <f t="shared" si="81"/>
        <v>dch605_3_2_i</v>
      </c>
      <c r="AQ314" s="311">
        <f t="shared" si="82"/>
        <v>0</v>
      </c>
      <c r="AR314" s="1059" t="str">
        <f>SUBSTITUTE(SUBSTITUTE(SUBSTITUTE("dnt"&amp;$B314&amp;$C314&amp;$D314&amp;$E314&amp;$F314,".","_"),"(","_"),")","")</f>
        <v>dnt605_3_2_i</v>
      </c>
      <c r="AS314" s="311">
        <f>X314</f>
        <v>0</v>
      </c>
      <c r="AX314" s="170"/>
      <c r="AY314" s="170"/>
    </row>
    <row r="315" spans="1:51" s="170" customFormat="1" x14ac:dyDescent="0.3">
      <c r="A315" s="18"/>
      <c r="B315" s="80">
        <v>605.29999999999995</v>
      </c>
      <c r="C315" s="21"/>
      <c r="D315" s="21"/>
      <c r="E315" s="21"/>
      <c r="F315" s="21"/>
      <c r="G315" s="21"/>
      <c r="H315" s="1084"/>
      <c r="I315" s="66"/>
      <c r="K315" s="88"/>
      <c r="L315" s="353" t="s">
        <v>3279</v>
      </c>
      <c r="M315" s="68"/>
      <c r="N315" s="4"/>
      <c r="O315" s="154"/>
      <c r="P315" s="440"/>
      <c r="Q315" s="440"/>
      <c r="W315"/>
      <c r="X315"/>
      <c r="Y315" s="1107"/>
      <c r="AA315" s="1110"/>
      <c r="AX315" s="65"/>
      <c r="AY315" s="65"/>
    </row>
    <row r="316" spans="1:51" ht="18" x14ac:dyDescent="0.35">
      <c r="B316" s="80">
        <v>606</v>
      </c>
      <c r="C316" s="21"/>
      <c r="D316" s="21"/>
      <c r="E316" s="21"/>
      <c r="F316" s="21"/>
      <c r="G316" s="21"/>
      <c r="H316" s="1084"/>
      <c r="I316" s="14" t="s">
        <v>715</v>
      </c>
      <c r="J316" s="23"/>
      <c r="K316" s="85"/>
      <c r="L316" s="259"/>
      <c r="M316" s="484"/>
      <c r="N316" s="604"/>
      <c r="O316" s="594"/>
      <c r="P316" s="23"/>
      <c r="Q316" s="23"/>
      <c r="R316" s="23"/>
      <c r="S316" s="23"/>
      <c r="T316" s="23"/>
      <c r="U316" s="23"/>
      <c r="V316" s="23"/>
      <c r="W316" s="23"/>
      <c r="X316" s="23"/>
      <c r="Z316"/>
      <c r="AB316"/>
      <c r="AC316"/>
      <c r="AD316"/>
      <c r="AE316"/>
      <c r="AF316"/>
      <c r="AG316"/>
      <c r="AH316"/>
      <c r="AI316"/>
      <c r="AJ316"/>
      <c r="AK316"/>
      <c r="AL316"/>
      <c r="AM316"/>
      <c r="AN316"/>
      <c r="AO316"/>
      <c r="AP316"/>
      <c r="AQ316"/>
      <c r="AR316"/>
      <c r="AS316"/>
    </row>
    <row r="317" spans="1:51" ht="15" thickBot="1" x14ac:dyDescent="0.35">
      <c r="B317" s="80" t="s">
        <v>4434</v>
      </c>
      <c r="C317" s="21"/>
      <c r="D317" s="21"/>
      <c r="E317" s="21"/>
      <c r="F317" s="21"/>
      <c r="G317" s="21"/>
      <c r="H317" s="1084"/>
      <c r="I317" s="81" t="s">
        <v>4434</v>
      </c>
      <c r="J317" s="4"/>
      <c r="K317" s="86"/>
      <c r="L317" s="355" t="s">
        <v>716</v>
      </c>
      <c r="M317" s="522"/>
      <c r="N317" s="4"/>
      <c r="O317" s="154"/>
      <c r="P317" s="440"/>
      <c r="Q317" s="440"/>
      <c r="R317"/>
      <c r="S317"/>
      <c r="T317"/>
      <c r="U317"/>
      <c r="V317"/>
      <c r="W317"/>
      <c r="X317"/>
      <c r="Z317"/>
      <c r="AB317"/>
      <c r="AC317"/>
      <c r="AD317"/>
      <c r="AE317"/>
      <c r="AF317"/>
      <c r="AG317"/>
      <c r="AH317"/>
      <c r="AI317"/>
      <c r="AJ317"/>
      <c r="AK317"/>
      <c r="AL317"/>
      <c r="AM317"/>
      <c r="AN317"/>
      <c r="AO317"/>
      <c r="AP317"/>
      <c r="AQ317"/>
      <c r="AR317"/>
      <c r="AS317"/>
    </row>
    <row r="318" spans="1:51" ht="15" thickTop="1" x14ac:dyDescent="0.3">
      <c r="B318" s="80">
        <v>606.1</v>
      </c>
      <c r="C318" s="21"/>
      <c r="D318" s="21"/>
      <c r="E318" s="21"/>
      <c r="F318" s="21"/>
      <c r="G318" s="21"/>
      <c r="H318" s="1084"/>
      <c r="I318" s="200">
        <v>606.1</v>
      </c>
      <c r="J318" s="201"/>
      <c r="K318" s="202"/>
      <c r="L318" s="367" t="s">
        <v>717</v>
      </c>
      <c r="M318" s="517"/>
      <c r="N318" s="201"/>
      <c r="O318" s="1336">
        <f ca="1">MIN(8,IF(R331&gt;1,6+R331+R329-2,IF(R331+R329&gt;1,3+MIN(2,R329+R331-2),0)))</f>
        <v>6</v>
      </c>
      <c r="P318" s="110"/>
      <c r="Q318" s="110"/>
      <c r="R318" s="110"/>
      <c r="S318" s="110"/>
      <c r="T318" s="110"/>
      <c r="U318" s="110"/>
      <c r="V318" s="110"/>
      <c r="W318" s="110"/>
      <c r="X318" s="110"/>
      <c r="Z318"/>
      <c r="AB318"/>
      <c r="AC318"/>
      <c r="AD318"/>
      <c r="AE318"/>
      <c r="AF318"/>
      <c r="AG318"/>
      <c r="AH318"/>
      <c r="AI318"/>
      <c r="AJ318"/>
      <c r="AK318"/>
      <c r="AL318"/>
      <c r="AM318"/>
      <c r="AN318" s="311" t="str">
        <f>SUBSTITUTE(SUBSTITUTE(SUBSTITUTE("dpc"&amp;$B318&amp;$C318&amp;$D318&amp;$E318&amp;$F318,".","_"),"(","_"),")","")</f>
        <v>dpc606_1</v>
      </c>
      <c r="AO318" s="311">
        <f ca="1">O318</f>
        <v>6</v>
      </c>
      <c r="AP318"/>
      <c r="AQ318"/>
      <c r="AR318"/>
      <c r="AS318"/>
    </row>
    <row r="319" spans="1:51" x14ac:dyDescent="0.3">
      <c r="B319" s="80">
        <v>606.1</v>
      </c>
      <c r="C319" s="21"/>
      <c r="D319" s="21"/>
      <c r="E319" s="21"/>
      <c r="F319" s="21" t="s">
        <v>121</v>
      </c>
      <c r="G319" s="21"/>
      <c r="H319" s="1084"/>
      <c r="I319" s="141"/>
      <c r="J319" s="140"/>
      <c r="K319" s="94" t="s">
        <v>121</v>
      </c>
      <c r="L319" s="344" t="s">
        <v>718</v>
      </c>
      <c r="M319" s="518"/>
      <c r="N319" s="140"/>
      <c r="O319" s="1308"/>
      <c r="P319" s="97" t="b">
        <v>1</v>
      </c>
      <c r="Q319" s="97" t="b">
        <v>1</v>
      </c>
      <c r="R319" s="97" t="b">
        <v>0</v>
      </c>
      <c r="S319" s="97" t="b">
        <f>OR(NOT(ISBLANK(W346)),NOT(ISBLANK(W347)),NOT(ISBLANK(W349)),NOT(ISBLANK(W350)))</f>
        <v>1</v>
      </c>
      <c r="T319" s="97" t="b">
        <f>AND(NOT(S319),LEN(W319)&gt;0)</f>
        <v>0</v>
      </c>
      <c r="U319" s="97" t="str">
        <f t="shared" ref="U319:U326" si="83">SUBSTITUTE(SUBSTITUTE(SUBSTITUTE("dd"&amp;B319&amp;C319&amp;D319&amp;E319&amp;F319,".","_"),"(","_"),")","")</f>
        <v>dd606_1_a</v>
      </c>
      <c r="V319" s="97"/>
      <c r="W319" s="114"/>
      <c r="X319" s="1295"/>
      <c r="Z319"/>
      <c r="AB319"/>
      <c r="AC319" s="170" t="b">
        <f>OR(AD319:AE319)</f>
        <v>0</v>
      </c>
      <c r="AD319" s="170" t="b">
        <f>T319</f>
        <v>0</v>
      </c>
      <c r="AE319"/>
      <c r="AF319"/>
      <c r="AG319"/>
      <c r="AH319"/>
      <c r="AI319"/>
      <c r="AJ319"/>
      <c r="AK319"/>
      <c r="AL319"/>
      <c r="AM319"/>
      <c r="AN319"/>
      <c r="AO319"/>
      <c r="AP319" s="311" t="str">
        <f t="shared" ref="AP319:AP326" si="84">SUBSTITUTE(SUBSTITUTE(SUBSTITUTE("dch"&amp;$B319&amp;$C319&amp;$D319&amp;$E319&amp;$F319,".","_"),"(","_"),")","")</f>
        <v>dch606_1_a</v>
      </c>
      <c r="AQ319" s="311">
        <f t="shared" ref="AQ319:AQ326" si="85">W319</f>
        <v>0</v>
      </c>
      <c r="AR319" s="1059" t="str">
        <f>SUBSTITUTE(SUBSTITUTE(SUBSTITUTE("dnt"&amp;$B319&amp;$C319&amp;$D319&amp;$E319&amp;$F319,".","_"),"(","_"),")","")</f>
        <v>dnt606_1_a</v>
      </c>
      <c r="AS319" s="311">
        <f>X319</f>
        <v>0</v>
      </c>
    </row>
    <row r="320" spans="1:51" x14ac:dyDescent="0.3">
      <c r="B320" s="80">
        <v>606.1</v>
      </c>
      <c r="C320" s="21"/>
      <c r="D320" s="21"/>
      <c r="E320" s="21"/>
      <c r="F320" s="21" t="s">
        <v>122</v>
      </c>
      <c r="G320" s="21"/>
      <c r="H320" s="1084"/>
      <c r="I320" s="141"/>
      <c r="J320" s="140"/>
      <c r="K320" s="94" t="s">
        <v>122</v>
      </c>
      <c r="L320" s="344" t="s">
        <v>719</v>
      </c>
      <c r="M320" s="518"/>
      <c r="N320" s="140"/>
      <c r="O320" s="1308"/>
      <c r="P320" s="97" t="b">
        <v>1</v>
      </c>
      <c r="Q320" s="97" t="b">
        <v>1</v>
      </c>
      <c r="R320" s="97" t="b">
        <v>0</v>
      </c>
      <c r="S320" s="97" t="b">
        <v>1</v>
      </c>
      <c r="T320" s="97" t="b">
        <v>0</v>
      </c>
      <c r="U320" s="97" t="str">
        <f t="shared" si="83"/>
        <v>dd606_1_b</v>
      </c>
      <c r="V320" s="97"/>
      <c r="W320" s="114" t="s">
        <v>3281</v>
      </c>
      <c r="X320" s="1295"/>
      <c r="Z320"/>
      <c r="AB320"/>
      <c r="AC320"/>
      <c r="AD320"/>
      <c r="AE320"/>
      <c r="AF320"/>
      <c r="AG320"/>
      <c r="AH320"/>
      <c r="AI320"/>
      <c r="AJ320"/>
      <c r="AK320"/>
      <c r="AL320"/>
      <c r="AM320"/>
      <c r="AN320"/>
      <c r="AO320"/>
      <c r="AP320" s="311" t="str">
        <f t="shared" si="84"/>
        <v>dch606_1_b</v>
      </c>
      <c r="AQ320" s="311" t="str">
        <f t="shared" si="85"/>
        <v>more than 1%</v>
      </c>
      <c r="AR320"/>
      <c r="AS320"/>
    </row>
    <row r="321" spans="1:51" x14ac:dyDescent="0.3">
      <c r="B321" s="80">
        <v>606.1</v>
      </c>
      <c r="C321" s="21"/>
      <c r="D321" s="21"/>
      <c r="E321" s="21"/>
      <c r="F321" s="26" t="s">
        <v>123</v>
      </c>
      <c r="G321" s="26"/>
      <c r="H321" s="1085"/>
      <c r="I321" s="141"/>
      <c r="J321" s="140"/>
      <c r="K321" s="115" t="s">
        <v>123</v>
      </c>
      <c r="L321" s="344" t="s">
        <v>720</v>
      </c>
      <c r="M321" s="518"/>
      <c r="N321" s="140"/>
      <c r="O321" s="1308"/>
      <c r="P321" s="97" t="b">
        <v>1</v>
      </c>
      <c r="Q321" s="97" t="b">
        <v>1</v>
      </c>
      <c r="R321" s="97" t="b">
        <v>0</v>
      </c>
      <c r="S321" s="97" t="b">
        <v>1</v>
      </c>
      <c r="T321" s="97" t="b">
        <v>0</v>
      </c>
      <c r="U321" s="97" t="str">
        <f t="shared" si="83"/>
        <v>dd606_1_c</v>
      </c>
      <c r="V321" s="97"/>
      <c r="W321" s="114" t="s">
        <v>3281</v>
      </c>
      <c r="X321" s="1295"/>
      <c r="Z321"/>
      <c r="AB321"/>
      <c r="AC321"/>
      <c r="AD321"/>
      <c r="AE321"/>
      <c r="AF321"/>
      <c r="AG321"/>
      <c r="AH321"/>
      <c r="AI321"/>
      <c r="AJ321"/>
      <c r="AK321"/>
      <c r="AL321"/>
      <c r="AM321"/>
      <c r="AN321"/>
      <c r="AO321"/>
      <c r="AP321" s="311" t="str">
        <f t="shared" si="84"/>
        <v>dch606_1_c</v>
      </c>
      <c r="AQ321" s="311" t="str">
        <f t="shared" si="85"/>
        <v>more than 1%</v>
      </c>
      <c r="AR321"/>
      <c r="AS321"/>
    </row>
    <row r="322" spans="1:51" x14ac:dyDescent="0.3">
      <c r="B322" s="80">
        <v>606.1</v>
      </c>
      <c r="C322" s="21"/>
      <c r="D322" s="21"/>
      <c r="E322" s="21"/>
      <c r="F322" s="21" t="s">
        <v>423</v>
      </c>
      <c r="G322" s="21"/>
      <c r="H322" s="1084"/>
      <c r="I322" s="141"/>
      <c r="J322" s="140"/>
      <c r="K322" s="210" t="s">
        <v>423</v>
      </c>
      <c r="L322" s="344" t="s">
        <v>721</v>
      </c>
      <c r="M322" s="518"/>
      <c r="N322" s="140"/>
      <c r="O322" s="1308"/>
      <c r="P322" s="97" t="b">
        <v>1</v>
      </c>
      <c r="Q322" s="97" t="b">
        <v>1</v>
      </c>
      <c r="R322" s="97" t="b">
        <v>0</v>
      </c>
      <c r="S322" s="97" t="b">
        <v>1</v>
      </c>
      <c r="T322" s="97" t="b">
        <v>0</v>
      </c>
      <c r="U322" s="97" t="str">
        <f t="shared" si="83"/>
        <v>dd606_1_d</v>
      </c>
      <c r="V322" s="97"/>
      <c r="W322" s="114"/>
      <c r="X322" s="1295"/>
      <c r="Z322"/>
      <c r="AB322"/>
      <c r="AC322"/>
      <c r="AD322"/>
      <c r="AE322"/>
      <c r="AF322"/>
      <c r="AG322"/>
      <c r="AH322"/>
      <c r="AI322"/>
      <c r="AJ322"/>
      <c r="AK322"/>
      <c r="AL322"/>
      <c r="AM322"/>
      <c r="AN322"/>
      <c r="AO322"/>
      <c r="AP322" s="311" t="str">
        <f t="shared" si="84"/>
        <v>dch606_1_d</v>
      </c>
      <c r="AQ322" s="311">
        <f t="shared" si="85"/>
        <v>0</v>
      </c>
      <c r="AR322"/>
      <c r="AS322"/>
    </row>
    <row r="323" spans="1:51" x14ac:dyDescent="0.3">
      <c r="B323" s="80">
        <v>606.1</v>
      </c>
      <c r="C323" s="21"/>
      <c r="D323" s="21"/>
      <c r="E323" s="21"/>
      <c r="F323" s="21" t="s">
        <v>578</v>
      </c>
      <c r="G323" s="21"/>
      <c r="H323" s="1084"/>
      <c r="I323" s="141"/>
      <c r="J323" s="140"/>
      <c r="K323" s="94" t="s">
        <v>578</v>
      </c>
      <c r="L323" s="344" t="s">
        <v>722</v>
      </c>
      <c r="M323" s="518"/>
      <c r="N323" s="140"/>
      <c r="O323" s="1308"/>
      <c r="P323" s="97" t="b">
        <v>1</v>
      </c>
      <c r="Q323" s="97" t="b">
        <v>1</v>
      </c>
      <c r="R323" s="97" t="b">
        <v>0</v>
      </c>
      <c r="S323" s="97" t="b">
        <v>1</v>
      </c>
      <c r="T323" s="97" t="b">
        <v>0</v>
      </c>
      <c r="U323" s="97" t="str">
        <f t="shared" si="83"/>
        <v>dd606_1_e</v>
      </c>
      <c r="V323" s="97"/>
      <c r="W323" s="114"/>
      <c r="X323" s="1295"/>
      <c r="Z323"/>
      <c r="AB323"/>
      <c r="AC323"/>
      <c r="AD323"/>
      <c r="AE323"/>
      <c r="AF323"/>
      <c r="AG323"/>
      <c r="AH323"/>
      <c r="AI323"/>
      <c r="AJ323"/>
      <c r="AK323"/>
      <c r="AL323"/>
      <c r="AM323"/>
      <c r="AN323"/>
      <c r="AO323"/>
      <c r="AP323" s="311" t="str">
        <f t="shared" si="84"/>
        <v>dch606_1_e</v>
      </c>
      <c r="AQ323" s="311">
        <f t="shared" si="85"/>
        <v>0</v>
      </c>
      <c r="AR323"/>
      <c r="AS323"/>
    </row>
    <row r="324" spans="1:51" x14ac:dyDescent="0.3">
      <c r="B324" s="80">
        <v>606.1</v>
      </c>
      <c r="C324" s="21"/>
      <c r="D324" s="21"/>
      <c r="E324" s="21"/>
      <c r="F324" s="21" t="s">
        <v>645</v>
      </c>
      <c r="G324" s="21"/>
      <c r="H324" s="1084"/>
      <c r="I324" s="141"/>
      <c r="J324" s="140"/>
      <c r="K324" s="94" t="s">
        <v>645</v>
      </c>
      <c r="L324" s="344" t="s">
        <v>723</v>
      </c>
      <c r="M324" s="518"/>
      <c r="N324" s="140"/>
      <c r="O324" s="1308"/>
      <c r="P324" s="97" t="b">
        <v>1</v>
      </c>
      <c r="Q324" s="97" t="b">
        <v>1</v>
      </c>
      <c r="R324" s="97" t="b">
        <v>0</v>
      </c>
      <c r="S324" s="97" t="b">
        <v>1</v>
      </c>
      <c r="T324" s="97" t="b">
        <v>0</v>
      </c>
      <c r="U324" s="97" t="str">
        <f t="shared" si="83"/>
        <v>dd606_1_f</v>
      </c>
      <c r="V324" s="97"/>
      <c r="W324" s="114"/>
      <c r="X324" s="1295"/>
      <c r="Z324"/>
      <c r="AB324"/>
      <c r="AC324"/>
      <c r="AD324"/>
      <c r="AE324"/>
      <c r="AF324"/>
      <c r="AG324"/>
      <c r="AH324"/>
      <c r="AI324"/>
      <c r="AJ324"/>
      <c r="AK324"/>
      <c r="AL324"/>
      <c r="AM324"/>
      <c r="AN324"/>
      <c r="AO324"/>
      <c r="AP324" s="311" t="str">
        <f t="shared" si="84"/>
        <v>dch606_1_f</v>
      </c>
      <c r="AQ324" s="311">
        <f t="shared" si="85"/>
        <v>0</v>
      </c>
      <c r="AR324"/>
      <c r="AS324"/>
    </row>
    <row r="325" spans="1:51" x14ac:dyDescent="0.3">
      <c r="B325" s="80">
        <v>606.1</v>
      </c>
      <c r="C325" s="21"/>
      <c r="D325" s="21"/>
      <c r="E325" s="21"/>
      <c r="F325" s="26" t="s">
        <v>647</v>
      </c>
      <c r="G325" s="26"/>
      <c r="H325" s="1085"/>
      <c r="I325" s="141"/>
      <c r="J325" s="140"/>
      <c r="K325" s="115" t="s">
        <v>647</v>
      </c>
      <c r="L325" s="344" t="s">
        <v>724</v>
      </c>
      <c r="M325" s="518"/>
      <c r="N325" s="140"/>
      <c r="O325" s="1308"/>
      <c r="P325" s="97" t="b">
        <v>1</v>
      </c>
      <c r="Q325" s="97" t="b">
        <v>1</v>
      </c>
      <c r="R325" s="97" t="b">
        <v>0</v>
      </c>
      <c r="S325" s="97" t="b">
        <v>1</v>
      </c>
      <c r="T325" s="97" t="b">
        <v>0</v>
      </c>
      <c r="U325" s="97" t="str">
        <f t="shared" si="83"/>
        <v>dd606_1_g</v>
      </c>
      <c r="V325" s="97"/>
      <c r="W325" s="114"/>
      <c r="X325" s="1295"/>
      <c r="Z325"/>
      <c r="AB325"/>
      <c r="AC325"/>
      <c r="AD325"/>
      <c r="AE325"/>
      <c r="AF325"/>
      <c r="AG325"/>
      <c r="AH325"/>
      <c r="AI325"/>
      <c r="AJ325"/>
      <c r="AK325"/>
      <c r="AL325"/>
      <c r="AM325"/>
      <c r="AN325"/>
      <c r="AO325"/>
      <c r="AP325" s="311" t="str">
        <f t="shared" si="84"/>
        <v>dch606_1_g</v>
      </c>
      <c r="AQ325" s="311">
        <f t="shared" si="85"/>
        <v>0</v>
      </c>
      <c r="AR325"/>
      <c r="AS325"/>
    </row>
    <row r="326" spans="1:51" x14ac:dyDescent="0.3">
      <c r="B326" s="80">
        <v>606.1</v>
      </c>
      <c r="C326" s="21"/>
      <c r="D326" s="21"/>
      <c r="E326" s="21"/>
      <c r="F326" s="21" t="s">
        <v>649</v>
      </c>
      <c r="G326" s="21"/>
      <c r="H326" s="1084"/>
      <c r="I326" s="141"/>
      <c r="J326" s="140"/>
      <c r="K326" s="210" t="s">
        <v>649</v>
      </c>
      <c r="L326" s="1305" t="s">
        <v>725</v>
      </c>
      <c r="M326" s="518"/>
      <c r="N326" s="140"/>
      <c r="O326" s="1308"/>
      <c r="P326" s="97" t="b">
        <v>1</v>
      </c>
      <c r="Q326" s="97" t="b">
        <v>1</v>
      </c>
      <c r="R326" s="97" t="b">
        <v>0</v>
      </c>
      <c r="S326" s="97" t="b">
        <v>1</v>
      </c>
      <c r="T326" s="97" t="b">
        <v>0</v>
      </c>
      <c r="U326" s="97" t="str">
        <f t="shared" si="83"/>
        <v>dd606_1_h</v>
      </c>
      <c r="V326" s="97"/>
      <c r="W326" s="114"/>
      <c r="X326" s="1295"/>
      <c r="Z326"/>
      <c r="AB326"/>
      <c r="AC326" s="145" t="b">
        <f>OR(AD326:AE326)</f>
        <v>0</v>
      </c>
      <c r="AD326" s="145" t="b">
        <v>0</v>
      </c>
      <c r="AE326" s="145" t="b">
        <f>AND(NOT(ISBLANK(W326)),LEN(X319)=0)</f>
        <v>0</v>
      </c>
      <c r="AF326"/>
      <c r="AG326"/>
      <c r="AH326"/>
      <c r="AI326"/>
      <c r="AJ326"/>
      <c r="AK326"/>
      <c r="AL326"/>
      <c r="AM326"/>
      <c r="AN326"/>
      <c r="AO326"/>
      <c r="AP326" s="311" t="str">
        <f t="shared" si="84"/>
        <v>dch606_1_h</v>
      </c>
      <c r="AQ326" s="311">
        <f t="shared" si="85"/>
        <v>0</v>
      </c>
      <c r="AR326"/>
      <c r="AS326"/>
    </row>
    <row r="327" spans="1:51" x14ac:dyDescent="0.3">
      <c r="B327" s="80">
        <v>606.1</v>
      </c>
      <c r="C327" s="21"/>
      <c r="D327" s="21"/>
      <c r="E327" s="21"/>
      <c r="F327" s="21" t="s">
        <v>649</v>
      </c>
      <c r="G327" s="21"/>
      <c r="H327" s="1084"/>
      <c r="I327" s="141"/>
      <c r="J327" s="140"/>
      <c r="K327" s="210"/>
      <c r="L327" s="1305"/>
      <c r="M327" s="518"/>
      <c r="N327" s="140"/>
      <c r="O327" s="1308"/>
      <c r="P327" s="97"/>
      <c r="Q327" s="97"/>
      <c r="R327" s="97"/>
      <c r="S327" s="97"/>
      <c r="T327" s="97"/>
      <c r="U327" s="97"/>
      <c r="V327" s="97"/>
      <c r="W327" s="97"/>
      <c r="X327" s="1295"/>
      <c r="Z327"/>
      <c r="AB327"/>
      <c r="AC327"/>
      <c r="AD327"/>
      <c r="AE327"/>
      <c r="AF327"/>
      <c r="AG327"/>
      <c r="AH327"/>
      <c r="AI327"/>
      <c r="AJ327"/>
      <c r="AK327"/>
      <c r="AL327"/>
      <c r="AM327"/>
      <c r="AN327"/>
      <c r="AO327"/>
      <c r="AP327"/>
      <c r="AQ327"/>
      <c r="AR327"/>
      <c r="AS327"/>
      <c r="AX327" s="145"/>
      <c r="AY327" s="145"/>
    </row>
    <row r="328" spans="1:51" s="145" customFormat="1" x14ac:dyDescent="0.3">
      <c r="A328" s="18"/>
      <c r="B328" s="80">
        <v>606.1</v>
      </c>
      <c r="C328" s="21"/>
      <c r="D328" s="21"/>
      <c r="E328" s="21"/>
      <c r="F328" s="21"/>
      <c r="G328" s="21"/>
      <c r="H328" s="1084"/>
      <c r="I328" s="141"/>
      <c r="J328" s="140"/>
      <c r="K328" s="210"/>
      <c r="L328" s="351" t="s">
        <v>1305</v>
      </c>
      <c r="M328" s="518"/>
      <c r="N328" s="140"/>
      <c r="O328" s="269"/>
      <c r="P328" s="97"/>
      <c r="Q328" s="97"/>
      <c r="R328" s="97"/>
      <c r="S328" s="97"/>
      <c r="T328" s="97"/>
      <c r="U328" s="97"/>
      <c r="V328" s="97"/>
      <c r="W328" s="97"/>
      <c r="X328" s="1295"/>
      <c r="Y328" s="1107"/>
      <c r="AA328" s="1110"/>
      <c r="AX328" s="65"/>
      <c r="AY328" s="65"/>
    </row>
    <row r="329" spans="1:51" x14ac:dyDescent="0.3">
      <c r="B329" s="80">
        <v>606.1</v>
      </c>
      <c r="C329" s="21"/>
      <c r="D329" s="21"/>
      <c r="E329" s="21" t="s">
        <v>271</v>
      </c>
      <c r="F329" s="21"/>
      <c r="G329" s="21"/>
      <c r="H329" s="1084"/>
      <c r="I329" s="141"/>
      <c r="J329" s="203" t="s">
        <v>271</v>
      </c>
      <c r="K329" s="98"/>
      <c r="L329" s="1305" t="s">
        <v>726</v>
      </c>
      <c r="M329" s="1318">
        <v>3</v>
      </c>
      <c r="N329" s="140"/>
      <c r="O329" s="269"/>
      <c r="P329" s="97"/>
      <c r="Q329" s="97"/>
      <c r="R329" s="221">
        <f ca="1">COUNTIF(W320:W326,INDEX(INDIRECT(U319),1))+IF(AND(S319,W319=INDEX(INDIRECT(U319),1)),1,0)</f>
        <v>0</v>
      </c>
      <c r="S329" s="97"/>
      <c r="T329" s="97"/>
      <c r="U329" s="97"/>
      <c r="V329" s="97"/>
      <c r="W329" s="97"/>
      <c r="X329" s="1295"/>
      <c r="Z329"/>
      <c r="AB329"/>
      <c r="AC329"/>
      <c r="AD329"/>
      <c r="AE329"/>
      <c r="AF329"/>
      <c r="AG329"/>
      <c r="AH329"/>
      <c r="AI329"/>
      <c r="AJ329"/>
      <c r="AK329"/>
      <c r="AL329" s="311" t="str">
        <f>SUBSTITUTE(SUBSTITUTE(SUBSTITUTE("dpa"&amp;$B329&amp;$C329&amp;$D329&amp;$E329&amp;$F329,".","_"),"(","_"),")","")</f>
        <v>dpa606_1_1</v>
      </c>
      <c r="AM329" s="311">
        <f>M329</f>
        <v>3</v>
      </c>
      <c r="AN329"/>
      <c r="AO329"/>
      <c r="AP329"/>
      <c r="AQ329"/>
      <c r="AR329"/>
      <c r="AS329"/>
    </row>
    <row r="330" spans="1:51" x14ac:dyDescent="0.3">
      <c r="B330" s="80">
        <v>606.1</v>
      </c>
      <c r="C330" s="21"/>
      <c r="D330" s="21"/>
      <c r="E330" s="21" t="s">
        <v>271</v>
      </c>
      <c r="F330" s="21"/>
      <c r="G330" s="21"/>
      <c r="H330" s="1084"/>
      <c r="I330" s="141"/>
      <c r="J330" s="238"/>
      <c r="K330" s="193"/>
      <c r="L330" s="1306"/>
      <c r="M330" s="1319"/>
      <c r="N330" s="140"/>
      <c r="O330" s="269"/>
      <c r="P330" s="97"/>
      <c r="Q330" s="97"/>
      <c r="R330" s="97"/>
      <c r="S330" s="97"/>
      <c r="T330" s="97"/>
      <c r="U330" s="97"/>
      <c r="V330" s="97"/>
      <c r="W330" s="97"/>
      <c r="X330" s="1295"/>
      <c r="Z330"/>
      <c r="AB330"/>
      <c r="AC330"/>
      <c r="AD330"/>
      <c r="AE330"/>
      <c r="AF330"/>
      <c r="AG330"/>
      <c r="AH330"/>
      <c r="AI330"/>
      <c r="AJ330"/>
      <c r="AK330"/>
      <c r="AL330"/>
      <c r="AM330"/>
      <c r="AN330"/>
      <c r="AO330"/>
      <c r="AP330"/>
      <c r="AQ330"/>
      <c r="AR330"/>
      <c r="AS330"/>
    </row>
    <row r="331" spans="1:51" x14ac:dyDescent="0.3">
      <c r="B331" s="80">
        <v>606.1</v>
      </c>
      <c r="C331" s="21"/>
      <c r="D331" s="21"/>
      <c r="E331" s="21" t="s">
        <v>273</v>
      </c>
      <c r="F331" s="21"/>
      <c r="G331" s="21"/>
      <c r="H331" s="1084"/>
      <c r="I331" s="141"/>
      <c r="J331" s="237" t="s">
        <v>273</v>
      </c>
      <c r="K331" s="217"/>
      <c r="L331" s="1356" t="s">
        <v>727</v>
      </c>
      <c r="M331" s="1323">
        <v>6</v>
      </c>
      <c r="N331" s="140"/>
      <c r="O331" s="269"/>
      <c r="P331" s="97"/>
      <c r="Q331" s="97"/>
      <c r="R331" s="221">
        <f ca="1">COUNTIF(W320:W326,INDEX(INDIRECT(U319),2))+IF(AND(S319,W319=INDEX(INDIRECT(U319),2)),1,0)</f>
        <v>2</v>
      </c>
      <c r="S331" s="97"/>
      <c r="T331" s="97"/>
      <c r="U331" s="97"/>
      <c r="V331" s="97"/>
      <c r="W331" s="97"/>
      <c r="X331" s="1295"/>
      <c r="Z331"/>
      <c r="AB331"/>
      <c r="AC331"/>
      <c r="AD331"/>
      <c r="AE331"/>
      <c r="AF331"/>
      <c r="AG331"/>
      <c r="AH331"/>
      <c r="AI331"/>
      <c r="AJ331"/>
      <c r="AK331"/>
      <c r="AL331" s="311" t="str">
        <f>SUBSTITUTE(SUBSTITUTE(SUBSTITUTE("dpa"&amp;$B331&amp;$C331&amp;$D331&amp;$E331&amp;$F331,".","_"),"(","_"),")","")</f>
        <v>dpa606_1_2</v>
      </c>
      <c r="AM331" s="311">
        <f>M331</f>
        <v>6</v>
      </c>
      <c r="AN331"/>
      <c r="AO331"/>
      <c r="AP331"/>
      <c r="AQ331"/>
      <c r="AR331"/>
      <c r="AS331"/>
    </row>
    <row r="332" spans="1:51" x14ac:dyDescent="0.3">
      <c r="B332" s="80">
        <v>606.1</v>
      </c>
      <c r="C332" s="21"/>
      <c r="D332" s="21"/>
      <c r="E332" s="21" t="s">
        <v>273</v>
      </c>
      <c r="F332" s="21"/>
      <c r="G332" s="21"/>
      <c r="H332" s="1084"/>
      <c r="I332" s="141"/>
      <c r="J332" s="238"/>
      <c r="K332" s="193"/>
      <c r="L332" s="1306"/>
      <c r="M332" s="1319"/>
      <c r="N332" s="140"/>
      <c r="O332" s="269"/>
      <c r="P332" s="97"/>
      <c r="Q332" s="97"/>
      <c r="R332" s="97"/>
      <c r="S332" s="97"/>
      <c r="T332" s="97"/>
      <c r="U332" s="97"/>
      <c r="V332" s="97"/>
      <c r="W332" s="97"/>
      <c r="X332" s="1295"/>
      <c r="Z332"/>
      <c r="AB332"/>
      <c r="AC332"/>
      <c r="AD332"/>
      <c r="AE332"/>
      <c r="AF332"/>
      <c r="AG332"/>
      <c r="AH332"/>
      <c r="AI332"/>
      <c r="AJ332"/>
      <c r="AK332"/>
      <c r="AL332"/>
      <c r="AM332"/>
      <c r="AN332"/>
      <c r="AO332"/>
      <c r="AP332"/>
      <c r="AQ332"/>
      <c r="AR332"/>
      <c r="AS332"/>
    </row>
    <row r="333" spans="1:51" x14ac:dyDescent="0.3">
      <c r="B333" s="80">
        <v>606.1</v>
      </c>
      <c r="C333" s="21"/>
      <c r="D333" s="21"/>
      <c r="E333" s="21" t="s">
        <v>275</v>
      </c>
      <c r="F333" s="21"/>
      <c r="G333" s="21"/>
      <c r="H333" s="1084"/>
      <c r="I333" s="141"/>
      <c r="J333" s="203" t="s">
        <v>275</v>
      </c>
      <c r="K333" s="98"/>
      <c r="L333" s="1305" t="s">
        <v>728</v>
      </c>
      <c r="M333" s="1360" t="s">
        <v>3282</v>
      </c>
      <c r="N333" s="140"/>
      <c r="O333" s="269"/>
      <c r="P333" s="97"/>
      <c r="Q333" s="97"/>
      <c r="R333" s="97"/>
      <c r="S333" s="97"/>
      <c r="T333" s="97"/>
      <c r="U333" s="97"/>
      <c r="V333" s="97"/>
      <c r="W333" s="97"/>
      <c r="X333" s="1295"/>
      <c r="Z333"/>
      <c r="AB333"/>
      <c r="AC333"/>
      <c r="AD333"/>
      <c r="AE333"/>
      <c r="AF333"/>
      <c r="AG333"/>
      <c r="AH333"/>
      <c r="AI333"/>
      <c r="AJ333"/>
      <c r="AK333"/>
      <c r="AL333" s="311" t="str">
        <f>SUBSTITUTE(SUBSTITUTE(SUBSTITUTE("dpa"&amp;$B333&amp;$C333&amp;$D333&amp;$E333&amp;$F333,".","_"),"(","_"),")","")</f>
        <v>dpa606_1_3</v>
      </c>
      <c r="AM333" s="311" t="str">
        <f>M333</f>
        <v>1
2 Max</v>
      </c>
      <c r="AN333"/>
      <c r="AO333"/>
      <c r="AP333"/>
      <c r="AQ333"/>
      <c r="AR333"/>
      <c r="AS333"/>
    </row>
    <row r="334" spans="1:51" ht="15" thickBot="1" x14ac:dyDescent="0.35">
      <c r="B334" s="80">
        <v>606.1</v>
      </c>
      <c r="C334" s="21"/>
      <c r="D334" s="21"/>
      <c r="E334" s="21" t="s">
        <v>275</v>
      </c>
      <c r="F334" s="21"/>
      <c r="G334" s="21"/>
      <c r="H334" s="1084"/>
      <c r="I334" s="141"/>
      <c r="J334" s="140"/>
      <c r="K334" s="98"/>
      <c r="L334" s="1305"/>
      <c r="M334" s="1360"/>
      <c r="N334" s="140"/>
      <c r="O334" s="269"/>
      <c r="P334" s="97"/>
      <c r="Q334" s="97"/>
      <c r="R334" s="97"/>
      <c r="S334" s="97"/>
      <c r="T334" s="97"/>
      <c r="U334" s="97"/>
      <c r="V334" s="97"/>
      <c r="W334" s="97"/>
      <c r="X334" s="1337"/>
      <c r="Z334"/>
      <c r="AB334"/>
      <c r="AC334"/>
      <c r="AD334"/>
      <c r="AE334"/>
      <c r="AF334"/>
      <c r="AG334"/>
      <c r="AH334"/>
      <c r="AI334"/>
      <c r="AJ334"/>
      <c r="AK334"/>
      <c r="AL334"/>
      <c r="AM334"/>
      <c r="AN334"/>
      <c r="AO334"/>
      <c r="AP334"/>
      <c r="AQ334"/>
      <c r="AR334"/>
      <c r="AS334"/>
    </row>
    <row r="335" spans="1:51" ht="15" thickTop="1" x14ac:dyDescent="0.3">
      <c r="B335" s="80">
        <v>606.20000000000005</v>
      </c>
      <c r="C335" s="21"/>
      <c r="D335" s="21"/>
      <c r="E335" s="21"/>
      <c r="F335" s="21"/>
      <c r="G335" s="21"/>
      <c r="H335" s="1084"/>
      <c r="I335" s="200">
        <v>606.20000000000005</v>
      </c>
      <c r="J335" s="201"/>
      <c r="K335" s="202"/>
      <c r="L335" s="1331" t="s">
        <v>729</v>
      </c>
      <c r="M335" s="517"/>
      <c r="N335" s="201"/>
      <c r="O335" s="596"/>
      <c r="P335" s="110"/>
      <c r="Q335" s="110"/>
      <c r="R335" s="110"/>
      <c r="S335" s="110"/>
      <c r="T335" s="110"/>
      <c r="U335" s="110"/>
      <c r="V335" s="110"/>
      <c r="W335" s="110"/>
      <c r="X335" s="110"/>
      <c r="Z335"/>
      <c r="AB335"/>
      <c r="AC335"/>
      <c r="AD335"/>
      <c r="AE335"/>
      <c r="AF335"/>
      <c r="AG335"/>
      <c r="AH335"/>
      <c r="AI335"/>
      <c r="AJ335"/>
      <c r="AK335"/>
      <c r="AL335"/>
      <c r="AM335"/>
      <c r="AN335"/>
      <c r="AO335"/>
      <c r="AP335"/>
      <c r="AQ335"/>
      <c r="AR335"/>
      <c r="AS335"/>
    </row>
    <row r="336" spans="1:51" x14ac:dyDescent="0.3">
      <c r="B336" s="80">
        <v>606.20000000000005</v>
      </c>
      <c r="C336" s="21"/>
      <c r="D336" s="21"/>
      <c r="E336" s="21"/>
      <c r="F336" s="21"/>
      <c r="G336" s="21"/>
      <c r="H336" s="1084"/>
      <c r="I336" s="141"/>
      <c r="J336" s="140"/>
      <c r="K336" s="98"/>
      <c r="L336" s="1313"/>
      <c r="M336" s="518"/>
      <c r="N336" s="140"/>
      <c r="O336" s="269"/>
      <c r="P336" s="97"/>
      <c r="Q336" s="97"/>
      <c r="R336" s="97"/>
      <c r="S336" s="97"/>
      <c r="T336" s="97"/>
      <c r="U336" s="97"/>
      <c r="V336" s="97"/>
      <c r="W336" s="97"/>
      <c r="X336" s="97"/>
      <c r="Z336"/>
      <c r="AB336"/>
      <c r="AC336"/>
      <c r="AD336"/>
      <c r="AE336"/>
      <c r="AF336"/>
      <c r="AG336"/>
      <c r="AH336"/>
      <c r="AI336"/>
      <c r="AJ336"/>
      <c r="AK336"/>
      <c r="AL336"/>
      <c r="AM336"/>
      <c r="AN336"/>
      <c r="AO336"/>
      <c r="AP336"/>
      <c r="AQ336"/>
      <c r="AR336"/>
      <c r="AS336"/>
    </row>
    <row r="337" spans="1:51" x14ac:dyDescent="0.3">
      <c r="B337" s="80">
        <v>606.20000000000005</v>
      </c>
      <c r="C337" s="21"/>
      <c r="D337" s="21"/>
      <c r="E337" s="21"/>
      <c r="F337" s="21" t="s">
        <v>121</v>
      </c>
      <c r="G337" s="21"/>
      <c r="H337" s="1084"/>
      <c r="I337" s="66"/>
      <c r="J337" s="4"/>
      <c r="K337" s="90" t="s">
        <v>121</v>
      </c>
      <c r="L337" s="350" t="s">
        <v>730</v>
      </c>
      <c r="M337" s="522"/>
      <c r="N337" s="4"/>
      <c r="O337" s="154"/>
      <c r="P337" s="440"/>
      <c r="Q337" s="440"/>
      <c r="R337"/>
      <c r="S337"/>
      <c r="T337"/>
      <c r="U337"/>
      <c r="V337"/>
      <c r="W337"/>
      <c r="X337"/>
      <c r="Z337"/>
      <c r="AB337"/>
      <c r="AC337"/>
      <c r="AD337"/>
      <c r="AE337"/>
      <c r="AF337"/>
      <c r="AG337"/>
      <c r="AH337"/>
      <c r="AI337"/>
      <c r="AJ337"/>
      <c r="AK337"/>
      <c r="AL337"/>
      <c r="AM337"/>
      <c r="AN337"/>
      <c r="AO337"/>
      <c r="AP337"/>
      <c r="AQ337"/>
      <c r="AR337"/>
      <c r="AS337"/>
    </row>
    <row r="338" spans="1:51" x14ac:dyDescent="0.3">
      <c r="B338" s="80">
        <v>606.20000000000005</v>
      </c>
      <c r="C338" s="21"/>
      <c r="D338" s="21"/>
      <c r="E338" s="21"/>
      <c r="F338" s="21" t="s">
        <v>122</v>
      </c>
      <c r="G338" s="21"/>
      <c r="H338" s="1084"/>
      <c r="I338" s="66"/>
      <c r="J338" s="4"/>
      <c r="K338" s="90" t="s">
        <v>122</v>
      </c>
      <c r="L338" s="1329" t="s">
        <v>731</v>
      </c>
      <c r="M338" s="522"/>
      <c r="N338" s="4"/>
      <c r="O338" s="154"/>
      <c r="P338" s="440"/>
      <c r="Q338" s="440"/>
      <c r="R338"/>
      <c r="S338"/>
      <c r="T338"/>
      <c r="U338"/>
      <c r="V338"/>
      <c r="W338"/>
      <c r="X338"/>
      <c r="Z338"/>
      <c r="AB338"/>
      <c r="AC338"/>
      <c r="AD338"/>
      <c r="AE338"/>
      <c r="AF338"/>
      <c r="AG338"/>
      <c r="AH338"/>
      <c r="AI338"/>
      <c r="AJ338"/>
      <c r="AK338"/>
      <c r="AL338"/>
      <c r="AM338"/>
      <c r="AN338"/>
      <c r="AO338"/>
      <c r="AP338"/>
      <c r="AQ338"/>
      <c r="AR338"/>
      <c r="AS338"/>
    </row>
    <row r="339" spans="1:51" x14ac:dyDescent="0.3">
      <c r="B339" s="80">
        <v>606.20000000000005</v>
      </c>
      <c r="C339" s="21"/>
      <c r="D339" s="21"/>
      <c r="E339" s="21"/>
      <c r="F339" s="21" t="s">
        <v>122</v>
      </c>
      <c r="G339" s="21"/>
      <c r="H339" s="1084"/>
      <c r="I339" s="66"/>
      <c r="J339" s="4"/>
      <c r="K339" s="90"/>
      <c r="L339" s="1329"/>
      <c r="M339" s="522"/>
      <c r="N339" s="4"/>
      <c r="O339" s="154"/>
      <c r="P339" s="440"/>
      <c r="Q339" s="440"/>
      <c r="R339"/>
      <c r="S339"/>
      <c r="T339"/>
      <c r="U339"/>
      <c r="V339"/>
      <c r="W339"/>
      <c r="X339"/>
      <c r="Z339"/>
      <c r="AB339"/>
      <c r="AC339"/>
      <c r="AD339"/>
      <c r="AE339"/>
      <c r="AF339"/>
      <c r="AG339"/>
      <c r="AH339"/>
      <c r="AI339"/>
      <c r="AJ339"/>
      <c r="AK339"/>
      <c r="AL339"/>
      <c r="AM339"/>
      <c r="AN339"/>
      <c r="AO339"/>
      <c r="AP339"/>
      <c r="AQ339"/>
      <c r="AR339"/>
      <c r="AS339"/>
    </row>
    <row r="340" spans="1:51" x14ac:dyDescent="0.3">
      <c r="B340" s="80">
        <v>606.20000000000005</v>
      </c>
      <c r="C340" s="21"/>
      <c r="D340" s="21"/>
      <c r="E340" s="21"/>
      <c r="F340" s="21" t="s">
        <v>123</v>
      </c>
      <c r="G340" s="21"/>
      <c r="H340" s="1084"/>
      <c r="I340" s="66"/>
      <c r="J340" s="4"/>
      <c r="K340" s="90" t="s">
        <v>123</v>
      </c>
      <c r="L340" s="263" t="s">
        <v>732</v>
      </c>
      <c r="M340" s="522"/>
      <c r="N340" s="4"/>
      <c r="O340" s="154"/>
      <c r="P340" s="440"/>
      <c r="Q340" s="440"/>
      <c r="R340"/>
      <c r="S340"/>
      <c r="T340"/>
      <c r="U340"/>
      <c r="V340"/>
      <c r="W340"/>
      <c r="X340"/>
      <c r="Z340"/>
      <c r="AB340"/>
      <c r="AC340"/>
      <c r="AD340"/>
      <c r="AE340"/>
      <c r="AF340"/>
      <c r="AG340"/>
      <c r="AH340"/>
      <c r="AI340"/>
      <c r="AJ340"/>
      <c r="AK340"/>
      <c r="AL340"/>
      <c r="AM340"/>
      <c r="AN340"/>
      <c r="AO340"/>
      <c r="AP340"/>
      <c r="AQ340"/>
      <c r="AR340"/>
      <c r="AS340"/>
    </row>
    <row r="341" spans="1:51" x14ac:dyDescent="0.3">
      <c r="B341" s="80">
        <v>606.20000000000005</v>
      </c>
      <c r="C341" s="21"/>
      <c r="D341" s="21"/>
      <c r="E341" s="21"/>
      <c r="F341" s="26" t="s">
        <v>423</v>
      </c>
      <c r="G341" s="26"/>
      <c r="H341" s="1085"/>
      <c r="I341" s="66"/>
      <c r="J341" s="4"/>
      <c r="K341" s="92" t="s">
        <v>423</v>
      </c>
      <c r="L341" s="263" t="s">
        <v>733</v>
      </c>
      <c r="M341" s="522"/>
      <c r="N341" s="4"/>
      <c r="O341" s="154"/>
      <c r="P341" s="440"/>
      <c r="Q341" s="440"/>
      <c r="R341"/>
      <c r="S341"/>
      <c r="T341"/>
      <c r="U341"/>
      <c r="V341"/>
      <c r="W341"/>
      <c r="X341"/>
      <c r="Z341"/>
      <c r="AB341"/>
      <c r="AC341"/>
      <c r="AD341"/>
      <c r="AE341"/>
      <c r="AF341"/>
      <c r="AG341"/>
      <c r="AH341"/>
      <c r="AI341"/>
      <c r="AJ341"/>
      <c r="AK341"/>
      <c r="AL341"/>
      <c r="AM341"/>
      <c r="AN341"/>
      <c r="AO341"/>
      <c r="AP341"/>
      <c r="AQ341"/>
      <c r="AR341"/>
      <c r="AS341"/>
    </row>
    <row r="342" spans="1:51" x14ac:dyDescent="0.3">
      <c r="B342" s="80">
        <v>606.20000000000005</v>
      </c>
      <c r="C342" s="21"/>
      <c r="D342" s="21"/>
      <c r="E342" s="21"/>
      <c r="F342" s="21" t="s">
        <v>578</v>
      </c>
      <c r="G342" s="21"/>
      <c r="H342" s="1084"/>
      <c r="I342" s="66"/>
      <c r="J342" s="4"/>
      <c r="K342" s="88" t="s">
        <v>578</v>
      </c>
      <c r="L342" s="263" t="s">
        <v>734</v>
      </c>
      <c r="M342" s="522"/>
      <c r="N342" s="4"/>
      <c r="O342" s="154"/>
      <c r="P342" s="440"/>
      <c r="Q342" s="440"/>
      <c r="R342"/>
      <c r="S342"/>
      <c r="T342"/>
      <c r="U342"/>
      <c r="V342"/>
      <c r="W342"/>
      <c r="X342"/>
      <c r="Z342"/>
      <c r="AB342"/>
      <c r="AC342"/>
      <c r="AD342"/>
      <c r="AE342"/>
      <c r="AF342"/>
      <c r="AG342"/>
      <c r="AH342"/>
      <c r="AI342"/>
      <c r="AJ342"/>
      <c r="AK342"/>
      <c r="AL342"/>
      <c r="AM342"/>
      <c r="AN342"/>
      <c r="AO342"/>
      <c r="AP342"/>
      <c r="AQ342"/>
      <c r="AR342"/>
      <c r="AS342"/>
    </row>
    <row r="343" spans="1:51" x14ac:dyDescent="0.3">
      <c r="B343" s="80">
        <v>606.20000000000005</v>
      </c>
      <c r="C343" s="21"/>
      <c r="D343" s="21"/>
      <c r="E343" s="21"/>
      <c r="F343" s="21" t="s">
        <v>645</v>
      </c>
      <c r="G343" s="21"/>
      <c r="H343" s="1084"/>
      <c r="I343" s="66"/>
      <c r="J343" s="4"/>
      <c r="K343" s="90" t="s">
        <v>645</v>
      </c>
      <c r="L343" s="350" t="s">
        <v>735</v>
      </c>
      <c r="M343" s="522"/>
      <c r="N343" s="4"/>
      <c r="O343" s="154"/>
      <c r="P343" s="440"/>
      <c r="Q343" s="440"/>
      <c r="R343"/>
      <c r="S343"/>
      <c r="T343"/>
      <c r="U343"/>
      <c r="V343"/>
      <c r="W343"/>
      <c r="X343"/>
      <c r="Z343"/>
      <c r="AB343"/>
      <c r="AC343"/>
      <c r="AD343"/>
      <c r="AE343"/>
      <c r="AF343"/>
      <c r="AG343"/>
      <c r="AH343"/>
      <c r="AI343"/>
      <c r="AJ343"/>
      <c r="AK343"/>
      <c r="AL343"/>
      <c r="AM343"/>
      <c r="AN343"/>
      <c r="AO343"/>
      <c r="AP343"/>
      <c r="AQ343"/>
      <c r="AR343"/>
      <c r="AS343"/>
      <c r="AX343" s="170"/>
      <c r="AY343" s="170"/>
    </row>
    <row r="344" spans="1:51" s="170" customFormat="1" x14ac:dyDescent="0.3">
      <c r="A344" s="18"/>
      <c r="B344" s="80">
        <v>606.20000000000005</v>
      </c>
      <c r="C344" s="21"/>
      <c r="D344" s="21"/>
      <c r="E344" s="21"/>
      <c r="F344" s="21" t="s">
        <v>647</v>
      </c>
      <c r="G344" s="21"/>
      <c r="H344" s="1084"/>
      <c r="I344" s="66"/>
      <c r="J344" s="4"/>
      <c r="K344" s="90" t="s">
        <v>647</v>
      </c>
      <c r="L344" s="350" t="s">
        <v>736</v>
      </c>
      <c r="M344" s="522"/>
      <c r="N344" s="4"/>
      <c r="O344" s="154"/>
      <c r="P344" s="440"/>
      <c r="Q344" s="440"/>
      <c r="Y344" s="1107"/>
      <c r="AA344" s="1110"/>
      <c r="AX344" s="65"/>
      <c r="AY344" s="65"/>
    </row>
    <row r="345" spans="1:51" x14ac:dyDescent="0.3">
      <c r="B345" s="80">
        <v>606.20000000000005</v>
      </c>
      <c r="C345" s="21"/>
      <c r="D345" s="21"/>
      <c r="E345" s="21"/>
      <c r="F345" s="21" t="s">
        <v>649</v>
      </c>
      <c r="G345" s="21"/>
      <c r="H345" s="1084"/>
      <c r="I345" s="66"/>
      <c r="J345" s="4"/>
      <c r="K345" s="90" t="s">
        <v>649</v>
      </c>
      <c r="L345" s="350" t="s">
        <v>3283</v>
      </c>
      <c r="M345" s="522"/>
      <c r="N345" s="4"/>
      <c r="O345" s="154"/>
      <c r="P345" s="440"/>
      <c r="Q345" s="440"/>
      <c r="R345"/>
      <c r="S345"/>
      <c r="T345"/>
      <c r="U345"/>
      <c r="V345"/>
      <c r="W345" t="s">
        <v>3284</v>
      </c>
      <c r="X345"/>
      <c r="Z345"/>
      <c r="AB345"/>
      <c r="AC345"/>
      <c r="AD345"/>
      <c r="AE345"/>
      <c r="AF345"/>
      <c r="AG345"/>
      <c r="AH345"/>
      <c r="AI345"/>
      <c r="AJ345"/>
      <c r="AK345"/>
      <c r="AL345"/>
      <c r="AM345"/>
      <c r="AN345"/>
      <c r="AO345"/>
      <c r="AP345"/>
      <c r="AQ345"/>
      <c r="AR345"/>
      <c r="AS345"/>
    </row>
    <row r="346" spans="1:51" x14ac:dyDescent="0.3">
      <c r="B346" s="80">
        <v>606.20000000000005</v>
      </c>
      <c r="C346" s="21"/>
      <c r="D346" s="21"/>
      <c r="E346" s="21" t="s">
        <v>271</v>
      </c>
      <c r="F346" s="81" t="s">
        <v>3173</v>
      </c>
      <c r="G346" s="81"/>
      <c r="H346" s="1089"/>
      <c r="I346" s="66"/>
      <c r="J346" s="203" t="s">
        <v>271</v>
      </c>
      <c r="K346" s="98"/>
      <c r="L346" s="1305" t="s">
        <v>737</v>
      </c>
      <c r="M346" s="1318">
        <v>3</v>
      </c>
      <c r="N346" s="140"/>
      <c r="O346" s="1308">
        <f>IF(AND(S346,NOT(ISBLANK(W346)),NOT(ISBLANK(W347))),M346,0)</f>
        <v>0</v>
      </c>
      <c r="P346" s="440" t="b">
        <v>1</v>
      </c>
      <c r="Q346" s="440" t="b">
        <v>1</v>
      </c>
      <c r="R346" s="137" t="b">
        <v>0</v>
      </c>
      <c r="S346" s="137" t="b">
        <v>1</v>
      </c>
      <c r="T346" s="137" t="b">
        <v>0</v>
      </c>
      <c r="U346" s="97" t="str">
        <f t="shared" ref="U346:U352" si="86">SUBSTITUTE(SUBSTITUTE(SUBSTITUTE("dd"&amp;B346&amp;C346&amp;D346&amp;E346&amp;F346,".","_"),"(","_"),")","")</f>
        <v>dd606_2_1a</v>
      </c>
      <c r="V346"/>
      <c r="W346" s="12"/>
      <c r="X346" s="171"/>
      <c r="Z346"/>
      <c r="AB346"/>
      <c r="AC346" s="170" t="b">
        <f>OR(AD346:AE346)</f>
        <v>0</v>
      </c>
      <c r="AD346" s="170" t="b">
        <v>0</v>
      </c>
      <c r="AE346" s="170" t="b">
        <f>AND(NOT(ISBLANK(W346)),LEN(X346)=0)</f>
        <v>0</v>
      </c>
      <c r="AF346"/>
      <c r="AG346"/>
      <c r="AH346"/>
      <c r="AI346"/>
      <c r="AJ346"/>
      <c r="AK346"/>
      <c r="AL346" s="311" t="str">
        <f>SUBSTITUTE(SUBSTITUTE(SUBSTITUTE("dpa"&amp;$B346&amp;$C346&amp;$D346&amp;$E346&amp;$F346,".","_"),"(","_"),")","")</f>
        <v>dpa606_2_1a</v>
      </c>
      <c r="AM346" s="311">
        <f>M346</f>
        <v>3</v>
      </c>
      <c r="AN346" s="311" t="str">
        <f>SUBSTITUTE(SUBSTITUTE(SUBSTITUTE("dpc"&amp;$B346&amp;$C346&amp;$D346&amp;$E346&amp;$F346,".","_"),"(","_"),")","")</f>
        <v>dpc606_2_1a</v>
      </c>
      <c r="AO346" s="311">
        <f>O346</f>
        <v>0</v>
      </c>
      <c r="AP346" s="311" t="str">
        <f t="shared" ref="AP346:AP347" si="87">SUBSTITUTE(SUBSTITUTE(SUBSTITUTE("dch"&amp;$B346&amp;$C346&amp;$D346&amp;$E346&amp;$F346,".","_"),"(","_"),")","")</f>
        <v>dch606_2_1a</v>
      </c>
      <c r="AQ346" s="311">
        <f>W346</f>
        <v>0</v>
      </c>
      <c r="AR346" s="1059" t="str">
        <f>SUBSTITUTE(SUBSTITUTE(SUBSTITUTE("dnt"&amp;$B346&amp;$C346&amp;$D346&amp;$E346&amp;$F346,".","_"),"(","_"),")","")</f>
        <v>dnt606_2_1a</v>
      </c>
      <c r="AS346" s="311">
        <f>X346</f>
        <v>0</v>
      </c>
    </row>
    <row r="347" spans="1:51" x14ac:dyDescent="0.3">
      <c r="B347" s="80">
        <v>606.20000000000005</v>
      </c>
      <c r="C347" s="21"/>
      <c r="D347" s="21"/>
      <c r="E347" s="21" t="s">
        <v>271</v>
      </c>
      <c r="F347" s="81" t="s">
        <v>3174</v>
      </c>
      <c r="G347" s="81"/>
      <c r="H347" s="1089"/>
      <c r="I347" s="66"/>
      <c r="J347" s="203"/>
      <c r="K347" s="98"/>
      <c r="L347" s="1305"/>
      <c r="M347" s="1318"/>
      <c r="N347" s="140"/>
      <c r="O347" s="1308"/>
      <c r="P347" s="440" t="b">
        <v>1</v>
      </c>
      <c r="Q347" s="440" t="b">
        <v>1</v>
      </c>
      <c r="R347" s="170" t="b">
        <v>0</v>
      </c>
      <c r="S347" s="170" t="b">
        <v>1</v>
      </c>
      <c r="T347" s="170" t="b">
        <v>0</v>
      </c>
      <c r="U347" s="97" t="str">
        <f t="shared" si="86"/>
        <v>dd606_2_1b</v>
      </c>
      <c r="V347"/>
      <c r="W347" s="12"/>
      <c r="X347" s="1303"/>
      <c r="Z347"/>
      <c r="AB347"/>
      <c r="AC347" s="170" t="b">
        <f>OR(AD347:AE347)</f>
        <v>0</v>
      </c>
      <c r="AD347" s="170" t="b">
        <v>0</v>
      </c>
      <c r="AE347" s="170" t="b">
        <f>AND(NOT(ISBLANK(W347)),LEN(X347)=0)</f>
        <v>0</v>
      </c>
      <c r="AF347"/>
      <c r="AG347"/>
      <c r="AH347"/>
      <c r="AI347"/>
      <c r="AJ347"/>
      <c r="AK347"/>
      <c r="AL347"/>
      <c r="AM347"/>
      <c r="AN347"/>
      <c r="AO347"/>
      <c r="AP347" s="311" t="str">
        <f t="shared" si="87"/>
        <v>dch606_2_1b</v>
      </c>
      <c r="AQ347" s="311">
        <f>W347</f>
        <v>0</v>
      </c>
      <c r="AR347" s="1059" t="str">
        <f>SUBSTITUTE(SUBSTITUTE(SUBSTITUTE("dnt"&amp;$B347&amp;$C347&amp;$D347&amp;$E347&amp;$F347,".","_"),"(","_"),")","")</f>
        <v>dnt606_2_1b</v>
      </c>
      <c r="AS347" s="311">
        <f>X347</f>
        <v>0</v>
      </c>
      <c r="AX347" s="170"/>
      <c r="AY347" s="170"/>
    </row>
    <row r="348" spans="1:51" s="170" customFormat="1" x14ac:dyDescent="0.3">
      <c r="A348" s="18"/>
      <c r="B348" s="80">
        <v>606.20000000000005</v>
      </c>
      <c r="C348" s="21"/>
      <c r="D348" s="21"/>
      <c r="E348" s="21" t="s">
        <v>271</v>
      </c>
      <c r="F348" s="81"/>
      <c r="G348" s="81"/>
      <c r="H348" s="1089"/>
      <c r="I348" s="66"/>
      <c r="J348" s="231"/>
      <c r="K348" s="193"/>
      <c r="L348" s="245" t="s">
        <v>3285</v>
      </c>
      <c r="M348" s="1319"/>
      <c r="N348" s="238"/>
      <c r="O348" s="1309"/>
      <c r="P348" s="440"/>
      <c r="Q348" s="440"/>
      <c r="U348" s="97"/>
      <c r="W348"/>
      <c r="X348" s="1303"/>
      <c r="Y348" s="1107"/>
      <c r="AA348" s="1110"/>
      <c r="AX348" s="65"/>
      <c r="AY348" s="65"/>
    </row>
    <row r="349" spans="1:51" x14ac:dyDescent="0.3">
      <c r="B349" s="80">
        <v>606.20000000000005</v>
      </c>
      <c r="C349" s="21"/>
      <c r="D349" s="21"/>
      <c r="E349" s="21" t="s">
        <v>273</v>
      </c>
      <c r="F349" s="81" t="s">
        <v>3173</v>
      </c>
      <c r="G349" s="81"/>
      <c r="H349" s="1089"/>
      <c r="I349" s="66"/>
      <c r="J349" s="27" t="s">
        <v>273</v>
      </c>
      <c r="K349" s="86"/>
      <c r="L349" s="1329" t="s">
        <v>738</v>
      </c>
      <c r="M349" s="1335">
        <v>4</v>
      </c>
      <c r="N349" s="4"/>
      <c r="O349" s="1310">
        <f>IF(AND(S349,NOT(ISBLANK(W349)),NOT(ISBLANK(W350))),M349,0)</f>
        <v>4</v>
      </c>
      <c r="P349" s="440" t="b">
        <v>1</v>
      </c>
      <c r="Q349" s="440" t="b">
        <v>1</v>
      </c>
      <c r="R349" s="137" t="b">
        <v>0</v>
      </c>
      <c r="S349" s="137" t="b">
        <v>1</v>
      </c>
      <c r="T349" s="137" t="b">
        <v>0</v>
      </c>
      <c r="U349" s="97" t="str">
        <f t="shared" si="86"/>
        <v>dd606_2_2a</v>
      </c>
      <c r="V349"/>
      <c r="W349" s="12" t="s">
        <v>3738</v>
      </c>
      <c r="X349" s="1225" t="s">
        <v>4783</v>
      </c>
      <c r="Z349"/>
      <c r="AB349"/>
      <c r="AC349" s="170" t="b">
        <f>OR(AD349:AE349)</f>
        <v>0</v>
      </c>
      <c r="AD349" s="170" t="b">
        <v>0</v>
      </c>
      <c r="AE349" s="170" t="b">
        <f>AND(NOT(ISBLANK(W349)),LEN(X349)=0)</f>
        <v>0</v>
      </c>
      <c r="AF349"/>
      <c r="AG349"/>
      <c r="AH349"/>
      <c r="AI349"/>
      <c r="AJ349"/>
      <c r="AK349"/>
      <c r="AL349" s="311" t="str">
        <f>SUBSTITUTE(SUBSTITUTE(SUBSTITUTE("dpa"&amp;$B349&amp;$C349&amp;$D349&amp;$E349&amp;$F349,".","_"),"(","_"),")","")</f>
        <v>dpa606_2_2a</v>
      </c>
      <c r="AM349" s="311">
        <f>M349</f>
        <v>4</v>
      </c>
      <c r="AN349" s="311" t="str">
        <f>SUBSTITUTE(SUBSTITUTE(SUBSTITUTE("dpc"&amp;$B349&amp;$C349&amp;$D349&amp;$E349&amp;$F349,".","_"),"(","_"),")","")</f>
        <v>dpc606_2_2a</v>
      </c>
      <c r="AO349" s="311">
        <f>O349</f>
        <v>4</v>
      </c>
      <c r="AP349" s="311" t="str">
        <f t="shared" ref="AP349:AP350" si="88">SUBSTITUTE(SUBSTITUTE(SUBSTITUTE("dch"&amp;$B349&amp;$C349&amp;$D349&amp;$E349&amp;$F349,".","_"),"(","_"),")","")</f>
        <v>dch606_2_2a</v>
      </c>
      <c r="AQ349" s="311" t="str">
        <f>W349</f>
        <v>SFI</v>
      </c>
      <c r="AR349" s="1059" t="str">
        <f>SUBSTITUTE(SUBSTITUTE(SUBSTITUTE("dnt"&amp;$B349&amp;$C349&amp;$D349&amp;$E349&amp;$F349,".","_"),"(","_"),")","")</f>
        <v>dnt606_2_2a</v>
      </c>
      <c r="AS349" s="311" t="str">
        <f>X349</f>
        <v>Weyerhaeuser Trus Joist</v>
      </c>
    </row>
    <row r="350" spans="1:51" x14ac:dyDescent="0.3">
      <c r="B350" s="80">
        <v>606.20000000000005</v>
      </c>
      <c r="C350" s="21"/>
      <c r="D350" s="21"/>
      <c r="E350" s="21" t="s">
        <v>273</v>
      </c>
      <c r="F350" s="81" t="s">
        <v>3174</v>
      </c>
      <c r="G350" s="81"/>
      <c r="H350" s="1089"/>
      <c r="I350" s="66"/>
      <c r="J350" s="4"/>
      <c r="K350" s="86"/>
      <c r="L350" s="1329"/>
      <c r="M350" s="1335"/>
      <c r="N350" s="4"/>
      <c r="O350" s="1310"/>
      <c r="P350" s="440" t="b">
        <v>1</v>
      </c>
      <c r="Q350" s="440" t="b">
        <v>1</v>
      </c>
      <c r="R350" s="170" t="b">
        <v>0</v>
      </c>
      <c r="S350" s="170" t="b">
        <v>1</v>
      </c>
      <c r="T350" s="170" t="b">
        <v>0</v>
      </c>
      <c r="U350" s="97" t="str">
        <f t="shared" si="86"/>
        <v>dd606_2_2b</v>
      </c>
      <c r="V350"/>
      <c r="W350" s="12" t="s">
        <v>3738</v>
      </c>
      <c r="X350" s="1378" t="s">
        <v>4784</v>
      </c>
      <c r="Z350"/>
      <c r="AB350"/>
      <c r="AC350" s="170" t="b">
        <f>OR(AD350:AE350)</f>
        <v>0</v>
      </c>
      <c r="AD350" s="170" t="b">
        <v>0</v>
      </c>
      <c r="AE350" s="170" t="b">
        <f>AND(NOT(ISBLANK(W350)),LEN(X350)=0)</f>
        <v>0</v>
      </c>
      <c r="AF350"/>
      <c r="AG350"/>
      <c r="AH350"/>
      <c r="AI350"/>
      <c r="AJ350"/>
      <c r="AK350"/>
      <c r="AL350"/>
      <c r="AM350"/>
      <c r="AN350"/>
      <c r="AO350"/>
      <c r="AP350" s="311" t="str">
        <f t="shared" si="88"/>
        <v>dch606_2_2b</v>
      </c>
      <c r="AQ350" s="311" t="str">
        <f>W350</f>
        <v>SFI</v>
      </c>
      <c r="AR350" s="1059" t="str">
        <f>SUBSTITUTE(SUBSTITUTE(SUBSTITUTE("dnt"&amp;$B350&amp;$C350&amp;$D350&amp;$E350&amp;$F350,".","_"),"(","_"),")","")</f>
        <v>dnt606_2_2b</v>
      </c>
      <c r="AS350" s="311" t="str">
        <f>X350</f>
        <v>Boise Cascade Versa-Lam</v>
      </c>
      <c r="AX350" s="170"/>
      <c r="AY350" s="170"/>
    </row>
    <row r="351" spans="1:51" s="170" customFormat="1" ht="15" thickBot="1" x14ac:dyDescent="0.35">
      <c r="A351" s="18"/>
      <c r="B351" s="80">
        <v>606.20000000000005</v>
      </c>
      <c r="C351" s="21"/>
      <c r="D351" s="21"/>
      <c r="E351" s="21" t="s">
        <v>273</v>
      </c>
      <c r="F351" s="81"/>
      <c r="G351" s="81"/>
      <c r="H351" s="1089"/>
      <c r="I351" s="66"/>
      <c r="J351" s="4"/>
      <c r="K351" s="86"/>
      <c r="L351" s="352" t="s">
        <v>3285</v>
      </c>
      <c r="M351" s="1335"/>
      <c r="N351" s="4"/>
      <c r="O351" s="1310"/>
      <c r="P351" s="440"/>
      <c r="Q351" s="440"/>
      <c r="U351" s="97"/>
      <c r="W351"/>
      <c r="X351" s="1379"/>
      <c r="Y351" s="1107"/>
      <c r="AA351" s="1110"/>
      <c r="AX351" s="65"/>
      <c r="AY351" s="65"/>
    </row>
    <row r="352" spans="1:51" ht="15" thickTop="1" x14ac:dyDescent="0.3">
      <c r="B352" s="80">
        <v>606.29999999999995</v>
      </c>
      <c r="C352" s="21"/>
      <c r="D352" s="21"/>
      <c r="E352" s="21"/>
      <c r="F352" s="21"/>
      <c r="G352" s="21"/>
      <c r="H352" s="1084"/>
      <c r="I352" s="200">
        <v>606.29999999999995</v>
      </c>
      <c r="J352" s="201"/>
      <c r="K352" s="202"/>
      <c r="L352" s="1331" t="s">
        <v>739</v>
      </c>
      <c r="M352" s="1343" t="s">
        <v>712</v>
      </c>
      <c r="N352" s="201"/>
      <c r="O352" s="1336">
        <f ca="1">IFERROR(MATCH(W352,INDIRECT(U352),0),0)*2</f>
        <v>2</v>
      </c>
      <c r="P352" s="110" t="b">
        <v>1</v>
      </c>
      <c r="Q352" s="110" t="b">
        <v>1</v>
      </c>
      <c r="R352" s="110" t="b">
        <v>0</v>
      </c>
      <c r="S352" s="110" t="b">
        <v>1</v>
      </c>
      <c r="T352" s="110" t="b">
        <v>0</v>
      </c>
      <c r="U352" s="110" t="str">
        <f t="shared" si="86"/>
        <v>dd606_3</v>
      </c>
      <c r="V352" s="110"/>
      <c r="W352" s="211" t="s">
        <v>3286</v>
      </c>
      <c r="X352" s="1382" t="s">
        <v>4785</v>
      </c>
      <c r="Z352"/>
      <c r="AB352"/>
      <c r="AC352" s="170" t="b">
        <f>OR(AD352:AE352)</f>
        <v>0</v>
      </c>
      <c r="AD352" s="170" t="b">
        <v>0</v>
      </c>
      <c r="AE352" s="170" t="b">
        <f>AND(NOT(ISBLANK(W352)),LEN(X352)=0)</f>
        <v>0</v>
      </c>
      <c r="AF352"/>
      <c r="AG352"/>
      <c r="AH352"/>
      <c r="AI352"/>
      <c r="AJ352"/>
      <c r="AK352"/>
      <c r="AL352" s="311" t="str">
        <f>SUBSTITUTE(SUBSTITUTE(SUBSTITUTE("dpa"&amp;$B352&amp;$C352&amp;$D352&amp;$E352&amp;$F352,".","_"),"(","_"),")","")</f>
        <v>dpa606_3</v>
      </c>
      <c r="AM352" s="311" t="str">
        <f>M352</f>
        <v>6 Max</v>
      </c>
      <c r="AN352" s="311" t="str">
        <f>SUBSTITUTE(SUBSTITUTE(SUBSTITUTE("dpc"&amp;$B352&amp;$C352&amp;$D352&amp;$E352&amp;$F352,".","_"),"(","_"),")","")</f>
        <v>dpc606_3</v>
      </c>
      <c r="AO352" s="311">
        <f ca="1">O352</f>
        <v>2</v>
      </c>
      <c r="AP352" s="311" t="str">
        <f t="shared" ref="AP352" si="89">SUBSTITUTE(SUBSTITUTE(SUBSTITUTE("dch"&amp;$B352&amp;$C352&amp;$D352&amp;$E352&amp;$F352,".","_"),"(","_"),")","")</f>
        <v>dch606_3</v>
      </c>
      <c r="AQ352" s="311" t="str">
        <f>W352</f>
        <v>1 material</v>
      </c>
      <c r="AR352" s="1059" t="str">
        <f>SUBSTITUTE(SUBSTITUTE(SUBSTITUTE("dnt"&amp;$B352&amp;$C352&amp;$D352&amp;$E352&amp;$F352,".","_"),"(","_"),")","")</f>
        <v>dnt606_3</v>
      </c>
      <c r="AS352" s="311" t="str">
        <f>X352</f>
        <v>Weyerhaeuser Trust Joist</v>
      </c>
    </row>
    <row r="353" spans="1:51" x14ac:dyDescent="0.3">
      <c r="B353" s="80">
        <v>606.29999999999995</v>
      </c>
      <c r="C353" s="21"/>
      <c r="D353" s="21"/>
      <c r="E353" s="21"/>
      <c r="F353" s="21"/>
      <c r="G353" s="21"/>
      <c r="H353" s="1084"/>
      <c r="I353" s="141"/>
      <c r="J353" s="140"/>
      <c r="K353" s="98"/>
      <c r="L353" s="1313"/>
      <c r="M353" s="1318"/>
      <c r="N353" s="140"/>
      <c r="O353" s="1308"/>
      <c r="P353" s="97"/>
      <c r="Q353" s="97"/>
      <c r="R353" s="97"/>
      <c r="S353" s="97"/>
      <c r="T353" s="97"/>
      <c r="U353" s="97"/>
      <c r="V353" s="97"/>
      <c r="W353" s="97"/>
      <c r="X353" s="1380"/>
      <c r="Z353"/>
      <c r="AB353"/>
      <c r="AC353"/>
      <c r="AD353"/>
      <c r="AE353"/>
      <c r="AF353"/>
      <c r="AG353"/>
      <c r="AH353"/>
      <c r="AI353"/>
      <c r="AJ353"/>
      <c r="AK353"/>
      <c r="AL353"/>
      <c r="AM353"/>
      <c r="AN353"/>
      <c r="AO353"/>
      <c r="AP353"/>
      <c r="AQ353"/>
      <c r="AR353"/>
      <c r="AS353"/>
    </row>
    <row r="354" spans="1:51" x14ac:dyDescent="0.3">
      <c r="B354" s="80">
        <v>606.29999999999995</v>
      </c>
      <c r="C354" s="21"/>
      <c r="D354" s="21"/>
      <c r="E354" s="21"/>
      <c r="F354" s="21"/>
      <c r="G354" s="21"/>
      <c r="H354" s="1084"/>
      <c r="I354" s="141"/>
      <c r="J354" s="140"/>
      <c r="K354" s="98"/>
      <c r="L354" s="1313"/>
      <c r="M354" s="1318"/>
      <c r="N354" s="140"/>
      <c r="O354" s="1308"/>
      <c r="P354" s="97"/>
      <c r="Q354" s="97"/>
      <c r="R354" s="97"/>
      <c r="S354" s="97"/>
      <c r="T354" s="97"/>
      <c r="U354" s="97"/>
      <c r="V354" s="97"/>
      <c r="W354" s="97"/>
      <c r="X354" s="1380"/>
      <c r="Z354"/>
      <c r="AB354"/>
      <c r="AC354"/>
      <c r="AD354"/>
      <c r="AE354"/>
      <c r="AF354"/>
      <c r="AG354"/>
      <c r="AH354"/>
      <c r="AI354"/>
      <c r="AJ354"/>
      <c r="AK354"/>
      <c r="AL354"/>
      <c r="AM354"/>
      <c r="AN354"/>
      <c r="AO354"/>
      <c r="AP354"/>
      <c r="AQ354"/>
      <c r="AR354"/>
      <c r="AS354"/>
      <c r="AX354" s="145"/>
      <c r="AY354" s="145"/>
    </row>
    <row r="355" spans="1:51" s="145" customFormat="1" x14ac:dyDescent="0.3">
      <c r="A355" s="18"/>
      <c r="B355" s="80">
        <v>606.29999999999995</v>
      </c>
      <c r="C355" s="21"/>
      <c r="D355" s="21"/>
      <c r="E355" s="21"/>
      <c r="F355" s="21"/>
      <c r="G355" s="21"/>
      <c r="H355" s="1084"/>
      <c r="I355" s="141"/>
      <c r="J355" s="140"/>
      <c r="K355" s="98"/>
      <c r="L355" s="1313"/>
      <c r="M355" s="1318"/>
      <c r="N355" s="140"/>
      <c r="O355" s="1308"/>
      <c r="P355" s="97"/>
      <c r="Q355" s="97"/>
      <c r="R355" s="97"/>
      <c r="S355" s="97"/>
      <c r="T355" s="97"/>
      <c r="U355" s="97"/>
      <c r="V355" s="97"/>
      <c r="W355" s="97"/>
      <c r="X355" s="1380"/>
      <c r="Y355" s="1107"/>
      <c r="AA355" s="1110"/>
      <c r="AX355" s="65"/>
      <c r="AY355" s="65"/>
    </row>
    <row r="356" spans="1:51" x14ac:dyDescent="0.3">
      <c r="B356" s="80">
        <v>606.29999999999995</v>
      </c>
      <c r="C356" s="21"/>
      <c r="D356" s="21"/>
      <c r="E356" s="21"/>
      <c r="F356" s="21"/>
      <c r="G356" s="21"/>
      <c r="H356" s="1084"/>
      <c r="I356" s="141"/>
      <c r="J356" s="140"/>
      <c r="K356" s="98"/>
      <c r="L356" s="347" t="s">
        <v>740</v>
      </c>
      <c r="M356" s="1318"/>
      <c r="N356" s="140"/>
      <c r="O356" s="1308"/>
      <c r="P356" s="97"/>
      <c r="Q356" s="97"/>
      <c r="R356" s="97"/>
      <c r="S356" s="97"/>
      <c r="T356" s="97"/>
      <c r="U356" s="97"/>
      <c r="V356" s="97"/>
      <c r="W356" s="97"/>
      <c r="X356" s="1380"/>
      <c r="Z356"/>
      <c r="AB356"/>
      <c r="AC356"/>
      <c r="AD356"/>
      <c r="AE356"/>
      <c r="AF356"/>
      <c r="AG356"/>
      <c r="AH356"/>
      <c r="AI356"/>
      <c r="AJ356"/>
      <c r="AK356"/>
      <c r="AL356"/>
      <c r="AM356"/>
      <c r="AN356"/>
      <c r="AO356"/>
      <c r="AP356"/>
      <c r="AQ356"/>
      <c r="AR356"/>
      <c r="AS356"/>
      <c r="AX356" s="170"/>
      <c r="AY356" s="170"/>
    </row>
    <row r="357" spans="1:51" s="170" customFormat="1" x14ac:dyDescent="0.3">
      <c r="A357" s="18"/>
      <c r="B357" s="80">
        <v>606.29999999999995</v>
      </c>
      <c r="C357" s="21"/>
      <c r="D357" s="21"/>
      <c r="E357" s="21"/>
      <c r="F357" s="21"/>
      <c r="G357" s="21"/>
      <c r="H357" s="1084"/>
      <c r="I357" s="141"/>
      <c r="J357" s="140"/>
      <c r="K357" s="98"/>
      <c r="L357" s="351" t="s">
        <v>3289</v>
      </c>
      <c r="M357" s="1318"/>
      <c r="N357" s="140"/>
      <c r="O357" s="1308"/>
      <c r="P357" s="97"/>
      <c r="Q357" s="97"/>
      <c r="R357" s="97"/>
      <c r="S357" s="97"/>
      <c r="T357" s="97"/>
      <c r="U357" s="97"/>
      <c r="V357" s="97"/>
      <c r="W357" s="97"/>
      <c r="X357" s="1381"/>
      <c r="Y357" s="1107"/>
      <c r="AA357" s="1110"/>
      <c r="AX357" s="65"/>
      <c r="AY357" s="65"/>
    </row>
    <row r="358" spans="1:51" ht="18" x14ac:dyDescent="0.35">
      <c r="B358" s="80">
        <v>607</v>
      </c>
      <c r="C358" s="21"/>
      <c r="D358" s="21"/>
      <c r="E358" s="21"/>
      <c r="F358" s="21"/>
      <c r="G358" s="21"/>
      <c r="H358" s="1084"/>
      <c r="I358" s="14" t="s">
        <v>741</v>
      </c>
      <c r="J358" s="23"/>
      <c r="K358" s="85"/>
      <c r="L358" s="259"/>
      <c r="M358" s="484"/>
      <c r="N358" s="604"/>
      <c r="O358" s="594"/>
      <c r="P358" s="23"/>
      <c r="Q358" s="23"/>
      <c r="R358" s="23"/>
      <c r="S358" s="23"/>
      <c r="T358" s="23"/>
      <c r="U358" s="23"/>
      <c r="V358" s="23"/>
      <c r="W358" s="23"/>
      <c r="X358" s="23"/>
      <c r="Z358"/>
      <c r="AB358"/>
      <c r="AC358"/>
      <c r="AD358"/>
      <c r="AE358"/>
      <c r="AF358"/>
      <c r="AG358"/>
      <c r="AH358"/>
      <c r="AI358"/>
      <c r="AJ358"/>
      <c r="AK358"/>
      <c r="AL358"/>
      <c r="AM358"/>
      <c r="AN358"/>
      <c r="AO358"/>
      <c r="AP358"/>
      <c r="AQ358"/>
      <c r="AR358"/>
      <c r="AS358"/>
    </row>
    <row r="359" spans="1:51" x14ac:dyDescent="0.3">
      <c r="B359" s="80">
        <v>607.1</v>
      </c>
      <c r="C359" s="21"/>
      <c r="D359" s="21"/>
      <c r="E359" s="21"/>
      <c r="F359" s="21"/>
      <c r="G359" s="21"/>
      <c r="H359" s="1084"/>
      <c r="I359" s="66">
        <v>607.1</v>
      </c>
      <c r="J359" s="4"/>
      <c r="K359" s="86"/>
      <c r="L359" s="1292" t="s">
        <v>742</v>
      </c>
      <c r="M359" s="522"/>
      <c r="N359" s="4"/>
      <c r="O359" s="154"/>
      <c r="P359" s="440"/>
      <c r="Q359" s="440"/>
      <c r="R359"/>
      <c r="S359"/>
      <c r="T359"/>
      <c r="U359"/>
      <c r="V359"/>
      <c r="W359"/>
      <c r="X359"/>
      <c r="Z359"/>
      <c r="AB359"/>
      <c r="AC359"/>
      <c r="AD359"/>
      <c r="AE359"/>
      <c r="AF359"/>
      <c r="AG359"/>
      <c r="AH359"/>
      <c r="AI359"/>
      <c r="AJ359"/>
      <c r="AK359"/>
      <c r="AL359"/>
      <c r="AM359"/>
      <c r="AN359"/>
      <c r="AO359"/>
      <c r="AP359"/>
      <c r="AQ359"/>
      <c r="AR359"/>
      <c r="AS359"/>
    </row>
    <row r="360" spans="1:51" x14ac:dyDescent="0.3">
      <c r="B360" s="80">
        <v>607.1</v>
      </c>
      <c r="C360" s="21"/>
      <c r="D360" s="21"/>
      <c r="E360" s="21"/>
      <c r="F360" s="21"/>
      <c r="G360" s="21"/>
      <c r="H360" s="1084"/>
      <c r="I360" s="66"/>
      <c r="J360" s="4"/>
      <c r="K360" s="86"/>
      <c r="L360" s="1292"/>
      <c r="M360" s="522"/>
      <c r="N360" s="4"/>
      <c r="O360" s="154"/>
      <c r="P360" s="440"/>
      <c r="Q360" s="440"/>
      <c r="R360"/>
      <c r="S360"/>
      <c r="T360"/>
      <c r="U360"/>
      <c r="V360"/>
      <c r="W360"/>
      <c r="X360"/>
      <c r="Z360"/>
      <c r="AB360"/>
      <c r="AC360"/>
      <c r="AD360"/>
      <c r="AE360"/>
      <c r="AF360"/>
      <c r="AG360"/>
      <c r="AH360"/>
      <c r="AI360"/>
      <c r="AJ360"/>
      <c r="AK360"/>
      <c r="AL360"/>
      <c r="AM360"/>
      <c r="AN360"/>
      <c r="AO360"/>
      <c r="AP360"/>
      <c r="AQ360"/>
      <c r="AR360"/>
      <c r="AS360"/>
    </row>
    <row r="361" spans="1:51" x14ac:dyDescent="0.3">
      <c r="B361" s="80">
        <v>607.1</v>
      </c>
      <c r="C361" s="21"/>
      <c r="D361" s="21"/>
      <c r="E361" s="21" t="s">
        <v>271</v>
      </c>
      <c r="F361" s="21"/>
      <c r="G361" s="21"/>
      <c r="H361" s="1084"/>
      <c r="I361" s="66"/>
      <c r="J361" s="203" t="s">
        <v>271</v>
      </c>
      <c r="K361" s="98"/>
      <c r="L361" s="1305" t="s">
        <v>743</v>
      </c>
      <c r="M361" s="1318">
        <v>3</v>
      </c>
      <c r="N361" s="140"/>
      <c r="O361" s="1308">
        <f>M361*S361*W361</f>
        <v>3</v>
      </c>
      <c r="P361" s="440" t="b">
        <v>0</v>
      </c>
      <c r="Q361" s="440" t="b">
        <v>1</v>
      </c>
      <c r="R361" s="137" t="b">
        <v>0</v>
      </c>
      <c r="S361" s="137" t="b">
        <v>1</v>
      </c>
      <c r="T361" s="137" t="b">
        <v>0</v>
      </c>
      <c r="U361"/>
      <c r="V361"/>
      <c r="W361" s="25" t="b">
        <v>1</v>
      </c>
      <c r="X361" s="1303"/>
      <c r="Z361"/>
      <c r="AB361"/>
      <c r="AC361"/>
      <c r="AD361"/>
      <c r="AE361"/>
      <c r="AF361"/>
      <c r="AG361"/>
      <c r="AH361"/>
      <c r="AI361"/>
      <c r="AJ361"/>
      <c r="AK361"/>
      <c r="AL361" s="311" t="str">
        <f>SUBSTITUTE(SUBSTITUTE(SUBSTITUTE("dpa"&amp;$B361&amp;$C361&amp;$D361&amp;$E361&amp;$F361,".","_"),"(","_"),")","")</f>
        <v>dpa607_1_1</v>
      </c>
      <c r="AM361" s="311">
        <f>M361</f>
        <v>3</v>
      </c>
      <c r="AN361" s="311" t="str">
        <f>SUBSTITUTE(SUBSTITUTE(SUBSTITUTE("dpc"&amp;$B361&amp;$C361&amp;$D361&amp;$E361&amp;$F361,".","_"),"(","_"),")","")</f>
        <v>dpc607_1_1</v>
      </c>
      <c r="AO361" s="311">
        <f>O361</f>
        <v>3</v>
      </c>
      <c r="AP361" s="311" t="str">
        <f t="shared" ref="AP361" si="90">SUBSTITUTE(SUBSTITUTE(SUBSTITUTE("dch"&amp;$B361&amp;$C361&amp;$D361&amp;$E361&amp;$F361,".","_"),"(","_"),")","")</f>
        <v>dch607_1_1</v>
      </c>
      <c r="AQ361" s="311" t="b">
        <f>W361</f>
        <v>1</v>
      </c>
      <c r="AR361" s="1059" t="str">
        <f>SUBSTITUTE(SUBSTITUTE(SUBSTITUTE("dnt"&amp;$B361&amp;$C361&amp;$D361&amp;$E361&amp;$F361,".","_"),"(","_"),")","")</f>
        <v>dnt607_1_1</v>
      </c>
      <c r="AS361" s="311">
        <f>X361</f>
        <v>0</v>
      </c>
    </row>
    <row r="362" spans="1:51" x14ac:dyDescent="0.3">
      <c r="B362" s="80">
        <v>607.1</v>
      </c>
      <c r="C362" s="21"/>
      <c r="D362" s="21"/>
      <c r="E362" s="21" t="s">
        <v>271</v>
      </c>
      <c r="F362" s="21"/>
      <c r="G362" s="21"/>
      <c r="H362" s="1084"/>
      <c r="I362" s="66"/>
      <c r="J362" s="231"/>
      <c r="K362" s="193"/>
      <c r="L362" s="1306"/>
      <c r="M362" s="1319"/>
      <c r="N362" s="238"/>
      <c r="O362" s="1309"/>
      <c r="P362" s="440"/>
      <c r="Q362" s="440"/>
      <c r="R362"/>
      <c r="S362"/>
      <c r="T362"/>
      <c r="U362"/>
      <c r="V362"/>
      <c r="W362"/>
      <c r="X362" s="1303"/>
      <c r="Z362"/>
      <c r="AB362"/>
      <c r="AC362"/>
      <c r="AD362"/>
      <c r="AE362"/>
      <c r="AF362"/>
      <c r="AG362"/>
      <c r="AH362"/>
      <c r="AI362"/>
      <c r="AJ362"/>
      <c r="AK362"/>
      <c r="AL362"/>
      <c r="AM362"/>
      <c r="AN362"/>
      <c r="AO362"/>
      <c r="AP362"/>
      <c r="AQ362"/>
      <c r="AR362"/>
      <c r="AS362"/>
    </row>
    <row r="363" spans="1:51" ht="15" thickBot="1" x14ac:dyDescent="0.35">
      <c r="B363" s="80">
        <v>607.1</v>
      </c>
      <c r="C363" s="21"/>
      <c r="D363" s="21"/>
      <c r="E363" s="21" t="s">
        <v>273</v>
      </c>
      <c r="F363" s="21"/>
      <c r="G363" s="21"/>
      <c r="H363" s="1084"/>
      <c r="I363" s="66"/>
      <c r="J363" s="27" t="s">
        <v>273</v>
      </c>
      <c r="K363" s="86"/>
      <c r="L363" s="350" t="s">
        <v>744</v>
      </c>
      <c r="M363" s="522">
        <v>3</v>
      </c>
      <c r="N363" s="4"/>
      <c r="O363" s="154">
        <f>M363*S363*W363</f>
        <v>0</v>
      </c>
      <c r="P363" s="440" t="b">
        <v>0</v>
      </c>
      <c r="Q363" s="440" t="b">
        <v>1</v>
      </c>
      <c r="R363" s="137" t="b">
        <v>0</v>
      </c>
      <c r="S363" s="137" t="b">
        <v>1</v>
      </c>
      <c r="T363" s="137" t="b">
        <v>0</v>
      </c>
      <c r="U363"/>
      <c r="V363"/>
      <c r="W363" s="105"/>
      <c r="X363" s="185"/>
      <c r="Z363"/>
      <c r="AB363"/>
      <c r="AC363"/>
      <c r="AD363"/>
      <c r="AE363"/>
      <c r="AF363"/>
      <c r="AG363"/>
      <c r="AH363"/>
      <c r="AI363"/>
      <c r="AJ363"/>
      <c r="AK363"/>
      <c r="AL363" s="311" t="str">
        <f t="shared" ref="AL363:AL364" si="91">SUBSTITUTE(SUBSTITUTE(SUBSTITUTE("dpa"&amp;$B363&amp;$C363&amp;$D363&amp;$E363&amp;$F363,".","_"),"(","_"),")","")</f>
        <v>dpa607_1_2</v>
      </c>
      <c r="AM363" s="311">
        <f>M363</f>
        <v>3</v>
      </c>
      <c r="AN363" s="311" t="str">
        <f t="shared" ref="AN363:AN364" si="92">SUBSTITUTE(SUBSTITUTE(SUBSTITUTE("dpc"&amp;$B363&amp;$C363&amp;$D363&amp;$E363&amp;$F363,".","_"),"(","_"),")","")</f>
        <v>dpc607_1_2</v>
      </c>
      <c r="AO363" s="311">
        <f>O363</f>
        <v>0</v>
      </c>
      <c r="AP363" s="311" t="str">
        <f t="shared" ref="AP363:AP364" si="93">SUBSTITUTE(SUBSTITUTE(SUBSTITUTE("dch"&amp;$B363&amp;$C363&amp;$D363&amp;$E363&amp;$F363,".","_"),"(","_"),")","")</f>
        <v>dch607_1_2</v>
      </c>
      <c r="AQ363" s="311">
        <f>W363</f>
        <v>0</v>
      </c>
      <c r="AR363" s="1059" t="str">
        <f>SUBSTITUTE(SUBSTITUTE(SUBSTITUTE("dnt"&amp;$B363&amp;$C363&amp;$D363&amp;$E363&amp;$F363,".","_"),"(","_"),")","")</f>
        <v>dnt607_1_2</v>
      </c>
      <c r="AS363" s="311">
        <f>X363</f>
        <v>0</v>
      </c>
    </row>
    <row r="364" spans="1:51" ht="15" thickTop="1" x14ac:dyDescent="0.3">
      <c r="B364" s="80">
        <v>607.20000000000005</v>
      </c>
      <c r="C364" s="21"/>
      <c r="D364" s="21"/>
      <c r="E364" s="21"/>
      <c r="F364" s="21"/>
      <c r="G364" s="21"/>
      <c r="H364" s="1084"/>
      <c r="I364" s="200">
        <v>607.20000000000005</v>
      </c>
      <c r="J364" s="201"/>
      <c r="K364" s="202"/>
      <c r="L364" s="1331" t="s">
        <v>745</v>
      </c>
      <c r="M364" s="1343">
        <v>1</v>
      </c>
      <c r="N364" s="201"/>
      <c r="O364" s="1336">
        <f>M364*S364*W364</f>
        <v>0</v>
      </c>
      <c r="P364" s="440" t="b">
        <v>0</v>
      </c>
      <c r="Q364" s="440" t="b">
        <v>1</v>
      </c>
      <c r="R364" s="110" t="b">
        <v>0</v>
      </c>
      <c r="S364" s="110" t="b">
        <v>1</v>
      </c>
      <c r="T364" s="110" t="b">
        <v>0</v>
      </c>
      <c r="U364" s="110"/>
      <c r="V364" s="110"/>
      <c r="W364" s="127"/>
      <c r="X364" s="1327"/>
      <c r="Z364"/>
      <c r="AB364"/>
      <c r="AC364"/>
      <c r="AD364"/>
      <c r="AE364"/>
      <c r="AF364"/>
      <c r="AG364"/>
      <c r="AH364"/>
      <c r="AI364"/>
      <c r="AJ364"/>
      <c r="AK364"/>
      <c r="AL364" s="311" t="str">
        <f t="shared" si="91"/>
        <v>dpa607_2</v>
      </c>
      <c r="AM364" s="311">
        <f>M364</f>
        <v>1</v>
      </c>
      <c r="AN364" s="311" t="str">
        <f t="shared" si="92"/>
        <v>dpc607_2</v>
      </c>
      <c r="AO364" s="311">
        <f>O364</f>
        <v>0</v>
      </c>
      <c r="AP364" s="311" t="str">
        <f t="shared" si="93"/>
        <v>dch607_2</v>
      </c>
      <c r="AQ364" s="311">
        <f>W364</f>
        <v>0</v>
      </c>
      <c r="AR364" s="1059" t="str">
        <f>SUBSTITUTE(SUBSTITUTE(SUBSTITUTE("dnt"&amp;$B364&amp;$C364&amp;$D364&amp;$E364&amp;$F364,".","_"),"(","_"),")","")</f>
        <v>dnt607_2</v>
      </c>
      <c r="AS364" s="311">
        <f>X364</f>
        <v>0</v>
      </c>
    </row>
    <row r="365" spans="1:51" x14ac:dyDescent="0.3">
      <c r="B365" s="80">
        <v>607.20000000000005</v>
      </c>
      <c r="C365" s="21"/>
      <c r="D365" s="21"/>
      <c r="E365" s="21"/>
      <c r="F365" s="21"/>
      <c r="G365" s="21"/>
      <c r="H365" s="1084"/>
      <c r="I365" s="141"/>
      <c r="J365" s="140"/>
      <c r="K365" s="98"/>
      <c r="L365" s="1313"/>
      <c r="M365" s="1318"/>
      <c r="N365" s="140"/>
      <c r="O365" s="1308"/>
      <c r="P365" s="97"/>
      <c r="Q365" s="97"/>
      <c r="R365" s="97"/>
      <c r="S365" s="97"/>
      <c r="T365" s="97"/>
      <c r="U365" s="97"/>
      <c r="V365" s="97"/>
      <c r="W365" s="97"/>
      <c r="X365" s="1295"/>
      <c r="Z365"/>
      <c r="AB365"/>
      <c r="AC365"/>
      <c r="AD365"/>
      <c r="AE365"/>
      <c r="AF365"/>
      <c r="AG365"/>
      <c r="AH365"/>
      <c r="AI365"/>
      <c r="AJ365"/>
      <c r="AK365"/>
      <c r="AL365"/>
      <c r="AM365"/>
      <c r="AN365"/>
      <c r="AO365"/>
      <c r="AP365"/>
      <c r="AQ365"/>
      <c r="AR365"/>
      <c r="AS365"/>
    </row>
    <row r="366" spans="1:51" ht="18" x14ac:dyDescent="0.35">
      <c r="B366" s="80">
        <v>608</v>
      </c>
      <c r="C366" s="21"/>
      <c r="D366" s="21"/>
      <c r="E366" s="21"/>
      <c r="F366" s="21"/>
      <c r="G366" s="21"/>
      <c r="H366" s="1084"/>
      <c r="I366" s="14" t="s">
        <v>746</v>
      </c>
      <c r="J366" s="23"/>
      <c r="K366" s="85"/>
      <c r="L366" s="259"/>
      <c r="M366" s="484"/>
      <c r="N366" s="604"/>
      <c r="O366" s="594"/>
      <c r="P366" s="23"/>
      <c r="Q366" s="23"/>
      <c r="R366" s="23"/>
      <c r="S366" s="23"/>
      <c r="T366" s="23"/>
      <c r="U366" s="23"/>
      <c r="V366" s="23"/>
      <c r="W366" s="23"/>
      <c r="X366" s="23"/>
      <c r="Z366"/>
      <c r="AB366"/>
      <c r="AC366"/>
      <c r="AD366"/>
      <c r="AE366"/>
      <c r="AF366"/>
      <c r="AG366"/>
      <c r="AH366"/>
      <c r="AI366"/>
      <c r="AJ366"/>
      <c r="AK366"/>
      <c r="AL366"/>
      <c r="AM366"/>
      <c r="AN366"/>
      <c r="AO366"/>
      <c r="AP366"/>
      <c r="AQ366"/>
      <c r="AR366"/>
      <c r="AS366"/>
    </row>
    <row r="367" spans="1:51" x14ac:dyDescent="0.3">
      <c r="B367" s="80">
        <v>608.1</v>
      </c>
      <c r="C367" s="21"/>
      <c r="D367" s="21"/>
      <c r="E367" s="21"/>
      <c r="F367" s="21"/>
      <c r="G367" s="21"/>
      <c r="H367" s="1084"/>
      <c r="I367" s="66">
        <v>608.1</v>
      </c>
      <c r="J367" s="4"/>
      <c r="K367" s="86"/>
      <c r="L367" s="1292" t="s">
        <v>747</v>
      </c>
      <c r="M367" s="1387" t="s">
        <v>3290</v>
      </c>
      <c r="N367" s="4"/>
      <c r="O367" s="1310">
        <f ca="1">IFERROR(MATCH(W367,INDIRECT(U367),0),0)*3</f>
        <v>6</v>
      </c>
      <c r="P367" s="440" t="b">
        <v>1</v>
      </c>
      <c r="Q367" s="440" t="b">
        <v>1</v>
      </c>
      <c r="R367" s="170" t="b">
        <v>0</v>
      </c>
      <c r="S367" s="170" t="b">
        <v>1</v>
      </c>
      <c r="T367" s="170" t="b">
        <v>0</v>
      </c>
      <c r="U367" s="97" t="str">
        <f>SUBSTITUTE(SUBSTITUTE(SUBSTITUTE("dd"&amp;B367&amp;C367&amp;D367&amp;E367&amp;F367,".","_"),"(","_"),")","")</f>
        <v>dd608_1</v>
      </c>
      <c r="V367"/>
      <c r="W367" s="12" t="s">
        <v>3292</v>
      </c>
      <c r="X367" s="1379" t="s">
        <v>4786</v>
      </c>
      <c r="Z367"/>
      <c r="AB367"/>
      <c r="AC367" s="170" t="b">
        <f>OR(AD367:AE367)</f>
        <v>0</v>
      </c>
      <c r="AD367" s="170" t="b">
        <v>0</v>
      </c>
      <c r="AE367" s="170" t="b">
        <f>AND(NOT(ISBLANK(W367)),LEN(X367)=0)</f>
        <v>0</v>
      </c>
      <c r="AF367"/>
      <c r="AG367"/>
      <c r="AH367"/>
      <c r="AI367"/>
      <c r="AJ367"/>
      <c r="AK367"/>
      <c r="AL367" s="311" t="str">
        <f>SUBSTITUTE(SUBSTITUTE(SUBSTITUTE("dpa"&amp;$B367&amp;$C367&amp;$D367&amp;$E367&amp;$F367,".","_"),"(","_"),")","")</f>
        <v>dpa608_1</v>
      </c>
      <c r="AM367" s="311" t="str">
        <f>M367</f>
        <v>9 Max
3 per material</v>
      </c>
      <c r="AN367" s="311" t="str">
        <f>SUBSTITUTE(SUBSTITUTE(SUBSTITUTE("dpc"&amp;$B367&amp;$C367&amp;$D367&amp;$E367&amp;$F367,".","_"),"(","_"),")","")</f>
        <v>dpc608_1</v>
      </c>
      <c r="AO367" s="311">
        <f ca="1">O367</f>
        <v>6</v>
      </c>
      <c r="AP367" s="311" t="str">
        <f t="shared" ref="AP367" si="94">SUBSTITUTE(SUBSTITUTE(SUBSTITUTE("dch"&amp;$B367&amp;$C367&amp;$D367&amp;$E367&amp;$F367,".","_"),"(","_"),")","")</f>
        <v>dch608_1</v>
      </c>
      <c r="AQ367" s="311" t="str">
        <f>W367</f>
        <v>2 products</v>
      </c>
      <c r="AR367" s="1059" t="str">
        <f>SUBSTITUTE(SUBSTITUTE(SUBSTITUTE("dnt"&amp;$B367&amp;$C367&amp;$D367&amp;$E367&amp;$F367,".","_"),"(","_"),")","")</f>
        <v>dnt608_1</v>
      </c>
      <c r="AS367" s="311" t="str">
        <f>X367</f>
        <v>Weyerhaeuser Trus Joist; Boise Cascade Versa-Lam</v>
      </c>
    </row>
    <row r="368" spans="1:51" x14ac:dyDescent="0.3">
      <c r="B368" s="80">
        <v>608.1</v>
      </c>
      <c r="C368" s="21"/>
      <c r="D368" s="21"/>
      <c r="E368" s="21"/>
      <c r="F368" s="21"/>
      <c r="G368" s="21"/>
      <c r="H368" s="1084"/>
      <c r="I368" s="66"/>
      <c r="J368" s="4"/>
      <c r="K368" s="86"/>
      <c r="L368" s="1292"/>
      <c r="M368" s="1387"/>
      <c r="N368" s="4"/>
      <c r="O368" s="1310"/>
      <c r="P368" s="440"/>
      <c r="Q368" s="440"/>
      <c r="R368"/>
      <c r="S368"/>
      <c r="T368"/>
      <c r="U368"/>
      <c r="V368"/>
      <c r="W368"/>
      <c r="X368" s="1380"/>
      <c r="Z368"/>
      <c r="AB368"/>
      <c r="AC368"/>
      <c r="AD368"/>
      <c r="AE368"/>
      <c r="AF368"/>
      <c r="AG368"/>
      <c r="AH368"/>
      <c r="AI368"/>
      <c r="AJ368"/>
      <c r="AK368"/>
      <c r="AL368"/>
      <c r="AM368"/>
      <c r="AN368"/>
      <c r="AO368"/>
      <c r="AP368"/>
      <c r="AQ368"/>
      <c r="AR368"/>
      <c r="AS368"/>
    </row>
    <row r="369" spans="1:51" x14ac:dyDescent="0.3">
      <c r="B369" s="80">
        <v>608.1</v>
      </c>
      <c r="C369" s="21"/>
      <c r="D369" s="21"/>
      <c r="E369" s="21"/>
      <c r="F369" s="21"/>
      <c r="G369" s="21"/>
      <c r="H369" s="1084"/>
      <c r="I369" s="66"/>
      <c r="J369" s="4"/>
      <c r="K369" s="86"/>
      <c r="L369" s="1292"/>
      <c r="M369" s="1387"/>
      <c r="N369" s="4"/>
      <c r="O369" s="1310"/>
      <c r="P369" s="440"/>
      <c r="Q369" s="440"/>
      <c r="R369"/>
      <c r="S369"/>
      <c r="T369"/>
      <c r="U369"/>
      <c r="V369"/>
      <c r="W369"/>
      <c r="X369" s="1380"/>
      <c r="Z369"/>
      <c r="AB369"/>
      <c r="AC369"/>
      <c r="AD369"/>
      <c r="AE369"/>
      <c r="AF369"/>
      <c r="AG369"/>
      <c r="AH369"/>
      <c r="AI369"/>
      <c r="AJ369"/>
      <c r="AK369"/>
      <c r="AL369"/>
      <c r="AM369"/>
      <c r="AN369"/>
      <c r="AO369"/>
      <c r="AP369"/>
      <c r="AQ369"/>
      <c r="AR369"/>
      <c r="AS369"/>
    </row>
    <row r="370" spans="1:51" x14ac:dyDescent="0.3">
      <c r="B370" s="80">
        <v>608.1</v>
      </c>
      <c r="C370" s="21"/>
      <c r="D370" s="21"/>
      <c r="E370" s="21" t="s">
        <v>271</v>
      </c>
      <c r="F370" s="21"/>
      <c r="G370" s="21"/>
      <c r="H370" s="1084"/>
      <c r="I370" s="66"/>
      <c r="J370" s="27" t="s">
        <v>271</v>
      </c>
      <c r="K370" s="86"/>
      <c r="L370" s="1329" t="s">
        <v>748</v>
      </c>
      <c r="M370" s="1387"/>
      <c r="N370" s="4"/>
      <c r="O370" s="1310"/>
      <c r="P370" s="440"/>
      <c r="Q370" s="440"/>
      <c r="R370" s="137"/>
      <c r="S370" s="137"/>
      <c r="T370" s="137"/>
      <c r="U370"/>
      <c r="V370"/>
      <c r="W370"/>
      <c r="X370" s="1380"/>
      <c r="Z370"/>
      <c r="AB370"/>
      <c r="AC370"/>
      <c r="AD370"/>
      <c r="AE370"/>
      <c r="AF370"/>
      <c r="AG370"/>
      <c r="AH370"/>
      <c r="AI370"/>
      <c r="AJ370"/>
      <c r="AK370"/>
      <c r="AL370"/>
      <c r="AM370"/>
      <c r="AN370"/>
      <c r="AO370"/>
      <c r="AP370"/>
      <c r="AQ370"/>
      <c r="AR370"/>
      <c r="AS370"/>
    </row>
    <row r="371" spans="1:51" x14ac:dyDescent="0.3">
      <c r="B371" s="80">
        <v>608.1</v>
      </c>
      <c r="C371" s="21"/>
      <c r="D371" s="21"/>
      <c r="E371" s="21" t="s">
        <v>271</v>
      </c>
      <c r="F371" s="21"/>
      <c r="G371" s="21"/>
      <c r="H371" s="1084"/>
      <c r="I371" s="66"/>
      <c r="J371" s="27"/>
      <c r="K371" s="86"/>
      <c r="L371" s="1329"/>
      <c r="M371" s="1387"/>
      <c r="N371" s="4"/>
      <c r="O371" s="1310"/>
      <c r="P371" s="440"/>
      <c r="Q371" s="440"/>
      <c r="R371"/>
      <c r="S371"/>
      <c r="T371"/>
      <c r="U371"/>
      <c r="V371"/>
      <c r="W371"/>
      <c r="X371" s="1380"/>
      <c r="Z371"/>
      <c r="AB371"/>
      <c r="AC371"/>
      <c r="AD371"/>
      <c r="AE371"/>
      <c r="AF371"/>
      <c r="AG371"/>
      <c r="AH371"/>
      <c r="AI371"/>
      <c r="AJ371"/>
      <c r="AK371"/>
      <c r="AL371"/>
      <c r="AM371"/>
      <c r="AN371"/>
      <c r="AO371"/>
      <c r="AP371"/>
      <c r="AQ371"/>
      <c r="AR371"/>
      <c r="AS371"/>
    </row>
    <row r="372" spans="1:51" x14ac:dyDescent="0.3">
      <c r="B372" s="80">
        <v>608.1</v>
      </c>
      <c r="C372" s="21"/>
      <c r="D372" s="21"/>
      <c r="E372" s="21" t="s">
        <v>273</v>
      </c>
      <c r="F372" s="21"/>
      <c r="G372" s="21"/>
      <c r="H372" s="1084"/>
      <c r="I372" s="66"/>
      <c r="J372" s="27" t="s">
        <v>273</v>
      </c>
      <c r="K372" s="86"/>
      <c r="L372" s="350" t="s">
        <v>749</v>
      </c>
      <c r="M372" s="1387"/>
      <c r="N372" s="4"/>
      <c r="O372" s="1310"/>
      <c r="P372" s="440"/>
      <c r="Q372" s="440"/>
      <c r="R372" s="137"/>
      <c r="S372" s="137"/>
      <c r="T372" s="137"/>
      <c r="U372"/>
      <c r="V372"/>
      <c r="W372"/>
      <c r="X372" s="1380"/>
      <c r="Z372"/>
      <c r="AB372"/>
      <c r="AC372"/>
      <c r="AD372"/>
      <c r="AE372"/>
      <c r="AF372"/>
      <c r="AG372"/>
      <c r="AH372"/>
      <c r="AI372"/>
      <c r="AJ372"/>
      <c r="AK372"/>
      <c r="AL372"/>
      <c r="AM372"/>
      <c r="AN372"/>
      <c r="AO372"/>
      <c r="AP372"/>
      <c r="AQ372"/>
      <c r="AR372"/>
      <c r="AS372"/>
    </row>
    <row r="373" spans="1:51" x14ac:dyDescent="0.3">
      <c r="B373" s="80">
        <v>608.1</v>
      </c>
      <c r="C373" s="21"/>
      <c r="D373" s="21"/>
      <c r="E373" s="21" t="s">
        <v>275</v>
      </c>
      <c r="F373" s="21"/>
      <c r="G373" s="21"/>
      <c r="H373" s="1084"/>
      <c r="I373" s="66"/>
      <c r="J373" s="27" t="s">
        <v>275</v>
      </c>
      <c r="K373" s="86"/>
      <c r="L373" s="350" t="s">
        <v>750</v>
      </c>
      <c r="M373" s="1387"/>
      <c r="N373" s="4"/>
      <c r="O373" s="1310"/>
      <c r="P373" s="440"/>
      <c r="Q373" s="440"/>
      <c r="R373" s="137"/>
      <c r="S373" s="137"/>
      <c r="T373" s="137"/>
      <c r="U373"/>
      <c r="V373"/>
      <c r="W373"/>
      <c r="X373" s="1380"/>
      <c r="Z373"/>
      <c r="AB373"/>
      <c r="AC373"/>
      <c r="AD373"/>
      <c r="AE373"/>
      <c r="AF373"/>
      <c r="AG373"/>
      <c r="AH373"/>
      <c r="AI373"/>
      <c r="AJ373"/>
      <c r="AK373"/>
      <c r="AL373"/>
      <c r="AM373"/>
      <c r="AN373"/>
      <c r="AO373"/>
      <c r="AP373"/>
      <c r="AQ373"/>
      <c r="AR373"/>
      <c r="AS373"/>
      <c r="AX373" s="170"/>
      <c r="AY373" s="170"/>
    </row>
    <row r="374" spans="1:51" s="170" customFormat="1" ht="15" customHeight="1" x14ac:dyDescent="0.3">
      <c r="A374" s="18"/>
      <c r="B374" s="80">
        <v>608.1</v>
      </c>
      <c r="C374" s="21"/>
      <c r="D374" s="21"/>
      <c r="E374" s="21"/>
      <c r="F374" s="21"/>
      <c r="G374" s="21"/>
      <c r="H374" s="1084"/>
      <c r="I374" s="66"/>
      <c r="J374" s="27"/>
      <c r="K374" s="86"/>
      <c r="L374" s="353" t="s">
        <v>3294</v>
      </c>
      <c r="M374" s="1387"/>
      <c r="N374" s="4"/>
      <c r="O374" s="1310"/>
      <c r="P374" s="440"/>
      <c r="Q374" s="440"/>
      <c r="X374" s="1381"/>
      <c r="Y374" s="1107"/>
      <c r="AA374" s="1110"/>
      <c r="AX374" s="65"/>
      <c r="AY374" s="65"/>
    </row>
    <row r="375" spans="1:51" ht="18" x14ac:dyDescent="0.35">
      <c r="B375" s="80">
        <v>609</v>
      </c>
      <c r="C375" s="21"/>
      <c r="D375" s="21"/>
      <c r="E375" s="21"/>
      <c r="F375" s="21"/>
      <c r="G375" s="21"/>
      <c r="H375" s="1084"/>
      <c r="I375" s="14" t="s">
        <v>751</v>
      </c>
      <c r="J375" s="23"/>
      <c r="K375" s="85"/>
      <c r="L375" s="259"/>
      <c r="M375" s="484"/>
      <c r="N375" s="604"/>
      <c r="O375" s="594"/>
      <c r="P375" s="23"/>
      <c r="Q375" s="23"/>
      <c r="R375" s="23"/>
      <c r="S375" s="23"/>
      <c r="T375" s="23"/>
      <c r="U375" s="23"/>
      <c r="V375" s="23"/>
      <c r="W375" s="23"/>
      <c r="X375" s="23"/>
      <c r="Z375"/>
      <c r="AB375"/>
      <c r="AC375"/>
      <c r="AD375"/>
      <c r="AE375"/>
      <c r="AF375"/>
      <c r="AG375"/>
      <c r="AH375"/>
      <c r="AI375"/>
      <c r="AJ375"/>
      <c r="AK375"/>
      <c r="AL375"/>
      <c r="AM375"/>
      <c r="AN375"/>
      <c r="AO375"/>
      <c r="AP375"/>
      <c r="AQ375"/>
      <c r="AR375"/>
      <c r="AS375"/>
    </row>
    <row r="376" spans="1:51" x14ac:dyDescent="0.3">
      <c r="B376" s="80">
        <v>609.1</v>
      </c>
      <c r="C376" s="21" t="s">
        <v>3173</v>
      </c>
      <c r="D376" s="21"/>
      <c r="E376" s="21"/>
      <c r="F376" s="21"/>
      <c r="G376" s="21"/>
      <c r="H376" s="1084"/>
      <c r="I376" s="66">
        <v>609.1</v>
      </c>
      <c r="J376" s="4"/>
      <c r="K376" s="86"/>
      <c r="L376" s="1292" t="s">
        <v>752</v>
      </c>
      <c r="M376" s="1387" t="s">
        <v>3295</v>
      </c>
      <c r="N376" s="4"/>
      <c r="O376" s="1310">
        <f ca="1">MIN(10,IFERROR(MATCH(W377,INDIRECT(U377),0),0)*2+IFERROR(MATCH(W380,INDIRECT(U380),0),0))</f>
        <v>0</v>
      </c>
      <c r="P376" s="440"/>
      <c r="Q376" s="440"/>
      <c r="U376"/>
      <c r="V376"/>
      <c r="W376" t="s">
        <v>3296</v>
      </c>
      <c r="X376" s="1383"/>
      <c r="Z376"/>
      <c r="AB376"/>
      <c r="AC376"/>
      <c r="AD376"/>
      <c r="AE376"/>
      <c r="AF376"/>
      <c r="AG376"/>
      <c r="AH376"/>
      <c r="AI376"/>
      <c r="AJ376"/>
      <c r="AK376"/>
      <c r="AL376" s="311" t="str">
        <f>SUBSTITUTE(SUBSTITUTE(SUBSTITUTE("dpa"&amp;$B376&amp;$C376&amp;$D376&amp;$E376&amp;$F376,".","_"),"(","_"),")","")</f>
        <v>dpa609_1a</v>
      </c>
      <c r="AM376" s="311" t="str">
        <f>M376</f>
        <v>10 Max
2 per each major comp. 
and 
1 per each minor comp.</v>
      </c>
      <c r="AN376" s="311" t="str">
        <f>SUBSTITUTE(SUBSTITUTE(SUBSTITUTE("dpc"&amp;$B376&amp;$C376&amp;$D376&amp;$E376&amp;$F376,".","_"),"(","_"),")","")</f>
        <v>dpc609_1a</v>
      </c>
      <c r="AO376" s="311">
        <f ca="1">O376</f>
        <v>0</v>
      </c>
      <c r="AP376"/>
      <c r="AQ376"/>
      <c r="AR376" s="1059" t="str">
        <f>SUBSTITUTE(SUBSTITUTE(SUBSTITUTE("dnt"&amp;$B376&amp;$C376&amp;$D376&amp;$E376&amp;$F376,".","_"),"(","_"),")","")</f>
        <v>dnt609_1a</v>
      </c>
      <c r="AS376" s="311">
        <f>X376</f>
        <v>0</v>
      </c>
    </row>
    <row r="377" spans="1:51" x14ac:dyDescent="0.3">
      <c r="B377" s="80">
        <v>609.1</v>
      </c>
      <c r="C377" s="21" t="s">
        <v>3173</v>
      </c>
      <c r="D377" s="21"/>
      <c r="E377" s="21"/>
      <c r="F377" s="21"/>
      <c r="G377" s="21"/>
      <c r="H377" s="1084"/>
      <c r="I377" s="66"/>
      <c r="J377" s="4"/>
      <c r="K377" s="86"/>
      <c r="L377" s="1292"/>
      <c r="M377" s="1387"/>
      <c r="N377" s="4"/>
      <c r="O377" s="1310"/>
      <c r="P377" s="440" t="b">
        <v>1</v>
      </c>
      <c r="Q377" s="440" t="b">
        <v>1</v>
      </c>
      <c r="R377" s="137" t="b">
        <v>0</v>
      </c>
      <c r="S377" s="137" t="b">
        <v>1</v>
      </c>
      <c r="T377" s="137" t="b">
        <v>0</v>
      </c>
      <c r="U377" s="97" t="str">
        <f>SUBSTITUTE(SUBSTITUTE(SUBSTITUTE("dd"&amp;B377&amp;C377&amp;D377&amp;E377&amp;F377,".","_"),"(","_"),")","")</f>
        <v>dd609_1a</v>
      </c>
      <c r="V377"/>
      <c r="W377" s="12"/>
      <c r="X377" s="1383"/>
      <c r="Z377"/>
      <c r="AB377"/>
      <c r="AC377" s="170" t="b">
        <f>OR(AD377:AE377)</f>
        <v>0</v>
      </c>
      <c r="AD377" s="170" t="b">
        <v>0</v>
      </c>
      <c r="AE377" s="170" t="b">
        <f>AND(NOT(ISBLANK(W377)),LEN(X376)=0)</f>
        <v>0</v>
      </c>
      <c r="AF377"/>
      <c r="AG377"/>
      <c r="AH377"/>
      <c r="AI377"/>
      <c r="AJ377"/>
      <c r="AK377"/>
      <c r="AL377"/>
      <c r="AM377"/>
      <c r="AN377"/>
      <c r="AO377"/>
      <c r="AP377" s="311" t="str">
        <f t="shared" ref="AP377" si="95">SUBSTITUTE(SUBSTITUTE(SUBSTITUTE("dch"&amp;$B377&amp;$C377&amp;$D377&amp;$E377&amp;$F377,".","_"),"(","_"),")","")</f>
        <v>dch609_1a</v>
      </c>
      <c r="AQ377" s="311">
        <f>W377</f>
        <v>0</v>
      </c>
      <c r="AR377"/>
      <c r="AS377"/>
    </row>
    <row r="378" spans="1:51" ht="15" customHeight="1" x14ac:dyDescent="0.3">
      <c r="B378" s="80">
        <v>609.1</v>
      </c>
      <c r="C378" s="21"/>
      <c r="D378" s="21"/>
      <c r="E378" s="21"/>
      <c r="F378" s="21"/>
      <c r="G378" s="21"/>
      <c r="H378" s="1084"/>
      <c r="I378" s="66"/>
      <c r="J378" s="4"/>
      <c r="K378" s="86"/>
      <c r="L378" s="1365" t="s">
        <v>3310</v>
      </c>
      <c r="M378" s="1387"/>
      <c r="N378" s="4"/>
      <c r="O378" s="1310"/>
      <c r="P378" s="440"/>
      <c r="Q378" s="440"/>
      <c r="U378"/>
      <c r="V378"/>
      <c r="W378"/>
      <c r="X378" s="1383"/>
    </row>
    <row r="379" spans="1:51" x14ac:dyDescent="0.3">
      <c r="B379" s="80">
        <v>609.1</v>
      </c>
      <c r="C379" s="21" t="s">
        <v>3174</v>
      </c>
      <c r="D379" s="21"/>
      <c r="E379" s="21"/>
      <c r="F379" s="21"/>
      <c r="G379" s="21"/>
      <c r="H379" s="1084"/>
      <c r="I379" s="66"/>
      <c r="J379" s="4"/>
      <c r="K379" s="86"/>
      <c r="L379" s="1365"/>
      <c r="M379" s="1387"/>
      <c r="N379" s="4"/>
      <c r="O379" s="1310"/>
      <c r="P379" s="440"/>
      <c r="Q379" s="440"/>
      <c r="U379"/>
      <c r="V379"/>
      <c r="W379" s="170" t="s">
        <v>3297</v>
      </c>
      <c r="X379" s="1384"/>
      <c r="AR379" s="1059" t="str">
        <f>SUBSTITUTE(SUBSTITUTE(SUBSTITUTE("dnt"&amp;$B379&amp;$C379&amp;$D379&amp;$E379&amp;$F379,".","_"),"(","_"),")","")</f>
        <v>dnt609_1b</v>
      </c>
      <c r="AS379" s="311">
        <f>X379</f>
        <v>0</v>
      </c>
      <c r="AX379" s="170"/>
      <c r="AY379" s="170"/>
    </row>
    <row r="380" spans="1:51" s="170" customFormat="1" x14ac:dyDescent="0.3">
      <c r="A380" s="18"/>
      <c r="B380" s="80">
        <v>609.1</v>
      </c>
      <c r="C380" s="21" t="s">
        <v>3174</v>
      </c>
      <c r="D380" s="21"/>
      <c r="E380" s="21"/>
      <c r="F380" s="21"/>
      <c r="G380" s="21"/>
      <c r="H380" s="1084"/>
      <c r="I380" s="66"/>
      <c r="J380" s="4"/>
      <c r="K380" s="86"/>
      <c r="L380" s="1365"/>
      <c r="M380" s="1387"/>
      <c r="N380" s="4"/>
      <c r="O380" s="1310"/>
      <c r="P380" s="440" t="b">
        <v>1</v>
      </c>
      <c r="Q380" s="440" t="b">
        <v>1</v>
      </c>
      <c r="R380" s="137" t="b">
        <v>0</v>
      </c>
      <c r="S380" s="137" t="b">
        <v>1</v>
      </c>
      <c r="T380" s="137" t="b">
        <v>0</v>
      </c>
      <c r="U380" s="97" t="str">
        <f>SUBSTITUTE(SUBSTITUTE(SUBSTITUTE("dd"&amp;B380&amp;C380&amp;D380&amp;E380&amp;F380,".","_"),"(","_"),")","")</f>
        <v>dd609_1b</v>
      </c>
      <c r="W380" s="12"/>
      <c r="X380" s="1385"/>
      <c r="Y380" s="1107"/>
      <c r="AA380" s="1110"/>
      <c r="AC380" s="170" t="b">
        <f>OR(AD380:AE380)</f>
        <v>0</v>
      </c>
      <c r="AD380" s="170" t="b">
        <v>0</v>
      </c>
      <c r="AE380" s="170" t="b">
        <f>AND(NOT(ISBLANK(W380)),LEN(X379)=0)</f>
        <v>0</v>
      </c>
      <c r="AP380" s="311" t="str">
        <f t="shared" ref="AP380" si="96">SUBSTITUTE(SUBSTITUTE(SUBSTITUTE("dch"&amp;$B380&amp;$C380&amp;$D380&amp;$E380&amp;$F380,".","_"),"(","_"),")","")</f>
        <v>dch609_1b</v>
      </c>
      <c r="AQ380" s="311">
        <f>W380</f>
        <v>0</v>
      </c>
      <c r="AX380" s="65"/>
      <c r="AY380" s="65"/>
    </row>
    <row r="381" spans="1:51" ht="15" customHeight="1" x14ac:dyDescent="0.3">
      <c r="B381" s="80">
        <v>609.1</v>
      </c>
      <c r="C381" s="21"/>
      <c r="D381" s="21"/>
      <c r="E381" s="21"/>
      <c r="F381" s="21"/>
      <c r="G381" s="21"/>
      <c r="H381" s="1084"/>
      <c r="I381" s="66"/>
      <c r="J381" s="4"/>
      <c r="K381" s="86"/>
      <c r="L381" s="1357" t="s">
        <v>3309</v>
      </c>
      <c r="M381" s="1387"/>
      <c r="N381" s="4"/>
      <c r="O381" s="1310"/>
      <c r="P381" s="440"/>
      <c r="Q381" s="440"/>
      <c r="R381"/>
      <c r="S381"/>
      <c r="T381"/>
      <c r="U381"/>
      <c r="V381"/>
      <c r="W381"/>
      <c r="X381" s="1385"/>
      <c r="AX381" s="170"/>
      <c r="AY381" s="170"/>
    </row>
    <row r="382" spans="1:51" s="170" customFormat="1" ht="15" customHeight="1" x14ac:dyDescent="0.3">
      <c r="A382" s="18"/>
      <c r="B382" s="80">
        <v>609.1</v>
      </c>
      <c r="C382" s="21"/>
      <c r="D382" s="21"/>
      <c r="E382" s="21"/>
      <c r="F382" s="21"/>
      <c r="G382" s="21"/>
      <c r="H382" s="1084"/>
      <c r="I382" s="66"/>
      <c r="J382" s="4"/>
      <c r="K382" s="86"/>
      <c r="L382" s="1366"/>
      <c r="M382" s="1387"/>
      <c r="N382" s="4"/>
      <c r="O382" s="1310"/>
      <c r="P382" s="440"/>
      <c r="Q382" s="440"/>
      <c r="X382" s="1386"/>
      <c r="Y382" s="1107"/>
      <c r="AA382" s="1110"/>
      <c r="AX382" s="65"/>
      <c r="AY382" s="65"/>
    </row>
    <row r="383" spans="1:51" ht="18" x14ac:dyDescent="0.35">
      <c r="B383" s="80">
        <v>610</v>
      </c>
      <c r="C383" s="21"/>
      <c r="D383" s="21"/>
      <c r="E383" s="21"/>
      <c r="F383" s="21"/>
      <c r="G383" s="21"/>
      <c r="H383" s="1084"/>
      <c r="I383" s="14" t="s">
        <v>754</v>
      </c>
      <c r="J383" s="23"/>
      <c r="K383" s="85"/>
      <c r="L383" s="259"/>
      <c r="M383" s="484"/>
      <c r="N383" s="604"/>
      <c r="O383" s="594"/>
      <c r="P383" s="23"/>
      <c r="Q383" s="23"/>
      <c r="R383" s="23"/>
      <c r="S383" s="23"/>
      <c r="T383" s="23"/>
      <c r="U383" s="23"/>
      <c r="V383" s="23"/>
      <c r="W383" s="23"/>
      <c r="X383" s="23"/>
    </row>
    <row r="384" spans="1:51" ht="15" customHeight="1" x14ac:dyDescent="0.3">
      <c r="B384" s="80">
        <v>610.1</v>
      </c>
      <c r="C384" s="21"/>
      <c r="D384" s="21"/>
      <c r="E384" s="21"/>
      <c r="F384" s="21"/>
      <c r="G384" s="21"/>
      <c r="H384" s="1084"/>
      <c r="I384" s="66">
        <v>610.1</v>
      </c>
      <c r="J384" s="4"/>
      <c r="K384" s="86"/>
      <c r="L384" s="1292" t="s">
        <v>755</v>
      </c>
      <c r="M384" s="68"/>
      <c r="N384" s="4"/>
      <c r="O384" s="154"/>
      <c r="P384" s="440"/>
      <c r="Q384" s="440"/>
      <c r="R384"/>
      <c r="S384"/>
      <c r="T384"/>
      <c r="U384"/>
      <c r="V384"/>
      <c r="W384"/>
      <c r="X384"/>
    </row>
    <row r="385" spans="2:45" x14ac:dyDescent="0.3">
      <c r="B385" s="80">
        <v>610.1</v>
      </c>
      <c r="C385" s="21"/>
      <c r="D385" s="21"/>
      <c r="E385" s="21"/>
      <c r="F385" s="21"/>
      <c r="G385" s="21"/>
      <c r="H385" s="1084"/>
      <c r="I385" s="66"/>
      <c r="J385" s="4"/>
      <c r="K385" s="86"/>
      <c r="L385" s="1292"/>
      <c r="M385" s="68"/>
      <c r="N385" s="4"/>
      <c r="O385" s="154"/>
      <c r="P385" s="440"/>
      <c r="Q385" s="440"/>
      <c r="R385"/>
      <c r="S385"/>
      <c r="T385"/>
      <c r="U385"/>
      <c r="V385"/>
      <c r="W385"/>
      <c r="X385"/>
    </row>
    <row r="386" spans="2:45" x14ac:dyDescent="0.3">
      <c r="B386" s="80">
        <v>610.1</v>
      </c>
      <c r="C386" s="21"/>
      <c r="D386" s="21"/>
      <c r="E386" s="21"/>
      <c r="F386" s="21"/>
      <c r="G386" s="21"/>
      <c r="H386" s="1084"/>
      <c r="I386" s="66"/>
      <c r="J386" s="4"/>
      <c r="K386" s="86"/>
      <c r="L386" s="1292"/>
      <c r="M386" s="68"/>
      <c r="N386" s="4"/>
      <c r="O386" s="154"/>
      <c r="P386" s="440"/>
      <c r="Q386" s="440"/>
      <c r="R386"/>
      <c r="S386"/>
      <c r="T386"/>
      <c r="U386"/>
      <c r="V386"/>
      <c r="W386"/>
      <c r="X386"/>
    </row>
    <row r="387" spans="2:45" x14ac:dyDescent="0.3">
      <c r="B387" s="80">
        <v>610.1</v>
      </c>
      <c r="C387" s="21"/>
      <c r="D387" s="21"/>
      <c r="E387" s="21"/>
      <c r="F387" s="21"/>
      <c r="G387" s="21"/>
      <c r="H387" s="1084"/>
      <c r="I387" s="66"/>
      <c r="J387" s="4"/>
      <c r="K387" s="86"/>
      <c r="L387" s="1292"/>
      <c r="M387" s="68"/>
      <c r="N387" s="4"/>
      <c r="O387" s="154"/>
      <c r="P387" s="440"/>
      <c r="Q387" s="440"/>
    </row>
    <row r="388" spans="2:45" x14ac:dyDescent="0.3">
      <c r="B388" s="80">
        <v>610.1</v>
      </c>
      <c r="C388" s="21"/>
      <c r="D388" s="21"/>
      <c r="E388" s="21"/>
      <c r="F388" s="21"/>
      <c r="G388" s="21"/>
      <c r="H388" s="1084"/>
      <c r="I388" s="66"/>
      <c r="J388" s="4"/>
      <c r="K388" s="86"/>
      <c r="L388" s="1292"/>
      <c r="M388" s="68"/>
      <c r="N388" s="4"/>
      <c r="O388" s="154"/>
      <c r="P388" s="440"/>
      <c r="Q388" s="440"/>
    </row>
    <row r="389" spans="2:45" ht="15" thickBot="1" x14ac:dyDescent="0.35">
      <c r="B389" s="80">
        <v>610.1</v>
      </c>
      <c r="C389" s="21"/>
      <c r="D389" s="21"/>
      <c r="E389" s="21"/>
      <c r="F389" s="21"/>
      <c r="G389" s="21"/>
      <c r="H389" s="1084"/>
      <c r="I389" s="66"/>
      <c r="J389" s="4"/>
      <c r="K389" s="86"/>
      <c r="L389" s="1292"/>
      <c r="M389" s="68"/>
      <c r="N389" s="4"/>
      <c r="O389" s="154"/>
      <c r="P389" s="440"/>
      <c r="Q389" s="440"/>
    </row>
    <row r="390" spans="2:45" ht="15" thickTop="1" x14ac:dyDescent="0.3">
      <c r="B390" s="80" t="s">
        <v>756</v>
      </c>
      <c r="C390" s="21"/>
      <c r="D390" s="21"/>
      <c r="E390" s="21"/>
      <c r="F390" s="21"/>
      <c r="G390" s="21"/>
      <c r="H390" s="1084"/>
      <c r="I390" s="200" t="s">
        <v>756</v>
      </c>
      <c r="J390" s="201"/>
      <c r="K390" s="202"/>
      <c r="L390" s="1331" t="s">
        <v>757</v>
      </c>
      <c r="M390" s="605"/>
      <c r="N390" s="201"/>
      <c r="O390" s="596"/>
      <c r="P390" s="110"/>
      <c r="Q390" s="110"/>
      <c r="R390" s="110"/>
      <c r="S390" s="110"/>
      <c r="T390" s="110"/>
      <c r="U390" s="110"/>
      <c r="V390" s="110"/>
      <c r="W390" s="110"/>
      <c r="X390" s="110"/>
    </row>
    <row r="391" spans="2:45" x14ac:dyDescent="0.3">
      <c r="B391" s="80" t="s">
        <v>756</v>
      </c>
      <c r="C391" s="21"/>
      <c r="D391" s="21"/>
      <c r="E391" s="21"/>
      <c r="F391" s="21"/>
      <c r="G391" s="21"/>
      <c r="H391" s="1084"/>
      <c r="I391" s="141"/>
      <c r="J391" s="140"/>
      <c r="K391" s="98"/>
      <c r="L391" s="1313"/>
      <c r="M391" s="606"/>
      <c r="N391" s="140"/>
      <c r="O391" s="269"/>
      <c r="P391" s="97"/>
      <c r="Q391" s="97"/>
      <c r="R391" s="97"/>
      <c r="S391" s="97"/>
      <c r="T391" s="97"/>
      <c r="U391" s="97"/>
      <c r="V391" s="97"/>
      <c r="W391" s="97"/>
      <c r="X391" s="97"/>
    </row>
    <row r="392" spans="2:45" x14ac:dyDescent="0.3">
      <c r="B392" s="80" t="s">
        <v>756</v>
      </c>
      <c r="C392" s="21"/>
      <c r="D392" s="21"/>
      <c r="E392" s="21" t="s">
        <v>271</v>
      </c>
      <c r="F392" s="81"/>
      <c r="G392" s="81"/>
      <c r="H392" s="1089"/>
      <c r="I392" s="66"/>
      <c r="J392" s="203" t="s">
        <v>271</v>
      </c>
      <c r="K392" s="98"/>
      <c r="L392" s="1305" t="s">
        <v>758</v>
      </c>
      <c r="M392" s="1318">
        <v>8</v>
      </c>
      <c r="N392" s="140"/>
      <c r="O392" s="1308">
        <f>M392*S392*W392</f>
        <v>0</v>
      </c>
      <c r="P392" s="440" t="b">
        <v>1</v>
      </c>
      <c r="Q392" s="440" t="b">
        <v>0</v>
      </c>
      <c r="R392" s="137" t="b">
        <v>0</v>
      </c>
      <c r="S392" s="137" t="b">
        <f>NOT(OR(NOT(ISBLANK(W416)),NOT(ISBLANK(W423)),NOT(ISBLANK(W429)),NOT(ISBLANK(W435)),NOT(ISBLANK(W441)),NOT(ISBLANK(W447))))</f>
        <v>1</v>
      </c>
      <c r="T392" s="97" t="b">
        <f>AND(NOT(S392),W392=TRUE)</f>
        <v>0</v>
      </c>
      <c r="W392" s="25"/>
      <c r="X392" s="1303"/>
      <c r="AC392" s="175" t="b">
        <f>OR(AD392:AE392)</f>
        <v>0</v>
      </c>
      <c r="AD392" s="175" t="b">
        <f>T392</f>
        <v>0</v>
      </c>
      <c r="AL392" s="311" t="str">
        <f>SUBSTITUTE(SUBSTITUTE(SUBSTITUTE("dpa"&amp;$B392&amp;$C392&amp;$D392&amp;$E392&amp;$F392,".","_"),"(","_"),")","")</f>
        <v>dpa610_1_1_1</v>
      </c>
      <c r="AM392" s="311">
        <f>M392</f>
        <v>8</v>
      </c>
      <c r="AN392" s="311" t="str">
        <f>SUBSTITUTE(SUBSTITUTE(SUBSTITUTE("dpc"&amp;$B392&amp;$C392&amp;$D392&amp;$E392&amp;$F392,".","_"),"(","_"),")","")</f>
        <v>dpc610_1_1_1</v>
      </c>
      <c r="AO392" s="311">
        <f>O392</f>
        <v>0</v>
      </c>
      <c r="AP392" s="311" t="str">
        <f t="shared" ref="AP392" si="97">SUBSTITUTE(SUBSTITUTE(SUBSTITUTE("dch"&amp;$B392&amp;$C392&amp;$D392&amp;$E392&amp;$F392,".","_"),"(","_"),")","")</f>
        <v>dch610_1_1_1</v>
      </c>
      <c r="AQ392" s="311">
        <f>W392</f>
        <v>0</v>
      </c>
      <c r="AR392" s="1059" t="str">
        <f>SUBSTITUTE(SUBSTITUTE(SUBSTITUTE("dnt"&amp;$B392&amp;$C392&amp;$D392&amp;$E392&amp;$F392,".","_"),"(","_"),")","")</f>
        <v>dnt610_1_1_1</v>
      </c>
      <c r="AS392" s="311">
        <f>X392</f>
        <v>0</v>
      </c>
    </row>
    <row r="393" spans="2:45" x14ac:dyDescent="0.3">
      <c r="B393" s="80" t="s">
        <v>756</v>
      </c>
      <c r="C393" s="21"/>
      <c r="D393" s="21"/>
      <c r="E393" s="21"/>
      <c r="F393" s="81"/>
      <c r="G393" s="81"/>
      <c r="H393" s="1089"/>
      <c r="I393" s="66"/>
      <c r="J393" s="140"/>
      <c r="K393" s="98"/>
      <c r="L393" s="1305"/>
      <c r="M393" s="1318"/>
      <c r="N393" s="140"/>
      <c r="O393" s="1308"/>
      <c r="P393" s="440"/>
      <c r="Q393" s="440"/>
      <c r="X393" s="1303"/>
    </row>
    <row r="394" spans="2:45" x14ac:dyDescent="0.3">
      <c r="B394" s="80" t="s">
        <v>756</v>
      </c>
      <c r="C394" s="21"/>
      <c r="D394" s="21"/>
      <c r="E394" s="21"/>
      <c r="F394" s="81"/>
      <c r="G394" s="81"/>
      <c r="H394" s="1089"/>
      <c r="I394" s="66"/>
      <c r="J394" s="140"/>
      <c r="K394" s="98"/>
      <c r="L394" s="1305"/>
      <c r="M394" s="1318"/>
      <c r="N394" s="140"/>
      <c r="O394" s="1308"/>
      <c r="P394" s="440"/>
      <c r="Q394" s="440"/>
      <c r="X394" s="1303"/>
    </row>
    <row r="395" spans="2:45" x14ac:dyDescent="0.3">
      <c r="B395" s="80" t="s">
        <v>756</v>
      </c>
      <c r="C395" s="21"/>
      <c r="D395" s="21"/>
      <c r="E395" s="21" t="s">
        <v>271</v>
      </c>
      <c r="F395" s="21" t="s">
        <v>121</v>
      </c>
      <c r="G395" s="21"/>
      <c r="H395" s="1084"/>
      <c r="I395" s="66"/>
      <c r="J395" s="140"/>
      <c r="K395" s="94" t="s">
        <v>121</v>
      </c>
      <c r="L395" s="344" t="s">
        <v>759</v>
      </c>
      <c r="M395" s="1318"/>
      <c r="N395" s="140"/>
      <c r="O395" s="1308"/>
      <c r="P395" s="440"/>
      <c r="Q395" s="440"/>
      <c r="X395" s="1303"/>
    </row>
    <row r="396" spans="2:45" x14ac:dyDescent="0.3">
      <c r="B396" s="80" t="s">
        <v>756</v>
      </c>
      <c r="C396" s="21"/>
      <c r="D396" s="21"/>
      <c r="E396" s="21" t="s">
        <v>271</v>
      </c>
      <c r="F396" s="21" t="s">
        <v>122</v>
      </c>
      <c r="G396" s="21"/>
      <c r="H396" s="1084"/>
      <c r="I396" s="66"/>
      <c r="J396" s="140"/>
      <c r="K396" s="94" t="s">
        <v>122</v>
      </c>
      <c r="L396" s="344" t="s">
        <v>760</v>
      </c>
      <c r="M396" s="1318"/>
      <c r="N396" s="140"/>
      <c r="O396" s="1308"/>
      <c r="P396" s="440"/>
      <c r="Q396" s="440"/>
      <c r="X396" s="1303"/>
    </row>
    <row r="397" spans="2:45" x14ac:dyDescent="0.3">
      <c r="B397" s="80" t="s">
        <v>756</v>
      </c>
      <c r="C397" s="21"/>
      <c r="D397" s="21"/>
      <c r="E397" s="21" t="s">
        <v>271</v>
      </c>
      <c r="F397" s="21" t="s">
        <v>123</v>
      </c>
      <c r="G397" s="21"/>
      <c r="H397" s="1084"/>
      <c r="I397" s="66"/>
      <c r="J397" s="140"/>
      <c r="K397" s="94" t="s">
        <v>123</v>
      </c>
      <c r="L397" s="344" t="s">
        <v>761</v>
      </c>
      <c r="M397" s="1318"/>
      <c r="N397" s="140"/>
      <c r="O397" s="1308"/>
      <c r="P397" s="440"/>
      <c r="Q397" s="440"/>
      <c r="X397" s="1303"/>
    </row>
    <row r="398" spans="2:45" x14ac:dyDescent="0.3">
      <c r="B398" s="80" t="s">
        <v>756</v>
      </c>
      <c r="C398" s="21"/>
      <c r="D398" s="21"/>
      <c r="E398" s="21" t="s">
        <v>271</v>
      </c>
      <c r="F398" s="26" t="s">
        <v>423</v>
      </c>
      <c r="G398" s="26"/>
      <c r="H398" s="1085"/>
      <c r="I398" s="66"/>
      <c r="J398" s="140"/>
      <c r="K398" s="115" t="s">
        <v>423</v>
      </c>
      <c r="L398" s="344" t="s">
        <v>762</v>
      </c>
      <c r="M398" s="1318"/>
      <c r="N398" s="140"/>
      <c r="O398" s="1308"/>
      <c r="P398" s="440"/>
      <c r="Q398" s="440"/>
      <c r="X398" s="1303"/>
    </row>
    <row r="399" spans="2:45" x14ac:dyDescent="0.3">
      <c r="B399" s="80" t="s">
        <v>756</v>
      </c>
      <c r="C399" s="21"/>
      <c r="D399" s="21"/>
      <c r="E399" s="21" t="s">
        <v>271</v>
      </c>
      <c r="F399" s="21" t="s">
        <v>578</v>
      </c>
      <c r="G399" s="21"/>
      <c r="H399" s="1084"/>
      <c r="I399" s="66"/>
      <c r="J399" s="140"/>
      <c r="K399" s="210" t="s">
        <v>578</v>
      </c>
      <c r="L399" s="344" t="s">
        <v>763</v>
      </c>
      <c r="M399" s="1318"/>
      <c r="N399" s="140"/>
      <c r="O399" s="1308"/>
      <c r="P399" s="440"/>
      <c r="Q399" s="440"/>
      <c r="X399" s="1303"/>
    </row>
    <row r="400" spans="2:45" x14ac:dyDescent="0.3">
      <c r="B400" s="80" t="s">
        <v>756</v>
      </c>
      <c r="C400" s="21"/>
      <c r="D400" s="21"/>
      <c r="E400" s="21" t="s">
        <v>271</v>
      </c>
      <c r="F400" s="21" t="s">
        <v>645</v>
      </c>
      <c r="G400" s="21"/>
      <c r="H400" s="1084"/>
      <c r="I400" s="66"/>
      <c r="J400" s="238"/>
      <c r="K400" s="192" t="s">
        <v>645</v>
      </c>
      <c r="L400" s="345" t="s">
        <v>764</v>
      </c>
      <c r="M400" s="1319"/>
      <c r="N400" s="238"/>
      <c r="O400" s="1309"/>
      <c r="P400" s="440"/>
      <c r="Q400" s="440"/>
      <c r="X400" s="1303"/>
    </row>
    <row r="401" spans="2:45" x14ac:dyDescent="0.3">
      <c r="B401" s="80" t="s">
        <v>756</v>
      </c>
      <c r="C401" s="21"/>
      <c r="D401" s="21"/>
      <c r="E401" s="21" t="s">
        <v>273</v>
      </c>
      <c r="F401" s="81"/>
      <c r="G401" s="81"/>
      <c r="H401" s="1089"/>
      <c r="I401" s="66"/>
      <c r="J401" s="237" t="s">
        <v>273</v>
      </c>
      <c r="K401" s="217"/>
      <c r="L401" s="1356" t="s">
        <v>765</v>
      </c>
      <c r="M401" s="1323">
        <v>5</v>
      </c>
      <c r="N401" s="216"/>
      <c r="O401" s="1324">
        <f>M401*S401*W401</f>
        <v>0</v>
      </c>
      <c r="P401" s="440" t="b">
        <v>1</v>
      </c>
      <c r="Q401" s="440" t="b">
        <v>0</v>
      </c>
      <c r="R401" s="137" t="b">
        <v>0</v>
      </c>
      <c r="S401" s="170" t="b">
        <f>NOT(OR(NOT(ISBLANK(W416)),NOT(ISBLANK(W423)),NOT(ISBLANK(W429)),NOT(ISBLANK(W435)),NOT(ISBLANK(W441)),NOT(ISBLANK(W447))))</f>
        <v>1</v>
      </c>
      <c r="T401" s="97" t="b">
        <f>AND(NOT(S401),W401=TRUE)</f>
        <v>0</v>
      </c>
      <c r="W401" s="25"/>
      <c r="X401" s="1303"/>
      <c r="AC401" s="175" t="b">
        <f>OR(AD401:AE401)</f>
        <v>0</v>
      </c>
      <c r="AD401" s="175" t="b">
        <f>T401</f>
        <v>0</v>
      </c>
      <c r="AL401" s="311" t="str">
        <f>SUBSTITUTE(SUBSTITUTE(SUBSTITUTE("dpa"&amp;$B401&amp;$C401&amp;$D401&amp;$E401&amp;$F401,".","_"),"(","_"),")","")</f>
        <v>dpa610_1_1_2</v>
      </c>
      <c r="AM401" s="311">
        <f>M401</f>
        <v>5</v>
      </c>
      <c r="AN401" s="311" t="str">
        <f>SUBSTITUTE(SUBSTITUTE(SUBSTITUTE("dpc"&amp;$B401&amp;$C401&amp;$D401&amp;$E401&amp;$F401,".","_"),"(","_"),")","")</f>
        <v>dpc610_1_1_2</v>
      </c>
      <c r="AO401" s="311">
        <f>O401</f>
        <v>0</v>
      </c>
      <c r="AP401" s="311" t="str">
        <f t="shared" ref="AP401" si="98">SUBSTITUTE(SUBSTITUTE(SUBSTITUTE("dch"&amp;$B401&amp;$C401&amp;$D401&amp;$E401&amp;$F401,".","_"),"(","_"),")","")</f>
        <v>dch610_1_1_2</v>
      </c>
      <c r="AQ401" s="311">
        <f>W401</f>
        <v>0</v>
      </c>
      <c r="AR401" s="1059" t="str">
        <f>SUBSTITUTE(SUBSTITUTE(SUBSTITUTE("dnt"&amp;$B401&amp;$C401&amp;$D401&amp;$E401&amp;$F401,".","_"),"(","_"),")","")</f>
        <v>dnt610_1_1_2</v>
      </c>
      <c r="AS401" s="311">
        <f>X401</f>
        <v>0</v>
      </c>
    </row>
    <row r="402" spans="2:45" x14ac:dyDescent="0.3">
      <c r="B402" s="80" t="s">
        <v>756</v>
      </c>
      <c r="C402" s="21"/>
      <c r="D402" s="21"/>
      <c r="E402" s="21" t="s">
        <v>273</v>
      </c>
      <c r="F402" s="81"/>
      <c r="G402" s="81"/>
      <c r="H402" s="1089"/>
      <c r="I402" s="66"/>
      <c r="J402" s="140"/>
      <c r="K402" s="98"/>
      <c r="L402" s="1305"/>
      <c r="M402" s="1318"/>
      <c r="N402" s="140"/>
      <c r="O402" s="1308"/>
      <c r="P402" s="440"/>
      <c r="Q402" s="440"/>
      <c r="X402" s="1303"/>
    </row>
    <row r="403" spans="2:45" x14ac:dyDescent="0.3">
      <c r="B403" s="80" t="s">
        <v>756</v>
      </c>
      <c r="C403" s="21"/>
      <c r="D403" s="21"/>
      <c r="E403" s="21" t="s">
        <v>273</v>
      </c>
      <c r="F403" s="81"/>
      <c r="G403" s="81"/>
      <c r="H403" s="1089"/>
      <c r="I403" s="66"/>
      <c r="J403" s="140"/>
      <c r="K403" s="98"/>
      <c r="L403" s="1305"/>
      <c r="M403" s="1318"/>
      <c r="N403" s="140"/>
      <c r="O403" s="1308"/>
      <c r="P403" s="440"/>
      <c r="Q403" s="440"/>
      <c r="X403" s="1303"/>
    </row>
    <row r="404" spans="2:45" x14ac:dyDescent="0.3">
      <c r="B404" s="80" t="s">
        <v>756</v>
      </c>
      <c r="C404" s="21"/>
      <c r="D404" s="21"/>
      <c r="E404" s="21" t="s">
        <v>273</v>
      </c>
      <c r="F404" s="81"/>
      <c r="G404" s="81"/>
      <c r="H404" s="1089"/>
      <c r="I404" s="66"/>
      <c r="J404" s="140"/>
      <c r="K404" s="98"/>
      <c r="L404" s="1305"/>
      <c r="M404" s="1318"/>
      <c r="N404" s="140"/>
      <c r="O404" s="1308"/>
      <c r="P404" s="440"/>
      <c r="Q404" s="440"/>
      <c r="X404" s="1303"/>
    </row>
    <row r="405" spans="2:45" x14ac:dyDescent="0.3">
      <c r="B405" s="80" t="s">
        <v>756</v>
      </c>
      <c r="C405" s="21"/>
      <c r="D405" s="21"/>
      <c r="E405" s="21" t="s">
        <v>273</v>
      </c>
      <c r="F405" s="81"/>
      <c r="G405" s="81"/>
      <c r="H405" s="1089"/>
      <c r="I405" s="66"/>
      <c r="J405" s="140"/>
      <c r="K405" s="98"/>
      <c r="L405" s="1305"/>
      <c r="M405" s="1318"/>
      <c r="N405" s="140"/>
      <c r="O405" s="1308"/>
      <c r="P405" s="440"/>
      <c r="Q405" s="440"/>
      <c r="X405" s="1303"/>
    </row>
    <row r="406" spans="2:45" x14ac:dyDescent="0.3">
      <c r="B406" s="80" t="s">
        <v>756</v>
      </c>
      <c r="C406" s="21"/>
      <c r="D406" s="21"/>
      <c r="E406" s="21" t="s">
        <v>273</v>
      </c>
      <c r="F406" s="81"/>
      <c r="G406" s="81"/>
      <c r="H406" s="1089"/>
      <c r="I406" s="66"/>
      <c r="J406" s="140"/>
      <c r="K406" s="98"/>
      <c r="L406" s="1305"/>
      <c r="M406" s="1318"/>
      <c r="N406" s="140"/>
      <c r="O406" s="1308"/>
      <c r="P406" s="440"/>
      <c r="Q406" s="440"/>
      <c r="X406" s="1303"/>
    </row>
    <row r="407" spans="2:45" x14ac:dyDescent="0.3">
      <c r="B407" s="80" t="s">
        <v>756</v>
      </c>
      <c r="C407" s="21"/>
      <c r="D407" s="21"/>
      <c r="E407" s="21" t="s">
        <v>273</v>
      </c>
      <c r="F407" s="81"/>
      <c r="G407" s="81"/>
      <c r="H407" s="1089"/>
      <c r="I407" s="66"/>
      <c r="J407" s="238"/>
      <c r="K407" s="193"/>
      <c r="L407" s="1306"/>
      <c r="M407" s="1319"/>
      <c r="N407" s="238"/>
      <c r="O407" s="1309"/>
      <c r="P407" s="440"/>
      <c r="Q407" s="440"/>
      <c r="X407" s="1303"/>
    </row>
    <row r="408" spans="2:45" x14ac:dyDescent="0.3">
      <c r="B408" s="80" t="s">
        <v>756</v>
      </c>
      <c r="C408" s="21"/>
      <c r="D408" s="21"/>
      <c r="E408" s="21" t="s">
        <v>275</v>
      </c>
      <c r="F408" s="81"/>
      <c r="G408" s="81"/>
      <c r="H408" s="1089"/>
      <c r="I408" s="66"/>
      <c r="J408" s="27" t="s">
        <v>275</v>
      </c>
      <c r="K408" s="86"/>
      <c r="L408" s="1329" t="s">
        <v>766</v>
      </c>
      <c r="M408" s="1335">
        <v>2</v>
      </c>
      <c r="N408" s="4"/>
      <c r="O408" s="1310">
        <f>M408*S408*W408</f>
        <v>0</v>
      </c>
      <c r="P408" s="440" t="b">
        <v>1</v>
      </c>
      <c r="Q408" s="440" t="b">
        <v>0</v>
      </c>
      <c r="R408" s="137" t="b">
        <v>0</v>
      </c>
      <c r="S408" s="170" t="b">
        <f>NOT(OR(NOT(ISBLANK(W416)),NOT(ISBLANK(W423)),NOT(ISBLANK(W429)),NOT(ISBLANK(W435)),NOT(ISBLANK(W441)),NOT(ISBLANK(W447))))</f>
        <v>1</v>
      </c>
      <c r="T408" s="97" t="b">
        <f>AND(NOT(S408),W408=TRUE)</f>
        <v>0</v>
      </c>
      <c r="W408" s="25"/>
      <c r="X408" s="1337"/>
      <c r="AC408" s="175" t="b">
        <f>OR(AD408:AE408)</f>
        <v>0</v>
      </c>
      <c r="AD408" s="175" t="b">
        <f>T408</f>
        <v>0</v>
      </c>
      <c r="AL408" s="311" t="str">
        <f>SUBSTITUTE(SUBSTITUTE(SUBSTITUTE("dpa"&amp;$B408&amp;$C408&amp;$D408&amp;$E408&amp;$F408,".","_"),"(","_"),")","")</f>
        <v>dpa610_1_1_3</v>
      </c>
      <c r="AM408" s="311">
        <f>M408</f>
        <v>2</v>
      </c>
      <c r="AN408" s="311" t="str">
        <f>SUBSTITUTE(SUBSTITUTE(SUBSTITUTE("dpc"&amp;$B408&amp;$C408&amp;$D408&amp;$E408&amp;$F408,".","_"),"(","_"),")","")</f>
        <v>dpc610_1_1_3</v>
      </c>
      <c r="AO408" s="311">
        <f>O408</f>
        <v>0</v>
      </c>
      <c r="AP408" s="311" t="str">
        <f t="shared" ref="AP408" si="99">SUBSTITUTE(SUBSTITUTE(SUBSTITUTE("dch"&amp;$B408&amp;$C408&amp;$D408&amp;$E408&amp;$F408,".","_"),"(","_"),")","")</f>
        <v>dch610_1_1_3</v>
      </c>
      <c r="AQ408" s="311">
        <f>W408</f>
        <v>0</v>
      </c>
      <c r="AR408" s="1059" t="str">
        <f>SUBSTITUTE(SUBSTITUTE(SUBSTITUTE("dnt"&amp;$B408&amp;$C408&amp;$D408&amp;$E408&amp;$F408,".","_"),"(","_"),")","")</f>
        <v>dnt610_1_1_3</v>
      </c>
      <c r="AS408" s="311">
        <f>X408</f>
        <v>0</v>
      </c>
    </row>
    <row r="409" spans="2:45" ht="15" thickBot="1" x14ac:dyDescent="0.35">
      <c r="B409" s="80" t="s">
        <v>756</v>
      </c>
      <c r="C409" s="21"/>
      <c r="D409" s="21"/>
      <c r="E409" s="21" t="s">
        <v>275</v>
      </c>
      <c r="F409" s="81"/>
      <c r="G409" s="81"/>
      <c r="H409" s="1089"/>
      <c r="I409" s="66"/>
      <c r="J409" s="4"/>
      <c r="K409" s="86"/>
      <c r="L409" s="1329"/>
      <c r="M409" s="1335"/>
      <c r="N409" s="4"/>
      <c r="O409" s="1310"/>
      <c r="P409" s="440"/>
      <c r="Q409" s="440"/>
      <c r="X409" s="1312"/>
    </row>
    <row r="410" spans="2:45" ht="15" thickTop="1" x14ac:dyDescent="0.3">
      <c r="B410" s="80" t="s">
        <v>767</v>
      </c>
      <c r="C410" s="21"/>
      <c r="D410" s="21"/>
      <c r="E410" s="21"/>
      <c r="F410" s="21"/>
      <c r="G410" s="21"/>
      <c r="H410" s="1084"/>
      <c r="I410" s="200" t="s">
        <v>767</v>
      </c>
      <c r="J410" s="201"/>
      <c r="K410" s="202"/>
      <c r="L410" s="1331" t="s">
        <v>768</v>
      </c>
      <c r="M410" s="1343" t="s">
        <v>769</v>
      </c>
      <c r="N410" s="201"/>
      <c r="O410" s="1336">
        <f ca="1">MIN(10,(R417+R424)+IFERROR((INDEX({3,3,6,4,4,6,8,5,5,9,9,10},MATCH(R428*4+S428*5,{8,9,10,12,13,14,15,16,17,18,19,20},0))),0))</f>
        <v>0</v>
      </c>
      <c r="P410" s="110"/>
      <c r="Q410" s="110"/>
      <c r="R410" s="110"/>
      <c r="S410" s="110"/>
      <c r="T410" s="110"/>
      <c r="U410" s="110"/>
      <c r="V410" s="110"/>
      <c r="W410" s="110"/>
      <c r="X410" s="110"/>
      <c r="AL410" s="311" t="str">
        <f>SUBSTITUTE(SUBSTITUTE(SUBSTITUTE("dpa"&amp;$B410&amp;$C410&amp;$D410&amp;$E410&amp;$F410,".","_"),"(","_"),")","")</f>
        <v>dpa610_1_2</v>
      </c>
      <c r="AM410" s="311" t="str">
        <f>M410</f>
        <v xml:space="preserve">10 Max </v>
      </c>
      <c r="AN410" s="311" t="str">
        <f>SUBSTITUTE(SUBSTITUTE(SUBSTITUTE("dpc"&amp;$B410&amp;$C410&amp;$D410&amp;$E410&amp;$F410,".","_"),"(","_"),")","")</f>
        <v>dpc610_1_2</v>
      </c>
      <c r="AO410" s="311">
        <f ca="1">O410</f>
        <v>0</v>
      </c>
    </row>
    <row r="411" spans="2:45" x14ac:dyDescent="0.3">
      <c r="B411" s="80" t="s">
        <v>767</v>
      </c>
      <c r="C411" s="21"/>
      <c r="D411" s="21"/>
      <c r="E411" s="21"/>
      <c r="F411" s="21"/>
      <c r="G411" s="21"/>
      <c r="H411" s="1084"/>
      <c r="I411" s="141"/>
      <c r="J411" s="140"/>
      <c r="K411" s="98"/>
      <c r="L411" s="1313"/>
      <c r="M411" s="1318"/>
      <c r="N411" s="140"/>
      <c r="O411" s="1308"/>
      <c r="P411" s="97"/>
      <c r="Q411" s="97"/>
      <c r="R411" s="97"/>
      <c r="S411" s="97"/>
      <c r="T411" s="97"/>
      <c r="U411" s="97"/>
      <c r="V411" s="97"/>
      <c r="W411" s="97"/>
      <c r="X411" s="97"/>
    </row>
    <row r="412" spans="2:45" x14ac:dyDescent="0.3">
      <c r="B412" s="80" t="s">
        <v>767</v>
      </c>
      <c r="C412" s="21"/>
      <c r="D412" s="21"/>
      <c r="E412" s="21"/>
      <c r="F412" s="21"/>
      <c r="G412" s="21"/>
      <c r="H412" s="1084"/>
      <c r="I412" s="141"/>
      <c r="J412" s="140"/>
      <c r="K412" s="98"/>
      <c r="L412" s="1313"/>
      <c r="M412" s="1318"/>
      <c r="N412" s="140"/>
      <c r="O412" s="1308"/>
      <c r="P412" s="97"/>
      <c r="Q412" s="97"/>
      <c r="R412" s="97"/>
      <c r="S412" s="97"/>
      <c r="T412" s="97"/>
      <c r="U412" s="97"/>
      <c r="V412" s="97"/>
      <c r="W412" s="97"/>
      <c r="X412" s="97"/>
    </row>
    <row r="413" spans="2:45" x14ac:dyDescent="0.3">
      <c r="B413" s="80" t="s">
        <v>767</v>
      </c>
      <c r="C413" s="21"/>
      <c r="D413" s="21"/>
      <c r="E413" s="21"/>
      <c r="F413" s="21"/>
      <c r="G413" s="21"/>
      <c r="H413" s="1084"/>
      <c r="I413" s="244"/>
      <c r="J413" s="238"/>
      <c r="K413" s="193"/>
      <c r="L413" s="1350"/>
      <c r="M413" s="1319"/>
      <c r="N413" s="238"/>
      <c r="O413" s="1309"/>
      <c r="P413" s="97"/>
      <c r="Q413" s="97"/>
      <c r="R413" s="97"/>
      <c r="S413" s="97"/>
      <c r="T413" s="97"/>
      <c r="U413" s="97"/>
      <c r="V413" s="97"/>
      <c r="W413" s="97"/>
      <c r="X413" s="97"/>
    </row>
    <row r="414" spans="2:45" x14ac:dyDescent="0.3">
      <c r="B414" s="80" t="s">
        <v>770</v>
      </c>
      <c r="C414" s="21"/>
      <c r="D414" s="21"/>
      <c r="E414" s="21"/>
      <c r="F414" s="21"/>
      <c r="G414" s="21"/>
      <c r="H414" s="1084"/>
      <c r="I414" s="215" t="s">
        <v>770</v>
      </c>
      <c r="J414" s="216"/>
      <c r="K414" s="217"/>
      <c r="L414" s="1364" t="s">
        <v>771</v>
      </c>
      <c r="M414" s="1344" t="s">
        <v>3326</v>
      </c>
      <c r="N414" s="4"/>
      <c r="O414" s="154"/>
      <c r="P414" s="440"/>
      <c r="Q414" s="440"/>
      <c r="R414" s="137"/>
      <c r="S414" s="137"/>
      <c r="T414" s="137"/>
      <c r="W414" s="1242" t="s">
        <v>3313</v>
      </c>
      <c r="X414" s="1303"/>
      <c r="AL414" s="311" t="str">
        <f>SUBSTITUTE(SUBSTITUTE(SUBSTITUTE("dpa"&amp;$B414&amp;$C414&amp;$D414&amp;$E414&amp;$F414,".","_"),"(","_"),")","")</f>
        <v>dpa610_1_2_1</v>
      </c>
      <c r="AM414" s="311" t="str">
        <f>M414</f>
        <v>per Table 610.1.2.1
10 Max</v>
      </c>
      <c r="AR414" s="1059" t="str">
        <f>SUBSTITUTE(SUBSTITUTE(SUBSTITUTE("dnt"&amp;$B414&amp;$C414&amp;$D414&amp;$E414&amp;$F414,".","_"),"(","_"),")","")</f>
        <v>dnt610_1_2_1</v>
      </c>
      <c r="AS414" s="311">
        <f>X414</f>
        <v>0</v>
      </c>
    </row>
    <row r="415" spans="2:45" x14ac:dyDescent="0.3">
      <c r="B415" s="80" t="s">
        <v>770</v>
      </c>
      <c r="C415" s="21"/>
      <c r="D415" s="21"/>
      <c r="E415" s="21"/>
      <c r="F415" s="21"/>
      <c r="G415" s="21"/>
      <c r="H415" s="1084"/>
      <c r="I415" s="141"/>
      <c r="J415" s="140"/>
      <c r="K415" s="98"/>
      <c r="L415" s="1313"/>
      <c r="M415" s="1345"/>
      <c r="N415" s="4"/>
      <c r="O415" s="154"/>
      <c r="P415" s="440"/>
      <c r="Q415" s="440"/>
      <c r="U415" s="97"/>
      <c r="W415" s="1242"/>
      <c r="X415" s="1303"/>
    </row>
    <row r="416" spans="2:45" x14ac:dyDescent="0.3">
      <c r="B416" s="80" t="s">
        <v>770</v>
      </c>
      <c r="C416" s="21"/>
      <c r="D416" s="21"/>
      <c r="E416" s="21" t="s">
        <v>3173</v>
      </c>
      <c r="F416" s="21"/>
      <c r="G416" s="21"/>
      <c r="H416" s="1084"/>
      <c r="I416" s="141"/>
      <c r="J416" s="140"/>
      <c r="K416" s="98"/>
      <c r="L416" s="1313"/>
      <c r="M416" s="1345"/>
      <c r="N416" s="4"/>
      <c r="O416" s="154"/>
      <c r="P416" s="440" t="b">
        <v>1</v>
      </c>
      <c r="Q416" s="440" t="b">
        <v>0</v>
      </c>
      <c r="R416" s="170" t="b">
        <v>0</v>
      </c>
      <c r="S416" s="170" t="b">
        <f>COUNTIF(W392:W408,TRUE)&lt;1</f>
        <v>1</v>
      </c>
      <c r="T416" s="97" t="b">
        <f>AND(NOT(S416),LEN(W416)&gt;0)</f>
        <v>0</v>
      </c>
      <c r="U416" s="97" t="str">
        <f>SUBSTITUTE(SUBSTITUTE(SUBSTITUTE("dd"&amp;B416&amp;C416&amp;D416&amp;E416&amp;F416,".","_"),"(","_"),")","")</f>
        <v>dd610_1_2_1a</v>
      </c>
      <c r="W416" s="12"/>
      <c r="X416" s="1303"/>
      <c r="AC416" s="170" t="b">
        <f>OR(AD416:AE416)</f>
        <v>0</v>
      </c>
      <c r="AD416" s="170" t="b">
        <f>T416</f>
        <v>0</v>
      </c>
      <c r="AE416" s="170" t="b">
        <f>AND(NOT(ISBLANK(W416)),LEN(X414)=0)</f>
        <v>0</v>
      </c>
      <c r="AP416" s="311" t="str">
        <f t="shared" ref="AP416" si="100">SUBSTITUTE(SUBSTITUTE(SUBSTITUTE("dch"&amp;$B416&amp;$C416&amp;$D416&amp;$E416&amp;$F416,".","_"),"(","_"),")","")</f>
        <v>dch610_1_2_1a</v>
      </c>
      <c r="AQ416" s="311">
        <f>W416</f>
        <v>0</v>
      </c>
    </row>
    <row r="417" spans="1:51" x14ac:dyDescent="0.3">
      <c r="B417" s="80" t="s">
        <v>770</v>
      </c>
      <c r="C417" s="21"/>
      <c r="D417" s="21"/>
      <c r="E417" s="21"/>
      <c r="F417" s="21" t="s">
        <v>121</v>
      </c>
      <c r="G417" s="21"/>
      <c r="H417" s="1084"/>
      <c r="I417" s="141"/>
      <c r="J417" s="140"/>
      <c r="K417" s="94" t="s">
        <v>121</v>
      </c>
      <c r="L417" s="344" t="s">
        <v>759</v>
      </c>
      <c r="M417" s="1345"/>
      <c r="N417" s="4"/>
      <c r="O417" s="154"/>
      <c r="P417" s="440"/>
      <c r="Q417" s="440"/>
      <c r="R417" s="1">
        <f ca="1">2*IFERROR(MATCH(W416,INDIRECT(U416),0),0)*S416</f>
        <v>0</v>
      </c>
      <c r="S417" s="170"/>
      <c r="T417" s="170"/>
      <c r="X417" s="1303"/>
    </row>
    <row r="418" spans="1:51" x14ac:dyDescent="0.3">
      <c r="B418" s="80" t="s">
        <v>770</v>
      </c>
      <c r="C418" s="21"/>
      <c r="D418" s="21"/>
      <c r="E418" s="21"/>
      <c r="F418" s="21" t="s">
        <v>122</v>
      </c>
      <c r="G418" s="21"/>
      <c r="H418" s="1084"/>
      <c r="I418" s="141"/>
      <c r="J418" s="140"/>
      <c r="K418" s="94" t="s">
        <v>122</v>
      </c>
      <c r="L418" s="344" t="s">
        <v>760</v>
      </c>
      <c r="M418" s="1345"/>
      <c r="N418" s="4"/>
      <c r="O418" s="154"/>
      <c r="P418" s="440"/>
      <c r="Q418" s="440"/>
      <c r="X418" s="1303"/>
    </row>
    <row r="419" spans="1:51" x14ac:dyDescent="0.3">
      <c r="B419" s="80" t="s">
        <v>770</v>
      </c>
      <c r="C419" s="21"/>
      <c r="D419" s="21"/>
      <c r="E419" s="21"/>
      <c r="F419" s="21" t="s">
        <v>123</v>
      </c>
      <c r="G419" s="21"/>
      <c r="H419" s="1084"/>
      <c r="I419" s="141"/>
      <c r="J419" s="140"/>
      <c r="K419" s="94" t="s">
        <v>123</v>
      </c>
      <c r="L419" s="344" t="s">
        <v>761</v>
      </c>
      <c r="M419" s="1345"/>
      <c r="N419" s="4"/>
      <c r="O419" s="154"/>
      <c r="P419" s="440"/>
      <c r="Q419" s="440"/>
      <c r="X419" s="1303"/>
    </row>
    <row r="420" spans="1:51" x14ac:dyDescent="0.3">
      <c r="B420" s="80" t="s">
        <v>770</v>
      </c>
      <c r="C420" s="21"/>
      <c r="D420" s="21"/>
      <c r="E420" s="21"/>
      <c r="F420" s="26" t="s">
        <v>423</v>
      </c>
      <c r="G420" s="26"/>
      <c r="H420" s="1085"/>
      <c r="I420" s="141"/>
      <c r="J420" s="140"/>
      <c r="K420" s="115" t="s">
        <v>423</v>
      </c>
      <c r="L420" s="344" t="s">
        <v>762</v>
      </c>
      <c r="M420" s="1345"/>
      <c r="N420" s="4"/>
      <c r="O420" s="154"/>
      <c r="P420" s="440"/>
      <c r="Q420" s="440"/>
      <c r="U420" s="97"/>
      <c r="X420" s="1303"/>
    </row>
    <row r="421" spans="1:51" ht="15" customHeight="1" x14ac:dyDescent="0.3">
      <c r="B421" s="80" t="s">
        <v>770</v>
      </c>
      <c r="C421" s="21"/>
      <c r="D421" s="21"/>
      <c r="E421" s="21"/>
      <c r="F421" s="21" t="s">
        <v>578</v>
      </c>
      <c r="G421" s="21"/>
      <c r="H421" s="1084"/>
      <c r="I421" s="141"/>
      <c r="J421" s="140"/>
      <c r="K421" s="210" t="s">
        <v>578</v>
      </c>
      <c r="L421" s="344" t="s">
        <v>763</v>
      </c>
      <c r="M421" s="1345"/>
      <c r="N421" s="4"/>
      <c r="O421" s="154"/>
      <c r="P421" s="440"/>
      <c r="Q421" s="440"/>
      <c r="W421" s="1242" t="s">
        <v>3312</v>
      </c>
      <c r="X421" s="1303"/>
      <c r="AR421" s="1059" t="str">
        <f>SUBSTITUTE(SUBSTITUTE(SUBSTITUTE("dnt"&amp;$B421&amp;$C421&amp;$D421&amp;$E421&amp;$F421,".","_"),"(","_"),")","")</f>
        <v>dnt610_1_2_1_e</v>
      </c>
      <c r="AS421" s="311">
        <f>X421</f>
        <v>0</v>
      </c>
    </row>
    <row r="422" spans="1:51" x14ac:dyDescent="0.3">
      <c r="B422" s="80" t="s">
        <v>770</v>
      </c>
      <c r="C422" s="21"/>
      <c r="D422" s="21"/>
      <c r="E422" s="21"/>
      <c r="F422" s="21" t="s">
        <v>645</v>
      </c>
      <c r="G422" s="21"/>
      <c r="H422" s="1084"/>
      <c r="I422" s="141"/>
      <c r="J422" s="140"/>
      <c r="K422" s="94" t="s">
        <v>645</v>
      </c>
      <c r="L422" s="344" t="s">
        <v>764</v>
      </c>
      <c r="M422" s="1345"/>
      <c r="N422" s="4"/>
      <c r="O422" s="154"/>
      <c r="P422" s="440"/>
      <c r="Q422" s="440"/>
      <c r="U422" s="97"/>
      <c r="W422" s="1242"/>
      <c r="X422" s="1303"/>
    </row>
    <row r="423" spans="1:51" ht="15" customHeight="1" x14ac:dyDescent="0.3">
      <c r="B423" s="80" t="s">
        <v>770</v>
      </c>
      <c r="C423" s="21"/>
      <c r="D423" s="21"/>
      <c r="E423" s="21" t="s">
        <v>3174</v>
      </c>
      <c r="F423" s="21"/>
      <c r="G423" s="21"/>
      <c r="H423" s="1084"/>
      <c r="I423" s="141"/>
      <c r="J423" s="140"/>
      <c r="K423" s="97"/>
      <c r="L423" s="1368" t="s">
        <v>772</v>
      </c>
      <c r="M423" s="1345"/>
      <c r="N423" s="4"/>
      <c r="O423" s="154"/>
      <c r="P423" s="440" t="b">
        <v>1</v>
      </c>
      <c r="Q423" s="440" t="b">
        <v>0</v>
      </c>
      <c r="R423" s="170" t="b">
        <v>0</v>
      </c>
      <c r="S423" s="170" t="b">
        <f>COUNTIF(W392:W408,TRUE)&lt;1</f>
        <v>1</v>
      </c>
      <c r="T423" s="97" t="b">
        <f>AND(NOT(S423),LEN(W423)&gt;0)</f>
        <v>0</v>
      </c>
      <c r="U423" s="97" t="str">
        <f>SUBSTITUTE(SUBSTITUTE(SUBSTITUTE("dd"&amp;B423&amp;C423&amp;D423&amp;E423&amp;F423,".","_"),"(","_"),")","")</f>
        <v>dd610_1_2_1b</v>
      </c>
      <c r="W423" s="12"/>
      <c r="X423" s="1303"/>
      <c r="AC423" s="170" t="b">
        <f>OR(AD423:AE423)</f>
        <v>0</v>
      </c>
      <c r="AD423" s="175" t="b">
        <f>T423</f>
        <v>0</v>
      </c>
      <c r="AE423" s="170" t="b">
        <f>AND(NOT(ISBLANK(W423)),LEN(X421)=0)</f>
        <v>0</v>
      </c>
      <c r="AP423" s="311" t="str">
        <f t="shared" ref="AP423" si="101">SUBSTITUTE(SUBSTITUTE(SUBSTITUTE("dch"&amp;$B423&amp;$C423&amp;$D423&amp;$E423&amp;$F423,".","_"),"(","_"),")","")</f>
        <v>dch610_1_2_1b</v>
      </c>
      <c r="AQ423" s="311">
        <f>W423</f>
        <v>0</v>
      </c>
    </row>
    <row r="424" spans="1:51" x14ac:dyDescent="0.3">
      <c r="B424" s="80" t="s">
        <v>770</v>
      </c>
      <c r="C424" s="21"/>
      <c r="D424" s="21"/>
      <c r="E424" s="21"/>
      <c r="F424" s="21"/>
      <c r="G424" s="21"/>
      <c r="H424" s="1084"/>
      <c r="I424" s="141"/>
      <c r="J424" s="140"/>
      <c r="K424" s="249"/>
      <c r="L424" s="1368"/>
      <c r="M424" s="1345"/>
      <c r="N424" s="4"/>
      <c r="O424" s="154"/>
      <c r="P424" s="440"/>
      <c r="Q424" s="440"/>
      <c r="R424" s="1">
        <f ca="1">3*IFERROR(MATCH(W423,INDIRECT(U423),0),0)*S423</f>
        <v>0</v>
      </c>
      <c r="X424" s="1303"/>
      <c r="AX424" s="170"/>
      <c r="AY424" s="170"/>
    </row>
    <row r="425" spans="1:51" s="170" customFormat="1" x14ac:dyDescent="0.3">
      <c r="A425" s="18"/>
      <c r="B425" s="80" t="s">
        <v>770</v>
      </c>
      <c r="C425" s="21"/>
      <c r="D425" s="21"/>
      <c r="E425" s="21"/>
      <c r="F425" s="21"/>
      <c r="G425" s="21"/>
      <c r="H425" s="1084"/>
      <c r="I425" s="141"/>
      <c r="J425" s="140"/>
      <c r="K425" s="249"/>
      <c r="L425" s="1368"/>
      <c r="M425" s="1345"/>
      <c r="N425" s="4"/>
      <c r="O425" s="154"/>
      <c r="P425" s="440"/>
      <c r="Q425" s="440"/>
      <c r="X425" s="1303"/>
      <c r="Y425" s="1107"/>
      <c r="AA425" s="1110"/>
    </row>
    <row r="426" spans="1:51" s="170" customFormat="1" x14ac:dyDescent="0.3">
      <c r="A426" s="18"/>
      <c r="B426" s="80" t="s">
        <v>770</v>
      </c>
      <c r="C426" s="21"/>
      <c r="D426" s="21"/>
      <c r="E426" s="21"/>
      <c r="F426" s="21"/>
      <c r="G426" s="21"/>
      <c r="H426" s="1084"/>
      <c r="I426" s="141"/>
      <c r="J426" s="140"/>
      <c r="K426" s="249"/>
      <c r="L426" s="1369" t="s">
        <v>3311</v>
      </c>
      <c r="M426" s="1345"/>
      <c r="N426" s="4"/>
      <c r="O426" s="154"/>
      <c r="P426" s="440"/>
      <c r="Q426" s="440"/>
      <c r="X426" s="1303"/>
      <c r="Y426" s="1107"/>
      <c r="AA426" s="1110"/>
    </row>
    <row r="427" spans="1:51" s="170" customFormat="1" x14ac:dyDescent="0.3">
      <c r="A427" s="18"/>
      <c r="B427" s="80" t="s">
        <v>770</v>
      </c>
      <c r="C427" s="21"/>
      <c r="D427" s="21"/>
      <c r="E427" s="21"/>
      <c r="F427" s="21"/>
      <c r="G427" s="21"/>
      <c r="H427" s="1084"/>
      <c r="I427" s="244"/>
      <c r="J427" s="238"/>
      <c r="K427" s="250"/>
      <c r="L427" s="1370"/>
      <c r="M427" s="1346"/>
      <c r="N427" s="4"/>
      <c r="O427" s="154"/>
      <c r="P427" s="440"/>
      <c r="Q427" s="440"/>
      <c r="X427" s="1303"/>
      <c r="Y427" s="1107"/>
      <c r="AA427" s="1110"/>
      <c r="AX427" s="65"/>
      <c r="AY427" s="65"/>
    </row>
    <row r="428" spans="1:51" ht="15" customHeight="1" x14ac:dyDescent="0.3">
      <c r="B428" s="80" t="s">
        <v>773</v>
      </c>
      <c r="C428" s="21"/>
      <c r="D428" s="21"/>
      <c r="E428" s="21" t="s">
        <v>3173</v>
      </c>
      <c r="F428" s="21"/>
      <c r="G428" s="21"/>
      <c r="H428" s="1084"/>
      <c r="I428" s="66" t="s">
        <v>773</v>
      </c>
      <c r="J428" s="4"/>
      <c r="K428" s="86"/>
      <c r="L428" s="1292" t="s">
        <v>774</v>
      </c>
      <c r="M428" s="1347" t="s">
        <v>3327</v>
      </c>
      <c r="N428" s="4"/>
      <c r="O428" s="154"/>
      <c r="P428" s="440"/>
      <c r="Q428" s="440"/>
      <c r="R428" s="137">
        <f ca="1">COUNTIF(W429:W447,INDEX(INDIRECT(U429),1))*S429</f>
        <v>0</v>
      </c>
      <c r="S428" s="170">
        <f ca="1">COUNTIF(W429:W447,INDEX(INDIRECT(U429),2))*S429</f>
        <v>0</v>
      </c>
      <c r="T428" s="137"/>
      <c r="W428" s="65" t="s">
        <v>3322</v>
      </c>
      <c r="X428" s="1303"/>
      <c r="AL428" s="311" t="str">
        <f>SUBSTITUTE(SUBSTITUTE(SUBSTITUTE("dpa"&amp;$B428&amp;$C428&amp;$D428&amp;$E428&amp;$F428,".","_"),"(","_"),")","")</f>
        <v>dpa610_1_2_2a</v>
      </c>
      <c r="AM428" s="311" t="str">
        <f>M428</f>
        <v>per Table 610.1.2.2
10 Max</v>
      </c>
      <c r="AR428" s="1059" t="str">
        <f>SUBSTITUTE(SUBSTITUTE(SUBSTITUTE("dnt"&amp;$B428&amp;$C428&amp;$D428&amp;$E428&amp;$F428,".","_"),"(","_"),")","")</f>
        <v>dnt610_1_2_2a</v>
      </c>
      <c r="AS428" s="311">
        <f>X428</f>
        <v>0</v>
      </c>
    </row>
    <row r="429" spans="1:51" x14ac:dyDescent="0.3">
      <c r="B429" s="80" t="s">
        <v>773</v>
      </c>
      <c r="C429" s="21"/>
      <c r="D429" s="21"/>
      <c r="E429" s="21" t="s">
        <v>3173</v>
      </c>
      <c r="F429" s="21"/>
      <c r="G429" s="21"/>
      <c r="H429" s="1084"/>
      <c r="I429" s="66"/>
      <c r="J429" s="4"/>
      <c r="K429" s="86"/>
      <c r="L429" s="1292"/>
      <c r="M429" s="1347"/>
      <c r="N429" s="4"/>
      <c r="O429" s="154"/>
      <c r="P429" s="440" t="b">
        <v>1</v>
      </c>
      <c r="Q429" s="440" t="b">
        <v>0</v>
      </c>
      <c r="R429" s="170" t="b">
        <v>0</v>
      </c>
      <c r="S429" s="170" t="b">
        <f>COUNTIF(W392:W408,TRUE)&lt;1</f>
        <v>1</v>
      </c>
      <c r="T429" s="97" t="b">
        <f>AND(NOT(S429),LEN(W429)&gt;0)</f>
        <v>0</v>
      </c>
      <c r="U429" s="97" t="str">
        <f>SUBSTITUTE(SUBSTITUTE(SUBSTITUTE("dd"&amp;B429&amp;C429&amp;D429&amp;E429&amp;F429,".","_"),"(","_"),")","")</f>
        <v>dd610_1_2_2a</v>
      </c>
      <c r="W429" s="12"/>
      <c r="X429" s="1303"/>
      <c r="AC429" s="170" t="b">
        <f>OR(AD429:AE429)</f>
        <v>0</v>
      </c>
      <c r="AD429" s="175" t="b">
        <f>T429</f>
        <v>0</v>
      </c>
      <c r="AE429" s="170" t="b">
        <f>AND(NOT(ISBLANK(W429)),LEN(X428)=0)</f>
        <v>0</v>
      </c>
      <c r="AP429" s="311" t="str">
        <f t="shared" ref="AP429" si="102">SUBSTITUTE(SUBSTITUTE(SUBSTITUTE("dch"&amp;$B429&amp;$C429&amp;$D429&amp;$E429&amp;$F429,".","_"),"(","_"),")","")</f>
        <v>dch610_1_2_2a</v>
      </c>
      <c r="AQ429" s="311">
        <f>W429</f>
        <v>0</v>
      </c>
    </row>
    <row r="430" spans="1:51" x14ac:dyDescent="0.3">
      <c r="B430" s="80" t="s">
        <v>773</v>
      </c>
      <c r="C430" s="21"/>
      <c r="D430" s="21"/>
      <c r="E430" s="21"/>
      <c r="F430" s="21"/>
      <c r="G430" s="21"/>
      <c r="H430" s="1084"/>
      <c r="I430" s="66"/>
      <c r="J430" s="4"/>
      <c r="K430" s="86"/>
      <c r="L430" s="1292"/>
      <c r="M430" s="1347"/>
      <c r="N430" s="4"/>
      <c r="O430" s="154"/>
      <c r="P430" s="440"/>
      <c r="Q430" s="440"/>
      <c r="X430" s="1303"/>
    </row>
    <row r="431" spans="1:51" x14ac:dyDescent="0.3">
      <c r="B431" s="80" t="s">
        <v>773</v>
      </c>
      <c r="C431" s="21"/>
      <c r="D431" s="21"/>
      <c r="E431" s="21"/>
      <c r="F431" s="21"/>
      <c r="G431" s="21"/>
      <c r="H431" s="1084"/>
      <c r="I431" s="66"/>
      <c r="J431" s="4"/>
      <c r="K431" s="86"/>
      <c r="L431" s="1292"/>
      <c r="M431" s="1347"/>
      <c r="N431" s="4"/>
      <c r="O431" s="154"/>
      <c r="P431" s="440"/>
      <c r="Q431" s="440"/>
      <c r="X431" s="1303"/>
    </row>
    <row r="432" spans="1:51" x14ac:dyDescent="0.3">
      <c r="B432" s="80" t="s">
        <v>773</v>
      </c>
      <c r="C432" s="21"/>
      <c r="D432" s="21"/>
      <c r="E432" s="21"/>
      <c r="F432" s="21"/>
      <c r="G432" s="21"/>
      <c r="H432" s="1084"/>
      <c r="I432" s="66"/>
      <c r="J432" s="4"/>
      <c r="K432" s="86"/>
      <c r="L432" s="1292"/>
      <c r="M432" s="1347"/>
      <c r="N432" s="4"/>
      <c r="O432" s="154"/>
      <c r="P432" s="440"/>
      <c r="Q432" s="440"/>
      <c r="X432" s="1303"/>
    </row>
    <row r="433" spans="1:51" x14ac:dyDescent="0.3">
      <c r="B433" s="80" t="s">
        <v>773</v>
      </c>
      <c r="C433" s="21"/>
      <c r="D433" s="21"/>
      <c r="E433" s="21"/>
      <c r="F433" s="21"/>
      <c r="G433" s="21"/>
      <c r="H433" s="1084"/>
      <c r="I433" s="66"/>
      <c r="J433" s="4"/>
      <c r="K433" s="86"/>
      <c r="L433" s="1292"/>
      <c r="M433" s="1347"/>
      <c r="N433" s="4"/>
      <c r="O433" s="154"/>
      <c r="P433" s="440"/>
      <c r="Q433" s="440"/>
      <c r="X433" s="1303"/>
    </row>
    <row r="434" spans="1:51" x14ac:dyDescent="0.3">
      <c r="B434" s="80" t="s">
        <v>773</v>
      </c>
      <c r="C434" s="21"/>
      <c r="D434" s="21"/>
      <c r="E434" s="21" t="s">
        <v>3174</v>
      </c>
      <c r="F434" s="21"/>
      <c r="G434" s="21"/>
      <c r="H434" s="1084"/>
      <c r="I434" s="66"/>
      <c r="J434" s="4"/>
      <c r="K434" s="86"/>
      <c r="L434" s="1292"/>
      <c r="M434" s="1347"/>
      <c r="N434" s="4"/>
      <c r="O434" s="154"/>
      <c r="P434" s="440"/>
      <c r="Q434" s="440"/>
      <c r="W434" s="65" t="s">
        <v>3323</v>
      </c>
      <c r="X434" s="1303"/>
      <c r="AR434" s="1059" t="str">
        <f>SUBSTITUTE(SUBSTITUTE(SUBSTITUTE("dnt"&amp;$B434&amp;$C434&amp;$D434&amp;$E434&amp;$F434,".","_"),"(","_"),")","")</f>
        <v>dnt610_1_2_2b</v>
      </c>
      <c r="AS434" s="311">
        <f>X434</f>
        <v>0</v>
      </c>
    </row>
    <row r="435" spans="1:51" x14ac:dyDescent="0.3">
      <c r="B435" s="80" t="s">
        <v>773</v>
      </c>
      <c r="C435" s="21"/>
      <c r="D435" s="21"/>
      <c r="E435" s="21" t="s">
        <v>3174</v>
      </c>
      <c r="F435" s="21"/>
      <c r="G435" s="21"/>
      <c r="H435" s="1084"/>
      <c r="I435" s="66"/>
      <c r="J435" s="4"/>
      <c r="K435" s="86"/>
      <c r="L435" s="1292"/>
      <c r="M435" s="1347"/>
      <c r="N435" s="4"/>
      <c r="O435" s="154"/>
      <c r="P435" s="440" t="b">
        <v>1</v>
      </c>
      <c r="Q435" s="440" t="b">
        <v>0</v>
      </c>
      <c r="R435" s="170" t="b">
        <v>0</v>
      </c>
      <c r="S435" s="170" t="b">
        <f>COUNTIF(W392:W408,TRUE)&lt;1</f>
        <v>1</v>
      </c>
      <c r="T435" s="97" t="b">
        <f>AND(NOT(S435),LEN(W435)&gt;0)</f>
        <v>0</v>
      </c>
      <c r="U435" s="97" t="str">
        <f>SUBSTITUTE(SUBSTITUTE(SUBSTITUTE("dd"&amp;B435&amp;C435&amp;D435&amp;E435&amp;F435,".","_"),"(","_"),")","")</f>
        <v>dd610_1_2_2b</v>
      </c>
      <c r="W435" s="12"/>
      <c r="X435" s="1303"/>
      <c r="AC435" s="170" t="b">
        <f>OR(AD435:AE435)</f>
        <v>0</v>
      </c>
      <c r="AD435" s="175" t="b">
        <f>T435</f>
        <v>0</v>
      </c>
      <c r="AE435" s="170" t="b">
        <f>AND(NOT(ISBLANK(W435)),LEN(X434)=0)</f>
        <v>0</v>
      </c>
      <c r="AP435" s="311" t="str">
        <f t="shared" ref="AP435" si="103">SUBSTITUTE(SUBSTITUTE(SUBSTITUTE("dch"&amp;$B435&amp;$C435&amp;$D435&amp;$E435&amp;$F435,".","_"),"(","_"),")","")</f>
        <v>dch610_1_2_2b</v>
      </c>
      <c r="AQ435" s="311">
        <f>W435</f>
        <v>0</v>
      </c>
    </row>
    <row r="436" spans="1:51" x14ac:dyDescent="0.3">
      <c r="B436" s="80" t="s">
        <v>773</v>
      </c>
      <c r="C436" s="21"/>
      <c r="D436" s="21"/>
      <c r="E436" s="21"/>
      <c r="F436" s="21" t="s">
        <v>121</v>
      </c>
      <c r="G436" s="21"/>
      <c r="H436" s="1084"/>
      <c r="I436" s="66"/>
      <c r="J436" s="4"/>
      <c r="K436" s="90" t="s">
        <v>121</v>
      </c>
      <c r="L436" s="350" t="s">
        <v>775</v>
      </c>
      <c r="M436" s="1347"/>
      <c r="N436" s="4"/>
      <c r="O436" s="154"/>
      <c r="P436" s="440"/>
      <c r="Q436" s="440"/>
      <c r="U436" s="97"/>
      <c r="X436" s="1303"/>
    </row>
    <row r="437" spans="1:51" x14ac:dyDescent="0.3">
      <c r="B437" s="80" t="s">
        <v>773</v>
      </c>
      <c r="C437" s="21"/>
      <c r="D437" s="21"/>
      <c r="E437" s="21"/>
      <c r="F437" s="21" t="s">
        <v>122</v>
      </c>
      <c r="G437" s="21"/>
      <c r="H437" s="1084"/>
      <c r="I437" s="66"/>
      <c r="J437" s="4"/>
      <c r="K437" s="90" t="s">
        <v>122</v>
      </c>
      <c r="L437" s="350" t="s">
        <v>776</v>
      </c>
      <c r="M437" s="1347"/>
      <c r="N437" s="4"/>
      <c r="O437" s="154"/>
      <c r="P437" s="440"/>
      <c r="Q437" s="440"/>
      <c r="U437" s="97"/>
      <c r="X437" s="1303"/>
    </row>
    <row r="438" spans="1:51" x14ac:dyDescent="0.3">
      <c r="B438" s="80" t="s">
        <v>773</v>
      </c>
      <c r="C438" s="21"/>
      <c r="D438" s="21"/>
      <c r="E438" s="21"/>
      <c r="F438" s="21" t="s">
        <v>123</v>
      </c>
      <c r="G438" s="21"/>
      <c r="H438" s="1084"/>
      <c r="I438" s="66"/>
      <c r="J438" s="4"/>
      <c r="K438" s="90" t="s">
        <v>123</v>
      </c>
      <c r="L438" s="350" t="s">
        <v>777</v>
      </c>
      <c r="M438" s="1347"/>
      <c r="N438" s="4"/>
      <c r="O438" s="154"/>
      <c r="P438" s="440"/>
      <c r="Q438" s="440"/>
      <c r="U438" s="97"/>
      <c r="X438" s="1303"/>
    </row>
    <row r="439" spans="1:51" x14ac:dyDescent="0.3">
      <c r="B439" s="80" t="s">
        <v>773</v>
      </c>
      <c r="C439" s="21"/>
      <c r="D439" s="21"/>
      <c r="E439" s="21"/>
      <c r="F439" s="26" t="s">
        <v>423</v>
      </c>
      <c r="G439" s="26"/>
      <c r="H439" s="1085"/>
      <c r="I439" s="66"/>
      <c r="J439" s="4"/>
      <c r="K439" s="92" t="s">
        <v>423</v>
      </c>
      <c r="L439" s="350" t="s">
        <v>778</v>
      </c>
      <c r="M439" s="1347"/>
      <c r="N439" s="4"/>
      <c r="O439" s="154"/>
      <c r="P439" s="440"/>
      <c r="Q439" s="440"/>
      <c r="U439" s="97"/>
      <c r="X439" s="1303"/>
    </row>
    <row r="440" spans="1:51" x14ac:dyDescent="0.3">
      <c r="B440" s="80" t="s">
        <v>773</v>
      </c>
      <c r="C440" s="21"/>
      <c r="D440" s="21"/>
      <c r="E440" s="21" t="s">
        <v>3175</v>
      </c>
      <c r="F440" s="21"/>
      <c r="G440" s="21"/>
      <c r="H440" s="1084"/>
      <c r="I440" s="66"/>
      <c r="J440" s="4"/>
      <c r="K440" s="86"/>
      <c r="L440" s="1367" t="s">
        <v>779</v>
      </c>
      <c r="M440" s="1347"/>
      <c r="N440" s="4"/>
      <c r="O440" s="154"/>
      <c r="P440" s="440"/>
      <c r="Q440" s="440"/>
      <c r="W440" s="65" t="s">
        <v>3324</v>
      </c>
      <c r="X440" s="1303"/>
      <c r="AR440" s="1059" t="str">
        <f>SUBSTITUTE(SUBSTITUTE(SUBSTITUTE("dnt"&amp;$B440&amp;$C440&amp;$D440&amp;$E440&amp;$F440,".","_"),"(","_"),")","")</f>
        <v>dnt610_1_2_2c</v>
      </c>
      <c r="AS440" s="311">
        <f>X440</f>
        <v>0</v>
      </c>
      <c r="AX440" s="170"/>
      <c r="AY440" s="170"/>
    </row>
    <row r="441" spans="1:51" s="170" customFormat="1" x14ac:dyDescent="0.3">
      <c r="A441" s="18"/>
      <c r="B441" s="80" t="s">
        <v>773</v>
      </c>
      <c r="C441" s="21"/>
      <c r="D441" s="21"/>
      <c r="E441" s="21" t="s">
        <v>3175</v>
      </c>
      <c r="F441" s="21"/>
      <c r="G441" s="21"/>
      <c r="H441" s="1084"/>
      <c r="I441" s="66"/>
      <c r="J441" s="4"/>
      <c r="K441" s="86"/>
      <c r="L441" s="1367"/>
      <c r="M441" s="1347"/>
      <c r="N441" s="4"/>
      <c r="O441" s="154"/>
      <c r="P441" s="440" t="b">
        <v>1</v>
      </c>
      <c r="Q441" s="440" t="b">
        <v>0</v>
      </c>
      <c r="R441" s="170" t="b">
        <v>0</v>
      </c>
      <c r="S441" s="170" t="b">
        <f>COUNTIF(W392:W408,TRUE)&lt;1</f>
        <v>1</v>
      </c>
      <c r="T441" s="97" t="b">
        <f>AND(NOT(S441),LEN(W441)&gt;0)</f>
        <v>0</v>
      </c>
      <c r="U441" s="97" t="str">
        <f>SUBSTITUTE(SUBSTITUTE(SUBSTITUTE("dd"&amp;B441&amp;C441&amp;D441&amp;E441&amp;F441,".","_"),"(","_"),")","")</f>
        <v>dd610_1_2_2c</v>
      </c>
      <c r="W441" s="12"/>
      <c r="X441" s="1303"/>
      <c r="Y441" s="1107"/>
      <c r="AA441" s="1110"/>
      <c r="AC441" s="170" t="b">
        <f>OR(AD441:AE441)</f>
        <v>0</v>
      </c>
      <c r="AD441" s="175" t="b">
        <f>T441</f>
        <v>0</v>
      </c>
      <c r="AE441" s="170" t="b">
        <f>AND(NOT(ISBLANK(W441)),LEN(X440)=0)</f>
        <v>0</v>
      </c>
      <c r="AP441" s="311" t="str">
        <f t="shared" ref="AP441" si="104">SUBSTITUTE(SUBSTITUTE(SUBSTITUTE("dch"&amp;$B441&amp;$C441&amp;$D441&amp;$E441&amp;$F441,".","_"),"(","_"),")","")</f>
        <v>dch610_1_2_2c</v>
      </c>
      <c r="AQ441" s="311">
        <f>W441</f>
        <v>0</v>
      </c>
      <c r="AX441" s="65"/>
      <c r="AY441" s="65"/>
    </row>
    <row r="442" spans="1:51" x14ac:dyDescent="0.3">
      <c r="B442" s="80" t="s">
        <v>773</v>
      </c>
      <c r="C442" s="21"/>
      <c r="D442" s="21"/>
      <c r="E442" s="21"/>
      <c r="F442" s="21" t="s">
        <v>121</v>
      </c>
      <c r="G442" s="21"/>
      <c r="H442" s="1084"/>
      <c r="I442" s="66"/>
      <c r="J442" s="4"/>
      <c r="K442" s="90" t="s">
        <v>121</v>
      </c>
      <c r="L442" s="350" t="s">
        <v>759</v>
      </c>
      <c r="M442" s="1347"/>
      <c r="N442" s="4"/>
      <c r="O442" s="154"/>
      <c r="P442" s="440"/>
      <c r="Q442" s="440"/>
      <c r="X442" s="1303"/>
    </row>
    <row r="443" spans="1:51" x14ac:dyDescent="0.3">
      <c r="B443" s="80" t="s">
        <v>773</v>
      </c>
      <c r="C443" s="21"/>
      <c r="D443" s="21"/>
      <c r="E443" s="21"/>
      <c r="F443" s="21" t="s">
        <v>122</v>
      </c>
      <c r="G443" s="21"/>
      <c r="H443" s="1084"/>
      <c r="I443" s="66"/>
      <c r="J443" s="4"/>
      <c r="K443" s="90" t="s">
        <v>122</v>
      </c>
      <c r="L443" s="350" t="s">
        <v>760</v>
      </c>
      <c r="M443" s="1347"/>
      <c r="N443" s="4"/>
      <c r="O443" s="154"/>
      <c r="P443" s="440"/>
      <c r="Q443" s="440"/>
      <c r="X443" s="1303"/>
    </row>
    <row r="444" spans="1:51" x14ac:dyDescent="0.3">
      <c r="B444" s="80" t="s">
        <v>773</v>
      </c>
      <c r="C444" s="21"/>
      <c r="D444" s="21"/>
      <c r="E444" s="21"/>
      <c r="F444" s="21" t="s">
        <v>123</v>
      </c>
      <c r="G444" s="21"/>
      <c r="H444" s="1084"/>
      <c r="I444" s="66"/>
      <c r="J444" s="4"/>
      <c r="K444" s="90" t="s">
        <v>123</v>
      </c>
      <c r="L444" s="350" t="s">
        <v>761</v>
      </c>
      <c r="M444" s="1347"/>
      <c r="N444" s="4"/>
      <c r="O444" s="154"/>
      <c r="P444" s="440"/>
      <c r="Q444" s="440"/>
      <c r="X444" s="1303"/>
    </row>
    <row r="445" spans="1:51" x14ac:dyDescent="0.3">
      <c r="B445" s="80" t="s">
        <v>773</v>
      </c>
      <c r="C445" s="21"/>
      <c r="D445" s="21"/>
      <c r="E445" s="21"/>
      <c r="F445" s="26" t="s">
        <v>423</v>
      </c>
      <c r="G445" s="26"/>
      <c r="H445" s="1085"/>
      <c r="I445" s="66"/>
      <c r="J445" s="4"/>
      <c r="K445" s="92" t="s">
        <v>423</v>
      </c>
      <c r="L445" s="350" t="s">
        <v>762</v>
      </c>
      <c r="M445" s="1347"/>
      <c r="N445" s="4"/>
      <c r="O445" s="154"/>
      <c r="P445" s="440"/>
      <c r="Q445" s="440"/>
      <c r="X445" s="1303"/>
    </row>
    <row r="446" spans="1:51" x14ac:dyDescent="0.3">
      <c r="B446" s="80" t="s">
        <v>773</v>
      </c>
      <c r="C446" s="21"/>
      <c r="D446" s="21"/>
      <c r="E446" s="21"/>
      <c r="F446" s="21" t="s">
        <v>578</v>
      </c>
      <c r="G446" s="21"/>
      <c r="H446" s="1084"/>
      <c r="I446" s="66"/>
      <c r="J446" s="4"/>
      <c r="K446" s="88" t="s">
        <v>578</v>
      </c>
      <c r="L446" s="350" t="s">
        <v>763</v>
      </c>
      <c r="M446" s="1347"/>
      <c r="N446" s="4"/>
      <c r="O446" s="154"/>
      <c r="P446" s="440"/>
      <c r="Q446" s="440"/>
      <c r="W446" s="65" t="s">
        <v>3325</v>
      </c>
      <c r="X446" s="1303"/>
      <c r="AR446" s="1059" t="str">
        <f>SUBSTITUTE(SUBSTITUTE(SUBSTITUTE("dnt"&amp;$B446&amp;$C446&amp;$D446&amp;$E446&amp;$F446,".","_"),"(","_"),")","")</f>
        <v>dnt610_1_2_2_e</v>
      </c>
      <c r="AS446" s="311">
        <f>X446</f>
        <v>0</v>
      </c>
    </row>
    <row r="447" spans="1:51" x14ac:dyDescent="0.3">
      <c r="B447" s="80" t="s">
        <v>773</v>
      </c>
      <c r="C447" s="21"/>
      <c r="D447" s="21"/>
      <c r="E447" s="21"/>
      <c r="F447" s="21" t="s">
        <v>645</v>
      </c>
      <c r="G447" s="21"/>
      <c r="H447" s="1084"/>
      <c r="I447" s="66"/>
      <c r="J447" s="4"/>
      <c r="K447" s="90" t="s">
        <v>645</v>
      </c>
      <c r="L447" s="350" t="s">
        <v>764</v>
      </c>
      <c r="M447" s="1347"/>
      <c r="N447" s="4"/>
      <c r="O447" s="154"/>
      <c r="P447" s="440" t="b">
        <v>1</v>
      </c>
      <c r="Q447" s="440" t="b">
        <v>0</v>
      </c>
      <c r="R447" s="170" t="b">
        <v>0</v>
      </c>
      <c r="S447" s="170" t="b">
        <f>COUNTIF(W392:W408,TRUE)&lt;1</f>
        <v>1</v>
      </c>
      <c r="T447" s="97" t="b">
        <f>AND(NOT(S447),LEN(W447)&gt;0)</f>
        <v>0</v>
      </c>
      <c r="U447" s="97" t="str">
        <f>SUBSTITUTE(SUBSTITUTE(SUBSTITUTE("dd"&amp;B447&amp;C447&amp;D447&amp;E447&amp;F447,".","_"),"(","_"),")","")</f>
        <v>dd610_1_2_2_f</v>
      </c>
      <c r="W447" s="12"/>
      <c r="X447" s="1303"/>
      <c r="AC447" s="170" t="b">
        <f>OR(AD447:AE447)</f>
        <v>0</v>
      </c>
      <c r="AD447" s="175" t="b">
        <f>T447</f>
        <v>0</v>
      </c>
      <c r="AE447" s="170" t="b">
        <f>AND(NOT(ISBLANK(W447)),LEN(X446)=0)</f>
        <v>0</v>
      </c>
      <c r="AP447" s="311" t="str">
        <f t="shared" ref="AP447" si="105">SUBSTITUTE(SUBSTITUTE(SUBSTITUTE("dch"&amp;$B447&amp;$C447&amp;$D447&amp;$E447&amp;$F447,".","_"),"(","_"),")","")</f>
        <v>dch610_1_2_2_f</v>
      </c>
      <c r="AQ447" s="311">
        <f>W447</f>
        <v>0</v>
      </c>
    </row>
    <row r="448" spans="1:51" x14ac:dyDescent="0.3">
      <c r="B448" s="80" t="s">
        <v>773</v>
      </c>
      <c r="C448" s="21"/>
      <c r="D448" s="21"/>
      <c r="E448" s="21"/>
      <c r="F448" s="21"/>
      <c r="G448" s="21"/>
      <c r="H448" s="1084"/>
      <c r="I448" s="66"/>
      <c r="J448" s="4"/>
      <c r="K448" s="86"/>
      <c r="L448" s="1365" t="s">
        <v>780</v>
      </c>
      <c r="M448" s="1347"/>
      <c r="N448" s="4"/>
      <c r="O448" s="154"/>
      <c r="P448" s="440"/>
      <c r="Q448" s="440"/>
      <c r="X448" s="1303"/>
    </row>
    <row r="449" spans="1:51" x14ac:dyDescent="0.3">
      <c r="B449" s="80" t="s">
        <v>773</v>
      </c>
      <c r="C449" s="21"/>
      <c r="D449" s="21"/>
      <c r="E449" s="21"/>
      <c r="F449" s="21"/>
      <c r="G449" s="21"/>
      <c r="H449" s="1084"/>
      <c r="I449" s="66"/>
      <c r="J449" s="4"/>
      <c r="K449" s="86"/>
      <c r="L449" s="1365"/>
      <c r="M449" s="1347"/>
      <c r="N449" s="4"/>
      <c r="O449" s="154"/>
      <c r="P449" s="440"/>
      <c r="Q449" s="440"/>
      <c r="X449" s="1303"/>
      <c r="AX449" s="170"/>
      <c r="AY449" s="170"/>
    </row>
    <row r="450" spans="1:51" s="170" customFormat="1" x14ac:dyDescent="0.3">
      <c r="A450" s="18"/>
      <c r="B450" s="80" t="s">
        <v>773</v>
      </c>
      <c r="C450" s="21"/>
      <c r="D450" s="21"/>
      <c r="E450" s="21"/>
      <c r="F450" s="21"/>
      <c r="G450" s="21"/>
      <c r="H450" s="1084"/>
      <c r="I450" s="66"/>
      <c r="J450" s="4"/>
      <c r="K450" s="86"/>
      <c r="L450" s="1357" t="s">
        <v>3319</v>
      </c>
      <c r="M450" s="1347"/>
      <c r="N450" s="4"/>
      <c r="O450" s="154"/>
      <c r="P450" s="440"/>
      <c r="Q450" s="440"/>
      <c r="X450" s="1303"/>
      <c r="Y450" s="1107"/>
      <c r="AA450" s="1110"/>
    </row>
    <row r="451" spans="1:51" s="170" customFormat="1" x14ac:dyDescent="0.3">
      <c r="A451" s="18"/>
      <c r="B451" s="80" t="s">
        <v>773</v>
      </c>
      <c r="C451" s="21"/>
      <c r="D451" s="21"/>
      <c r="E451" s="21"/>
      <c r="F451" s="21"/>
      <c r="G451" s="21"/>
      <c r="H451" s="1084"/>
      <c r="I451" s="66"/>
      <c r="J451" s="4"/>
      <c r="K451" s="86"/>
      <c r="L451" s="1366"/>
      <c r="M451" s="1347"/>
      <c r="N451" s="4"/>
      <c r="O451" s="154"/>
      <c r="P451" s="440"/>
      <c r="Q451" s="440"/>
      <c r="X451" s="1303"/>
      <c r="Y451" s="1107"/>
      <c r="AA451" s="1110"/>
      <c r="AX451" s="65"/>
      <c r="AY451" s="65"/>
    </row>
    <row r="452" spans="1:51" ht="18" x14ac:dyDescent="0.35">
      <c r="B452" s="80">
        <v>611</v>
      </c>
      <c r="C452" s="21"/>
      <c r="D452" s="21"/>
      <c r="E452" s="21"/>
      <c r="F452" s="21"/>
      <c r="G452" s="21"/>
      <c r="H452" s="1084"/>
      <c r="I452" s="14" t="s">
        <v>781</v>
      </c>
      <c r="J452" s="23"/>
      <c r="K452" s="85"/>
      <c r="L452" s="259"/>
      <c r="M452" s="484"/>
      <c r="N452" s="604"/>
      <c r="O452" s="594"/>
      <c r="P452" s="23"/>
      <c r="Q452" s="23"/>
      <c r="R452" s="23"/>
      <c r="S452" s="23"/>
      <c r="T452" s="23"/>
      <c r="U452" s="23"/>
      <c r="V452" s="23"/>
      <c r="W452" s="23"/>
      <c r="X452" s="23"/>
    </row>
    <row r="453" spans="1:51" x14ac:dyDescent="0.3">
      <c r="B453" s="80">
        <v>611.1</v>
      </c>
      <c r="C453" s="21"/>
      <c r="D453" s="21"/>
      <c r="E453" s="21"/>
      <c r="F453" s="21"/>
      <c r="G453" s="21"/>
      <c r="H453" s="1084"/>
      <c r="I453" s="66">
        <v>611.1</v>
      </c>
      <c r="J453" s="4"/>
      <c r="K453" s="86"/>
      <c r="L453" s="1292" t="s">
        <v>782</v>
      </c>
      <c r="M453" s="1335" t="s">
        <v>753</v>
      </c>
      <c r="N453" s="4"/>
      <c r="O453" s="1310">
        <f ca="1">IFERROR(MATCH(W453,INDIRECT(U453),0),0)</f>
        <v>0</v>
      </c>
      <c r="P453" s="440" t="b">
        <v>1</v>
      </c>
      <c r="Q453" s="440" t="b">
        <v>1</v>
      </c>
      <c r="R453" s="137" t="b">
        <v>0</v>
      </c>
      <c r="S453" s="137" t="b">
        <v>1</v>
      </c>
      <c r="T453" s="137" t="b">
        <v>0</v>
      </c>
      <c r="U453" s="97" t="str">
        <f>SUBSTITUTE(SUBSTITUTE(SUBSTITUTE("dd"&amp;B453&amp;C453&amp;D453&amp;E453&amp;F453,".","_"),"(","_"),")","")</f>
        <v>dd611_1</v>
      </c>
      <c r="W453" s="12"/>
      <c r="X453" s="1303"/>
      <c r="AC453" s="175" t="b">
        <f>OR(AD453:AE453)</f>
        <v>0</v>
      </c>
      <c r="AD453" s="175" t="b">
        <v>0</v>
      </c>
      <c r="AE453" s="175" t="b">
        <f>AND(NOT(ISBLANK(W453)),LEN(X453)=0)</f>
        <v>0</v>
      </c>
      <c r="AL453" s="311" t="str">
        <f>SUBSTITUTE(SUBSTITUTE(SUBSTITUTE("dpa"&amp;$B453&amp;$C453&amp;$D453&amp;$E453&amp;$F453,".","_"),"(","_"),")","")</f>
        <v>dpa611_1</v>
      </c>
      <c r="AM453" s="311" t="str">
        <f>M453</f>
        <v>10 Max</v>
      </c>
      <c r="AN453" s="311" t="str">
        <f>SUBSTITUTE(SUBSTITUTE(SUBSTITUTE("dpc"&amp;$B453&amp;$C453&amp;$D453&amp;$E453&amp;$F453,".","_"),"(","_"),")","")</f>
        <v>dpc611_1</v>
      </c>
      <c r="AO453" s="311">
        <f ca="1">O453</f>
        <v>0</v>
      </c>
      <c r="AP453" s="311" t="str">
        <f t="shared" ref="AP453" si="106">SUBSTITUTE(SUBSTITUTE(SUBSTITUTE("dch"&amp;$B453&amp;$C453&amp;$D453&amp;$E453&amp;$F453,".","_"),"(","_"),")","")</f>
        <v>dch611_1</v>
      </c>
      <c r="AQ453" s="311">
        <f>W453</f>
        <v>0</v>
      </c>
      <c r="AR453" s="1059" t="str">
        <f>SUBSTITUTE(SUBSTITUTE(SUBSTITUTE("dnt"&amp;$B453&amp;$C453&amp;$D453&amp;$E453&amp;$F453,".","_"),"(","_"),")","")</f>
        <v>dnt611_1</v>
      </c>
      <c r="AS453" s="311">
        <f>X453</f>
        <v>0</v>
      </c>
    </row>
    <row r="454" spans="1:51" x14ac:dyDescent="0.3">
      <c r="B454" s="80">
        <v>611.1</v>
      </c>
      <c r="C454" s="21"/>
      <c r="D454" s="21"/>
      <c r="E454" s="21"/>
      <c r="F454" s="21"/>
      <c r="G454" s="21"/>
      <c r="H454" s="1084"/>
      <c r="I454" s="66"/>
      <c r="J454" s="4"/>
      <c r="K454" s="86"/>
      <c r="L454" s="1292"/>
      <c r="M454" s="1335"/>
      <c r="N454" s="4"/>
      <c r="O454" s="1310"/>
      <c r="P454" s="440"/>
      <c r="Q454" s="440"/>
      <c r="X454" s="1303"/>
    </row>
    <row r="455" spans="1:51" x14ac:dyDescent="0.3">
      <c r="B455" s="80">
        <v>611.1</v>
      </c>
      <c r="C455" s="21"/>
      <c r="D455" s="21"/>
      <c r="E455" s="21"/>
      <c r="F455" s="21"/>
      <c r="G455" s="21"/>
      <c r="H455" s="1084"/>
      <c r="I455" s="66"/>
      <c r="J455" s="4"/>
      <c r="K455" s="86"/>
      <c r="L455" s="1292"/>
      <c r="M455" s="1335"/>
      <c r="N455" s="4"/>
      <c r="O455" s="1310"/>
      <c r="P455" s="440"/>
      <c r="Q455" s="440"/>
      <c r="X455" s="1303"/>
    </row>
    <row r="456" spans="1:51" x14ac:dyDescent="0.3">
      <c r="B456" s="80">
        <v>611.1</v>
      </c>
      <c r="C456" s="21"/>
      <c r="D456" s="21"/>
      <c r="E456" s="21"/>
      <c r="F456" s="21"/>
      <c r="G456" s="21"/>
      <c r="H456" s="1084"/>
      <c r="I456" s="66"/>
      <c r="J456" s="4"/>
      <c r="K456" s="86"/>
      <c r="L456" s="1292"/>
      <c r="M456" s="1335"/>
      <c r="N456" s="4"/>
      <c r="O456" s="1310"/>
      <c r="P456" s="440"/>
      <c r="Q456" s="440"/>
      <c r="X456" s="1303"/>
    </row>
    <row r="457" spans="1:51" x14ac:dyDescent="0.3">
      <c r="B457" s="80">
        <v>611.1</v>
      </c>
      <c r="C457" s="21"/>
      <c r="D457" s="21"/>
      <c r="E457" s="21"/>
      <c r="F457" s="21"/>
      <c r="G457" s="21"/>
      <c r="H457" s="1084"/>
      <c r="I457" s="66"/>
      <c r="J457" s="4"/>
      <c r="K457" s="86"/>
      <c r="L457" s="1292"/>
      <c r="M457" s="1335"/>
      <c r="N457" s="4"/>
      <c r="O457" s="1310"/>
      <c r="P457" s="440"/>
      <c r="Q457" s="440"/>
      <c r="X457" s="1303"/>
    </row>
    <row r="458" spans="1:51" x14ac:dyDescent="0.3">
      <c r="B458" s="80">
        <v>611.1</v>
      </c>
      <c r="C458" s="21"/>
      <c r="D458" s="21"/>
      <c r="E458" s="21"/>
      <c r="F458" s="21"/>
      <c r="G458" s="21"/>
      <c r="H458" s="1084"/>
      <c r="I458" s="66"/>
      <c r="J458" s="4"/>
      <c r="K458" s="86"/>
      <c r="L458" s="354" t="s">
        <v>783</v>
      </c>
      <c r="M458" s="1335"/>
      <c r="N458" s="4"/>
      <c r="O458" s="1310"/>
      <c r="P458" s="440"/>
      <c r="Q458" s="440"/>
      <c r="X458" s="1303"/>
      <c r="AX458" s="175"/>
      <c r="AY458" s="175"/>
    </row>
    <row r="459" spans="1:51" s="175" customFormat="1" x14ac:dyDescent="0.3">
      <c r="A459" s="18"/>
      <c r="B459" s="80">
        <v>611.1</v>
      </c>
      <c r="C459" s="21"/>
      <c r="D459" s="21"/>
      <c r="E459" s="21"/>
      <c r="F459" s="21"/>
      <c r="G459" s="21"/>
      <c r="H459" s="1084"/>
      <c r="I459" s="66"/>
      <c r="J459" s="4"/>
      <c r="K459" s="86"/>
      <c r="L459" s="1349" t="s">
        <v>3340</v>
      </c>
      <c r="M459" s="1335"/>
      <c r="N459" s="4"/>
      <c r="O459" s="1310"/>
      <c r="P459" s="440"/>
      <c r="Q459" s="440"/>
      <c r="X459" s="1303"/>
      <c r="Y459" s="1107"/>
      <c r="AA459" s="1110"/>
    </row>
    <row r="460" spans="1:51" s="175" customFormat="1" ht="15" thickBot="1" x14ac:dyDescent="0.35">
      <c r="A460" s="18"/>
      <c r="B460" s="80">
        <v>611.1</v>
      </c>
      <c r="C460" s="21"/>
      <c r="D460" s="21"/>
      <c r="E460" s="21"/>
      <c r="F460" s="21"/>
      <c r="G460" s="21"/>
      <c r="H460" s="1084"/>
      <c r="I460" s="66"/>
      <c r="J460" s="4"/>
      <c r="K460" s="86"/>
      <c r="L460" s="1357"/>
      <c r="M460" s="1335"/>
      <c r="N460" s="4"/>
      <c r="O460" s="1310"/>
      <c r="P460" s="440"/>
      <c r="Q460" s="440"/>
      <c r="X460" s="1337"/>
      <c r="Y460" s="1107"/>
      <c r="AA460" s="1110"/>
      <c r="AX460" s="65"/>
      <c r="AY460" s="65"/>
    </row>
    <row r="461" spans="1:51" ht="15" thickTop="1" x14ac:dyDescent="0.3">
      <c r="B461" s="80">
        <v>611.20000000000005</v>
      </c>
      <c r="C461" s="21"/>
      <c r="D461" s="21"/>
      <c r="E461" s="21"/>
      <c r="F461" s="21"/>
      <c r="G461" s="21"/>
      <c r="H461" s="1084"/>
      <c r="I461" s="200">
        <v>611.20000000000005</v>
      </c>
      <c r="J461" s="201"/>
      <c r="K461" s="202"/>
      <c r="L461" s="1331" t="s">
        <v>784</v>
      </c>
      <c r="M461" s="1343" t="s">
        <v>548</v>
      </c>
      <c r="N461" s="201"/>
      <c r="O461" s="1336">
        <f>MIN(9,M464*S464*W464+M465*S465*W465+M466*S466*W466+M467*S467*W467+M468*S468*W468+M469*S469*W469+M470*S470*W470)</f>
        <v>0</v>
      </c>
      <c r="P461" s="110"/>
      <c r="Q461" s="110"/>
      <c r="R461" s="110"/>
      <c r="S461" s="110"/>
      <c r="T461" s="110"/>
      <c r="U461" s="110"/>
      <c r="V461" s="110"/>
      <c r="W461" s="110"/>
      <c r="X461" s="110"/>
      <c r="AL461" s="311" t="str">
        <f>SUBSTITUTE(SUBSTITUTE(SUBSTITUTE("dpa"&amp;$B461&amp;$C461&amp;$D461&amp;$E461&amp;$F461,".","_"),"(","_"),")","")</f>
        <v>dpa611_2</v>
      </c>
      <c r="AM461" s="311" t="str">
        <f>M461</f>
        <v>9 Max</v>
      </c>
      <c r="AN461" s="311" t="str">
        <f>SUBSTITUTE(SUBSTITUTE(SUBSTITUTE("dpc"&amp;$B461&amp;$C461&amp;$D461&amp;$E461&amp;$F461,".","_"),"(","_"),")","")</f>
        <v>dpc611_2</v>
      </c>
      <c r="AO461" s="311">
        <f>O461</f>
        <v>0</v>
      </c>
    </row>
    <row r="462" spans="1:51" x14ac:dyDescent="0.3">
      <c r="B462" s="80">
        <v>611.20000000000005</v>
      </c>
      <c r="C462" s="21"/>
      <c r="D462" s="21"/>
      <c r="E462" s="21"/>
      <c r="F462" s="21"/>
      <c r="G462" s="21"/>
      <c r="H462" s="1084"/>
      <c r="I462" s="141"/>
      <c r="J462" s="140"/>
      <c r="K462" s="98"/>
      <c r="L462" s="1313"/>
      <c r="M462" s="1318"/>
      <c r="N462" s="140"/>
      <c r="O462" s="1308"/>
      <c r="P462" s="97"/>
      <c r="Q462" s="97"/>
      <c r="R462" s="97"/>
      <c r="S462" s="97"/>
      <c r="T462" s="97"/>
      <c r="U462" s="97"/>
      <c r="V462" s="97"/>
      <c r="W462" s="97"/>
      <c r="X462" s="97"/>
    </row>
    <row r="463" spans="1:51" x14ac:dyDescent="0.3">
      <c r="B463" s="80">
        <v>611.20000000000005</v>
      </c>
      <c r="C463" s="21"/>
      <c r="D463" s="21"/>
      <c r="E463" s="21"/>
      <c r="F463" s="21"/>
      <c r="G463" s="21"/>
      <c r="H463" s="1084"/>
      <c r="I463" s="141"/>
      <c r="J463" s="140"/>
      <c r="K463" s="98"/>
      <c r="L463" s="1313"/>
      <c r="M463" s="1318"/>
      <c r="N463" s="140"/>
      <c r="O463" s="1308"/>
      <c r="P463" s="97"/>
      <c r="Q463" s="97"/>
      <c r="R463" s="97"/>
      <c r="S463" s="97"/>
      <c r="T463" s="97"/>
      <c r="U463" s="97"/>
      <c r="V463" s="97"/>
      <c r="W463" s="97"/>
      <c r="X463" s="97"/>
    </row>
    <row r="464" spans="1:51" x14ac:dyDescent="0.3">
      <c r="B464" s="80">
        <v>611.20000000000005</v>
      </c>
      <c r="C464" s="21"/>
      <c r="D464" s="21"/>
      <c r="E464" s="21" t="s">
        <v>271</v>
      </c>
      <c r="F464" s="21"/>
      <c r="G464" s="21"/>
      <c r="H464" s="1084"/>
      <c r="I464" s="66"/>
      <c r="J464" s="231" t="s">
        <v>271</v>
      </c>
      <c r="K464" s="193"/>
      <c r="L464" s="345" t="s">
        <v>785</v>
      </c>
      <c r="M464" s="520">
        <v>3</v>
      </c>
      <c r="N464" s="4"/>
      <c r="O464" s="154"/>
      <c r="P464" s="440" t="b">
        <v>1</v>
      </c>
      <c r="Q464" s="440" t="b">
        <v>1</v>
      </c>
      <c r="R464" s="137" t="b">
        <v>0</v>
      </c>
      <c r="S464" s="150" t="b">
        <v>1</v>
      </c>
      <c r="T464" s="175" t="b">
        <v>0</v>
      </c>
      <c r="W464" s="25"/>
      <c r="X464" s="176"/>
      <c r="AC464" s="145" t="b">
        <f t="shared" ref="AC464:AC470" si="107">OR(AD464:AE464)</f>
        <v>0</v>
      </c>
      <c r="AD464" s="145" t="b">
        <f t="shared" ref="AD464:AD470" si="108">T464</f>
        <v>0</v>
      </c>
      <c r="AE464" s="145" t="b">
        <v>0</v>
      </c>
      <c r="AL464" s="311" t="str">
        <f t="shared" ref="AL464:AL470" si="109">SUBSTITUTE(SUBSTITUTE(SUBSTITUTE("dpa"&amp;$B464&amp;$C464&amp;$D464&amp;$E464&amp;$F464,".","_"),"(","_"),")","")</f>
        <v>dpa611_2_1</v>
      </c>
      <c r="AM464" s="311">
        <f t="shared" ref="AM464:AM470" si="110">M464</f>
        <v>3</v>
      </c>
      <c r="AP464" s="311" t="str">
        <f t="shared" ref="AP464:AP470" si="111">SUBSTITUTE(SUBSTITUTE(SUBSTITUTE("dch"&amp;$B464&amp;$C464&amp;$D464&amp;$E464&amp;$F464,".","_"),"(","_"),")","")</f>
        <v>dch611_2_1</v>
      </c>
      <c r="AQ464" s="311">
        <f t="shared" ref="AQ464:AQ470" si="112">W464</f>
        <v>0</v>
      </c>
      <c r="AR464" s="1059" t="str">
        <f t="shared" ref="AR464:AR470" si="113">SUBSTITUTE(SUBSTITUTE(SUBSTITUTE("dnt"&amp;$B464&amp;$C464&amp;$D464&amp;$E464&amp;$F464,".","_"),"(","_"),")","")</f>
        <v>dnt611_2_1</v>
      </c>
      <c r="AS464" s="311">
        <f t="shared" ref="AS464:AS470" si="114">X464</f>
        <v>0</v>
      </c>
    </row>
    <row r="465" spans="1:51" x14ac:dyDescent="0.3">
      <c r="B465" s="80">
        <v>611.20000000000005</v>
      </c>
      <c r="C465" s="21"/>
      <c r="D465" s="21"/>
      <c r="E465" s="21" t="s">
        <v>273</v>
      </c>
      <c r="F465" s="21"/>
      <c r="G465" s="21"/>
      <c r="H465" s="1084"/>
      <c r="I465" s="66"/>
      <c r="J465" s="233" t="s">
        <v>273</v>
      </c>
      <c r="K465" s="234"/>
      <c r="L465" s="365" t="s">
        <v>786</v>
      </c>
      <c r="M465" s="532">
        <v>3</v>
      </c>
      <c r="N465" s="4"/>
      <c r="O465" s="154"/>
      <c r="P465" s="440" t="b">
        <v>1</v>
      </c>
      <c r="Q465" s="440" t="b">
        <v>1</v>
      </c>
      <c r="R465" s="137" t="b">
        <v>0</v>
      </c>
      <c r="S465" s="150" t="b">
        <v>1</v>
      </c>
      <c r="T465" s="175" t="b">
        <v>0</v>
      </c>
      <c r="W465" s="25"/>
      <c r="X465" s="176"/>
      <c r="AC465" s="145" t="b">
        <f t="shared" si="107"/>
        <v>0</v>
      </c>
      <c r="AD465" s="145" t="b">
        <f t="shared" si="108"/>
        <v>0</v>
      </c>
      <c r="AE465" s="145" t="b">
        <v>0</v>
      </c>
      <c r="AL465" s="311" t="str">
        <f t="shared" si="109"/>
        <v>dpa611_2_2</v>
      </c>
      <c r="AM465" s="311">
        <f t="shared" si="110"/>
        <v>3</v>
      </c>
      <c r="AP465" s="311" t="str">
        <f t="shared" si="111"/>
        <v>dch611_2_2</v>
      </c>
      <c r="AQ465" s="311">
        <f t="shared" si="112"/>
        <v>0</v>
      </c>
      <c r="AR465" s="1059" t="str">
        <f t="shared" si="113"/>
        <v>dnt611_2_2</v>
      </c>
      <c r="AS465" s="311">
        <f t="shared" si="114"/>
        <v>0</v>
      </c>
    </row>
    <row r="466" spans="1:51" x14ac:dyDescent="0.3">
      <c r="B466" s="80">
        <v>611.20000000000005</v>
      </c>
      <c r="C466" s="21"/>
      <c r="D466" s="21"/>
      <c r="E466" s="21" t="s">
        <v>275</v>
      </c>
      <c r="F466" s="21"/>
      <c r="G466" s="21"/>
      <c r="H466" s="1084"/>
      <c r="I466" s="66"/>
      <c r="J466" s="233" t="s">
        <v>275</v>
      </c>
      <c r="K466" s="234"/>
      <c r="L466" s="365" t="s">
        <v>787</v>
      </c>
      <c r="M466" s="532">
        <v>3</v>
      </c>
      <c r="N466" s="4"/>
      <c r="O466" s="154"/>
      <c r="P466" s="440" t="b">
        <v>1</v>
      </c>
      <c r="Q466" s="440" t="b">
        <v>1</v>
      </c>
      <c r="R466" s="137" t="b">
        <v>0</v>
      </c>
      <c r="S466" s="150" t="b">
        <v>1</v>
      </c>
      <c r="T466" s="175" t="b">
        <v>0</v>
      </c>
      <c r="W466" s="25"/>
      <c r="X466" s="176"/>
      <c r="AC466" s="145" t="b">
        <f t="shared" si="107"/>
        <v>0</v>
      </c>
      <c r="AD466" s="145" t="b">
        <f t="shared" si="108"/>
        <v>0</v>
      </c>
      <c r="AE466" s="145" t="b">
        <v>0</v>
      </c>
      <c r="AL466" s="311" t="str">
        <f t="shared" si="109"/>
        <v>dpa611_2_3</v>
      </c>
      <c r="AM466" s="311">
        <f t="shared" si="110"/>
        <v>3</v>
      </c>
      <c r="AP466" s="311" t="str">
        <f t="shared" si="111"/>
        <v>dch611_2_3</v>
      </c>
      <c r="AQ466" s="311">
        <f t="shared" si="112"/>
        <v>0</v>
      </c>
      <c r="AR466" s="1059" t="str">
        <f t="shared" si="113"/>
        <v>dnt611_2_3</v>
      </c>
      <c r="AS466" s="311">
        <f t="shared" si="114"/>
        <v>0</v>
      </c>
    </row>
    <row r="467" spans="1:51" x14ac:dyDescent="0.3">
      <c r="B467" s="80">
        <v>611.20000000000005</v>
      </c>
      <c r="C467" s="21"/>
      <c r="D467" s="21"/>
      <c r="E467" s="21" t="s">
        <v>285</v>
      </c>
      <c r="F467" s="21"/>
      <c r="G467" s="21"/>
      <c r="H467" s="1084"/>
      <c r="I467" s="66"/>
      <c r="J467" s="233" t="s">
        <v>285</v>
      </c>
      <c r="K467" s="234"/>
      <c r="L467" s="365" t="s">
        <v>788</v>
      </c>
      <c r="M467" s="532">
        <v>3</v>
      </c>
      <c r="N467" s="4"/>
      <c r="O467" s="154"/>
      <c r="P467" s="440" t="b">
        <v>1</v>
      </c>
      <c r="Q467" s="440" t="b">
        <v>1</v>
      </c>
      <c r="R467" s="137" t="b">
        <v>0</v>
      </c>
      <c r="S467" s="150" t="b">
        <v>1</v>
      </c>
      <c r="T467" s="175" t="b">
        <v>0</v>
      </c>
      <c r="W467" s="25"/>
      <c r="X467" s="176"/>
      <c r="AC467" s="145" t="b">
        <f t="shared" si="107"/>
        <v>0</v>
      </c>
      <c r="AD467" s="145" t="b">
        <f t="shared" si="108"/>
        <v>0</v>
      </c>
      <c r="AE467" s="145" t="b">
        <v>0</v>
      </c>
      <c r="AL467" s="311" t="str">
        <f t="shared" si="109"/>
        <v>dpa611_2_4</v>
      </c>
      <c r="AM467" s="311">
        <f t="shared" si="110"/>
        <v>3</v>
      </c>
      <c r="AP467" s="311" t="str">
        <f t="shared" si="111"/>
        <v>dch611_2_4</v>
      </c>
      <c r="AQ467" s="311">
        <f t="shared" si="112"/>
        <v>0</v>
      </c>
      <c r="AR467" s="1059" t="str">
        <f t="shared" si="113"/>
        <v>dnt611_2_4</v>
      </c>
      <c r="AS467" s="311">
        <f t="shared" si="114"/>
        <v>0</v>
      </c>
    </row>
    <row r="468" spans="1:51" x14ac:dyDescent="0.3">
      <c r="B468" s="80">
        <v>611.20000000000005</v>
      </c>
      <c r="C468" s="21"/>
      <c r="D468" s="21"/>
      <c r="E468" s="21" t="s">
        <v>291</v>
      </c>
      <c r="F468" s="21"/>
      <c r="G468" s="21"/>
      <c r="H468" s="1084"/>
      <c r="I468" s="66"/>
      <c r="J468" s="233" t="s">
        <v>291</v>
      </c>
      <c r="K468" s="234"/>
      <c r="L468" s="365" t="s">
        <v>789</v>
      </c>
      <c r="M468" s="532">
        <v>3</v>
      </c>
      <c r="N468" s="4"/>
      <c r="O468" s="154"/>
      <c r="P468" s="440" t="b">
        <v>1</v>
      </c>
      <c r="Q468" s="440" t="b">
        <v>1</v>
      </c>
      <c r="R468" s="137" t="b">
        <v>0</v>
      </c>
      <c r="S468" s="150" t="b">
        <v>1</v>
      </c>
      <c r="T468" s="175" t="b">
        <v>0</v>
      </c>
      <c r="W468" s="25"/>
      <c r="X468" s="176"/>
      <c r="AC468" s="145" t="b">
        <f t="shared" si="107"/>
        <v>0</v>
      </c>
      <c r="AD468" s="145" t="b">
        <f t="shared" si="108"/>
        <v>0</v>
      </c>
      <c r="AE468" s="145" t="b">
        <v>0</v>
      </c>
      <c r="AL468" s="311" t="str">
        <f t="shared" si="109"/>
        <v>dpa611_2_5</v>
      </c>
      <c r="AM468" s="311">
        <f t="shared" si="110"/>
        <v>3</v>
      </c>
      <c r="AP468" s="311" t="str">
        <f t="shared" si="111"/>
        <v>dch611_2_5</v>
      </c>
      <c r="AQ468" s="311">
        <f t="shared" si="112"/>
        <v>0</v>
      </c>
      <c r="AR468" s="1059" t="str">
        <f t="shared" si="113"/>
        <v>dnt611_2_5</v>
      </c>
      <c r="AS468" s="311">
        <f t="shared" si="114"/>
        <v>0</v>
      </c>
    </row>
    <row r="469" spans="1:51" x14ac:dyDescent="0.3">
      <c r="B469" s="80">
        <v>611.20000000000005</v>
      </c>
      <c r="C469" s="21"/>
      <c r="D469" s="21"/>
      <c r="E469" s="21" t="s">
        <v>293</v>
      </c>
      <c r="F469" s="21"/>
      <c r="G469" s="21"/>
      <c r="H469" s="1084"/>
      <c r="I469" s="66"/>
      <c r="J469" s="233" t="s">
        <v>293</v>
      </c>
      <c r="K469" s="234"/>
      <c r="L469" s="365" t="s">
        <v>790</v>
      </c>
      <c r="M469" s="532">
        <v>3</v>
      </c>
      <c r="N469" s="4"/>
      <c r="O469" s="154"/>
      <c r="P469" s="440" t="b">
        <v>1</v>
      </c>
      <c r="Q469" s="440" t="b">
        <v>1</v>
      </c>
      <c r="R469" s="137" t="b">
        <v>0</v>
      </c>
      <c r="S469" s="150" t="b">
        <v>1</v>
      </c>
      <c r="T469" s="175" t="b">
        <v>0</v>
      </c>
      <c r="W469" s="25"/>
      <c r="X469" s="176"/>
      <c r="AC469" s="145" t="b">
        <f t="shared" si="107"/>
        <v>0</v>
      </c>
      <c r="AD469" s="145" t="b">
        <f t="shared" si="108"/>
        <v>0</v>
      </c>
      <c r="AE469" s="145" t="b">
        <v>0</v>
      </c>
      <c r="AL469" s="311" t="str">
        <f t="shared" si="109"/>
        <v>dpa611_2_6</v>
      </c>
      <c r="AM469" s="311">
        <f t="shared" si="110"/>
        <v>3</v>
      </c>
      <c r="AP469" s="311" t="str">
        <f t="shared" si="111"/>
        <v>dch611_2_6</v>
      </c>
      <c r="AQ469" s="311">
        <f t="shared" si="112"/>
        <v>0</v>
      </c>
      <c r="AR469" s="1059" t="str">
        <f t="shared" si="113"/>
        <v>dnt611_2_6</v>
      </c>
      <c r="AS469" s="311">
        <f t="shared" si="114"/>
        <v>0</v>
      </c>
    </row>
    <row r="470" spans="1:51" x14ac:dyDescent="0.3">
      <c r="B470" s="80">
        <v>611.20000000000005</v>
      </c>
      <c r="C470" s="21"/>
      <c r="D470" s="21"/>
      <c r="E470" s="21" t="s">
        <v>405</v>
      </c>
      <c r="F470" s="21"/>
      <c r="G470" s="21"/>
      <c r="H470" s="1084"/>
      <c r="I470" s="66"/>
      <c r="J470" s="27" t="s">
        <v>405</v>
      </c>
      <c r="K470" s="86"/>
      <c r="L470" s="1329" t="s">
        <v>791</v>
      </c>
      <c r="M470" s="1335">
        <v>3</v>
      </c>
      <c r="N470" s="4"/>
      <c r="O470" s="154"/>
      <c r="P470" s="440" t="b">
        <v>1</v>
      </c>
      <c r="Q470" s="440" t="b">
        <v>1</v>
      </c>
      <c r="R470" s="137" t="b">
        <v>0</v>
      </c>
      <c r="S470" s="150" t="b">
        <v>1</v>
      </c>
      <c r="T470" s="175" t="b">
        <v>0</v>
      </c>
      <c r="W470" s="25"/>
      <c r="X470" s="1303"/>
      <c r="AC470" s="145" t="b">
        <f t="shared" si="107"/>
        <v>0</v>
      </c>
      <c r="AD470" s="145" t="b">
        <f t="shared" si="108"/>
        <v>0</v>
      </c>
      <c r="AE470" s="145" t="b">
        <v>0</v>
      </c>
      <c r="AL470" s="311" t="str">
        <f t="shared" si="109"/>
        <v>dpa611_2_7</v>
      </c>
      <c r="AM470" s="311">
        <f t="shared" si="110"/>
        <v>3</v>
      </c>
      <c r="AP470" s="311" t="str">
        <f t="shared" si="111"/>
        <v>dch611_2_7</v>
      </c>
      <c r="AQ470" s="311">
        <f t="shared" si="112"/>
        <v>0</v>
      </c>
      <c r="AR470" s="1059" t="str">
        <f t="shared" si="113"/>
        <v>dnt611_2_7</v>
      </c>
      <c r="AS470" s="311">
        <f t="shared" si="114"/>
        <v>0</v>
      </c>
    </row>
    <row r="471" spans="1:51" ht="15" thickBot="1" x14ac:dyDescent="0.35">
      <c r="B471" s="80">
        <v>611.20000000000005</v>
      </c>
      <c r="C471" s="21"/>
      <c r="D471" s="21"/>
      <c r="E471" s="21" t="s">
        <v>405</v>
      </c>
      <c r="F471" s="21"/>
      <c r="G471" s="21"/>
      <c r="H471" s="1084"/>
      <c r="I471" s="66"/>
      <c r="J471" s="27"/>
      <c r="K471" s="86"/>
      <c r="L471" s="1329"/>
      <c r="M471" s="1335"/>
      <c r="N471" s="4"/>
      <c r="O471" s="154"/>
      <c r="P471" s="440"/>
      <c r="Q471" s="440"/>
      <c r="X471" s="1337"/>
    </row>
    <row r="472" spans="1:51" ht="15" thickTop="1" x14ac:dyDescent="0.3">
      <c r="B472" s="80">
        <v>611.29999999999995</v>
      </c>
      <c r="C472" s="21"/>
      <c r="D472" s="21"/>
      <c r="E472" s="21"/>
      <c r="F472" s="21"/>
      <c r="G472" s="21"/>
      <c r="H472" s="1084"/>
      <c r="I472" s="200">
        <v>611.29999999999995</v>
      </c>
      <c r="J472" s="222"/>
      <c r="K472" s="202"/>
      <c r="L472" s="1331" t="s">
        <v>792</v>
      </c>
      <c r="M472" s="1343" t="s">
        <v>571</v>
      </c>
      <c r="N472" s="201"/>
      <c r="O472" s="1336">
        <f>MIN(12,M474*S474*W474+M479*S479*W479+M483*S483*W483+M485*S485*W485+M487*S487*W487+M488*S488*W488+M489*S489*W489+M493*S493*W493+M495*S495*W495)</f>
        <v>1</v>
      </c>
      <c r="P472" s="110"/>
      <c r="Q472" s="110"/>
      <c r="R472" s="110"/>
      <c r="S472" s="110"/>
      <c r="T472" s="110"/>
      <c r="U472" s="110"/>
      <c r="V472" s="110"/>
      <c r="W472" s="110"/>
      <c r="X472" s="110"/>
      <c r="AL472" s="311" t="str">
        <f>SUBSTITUTE(SUBSTITUTE(SUBSTITUTE("dpa"&amp;$B472&amp;$C472&amp;$D472&amp;$E472&amp;$F472,".","_"),"(","_"),")","")</f>
        <v>dpa611_3</v>
      </c>
      <c r="AM472" s="311" t="str">
        <f>M472</f>
        <v>12 Max</v>
      </c>
      <c r="AN472" s="311" t="str">
        <f>SUBSTITUTE(SUBSTITUTE(SUBSTITUTE("dpc"&amp;$B472&amp;$C472&amp;$D472&amp;$E472&amp;$F472,".","_"),"(","_"),")","")</f>
        <v>dpc611_3</v>
      </c>
      <c r="AO472" s="311">
        <f>O472</f>
        <v>1</v>
      </c>
    </row>
    <row r="473" spans="1:51" x14ac:dyDescent="0.3">
      <c r="B473" s="80">
        <v>611.29999999999995</v>
      </c>
      <c r="C473" s="21"/>
      <c r="D473" s="21"/>
      <c r="E473" s="21"/>
      <c r="F473" s="21"/>
      <c r="G473" s="21"/>
      <c r="H473" s="1084"/>
      <c r="I473" s="141"/>
      <c r="J473" s="140"/>
      <c r="K473" s="98"/>
      <c r="L473" s="1313"/>
      <c r="M473" s="1318"/>
      <c r="N473" s="140"/>
      <c r="O473" s="1308"/>
      <c r="P473" s="97"/>
      <c r="Q473" s="97"/>
      <c r="R473" s="97"/>
      <c r="S473" s="97"/>
      <c r="T473" s="97"/>
      <c r="U473" s="97"/>
      <c r="V473" s="97"/>
      <c r="W473" s="97"/>
      <c r="X473" s="97"/>
    </row>
    <row r="474" spans="1:51" x14ac:dyDescent="0.3">
      <c r="B474" s="80">
        <v>611.29999999999995</v>
      </c>
      <c r="C474" s="21"/>
      <c r="D474" s="21"/>
      <c r="E474" s="21" t="s">
        <v>271</v>
      </c>
      <c r="F474" s="21"/>
      <c r="G474" s="21"/>
      <c r="H474" s="1084"/>
      <c r="I474" s="66"/>
      <c r="J474" s="203" t="s">
        <v>271</v>
      </c>
      <c r="K474" s="98"/>
      <c r="L474" s="1305" t="s">
        <v>793</v>
      </c>
      <c r="M474" s="1318">
        <v>3</v>
      </c>
      <c r="N474" s="4"/>
      <c r="O474" s="154"/>
      <c r="P474" s="440" t="b">
        <v>1</v>
      </c>
      <c r="Q474" s="440" t="b">
        <v>1</v>
      </c>
      <c r="R474" s="137" t="b">
        <v>0</v>
      </c>
      <c r="S474" s="137" t="b">
        <v>1</v>
      </c>
      <c r="T474" s="137" t="b">
        <v>0</v>
      </c>
      <c r="W474" s="25"/>
      <c r="X474" s="1303"/>
      <c r="AL474" s="311" t="str">
        <f>SUBSTITUTE(SUBSTITUTE(SUBSTITUTE("dpa"&amp;$B474&amp;$C474&amp;$D474&amp;$E474&amp;$F474,".","_"),"(","_"),")","")</f>
        <v>dpa611_3_1</v>
      </c>
      <c r="AM474" s="311">
        <f>M474</f>
        <v>3</v>
      </c>
      <c r="AP474" s="311" t="str">
        <f t="shared" ref="AP474" si="115">SUBSTITUTE(SUBSTITUTE(SUBSTITUTE("dch"&amp;$B474&amp;$C474&amp;$D474&amp;$E474&amp;$F474,".","_"),"(","_"),")","")</f>
        <v>dch611_3_1</v>
      </c>
      <c r="AQ474" s="311">
        <f>W474</f>
        <v>0</v>
      </c>
      <c r="AR474" s="1059" t="str">
        <f>SUBSTITUTE(SUBSTITUTE(SUBSTITUTE("dnt"&amp;$B474&amp;$C474&amp;$D474&amp;$E474&amp;$F474,".","_"),"(","_"),")","")</f>
        <v>dnt611_3_1</v>
      </c>
      <c r="AS474" s="311">
        <f>X474</f>
        <v>0</v>
      </c>
    </row>
    <row r="475" spans="1:51" x14ac:dyDescent="0.3">
      <c r="B475" s="80">
        <v>611.29999999999995</v>
      </c>
      <c r="C475" s="21"/>
      <c r="D475" s="21"/>
      <c r="E475" s="21" t="s">
        <v>271</v>
      </c>
      <c r="F475" s="21"/>
      <c r="G475" s="21"/>
      <c r="H475" s="1084"/>
      <c r="I475" s="66"/>
      <c r="J475" s="140"/>
      <c r="K475" s="98"/>
      <c r="L475" s="1305"/>
      <c r="M475" s="1318"/>
      <c r="N475" s="4"/>
      <c r="O475" s="154"/>
      <c r="P475" s="440"/>
      <c r="Q475" s="440"/>
      <c r="X475" s="1303"/>
    </row>
    <row r="476" spans="1:51" x14ac:dyDescent="0.3">
      <c r="B476" s="80">
        <v>611.29999999999995</v>
      </c>
      <c r="C476" s="21"/>
      <c r="D476" s="21"/>
      <c r="E476" s="21" t="s">
        <v>271</v>
      </c>
      <c r="F476" s="21"/>
      <c r="G476" s="21"/>
      <c r="H476" s="1084"/>
      <c r="I476" s="66"/>
      <c r="J476" s="140"/>
      <c r="K476" s="98"/>
      <c r="L476" s="1305"/>
      <c r="M476" s="1318"/>
      <c r="N476" s="4"/>
      <c r="O476" s="154"/>
      <c r="P476" s="440"/>
      <c r="Q476" s="440"/>
      <c r="X476" s="1303"/>
      <c r="AX476" s="175"/>
      <c r="AY476" s="175"/>
    </row>
    <row r="477" spans="1:51" s="175" customFormat="1" x14ac:dyDescent="0.3">
      <c r="A477" s="18"/>
      <c r="B477" s="80">
        <v>611.29999999999995</v>
      </c>
      <c r="C477" s="21"/>
      <c r="D477" s="21"/>
      <c r="E477" s="21" t="s">
        <v>271</v>
      </c>
      <c r="F477" s="21"/>
      <c r="G477" s="21"/>
      <c r="H477" s="1084"/>
      <c r="I477" s="66"/>
      <c r="J477" s="140"/>
      <c r="K477" s="98"/>
      <c r="L477" s="1305"/>
      <c r="M477" s="1318"/>
      <c r="N477" s="4"/>
      <c r="O477" s="154"/>
      <c r="P477" s="440"/>
      <c r="Q477" s="440"/>
      <c r="X477" s="1303"/>
      <c r="Y477" s="1107"/>
      <c r="AA477" s="1110"/>
      <c r="AX477" s="65"/>
      <c r="AY477" s="65"/>
    </row>
    <row r="478" spans="1:51" x14ac:dyDescent="0.3">
      <c r="B478" s="80">
        <v>611.29999999999995</v>
      </c>
      <c r="C478" s="21"/>
      <c r="D478" s="21"/>
      <c r="E478" s="21" t="s">
        <v>271</v>
      </c>
      <c r="F478" s="21"/>
      <c r="G478" s="21"/>
      <c r="H478" s="1084"/>
      <c r="I478" s="66"/>
      <c r="J478" s="238"/>
      <c r="K478" s="193"/>
      <c r="L478" s="1306"/>
      <c r="M478" s="1319"/>
      <c r="N478" s="4"/>
      <c r="O478" s="154"/>
      <c r="P478" s="440"/>
      <c r="Q478" s="440"/>
      <c r="X478" s="1303"/>
    </row>
    <row r="479" spans="1:51" x14ac:dyDescent="0.3">
      <c r="B479" s="80">
        <v>611.29999999999995</v>
      </c>
      <c r="C479" s="21"/>
      <c r="D479" s="21"/>
      <c r="E479" s="21" t="s">
        <v>273</v>
      </c>
      <c r="F479" s="21"/>
      <c r="G479" s="21"/>
      <c r="H479" s="1084"/>
      <c r="I479" s="66"/>
      <c r="J479" s="237" t="s">
        <v>273</v>
      </c>
      <c r="K479" s="217"/>
      <c r="L479" s="1356" t="s">
        <v>794</v>
      </c>
      <c r="M479" s="1323">
        <v>3</v>
      </c>
      <c r="N479" s="4"/>
      <c r="O479" s="154"/>
      <c r="P479" s="440" t="b">
        <v>1</v>
      </c>
      <c r="Q479" s="440" t="b">
        <v>1</v>
      </c>
      <c r="R479" s="137" t="b">
        <v>0</v>
      </c>
      <c r="S479" s="137" t="b">
        <f>IF(W474=TRUE,TRUE,FALSE)</f>
        <v>0</v>
      </c>
      <c r="T479" s="97" t="b">
        <f>AND(NOT(S479),W479=TRUE)</f>
        <v>0</v>
      </c>
      <c r="W479" s="25"/>
      <c r="X479" s="1303"/>
      <c r="AC479" s="175" t="b">
        <f>OR(AD479:AE479)</f>
        <v>0</v>
      </c>
      <c r="AD479" s="175" t="b">
        <f>T479</f>
        <v>0</v>
      </c>
      <c r="AL479" s="311" t="str">
        <f>SUBSTITUTE(SUBSTITUTE(SUBSTITUTE("dpa"&amp;$B479&amp;$C479&amp;$D479&amp;$E479&amp;$F479,".","_"),"(","_"),")","")</f>
        <v>dpa611_3_2</v>
      </c>
      <c r="AM479" s="311">
        <f>M479</f>
        <v>3</v>
      </c>
      <c r="AP479" s="311" t="str">
        <f t="shared" ref="AP479" si="116">SUBSTITUTE(SUBSTITUTE(SUBSTITUTE("dch"&amp;$B479&amp;$C479&amp;$D479&amp;$E479&amp;$F479,".","_"),"(","_"),")","")</f>
        <v>dch611_3_2</v>
      </c>
      <c r="AQ479" s="311">
        <f>W479</f>
        <v>0</v>
      </c>
      <c r="AR479" s="1059" t="str">
        <f>SUBSTITUTE(SUBSTITUTE(SUBSTITUTE("dnt"&amp;$B479&amp;$C479&amp;$D479&amp;$E479&amp;$F479,".","_"),"(","_"),")","")</f>
        <v>dnt611_3_2</v>
      </c>
      <c r="AS479" s="311">
        <f>X479</f>
        <v>0</v>
      </c>
    </row>
    <row r="480" spans="1:51" x14ac:dyDescent="0.3">
      <c r="B480" s="80">
        <v>611.29999999999995</v>
      </c>
      <c r="C480" s="21"/>
      <c r="D480" s="21"/>
      <c r="E480" s="21" t="s">
        <v>273</v>
      </c>
      <c r="F480" s="21"/>
      <c r="G480" s="21"/>
      <c r="H480" s="1084"/>
      <c r="I480" s="66"/>
      <c r="J480" s="140"/>
      <c r="K480" s="98"/>
      <c r="L480" s="1305"/>
      <c r="M480" s="1318"/>
      <c r="N480" s="4"/>
      <c r="O480" s="154"/>
      <c r="P480" s="440"/>
      <c r="Q480" s="440"/>
      <c r="X480" s="1303"/>
    </row>
    <row r="481" spans="2:45" x14ac:dyDescent="0.3">
      <c r="B481" s="80">
        <v>611.29999999999995</v>
      </c>
      <c r="C481" s="21"/>
      <c r="D481" s="21"/>
      <c r="E481" s="21" t="s">
        <v>273</v>
      </c>
      <c r="F481" s="21"/>
      <c r="G481" s="21"/>
      <c r="H481" s="1084"/>
      <c r="I481" s="66"/>
      <c r="J481" s="140"/>
      <c r="K481" s="98"/>
      <c r="L481" s="1305"/>
      <c r="M481" s="1318"/>
      <c r="N481" s="4"/>
      <c r="O481" s="154"/>
      <c r="P481" s="440"/>
      <c r="Q481" s="440"/>
      <c r="X481" s="1303"/>
    </row>
    <row r="482" spans="2:45" x14ac:dyDescent="0.3">
      <c r="B482" s="80">
        <v>611.29999999999995</v>
      </c>
      <c r="C482" s="21"/>
      <c r="D482" s="21"/>
      <c r="E482" s="21" t="s">
        <v>273</v>
      </c>
      <c r="F482" s="21"/>
      <c r="G482" s="21"/>
      <c r="H482" s="1084"/>
      <c r="I482" s="66"/>
      <c r="J482" s="238"/>
      <c r="K482" s="193"/>
      <c r="L482" s="1306"/>
      <c r="M482" s="1319"/>
      <c r="N482" s="4"/>
      <c r="O482" s="154"/>
      <c r="P482" s="440"/>
      <c r="Q482" s="440"/>
      <c r="X482" s="1303"/>
    </row>
    <row r="483" spans="2:45" x14ac:dyDescent="0.3">
      <c r="B483" s="80">
        <v>611.29999999999995</v>
      </c>
      <c r="C483" s="21"/>
      <c r="D483" s="21"/>
      <c r="E483" s="21" t="s">
        <v>275</v>
      </c>
      <c r="F483" s="21"/>
      <c r="G483" s="21"/>
      <c r="H483" s="1084"/>
      <c r="I483" s="66"/>
      <c r="J483" s="237" t="s">
        <v>275</v>
      </c>
      <c r="K483" s="217"/>
      <c r="L483" s="1356" t="s">
        <v>795</v>
      </c>
      <c r="M483" s="1323">
        <v>3</v>
      </c>
      <c r="N483" s="4"/>
      <c r="O483" s="154"/>
      <c r="P483" s="440" t="b">
        <v>1</v>
      </c>
      <c r="Q483" s="440" t="b">
        <v>1</v>
      </c>
      <c r="R483" s="137" t="b">
        <v>0</v>
      </c>
      <c r="S483" s="175" t="b">
        <f>IF(W474=TRUE,TRUE,FALSE)</f>
        <v>0</v>
      </c>
      <c r="T483" s="97" t="b">
        <f>AND(NOT(S483),W483=TRUE)</f>
        <v>0</v>
      </c>
      <c r="W483" s="25"/>
      <c r="X483" s="1303"/>
      <c r="AC483" s="175" t="b">
        <f>OR(AD483:AE483)</f>
        <v>0</v>
      </c>
      <c r="AD483" s="175" t="b">
        <f>T483</f>
        <v>0</v>
      </c>
      <c r="AL483" s="311" t="str">
        <f>SUBSTITUTE(SUBSTITUTE(SUBSTITUTE("dpa"&amp;$B483&amp;$C483&amp;$D483&amp;$E483&amp;$F483,".","_"),"(","_"),")","")</f>
        <v>dpa611_3_3</v>
      </c>
      <c r="AM483" s="311">
        <f>M483</f>
        <v>3</v>
      </c>
      <c r="AP483" s="311" t="str">
        <f t="shared" ref="AP483" si="117">SUBSTITUTE(SUBSTITUTE(SUBSTITUTE("dch"&amp;$B483&amp;$C483&amp;$D483&amp;$E483&amp;$F483,".","_"),"(","_"),")","")</f>
        <v>dch611_3_3</v>
      </c>
      <c r="AQ483" s="311">
        <f>W483</f>
        <v>0</v>
      </c>
      <c r="AR483" s="1059" t="str">
        <f>SUBSTITUTE(SUBSTITUTE(SUBSTITUTE("dnt"&amp;$B483&amp;$C483&amp;$D483&amp;$E483&amp;$F483,".","_"),"(","_"),")","")</f>
        <v>dnt611_3_3</v>
      </c>
      <c r="AS483" s="311">
        <f>X483</f>
        <v>0</v>
      </c>
    </row>
    <row r="484" spans="2:45" x14ac:dyDescent="0.3">
      <c r="B484" s="80">
        <v>611.29999999999995</v>
      </c>
      <c r="C484" s="21"/>
      <c r="D484" s="21"/>
      <c r="E484" s="21" t="s">
        <v>275</v>
      </c>
      <c r="F484" s="21"/>
      <c r="G484" s="21"/>
      <c r="H484" s="1084"/>
      <c r="I484" s="66"/>
      <c r="J484" s="238"/>
      <c r="K484" s="193"/>
      <c r="L484" s="1306"/>
      <c r="M484" s="1319"/>
      <c r="N484" s="4"/>
      <c r="O484" s="154"/>
      <c r="P484" s="440"/>
      <c r="Q484" s="440"/>
      <c r="X484" s="1303"/>
    </row>
    <row r="485" spans="2:45" x14ac:dyDescent="0.3">
      <c r="B485" s="80">
        <v>611.29999999999995</v>
      </c>
      <c r="C485" s="21"/>
      <c r="D485" s="21"/>
      <c r="E485" s="21" t="s">
        <v>285</v>
      </c>
      <c r="F485" s="21"/>
      <c r="G485" s="21"/>
      <c r="H485" s="1084"/>
      <c r="I485" s="66"/>
      <c r="J485" s="237" t="s">
        <v>285</v>
      </c>
      <c r="K485" s="217"/>
      <c r="L485" s="1356" t="s">
        <v>796</v>
      </c>
      <c r="M485" s="1323">
        <v>1</v>
      </c>
      <c r="N485" s="4"/>
      <c r="O485" s="154"/>
      <c r="P485" s="440" t="b">
        <v>1</v>
      </c>
      <c r="Q485" s="440" t="b">
        <v>0</v>
      </c>
      <c r="R485" s="137" t="b">
        <v>0</v>
      </c>
      <c r="S485" s="137" t="b">
        <v>1</v>
      </c>
      <c r="T485" s="137" t="b">
        <v>0</v>
      </c>
      <c r="W485" s="25"/>
      <c r="X485" s="1303"/>
      <c r="AL485" s="311" t="str">
        <f>SUBSTITUTE(SUBSTITUTE(SUBSTITUTE("dpa"&amp;$B485&amp;$C485&amp;$D485&amp;$E485&amp;$F485,".","_"),"(","_"),")","")</f>
        <v>dpa611_3_4</v>
      </c>
      <c r="AM485" s="311">
        <f>M485</f>
        <v>1</v>
      </c>
      <c r="AP485" s="311" t="str">
        <f t="shared" ref="AP485" si="118">SUBSTITUTE(SUBSTITUTE(SUBSTITUTE("dch"&amp;$B485&amp;$C485&amp;$D485&amp;$E485&amp;$F485,".","_"),"(","_"),")","")</f>
        <v>dch611_3_4</v>
      </c>
      <c r="AQ485" s="311">
        <f>W485</f>
        <v>0</v>
      </c>
      <c r="AR485" s="1059" t="str">
        <f>SUBSTITUTE(SUBSTITUTE(SUBSTITUTE("dnt"&amp;$B485&amp;$C485&amp;$D485&amp;$E485&amp;$F485,".","_"),"(","_"),")","")</f>
        <v>dnt611_3_4</v>
      </c>
      <c r="AS485" s="311">
        <f>X485</f>
        <v>0</v>
      </c>
    </row>
    <row r="486" spans="2:45" x14ac:dyDescent="0.3">
      <c r="B486" s="80">
        <v>611.29999999999995</v>
      </c>
      <c r="C486" s="21"/>
      <c r="D486" s="21"/>
      <c r="E486" s="21" t="s">
        <v>285</v>
      </c>
      <c r="F486" s="21"/>
      <c r="G486" s="21"/>
      <c r="H486" s="1084"/>
      <c r="I486" s="66"/>
      <c r="J486" s="238"/>
      <c r="K486" s="193"/>
      <c r="L486" s="1306"/>
      <c r="M486" s="1319"/>
      <c r="N486" s="4"/>
      <c r="O486" s="154"/>
      <c r="P486" s="440"/>
      <c r="Q486" s="440"/>
      <c r="X486" s="1303"/>
    </row>
    <row r="487" spans="2:45" x14ac:dyDescent="0.3">
      <c r="B487" s="80">
        <v>611.29999999999995</v>
      </c>
      <c r="C487" s="21"/>
      <c r="D487" s="21"/>
      <c r="E487" s="21" t="s">
        <v>291</v>
      </c>
      <c r="F487" s="21"/>
      <c r="G487" s="21"/>
      <c r="H487" s="1084"/>
      <c r="I487" s="66"/>
      <c r="J487" s="233" t="s">
        <v>291</v>
      </c>
      <c r="K487" s="234"/>
      <c r="L487" s="365" t="s">
        <v>797</v>
      </c>
      <c r="M487" s="532">
        <v>1</v>
      </c>
      <c r="N487" s="4"/>
      <c r="O487" s="154"/>
      <c r="P487" s="440" t="b">
        <v>1</v>
      </c>
      <c r="Q487" s="440" t="b">
        <v>1</v>
      </c>
      <c r="R487" s="137" t="b">
        <v>0</v>
      </c>
      <c r="S487" s="137" t="b">
        <v>1</v>
      </c>
      <c r="T487" s="137" t="b">
        <v>0</v>
      </c>
      <c r="W487" s="25"/>
      <c r="X487" s="176"/>
      <c r="AL487" s="311" t="str">
        <f t="shared" ref="AL487:AL489" si="119">SUBSTITUTE(SUBSTITUTE(SUBSTITUTE("dpa"&amp;$B487&amp;$C487&amp;$D487&amp;$E487&amp;$F487,".","_"),"(","_"),")","")</f>
        <v>dpa611_3_5</v>
      </c>
      <c r="AM487" s="311">
        <f>M487</f>
        <v>1</v>
      </c>
      <c r="AP487" s="311" t="str">
        <f t="shared" ref="AP487:AP489" si="120">SUBSTITUTE(SUBSTITUTE(SUBSTITUTE("dch"&amp;$B487&amp;$C487&amp;$D487&amp;$E487&amp;$F487,".","_"),"(","_"),")","")</f>
        <v>dch611_3_5</v>
      </c>
      <c r="AQ487" s="311">
        <f>W487</f>
        <v>0</v>
      </c>
      <c r="AR487" s="1059" t="str">
        <f>SUBSTITUTE(SUBSTITUTE(SUBSTITUTE("dnt"&amp;$B487&amp;$C487&amp;$D487&amp;$E487&amp;$F487,".","_"),"(","_"),")","")</f>
        <v>dnt611_3_5</v>
      </c>
      <c r="AS487" s="311">
        <f>X487</f>
        <v>0</v>
      </c>
    </row>
    <row r="488" spans="2:45" x14ac:dyDescent="0.3">
      <c r="B488" s="80">
        <v>611.29999999999995</v>
      </c>
      <c r="C488" s="21"/>
      <c r="D488" s="21"/>
      <c r="E488" s="21" t="s">
        <v>293</v>
      </c>
      <c r="F488" s="21"/>
      <c r="G488" s="21"/>
      <c r="H488" s="1084"/>
      <c r="I488" s="66"/>
      <c r="J488" s="233" t="s">
        <v>293</v>
      </c>
      <c r="K488" s="234"/>
      <c r="L488" s="365" t="s">
        <v>798</v>
      </c>
      <c r="M488" s="532">
        <v>1</v>
      </c>
      <c r="N488" s="4"/>
      <c r="O488" s="154"/>
      <c r="P488" s="440" t="b">
        <v>1</v>
      </c>
      <c r="Q488" s="440" t="b">
        <v>1</v>
      </c>
      <c r="R488" s="137" t="b">
        <v>0</v>
      </c>
      <c r="S488" s="137" t="b">
        <v>1</v>
      </c>
      <c r="T488" s="137" t="b">
        <v>0</v>
      </c>
      <c r="W488" s="25"/>
      <c r="X488" s="176"/>
      <c r="AL488" s="311" t="str">
        <f t="shared" si="119"/>
        <v>dpa611_3_6</v>
      </c>
      <c r="AM488" s="311">
        <f>M488</f>
        <v>1</v>
      </c>
      <c r="AP488" s="311" t="str">
        <f t="shared" si="120"/>
        <v>dch611_3_6</v>
      </c>
      <c r="AQ488" s="311">
        <f>W488</f>
        <v>0</v>
      </c>
      <c r="AR488" s="1059" t="str">
        <f>SUBSTITUTE(SUBSTITUTE(SUBSTITUTE("dnt"&amp;$B488&amp;$C488&amp;$D488&amp;$E488&amp;$F488,".","_"),"(","_"),")","")</f>
        <v>dnt611_3_6</v>
      </c>
      <c r="AS488" s="311">
        <f>X488</f>
        <v>0</v>
      </c>
    </row>
    <row r="489" spans="2:45" x14ac:dyDescent="0.3">
      <c r="B489" s="80">
        <v>611.29999999999995</v>
      </c>
      <c r="C489" s="21"/>
      <c r="D489" s="21"/>
      <c r="E489" s="21" t="s">
        <v>405</v>
      </c>
      <c r="F489" s="21"/>
      <c r="G489" s="21"/>
      <c r="H489" s="1084"/>
      <c r="I489" s="66"/>
      <c r="J489" s="237" t="s">
        <v>405</v>
      </c>
      <c r="K489" s="217"/>
      <c r="L489" s="1356" t="s">
        <v>799</v>
      </c>
      <c r="M489" s="1323">
        <v>1</v>
      </c>
      <c r="N489" s="4"/>
      <c r="O489" s="154"/>
      <c r="P489" s="440" t="b">
        <v>1</v>
      </c>
      <c r="Q489" s="440" t="b">
        <v>1</v>
      </c>
      <c r="R489" s="137" t="b">
        <v>0</v>
      </c>
      <c r="S489" s="137" t="b">
        <v>1</v>
      </c>
      <c r="T489" s="137" t="b">
        <v>0</v>
      </c>
      <c r="W489" s="25"/>
      <c r="X489" s="1303"/>
      <c r="AL489" s="311" t="str">
        <f t="shared" si="119"/>
        <v>dpa611_3_7</v>
      </c>
      <c r="AM489" s="311">
        <f>M489</f>
        <v>1</v>
      </c>
      <c r="AP489" s="311" t="str">
        <f t="shared" si="120"/>
        <v>dch611_3_7</v>
      </c>
      <c r="AQ489" s="311">
        <f>W489</f>
        <v>0</v>
      </c>
      <c r="AR489" s="1059" t="str">
        <f>SUBSTITUTE(SUBSTITUTE(SUBSTITUTE("dnt"&amp;$B489&amp;$C489&amp;$D489&amp;$E489&amp;$F489,".","_"),"(","_"),")","")</f>
        <v>dnt611_3_7</v>
      </c>
      <c r="AS489" s="311">
        <f>X489</f>
        <v>0</v>
      </c>
    </row>
    <row r="490" spans="2:45" x14ac:dyDescent="0.3">
      <c r="B490" s="80">
        <v>611.29999999999995</v>
      </c>
      <c r="C490" s="21"/>
      <c r="D490" s="21"/>
      <c r="E490" s="21" t="s">
        <v>405</v>
      </c>
      <c r="F490" s="21"/>
      <c r="G490" s="21"/>
      <c r="H490" s="1084"/>
      <c r="I490" s="66"/>
      <c r="J490" s="140"/>
      <c r="K490" s="98"/>
      <c r="L490" s="1305"/>
      <c r="M490" s="1318"/>
      <c r="N490" s="4"/>
      <c r="O490" s="154"/>
      <c r="P490" s="440"/>
      <c r="Q490" s="440"/>
      <c r="X490" s="1303"/>
    </row>
    <row r="491" spans="2:45" x14ac:dyDescent="0.3">
      <c r="B491" s="80">
        <v>611.29999999999995</v>
      </c>
      <c r="C491" s="21"/>
      <c r="D491" s="21"/>
      <c r="E491" s="21" t="s">
        <v>405</v>
      </c>
      <c r="F491" s="21"/>
      <c r="G491" s="21"/>
      <c r="H491" s="1084"/>
      <c r="I491" s="66"/>
      <c r="J491" s="140"/>
      <c r="K491" s="98"/>
      <c r="L491" s="1305"/>
      <c r="M491" s="1318"/>
      <c r="N491" s="4"/>
      <c r="O491" s="154"/>
      <c r="P491" s="440"/>
      <c r="Q491" s="440"/>
      <c r="X491" s="1303"/>
    </row>
    <row r="492" spans="2:45" x14ac:dyDescent="0.3">
      <c r="B492" s="80">
        <v>611.29999999999995</v>
      </c>
      <c r="C492" s="21"/>
      <c r="D492" s="21"/>
      <c r="E492" s="21" t="s">
        <v>405</v>
      </c>
      <c r="F492" s="21"/>
      <c r="G492" s="21"/>
      <c r="H492" s="1084"/>
      <c r="I492" s="66"/>
      <c r="J492" s="238"/>
      <c r="K492" s="193"/>
      <c r="L492" s="1306"/>
      <c r="M492" s="1319"/>
      <c r="N492" s="4"/>
      <c r="O492" s="154"/>
      <c r="P492" s="440"/>
      <c r="Q492" s="440"/>
      <c r="X492" s="1303"/>
    </row>
    <row r="493" spans="2:45" x14ac:dyDescent="0.3">
      <c r="B493" s="80">
        <v>611.29999999999995</v>
      </c>
      <c r="C493" s="21"/>
      <c r="D493" s="21"/>
      <c r="E493" s="21" t="s">
        <v>456</v>
      </c>
      <c r="F493" s="21"/>
      <c r="G493" s="21"/>
      <c r="H493" s="1084"/>
      <c r="I493" s="66"/>
      <c r="J493" s="237" t="s">
        <v>456</v>
      </c>
      <c r="K493" s="217"/>
      <c r="L493" s="1356" t="s">
        <v>800</v>
      </c>
      <c r="M493" s="1323">
        <v>1</v>
      </c>
      <c r="N493" s="4"/>
      <c r="O493" s="154"/>
      <c r="P493" s="440" t="b">
        <v>1</v>
      </c>
      <c r="Q493" s="440" t="b">
        <v>1</v>
      </c>
      <c r="R493" s="137" t="b">
        <v>0</v>
      </c>
      <c r="S493" s="137" t="b">
        <v>1</v>
      </c>
      <c r="T493" s="137" t="b">
        <v>0</v>
      </c>
      <c r="W493" s="25"/>
      <c r="X493" s="1303"/>
      <c r="AL493" s="311" t="str">
        <f>SUBSTITUTE(SUBSTITUTE(SUBSTITUTE("dpa"&amp;$B493&amp;$C493&amp;$D493&amp;$E493&amp;$F493,".","_"),"(","_"),")","")</f>
        <v>dpa611_3_8</v>
      </c>
      <c r="AM493" s="311">
        <f>M493</f>
        <v>1</v>
      </c>
      <c r="AP493" s="311" t="str">
        <f t="shared" ref="AP493" si="121">SUBSTITUTE(SUBSTITUTE(SUBSTITUTE("dch"&amp;$B493&amp;$C493&amp;$D493&amp;$E493&amp;$F493,".","_"),"(","_"),")","")</f>
        <v>dch611_3_8</v>
      </c>
      <c r="AQ493" s="311">
        <f>W493</f>
        <v>0</v>
      </c>
      <c r="AR493" s="1059" t="str">
        <f>SUBSTITUTE(SUBSTITUTE(SUBSTITUTE("dnt"&amp;$B493&amp;$C493&amp;$D493&amp;$E493&amp;$F493,".","_"),"(","_"),")","")</f>
        <v>dnt611_3_8</v>
      </c>
      <c r="AS493" s="311">
        <f>X493</f>
        <v>0</v>
      </c>
    </row>
    <row r="494" spans="2:45" x14ac:dyDescent="0.3">
      <c r="B494" s="80">
        <v>611.29999999999995</v>
      </c>
      <c r="C494" s="21"/>
      <c r="D494" s="21"/>
      <c r="E494" s="21" t="s">
        <v>456</v>
      </c>
      <c r="F494" s="21"/>
      <c r="G494" s="21"/>
      <c r="H494" s="1084"/>
      <c r="I494" s="66"/>
      <c r="J494" s="238"/>
      <c r="K494" s="193"/>
      <c r="L494" s="1306"/>
      <c r="M494" s="1319"/>
      <c r="N494" s="4"/>
      <c r="O494" s="154"/>
      <c r="P494" s="440"/>
      <c r="Q494" s="440"/>
      <c r="X494" s="1303"/>
    </row>
    <row r="495" spans="2:45" x14ac:dyDescent="0.3">
      <c r="B495" s="80">
        <v>611.29999999999995</v>
      </c>
      <c r="C495" s="21"/>
      <c r="D495" s="21"/>
      <c r="E495" s="21" t="s">
        <v>458</v>
      </c>
      <c r="F495" s="21"/>
      <c r="G495" s="21"/>
      <c r="H495" s="1084"/>
      <c r="I495" s="66"/>
      <c r="J495" s="27" t="s">
        <v>458</v>
      </c>
      <c r="K495" s="86"/>
      <c r="L495" s="1329" t="s">
        <v>801</v>
      </c>
      <c r="M495" s="1335">
        <v>1</v>
      </c>
      <c r="N495" s="4"/>
      <c r="O495" s="154"/>
      <c r="P495" s="440" t="b">
        <v>1</v>
      </c>
      <c r="Q495" s="440" t="b">
        <v>1</v>
      </c>
      <c r="R495" s="137" t="b">
        <v>0</v>
      </c>
      <c r="S495" s="137" t="b">
        <v>1</v>
      </c>
      <c r="T495" s="137" t="b">
        <v>0</v>
      </c>
      <c r="W495" s="25" t="b">
        <v>1</v>
      </c>
      <c r="X495" s="1303"/>
      <c r="AL495" s="311" t="str">
        <f>SUBSTITUTE(SUBSTITUTE(SUBSTITUTE("dpa"&amp;$B495&amp;$C495&amp;$D495&amp;$E495&amp;$F495,".","_"),"(","_"),")","")</f>
        <v>dpa611_3_9</v>
      </c>
      <c r="AM495" s="311">
        <f>M495</f>
        <v>1</v>
      </c>
      <c r="AP495" s="311" t="str">
        <f t="shared" ref="AP495" si="122">SUBSTITUTE(SUBSTITUTE(SUBSTITUTE("dch"&amp;$B495&amp;$C495&amp;$D495&amp;$E495&amp;$F495,".","_"),"(","_"),")","")</f>
        <v>dch611_3_9</v>
      </c>
      <c r="AQ495" s="311" t="b">
        <f>W495</f>
        <v>1</v>
      </c>
      <c r="AR495" s="1059" t="str">
        <f>SUBSTITUTE(SUBSTITUTE(SUBSTITUTE("dnt"&amp;$B495&amp;$C495&amp;$D495&amp;$E495&amp;$F495,".","_"),"(","_"),")","")</f>
        <v>dnt611_3_9</v>
      </c>
      <c r="AS495" s="311">
        <f>X495</f>
        <v>0</v>
      </c>
    </row>
    <row r="496" spans="2:45" ht="15" thickBot="1" x14ac:dyDescent="0.35">
      <c r="B496" s="80">
        <v>611.29999999999995</v>
      </c>
      <c r="C496" s="21"/>
      <c r="D496" s="21"/>
      <c r="E496" s="21" t="s">
        <v>458</v>
      </c>
      <c r="F496" s="21"/>
      <c r="G496" s="21"/>
      <c r="H496" s="1084"/>
      <c r="I496" s="66"/>
      <c r="J496" s="4"/>
      <c r="K496" s="86"/>
      <c r="L496" s="1329"/>
      <c r="M496" s="1335"/>
      <c r="N496" s="4"/>
      <c r="O496" s="154"/>
      <c r="P496" s="440"/>
      <c r="Q496" s="440"/>
      <c r="X496" s="1337"/>
    </row>
    <row r="497" spans="1:51" ht="15" thickTop="1" x14ac:dyDescent="0.3">
      <c r="B497" s="80">
        <v>611.4</v>
      </c>
      <c r="C497" s="21"/>
      <c r="D497" s="21"/>
      <c r="E497" s="21"/>
      <c r="F497" s="21"/>
      <c r="G497" s="21"/>
      <c r="H497" s="1084"/>
      <c r="I497" s="200">
        <v>611.4</v>
      </c>
      <c r="J497" s="201"/>
      <c r="K497" s="202"/>
      <c r="L497" s="1331" t="s">
        <v>802</v>
      </c>
      <c r="M497" s="1343">
        <v>5</v>
      </c>
      <c r="N497" s="201"/>
      <c r="O497" s="1336">
        <f>IF(W503+W513*2&gt;=10,5,0)</f>
        <v>0</v>
      </c>
      <c r="P497" s="110"/>
      <c r="Q497" s="110"/>
      <c r="R497" s="110"/>
      <c r="S497" s="110"/>
      <c r="T497" s="110"/>
      <c r="U497" s="110"/>
      <c r="V497" s="110"/>
      <c r="W497" s="110"/>
      <c r="X497" s="110"/>
      <c r="AL497" s="311" t="str">
        <f>SUBSTITUTE(SUBSTITUTE(SUBSTITUTE("dpa"&amp;$B497&amp;$C497&amp;$D497&amp;$E497&amp;$F497,".","_"),"(","_"),")","")</f>
        <v>dpa611_4</v>
      </c>
      <c r="AM497" s="311">
        <f>M497</f>
        <v>5</v>
      </c>
      <c r="AN497" s="311" t="str">
        <f>SUBSTITUTE(SUBSTITUTE(SUBSTITUTE("dpc"&amp;$B497&amp;$C497&amp;$D497&amp;$E497&amp;$F497,".","_"),"(","_"),")","")</f>
        <v>dpc611_4</v>
      </c>
      <c r="AO497" s="311">
        <f>O497</f>
        <v>0</v>
      </c>
    </row>
    <row r="498" spans="1:51" x14ac:dyDescent="0.3">
      <c r="B498" s="80">
        <v>611.4</v>
      </c>
      <c r="C498" s="21"/>
      <c r="D498" s="21"/>
      <c r="E498" s="21"/>
      <c r="F498" s="21"/>
      <c r="G498" s="21"/>
      <c r="H498" s="1084"/>
      <c r="I498" s="141"/>
      <c r="J498" s="140"/>
      <c r="K498" s="98"/>
      <c r="L498" s="1313"/>
      <c r="M498" s="1318"/>
      <c r="N498" s="140"/>
      <c r="O498" s="1308"/>
      <c r="P498" s="97"/>
      <c r="Q498" s="97"/>
      <c r="R498" s="97"/>
      <c r="S498" s="97"/>
      <c r="T498" s="97"/>
      <c r="U498" s="97"/>
      <c r="V498" s="97"/>
      <c r="W498" s="97"/>
      <c r="X498" s="97"/>
    </row>
    <row r="499" spans="1:51" x14ac:dyDescent="0.3">
      <c r="B499" s="80">
        <v>611.4</v>
      </c>
      <c r="C499" s="21"/>
      <c r="D499" s="21"/>
      <c r="E499" s="21"/>
      <c r="F499" s="21"/>
      <c r="G499" s="21"/>
      <c r="H499" s="1084"/>
      <c r="I499" s="141"/>
      <c r="J499" s="140"/>
      <c r="K499" s="98"/>
      <c r="L499" s="1313"/>
      <c r="M499" s="1318"/>
      <c r="N499" s="140"/>
      <c r="O499" s="1308"/>
      <c r="P499" s="97"/>
      <c r="Q499" s="97"/>
      <c r="R499" s="97"/>
      <c r="S499" s="97"/>
      <c r="T499" s="97"/>
      <c r="U499" s="97"/>
      <c r="V499" s="97"/>
      <c r="W499" s="97"/>
      <c r="X499" s="97"/>
    </row>
    <row r="500" spans="1:51" x14ac:dyDescent="0.3">
      <c r="B500" s="80">
        <v>611.4</v>
      </c>
      <c r="C500" s="21"/>
      <c r="D500" s="21"/>
      <c r="E500" s="21"/>
      <c r="F500" s="21"/>
      <c r="G500" s="21"/>
      <c r="H500" s="1084"/>
      <c r="I500" s="141"/>
      <c r="J500" s="140"/>
      <c r="K500" s="98"/>
      <c r="L500" s="1313"/>
      <c r="M500" s="1318"/>
      <c r="N500" s="140"/>
      <c r="O500" s="1308"/>
      <c r="P500" s="97"/>
      <c r="Q500" s="97"/>
      <c r="R500" s="97"/>
      <c r="S500" s="97"/>
      <c r="T500" s="97"/>
      <c r="U500" s="97"/>
      <c r="V500" s="97"/>
      <c r="W500" s="97"/>
      <c r="X500" s="97"/>
    </row>
    <row r="501" spans="1:51" x14ac:dyDescent="0.3">
      <c r="B501" s="80">
        <v>611.4</v>
      </c>
      <c r="C501" s="21"/>
      <c r="D501" s="21"/>
      <c r="E501" s="21"/>
      <c r="F501" s="21"/>
      <c r="G501" s="21"/>
      <c r="H501" s="1084"/>
      <c r="I501" s="244"/>
      <c r="J501" s="238"/>
      <c r="K501" s="193"/>
      <c r="L501" s="1350"/>
      <c r="M501" s="1319"/>
      <c r="N501" s="238"/>
      <c r="O501" s="1309"/>
      <c r="P501" s="97"/>
      <c r="Q501" s="97"/>
      <c r="R501" s="97"/>
      <c r="S501" s="97"/>
      <c r="T501" s="97"/>
      <c r="U501" s="97"/>
      <c r="V501" s="97"/>
      <c r="W501" s="97"/>
      <c r="X501" s="97"/>
    </row>
    <row r="502" spans="1:51" ht="15" customHeight="1" x14ac:dyDescent="0.3">
      <c r="B502" s="80" t="s">
        <v>803</v>
      </c>
      <c r="C502" s="21"/>
      <c r="D502" s="21"/>
      <c r="E502" s="21"/>
      <c r="F502" s="21"/>
      <c r="G502" s="21"/>
      <c r="H502" s="1084"/>
      <c r="I502" s="66" t="s">
        <v>803</v>
      </c>
      <c r="J502" s="4"/>
      <c r="K502" s="86"/>
      <c r="L502" s="1377" t="s">
        <v>804</v>
      </c>
      <c r="M502" s="522"/>
      <c r="N502" s="4"/>
      <c r="O502" s="154"/>
      <c r="P502" s="440"/>
      <c r="Q502" s="440"/>
      <c r="R502" s="137"/>
      <c r="S502" s="137"/>
      <c r="T502" s="137"/>
      <c r="W502" s="65" t="s">
        <v>3341</v>
      </c>
      <c r="X502" s="1303"/>
      <c r="AR502" s="1059" t="str">
        <f>SUBSTITUTE(SUBSTITUTE(SUBSTITUTE("dnt"&amp;$B502&amp;$C502&amp;$D502&amp;$E502&amp;$F502,".","_"),"(","_"),")","")</f>
        <v>dnt611_4_1</v>
      </c>
      <c r="AS502" s="311">
        <f>X502</f>
        <v>0</v>
      </c>
    </row>
    <row r="503" spans="1:51" x14ac:dyDescent="0.3">
      <c r="B503" s="80" t="s">
        <v>803</v>
      </c>
      <c r="C503" s="21"/>
      <c r="D503" s="21"/>
      <c r="E503" s="21"/>
      <c r="F503" s="21"/>
      <c r="G503" s="21"/>
      <c r="H503" s="1084"/>
      <c r="I503" s="66"/>
      <c r="J503" s="4"/>
      <c r="K503" s="86"/>
      <c r="L503" s="1377"/>
      <c r="M503" s="522"/>
      <c r="N503" s="4"/>
      <c r="O503" s="154"/>
      <c r="P503" s="440" t="b">
        <v>0</v>
      </c>
      <c r="Q503" s="440" t="b">
        <v>1</v>
      </c>
      <c r="R503" s="175" t="b">
        <v>0</v>
      </c>
      <c r="S503" s="175" t="b">
        <v>1</v>
      </c>
      <c r="T503" s="175" t="b">
        <v>0</v>
      </c>
      <c r="W503" s="191"/>
      <c r="X503" s="1303"/>
      <c r="AC503" s="175" t="b">
        <f>OR(AD503:AE503)</f>
        <v>0</v>
      </c>
      <c r="AD503" s="175" t="b">
        <v>0</v>
      </c>
      <c r="AE503" s="175" t="b">
        <f>AND(W503&gt;0,LEN(X502)=0)</f>
        <v>0</v>
      </c>
      <c r="AP503" s="311" t="str">
        <f t="shared" ref="AP503" si="123">SUBSTITUTE(SUBSTITUTE(SUBSTITUTE("dch"&amp;$B503&amp;$C503&amp;$D503&amp;$E503&amp;$F503,".","_"),"(","_"),")","")</f>
        <v>dch611_4_1</v>
      </c>
      <c r="AQ503" s="311">
        <f>W503</f>
        <v>0</v>
      </c>
    </row>
    <row r="504" spans="1:51" x14ac:dyDescent="0.3">
      <c r="B504" s="80" t="s">
        <v>803</v>
      </c>
      <c r="C504" s="21"/>
      <c r="D504" s="21"/>
      <c r="E504" s="21"/>
      <c r="F504" s="21"/>
      <c r="G504" s="21"/>
      <c r="H504" s="1084"/>
      <c r="I504" s="66"/>
      <c r="J504" s="4"/>
      <c r="K504" s="86"/>
      <c r="L504" s="1377"/>
      <c r="M504" s="522"/>
      <c r="N504" s="4"/>
      <c r="O504" s="154"/>
      <c r="P504" s="440"/>
      <c r="Q504" s="440"/>
      <c r="R504" s="175"/>
      <c r="S504" s="175"/>
      <c r="T504" s="175"/>
      <c r="X504" s="1303"/>
    </row>
    <row r="505" spans="1:51" x14ac:dyDescent="0.3">
      <c r="B505" s="80" t="s">
        <v>803</v>
      </c>
      <c r="C505" s="21"/>
      <c r="D505" s="21"/>
      <c r="E505" s="21"/>
      <c r="F505" s="21"/>
      <c r="G505" s="21"/>
      <c r="H505" s="1084"/>
      <c r="I505" s="66"/>
      <c r="J505" s="4"/>
      <c r="K505" s="86"/>
      <c r="L505" s="1377"/>
      <c r="M505" s="522"/>
      <c r="N505" s="4"/>
      <c r="O505" s="154"/>
      <c r="P505" s="440"/>
      <c r="Q505" s="440"/>
      <c r="X505" s="1303"/>
    </row>
    <row r="506" spans="1:51" x14ac:dyDescent="0.3">
      <c r="B506" s="80" t="s">
        <v>803</v>
      </c>
      <c r="C506" s="21"/>
      <c r="D506" s="21"/>
      <c r="E506" s="21"/>
      <c r="F506" s="21"/>
      <c r="G506" s="21"/>
      <c r="H506" s="1084"/>
      <c r="I506" s="66"/>
      <c r="J506" s="4"/>
      <c r="K506" s="86"/>
      <c r="L506" s="1377"/>
      <c r="M506" s="522"/>
      <c r="N506" s="4"/>
      <c r="O506" s="154"/>
      <c r="P506" s="440"/>
      <c r="Q506" s="440"/>
      <c r="X506" s="1303"/>
    </row>
    <row r="507" spans="1:51" x14ac:dyDescent="0.3">
      <c r="B507" s="80" t="s">
        <v>803</v>
      </c>
      <c r="C507" s="21"/>
      <c r="D507" s="21"/>
      <c r="E507" s="21"/>
      <c r="F507" s="21"/>
      <c r="G507" s="21"/>
      <c r="H507" s="1084"/>
      <c r="I507" s="66"/>
      <c r="J507" s="4"/>
      <c r="K507" s="86"/>
      <c r="L507" s="1377"/>
      <c r="M507" s="522"/>
      <c r="N507" s="4"/>
      <c r="O507" s="154"/>
      <c r="P507" s="440"/>
      <c r="Q507" s="440"/>
      <c r="X507" s="1303"/>
    </row>
    <row r="508" spans="1:51" x14ac:dyDescent="0.3">
      <c r="B508" s="80" t="s">
        <v>803</v>
      </c>
      <c r="C508" s="21"/>
      <c r="D508" s="21"/>
      <c r="E508" s="21"/>
      <c r="F508" s="21"/>
      <c r="G508" s="21"/>
      <c r="H508" s="1084"/>
      <c r="I508" s="66"/>
      <c r="J508" s="4"/>
      <c r="K508" s="86"/>
      <c r="L508" s="1377"/>
      <c r="M508" s="522"/>
      <c r="N508" s="4"/>
      <c r="O508" s="154"/>
      <c r="P508" s="440"/>
      <c r="Q508" s="440"/>
      <c r="X508" s="1303"/>
    </row>
    <row r="509" spans="1:51" x14ac:dyDescent="0.3">
      <c r="B509" s="80" t="s">
        <v>803</v>
      </c>
      <c r="C509" s="21"/>
      <c r="D509" s="21"/>
      <c r="E509" s="21"/>
      <c r="F509" s="21"/>
      <c r="G509" s="21"/>
      <c r="H509" s="1084"/>
      <c r="I509" s="66"/>
      <c r="J509" s="4"/>
      <c r="K509" s="86"/>
      <c r="L509" s="1377"/>
      <c r="M509" s="522"/>
      <c r="N509" s="4"/>
      <c r="O509" s="154"/>
      <c r="P509" s="440"/>
      <c r="Q509" s="440"/>
      <c r="X509" s="1303"/>
      <c r="AX509" s="175"/>
      <c r="AY509" s="175"/>
    </row>
    <row r="510" spans="1:51" s="175" customFormat="1" x14ac:dyDescent="0.3">
      <c r="A510" s="18"/>
      <c r="B510" s="80" t="s">
        <v>803</v>
      </c>
      <c r="C510" s="21"/>
      <c r="D510" s="21"/>
      <c r="E510" s="21"/>
      <c r="F510" s="21"/>
      <c r="G510" s="21"/>
      <c r="H510" s="1084"/>
      <c r="I510" s="244"/>
      <c r="J510" s="238"/>
      <c r="K510" s="193"/>
      <c r="L510" s="245" t="s">
        <v>3343</v>
      </c>
      <c r="M510" s="522"/>
      <c r="N510" s="4"/>
      <c r="O510" s="154"/>
      <c r="P510" s="440"/>
      <c r="Q510" s="440"/>
      <c r="X510" s="1303"/>
      <c r="Y510" s="1107"/>
      <c r="AA510" s="1110"/>
      <c r="AX510" s="65"/>
      <c r="AY510" s="65"/>
    </row>
    <row r="511" spans="1:51" x14ac:dyDescent="0.3">
      <c r="B511" s="80" t="s">
        <v>805</v>
      </c>
      <c r="C511" s="21"/>
      <c r="D511" s="21"/>
      <c r="E511" s="21"/>
      <c r="F511" s="21"/>
      <c r="G511" s="21"/>
      <c r="H511" s="1084"/>
      <c r="I511" s="141" t="s">
        <v>805</v>
      </c>
      <c r="J511" s="140"/>
      <c r="K511" s="98"/>
      <c r="L511" s="1342" t="s">
        <v>806</v>
      </c>
      <c r="M511" s="518"/>
      <c r="N511" s="140"/>
      <c r="O511" s="269"/>
      <c r="P511" s="97"/>
      <c r="Q511" s="97"/>
      <c r="R511" s="97"/>
      <c r="S511" s="97"/>
      <c r="T511" s="97"/>
      <c r="U511" s="97"/>
      <c r="V511" s="97"/>
      <c r="W511" s="1376" t="s">
        <v>3342</v>
      </c>
      <c r="X511" s="1295"/>
      <c r="AR511" s="1059" t="str">
        <f>SUBSTITUTE(SUBSTITUTE(SUBSTITUTE("dnt"&amp;$B511&amp;$C511&amp;$D511&amp;$E511&amp;$F511,".","_"),"(","_"),")","")</f>
        <v>dnt611_4_2</v>
      </c>
      <c r="AS511" s="311">
        <f>X511</f>
        <v>0</v>
      </c>
    </row>
    <row r="512" spans="1:51" x14ac:dyDescent="0.3">
      <c r="B512" s="80" t="s">
        <v>805</v>
      </c>
      <c r="C512" s="21"/>
      <c r="D512" s="21"/>
      <c r="E512" s="21"/>
      <c r="F512" s="21"/>
      <c r="G512" s="21"/>
      <c r="H512" s="1084"/>
      <c r="I512" s="141"/>
      <c r="J512" s="140"/>
      <c r="K512" s="98"/>
      <c r="L512" s="1342"/>
      <c r="M512" s="518"/>
      <c r="N512" s="140"/>
      <c r="O512" s="269"/>
      <c r="P512" s="97"/>
      <c r="Q512" s="97"/>
      <c r="R512" s="97"/>
      <c r="S512" s="97"/>
      <c r="T512" s="97"/>
      <c r="U512" s="97"/>
      <c r="V512" s="97"/>
      <c r="W512" s="1376"/>
      <c r="X512" s="1295"/>
    </row>
    <row r="513" spans="2:43" x14ac:dyDescent="0.3">
      <c r="B513" s="80" t="s">
        <v>805</v>
      </c>
      <c r="C513" s="21"/>
      <c r="D513" s="21"/>
      <c r="E513" s="21"/>
      <c r="F513" s="21"/>
      <c r="G513" s="21"/>
      <c r="H513" s="1084"/>
      <c r="I513" s="141"/>
      <c r="J513" s="140"/>
      <c r="K513" s="98"/>
      <c r="L513" s="1342"/>
      <c r="M513" s="518"/>
      <c r="N513" s="140"/>
      <c r="O513" s="269"/>
      <c r="P513" s="440" t="b">
        <v>0</v>
      </c>
      <c r="Q513" s="440" t="b">
        <v>1</v>
      </c>
      <c r="R513" s="97" t="b">
        <v>0</v>
      </c>
      <c r="S513" s="97" t="b">
        <v>1</v>
      </c>
      <c r="T513" s="97" t="b">
        <v>0</v>
      </c>
      <c r="U513" s="97"/>
      <c r="V513" s="97"/>
      <c r="W513" s="223"/>
      <c r="X513" s="1295"/>
      <c r="AC513" s="175" t="b">
        <f>OR(AD513:AE513)</f>
        <v>0</v>
      </c>
      <c r="AD513" s="175" t="b">
        <v>0</v>
      </c>
      <c r="AE513" s="175" t="b">
        <f>AND(W513&gt;0,LEN(X511)=0)</f>
        <v>0</v>
      </c>
      <c r="AP513" s="311" t="str">
        <f t="shared" ref="AP513" si="124">SUBSTITUTE(SUBSTITUTE(SUBSTITUTE("dch"&amp;$B513&amp;$C513&amp;$D513&amp;$E513&amp;$F513,".","_"),"(","_"),")","")</f>
        <v>dch611_4_2</v>
      </c>
      <c r="AQ513" s="311">
        <f>W513</f>
        <v>0</v>
      </c>
    </row>
    <row r="514" spans="2:43" x14ac:dyDescent="0.3">
      <c r="B514" s="80" t="s">
        <v>805</v>
      </c>
      <c r="C514" s="21"/>
      <c r="D514" s="21"/>
      <c r="E514" s="21"/>
      <c r="F514" s="21"/>
      <c r="G514" s="21"/>
      <c r="H514" s="1084"/>
      <c r="I514" s="141"/>
      <c r="J514" s="140"/>
      <c r="K514" s="98"/>
      <c r="L514" s="1342"/>
      <c r="M514" s="518"/>
      <c r="N514" s="140"/>
      <c r="O514" s="269"/>
      <c r="P514" s="97"/>
      <c r="Q514" s="97"/>
      <c r="R514" s="97"/>
      <c r="S514" s="97"/>
      <c r="T514" s="97"/>
      <c r="U514" s="97"/>
      <c r="V514" s="97"/>
      <c r="W514" s="97"/>
      <c r="X514" s="1295"/>
    </row>
    <row r="515" spans="2:43" x14ac:dyDescent="0.3">
      <c r="B515" s="80" t="s">
        <v>805</v>
      </c>
      <c r="C515" s="21"/>
      <c r="D515" s="21"/>
      <c r="E515" s="21"/>
      <c r="F515" s="21"/>
      <c r="G515" s="21"/>
      <c r="H515" s="1084"/>
      <c r="I515" s="141"/>
      <c r="J515" s="140"/>
      <c r="K515" s="98"/>
      <c r="L515" s="1342"/>
      <c r="M515" s="518"/>
      <c r="N515" s="140"/>
      <c r="O515" s="269"/>
      <c r="P515" s="97"/>
      <c r="Q515" s="97"/>
      <c r="R515" s="97"/>
      <c r="S515" s="97"/>
      <c r="T515" s="97"/>
      <c r="U515" s="97"/>
      <c r="V515" s="97"/>
      <c r="W515" s="97"/>
      <c r="X515" s="1295"/>
    </row>
    <row r="516" spans="2:43" x14ac:dyDescent="0.3">
      <c r="B516" s="80" t="s">
        <v>805</v>
      </c>
      <c r="C516" s="21"/>
      <c r="D516" s="21"/>
      <c r="E516" s="21"/>
      <c r="F516" s="21"/>
      <c r="G516" s="21"/>
      <c r="H516" s="1084"/>
      <c r="I516" s="141"/>
      <c r="J516" s="140"/>
      <c r="K516" s="98"/>
      <c r="L516" s="1342"/>
      <c r="M516" s="518"/>
      <c r="N516" s="140"/>
      <c r="O516" s="269"/>
      <c r="P516" s="97"/>
      <c r="Q516" s="97"/>
      <c r="R516" s="97"/>
      <c r="S516" s="97"/>
      <c r="T516" s="97"/>
      <c r="U516" s="97"/>
      <c r="V516" s="97"/>
      <c r="W516" s="97"/>
      <c r="X516" s="1295"/>
    </row>
    <row r="517" spans="2:43" ht="15" thickBot="1" x14ac:dyDescent="0.35">
      <c r="B517" s="80" t="s">
        <v>805</v>
      </c>
      <c r="H517" s="1086"/>
      <c r="I517" s="104"/>
      <c r="J517" s="104"/>
      <c r="K517" s="104"/>
      <c r="L517" s="370" t="s">
        <v>3343</v>
      </c>
      <c r="M517" s="607"/>
      <c r="N517" s="270"/>
      <c r="O517" s="271"/>
      <c r="P517" s="104"/>
      <c r="Q517" s="104"/>
      <c r="R517" s="104"/>
      <c r="S517" s="104"/>
      <c r="T517" s="104"/>
      <c r="U517" s="104"/>
      <c r="V517" s="104"/>
      <c r="W517" s="104"/>
      <c r="X517" s="1296"/>
    </row>
    <row r="518" spans="2:43" ht="15.6" thickTop="1" thickBot="1" x14ac:dyDescent="0.35">
      <c r="I518" s="225" t="s">
        <v>3344</v>
      </c>
      <c r="J518" s="226"/>
      <c r="K518" s="226"/>
      <c r="L518" s="226"/>
      <c r="M518" s="227"/>
      <c r="N518" s="226"/>
      <c r="O518" s="228"/>
      <c r="P518" s="226"/>
      <c r="Q518" s="226"/>
      <c r="R518" s="226"/>
      <c r="S518" s="226"/>
      <c r="T518" s="226"/>
      <c r="U518" s="226"/>
      <c r="V518" s="226"/>
      <c r="W518" s="226"/>
      <c r="X518" s="326" t="s">
        <v>3345</v>
      </c>
    </row>
    <row r="519" spans="2:43" ht="15" thickTop="1" x14ac:dyDescent="0.3"/>
  </sheetData>
  <sheetProtection algorithmName="SHA-512" hashValue="MIgmJ3OErtMkIXjmzSw5Dj+RiPZFj66vJ0MFEuj/KuSX17a9nbcOqrMrjAA0vm9S1svq6Ns1U1MW0q0RwYVU0A==" saltValue="dB+ZU87rBjEjmlgReiZ+AQ==" spinCount="100000" sheet="1" objects="1" scenarios="1" selectLockedCells="1"/>
  <mergeCells count="361">
    <mergeCell ref="I4:L4"/>
    <mergeCell ref="I5:L5"/>
    <mergeCell ref="X474:X478"/>
    <mergeCell ref="X479:X482"/>
    <mergeCell ref="X483:X484"/>
    <mergeCell ref="X485:X486"/>
    <mergeCell ref="X489:X492"/>
    <mergeCell ref="X493:X494"/>
    <mergeCell ref="X234:X236"/>
    <mergeCell ref="X238:X242"/>
    <mergeCell ref="X243:X244"/>
    <mergeCell ref="X278:X292"/>
    <mergeCell ref="X293:X301"/>
    <mergeCell ref="X306:X312"/>
    <mergeCell ref="X361:X362"/>
    <mergeCell ref="X364:X365"/>
    <mergeCell ref="X392:X400"/>
    <mergeCell ref="X319:X334"/>
    <mergeCell ref="X249:X254"/>
    <mergeCell ref="X255:X261"/>
    <mergeCell ref="X266:X267"/>
    <mergeCell ref="X268:X269"/>
    <mergeCell ref="X270:X271"/>
    <mergeCell ref="X272:X273"/>
    <mergeCell ref="M349:M351"/>
    <mergeCell ref="O349:O351"/>
    <mergeCell ref="M302:M303"/>
    <mergeCell ref="M329:M330"/>
    <mergeCell ref="M331:M332"/>
    <mergeCell ref="O293:O294"/>
    <mergeCell ref="M401:M407"/>
    <mergeCell ref="M408:M409"/>
    <mergeCell ref="M410:M413"/>
    <mergeCell ref="M352:M357"/>
    <mergeCell ref="O352:O357"/>
    <mergeCell ref="M367:M374"/>
    <mergeCell ref="O367:O374"/>
    <mergeCell ref="M361:M362"/>
    <mergeCell ref="M376:M382"/>
    <mergeCell ref="O376:O382"/>
    <mergeCell ref="M392:M400"/>
    <mergeCell ref="O410:O413"/>
    <mergeCell ref="O392:O400"/>
    <mergeCell ref="O401:O407"/>
    <mergeCell ref="O408:O409"/>
    <mergeCell ref="X470:X471"/>
    <mergeCell ref="X179:X181"/>
    <mergeCell ref="X183:X186"/>
    <mergeCell ref="X220:X221"/>
    <mergeCell ref="X228:X229"/>
    <mergeCell ref="X197:X208"/>
    <mergeCell ref="X209:X210"/>
    <mergeCell ref="X211:X213"/>
    <mergeCell ref="X214:X217"/>
    <mergeCell ref="X231:X233"/>
    <mergeCell ref="X347:X348"/>
    <mergeCell ref="X350:X351"/>
    <mergeCell ref="X367:X374"/>
    <mergeCell ref="X421:X427"/>
    <mergeCell ref="X352:X357"/>
    <mergeCell ref="X446:X451"/>
    <mergeCell ref="X187:X192"/>
    <mergeCell ref="X193:X194"/>
    <mergeCell ref="X401:X407"/>
    <mergeCell ref="X440:X445"/>
    <mergeCell ref="X434:X439"/>
    <mergeCell ref="X428:X433"/>
    <mergeCell ref="X376:X378"/>
    <mergeCell ref="X379:X382"/>
    <mergeCell ref="M453:M460"/>
    <mergeCell ref="M461:M463"/>
    <mergeCell ref="O302:O303"/>
    <mergeCell ref="O318:O327"/>
    <mergeCell ref="M333:M334"/>
    <mergeCell ref="M346:M348"/>
    <mergeCell ref="X102:X105"/>
    <mergeCell ref="X107:X108"/>
    <mergeCell ref="X86:X91"/>
    <mergeCell ref="X109:X110"/>
    <mergeCell ref="X115:X116"/>
    <mergeCell ref="X121:X122"/>
    <mergeCell ref="X123:X124"/>
    <mergeCell ref="X169:X178"/>
    <mergeCell ref="X126:X131"/>
    <mergeCell ref="X135:X145"/>
    <mergeCell ref="X148:X149"/>
    <mergeCell ref="X153:X154"/>
    <mergeCell ref="X155:X156"/>
    <mergeCell ref="X157:X160"/>
    <mergeCell ref="M109:M110"/>
    <mergeCell ref="M115:M116"/>
    <mergeCell ref="M127:M128"/>
    <mergeCell ref="O346:O348"/>
    <mergeCell ref="L367:L369"/>
    <mergeCell ref="L370:L371"/>
    <mergeCell ref="L376:L377"/>
    <mergeCell ref="M243:M244"/>
    <mergeCell ref="M293:M294"/>
    <mergeCell ref="M266:M273"/>
    <mergeCell ref="O453:O460"/>
    <mergeCell ref="X453:X460"/>
    <mergeCell ref="W511:W512"/>
    <mergeCell ref="O497:O501"/>
    <mergeCell ref="X502:X510"/>
    <mergeCell ref="X511:X517"/>
    <mergeCell ref="X495:X496"/>
    <mergeCell ref="X408:X409"/>
    <mergeCell ref="O461:O463"/>
    <mergeCell ref="O472:O473"/>
    <mergeCell ref="L502:L509"/>
    <mergeCell ref="L275:L276"/>
    <mergeCell ref="L278:L283"/>
    <mergeCell ref="L284:L287"/>
    <mergeCell ref="L295:L297"/>
    <mergeCell ref="L299:L301"/>
    <mergeCell ref="L302:L303"/>
    <mergeCell ref="L326:L327"/>
    <mergeCell ref="L359:L360"/>
    <mergeCell ref="L361:L362"/>
    <mergeCell ref="L364:L365"/>
    <mergeCell ref="O224:O227"/>
    <mergeCell ref="L238:L242"/>
    <mergeCell ref="M238:M242"/>
    <mergeCell ref="O234:O236"/>
    <mergeCell ref="O243:O244"/>
    <mergeCell ref="O262:O264"/>
    <mergeCell ref="L289:L290"/>
    <mergeCell ref="L291:L292"/>
    <mergeCell ref="L293:L294"/>
    <mergeCell ref="L352:L355"/>
    <mergeCell ref="L329:L330"/>
    <mergeCell ref="L331:L332"/>
    <mergeCell ref="L333:L334"/>
    <mergeCell ref="L335:L336"/>
    <mergeCell ref="L338:L339"/>
    <mergeCell ref="L346:L347"/>
    <mergeCell ref="L349:L350"/>
    <mergeCell ref="M255:M261"/>
    <mergeCell ref="O255:O261"/>
    <mergeCell ref="L259:L261"/>
    <mergeCell ref="O266:O273"/>
    <mergeCell ref="X4:X5"/>
    <mergeCell ref="I6:K7"/>
    <mergeCell ref="L6:L7"/>
    <mergeCell ref="M6:M7"/>
    <mergeCell ref="N6:N7"/>
    <mergeCell ref="P6:P7"/>
    <mergeCell ref="Q6:Q7"/>
    <mergeCell ref="L93:L94"/>
    <mergeCell ref="L97:L99"/>
    <mergeCell ref="L23:L24"/>
    <mergeCell ref="L69:L70"/>
    <mergeCell ref="L60:L61"/>
    <mergeCell ref="L55:L57"/>
    <mergeCell ref="L27:L28"/>
    <mergeCell ref="L32:L34"/>
    <mergeCell ref="L36:L38"/>
    <mergeCell ref="L65:L66"/>
    <mergeCell ref="X6:X7"/>
    <mergeCell ref="S6:S7"/>
    <mergeCell ref="O29:O31"/>
    <mergeCell ref="L10:L12"/>
    <mergeCell ref="L13:L16"/>
    <mergeCell ref="O13:O16"/>
    <mergeCell ref="L29:L31"/>
    <mergeCell ref="I1:L1"/>
    <mergeCell ref="M1:W5"/>
    <mergeCell ref="I2:L2"/>
    <mergeCell ref="I3:L3"/>
    <mergeCell ref="L83:L85"/>
    <mergeCell ref="L100:L101"/>
    <mergeCell ref="M32:M34"/>
    <mergeCell ref="M55:M57"/>
    <mergeCell ref="M60:M61"/>
    <mergeCell ref="M86:M91"/>
    <mergeCell ref="M97:M99"/>
    <mergeCell ref="M100:M101"/>
    <mergeCell ref="L25:L26"/>
    <mergeCell ref="T6:T7"/>
    <mergeCell ref="U6:U7"/>
    <mergeCell ref="V6:V7"/>
    <mergeCell ref="W6:W7"/>
    <mergeCell ref="R6:R7"/>
    <mergeCell ref="O44:O46"/>
    <mergeCell ref="L89:L91"/>
    <mergeCell ref="O86:O91"/>
    <mergeCell ref="O32:O34"/>
    <mergeCell ref="L47:L49"/>
    <mergeCell ref="L71:L72"/>
    <mergeCell ref="L255:L257"/>
    <mergeCell ref="L207:L208"/>
    <mergeCell ref="M196:M208"/>
    <mergeCell ref="L224:L227"/>
    <mergeCell ref="O196:O208"/>
    <mergeCell ref="L107:L108"/>
    <mergeCell ref="O220:O221"/>
    <mergeCell ref="L228:L229"/>
    <mergeCell ref="L214:L217"/>
    <mergeCell ref="L218:L219"/>
    <mergeCell ref="L220:L221"/>
    <mergeCell ref="L129:L131"/>
    <mergeCell ref="M129:M131"/>
    <mergeCell ref="O129:O131"/>
    <mergeCell ref="O211:O213"/>
    <mergeCell ref="M157:M160"/>
    <mergeCell ref="L196:L201"/>
    <mergeCell ref="L209:L210"/>
    <mergeCell ref="L211:L212"/>
    <mergeCell ref="M211:M213"/>
    <mergeCell ref="O148:O149"/>
    <mergeCell ref="O153:O154"/>
    <mergeCell ref="O150:O152"/>
    <mergeCell ref="O155:O156"/>
    <mergeCell ref="M29:M31"/>
    <mergeCell ref="X13:X26"/>
    <mergeCell ref="X29:X31"/>
    <mergeCell ref="M234:M236"/>
    <mergeCell ref="M209:M210"/>
    <mergeCell ref="M224:M227"/>
    <mergeCell ref="L183:L186"/>
    <mergeCell ref="L191:L192"/>
    <mergeCell ref="L193:L194"/>
    <mergeCell ref="M183:M186"/>
    <mergeCell ref="M191:M192"/>
    <mergeCell ref="M193:M194"/>
    <mergeCell ref="L231:L233"/>
    <mergeCell ref="L234:L236"/>
    <mergeCell ref="X32:X34"/>
    <mergeCell ref="X44:X46"/>
    <mergeCell ref="X55:X59"/>
    <mergeCell ref="X97:X99"/>
    <mergeCell ref="X100:X101"/>
    <mergeCell ref="M47:M49"/>
    <mergeCell ref="L44:L46"/>
    <mergeCell ref="O60:O61"/>
    <mergeCell ref="M214:M217"/>
    <mergeCell ref="M220:M221"/>
    <mergeCell ref="L448:L449"/>
    <mergeCell ref="L453:L457"/>
    <mergeCell ref="L461:L463"/>
    <mergeCell ref="L378:L380"/>
    <mergeCell ref="L428:L435"/>
    <mergeCell ref="L410:L413"/>
    <mergeCell ref="L384:L389"/>
    <mergeCell ref="L414:L416"/>
    <mergeCell ref="L450:L451"/>
    <mergeCell ref="L440:L441"/>
    <mergeCell ref="L459:L460"/>
    <mergeCell ref="L390:L391"/>
    <mergeCell ref="L392:L394"/>
    <mergeCell ref="L401:L407"/>
    <mergeCell ref="L408:L409"/>
    <mergeCell ref="L381:L382"/>
    <mergeCell ref="L423:L425"/>
    <mergeCell ref="L426:L427"/>
    <mergeCell ref="L511:L516"/>
    <mergeCell ref="L470:L471"/>
    <mergeCell ref="L483:L484"/>
    <mergeCell ref="L485:L486"/>
    <mergeCell ref="L489:L492"/>
    <mergeCell ref="L493:L494"/>
    <mergeCell ref="L495:L496"/>
    <mergeCell ref="M497:M501"/>
    <mergeCell ref="M470:M471"/>
    <mergeCell ref="M472:M473"/>
    <mergeCell ref="M474:M478"/>
    <mergeCell ref="M479:M482"/>
    <mergeCell ref="M483:M484"/>
    <mergeCell ref="M485:M486"/>
    <mergeCell ref="M489:M492"/>
    <mergeCell ref="M493:M494"/>
    <mergeCell ref="M495:M496"/>
    <mergeCell ref="L472:L473"/>
    <mergeCell ref="L474:L478"/>
    <mergeCell ref="L479:L482"/>
    <mergeCell ref="L497:L501"/>
    <mergeCell ref="M44:M46"/>
    <mergeCell ref="L252:L254"/>
    <mergeCell ref="M249:M254"/>
    <mergeCell ref="O249:O254"/>
    <mergeCell ref="M123:M124"/>
    <mergeCell ref="M121:M122"/>
    <mergeCell ref="O109:O110"/>
    <mergeCell ref="O115:O116"/>
    <mergeCell ref="O157:O160"/>
    <mergeCell ref="M161:M163"/>
    <mergeCell ref="L153:L154"/>
    <mergeCell ref="M153:M154"/>
    <mergeCell ref="L155:L156"/>
    <mergeCell ref="L157:L160"/>
    <mergeCell ref="L109:L110"/>
    <mergeCell ref="L102:L103"/>
    <mergeCell ref="L112:L114"/>
    <mergeCell ref="L115:L116"/>
    <mergeCell ref="L127:L128"/>
    <mergeCell ref="L118:L120"/>
    <mergeCell ref="L132:L133"/>
    <mergeCell ref="M102:M105"/>
    <mergeCell ref="L247:L248"/>
    <mergeCell ref="L249:L250"/>
    <mergeCell ref="O183:O186"/>
    <mergeCell ref="O102:O105"/>
    <mergeCell ref="L78:L82"/>
    <mergeCell ref="O55:O57"/>
    <mergeCell ref="O78:O85"/>
    <mergeCell ref="M139:M142"/>
    <mergeCell ref="M148:M149"/>
    <mergeCell ref="M143:M145"/>
    <mergeCell ref="L143:L145"/>
    <mergeCell ref="M150:M152"/>
    <mergeCell ref="L74:L75"/>
    <mergeCell ref="M74:M75"/>
    <mergeCell ref="L139:L142"/>
    <mergeCell ref="L243:L244"/>
    <mergeCell ref="X78:X85"/>
    <mergeCell ref="M78:M85"/>
    <mergeCell ref="O127:O128"/>
    <mergeCell ref="O121:O122"/>
    <mergeCell ref="X150:X152"/>
    <mergeCell ref="X161:X163"/>
    <mergeCell ref="O193:O194"/>
    <mergeCell ref="L173:L174"/>
    <mergeCell ref="L179:L181"/>
    <mergeCell ref="M169:M178"/>
    <mergeCell ref="M179:M181"/>
    <mergeCell ref="L161:L162"/>
    <mergeCell ref="L164:L168"/>
    <mergeCell ref="M107:M108"/>
    <mergeCell ref="O100:O101"/>
    <mergeCell ref="L86:L88"/>
    <mergeCell ref="O135:O138"/>
    <mergeCell ref="O139:O142"/>
    <mergeCell ref="M135:M138"/>
    <mergeCell ref="O143:O145"/>
    <mergeCell ref="L188:L190"/>
    <mergeCell ref="M188:M190"/>
    <mergeCell ref="O179:O181"/>
    <mergeCell ref="H1:H7"/>
    <mergeCell ref="M414:M427"/>
    <mergeCell ref="X414:X420"/>
    <mergeCell ref="M428:M451"/>
    <mergeCell ref="W414:W415"/>
    <mergeCell ref="W421:W422"/>
    <mergeCell ref="M364:M365"/>
    <mergeCell ref="O361:O362"/>
    <mergeCell ref="O364:O365"/>
    <mergeCell ref="L76:L77"/>
    <mergeCell ref="X60:X77"/>
    <mergeCell ref="L266:L267"/>
    <mergeCell ref="L270:L271"/>
    <mergeCell ref="L262:L263"/>
    <mergeCell ref="X262:X264"/>
    <mergeCell ref="M278:M292"/>
    <mergeCell ref="O278:O292"/>
    <mergeCell ref="M262:M264"/>
    <mergeCell ref="L121:L122"/>
    <mergeCell ref="L123:L124"/>
    <mergeCell ref="M155:M156"/>
    <mergeCell ref="L148:L149"/>
    <mergeCell ref="L150:L151"/>
    <mergeCell ref="L135:L138"/>
  </mergeCells>
  <conditionalFormatting sqref="X2">
    <cfRule type="expression" dxfId="4024" priority="1067">
      <formula>$AG$3</formula>
    </cfRule>
  </conditionalFormatting>
  <conditionalFormatting sqref="X3">
    <cfRule type="expression" dxfId="4023" priority="1072">
      <formula>$AI$3</formula>
    </cfRule>
  </conditionalFormatting>
  <conditionalFormatting sqref="L23:L24">
    <cfRule type="expression" dxfId="4022" priority="973">
      <formula>AY23&gt;4099</formula>
    </cfRule>
  </conditionalFormatting>
  <conditionalFormatting sqref="M23:M24">
    <cfRule type="expression" dxfId="4021" priority="972">
      <formula>$AY$23&gt;4099</formula>
    </cfRule>
  </conditionalFormatting>
  <conditionalFormatting sqref="X319:X334">
    <cfRule type="expression" dxfId="4020" priority="838">
      <formula>NOT(ISBLANK(W326))</formula>
    </cfRule>
  </conditionalFormatting>
  <conditionalFormatting sqref="W56">
    <cfRule type="expression" dxfId="4019" priority="749">
      <formula>AND($R$56,$S$56)</formula>
    </cfRule>
  </conditionalFormatting>
  <conditionalFormatting sqref="W56">
    <cfRule type="expression" dxfId="4018" priority="748">
      <formula>AND(IF($R$56,$W$56,TRUE),LEN(TRIM($W$56))&gt;0)</formula>
    </cfRule>
  </conditionalFormatting>
  <conditionalFormatting sqref="W56">
    <cfRule type="expression" dxfId="4017" priority="747">
      <formula>$S$56 = FALSE</formula>
    </cfRule>
  </conditionalFormatting>
  <conditionalFormatting sqref="W56">
    <cfRule type="expression" dxfId="4016" priority="746">
      <formula>OR($T$56 = TRUE, AND(LEN(TRIM($W$56))&gt;0, $S$56 = FALSE))</formula>
    </cfRule>
  </conditionalFormatting>
  <conditionalFormatting sqref="W63">
    <cfRule type="expression" dxfId="4015" priority="745">
      <formula>AND($R$63,$S$63)</formula>
    </cfRule>
  </conditionalFormatting>
  <conditionalFormatting sqref="W63">
    <cfRule type="expression" dxfId="4014" priority="744">
      <formula>AND(IF($R$63,$W$63,TRUE),LEN(TRIM($W$63))&gt;0)</formula>
    </cfRule>
  </conditionalFormatting>
  <conditionalFormatting sqref="W63">
    <cfRule type="expression" dxfId="4013" priority="743">
      <formula>$S$63 = FALSE</formula>
    </cfRule>
  </conditionalFormatting>
  <conditionalFormatting sqref="W63">
    <cfRule type="expression" dxfId="4012" priority="742">
      <formula>OR($T$63 = TRUE, AND(LEN(TRIM($W$63))&gt;0, $S$63 = FALSE))</formula>
    </cfRule>
  </conditionalFormatting>
  <conditionalFormatting sqref="W64">
    <cfRule type="expression" dxfId="4011" priority="741">
      <formula>AND($R$64,$S$64)</formula>
    </cfRule>
  </conditionalFormatting>
  <conditionalFormatting sqref="W64">
    <cfRule type="expression" dxfId="4010" priority="740">
      <formula>AND(IF($R$64,$W$64,TRUE),LEN(TRIM($W$64))&gt;0)</formula>
    </cfRule>
  </conditionalFormatting>
  <conditionalFormatting sqref="W64">
    <cfRule type="expression" dxfId="4009" priority="739">
      <formula>$S$64 = FALSE</formula>
    </cfRule>
  </conditionalFormatting>
  <conditionalFormatting sqref="W64">
    <cfRule type="expression" dxfId="4008" priority="738">
      <formula>OR($T$64 = TRUE, AND(LEN(TRIM($W$64))&gt;0, $S$64 = FALSE))</formula>
    </cfRule>
  </conditionalFormatting>
  <conditionalFormatting sqref="W65">
    <cfRule type="expression" dxfId="4007" priority="733">
      <formula>AND($R$65,$S$65)</formula>
    </cfRule>
  </conditionalFormatting>
  <conditionalFormatting sqref="W65">
    <cfRule type="expression" dxfId="4006" priority="732">
      <formula>AND(IF($R$65,$W$65,TRUE),LEN(TRIM($W$65))&gt;0)</formula>
    </cfRule>
  </conditionalFormatting>
  <conditionalFormatting sqref="W65">
    <cfRule type="expression" dxfId="4005" priority="731">
      <formula>$S$65 = FALSE</formula>
    </cfRule>
  </conditionalFormatting>
  <conditionalFormatting sqref="W65">
    <cfRule type="expression" dxfId="4004" priority="730">
      <formula>OR($T$65 = TRUE, AND(LEN(TRIM($W$65))&gt;0, $S$65 = FALSE))</formula>
    </cfRule>
  </conditionalFormatting>
  <conditionalFormatting sqref="W69">
    <cfRule type="expression" dxfId="4003" priority="729">
      <formula>AND($R$69,$S$69)</formula>
    </cfRule>
  </conditionalFormatting>
  <conditionalFormatting sqref="W69">
    <cfRule type="expression" dxfId="4002" priority="728">
      <formula>AND(IF($R$69,$W$69,TRUE),LEN(TRIM($W$69))&gt;0)</formula>
    </cfRule>
  </conditionalFormatting>
  <conditionalFormatting sqref="W69">
    <cfRule type="expression" dxfId="4001" priority="727">
      <formula>$S$69 = FALSE</formula>
    </cfRule>
  </conditionalFormatting>
  <conditionalFormatting sqref="W69">
    <cfRule type="expression" dxfId="4000" priority="726">
      <formula>OR($T$69 = TRUE, AND(LEN(TRIM($W$69))&gt;0, $S$69 = FALSE))</formula>
    </cfRule>
  </conditionalFormatting>
  <conditionalFormatting sqref="W71">
    <cfRule type="expression" dxfId="3999" priority="725">
      <formula>AND($R$71,$S$71)</formula>
    </cfRule>
  </conditionalFormatting>
  <conditionalFormatting sqref="W71">
    <cfRule type="expression" dxfId="3998" priority="724">
      <formula>AND(IF($R$71,$W$71,TRUE),LEN(TRIM($W$71))&gt;0)</formula>
    </cfRule>
  </conditionalFormatting>
  <conditionalFormatting sqref="W71">
    <cfRule type="expression" dxfId="3997" priority="723">
      <formula>$S$71 = FALSE</formula>
    </cfRule>
  </conditionalFormatting>
  <conditionalFormatting sqref="W71">
    <cfRule type="expression" dxfId="3996" priority="722">
      <formula>OR($T$71 = TRUE, AND(LEN(TRIM($W$71))&gt;0, $S$71 = FALSE))</formula>
    </cfRule>
  </conditionalFormatting>
  <conditionalFormatting sqref="X78">
    <cfRule type="expression" dxfId="3995" priority="717">
      <formula>W78=TRUE</formula>
    </cfRule>
  </conditionalFormatting>
  <conditionalFormatting sqref="X86">
    <cfRule type="expression" dxfId="3994" priority="712">
      <formula>W86=TRUE</formula>
    </cfRule>
  </conditionalFormatting>
  <conditionalFormatting sqref="W126">
    <cfRule type="expression" dxfId="3993" priority="671">
      <formula>AND($R$126,$S$126)</formula>
    </cfRule>
  </conditionalFormatting>
  <conditionalFormatting sqref="W126">
    <cfRule type="expression" dxfId="3992" priority="670">
      <formula>AND(IF($R$126,$W$126,TRUE),LEN(TRIM($W$126))&gt;0)</formula>
    </cfRule>
  </conditionalFormatting>
  <conditionalFormatting sqref="W126">
    <cfRule type="expression" dxfId="3991" priority="669">
      <formula>$S$126 = FALSE</formula>
    </cfRule>
  </conditionalFormatting>
  <conditionalFormatting sqref="W126">
    <cfRule type="expression" dxfId="3990" priority="668">
      <formula>OR($T$126 = TRUE, AND(LEN(TRIM($W$126))&gt;0, $S$126 = FALSE))</formula>
    </cfRule>
  </conditionalFormatting>
  <conditionalFormatting sqref="X150:X152">
    <cfRule type="expression" dxfId="3989" priority="635">
      <formula>W150="N/A"</formula>
    </cfRule>
  </conditionalFormatting>
  <conditionalFormatting sqref="X161">
    <cfRule type="expression" dxfId="3988" priority="634">
      <formula>W161="N/A"</formula>
    </cfRule>
  </conditionalFormatting>
  <conditionalFormatting sqref="W187">
    <cfRule type="expression" dxfId="3987" priority="633">
      <formula>AND($R$187,$S$187)</formula>
    </cfRule>
  </conditionalFormatting>
  <conditionalFormatting sqref="W187">
    <cfRule type="expression" dxfId="3986" priority="632">
      <formula>AND(IF($R$187,$W$187,TRUE),LEN(TRIM($W$187))&gt;0)</formula>
    </cfRule>
  </conditionalFormatting>
  <conditionalFormatting sqref="W187">
    <cfRule type="expression" dxfId="3985" priority="631">
      <formula>$S$187 = FALSE</formula>
    </cfRule>
  </conditionalFormatting>
  <conditionalFormatting sqref="W187">
    <cfRule type="expression" dxfId="3984" priority="630">
      <formula>OR($T$187 = TRUE, AND(LEN(TRIM($W$187))&gt;0, $S$187 = FALSE))</formula>
    </cfRule>
  </conditionalFormatting>
  <conditionalFormatting sqref="W197">
    <cfRule type="expression" dxfId="3983" priority="629">
      <formula>AND($R$197,$S$197)</formula>
    </cfRule>
  </conditionalFormatting>
  <conditionalFormatting sqref="W197">
    <cfRule type="expression" dxfId="3982" priority="628">
      <formula>AND(IF($R$197,$W$197,TRUE),LEN(TRIM($W$197))&gt;0)</formula>
    </cfRule>
  </conditionalFormatting>
  <conditionalFormatting sqref="W197">
    <cfRule type="expression" dxfId="3981" priority="627">
      <formula>$S$197 = FALSE</formula>
    </cfRule>
  </conditionalFormatting>
  <conditionalFormatting sqref="W197">
    <cfRule type="expression" dxfId="3980" priority="626">
      <formula>OR($T$197 = TRUE, AND(LEN(TRIM($W$197))&gt;0, $S$197 = FALSE))</formula>
    </cfRule>
  </conditionalFormatting>
  <conditionalFormatting sqref="X262:X264">
    <cfRule type="expression" dxfId="3979" priority="609">
      <formula>W262</formula>
    </cfRule>
  </conditionalFormatting>
  <conditionalFormatting sqref="W249">
    <cfRule type="expression" dxfId="3978" priority="608">
      <formula>AND($R$249,$S$249)</formula>
    </cfRule>
  </conditionalFormatting>
  <conditionalFormatting sqref="W249">
    <cfRule type="expression" dxfId="3977" priority="607">
      <formula>AND(IF($R$249,$W$249,TRUE),LEN(TRIM($W$249))&gt;0)</formula>
    </cfRule>
  </conditionalFormatting>
  <conditionalFormatting sqref="W249">
    <cfRule type="expression" dxfId="3976" priority="606">
      <formula>$S$249 = FALSE</formula>
    </cfRule>
  </conditionalFormatting>
  <conditionalFormatting sqref="W249">
    <cfRule type="expression" dxfId="3975" priority="605">
      <formula>OR($T$249 = TRUE, AND($W$249 = TRUE, $S$249 = FALSE))</formula>
    </cfRule>
  </conditionalFormatting>
  <conditionalFormatting sqref="X249 X255:X261">
    <cfRule type="expression" dxfId="3974" priority="600">
      <formula>W249&gt;0</formula>
    </cfRule>
  </conditionalFormatting>
  <conditionalFormatting sqref="W255">
    <cfRule type="expression" dxfId="3973" priority="599">
      <formula>AND(R255,S255)</formula>
    </cfRule>
  </conditionalFormatting>
  <conditionalFormatting sqref="W255">
    <cfRule type="expression" dxfId="3972" priority="598">
      <formula>AND(IF(R255,W255,TRUE),LEN(TRIM(W255))&gt;0)</formula>
    </cfRule>
  </conditionalFormatting>
  <conditionalFormatting sqref="W255">
    <cfRule type="expression" dxfId="3971" priority="597">
      <formula>S255 = FALSE</formula>
    </cfRule>
  </conditionalFormatting>
  <conditionalFormatting sqref="W255">
    <cfRule type="expression" dxfId="3970" priority="596">
      <formula>OR(T255 = TRUE, AND(W255 = TRUE, S255 = FALSE))</formula>
    </cfRule>
  </conditionalFormatting>
  <conditionalFormatting sqref="W267">
    <cfRule type="expression" dxfId="3969" priority="594">
      <formula>AND(R267,S267)</formula>
    </cfRule>
  </conditionalFormatting>
  <conditionalFormatting sqref="W267">
    <cfRule type="expression" dxfId="3968" priority="593">
      <formula>AND(IF(R267,W267,TRUE),LEN(TRIM(W267))&gt;0)</formula>
    </cfRule>
  </conditionalFormatting>
  <conditionalFormatting sqref="W267">
    <cfRule type="expression" dxfId="3967" priority="592">
      <formula>S267 = FALSE</formula>
    </cfRule>
  </conditionalFormatting>
  <conditionalFormatting sqref="W267">
    <cfRule type="expression" dxfId="3966" priority="591">
      <formula>OR(T267 = TRUE, AND(W267 = TRUE, S267 = FALSE))</formula>
    </cfRule>
  </conditionalFormatting>
  <conditionalFormatting sqref="W269">
    <cfRule type="expression" dxfId="3965" priority="590">
      <formula>AND(R269,S269)</formula>
    </cfRule>
  </conditionalFormatting>
  <conditionalFormatting sqref="W269">
    <cfRule type="expression" dxfId="3964" priority="589">
      <formula>AND(IF(R269,W269,TRUE),LEN(TRIM(W269))&gt;0)</formula>
    </cfRule>
  </conditionalFormatting>
  <conditionalFormatting sqref="W269">
    <cfRule type="expression" dxfId="3963" priority="588">
      <formula>S269 = FALSE</formula>
    </cfRule>
  </conditionalFormatting>
  <conditionalFormatting sqref="W269">
    <cfRule type="expression" dxfId="3962" priority="587">
      <formula>OR(T269 = TRUE, AND(W269 = TRUE, S269 = FALSE))</formula>
    </cfRule>
  </conditionalFormatting>
  <conditionalFormatting sqref="W271">
    <cfRule type="expression" dxfId="3961" priority="586">
      <formula>AND(R271,S271)</formula>
    </cfRule>
  </conditionalFormatting>
  <conditionalFormatting sqref="W271">
    <cfRule type="expression" dxfId="3960" priority="585">
      <formula>AND(IF(R271,W271,TRUE),LEN(TRIM(W271))&gt;0)</formula>
    </cfRule>
  </conditionalFormatting>
  <conditionalFormatting sqref="W271">
    <cfRule type="expression" dxfId="3959" priority="584">
      <formula>S271 = FALSE</formula>
    </cfRule>
  </conditionalFormatting>
  <conditionalFormatting sqref="W271">
    <cfRule type="expression" dxfId="3958" priority="583">
      <formula>OR(T271 = TRUE, AND(W271 = TRUE, S271 = FALSE))</formula>
    </cfRule>
  </conditionalFormatting>
  <conditionalFormatting sqref="W273">
    <cfRule type="expression" dxfId="3957" priority="582">
      <formula>AND(R273,S273)</formula>
    </cfRule>
  </conditionalFormatting>
  <conditionalFormatting sqref="W273">
    <cfRule type="expression" dxfId="3956" priority="581">
      <formula>AND(IF(R273,W273,TRUE),LEN(TRIM(W273))&gt;0)</formula>
    </cfRule>
  </conditionalFormatting>
  <conditionalFormatting sqref="W273">
    <cfRule type="expression" dxfId="3955" priority="580">
      <formula>S273 = FALSE</formula>
    </cfRule>
  </conditionalFormatting>
  <conditionalFormatting sqref="W273">
    <cfRule type="expression" dxfId="3954" priority="579">
      <formula>OR(T273 = TRUE, AND(W273 = TRUE, S273 = FALSE))</formula>
    </cfRule>
  </conditionalFormatting>
  <conditionalFormatting sqref="X266 X268 X270 X272">
    <cfRule type="expression" dxfId="3953" priority="578">
      <formula>W267&gt;0</formula>
    </cfRule>
  </conditionalFormatting>
  <conditionalFormatting sqref="X313">
    <cfRule type="expression" dxfId="3952" priority="529">
      <formula>W313</formula>
    </cfRule>
  </conditionalFormatting>
  <conditionalFormatting sqref="X314">
    <cfRule type="expression" dxfId="3951" priority="528">
      <formula>W314</formula>
    </cfRule>
  </conditionalFormatting>
  <conditionalFormatting sqref="W319">
    <cfRule type="expression" dxfId="3950" priority="527">
      <formula>AND($R$319,$S$319)</formula>
    </cfRule>
  </conditionalFormatting>
  <conditionalFormatting sqref="W319">
    <cfRule type="expression" dxfId="3949" priority="526">
      <formula>AND(IF($R$319,$W$319,TRUE),LEN(TRIM($W$319))&gt;0)</formula>
    </cfRule>
  </conditionalFormatting>
  <conditionalFormatting sqref="W319">
    <cfRule type="expression" dxfId="3948" priority="525">
      <formula>$S$319 = FALSE</formula>
    </cfRule>
  </conditionalFormatting>
  <conditionalFormatting sqref="W319">
    <cfRule type="expression" dxfId="3947" priority="524">
      <formula>OR($T$319 = TRUE, AND(LEN(TRIM($W$319))&gt;0, $S$319 = FALSE))</formula>
    </cfRule>
  </conditionalFormatting>
  <conditionalFormatting sqref="W320">
    <cfRule type="expression" dxfId="3946" priority="523">
      <formula>AND($R$320,$S$320)</formula>
    </cfRule>
  </conditionalFormatting>
  <conditionalFormatting sqref="W320">
    <cfRule type="expression" dxfId="3945" priority="522">
      <formula>AND(IF($R$320,$W$320,TRUE),LEN(TRIM($W$320))&gt;0)</formula>
    </cfRule>
  </conditionalFormatting>
  <conditionalFormatting sqref="W320">
    <cfRule type="expression" dxfId="3944" priority="521">
      <formula>$S$320 = FALSE</formula>
    </cfRule>
  </conditionalFormatting>
  <conditionalFormatting sqref="W320">
    <cfRule type="expression" dxfId="3943" priority="520">
      <formula>OR($T$320 = TRUE, AND(LEN(TRIM($W$320))&gt;0, $S$320 = FALSE))</formula>
    </cfRule>
  </conditionalFormatting>
  <conditionalFormatting sqref="W321">
    <cfRule type="expression" dxfId="3942" priority="519">
      <formula>AND($R$321,$S$321)</formula>
    </cfRule>
  </conditionalFormatting>
  <conditionalFormatting sqref="W321">
    <cfRule type="expression" dxfId="3941" priority="518">
      <formula>AND(IF($R$321,$W$321,TRUE),LEN(TRIM($W$321))&gt;0)</formula>
    </cfRule>
  </conditionalFormatting>
  <conditionalFormatting sqref="W321">
    <cfRule type="expression" dxfId="3940" priority="517">
      <formula>$S$321 = FALSE</formula>
    </cfRule>
  </conditionalFormatting>
  <conditionalFormatting sqref="W321">
    <cfRule type="expression" dxfId="3939" priority="516">
      <formula>OR($T$321 = TRUE, AND(LEN(TRIM($W$321))&gt;0, $S$321 = FALSE))</formula>
    </cfRule>
  </conditionalFormatting>
  <conditionalFormatting sqref="W322">
    <cfRule type="expression" dxfId="3938" priority="511">
      <formula>AND($R$322,$S$322)</formula>
    </cfRule>
  </conditionalFormatting>
  <conditionalFormatting sqref="W322">
    <cfRule type="expression" dxfId="3937" priority="510">
      <formula>AND(IF($R$322,$W$322,TRUE),LEN(TRIM($W$322))&gt;0)</formula>
    </cfRule>
  </conditionalFormatting>
  <conditionalFormatting sqref="W322">
    <cfRule type="expression" dxfId="3936" priority="509">
      <formula>$S$322 = FALSE</formula>
    </cfRule>
  </conditionalFormatting>
  <conditionalFormatting sqref="W322">
    <cfRule type="expression" dxfId="3935" priority="508">
      <formula>OR($T$322 = TRUE, AND(LEN(TRIM($W$322))&gt;0, $S$322 = FALSE))</formula>
    </cfRule>
  </conditionalFormatting>
  <conditionalFormatting sqref="W323">
    <cfRule type="expression" dxfId="3934" priority="507">
      <formula>AND($R$323,$S$323)</formula>
    </cfRule>
  </conditionalFormatting>
  <conditionalFormatting sqref="W323">
    <cfRule type="expression" dxfId="3933" priority="506">
      <formula>AND(IF($R$323,$W$323,TRUE),LEN(TRIM($W$323))&gt;0)</formula>
    </cfRule>
  </conditionalFormatting>
  <conditionalFormatting sqref="W323">
    <cfRule type="expression" dxfId="3932" priority="505">
      <formula>$S$323 = FALSE</formula>
    </cfRule>
  </conditionalFormatting>
  <conditionalFormatting sqref="W323">
    <cfRule type="expression" dxfId="3931" priority="504">
      <formula>OR($T$323 = TRUE, AND(LEN(TRIM($W$323))&gt;0, $S$323 = FALSE))</formula>
    </cfRule>
  </conditionalFormatting>
  <conditionalFormatting sqref="W324">
    <cfRule type="expression" dxfId="3930" priority="503">
      <formula>AND($R$324,$S$324)</formula>
    </cfRule>
  </conditionalFormatting>
  <conditionalFormatting sqref="W324">
    <cfRule type="expression" dxfId="3929" priority="502">
      <formula>AND(IF($R$324,$W$324,TRUE),LEN(TRIM($W$324))&gt;0)</formula>
    </cfRule>
  </conditionalFormatting>
  <conditionalFormatting sqref="W324">
    <cfRule type="expression" dxfId="3928" priority="501">
      <formula>$S$324 = FALSE</formula>
    </cfRule>
  </conditionalFormatting>
  <conditionalFormatting sqref="W324">
    <cfRule type="expression" dxfId="3927" priority="500">
      <formula>OR($T$324 = TRUE, AND(LEN(TRIM($W$324))&gt;0, $S$324 = FALSE))</formula>
    </cfRule>
  </conditionalFormatting>
  <conditionalFormatting sqref="W325">
    <cfRule type="expression" dxfId="3926" priority="499">
      <formula>AND($R$325,$S$325)</formula>
    </cfRule>
  </conditionalFormatting>
  <conditionalFormatting sqref="W325">
    <cfRule type="expression" dxfId="3925" priority="498">
      <formula>AND(IF($R$325,$W$325,TRUE),LEN(TRIM($W$325))&gt;0)</formula>
    </cfRule>
  </conditionalFormatting>
  <conditionalFormatting sqref="W325">
    <cfRule type="expression" dxfId="3924" priority="497">
      <formula>$S$325 = FALSE</formula>
    </cfRule>
  </conditionalFormatting>
  <conditionalFormatting sqref="W325">
    <cfRule type="expression" dxfId="3923" priority="496">
      <formula>OR($T$325 = TRUE, AND(LEN(TRIM($W$325))&gt;0, $S$325 = FALSE))</formula>
    </cfRule>
  </conditionalFormatting>
  <conditionalFormatting sqref="W326">
    <cfRule type="expression" dxfId="3922" priority="495">
      <formula>AND($R$326,$S$326)</formula>
    </cfRule>
  </conditionalFormatting>
  <conditionalFormatting sqref="W326">
    <cfRule type="expression" dxfId="3921" priority="494">
      <formula>AND(IF($R$326,$W$326,TRUE),LEN(TRIM($W$326))&gt;0)</formula>
    </cfRule>
  </conditionalFormatting>
  <conditionalFormatting sqref="W326">
    <cfRule type="expression" dxfId="3920" priority="493">
      <formula>$S$326 = FALSE</formula>
    </cfRule>
  </conditionalFormatting>
  <conditionalFormatting sqref="W326">
    <cfRule type="expression" dxfId="3919" priority="492">
      <formula>OR($T$326 = TRUE, AND(LEN(TRIM($W$326))&gt;0, $S$326 = FALSE))</formula>
    </cfRule>
  </conditionalFormatting>
  <conditionalFormatting sqref="W346">
    <cfRule type="expression" dxfId="3918" priority="491">
      <formula>AND($R$346,$S$346)</formula>
    </cfRule>
  </conditionalFormatting>
  <conditionalFormatting sqref="W346">
    <cfRule type="expression" dxfId="3917" priority="490">
      <formula>AND(IF($R$346,$W$346,TRUE),LEN(TRIM($W$346))&gt;0)</formula>
    </cfRule>
  </conditionalFormatting>
  <conditionalFormatting sqref="W346">
    <cfRule type="expression" dxfId="3916" priority="489">
      <formula>$S$346 = FALSE</formula>
    </cfRule>
  </conditionalFormatting>
  <conditionalFormatting sqref="W346">
    <cfRule type="expression" dxfId="3915" priority="488">
      <formula>OR($T$346 = TRUE, AND(LEN(TRIM($W$346))&gt;0, $S$346 = FALSE))</formula>
    </cfRule>
  </conditionalFormatting>
  <conditionalFormatting sqref="W347">
    <cfRule type="expression" dxfId="3914" priority="487">
      <formula>AND($R$347,$S$347)</formula>
    </cfRule>
  </conditionalFormatting>
  <conditionalFormatting sqref="W347">
    <cfRule type="expression" dxfId="3913" priority="486">
      <formula>AND(IF($R$347,$W$347,TRUE),LEN(TRIM($W$347))&gt;0)</formula>
    </cfRule>
  </conditionalFormatting>
  <conditionalFormatting sqref="W347">
    <cfRule type="expression" dxfId="3912" priority="485">
      <formula>$S$347 = FALSE</formula>
    </cfRule>
  </conditionalFormatting>
  <conditionalFormatting sqref="W347">
    <cfRule type="expression" dxfId="3911" priority="484">
      <formula>OR($T$347 = TRUE, AND(LEN(TRIM($W$347))&gt;0, $S$347 = FALSE))</formula>
    </cfRule>
  </conditionalFormatting>
  <conditionalFormatting sqref="W349">
    <cfRule type="expression" dxfId="3910" priority="483">
      <formula>AND($R$349,$S$349)</formula>
    </cfRule>
  </conditionalFormatting>
  <conditionalFormatting sqref="W349">
    <cfRule type="expression" dxfId="3909" priority="482">
      <formula>AND(IF($R$349,$W$349,TRUE),LEN(TRIM($W$349))&gt;0)</formula>
    </cfRule>
  </conditionalFormatting>
  <conditionalFormatting sqref="W349">
    <cfRule type="expression" dxfId="3908" priority="481">
      <formula>$S$349 = FALSE</formula>
    </cfRule>
  </conditionalFormatting>
  <conditionalFormatting sqref="W349">
    <cfRule type="expression" dxfId="3907" priority="480">
      <formula>OR($T$349 = TRUE, AND(LEN(TRIM($W$349))&gt;0, $S$349 = FALSE))</formula>
    </cfRule>
  </conditionalFormatting>
  <conditionalFormatting sqref="W350">
    <cfRule type="expression" dxfId="3906" priority="479">
      <formula>AND($R$350,$S$350)</formula>
    </cfRule>
  </conditionalFormatting>
  <conditionalFormatting sqref="W350">
    <cfRule type="expression" dxfId="3905" priority="478">
      <formula>AND(IF($R$350,$W$350,TRUE),LEN(TRIM($W$350))&gt;0)</formula>
    </cfRule>
  </conditionalFormatting>
  <conditionalFormatting sqref="W350">
    <cfRule type="expression" dxfId="3904" priority="477">
      <formula>$S$350 = FALSE</formula>
    </cfRule>
  </conditionalFormatting>
  <conditionalFormatting sqref="W350">
    <cfRule type="expression" dxfId="3903" priority="476">
      <formula>OR($T$350 = TRUE, AND(LEN(TRIM($W$350))&gt;0, $S$350 = FALSE))</formula>
    </cfRule>
  </conditionalFormatting>
  <conditionalFormatting sqref="X346:X347">
    <cfRule type="expression" dxfId="3902" priority="475">
      <formula>NOT(ISBLANK(W346))</formula>
    </cfRule>
  </conditionalFormatting>
  <conditionalFormatting sqref="W352">
    <cfRule type="expression" dxfId="3901" priority="474">
      <formula>AND($R$352,$S$352)</formula>
    </cfRule>
  </conditionalFormatting>
  <conditionalFormatting sqref="W352">
    <cfRule type="expression" dxfId="3900" priority="473">
      <formula>AND(IF($R$352,$W$352,TRUE),LEN(TRIM($W$352))&gt;0)</formula>
    </cfRule>
  </conditionalFormatting>
  <conditionalFormatting sqref="W352">
    <cfRule type="expression" dxfId="3899" priority="472">
      <formula>$S$352 = FALSE</formula>
    </cfRule>
  </conditionalFormatting>
  <conditionalFormatting sqref="W352">
    <cfRule type="expression" dxfId="3898" priority="471">
      <formula>OR($T$352 = TRUE, AND(LEN(TRIM($W$352))&gt;0, $S$352 = FALSE))</formula>
    </cfRule>
  </conditionalFormatting>
  <conditionalFormatting sqref="W367">
    <cfRule type="expression" dxfId="3897" priority="457">
      <formula>AND($R$367,$S$367)</formula>
    </cfRule>
  </conditionalFormatting>
  <conditionalFormatting sqref="W367">
    <cfRule type="expression" dxfId="3896" priority="456">
      <formula>AND(IF($R$367,$W$367,TRUE),LEN(TRIM($W$367))&gt;0)</formula>
    </cfRule>
  </conditionalFormatting>
  <conditionalFormatting sqref="W367">
    <cfRule type="expression" dxfId="3895" priority="455">
      <formula>$S$367 = FALSE</formula>
    </cfRule>
  </conditionalFormatting>
  <conditionalFormatting sqref="W367">
    <cfRule type="expression" dxfId="3894" priority="454">
      <formula>OR($T$367 = TRUE, AND(LEN(TRIM($W$367))&gt;0, $S$367 = FALSE))</formula>
    </cfRule>
  </conditionalFormatting>
  <conditionalFormatting sqref="W377">
    <cfRule type="expression" dxfId="3893" priority="452">
      <formula>AND($R$377,$S$377)</formula>
    </cfRule>
  </conditionalFormatting>
  <conditionalFormatting sqref="W377">
    <cfRule type="expression" dxfId="3892" priority="451">
      <formula>AND(IF($R$377,$W$377,TRUE),LEN(TRIM($W$377))&gt;0)</formula>
    </cfRule>
  </conditionalFormatting>
  <conditionalFormatting sqref="W377">
    <cfRule type="expression" dxfId="3891" priority="450">
      <formula>$S$377 = FALSE</formula>
    </cfRule>
  </conditionalFormatting>
  <conditionalFormatting sqref="W377">
    <cfRule type="expression" dxfId="3890" priority="449">
      <formula>OR($T$377 = TRUE, AND(LEN(TRIM($W$377))&gt;0, $S$377 = FALSE))</formula>
    </cfRule>
  </conditionalFormatting>
  <conditionalFormatting sqref="W380">
    <cfRule type="expression" dxfId="3889" priority="448">
      <formula>AND($R$380,$S$380)</formula>
    </cfRule>
  </conditionalFormatting>
  <conditionalFormatting sqref="W380">
    <cfRule type="expression" dxfId="3888" priority="447">
      <formula>AND(IF($R$380,$W$380,TRUE),LEN(TRIM($W$380))&gt;0)</formula>
    </cfRule>
  </conditionalFormatting>
  <conditionalFormatting sqref="W380">
    <cfRule type="expression" dxfId="3887" priority="446">
      <formula>$S$380 = FALSE</formula>
    </cfRule>
  </conditionalFormatting>
  <conditionalFormatting sqref="W380">
    <cfRule type="expression" dxfId="3886" priority="445">
      <formula>OR($T$380 = TRUE, AND(LEN(TRIM($W$380))&gt;0, $S$380 = FALSE))</formula>
    </cfRule>
  </conditionalFormatting>
  <conditionalFormatting sqref="X376:X378">
    <cfRule type="expression" dxfId="3885" priority="444">
      <formula>NOT(ISBLANK(W377))</formula>
    </cfRule>
  </conditionalFormatting>
  <conditionalFormatting sqref="X379:X382">
    <cfRule type="expression" dxfId="3884" priority="443">
      <formula>NOT(ISBLANK(W380))</formula>
    </cfRule>
  </conditionalFormatting>
  <conditionalFormatting sqref="W416">
    <cfRule type="expression" dxfId="3883" priority="442">
      <formula>AND($R$416,$S$416)</formula>
    </cfRule>
  </conditionalFormatting>
  <conditionalFormatting sqref="W416">
    <cfRule type="expression" dxfId="3882" priority="441">
      <formula>AND(IF($R$416,$W$416,TRUE),LEN(TRIM($W$416))&gt;0)</formula>
    </cfRule>
  </conditionalFormatting>
  <conditionalFormatting sqref="W416">
    <cfRule type="expression" dxfId="3881" priority="440">
      <formula>$S$416 = FALSE</formula>
    </cfRule>
  </conditionalFormatting>
  <conditionalFormatting sqref="W416">
    <cfRule type="expression" dxfId="3880" priority="439">
      <formula>OR($T$416 = TRUE, AND(LEN(TRIM($W$416))&gt;0, $S$416 = FALSE))</formula>
    </cfRule>
  </conditionalFormatting>
  <conditionalFormatting sqref="W423">
    <cfRule type="expression" dxfId="3879" priority="438">
      <formula>AND($R$423,$S$423)</formula>
    </cfRule>
  </conditionalFormatting>
  <conditionalFormatting sqref="W423">
    <cfRule type="expression" dxfId="3878" priority="437">
      <formula>AND(IF($R$423,$W$423,TRUE),LEN(TRIM($W$423))&gt;0)</formula>
    </cfRule>
  </conditionalFormatting>
  <conditionalFormatting sqref="W423">
    <cfRule type="expression" dxfId="3877" priority="436">
      <formula>$S$423 = FALSE</formula>
    </cfRule>
  </conditionalFormatting>
  <conditionalFormatting sqref="W423">
    <cfRule type="expression" dxfId="3876" priority="435">
      <formula>OR($T$423 = TRUE, AND(LEN(TRIM($W$423))&gt;0, $S$423 = FALSE))</formula>
    </cfRule>
  </conditionalFormatting>
  <conditionalFormatting sqref="X414:X420">
    <cfRule type="expression" dxfId="3875" priority="434">
      <formula>NOT(ISBLANK(W416))</formula>
    </cfRule>
  </conditionalFormatting>
  <conditionalFormatting sqref="X421:X427">
    <cfRule type="expression" dxfId="3874" priority="433">
      <formula>NOT(ISBLANK(W423))</formula>
    </cfRule>
  </conditionalFormatting>
  <conditionalFormatting sqref="W429">
    <cfRule type="expression" dxfId="3873" priority="432">
      <formula>AND($R$429,$S$429)</formula>
    </cfRule>
  </conditionalFormatting>
  <conditionalFormatting sqref="W429">
    <cfRule type="expression" dxfId="3872" priority="431">
      <formula>AND(IF($R$429,$W$429,TRUE),LEN(TRIM($W$429))&gt;0)</formula>
    </cfRule>
  </conditionalFormatting>
  <conditionalFormatting sqref="W429">
    <cfRule type="expression" dxfId="3871" priority="430">
      <formula>$S$429 = FALSE</formula>
    </cfRule>
  </conditionalFormatting>
  <conditionalFormatting sqref="W429">
    <cfRule type="expression" dxfId="3870" priority="429">
      <formula>OR($T$429 = TRUE, AND(LEN(TRIM($W$429))&gt;0, $S$429 = FALSE))</formula>
    </cfRule>
  </conditionalFormatting>
  <conditionalFormatting sqref="W435">
    <cfRule type="expression" dxfId="3869" priority="428">
      <formula>AND($R$435,$S$435)</formula>
    </cfRule>
  </conditionalFormatting>
  <conditionalFormatting sqref="W435">
    <cfRule type="expression" dxfId="3868" priority="427">
      <formula>AND(IF($R$435,$W$435,TRUE),LEN(TRIM($W$435))&gt;0)</formula>
    </cfRule>
  </conditionalFormatting>
  <conditionalFormatting sqref="W435">
    <cfRule type="expression" dxfId="3867" priority="426">
      <formula>$S$435 = FALSE</formula>
    </cfRule>
  </conditionalFormatting>
  <conditionalFormatting sqref="W435">
    <cfRule type="expression" dxfId="3866" priority="425">
      <formula>OR($T$435 = TRUE, AND(LEN(TRIM($W$435))&gt;0, $S$435 = FALSE))</formula>
    </cfRule>
  </conditionalFormatting>
  <conditionalFormatting sqref="W441">
    <cfRule type="expression" dxfId="3865" priority="424">
      <formula>AND($R$441,$S$441)</formula>
    </cfRule>
  </conditionalFormatting>
  <conditionalFormatting sqref="W441">
    <cfRule type="expression" dxfId="3864" priority="423">
      <formula>AND(IF($R$441,$W$441,TRUE),LEN(TRIM($W$441))&gt;0)</formula>
    </cfRule>
  </conditionalFormatting>
  <conditionalFormatting sqref="W441">
    <cfRule type="expression" dxfId="3863" priority="422">
      <formula>$S$441 = FALSE</formula>
    </cfRule>
  </conditionalFormatting>
  <conditionalFormatting sqref="W441">
    <cfRule type="expression" dxfId="3862" priority="421">
      <formula>OR($T$441 = TRUE, AND(LEN(TRIM($W$441))&gt;0, $S$441 = FALSE))</formula>
    </cfRule>
  </conditionalFormatting>
  <conditionalFormatting sqref="W447">
    <cfRule type="expression" dxfId="3861" priority="420">
      <formula>AND($R$447,$S$447)</formula>
    </cfRule>
  </conditionalFormatting>
  <conditionalFormatting sqref="W447">
    <cfRule type="expression" dxfId="3860" priority="419">
      <formula>AND(IF($R$447,$W$447,TRUE),LEN(TRIM($W$447))&gt;0)</formula>
    </cfRule>
  </conditionalFormatting>
  <conditionalFormatting sqref="W447">
    <cfRule type="expression" dxfId="3859" priority="418">
      <formula>$S$447 = FALSE</formula>
    </cfRule>
  </conditionalFormatting>
  <conditionalFormatting sqref="W447">
    <cfRule type="expression" dxfId="3858" priority="417">
      <formula>OR($T$447 = TRUE, AND(LEN(TRIM($W$447))&gt;0, $S$447 = FALSE))</formula>
    </cfRule>
  </conditionalFormatting>
  <conditionalFormatting sqref="X428:X433">
    <cfRule type="expression" dxfId="3857" priority="416">
      <formula>NOT(ISBLANK(W429))</formula>
    </cfRule>
  </conditionalFormatting>
  <conditionalFormatting sqref="X434:X439">
    <cfRule type="expression" dxfId="3856" priority="415">
      <formula>NOT(ISBLANK(W435))</formula>
    </cfRule>
  </conditionalFormatting>
  <conditionalFormatting sqref="X440:X445">
    <cfRule type="expression" dxfId="3855" priority="414">
      <formula>NOT(ISBLANK(W441))</formula>
    </cfRule>
  </conditionalFormatting>
  <conditionalFormatting sqref="X446:X451">
    <cfRule type="expression" dxfId="3854" priority="413">
      <formula>NOT(ISBLANK(W447))</formula>
    </cfRule>
  </conditionalFormatting>
  <conditionalFormatting sqref="W453">
    <cfRule type="expression" dxfId="3853" priority="406">
      <formula>$S$453 = FALSE</formula>
    </cfRule>
  </conditionalFormatting>
  <conditionalFormatting sqref="W453">
    <cfRule type="expression" dxfId="3852" priority="408">
      <formula>AND($R$453,$S$453)</formula>
    </cfRule>
  </conditionalFormatting>
  <conditionalFormatting sqref="W453">
    <cfRule type="expression" dxfId="3851" priority="407">
      <formula>AND(IF($R$453,$W$453,TRUE),LEN(TRIM($W$453))&gt;0)</formula>
    </cfRule>
  </conditionalFormatting>
  <conditionalFormatting sqref="W453">
    <cfRule type="expression" dxfId="3850" priority="405">
      <formula>OR($T$453 = TRUE, AND(LEN(TRIM($W$453))&gt;0, $S$453 = FALSE))</formula>
    </cfRule>
  </conditionalFormatting>
  <conditionalFormatting sqref="X453:X460">
    <cfRule type="expression" dxfId="3849" priority="404">
      <formula>NOT(ISBLANK(W453))</formula>
    </cfRule>
  </conditionalFormatting>
  <conditionalFormatting sqref="W503">
    <cfRule type="expression" dxfId="3848" priority="403">
      <formula>AND(R503,S503)</formula>
    </cfRule>
  </conditionalFormatting>
  <conditionalFormatting sqref="W503">
    <cfRule type="expression" dxfId="3847" priority="402">
      <formula>AND(IF(R503,W503,TRUE),LEN(TRIM(W503))&gt;0)</formula>
    </cfRule>
  </conditionalFormatting>
  <conditionalFormatting sqref="W503">
    <cfRule type="expression" dxfId="3846" priority="401">
      <formula>S503 = FALSE</formula>
    </cfRule>
  </conditionalFormatting>
  <conditionalFormatting sqref="W503">
    <cfRule type="expression" dxfId="3845" priority="400">
      <formula>OR(T503 = TRUE, AND(W503 = TRUE, S503 = FALSE))</formula>
    </cfRule>
  </conditionalFormatting>
  <conditionalFormatting sqref="W513">
    <cfRule type="expression" dxfId="3844" priority="391">
      <formula>AND(R513,S513)</formula>
    </cfRule>
  </conditionalFormatting>
  <conditionalFormatting sqref="W513">
    <cfRule type="expression" dxfId="3843" priority="390">
      <formula>AND(IF(R513,W513,TRUE),LEN(TRIM(W513))&gt;0)</formula>
    </cfRule>
  </conditionalFormatting>
  <conditionalFormatting sqref="W513">
    <cfRule type="expression" dxfId="3842" priority="389">
      <formula>S513 = FALSE</formula>
    </cfRule>
  </conditionalFormatting>
  <conditionalFormatting sqref="W513">
    <cfRule type="expression" dxfId="3841" priority="388">
      <formula>OR(T513 = TRUE, AND(W513 = TRUE, S513 = FALSE))</formula>
    </cfRule>
  </conditionalFormatting>
  <conditionalFormatting sqref="X502:X510">
    <cfRule type="expression" dxfId="3840" priority="387">
      <formula>W503&gt;0</formula>
    </cfRule>
  </conditionalFormatting>
  <conditionalFormatting sqref="X511:X517">
    <cfRule type="expression" dxfId="3839" priority="386">
      <formula>W513&gt;0</formula>
    </cfRule>
  </conditionalFormatting>
  <conditionalFormatting sqref="W117">
    <cfRule type="expression" dxfId="3838" priority="381">
      <formula>AND($R$117,$S$117)</formula>
    </cfRule>
  </conditionalFormatting>
  <conditionalFormatting sqref="W117">
    <cfRule type="expression" dxfId="3837" priority="380">
      <formula>AND($W$117&lt;&gt;"Not Met",LEN(TRIM($W$117))&gt;0)</formula>
    </cfRule>
  </conditionalFormatting>
  <conditionalFormatting sqref="W117">
    <cfRule type="expression" dxfId="3836" priority="379">
      <formula>$S$117 = FALSE</formula>
    </cfRule>
  </conditionalFormatting>
  <conditionalFormatting sqref="W117">
    <cfRule type="expression" dxfId="3835" priority="378">
      <formula>OR($T$117 = TRUE, AND(LEN(TRIM($W$117))&gt;0, $S$117 = FALSE))</formula>
    </cfRule>
  </conditionalFormatting>
  <conditionalFormatting sqref="W123">
    <cfRule type="expression" dxfId="3834" priority="377">
      <formula>AND($R$123,$S$123)</formula>
    </cfRule>
  </conditionalFormatting>
  <conditionalFormatting sqref="W123">
    <cfRule type="expression" dxfId="3833" priority="376">
      <formula>AND($W$123&lt;&gt;"Not Met",LEN(TRIM($W$123))&gt;0)</formula>
    </cfRule>
  </conditionalFormatting>
  <conditionalFormatting sqref="W123">
    <cfRule type="expression" dxfId="3832" priority="375">
      <formula>$S$123 = FALSE</formula>
    </cfRule>
  </conditionalFormatting>
  <conditionalFormatting sqref="W123">
    <cfRule type="expression" dxfId="3831" priority="374">
      <formula>OR($T$123 = TRUE, AND(LEN(TRIM($W$123))&gt;0, $S$123 = FALSE))</formula>
    </cfRule>
  </conditionalFormatting>
  <conditionalFormatting sqref="W150">
    <cfRule type="expression" dxfId="3830" priority="373">
      <formula>AND($R$150,$S$150)</formula>
    </cfRule>
  </conditionalFormatting>
  <conditionalFormatting sqref="W150">
    <cfRule type="expression" dxfId="3829" priority="372">
      <formula>AND($W$150&lt;&gt;"Not Met",LEN(TRIM($W$150))&gt;0)</formula>
    </cfRule>
  </conditionalFormatting>
  <conditionalFormatting sqref="W150">
    <cfRule type="expression" dxfId="3828" priority="371">
      <formula>$S$150 = FALSE</formula>
    </cfRule>
  </conditionalFormatting>
  <conditionalFormatting sqref="W150">
    <cfRule type="expression" dxfId="3827" priority="370">
      <formula>OR($T$150 = TRUE, AND(LEN(TRIM($W$150))&gt;0, $S$150 = FALSE))</formula>
    </cfRule>
  </conditionalFormatting>
  <conditionalFormatting sqref="W161">
    <cfRule type="expression" dxfId="3826" priority="369">
      <formula>AND($R$161,$S$161)</formula>
    </cfRule>
  </conditionalFormatting>
  <conditionalFormatting sqref="W161">
    <cfRule type="expression" dxfId="3825" priority="368">
      <formula>AND($W$161&lt;&gt;"Not Met",LEN(TRIM($W$161))&gt;0)</formula>
    </cfRule>
  </conditionalFormatting>
  <conditionalFormatting sqref="W161">
    <cfRule type="expression" dxfId="3824" priority="367">
      <formula>$S$161 = FALSE</formula>
    </cfRule>
  </conditionalFormatting>
  <conditionalFormatting sqref="W161">
    <cfRule type="expression" dxfId="3823" priority="366">
      <formula>OR($T$161 = TRUE, AND(LEN(TRIM($W$161))&gt;0, $S$161 = FALSE))</formula>
    </cfRule>
  </conditionalFormatting>
  <conditionalFormatting sqref="W209">
    <cfRule type="expression" dxfId="3822" priority="365">
      <formula>AND($R$209,$S$209)</formula>
    </cfRule>
  </conditionalFormatting>
  <conditionalFormatting sqref="W209">
    <cfRule type="expression" dxfId="3821" priority="364">
      <formula>AND($W$209&lt;&gt;"Not Met",LEN(TRIM($W$209))&gt;0)</formula>
    </cfRule>
  </conditionalFormatting>
  <conditionalFormatting sqref="W209">
    <cfRule type="expression" dxfId="3820" priority="363">
      <formula>$S$209 = FALSE</formula>
    </cfRule>
  </conditionalFormatting>
  <conditionalFormatting sqref="W209">
    <cfRule type="expression" dxfId="3819" priority="362">
      <formula>OR($T$209 = TRUE, AND(LEN(TRIM($W$209))&gt;0, $S$209 = FALSE))</formula>
    </cfRule>
  </conditionalFormatting>
  <conditionalFormatting sqref="W214">
    <cfRule type="expression" dxfId="3818" priority="361">
      <formula>AND($R$214,$S$214)</formula>
    </cfRule>
  </conditionalFormatting>
  <conditionalFormatting sqref="W214">
    <cfRule type="expression" dxfId="3817" priority="360">
      <formula>AND($W$214&lt;&gt;"Not Met",LEN(TRIM($W$214))&gt;0)</formula>
    </cfRule>
  </conditionalFormatting>
  <conditionalFormatting sqref="W214">
    <cfRule type="expression" dxfId="3816" priority="359">
      <formula>$S$214 = FALSE</formula>
    </cfRule>
  </conditionalFormatting>
  <conditionalFormatting sqref="W214">
    <cfRule type="expression" dxfId="3815" priority="358">
      <formula>OR($T$214 = TRUE, AND(LEN(TRIM($W$214))&gt;0, $S$214 = FALSE))</formula>
    </cfRule>
  </conditionalFormatting>
  <conditionalFormatting sqref="W220">
    <cfRule type="expression" dxfId="3814" priority="357">
      <formula>AND($R$220,$S$220)</formula>
    </cfRule>
  </conditionalFormatting>
  <conditionalFormatting sqref="W220">
    <cfRule type="expression" dxfId="3813" priority="356">
      <formula>AND($W$220&lt;&gt;"Not Met",LEN(TRIM($W$220))&gt;0)</formula>
    </cfRule>
  </conditionalFormatting>
  <conditionalFormatting sqref="W220">
    <cfRule type="expression" dxfId="3812" priority="355">
      <formula>$S$220 = FALSE</formula>
    </cfRule>
  </conditionalFormatting>
  <conditionalFormatting sqref="W220">
    <cfRule type="expression" dxfId="3811" priority="354">
      <formula>OR($T$220 = TRUE, AND(LEN(TRIM($W$220))&gt;0, $S$220 = FALSE))</formula>
    </cfRule>
  </conditionalFormatting>
  <conditionalFormatting sqref="W29">
    <cfRule type="expression" dxfId="3810" priority="350">
      <formula>OR($T$29 = TRUE, AND($W$29 = TRUE, $S$29 = FALSE))</formula>
    </cfRule>
    <cfRule type="expression" dxfId="3809" priority="351">
      <formula>$S$29 = FALSE</formula>
    </cfRule>
    <cfRule type="expression" dxfId="3808" priority="352">
      <formula>AND(IF($R$29,$W$29,TRUE),LEN(TRIM($W$29))&gt;0)</formula>
    </cfRule>
    <cfRule type="expression" dxfId="3807" priority="353">
      <formula>AND($R$29,$S$29)</formula>
    </cfRule>
  </conditionalFormatting>
  <conditionalFormatting sqref="W32">
    <cfRule type="expression" dxfId="3806" priority="346">
      <formula>OR($T$32 = TRUE, AND($W$32 = TRUE, $S$32 = FALSE))</formula>
    </cfRule>
    <cfRule type="expression" dxfId="3805" priority="347">
      <formula>$S$32 = FALSE</formula>
    </cfRule>
    <cfRule type="expression" dxfId="3804" priority="348">
      <formula>AND(IF($R$32,$W$32,TRUE),LEN(TRIM($W$32))&gt;0)</formula>
    </cfRule>
    <cfRule type="expression" dxfId="3803" priority="349">
      <formula>AND($R$32,$S$32)</formula>
    </cfRule>
  </conditionalFormatting>
  <conditionalFormatting sqref="W35">
    <cfRule type="expression" dxfId="3802" priority="342">
      <formula>OR($T$35 = TRUE, AND($W$35 = TRUE, $S$35 = FALSE))</formula>
    </cfRule>
    <cfRule type="expression" dxfId="3801" priority="343">
      <formula>$S$35 = FALSE</formula>
    </cfRule>
    <cfRule type="expression" dxfId="3800" priority="344">
      <formula>AND(IF($R$35,$W$35,TRUE),LEN(TRIM($W$35))&gt;0)</formula>
    </cfRule>
    <cfRule type="expression" dxfId="3799" priority="345">
      <formula>AND($R$35,$S$35)</formula>
    </cfRule>
  </conditionalFormatting>
  <conditionalFormatting sqref="W39">
    <cfRule type="expression" dxfId="3798" priority="338">
      <formula>OR($T$39 = TRUE, AND($W$39 = TRUE, $S$39 = FALSE))</formula>
    </cfRule>
    <cfRule type="expression" dxfId="3797" priority="339">
      <formula>$S$39 = FALSE</formula>
    </cfRule>
    <cfRule type="expression" dxfId="3796" priority="340">
      <formula>AND(IF($R$39,$W$39,TRUE),LEN(TRIM($W$39))&gt;0)</formula>
    </cfRule>
    <cfRule type="expression" dxfId="3795" priority="341">
      <formula>AND($R$39,$S$39)</formula>
    </cfRule>
  </conditionalFormatting>
  <conditionalFormatting sqref="W40">
    <cfRule type="expression" dxfId="3794" priority="334">
      <formula>OR($T$40 = TRUE, AND($W$40 = TRUE, $S$40 = FALSE))</formula>
    </cfRule>
    <cfRule type="expression" dxfId="3793" priority="335">
      <formula>$S$40 = FALSE</formula>
    </cfRule>
    <cfRule type="expression" dxfId="3792" priority="336">
      <formula>AND(IF($R$40,$W$40,TRUE),LEN(TRIM($W$40))&gt;0)</formula>
    </cfRule>
    <cfRule type="expression" dxfId="3791" priority="337">
      <formula>AND($R$40,$S$40)</formula>
    </cfRule>
  </conditionalFormatting>
  <conditionalFormatting sqref="W41">
    <cfRule type="expression" dxfId="3790" priority="330">
      <formula>OR($T$41 = TRUE, AND($W$41 = TRUE, $S$41 = FALSE))</formula>
    </cfRule>
    <cfRule type="expression" dxfId="3789" priority="331">
      <formula>$S$41 = FALSE</formula>
    </cfRule>
    <cfRule type="expression" dxfId="3788" priority="332">
      <formula>AND(IF($R$41,$W$41,TRUE),LEN(TRIM($W$41))&gt;0)</formula>
    </cfRule>
    <cfRule type="expression" dxfId="3787" priority="333">
      <formula>AND($R$41,$S$41)</formula>
    </cfRule>
  </conditionalFormatting>
  <conditionalFormatting sqref="W42">
    <cfRule type="expression" dxfId="3786" priority="326">
      <formula>OR($T$42 = TRUE, AND($W$42 = TRUE, $S$42 = FALSE))</formula>
    </cfRule>
    <cfRule type="expression" dxfId="3785" priority="327">
      <formula>$S$42 = FALSE</formula>
    </cfRule>
    <cfRule type="expression" dxfId="3784" priority="328">
      <formula>AND(IF($R$42,$W$42,TRUE),LEN(TRIM($W$42))&gt;0)</formula>
    </cfRule>
    <cfRule type="expression" dxfId="3783" priority="329">
      <formula>AND($R$42,$S$42)</formula>
    </cfRule>
  </conditionalFormatting>
  <conditionalFormatting sqref="W43">
    <cfRule type="expression" dxfId="3782" priority="322">
      <formula>OR($T$43 = TRUE, AND($W$43 = TRUE, $S$43 = FALSE))</formula>
    </cfRule>
    <cfRule type="expression" dxfId="3781" priority="323">
      <formula>$S$43 = FALSE</formula>
    </cfRule>
    <cfRule type="expression" dxfId="3780" priority="324">
      <formula>AND(IF($R$43,$W$43,TRUE),LEN(TRIM($W$43))&gt;0)</formula>
    </cfRule>
    <cfRule type="expression" dxfId="3779" priority="325">
      <formula>AND($R$43,$S$43)</formula>
    </cfRule>
  </conditionalFormatting>
  <conditionalFormatting sqref="W44">
    <cfRule type="expression" dxfId="3778" priority="318">
      <formula>OR($T$44 = TRUE, AND($W$44 = TRUE, $S$44 = FALSE))</formula>
    </cfRule>
    <cfRule type="expression" dxfId="3777" priority="319">
      <formula>$S$44 = FALSE</formula>
    </cfRule>
    <cfRule type="expression" dxfId="3776" priority="320">
      <formula>AND(IF($R$44,$W$44,TRUE),LEN(TRIM($W$44))&gt;0)</formula>
    </cfRule>
    <cfRule type="expression" dxfId="3775" priority="321">
      <formula>AND($R$44,$S$44)</formula>
    </cfRule>
  </conditionalFormatting>
  <conditionalFormatting sqref="W50">
    <cfRule type="expression" dxfId="3774" priority="314">
      <formula>OR($T$50 = TRUE, AND($W$50 = TRUE, $S$50 = FALSE))</formula>
    </cfRule>
    <cfRule type="expression" dxfId="3773" priority="315">
      <formula>$S$50 = FALSE</formula>
    </cfRule>
    <cfRule type="expression" dxfId="3772" priority="316">
      <formula>AND(IF($R$50,$W$50,TRUE),LEN(TRIM($W$50))&gt;0)</formula>
    </cfRule>
    <cfRule type="expression" dxfId="3771" priority="317">
      <formula>AND($R$50,$S$50)</formula>
    </cfRule>
  </conditionalFormatting>
  <conditionalFormatting sqref="W51">
    <cfRule type="expression" dxfId="3770" priority="310">
      <formula>OR($T$51 = TRUE, AND($W$51 = TRUE, $S$51 = FALSE))</formula>
    </cfRule>
    <cfRule type="expression" dxfId="3769" priority="311">
      <formula>$S$51 = FALSE</formula>
    </cfRule>
    <cfRule type="expression" dxfId="3768" priority="312">
      <formula>AND(IF($R$51,$W$51,TRUE),LEN(TRIM($W$51))&gt;0)</formula>
    </cfRule>
    <cfRule type="expression" dxfId="3767" priority="313">
      <formula>AND($R$51,$S$51)</formula>
    </cfRule>
  </conditionalFormatting>
  <conditionalFormatting sqref="W52">
    <cfRule type="expression" dxfId="3766" priority="306">
      <formula>OR($T$52 = TRUE, AND($W$52 = TRUE, $S$52 = FALSE))</formula>
    </cfRule>
    <cfRule type="expression" dxfId="3765" priority="307">
      <formula>$S$52 = FALSE</formula>
    </cfRule>
    <cfRule type="expression" dxfId="3764" priority="308">
      <formula>AND(IF($R$52,$W$52,TRUE),LEN(TRIM($W$52))&gt;0)</formula>
    </cfRule>
    <cfRule type="expression" dxfId="3763" priority="309">
      <formula>AND($R$52,$S$52)</formula>
    </cfRule>
  </conditionalFormatting>
  <conditionalFormatting sqref="W53">
    <cfRule type="expression" dxfId="3762" priority="305">
      <formula>AND($R$53,$S$53)</formula>
    </cfRule>
  </conditionalFormatting>
  <conditionalFormatting sqref="W53">
    <cfRule type="expression" dxfId="3761" priority="304">
      <formula>AND(IF($R$53,$W$53,TRUE),LEN(TRIM($W$53))&gt;0)</formula>
    </cfRule>
  </conditionalFormatting>
  <conditionalFormatting sqref="W53">
    <cfRule type="expression" dxfId="3760" priority="303">
      <formula>$S$53 = FALSE</formula>
    </cfRule>
  </conditionalFormatting>
  <conditionalFormatting sqref="W53">
    <cfRule type="expression" dxfId="3759" priority="302">
      <formula>OR($T$53 = TRUE, AND($W$53 = TRUE, $S$53 = FALSE))</formula>
    </cfRule>
  </conditionalFormatting>
  <conditionalFormatting sqref="W54">
    <cfRule type="expression" dxfId="3758" priority="301">
      <formula>AND($R$54,$S$54)</formula>
    </cfRule>
  </conditionalFormatting>
  <conditionalFormatting sqref="W54">
    <cfRule type="expression" dxfId="3757" priority="300">
      <formula>AND(IF($R$54,$W$54,TRUE),LEN(TRIM($W$54))&gt;0)</formula>
    </cfRule>
  </conditionalFormatting>
  <conditionalFormatting sqref="W54">
    <cfRule type="expression" dxfId="3756" priority="299">
      <formula>$S$54 = FALSE</formula>
    </cfRule>
  </conditionalFormatting>
  <conditionalFormatting sqref="W54">
    <cfRule type="expression" dxfId="3755" priority="298">
      <formula>OR($T$54 = TRUE, AND($W$54 = TRUE, $S$54 = FALSE))</formula>
    </cfRule>
  </conditionalFormatting>
  <conditionalFormatting sqref="W78">
    <cfRule type="expression" dxfId="3754" priority="297">
      <formula>AND($R$78,$S$78)</formula>
    </cfRule>
  </conditionalFormatting>
  <conditionalFormatting sqref="W78">
    <cfRule type="expression" dxfId="3753" priority="296">
      <formula>AND(IF($R$78,$W$78,TRUE),LEN(TRIM($W$78))&gt;0)</formula>
    </cfRule>
  </conditionalFormatting>
  <conditionalFormatting sqref="W78">
    <cfRule type="expression" dxfId="3752" priority="295">
      <formula>$S$78 = FALSE</formula>
    </cfRule>
  </conditionalFormatting>
  <conditionalFormatting sqref="W78">
    <cfRule type="expression" dxfId="3751" priority="294">
      <formula>OR($T$78 = TRUE, AND($W$78 = TRUE, $S$78 = FALSE))</formula>
    </cfRule>
  </conditionalFormatting>
  <conditionalFormatting sqref="W86">
    <cfRule type="expression" dxfId="3750" priority="293">
      <formula>AND($R$86,$S$86)</formula>
    </cfRule>
  </conditionalFormatting>
  <conditionalFormatting sqref="W86">
    <cfRule type="expression" dxfId="3749" priority="292">
      <formula>AND(IF($R$86,$W$86,TRUE),LEN(TRIM($W$86))&gt;0)</formula>
    </cfRule>
  </conditionalFormatting>
  <conditionalFormatting sqref="W86">
    <cfRule type="expression" dxfId="3748" priority="291">
      <formula>$S$86 = FALSE</formula>
    </cfRule>
  </conditionalFormatting>
  <conditionalFormatting sqref="W86">
    <cfRule type="expression" dxfId="3747" priority="290">
      <formula>OR($T$86 = TRUE, AND($W$86 = TRUE, $S$86 = FALSE))</formula>
    </cfRule>
  </conditionalFormatting>
  <conditionalFormatting sqref="W97">
    <cfRule type="expression" dxfId="3746" priority="289">
      <formula>AND($R$97,$S$97)</formula>
    </cfRule>
  </conditionalFormatting>
  <conditionalFormatting sqref="W97">
    <cfRule type="expression" dxfId="3745" priority="288">
      <formula>AND(IF($R$97,$W$97,TRUE),LEN(TRIM($W$97))&gt;0)</formula>
    </cfRule>
  </conditionalFormatting>
  <conditionalFormatting sqref="W97">
    <cfRule type="expression" dxfId="3744" priority="287">
      <formula>$S$97 = FALSE</formula>
    </cfRule>
  </conditionalFormatting>
  <conditionalFormatting sqref="W97">
    <cfRule type="expression" dxfId="3743" priority="286">
      <formula>OR($T$97 = TRUE, AND($W$97 = TRUE, $S$97 = FALSE))</formula>
    </cfRule>
  </conditionalFormatting>
  <conditionalFormatting sqref="W100">
    <cfRule type="expression" dxfId="3742" priority="285">
      <formula>AND($R$100,$S$100)</formula>
    </cfRule>
  </conditionalFormatting>
  <conditionalFormatting sqref="W100">
    <cfRule type="expression" dxfId="3741" priority="284">
      <formula>AND(IF($R$100,$W$100,TRUE),LEN(TRIM($W$100))&gt;0)</formula>
    </cfRule>
  </conditionalFormatting>
  <conditionalFormatting sqref="W100">
    <cfRule type="expression" dxfId="3740" priority="283">
      <formula>$S$100 = FALSE</formula>
    </cfRule>
  </conditionalFormatting>
  <conditionalFormatting sqref="W100">
    <cfRule type="expression" dxfId="3739" priority="282">
      <formula>OR($T$100 = TRUE, AND($W$100 = TRUE, $S$100 = FALSE))</formula>
    </cfRule>
  </conditionalFormatting>
  <conditionalFormatting sqref="W104">
    <cfRule type="expression" dxfId="3738" priority="281">
      <formula>AND($R$104,$S$104)</formula>
    </cfRule>
  </conditionalFormatting>
  <conditionalFormatting sqref="W104">
    <cfRule type="expression" dxfId="3737" priority="280">
      <formula>AND(IF($R$104,$W$104,TRUE),LEN(TRIM($W$104))&gt;0)</formula>
    </cfRule>
  </conditionalFormatting>
  <conditionalFormatting sqref="W104">
    <cfRule type="expression" dxfId="3736" priority="279">
      <formula>$S$104 = FALSE</formula>
    </cfRule>
  </conditionalFormatting>
  <conditionalFormatting sqref="W104">
    <cfRule type="expression" dxfId="3735" priority="278">
      <formula>OR($T$104 = TRUE, AND($W$104 = TRUE, $S$104 = FALSE))</formula>
    </cfRule>
  </conditionalFormatting>
  <conditionalFormatting sqref="W105">
    <cfRule type="expression" dxfId="3734" priority="277">
      <formula>AND($R$105,$S$105)</formula>
    </cfRule>
  </conditionalFormatting>
  <conditionalFormatting sqref="W105">
    <cfRule type="expression" dxfId="3733" priority="276">
      <formula>AND(IF($R$105,$W$105,TRUE),LEN(TRIM($W$105))&gt;0)</formula>
    </cfRule>
  </conditionalFormatting>
  <conditionalFormatting sqref="W105">
    <cfRule type="expression" dxfId="3732" priority="275">
      <formula>$S$105 = FALSE</formula>
    </cfRule>
  </conditionalFormatting>
  <conditionalFormatting sqref="W105">
    <cfRule type="expression" dxfId="3731" priority="274">
      <formula>OR($T$105 = TRUE, AND($W$105 = TRUE, $S$105 = FALSE))</formula>
    </cfRule>
  </conditionalFormatting>
  <conditionalFormatting sqref="W107">
    <cfRule type="expression" dxfId="3730" priority="273">
      <formula>AND($R$107,$S$107)</formula>
    </cfRule>
  </conditionalFormatting>
  <conditionalFormatting sqref="W107">
    <cfRule type="expression" dxfId="3729" priority="272">
      <formula>AND(IF($R$107,$W$107,TRUE),LEN(TRIM($W$107))&gt;0)</formula>
    </cfRule>
  </conditionalFormatting>
  <conditionalFormatting sqref="W107">
    <cfRule type="expression" dxfId="3728" priority="271">
      <formula>$S$107 = FALSE</formula>
    </cfRule>
  </conditionalFormatting>
  <conditionalFormatting sqref="W107">
    <cfRule type="expression" dxfId="3727" priority="270">
      <formula>OR($T$107 = TRUE, AND($W$107 = TRUE, $S$107 = FALSE))</formula>
    </cfRule>
  </conditionalFormatting>
  <conditionalFormatting sqref="W109">
    <cfRule type="expression" dxfId="3726" priority="269">
      <formula>AND($R$109,$S$109)</formula>
    </cfRule>
  </conditionalFormatting>
  <conditionalFormatting sqref="W109">
    <cfRule type="expression" dxfId="3725" priority="268">
      <formula>AND(IF($R$109,$W$109,TRUE),LEN(TRIM($W$109))&gt;0)</formula>
    </cfRule>
  </conditionalFormatting>
  <conditionalFormatting sqref="W109">
    <cfRule type="expression" dxfId="3724" priority="267">
      <formula>$S$109 = FALSE</formula>
    </cfRule>
  </conditionalFormatting>
  <conditionalFormatting sqref="W109">
    <cfRule type="expression" dxfId="3723" priority="266">
      <formula>OR($T$109 = TRUE, AND($W$109 = TRUE, $S$109 = FALSE))</formula>
    </cfRule>
  </conditionalFormatting>
  <conditionalFormatting sqref="W115">
    <cfRule type="expression" dxfId="3722" priority="265">
      <formula>AND($R$115,$S$115)</formula>
    </cfRule>
  </conditionalFormatting>
  <conditionalFormatting sqref="W115">
    <cfRule type="expression" dxfId="3721" priority="264">
      <formula>AND(IF($R$115,$W$115,TRUE),LEN(TRIM($W$115))&gt;0)</formula>
    </cfRule>
  </conditionalFormatting>
  <conditionalFormatting sqref="W115">
    <cfRule type="expression" dxfId="3720" priority="263">
      <formula>$S$115 = FALSE</formula>
    </cfRule>
  </conditionalFormatting>
  <conditionalFormatting sqref="W115">
    <cfRule type="expression" dxfId="3719" priority="262">
      <formula>OR($T$115 = TRUE, AND($W$115 = TRUE, $S$115 = FALSE))</formula>
    </cfRule>
  </conditionalFormatting>
  <conditionalFormatting sqref="W121">
    <cfRule type="expression" dxfId="3718" priority="261">
      <formula>AND($R$121,$S$121)</formula>
    </cfRule>
  </conditionalFormatting>
  <conditionalFormatting sqref="W121">
    <cfRule type="expression" dxfId="3717" priority="260">
      <formula>AND(IF($R$121,$W$121,TRUE),LEN(TRIM($W$121))&gt;0)</formula>
    </cfRule>
  </conditionalFormatting>
  <conditionalFormatting sqref="W121">
    <cfRule type="expression" dxfId="3716" priority="259">
      <formula>$S$121 = FALSE</formula>
    </cfRule>
  </conditionalFormatting>
  <conditionalFormatting sqref="W121">
    <cfRule type="expression" dxfId="3715" priority="258">
      <formula>OR($T$121 = TRUE, AND($W$121 = TRUE, $S$121 = FALSE))</formula>
    </cfRule>
  </conditionalFormatting>
  <conditionalFormatting sqref="W127">
    <cfRule type="expression" dxfId="3714" priority="257">
      <formula>AND($R$127,$S$127)</formula>
    </cfRule>
  </conditionalFormatting>
  <conditionalFormatting sqref="W127">
    <cfRule type="expression" dxfId="3713" priority="256">
      <formula>AND(IF($R$127,$W$127,TRUE),LEN(TRIM($W$127))&gt;0)</formula>
    </cfRule>
  </conditionalFormatting>
  <conditionalFormatting sqref="W127">
    <cfRule type="expression" dxfId="3712" priority="255">
      <formula>$S$127 = FALSE</formula>
    </cfRule>
  </conditionalFormatting>
  <conditionalFormatting sqref="W127">
    <cfRule type="expression" dxfId="3711" priority="254">
      <formula>OR($T$127 = TRUE, AND($W$127 = TRUE, $S$127 = FALSE))</formula>
    </cfRule>
  </conditionalFormatting>
  <conditionalFormatting sqref="W129">
    <cfRule type="expression" dxfId="3710" priority="253">
      <formula>AND($R$129,$S$129)</formula>
    </cfRule>
  </conditionalFormatting>
  <conditionalFormatting sqref="W129">
    <cfRule type="expression" dxfId="3709" priority="252">
      <formula>AND(IF($R$129,$W$129,TRUE),LEN(TRIM($W$129))&gt;0)</formula>
    </cfRule>
  </conditionalFormatting>
  <conditionalFormatting sqref="W129">
    <cfRule type="expression" dxfId="3708" priority="251">
      <formula>$S$129 = FALSE</formula>
    </cfRule>
  </conditionalFormatting>
  <conditionalFormatting sqref="W129">
    <cfRule type="expression" dxfId="3707" priority="250">
      <formula>OR($T$129 = TRUE, AND($W$129 = TRUE, $S$129 = FALSE))</formula>
    </cfRule>
  </conditionalFormatting>
  <conditionalFormatting sqref="W135">
    <cfRule type="expression" dxfId="3706" priority="249">
      <formula>AND($R$135,$S$135)</formula>
    </cfRule>
  </conditionalFormatting>
  <conditionalFormatting sqref="W135">
    <cfRule type="expression" dxfId="3705" priority="248">
      <formula>AND(IF($R$135,$W$135,TRUE),LEN(TRIM($W$135))&gt;0)</formula>
    </cfRule>
  </conditionalFormatting>
  <conditionalFormatting sqref="W135">
    <cfRule type="expression" dxfId="3704" priority="247">
      <formula>$S$135 = FALSE</formula>
    </cfRule>
  </conditionalFormatting>
  <conditionalFormatting sqref="W135">
    <cfRule type="expression" dxfId="3703" priority="246">
      <formula>OR($T$135 = TRUE, AND($W$135 = TRUE, $S$135 = FALSE))</formula>
    </cfRule>
  </conditionalFormatting>
  <conditionalFormatting sqref="W139">
    <cfRule type="expression" dxfId="3702" priority="245">
      <formula>AND($R$139,$S$139)</formula>
    </cfRule>
  </conditionalFormatting>
  <conditionalFormatting sqref="W139">
    <cfRule type="expression" dxfId="3701" priority="244">
      <formula>AND(IF($R$139,$W$139,TRUE),LEN(TRIM($W$139))&gt;0)</formula>
    </cfRule>
  </conditionalFormatting>
  <conditionalFormatting sqref="W139">
    <cfRule type="expression" dxfId="3700" priority="243">
      <formula>$S$139 = FALSE</formula>
    </cfRule>
  </conditionalFormatting>
  <conditionalFormatting sqref="W139">
    <cfRule type="expression" dxfId="3699" priority="242">
      <formula>OR($T$139 = TRUE, AND($W$139 = TRUE, $S$139 = FALSE))</formula>
    </cfRule>
  </conditionalFormatting>
  <conditionalFormatting sqref="W143">
    <cfRule type="expression" dxfId="3698" priority="241">
      <formula>AND($R$143,$S$143)</formula>
    </cfRule>
  </conditionalFormatting>
  <conditionalFormatting sqref="W143">
    <cfRule type="expression" dxfId="3697" priority="240">
      <formula>AND(IF($R$143,$W$143,TRUE),LEN(TRIM($W$143))&gt;0)</formula>
    </cfRule>
  </conditionalFormatting>
  <conditionalFormatting sqref="W143">
    <cfRule type="expression" dxfId="3696" priority="239">
      <formula>$S$143 = FALSE</formula>
    </cfRule>
  </conditionalFormatting>
  <conditionalFormatting sqref="W143">
    <cfRule type="expression" dxfId="3695" priority="238">
      <formula>OR($T$143 = TRUE, AND($W$143 = TRUE, $S$143 = FALSE))</formula>
    </cfRule>
  </conditionalFormatting>
  <conditionalFormatting sqref="W148">
    <cfRule type="expression" dxfId="3694" priority="237">
      <formula>AND($R$148,$S$148)</formula>
    </cfRule>
  </conditionalFormatting>
  <conditionalFormatting sqref="W148">
    <cfRule type="expression" dxfId="3693" priority="236">
      <formula>AND(IF($R$148,$W$148,TRUE),LEN(TRIM($W$148))&gt;0)</formula>
    </cfRule>
  </conditionalFormatting>
  <conditionalFormatting sqref="W148">
    <cfRule type="expression" dxfId="3692" priority="235">
      <formula>$S$148 = FALSE</formula>
    </cfRule>
  </conditionalFormatting>
  <conditionalFormatting sqref="W148">
    <cfRule type="expression" dxfId="3691" priority="234">
      <formula>OR($T$148 = TRUE, AND($W$148 = TRUE, $S$148 = FALSE))</formula>
    </cfRule>
  </conditionalFormatting>
  <conditionalFormatting sqref="W153">
    <cfRule type="expression" dxfId="3690" priority="233">
      <formula>AND($R$153,$S$153)</formula>
    </cfRule>
  </conditionalFormatting>
  <conditionalFormatting sqref="W153">
    <cfRule type="expression" dxfId="3689" priority="232">
      <formula>AND(IF($R$153,$W$153,TRUE),LEN(TRIM($W$153))&gt;0)</formula>
    </cfRule>
  </conditionalFormatting>
  <conditionalFormatting sqref="W153">
    <cfRule type="expression" dxfId="3688" priority="231">
      <formula>$S$153 = FALSE</formula>
    </cfRule>
  </conditionalFormatting>
  <conditionalFormatting sqref="W153">
    <cfRule type="expression" dxfId="3687" priority="230">
      <formula>OR($T$153 = TRUE, AND($W$153 = TRUE, $S$153 = FALSE))</formula>
    </cfRule>
  </conditionalFormatting>
  <conditionalFormatting sqref="W155">
    <cfRule type="expression" dxfId="3686" priority="229">
      <formula>AND($R$155,$S$155)</formula>
    </cfRule>
  </conditionalFormatting>
  <conditionalFormatting sqref="W155">
    <cfRule type="expression" dxfId="3685" priority="228">
      <formula>AND(IF($R$155,$W$155,TRUE),LEN(TRIM($W$155))&gt;0)</formula>
    </cfRule>
  </conditionalFormatting>
  <conditionalFormatting sqref="W155">
    <cfRule type="expression" dxfId="3684" priority="227">
      <formula>$S$155 = FALSE</formula>
    </cfRule>
  </conditionalFormatting>
  <conditionalFormatting sqref="W155">
    <cfRule type="expression" dxfId="3683" priority="226">
      <formula>OR($T$155 = TRUE, AND($W$155 = TRUE, $S$155 = FALSE))</formula>
    </cfRule>
  </conditionalFormatting>
  <conditionalFormatting sqref="W157">
    <cfRule type="expression" dxfId="3682" priority="225">
      <formula>AND($R$157,$S$157)</formula>
    </cfRule>
  </conditionalFormatting>
  <conditionalFormatting sqref="W157">
    <cfRule type="expression" dxfId="3681" priority="224">
      <formula>AND(IF($R$157,$W$157,TRUE),LEN(TRIM($W$157))&gt;0)</formula>
    </cfRule>
  </conditionalFormatting>
  <conditionalFormatting sqref="W157">
    <cfRule type="expression" dxfId="3680" priority="223">
      <formula>$S$157 = FALSE</formula>
    </cfRule>
  </conditionalFormatting>
  <conditionalFormatting sqref="W157">
    <cfRule type="expression" dxfId="3679" priority="222">
      <formula>OR($T$157 = TRUE, AND($W$157 = TRUE, $S$157 = FALSE))</formula>
    </cfRule>
  </conditionalFormatting>
  <conditionalFormatting sqref="W169">
    <cfRule type="expression" dxfId="3678" priority="221">
      <formula>AND($R$169,$S$169)</formula>
    </cfRule>
  </conditionalFormatting>
  <conditionalFormatting sqref="W169">
    <cfRule type="expression" dxfId="3677" priority="220">
      <formula>AND(IF($R$169,$W$169,TRUE),LEN(TRIM($W$169))&gt;0)</formula>
    </cfRule>
  </conditionalFormatting>
  <conditionalFormatting sqref="W169">
    <cfRule type="expression" dxfId="3676" priority="219">
      <formula>$S$169 = FALSE</formula>
    </cfRule>
  </conditionalFormatting>
  <conditionalFormatting sqref="W169">
    <cfRule type="expression" dxfId="3675" priority="218">
      <formula>OR($T$169 = TRUE, AND($W$169 = TRUE, $S$169 = FALSE))</formula>
    </cfRule>
  </conditionalFormatting>
  <conditionalFormatting sqref="W179">
    <cfRule type="expression" dxfId="3674" priority="217">
      <formula>AND($R$179,$S$179)</formula>
    </cfRule>
  </conditionalFormatting>
  <conditionalFormatting sqref="W179">
    <cfRule type="expression" dxfId="3673" priority="216">
      <formula>AND(IF($R$179,$W$179,TRUE),LEN(TRIM($W$179))&gt;0)</formula>
    </cfRule>
  </conditionalFormatting>
  <conditionalFormatting sqref="W179">
    <cfRule type="expression" dxfId="3672" priority="215">
      <formula>$S$179 = FALSE</formula>
    </cfRule>
  </conditionalFormatting>
  <conditionalFormatting sqref="W179">
    <cfRule type="expression" dxfId="3671" priority="214">
      <formula>OR($T$179 = TRUE, AND($W$179 = TRUE, $S$179 = FALSE))</formula>
    </cfRule>
  </conditionalFormatting>
  <conditionalFormatting sqref="W182">
    <cfRule type="expression" dxfId="3670" priority="213">
      <formula>AND($R$182,$S$182)</formula>
    </cfRule>
  </conditionalFormatting>
  <conditionalFormatting sqref="W182">
    <cfRule type="expression" dxfId="3669" priority="212">
      <formula>AND(IF($R$182,$W$182,TRUE),LEN(TRIM($W$182))&gt;0)</formula>
    </cfRule>
  </conditionalFormatting>
  <conditionalFormatting sqref="W182">
    <cfRule type="expression" dxfId="3668" priority="211">
      <formula>$S$182 = FALSE</formula>
    </cfRule>
  </conditionalFormatting>
  <conditionalFormatting sqref="W182">
    <cfRule type="expression" dxfId="3667" priority="210">
      <formula>OR($T$182 = TRUE, AND($W$182 = TRUE, $S$182 = FALSE))</formula>
    </cfRule>
  </conditionalFormatting>
  <conditionalFormatting sqref="W183">
    <cfRule type="expression" dxfId="3666" priority="209">
      <formula>AND($R$183,$S$183)</formula>
    </cfRule>
  </conditionalFormatting>
  <conditionalFormatting sqref="W183">
    <cfRule type="expression" dxfId="3665" priority="208">
      <formula>AND(IF($R$183,$W$183,TRUE),LEN(TRIM($W$183))&gt;0)</formula>
    </cfRule>
  </conditionalFormatting>
  <conditionalFormatting sqref="W183">
    <cfRule type="expression" dxfId="3664" priority="207">
      <formula>$S$183 = FALSE</formula>
    </cfRule>
  </conditionalFormatting>
  <conditionalFormatting sqref="W183">
    <cfRule type="expression" dxfId="3663" priority="206">
      <formula>OR($T$183 = TRUE, AND($W$183 = TRUE, $S$183 = FALSE))</formula>
    </cfRule>
  </conditionalFormatting>
  <conditionalFormatting sqref="W193">
    <cfRule type="expression" dxfId="3662" priority="205">
      <formula>AND($R$193,$S$193)</formula>
    </cfRule>
  </conditionalFormatting>
  <conditionalFormatting sqref="W193">
    <cfRule type="expression" dxfId="3661" priority="204">
      <formula>AND(IF($R$193,$W$193,TRUE),LEN(TRIM($W$193))&gt;0)</formula>
    </cfRule>
  </conditionalFormatting>
  <conditionalFormatting sqref="W193">
    <cfRule type="expression" dxfId="3660" priority="203">
      <formula>$S$193 = FALSE</formula>
    </cfRule>
  </conditionalFormatting>
  <conditionalFormatting sqref="W193">
    <cfRule type="expression" dxfId="3659" priority="202">
      <formula>OR($T$193 = TRUE, AND($W$193 = TRUE, $S$193 = FALSE))</formula>
    </cfRule>
  </conditionalFormatting>
  <conditionalFormatting sqref="W195">
    <cfRule type="expression" dxfId="3658" priority="201">
      <formula>AND($R$195,$S$195)</formula>
    </cfRule>
  </conditionalFormatting>
  <conditionalFormatting sqref="W195">
    <cfRule type="expression" dxfId="3657" priority="200">
      <formula>AND(IF($R$195,$W$195,TRUE),LEN(TRIM($W$195))&gt;0)</formula>
    </cfRule>
  </conditionalFormatting>
  <conditionalFormatting sqref="W195">
    <cfRule type="expression" dxfId="3656" priority="199">
      <formula>$S$195 = FALSE</formula>
    </cfRule>
  </conditionalFormatting>
  <conditionalFormatting sqref="W195">
    <cfRule type="expression" dxfId="3655" priority="198">
      <formula>OR($T$195 = TRUE, AND($W$195 = TRUE, $S$195 = FALSE))</formula>
    </cfRule>
  </conditionalFormatting>
  <conditionalFormatting sqref="W211">
    <cfRule type="expression" dxfId="3654" priority="197">
      <formula>AND($R$211,$S$211)</formula>
    </cfRule>
  </conditionalFormatting>
  <conditionalFormatting sqref="W211">
    <cfRule type="expression" dxfId="3653" priority="196">
      <formula>AND(IF($R$211,$W$211,TRUE),LEN(TRIM($W$211))&gt;0)</formula>
    </cfRule>
  </conditionalFormatting>
  <conditionalFormatting sqref="W211">
    <cfRule type="expression" dxfId="3652" priority="195">
      <formula>$S$211 = FALSE</formula>
    </cfRule>
  </conditionalFormatting>
  <conditionalFormatting sqref="W211">
    <cfRule type="expression" dxfId="3651" priority="194">
      <formula>OR($T$211 = TRUE, AND($W$211 = TRUE, $S$211 = FALSE))</formula>
    </cfRule>
  </conditionalFormatting>
  <conditionalFormatting sqref="W222">
    <cfRule type="expression" dxfId="3650" priority="193">
      <formula>AND($R$222,$S$222)</formula>
    </cfRule>
  </conditionalFormatting>
  <conditionalFormatting sqref="W222">
    <cfRule type="expression" dxfId="3649" priority="192">
      <formula>AND(IF($R$222,$W$222,TRUE),LEN(TRIM($W$222))&gt;0)</formula>
    </cfRule>
  </conditionalFormatting>
  <conditionalFormatting sqref="W222">
    <cfRule type="expression" dxfId="3648" priority="191">
      <formula>$S$222 = FALSE</formula>
    </cfRule>
  </conditionalFormatting>
  <conditionalFormatting sqref="W222">
    <cfRule type="expression" dxfId="3647" priority="190">
      <formula>OR($T$222 = TRUE, AND($W$222 = TRUE, $S$222 = FALSE))</formula>
    </cfRule>
  </conditionalFormatting>
  <conditionalFormatting sqref="W223">
    <cfRule type="expression" dxfId="3646" priority="189">
      <formula>AND($R$223,$S$223)</formula>
    </cfRule>
  </conditionalFormatting>
  <conditionalFormatting sqref="W223">
    <cfRule type="expression" dxfId="3645" priority="188">
      <formula>AND(IF($R$223,$W$223,TRUE),LEN(TRIM($W$223))&gt;0)</formula>
    </cfRule>
  </conditionalFormatting>
  <conditionalFormatting sqref="W223">
    <cfRule type="expression" dxfId="3644" priority="187">
      <formula>$S$223 = FALSE</formula>
    </cfRule>
  </conditionalFormatting>
  <conditionalFormatting sqref="W223">
    <cfRule type="expression" dxfId="3643" priority="186">
      <formula>OR($T$223 = TRUE, AND($W$223 = TRUE, $S$223 = FALSE))</formula>
    </cfRule>
  </conditionalFormatting>
  <conditionalFormatting sqref="W228">
    <cfRule type="expression" dxfId="3642" priority="185">
      <formula>AND($R$228,$S$228)</formula>
    </cfRule>
  </conditionalFormatting>
  <conditionalFormatting sqref="W228">
    <cfRule type="expression" dxfId="3641" priority="184">
      <formula>AND(IF($R$228,$W$228,TRUE),LEN(TRIM($W$228))&gt;0)</formula>
    </cfRule>
  </conditionalFormatting>
  <conditionalFormatting sqref="W228">
    <cfRule type="expression" dxfId="3640" priority="183">
      <formula>$S$228 = FALSE</formula>
    </cfRule>
  </conditionalFormatting>
  <conditionalFormatting sqref="W228">
    <cfRule type="expression" dxfId="3639" priority="182">
      <formula>OR($T$228 = TRUE, AND($W$228 = TRUE, $S$228 = FALSE))</formula>
    </cfRule>
  </conditionalFormatting>
  <conditionalFormatting sqref="W230">
    <cfRule type="expression" dxfId="3638" priority="181">
      <formula>AND($R$230,$S$230)</formula>
    </cfRule>
  </conditionalFormatting>
  <conditionalFormatting sqref="W230">
    <cfRule type="expression" dxfId="3637" priority="180">
      <formula>AND(IF($R$230,$W$230,TRUE),LEN(TRIM($W$230))&gt;0)</formula>
    </cfRule>
  </conditionalFormatting>
  <conditionalFormatting sqref="W230">
    <cfRule type="expression" dxfId="3636" priority="179">
      <formula>$S$230 = FALSE</formula>
    </cfRule>
  </conditionalFormatting>
  <conditionalFormatting sqref="W230">
    <cfRule type="expression" dxfId="3635" priority="178">
      <formula>OR($T$230 = TRUE, AND($W$230 = TRUE, $S$230 = FALSE))</formula>
    </cfRule>
  </conditionalFormatting>
  <conditionalFormatting sqref="W231">
    <cfRule type="expression" dxfId="3634" priority="177">
      <formula>AND($R$231,$S$231)</formula>
    </cfRule>
  </conditionalFormatting>
  <conditionalFormatting sqref="W231">
    <cfRule type="expression" dxfId="3633" priority="176">
      <formula>AND(IF($R$231,$W$231,TRUE),LEN(TRIM($W$231))&gt;0)</formula>
    </cfRule>
  </conditionalFormatting>
  <conditionalFormatting sqref="W231">
    <cfRule type="expression" dxfId="3632" priority="175">
      <formula>$S$231 = FALSE</formula>
    </cfRule>
  </conditionalFormatting>
  <conditionalFormatting sqref="W231">
    <cfRule type="expression" dxfId="3631" priority="174">
      <formula>OR($T$231 = TRUE, AND($W$231 = TRUE, $S$231 = FALSE))</formula>
    </cfRule>
  </conditionalFormatting>
  <conditionalFormatting sqref="W234">
    <cfRule type="expression" dxfId="3630" priority="173">
      <formula>AND($R$234,$S$234)</formula>
    </cfRule>
  </conditionalFormatting>
  <conditionalFormatting sqref="W234">
    <cfRule type="expression" dxfId="3629" priority="172">
      <formula>AND(IF($R$234,$W$234,TRUE),LEN(TRIM($W$234))&gt;0)</formula>
    </cfRule>
  </conditionalFormatting>
  <conditionalFormatting sqref="W234">
    <cfRule type="expression" dxfId="3628" priority="171">
      <formula>$S$234 = FALSE</formula>
    </cfRule>
  </conditionalFormatting>
  <conditionalFormatting sqref="W234">
    <cfRule type="expression" dxfId="3627" priority="170">
      <formula>OR($T$234 = TRUE, AND($W$234 = TRUE, $S$234 = FALSE))</formula>
    </cfRule>
  </conditionalFormatting>
  <conditionalFormatting sqref="W238">
    <cfRule type="expression" dxfId="3626" priority="169">
      <formula>AND($R$238,$S$238)</formula>
    </cfRule>
  </conditionalFormatting>
  <conditionalFormatting sqref="W238">
    <cfRule type="expression" dxfId="3625" priority="168">
      <formula>AND(IF($R$238,$W$238,TRUE),LEN(TRIM($W$238))&gt;0)</formula>
    </cfRule>
  </conditionalFormatting>
  <conditionalFormatting sqref="W238">
    <cfRule type="expression" dxfId="3624" priority="167">
      <formula>$S$238 = FALSE</formula>
    </cfRule>
  </conditionalFormatting>
  <conditionalFormatting sqref="W238">
    <cfRule type="expression" dxfId="3623" priority="166">
      <formula>OR($T$238 = TRUE, AND($W$238 = TRUE, $S$238 = FALSE))</formula>
    </cfRule>
  </conditionalFormatting>
  <conditionalFormatting sqref="W243">
    <cfRule type="expression" dxfId="3622" priority="165">
      <formula>AND($R$243,$S$243)</formula>
    </cfRule>
  </conditionalFormatting>
  <conditionalFormatting sqref="W243">
    <cfRule type="expression" dxfId="3621" priority="164">
      <formula>AND(IF($R$243,$W$243,TRUE),LEN(TRIM($W$243))&gt;0)</formula>
    </cfRule>
  </conditionalFormatting>
  <conditionalFormatting sqref="W243">
    <cfRule type="expression" dxfId="3620" priority="163">
      <formula>$S$243 = FALSE</formula>
    </cfRule>
  </conditionalFormatting>
  <conditionalFormatting sqref="W243">
    <cfRule type="expression" dxfId="3619" priority="162">
      <formula>OR($T$243 = TRUE, AND($W$243 = TRUE, $S$243 = FALSE))</formula>
    </cfRule>
  </conditionalFormatting>
  <conditionalFormatting sqref="W245">
    <cfRule type="expression" dxfId="3618" priority="161">
      <formula>AND($R$245,$S$245)</formula>
    </cfRule>
  </conditionalFormatting>
  <conditionalFormatting sqref="W245">
    <cfRule type="expression" dxfId="3617" priority="160">
      <formula>AND(IF($R$245,$W$245,TRUE),LEN(TRIM($W$245))&gt;0)</formula>
    </cfRule>
  </conditionalFormatting>
  <conditionalFormatting sqref="W245">
    <cfRule type="expression" dxfId="3616" priority="159">
      <formula>$S$245 = FALSE</formula>
    </cfRule>
  </conditionalFormatting>
  <conditionalFormatting sqref="W245">
    <cfRule type="expression" dxfId="3615" priority="158">
      <formula>OR($T$245 = TRUE, AND($W$245 = TRUE, $S$245 = FALSE))</formula>
    </cfRule>
  </conditionalFormatting>
  <conditionalFormatting sqref="W262">
    <cfRule type="expression" dxfId="3614" priority="157">
      <formula>AND($R$262,$S$262)</formula>
    </cfRule>
  </conditionalFormatting>
  <conditionalFormatting sqref="W262">
    <cfRule type="expression" dxfId="3613" priority="156">
      <formula>AND(IF($R$262,$W$262,TRUE),LEN(TRIM($W$262))&gt;0)</formula>
    </cfRule>
  </conditionalFormatting>
  <conditionalFormatting sqref="W262">
    <cfRule type="expression" dxfId="3612" priority="155">
      <formula>$S$262 = FALSE</formula>
    </cfRule>
  </conditionalFormatting>
  <conditionalFormatting sqref="W262">
    <cfRule type="expression" dxfId="3611" priority="154">
      <formula>OR($T$262 = TRUE, AND($W$262 = TRUE, $S$262 = FALSE))</formula>
    </cfRule>
  </conditionalFormatting>
  <conditionalFormatting sqref="W278">
    <cfRule type="expression" dxfId="3610" priority="153">
      <formula>AND($R$278,$S$278)</formula>
    </cfRule>
  </conditionalFormatting>
  <conditionalFormatting sqref="W278">
    <cfRule type="expression" dxfId="3609" priority="152">
      <formula>AND(IF($R$278,$W$278,TRUE),LEN(TRIM($W$278))&gt;0)</formula>
    </cfRule>
  </conditionalFormatting>
  <conditionalFormatting sqref="W278">
    <cfRule type="expression" dxfId="3608" priority="151">
      <formula>$S$278 = FALSE</formula>
    </cfRule>
  </conditionalFormatting>
  <conditionalFormatting sqref="W278">
    <cfRule type="expression" dxfId="3607" priority="150">
      <formula>OR($T$278 = TRUE, AND($W$278 = TRUE, $S$278 = FALSE))</formula>
    </cfRule>
  </conditionalFormatting>
  <conditionalFormatting sqref="W291">
    <cfRule type="expression" dxfId="3606" priority="149">
      <formula>AND($R$291,$S$291)</formula>
    </cfRule>
  </conditionalFormatting>
  <conditionalFormatting sqref="W291">
    <cfRule type="expression" dxfId="3605" priority="148">
      <formula>AND(IF($R$291,$W$291,TRUE),LEN(TRIM($W$291))&gt;0)</formula>
    </cfRule>
  </conditionalFormatting>
  <conditionalFormatting sqref="W291">
    <cfRule type="expression" dxfId="3604" priority="147">
      <formula>$S$291 = FALSE</formula>
    </cfRule>
  </conditionalFormatting>
  <conditionalFormatting sqref="W291">
    <cfRule type="expression" dxfId="3603" priority="146">
      <formula>OR($T$291 = TRUE, AND($W$291 = TRUE, $S$291 = FALSE))</formula>
    </cfRule>
  </conditionalFormatting>
  <conditionalFormatting sqref="W293">
    <cfRule type="expression" dxfId="3602" priority="145">
      <formula>AND($R$293,$S$293)</formula>
    </cfRule>
  </conditionalFormatting>
  <conditionalFormatting sqref="W293">
    <cfRule type="expression" dxfId="3601" priority="144">
      <formula>AND(IF($R$293,$W$293,TRUE),LEN(TRIM($W$293))&gt;0)</formula>
    </cfRule>
  </conditionalFormatting>
  <conditionalFormatting sqref="W293">
    <cfRule type="expression" dxfId="3600" priority="143">
      <formula>$S$293 = FALSE</formula>
    </cfRule>
  </conditionalFormatting>
  <conditionalFormatting sqref="W293">
    <cfRule type="expression" dxfId="3599" priority="142">
      <formula>OR($T$293 = TRUE, AND($W$293 = TRUE, $S$293 = FALSE))</formula>
    </cfRule>
  </conditionalFormatting>
  <conditionalFormatting sqref="W306">
    <cfRule type="expression" dxfId="3598" priority="141">
      <formula>AND($R$306,$S$306)</formula>
    </cfRule>
  </conditionalFormatting>
  <conditionalFormatting sqref="W306">
    <cfRule type="expression" dxfId="3597" priority="140">
      <formula>AND(IF($R$306,$W$306,TRUE),LEN(TRIM($W$306))&gt;0)</formula>
    </cfRule>
  </conditionalFormatting>
  <conditionalFormatting sqref="W306">
    <cfRule type="expression" dxfId="3596" priority="139">
      <formula>$S$306 = FALSE</formula>
    </cfRule>
  </conditionalFormatting>
  <conditionalFormatting sqref="W306">
    <cfRule type="expression" dxfId="3595" priority="138">
      <formula>OR($T$306 = TRUE, AND($W$306 = TRUE, $S$306 = FALSE))</formula>
    </cfRule>
  </conditionalFormatting>
  <conditionalFormatting sqref="W307">
    <cfRule type="expression" dxfId="3594" priority="137">
      <formula>AND($R$307,$S$307)</formula>
    </cfRule>
  </conditionalFormatting>
  <conditionalFormatting sqref="W307">
    <cfRule type="expression" dxfId="3593" priority="136">
      <formula>AND(IF($R$307,$W$307,TRUE),LEN(TRIM($W$307))&gt;0)</formula>
    </cfRule>
  </conditionalFormatting>
  <conditionalFormatting sqref="W307">
    <cfRule type="expression" dxfId="3592" priority="135">
      <formula>$S$307 = FALSE</formula>
    </cfRule>
  </conditionalFormatting>
  <conditionalFormatting sqref="W307">
    <cfRule type="expression" dxfId="3591" priority="134">
      <formula>OR($T$307 = TRUE, AND($W$307 = TRUE, $S$307 = FALSE))</formula>
    </cfRule>
  </conditionalFormatting>
  <conditionalFormatting sqref="W308">
    <cfRule type="expression" dxfId="3590" priority="133">
      <formula>AND($R$308,$S$308)</formula>
    </cfRule>
  </conditionalFormatting>
  <conditionalFormatting sqref="W308">
    <cfRule type="expression" dxfId="3589" priority="132">
      <formula>AND(IF($R$308,$W$308,TRUE),LEN(TRIM($W$308))&gt;0)</formula>
    </cfRule>
  </conditionalFormatting>
  <conditionalFormatting sqref="W308">
    <cfRule type="expression" dxfId="3588" priority="131">
      <formula>$S$308 = FALSE</formula>
    </cfRule>
  </conditionalFormatting>
  <conditionalFormatting sqref="W308">
    <cfRule type="expression" dxfId="3587" priority="130">
      <formula>OR($T$308 = TRUE, AND($W$308 = TRUE, $S$308 = FALSE))</formula>
    </cfRule>
  </conditionalFormatting>
  <conditionalFormatting sqref="W309">
    <cfRule type="expression" dxfId="3586" priority="129">
      <formula>AND($R$309,$S$309)</formula>
    </cfRule>
  </conditionalFormatting>
  <conditionalFormatting sqref="W309">
    <cfRule type="expression" dxfId="3585" priority="128">
      <formula>AND(IF($R$309,$W$309,TRUE),LEN(TRIM($W$309))&gt;0)</formula>
    </cfRule>
  </conditionalFormatting>
  <conditionalFormatting sqref="W309">
    <cfRule type="expression" dxfId="3584" priority="127">
      <formula>$S$309 = FALSE</formula>
    </cfRule>
  </conditionalFormatting>
  <conditionalFormatting sqref="W309">
    <cfRule type="expression" dxfId="3583" priority="126">
      <formula>OR($T$309 = TRUE, AND($W$309 = TRUE, $S$309 = FALSE))</formula>
    </cfRule>
  </conditionalFormatting>
  <conditionalFormatting sqref="W310">
    <cfRule type="expression" dxfId="3582" priority="125">
      <formula>AND($R$310,$S$310)</formula>
    </cfRule>
  </conditionalFormatting>
  <conditionalFormatting sqref="W310">
    <cfRule type="expression" dxfId="3581" priority="124">
      <formula>AND(IF($R$310,$W$310,TRUE),LEN(TRIM($W$310))&gt;0)</formula>
    </cfRule>
  </conditionalFormatting>
  <conditionalFormatting sqref="W310">
    <cfRule type="expression" dxfId="3580" priority="123">
      <formula>$S$310 = FALSE</formula>
    </cfRule>
  </conditionalFormatting>
  <conditionalFormatting sqref="W310">
    <cfRule type="expression" dxfId="3579" priority="122">
      <formula>OR($T$310 = TRUE, AND($W$310 = TRUE, $S$310 = FALSE))</formula>
    </cfRule>
  </conditionalFormatting>
  <conditionalFormatting sqref="W311">
    <cfRule type="expression" dxfId="3578" priority="121">
      <formula>AND($R$311,$S$311)</formula>
    </cfRule>
  </conditionalFormatting>
  <conditionalFormatting sqref="W311">
    <cfRule type="expression" dxfId="3577" priority="120">
      <formula>AND(IF($R$311,$W$311,TRUE),LEN(TRIM($W$311))&gt;0)</formula>
    </cfRule>
  </conditionalFormatting>
  <conditionalFormatting sqref="W311">
    <cfRule type="expression" dxfId="3576" priority="119">
      <formula>$S$311 = FALSE</formula>
    </cfRule>
  </conditionalFormatting>
  <conditionalFormatting sqref="W311">
    <cfRule type="expression" dxfId="3575" priority="118">
      <formula>OR($T$311 = TRUE, AND($W$311 = TRUE, $S$311 = FALSE))</formula>
    </cfRule>
  </conditionalFormatting>
  <conditionalFormatting sqref="W312">
    <cfRule type="expression" dxfId="3574" priority="117">
      <formula>AND($R$312,$S$312)</formula>
    </cfRule>
  </conditionalFormatting>
  <conditionalFormatting sqref="W312">
    <cfRule type="expression" dxfId="3573" priority="116">
      <formula>AND(IF($R$312,$W$312,TRUE),LEN(TRIM($W$312))&gt;0)</formula>
    </cfRule>
  </conditionalFormatting>
  <conditionalFormatting sqref="W312">
    <cfRule type="expression" dxfId="3572" priority="115">
      <formula>$S$312 = FALSE</formula>
    </cfRule>
  </conditionalFormatting>
  <conditionalFormatting sqref="W312">
    <cfRule type="expression" dxfId="3571" priority="114">
      <formula>OR($T$312 = TRUE, AND($W$312 = TRUE, $S$312 = FALSE))</formula>
    </cfRule>
  </conditionalFormatting>
  <conditionalFormatting sqref="W313">
    <cfRule type="expression" dxfId="3570" priority="113">
      <formula>AND($R$313,$S$313)</formula>
    </cfRule>
  </conditionalFormatting>
  <conditionalFormatting sqref="W313">
    <cfRule type="expression" dxfId="3569" priority="112">
      <formula>AND(IF($R$313,$W$313,TRUE),LEN(TRIM($W$313))&gt;0)</formula>
    </cfRule>
  </conditionalFormatting>
  <conditionalFormatting sqref="W313">
    <cfRule type="expression" dxfId="3568" priority="111">
      <formula>$S$313 = FALSE</formula>
    </cfRule>
  </conditionalFormatting>
  <conditionalFormatting sqref="W313">
    <cfRule type="expression" dxfId="3567" priority="110">
      <formula>OR($T$313 = TRUE, AND($W$313 = TRUE, $S$313 = FALSE))</formula>
    </cfRule>
  </conditionalFormatting>
  <conditionalFormatting sqref="W314">
    <cfRule type="expression" dxfId="3566" priority="109">
      <formula>AND($R$314,$S$314)</formula>
    </cfRule>
  </conditionalFormatting>
  <conditionalFormatting sqref="W314">
    <cfRule type="expression" dxfId="3565" priority="108">
      <formula>AND(IF($R$314,$W$314,TRUE),LEN(TRIM($W$314))&gt;0)</formula>
    </cfRule>
  </conditionalFormatting>
  <conditionalFormatting sqref="W314">
    <cfRule type="expression" dxfId="3564" priority="107">
      <formula>$S$314 = FALSE</formula>
    </cfRule>
  </conditionalFormatting>
  <conditionalFormatting sqref="W314">
    <cfRule type="expression" dxfId="3563" priority="106">
      <formula>OR($T$314 = TRUE, AND($W$314 = TRUE, $S$314 = FALSE))</formula>
    </cfRule>
  </conditionalFormatting>
  <conditionalFormatting sqref="W361">
    <cfRule type="expression" dxfId="3562" priority="105">
      <formula>AND($R$361,$S$361)</formula>
    </cfRule>
  </conditionalFormatting>
  <conditionalFormatting sqref="W361">
    <cfRule type="expression" dxfId="3561" priority="104">
      <formula>AND(IF($R$361,$W$361,TRUE),LEN(TRIM($W$361))&gt;0)</formula>
    </cfRule>
  </conditionalFormatting>
  <conditionalFormatting sqref="W361">
    <cfRule type="expression" dxfId="3560" priority="103">
      <formula>$S$361 = FALSE</formula>
    </cfRule>
  </conditionalFormatting>
  <conditionalFormatting sqref="W361">
    <cfRule type="expression" dxfId="3559" priority="102">
      <formula>OR($T$361 = TRUE, AND($W$361 = TRUE, $S$361 = FALSE))</formula>
    </cfRule>
  </conditionalFormatting>
  <conditionalFormatting sqref="W363">
    <cfRule type="expression" dxfId="3558" priority="101">
      <formula>AND($R$363,$S$363)</formula>
    </cfRule>
  </conditionalFormatting>
  <conditionalFormatting sqref="W363">
    <cfRule type="expression" dxfId="3557" priority="100">
      <formula>AND(IF($R$363,$W$363,TRUE),LEN(TRIM($W$363))&gt;0)</formula>
    </cfRule>
  </conditionalFormatting>
  <conditionalFormatting sqref="W363">
    <cfRule type="expression" dxfId="3556" priority="99">
      <formula>$S$363 = FALSE</formula>
    </cfRule>
  </conditionalFormatting>
  <conditionalFormatting sqref="W363">
    <cfRule type="expression" dxfId="3555" priority="98">
      <formula>OR($T$363 = TRUE, AND($W$363 = TRUE, $S$363 = FALSE))</formula>
    </cfRule>
  </conditionalFormatting>
  <conditionalFormatting sqref="W364">
    <cfRule type="expression" dxfId="3554" priority="97">
      <formula>AND($R$364,$S$364)</formula>
    </cfRule>
  </conditionalFormatting>
  <conditionalFormatting sqref="W364">
    <cfRule type="expression" dxfId="3553" priority="96">
      <formula>AND(IF($R$364,$W$364,TRUE),LEN(TRIM($W$364))&gt;0)</formula>
    </cfRule>
  </conditionalFormatting>
  <conditionalFormatting sqref="W364">
    <cfRule type="expression" dxfId="3552" priority="95">
      <formula>$S$364 = FALSE</formula>
    </cfRule>
  </conditionalFormatting>
  <conditionalFormatting sqref="W364">
    <cfRule type="expression" dxfId="3551" priority="94">
      <formula>OR($T$364 = TRUE, AND($W$364 = TRUE, $S$364 = FALSE))</formula>
    </cfRule>
  </conditionalFormatting>
  <conditionalFormatting sqref="W392">
    <cfRule type="expression" dxfId="3550" priority="93">
      <formula>AND($R$392,$S$392)</formula>
    </cfRule>
  </conditionalFormatting>
  <conditionalFormatting sqref="W392">
    <cfRule type="expression" dxfId="3549" priority="92">
      <formula>AND(IF($R$392,$W$392,TRUE),LEN(TRIM($W$392))&gt;0)</formula>
    </cfRule>
  </conditionalFormatting>
  <conditionalFormatting sqref="W392">
    <cfRule type="expression" dxfId="3548" priority="91">
      <formula>$S$392 = FALSE</formula>
    </cfRule>
  </conditionalFormatting>
  <conditionalFormatting sqref="W392">
    <cfRule type="expression" dxfId="3547" priority="90">
      <formula>OR($T$392 = TRUE, AND($W$392 = TRUE, $S$392 = FALSE))</formula>
    </cfRule>
  </conditionalFormatting>
  <conditionalFormatting sqref="W401">
    <cfRule type="expression" dxfId="3546" priority="89">
      <formula>AND($R$401,$S$401)</formula>
    </cfRule>
  </conditionalFormatting>
  <conditionalFormatting sqref="W401">
    <cfRule type="expression" dxfId="3545" priority="88">
      <formula>AND(IF($R$401,$W$401,TRUE),LEN(TRIM($W$401))&gt;0)</formula>
    </cfRule>
  </conditionalFormatting>
  <conditionalFormatting sqref="W401">
    <cfRule type="expression" dxfId="3544" priority="87">
      <formula>$S$401 = FALSE</formula>
    </cfRule>
  </conditionalFormatting>
  <conditionalFormatting sqref="W401">
    <cfRule type="expression" dxfId="3543" priority="86">
      <formula>OR($T$401 = TRUE, AND($W$401 = TRUE, $S$401 = FALSE))</formula>
    </cfRule>
  </conditionalFormatting>
  <conditionalFormatting sqref="W408">
    <cfRule type="expression" dxfId="3542" priority="85">
      <formula>AND($R$408,$S$408)</formula>
    </cfRule>
  </conditionalFormatting>
  <conditionalFormatting sqref="W408">
    <cfRule type="expression" dxfId="3541" priority="84">
      <formula>AND(IF($R$408,$W$408,TRUE),LEN(TRIM($W$408))&gt;0)</formula>
    </cfRule>
  </conditionalFormatting>
  <conditionalFormatting sqref="W408">
    <cfRule type="expression" dxfId="3540" priority="83">
      <formula>$S$408 = FALSE</formula>
    </cfRule>
  </conditionalFormatting>
  <conditionalFormatting sqref="W408">
    <cfRule type="expression" dxfId="3539" priority="82">
      <formula>OR($T$408 = TRUE, AND($W$408 = TRUE, $S$408 = FALSE))</formula>
    </cfRule>
  </conditionalFormatting>
  <conditionalFormatting sqref="W464">
    <cfRule type="expression" dxfId="3538" priority="81">
      <formula>AND($R$464,$S$464)</formula>
    </cfRule>
  </conditionalFormatting>
  <conditionalFormatting sqref="W464">
    <cfRule type="expression" dxfId="3537" priority="80">
      <formula>AND(IF($R$464,$W$464,TRUE),LEN(TRIM($W$464))&gt;0)</formula>
    </cfRule>
  </conditionalFormatting>
  <conditionalFormatting sqref="W464">
    <cfRule type="expression" dxfId="3536" priority="79">
      <formula>$S$464 = FALSE</formula>
    </cfRule>
  </conditionalFormatting>
  <conditionalFormatting sqref="W464">
    <cfRule type="expression" dxfId="3535" priority="78">
      <formula>OR($T$464 = TRUE, AND($W$464 = TRUE, $S$464 = FALSE))</formula>
    </cfRule>
  </conditionalFormatting>
  <conditionalFormatting sqref="W465">
    <cfRule type="expression" dxfId="3534" priority="77">
      <formula>AND($R$465,$S$465)</formula>
    </cfRule>
  </conditionalFormatting>
  <conditionalFormatting sqref="W465">
    <cfRule type="expression" dxfId="3533" priority="76">
      <formula>AND(IF($R$465,$W$465,TRUE),LEN(TRIM($W$465))&gt;0)</formula>
    </cfRule>
  </conditionalFormatting>
  <conditionalFormatting sqref="W465">
    <cfRule type="expression" dxfId="3532" priority="75">
      <formula>$S$465 = FALSE</formula>
    </cfRule>
  </conditionalFormatting>
  <conditionalFormatting sqref="W465">
    <cfRule type="expression" dxfId="3531" priority="74">
      <formula>OR($T$465 = TRUE, AND($W$465 = TRUE, $S$465 = FALSE))</formula>
    </cfRule>
  </conditionalFormatting>
  <conditionalFormatting sqref="W466">
    <cfRule type="expression" dxfId="3530" priority="73">
      <formula>AND($R$466,$S$466)</formula>
    </cfRule>
  </conditionalFormatting>
  <conditionalFormatting sqref="W466">
    <cfRule type="expression" dxfId="3529" priority="72">
      <formula>AND(IF($R$466,$W$466,TRUE),LEN(TRIM($W$466))&gt;0)</formula>
    </cfRule>
  </conditionalFormatting>
  <conditionalFormatting sqref="W466">
    <cfRule type="expression" dxfId="3528" priority="71">
      <formula>$S$466 = FALSE</formula>
    </cfRule>
  </conditionalFormatting>
  <conditionalFormatting sqref="W466">
    <cfRule type="expression" dxfId="3527" priority="70">
      <formula>OR($T$466 = TRUE, AND($W$466 = TRUE, $S$466 = FALSE))</formula>
    </cfRule>
  </conditionalFormatting>
  <conditionalFormatting sqref="W467">
    <cfRule type="expression" dxfId="3526" priority="69">
      <formula>AND($R$467,$S$467)</formula>
    </cfRule>
  </conditionalFormatting>
  <conditionalFormatting sqref="W467">
    <cfRule type="expression" dxfId="3525" priority="68">
      <formula>AND(IF($R$467,$W$467,TRUE),LEN(TRIM($W$467))&gt;0)</formula>
    </cfRule>
  </conditionalFormatting>
  <conditionalFormatting sqref="W467">
    <cfRule type="expression" dxfId="3524" priority="67">
      <formula>$S$467 = FALSE</formula>
    </cfRule>
  </conditionalFormatting>
  <conditionalFormatting sqref="W467">
    <cfRule type="expression" dxfId="3523" priority="66">
      <formula>OR($T$467 = TRUE, AND($W$467 = TRUE, $S$467 = FALSE))</formula>
    </cfRule>
  </conditionalFormatting>
  <conditionalFormatting sqref="W468">
    <cfRule type="expression" dxfId="3522" priority="65">
      <formula>AND($R$468,$S$468)</formula>
    </cfRule>
  </conditionalFormatting>
  <conditionalFormatting sqref="W468">
    <cfRule type="expression" dxfId="3521" priority="64">
      <formula>AND(IF($R$468,$W$468,TRUE),LEN(TRIM($W$468))&gt;0)</formula>
    </cfRule>
  </conditionalFormatting>
  <conditionalFormatting sqref="W468">
    <cfRule type="expression" dxfId="3520" priority="63">
      <formula>$S$468 = FALSE</formula>
    </cfRule>
  </conditionalFormatting>
  <conditionalFormatting sqref="W468">
    <cfRule type="expression" dxfId="3519" priority="62">
      <formula>OR($T$468 = TRUE, AND($W$468 = TRUE, $S$468 = FALSE))</formula>
    </cfRule>
  </conditionalFormatting>
  <conditionalFormatting sqref="W469">
    <cfRule type="expression" dxfId="3518" priority="61">
      <formula>AND($R$469,$S$469)</formula>
    </cfRule>
  </conditionalFormatting>
  <conditionalFormatting sqref="W469">
    <cfRule type="expression" dxfId="3517" priority="60">
      <formula>AND(IF($R$469,$W$469,TRUE),LEN(TRIM($W$469))&gt;0)</formula>
    </cfRule>
  </conditionalFormatting>
  <conditionalFormatting sqref="W469">
    <cfRule type="expression" dxfId="3516" priority="59">
      <formula>$S$469 = FALSE</formula>
    </cfRule>
  </conditionalFormatting>
  <conditionalFormatting sqref="W469">
    <cfRule type="expression" dxfId="3515" priority="58">
      <formula>OR($T$469 = TRUE, AND($W$469 = TRUE, $S$469 = FALSE))</formula>
    </cfRule>
  </conditionalFormatting>
  <conditionalFormatting sqref="W470">
    <cfRule type="expression" dxfId="3514" priority="57">
      <formula>AND($R$470,$S$470)</formula>
    </cfRule>
  </conditionalFormatting>
  <conditionalFormatting sqref="W470">
    <cfRule type="expression" dxfId="3513" priority="56">
      <formula>AND(IF($R$470,$W$470,TRUE),LEN(TRIM($W$470))&gt;0)</formula>
    </cfRule>
  </conditionalFormatting>
  <conditionalFormatting sqref="W470">
    <cfRule type="expression" dxfId="3512" priority="55">
      <formula>$S$470 = FALSE</formula>
    </cfRule>
  </conditionalFormatting>
  <conditionalFormatting sqref="W470">
    <cfRule type="expression" dxfId="3511" priority="54">
      <formula>OR($T$470 = TRUE, AND($W$470 = TRUE, $S$470 = FALSE))</formula>
    </cfRule>
  </conditionalFormatting>
  <conditionalFormatting sqref="W474">
    <cfRule type="expression" dxfId="3510" priority="53">
      <formula>AND($R$474,$S$474)</formula>
    </cfRule>
  </conditionalFormatting>
  <conditionalFormatting sqref="W474">
    <cfRule type="expression" dxfId="3509" priority="52">
      <formula>AND(IF($R$474,$W$474,TRUE),LEN(TRIM($W$474))&gt;0)</formula>
    </cfRule>
  </conditionalFormatting>
  <conditionalFormatting sqref="W474">
    <cfRule type="expression" dxfId="3508" priority="51">
      <formula>$S$474 = FALSE</formula>
    </cfRule>
  </conditionalFormatting>
  <conditionalFormatting sqref="W474">
    <cfRule type="expression" dxfId="3507" priority="50">
      <formula>OR($T$474 = TRUE, AND($W$474 = TRUE, $S$474 = FALSE))</formula>
    </cfRule>
  </conditionalFormatting>
  <conditionalFormatting sqref="W479">
    <cfRule type="expression" dxfId="3506" priority="49">
      <formula>AND($R$479,$S$479)</formula>
    </cfRule>
  </conditionalFormatting>
  <conditionalFormatting sqref="W479">
    <cfRule type="expression" dxfId="3505" priority="48">
      <formula>AND(IF($R$479,$W$479,TRUE),LEN(TRIM($W$479))&gt;0)</formula>
    </cfRule>
  </conditionalFormatting>
  <conditionalFormatting sqref="W479">
    <cfRule type="expression" dxfId="3504" priority="47">
      <formula>$S$479 = FALSE</formula>
    </cfRule>
  </conditionalFormatting>
  <conditionalFormatting sqref="W479">
    <cfRule type="expression" dxfId="3503" priority="46">
      <formula>OR($T$479 = TRUE, AND($W$479 = TRUE, $S$479 = FALSE))</formula>
    </cfRule>
  </conditionalFormatting>
  <conditionalFormatting sqref="W483">
    <cfRule type="expression" dxfId="3502" priority="45">
      <formula>AND($R$483,$S$483)</formula>
    </cfRule>
  </conditionalFormatting>
  <conditionalFormatting sqref="W483">
    <cfRule type="expression" dxfId="3501" priority="44">
      <formula>AND(IF($R$483,$W$483,TRUE),LEN(TRIM($W$483))&gt;0)</formula>
    </cfRule>
  </conditionalFormatting>
  <conditionalFormatting sqref="W483">
    <cfRule type="expression" dxfId="3500" priority="43">
      <formula>$S$483 = FALSE</formula>
    </cfRule>
  </conditionalFormatting>
  <conditionalFormatting sqref="W483">
    <cfRule type="expression" dxfId="3499" priority="42">
      <formula>OR($T$483 = TRUE, AND($W$483 = TRUE, $S$483 = FALSE))</formula>
    </cfRule>
  </conditionalFormatting>
  <conditionalFormatting sqref="W485">
    <cfRule type="expression" dxfId="3498" priority="41">
      <formula>AND($R$485,$S$485)</formula>
    </cfRule>
  </conditionalFormatting>
  <conditionalFormatting sqref="W485">
    <cfRule type="expression" dxfId="3497" priority="40">
      <formula>AND(IF($R$485,$W$485,TRUE),LEN(TRIM($W$485))&gt;0)</formula>
    </cfRule>
  </conditionalFormatting>
  <conditionalFormatting sqref="W485">
    <cfRule type="expression" dxfId="3496" priority="39">
      <formula>$S$485 = FALSE</formula>
    </cfRule>
  </conditionalFormatting>
  <conditionalFormatting sqref="W485">
    <cfRule type="expression" dxfId="3495" priority="38">
      <formula>OR($T$485 = TRUE, AND($W$485 = TRUE, $S$485 = FALSE))</formula>
    </cfRule>
  </conditionalFormatting>
  <conditionalFormatting sqref="W487">
    <cfRule type="expression" dxfId="3494" priority="37">
      <formula>AND($R$487,$S$487)</formula>
    </cfRule>
  </conditionalFormatting>
  <conditionalFormatting sqref="W487">
    <cfRule type="expression" dxfId="3493" priority="36">
      <formula>AND(IF($R$487,$W$487,TRUE),LEN(TRIM($W$487))&gt;0)</formula>
    </cfRule>
  </conditionalFormatting>
  <conditionalFormatting sqref="W487">
    <cfRule type="expression" dxfId="3492" priority="35">
      <formula>$S$487 = FALSE</formula>
    </cfRule>
  </conditionalFormatting>
  <conditionalFormatting sqref="W487">
    <cfRule type="expression" dxfId="3491" priority="34">
      <formula>OR($T$487 = TRUE, AND($W$487 = TRUE, $S$487 = FALSE))</formula>
    </cfRule>
  </conditionalFormatting>
  <conditionalFormatting sqref="W488">
    <cfRule type="expression" dxfId="3490" priority="33">
      <formula>AND($R$488,$S$488)</formula>
    </cfRule>
  </conditionalFormatting>
  <conditionalFormatting sqref="W488">
    <cfRule type="expression" dxfId="3489" priority="32">
      <formula>AND(IF($R$488,$W$488,TRUE),LEN(TRIM($W$488))&gt;0)</formula>
    </cfRule>
  </conditionalFormatting>
  <conditionalFormatting sqref="W488">
    <cfRule type="expression" dxfId="3488" priority="31">
      <formula>$S$488 = FALSE</formula>
    </cfRule>
  </conditionalFormatting>
  <conditionalFormatting sqref="W488">
    <cfRule type="expression" dxfId="3487" priority="30">
      <formula>OR($T$488 = TRUE, AND($W$488 = TRUE, $S$488 = FALSE))</formula>
    </cfRule>
  </conditionalFormatting>
  <conditionalFormatting sqref="W489">
    <cfRule type="expression" dxfId="3486" priority="29">
      <formula>AND($R$489,$S$489)</formula>
    </cfRule>
  </conditionalFormatting>
  <conditionalFormatting sqref="W489">
    <cfRule type="expression" dxfId="3485" priority="28">
      <formula>AND(IF($R$489,$W$489,TRUE),LEN(TRIM($W$489))&gt;0)</formula>
    </cfRule>
  </conditionalFormatting>
  <conditionalFormatting sqref="W489">
    <cfRule type="expression" dxfId="3484" priority="27">
      <formula>$S$489 = FALSE</formula>
    </cfRule>
  </conditionalFormatting>
  <conditionalFormatting sqref="W489">
    <cfRule type="expression" dxfId="3483" priority="26">
      <formula>OR($T$489 = TRUE, AND($W$489 = TRUE, $S$489 = FALSE))</formula>
    </cfRule>
  </conditionalFormatting>
  <conditionalFormatting sqref="W493">
    <cfRule type="expression" dxfId="3482" priority="25">
      <formula>AND($R$493,$S$493)</formula>
    </cfRule>
  </conditionalFormatting>
  <conditionalFormatting sqref="W493">
    <cfRule type="expression" dxfId="3481" priority="24">
      <formula>AND(IF($R$493,$W$493,TRUE),LEN(TRIM($W$493))&gt;0)</formula>
    </cfRule>
  </conditionalFormatting>
  <conditionalFormatting sqref="W493">
    <cfRule type="expression" dxfId="3480" priority="23">
      <formula>$S$493 = FALSE</formula>
    </cfRule>
  </conditionalFormatting>
  <conditionalFormatting sqref="W493">
    <cfRule type="expression" dxfId="3479" priority="22">
      <formula>OR($T$493 = TRUE, AND($W$493 = TRUE, $S$493 = FALSE))</formula>
    </cfRule>
  </conditionalFormatting>
  <conditionalFormatting sqref="W495">
    <cfRule type="expression" dxfId="3478" priority="21">
      <formula>AND($R$495,$S$495)</formula>
    </cfRule>
  </conditionalFormatting>
  <conditionalFormatting sqref="W495">
    <cfRule type="expression" dxfId="3477" priority="20">
      <formula>AND(IF($R$495,$W$495,TRUE),LEN(TRIM($W$495))&gt;0)</formula>
    </cfRule>
  </conditionalFormatting>
  <conditionalFormatting sqref="W495">
    <cfRule type="expression" dxfId="3476" priority="19">
      <formula>$S$495 = FALSE</formula>
    </cfRule>
  </conditionalFormatting>
  <conditionalFormatting sqref="W495">
    <cfRule type="expression" dxfId="3475" priority="18">
      <formula>OR($T$495 = TRUE, AND($W$495 = TRUE, $S$495 = FALSE))</formula>
    </cfRule>
  </conditionalFormatting>
  <conditionalFormatting sqref="I1">
    <cfRule type="expression" dxfId="3474" priority="6">
      <formula>$AG$1="Gold"</formula>
    </cfRule>
    <cfRule type="expression" dxfId="3473" priority="7">
      <formula>$AG$1="Silver"</formula>
    </cfRule>
    <cfRule type="expression" dxfId="3472" priority="8">
      <formula>$AG$1="Bronze"</formula>
    </cfRule>
    <cfRule type="expression" dxfId="3471" priority="9">
      <formula>$AG$1="Emerald"</formula>
    </cfRule>
  </conditionalFormatting>
  <conditionalFormatting sqref="X1">
    <cfRule type="expression" dxfId="3470" priority="5">
      <formula>startError</formula>
    </cfRule>
  </conditionalFormatting>
  <conditionalFormatting sqref="X349">
    <cfRule type="expression" dxfId="3469" priority="4">
      <formula>NOT(ISBLANK(W349))</formula>
    </cfRule>
  </conditionalFormatting>
  <conditionalFormatting sqref="X350">
    <cfRule type="expression" dxfId="3468" priority="3">
      <formula>NOT(ISBLANK(W350))</formula>
    </cfRule>
  </conditionalFormatting>
  <conditionalFormatting sqref="X352:X357">
    <cfRule type="expression" dxfId="3467" priority="2">
      <formula>NOT(ISBLANK(W352))</formula>
    </cfRule>
  </conditionalFormatting>
  <conditionalFormatting sqref="X367:X374">
    <cfRule type="expression" dxfId="3466" priority="1">
      <formula>NOT(ISBLANK(W367))</formula>
    </cfRule>
  </conditionalFormatting>
  <dataValidations count="43">
    <dataValidation type="list" allowBlank="1" showInputMessage="1" showErrorMessage="1" error="Please use the dropdown." sqref="W56" xr:uid="{00000000-0002-0000-0400-000000000000}">
      <formula1>INDIRECT($U$56)</formula1>
    </dataValidation>
    <dataValidation type="list" allowBlank="1" showInputMessage="1" showErrorMessage="1" error="Please use the dropdown." sqref="W63" xr:uid="{00000000-0002-0000-0400-000001000000}">
      <formula1>INDIRECT($U$63)</formula1>
    </dataValidation>
    <dataValidation type="list" allowBlank="1" showInputMessage="1" showErrorMessage="1" error="Please use the dropdown." sqref="W64" xr:uid="{00000000-0002-0000-0400-000002000000}">
      <formula1>INDIRECT($U$64)</formula1>
    </dataValidation>
    <dataValidation type="list" allowBlank="1" showInputMessage="1" showErrorMessage="1" error="Please use the dropdown." sqref="W65" xr:uid="{00000000-0002-0000-0400-000003000000}">
      <formula1>INDIRECT($U$65)</formula1>
    </dataValidation>
    <dataValidation type="list" allowBlank="1" showInputMessage="1" showErrorMessage="1" error="Please use the dropdown." sqref="W69" xr:uid="{00000000-0002-0000-0400-000004000000}">
      <formula1>INDIRECT($U$69)</formula1>
    </dataValidation>
    <dataValidation type="list" allowBlank="1" showInputMessage="1" showErrorMessage="1" error="Please use the dropdown." sqref="W71" xr:uid="{00000000-0002-0000-0400-000005000000}">
      <formula1>INDIRECT($U$71)</formula1>
    </dataValidation>
    <dataValidation type="list" allowBlank="1" showInputMessage="1" showErrorMessage="1" error="Please use the dropdown." sqref="W126" xr:uid="{00000000-0002-0000-0400-000006000000}">
      <formula1>INDIRECT($U$126)</formula1>
    </dataValidation>
    <dataValidation type="list" allowBlank="1" showInputMessage="1" showErrorMessage="1" error="Please use the dropdown." sqref="W187" xr:uid="{00000000-0002-0000-0400-000007000000}">
      <formula1>INDIRECT($U$187)</formula1>
    </dataValidation>
    <dataValidation type="list" allowBlank="1" showInputMessage="1" showErrorMessage="1" error="Please use the dropdown." sqref="W197" xr:uid="{00000000-0002-0000-0400-000008000000}">
      <formula1>INDIRECT($U$197)</formula1>
    </dataValidation>
    <dataValidation type="whole" allowBlank="1" showDropDown="1" showInputMessage="1" showErrorMessage="1" error="Enter a number" prompt="Enter number of square feet" sqref="W249" xr:uid="{00000000-0002-0000-0400-000009000000}">
      <formula1>0</formula1>
      <formula2>10000</formula2>
    </dataValidation>
    <dataValidation type="decimal" allowBlank="1" showDropDown="1" showInputMessage="1" showErrorMessage="1" error="Enter a percentage" prompt="Enter a percentage" sqref="W255 W267 W269 W271 W273" xr:uid="{00000000-0002-0000-0400-00000A000000}">
      <formula1>0</formula1>
      <formula2>1</formula2>
    </dataValidation>
    <dataValidation type="list" allowBlank="1" showInputMessage="1" showErrorMessage="1" error="Please use the dropdown." sqref="W319" xr:uid="{00000000-0002-0000-0400-00000B000000}">
      <formula1>INDIRECT($U$319)</formula1>
    </dataValidation>
    <dataValidation type="list" allowBlank="1" showInputMessage="1" showErrorMessage="1" error="Please use the dropdown." sqref="W320" xr:uid="{00000000-0002-0000-0400-00000C000000}">
      <formula1>INDIRECT($U$320)</formula1>
    </dataValidation>
    <dataValidation type="list" allowBlank="1" showInputMessage="1" showErrorMessage="1" error="Please use the dropdown." sqref="W321" xr:uid="{00000000-0002-0000-0400-00000D000000}">
      <formula1>INDIRECT($U$321)</formula1>
    </dataValidation>
    <dataValidation type="list" allowBlank="1" showInputMessage="1" showErrorMessage="1" error="Please use the dropdown." sqref="W322" xr:uid="{00000000-0002-0000-0400-00000E000000}">
      <formula1>INDIRECT($U$322)</formula1>
    </dataValidation>
    <dataValidation type="list" allowBlank="1" showInputMessage="1" showErrorMessage="1" error="Please use the dropdown." sqref="W323" xr:uid="{00000000-0002-0000-0400-00000F000000}">
      <formula1>INDIRECT($U$323)</formula1>
    </dataValidation>
    <dataValidation type="list" allowBlank="1" showInputMessage="1" showErrorMessage="1" error="Please use the dropdown." sqref="W324" xr:uid="{00000000-0002-0000-0400-000010000000}">
      <formula1>INDIRECT($U$324)</formula1>
    </dataValidation>
    <dataValidation type="list" allowBlank="1" showInputMessage="1" showErrorMessage="1" error="Please use the dropdown." sqref="W325" xr:uid="{00000000-0002-0000-0400-000011000000}">
      <formula1>INDIRECT($U$325)</formula1>
    </dataValidation>
    <dataValidation type="list" allowBlank="1" showInputMessage="1" showErrorMessage="1" error="Please use the dropdown." sqref="W326" xr:uid="{00000000-0002-0000-0400-000012000000}">
      <formula1>INDIRECT($U$326)</formula1>
    </dataValidation>
    <dataValidation type="list" allowBlank="1" showInputMessage="1" showErrorMessage="1" error="Please use the dropdown." sqref="W346" xr:uid="{00000000-0002-0000-0400-000013000000}">
      <formula1>INDIRECT($U$346)</formula1>
    </dataValidation>
    <dataValidation type="list" allowBlank="1" showInputMessage="1" showErrorMessage="1" error="Please use the dropdown." sqref="W347" xr:uid="{00000000-0002-0000-0400-000014000000}">
      <formula1>INDIRECT($U$347)</formula1>
    </dataValidation>
    <dataValidation type="list" allowBlank="1" showInputMessage="1" showErrorMessage="1" error="Please use the dropdown." sqref="W349" xr:uid="{00000000-0002-0000-0400-000015000000}">
      <formula1>INDIRECT($U$349)</formula1>
    </dataValidation>
    <dataValidation type="list" allowBlank="1" showInputMessage="1" showErrorMessage="1" error="Please use the dropdown." sqref="W350" xr:uid="{00000000-0002-0000-0400-000016000000}">
      <formula1>INDIRECT($U$350)</formula1>
    </dataValidation>
    <dataValidation type="list" allowBlank="1" showInputMessage="1" showErrorMessage="1" error="Please use the dropdown." sqref="W352" xr:uid="{00000000-0002-0000-0400-000017000000}">
      <formula1>INDIRECT($U$352)</formula1>
    </dataValidation>
    <dataValidation type="list" allowBlank="1" showInputMessage="1" showErrorMessage="1" error="Please use the dropdown." sqref="W367" xr:uid="{00000000-0002-0000-0400-000018000000}">
      <formula1>INDIRECT($U$367)</formula1>
    </dataValidation>
    <dataValidation type="list" allowBlank="1" showInputMessage="1" showErrorMessage="1" error="Please use the dropdown." sqref="W377" xr:uid="{00000000-0002-0000-0400-000019000000}">
      <formula1>INDIRECT($U$377)</formula1>
    </dataValidation>
    <dataValidation type="list" allowBlank="1" showInputMessage="1" showErrorMessage="1" error="Please use the dropdown." sqref="W380" xr:uid="{00000000-0002-0000-0400-00001A000000}">
      <formula1>INDIRECT($U$380)</formula1>
    </dataValidation>
    <dataValidation type="list" allowBlank="1" showInputMessage="1" showErrorMessage="1" error="Please use the dropdown." sqref="W416" xr:uid="{00000000-0002-0000-0400-00001B000000}">
      <formula1>INDIRECT($U$416)</formula1>
    </dataValidation>
    <dataValidation type="list" allowBlank="1" showInputMessage="1" showErrorMessage="1" error="Please use the dropdown." sqref="W423" xr:uid="{00000000-0002-0000-0400-00001C000000}">
      <formula1>INDIRECT($U$423)</formula1>
    </dataValidation>
    <dataValidation type="list" allowBlank="1" showInputMessage="1" showErrorMessage="1" error="Please use the dropdown." sqref="W429" xr:uid="{00000000-0002-0000-0400-00001D000000}">
      <formula1>INDIRECT($U$429)</formula1>
    </dataValidation>
    <dataValidation type="list" allowBlank="1" showInputMessage="1" showErrorMessage="1" error="Please use the dropdown." sqref="W435" xr:uid="{00000000-0002-0000-0400-00001E000000}">
      <formula1>INDIRECT($U$435)</formula1>
    </dataValidation>
    <dataValidation type="list" allowBlank="1" showInputMessage="1" showErrorMessage="1" error="Please use the dropdown." sqref="W441" xr:uid="{00000000-0002-0000-0400-00001F000000}">
      <formula1>INDIRECT($U$441)</formula1>
    </dataValidation>
    <dataValidation type="list" allowBlank="1" showInputMessage="1" showErrorMessage="1" error="Please use the dropdown." sqref="W447" xr:uid="{00000000-0002-0000-0400-000020000000}">
      <formula1>INDIRECT($U$447)</formula1>
    </dataValidation>
    <dataValidation type="list" allowBlank="1" showInputMessage="1" showErrorMessage="1" error="Please use the dropdown." sqref="W453" xr:uid="{00000000-0002-0000-0400-000021000000}">
      <formula1>INDIRECT($U$453)</formula1>
    </dataValidation>
    <dataValidation type="whole" allowBlank="1" showDropDown="1" showInputMessage="1" showErrorMessage="1" error="Enter a whole number" prompt="Enter number of products" sqref="W513 W503" xr:uid="{00000000-0002-0000-0400-000022000000}">
      <formula1>0</formula1>
      <formula2>20</formula2>
    </dataValidation>
    <dataValidation type="list" allowBlank="1" showInputMessage="1" showErrorMessage="1" error="Please use the dropdown." sqref="W117" xr:uid="{00000000-0002-0000-0400-000023000000}">
      <formula1>INDIRECT($U$117)</formula1>
    </dataValidation>
    <dataValidation type="list" allowBlank="1" showInputMessage="1" showErrorMessage="1" error="Please use the dropdown." sqref="W123" xr:uid="{00000000-0002-0000-0400-000024000000}">
      <formula1>INDIRECT($U$123)</formula1>
    </dataValidation>
    <dataValidation type="list" allowBlank="1" showInputMessage="1" showErrorMessage="1" error="Please use the dropdown." sqref="W150" xr:uid="{00000000-0002-0000-0400-000025000000}">
      <formula1>INDIRECT($U$150)</formula1>
    </dataValidation>
    <dataValidation type="list" allowBlank="1" showInputMessage="1" showErrorMessage="1" error="Please use the dropdown." sqref="W161" xr:uid="{00000000-0002-0000-0400-000026000000}">
      <formula1>INDIRECT($U$161)</formula1>
    </dataValidation>
    <dataValidation type="list" allowBlank="1" showInputMessage="1" showErrorMessage="1" error="Please use the dropdown." sqref="W209" xr:uid="{00000000-0002-0000-0400-000027000000}">
      <formula1>INDIRECT($U$209)</formula1>
    </dataValidation>
    <dataValidation type="list" allowBlank="1" showInputMessage="1" showErrorMessage="1" error="Please use the dropdown." sqref="W214" xr:uid="{00000000-0002-0000-0400-000028000000}">
      <formula1>INDIRECT($U$214)</formula1>
    </dataValidation>
    <dataValidation type="list" allowBlank="1" showInputMessage="1" showErrorMessage="1" error="Please use the dropdown." sqref="W220" xr:uid="{00000000-0002-0000-0400-000029000000}">
      <formula1>INDIRECT($U$220)</formula1>
    </dataValidation>
    <dataValidation type="list" allowBlank="1" showDropDown="1" showInputMessage="1" showErrorMessage="1" error="Use Checkbox" prompt="Use Checkbox" sqref="W29 W495 W493 W487:W489 W485 W483 W479 W474 W464:W470 W408 W401 W392 W363:W364 W361 W306:W314 W293 W291 W278 W262 W245 W243 W238 W234 W230:W231 W228 W222:W223 W211 W195 W193 W182:W183 W179 W169 W157 W155 W153 W148 W143 W139 W135 W129 W127 W121 W115 W109 W107 W104:W105 W100 W97 W86 W78 W50:W54 W39:W44 W35 W32" xr:uid="{00000000-0002-0000-0400-00002A000000}">
      <formula1>TorF</formula1>
    </dataValidation>
  </dataValidations>
  <hyperlinks>
    <hyperlink ref="L134" location="'Figure 6(3)'!A1" display="See Figure 6(3)" xr:uid="{00000000-0004-0000-0400-000000000000}"/>
    <hyperlink ref="L126" location="'Figure 6(3)'!A1" display="See Figure 6(3)" xr:uid="{00000000-0004-0000-0400-000001000000}"/>
    <hyperlink ref="L213" location="'Table 602.1.12'!A1" display="See Table 602.1.12" xr:uid="{00000000-0004-0000-0400-000002000000}"/>
    <hyperlink ref="L269" location="'Table 604.1'!A1" display="See Table 604.1" xr:uid="{00000000-0004-0000-0400-000003000000}"/>
    <hyperlink ref="M414:M427" location="'Table 610.1.2.1'!A1" display="per Table 610.1.2.1           10 Max" xr:uid="{00000000-0004-0000-0400-000004000000}"/>
    <hyperlink ref="M428:M451" location="'Table 610.1.2.2'!A1" display="'Table 610.1.2.2'!A1" xr:uid="{00000000-0004-0000-0400-000005000000}"/>
    <hyperlink ref="X518" location="'Ch7'!A1" display="CLICK TO PROCEED TO CHAPTER 7 &gt;&gt;" xr:uid="{00000000-0004-0000-0400-000006000000}"/>
  </hyperlinks>
  <pageMargins left="0.7" right="0.7" top="0.75" bottom="0.75" header="0.3" footer="0.3"/>
  <pageSetup scale="61" fitToHeight="0" orientation="landscape" r:id="rId1"/>
  <rowBreaks count="10" manualBreakCount="10">
    <brk id="54" min="8" max="23" man="1"/>
    <brk id="101" max="16383" man="1"/>
    <brk id="145" max="16383" man="1"/>
    <brk id="195" max="16383" man="1"/>
    <brk id="245" max="16383" man="1"/>
    <brk id="301" max="16383" man="1"/>
    <brk id="357" max="16383" man="1"/>
    <brk id="409" max="16383" man="1"/>
    <brk id="451" max="16383" man="1"/>
    <brk id="49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202" r:id="rId4" name="Check Box 106">
              <controlPr locked="0" defaultSize="0" autoFill="0" autoLine="0" autoPict="0">
                <anchor moveWithCells="1" sizeWithCells="1">
                  <from>
                    <xdr:col>22</xdr:col>
                    <xdr:colOff>0</xdr:colOff>
                    <xdr:row>28</xdr:row>
                    <xdr:rowOff>0</xdr:rowOff>
                  </from>
                  <to>
                    <xdr:col>22</xdr:col>
                    <xdr:colOff>182880</xdr:colOff>
                    <xdr:row>28</xdr:row>
                    <xdr:rowOff>182880</xdr:rowOff>
                  </to>
                </anchor>
              </controlPr>
            </control>
          </mc:Choice>
        </mc:AlternateContent>
        <mc:AlternateContent xmlns:mc="http://schemas.openxmlformats.org/markup-compatibility/2006">
          <mc:Choice Requires="x14">
            <control shapeId="4203" r:id="rId5" name="Check Box 107">
              <controlPr locked="0" defaultSize="0" autoFill="0" autoLine="0" autoPict="0">
                <anchor moveWithCells="1" sizeWithCells="1">
                  <from>
                    <xdr:col>22</xdr:col>
                    <xdr:colOff>0</xdr:colOff>
                    <xdr:row>31</xdr:row>
                    <xdr:rowOff>0</xdr:rowOff>
                  </from>
                  <to>
                    <xdr:col>22</xdr:col>
                    <xdr:colOff>182880</xdr:colOff>
                    <xdr:row>31</xdr:row>
                    <xdr:rowOff>182880</xdr:rowOff>
                  </to>
                </anchor>
              </controlPr>
            </control>
          </mc:Choice>
        </mc:AlternateContent>
        <mc:AlternateContent xmlns:mc="http://schemas.openxmlformats.org/markup-compatibility/2006">
          <mc:Choice Requires="x14">
            <control shapeId="4204" r:id="rId6" name="Check Box 108">
              <controlPr locked="0" defaultSize="0" autoFill="0" autoLine="0" autoPict="0">
                <anchor moveWithCells="1" sizeWithCells="1">
                  <from>
                    <xdr:col>22</xdr:col>
                    <xdr:colOff>0</xdr:colOff>
                    <xdr:row>34</xdr:row>
                    <xdr:rowOff>0</xdr:rowOff>
                  </from>
                  <to>
                    <xdr:col>22</xdr:col>
                    <xdr:colOff>182880</xdr:colOff>
                    <xdr:row>34</xdr:row>
                    <xdr:rowOff>182880</xdr:rowOff>
                  </to>
                </anchor>
              </controlPr>
            </control>
          </mc:Choice>
        </mc:AlternateContent>
        <mc:AlternateContent xmlns:mc="http://schemas.openxmlformats.org/markup-compatibility/2006">
          <mc:Choice Requires="x14">
            <control shapeId="4205" r:id="rId7" name="Check Box 109">
              <controlPr locked="0" defaultSize="0" autoFill="0" autoLine="0" autoPict="0">
                <anchor moveWithCells="1" sizeWithCells="1">
                  <from>
                    <xdr:col>22</xdr:col>
                    <xdr:colOff>0</xdr:colOff>
                    <xdr:row>38</xdr:row>
                    <xdr:rowOff>0</xdr:rowOff>
                  </from>
                  <to>
                    <xdr:col>22</xdr:col>
                    <xdr:colOff>182880</xdr:colOff>
                    <xdr:row>38</xdr:row>
                    <xdr:rowOff>182880</xdr:rowOff>
                  </to>
                </anchor>
              </controlPr>
            </control>
          </mc:Choice>
        </mc:AlternateContent>
        <mc:AlternateContent xmlns:mc="http://schemas.openxmlformats.org/markup-compatibility/2006">
          <mc:Choice Requires="x14">
            <control shapeId="4206" r:id="rId8" name="Check Box 110">
              <controlPr locked="0" defaultSize="0" autoFill="0" autoLine="0" autoPict="0">
                <anchor moveWithCells="1" sizeWithCells="1">
                  <from>
                    <xdr:col>22</xdr:col>
                    <xdr:colOff>0</xdr:colOff>
                    <xdr:row>39</xdr:row>
                    <xdr:rowOff>0</xdr:rowOff>
                  </from>
                  <to>
                    <xdr:col>22</xdr:col>
                    <xdr:colOff>182880</xdr:colOff>
                    <xdr:row>39</xdr:row>
                    <xdr:rowOff>182880</xdr:rowOff>
                  </to>
                </anchor>
              </controlPr>
            </control>
          </mc:Choice>
        </mc:AlternateContent>
        <mc:AlternateContent xmlns:mc="http://schemas.openxmlformats.org/markup-compatibility/2006">
          <mc:Choice Requires="x14">
            <control shapeId="4207" r:id="rId9" name="Check Box 111">
              <controlPr locked="0" defaultSize="0" autoFill="0" autoLine="0" autoPict="0">
                <anchor moveWithCells="1" sizeWithCells="1">
                  <from>
                    <xdr:col>22</xdr:col>
                    <xdr:colOff>0</xdr:colOff>
                    <xdr:row>40</xdr:row>
                    <xdr:rowOff>0</xdr:rowOff>
                  </from>
                  <to>
                    <xdr:col>22</xdr:col>
                    <xdr:colOff>182880</xdr:colOff>
                    <xdr:row>40</xdr:row>
                    <xdr:rowOff>182880</xdr:rowOff>
                  </to>
                </anchor>
              </controlPr>
            </control>
          </mc:Choice>
        </mc:AlternateContent>
        <mc:AlternateContent xmlns:mc="http://schemas.openxmlformats.org/markup-compatibility/2006">
          <mc:Choice Requires="x14">
            <control shapeId="4208" r:id="rId10" name="Check Box 112">
              <controlPr locked="0" defaultSize="0" autoFill="0" autoLine="0" autoPict="0">
                <anchor moveWithCells="1" sizeWithCells="1">
                  <from>
                    <xdr:col>22</xdr:col>
                    <xdr:colOff>0</xdr:colOff>
                    <xdr:row>41</xdr:row>
                    <xdr:rowOff>0</xdr:rowOff>
                  </from>
                  <to>
                    <xdr:col>22</xdr:col>
                    <xdr:colOff>182880</xdr:colOff>
                    <xdr:row>41</xdr:row>
                    <xdr:rowOff>182880</xdr:rowOff>
                  </to>
                </anchor>
              </controlPr>
            </control>
          </mc:Choice>
        </mc:AlternateContent>
        <mc:AlternateContent xmlns:mc="http://schemas.openxmlformats.org/markup-compatibility/2006">
          <mc:Choice Requires="x14">
            <control shapeId="4209" r:id="rId11" name="Check Box 113">
              <controlPr locked="0" defaultSize="0" autoFill="0" autoLine="0" autoPict="0">
                <anchor moveWithCells="1" sizeWithCells="1">
                  <from>
                    <xdr:col>22</xdr:col>
                    <xdr:colOff>0</xdr:colOff>
                    <xdr:row>42</xdr:row>
                    <xdr:rowOff>0</xdr:rowOff>
                  </from>
                  <to>
                    <xdr:col>22</xdr:col>
                    <xdr:colOff>182880</xdr:colOff>
                    <xdr:row>42</xdr:row>
                    <xdr:rowOff>182880</xdr:rowOff>
                  </to>
                </anchor>
              </controlPr>
            </control>
          </mc:Choice>
        </mc:AlternateContent>
        <mc:AlternateContent xmlns:mc="http://schemas.openxmlformats.org/markup-compatibility/2006">
          <mc:Choice Requires="x14">
            <control shapeId="4210" r:id="rId12" name="Check Box 114">
              <controlPr locked="0" defaultSize="0" autoFill="0" autoLine="0" autoPict="0">
                <anchor moveWithCells="1" sizeWithCells="1">
                  <from>
                    <xdr:col>22</xdr:col>
                    <xdr:colOff>0</xdr:colOff>
                    <xdr:row>43</xdr:row>
                    <xdr:rowOff>0</xdr:rowOff>
                  </from>
                  <to>
                    <xdr:col>22</xdr:col>
                    <xdr:colOff>182880</xdr:colOff>
                    <xdr:row>43</xdr:row>
                    <xdr:rowOff>182880</xdr:rowOff>
                  </to>
                </anchor>
              </controlPr>
            </control>
          </mc:Choice>
        </mc:AlternateContent>
        <mc:AlternateContent xmlns:mc="http://schemas.openxmlformats.org/markup-compatibility/2006">
          <mc:Choice Requires="x14">
            <control shapeId="4211" r:id="rId13" name="Check Box 115">
              <controlPr locked="0" defaultSize="0" autoFill="0" autoLine="0" autoPict="0">
                <anchor moveWithCells="1" sizeWithCells="1">
                  <from>
                    <xdr:col>22</xdr:col>
                    <xdr:colOff>0</xdr:colOff>
                    <xdr:row>49</xdr:row>
                    <xdr:rowOff>0</xdr:rowOff>
                  </from>
                  <to>
                    <xdr:col>22</xdr:col>
                    <xdr:colOff>182880</xdr:colOff>
                    <xdr:row>49</xdr:row>
                    <xdr:rowOff>182880</xdr:rowOff>
                  </to>
                </anchor>
              </controlPr>
            </control>
          </mc:Choice>
        </mc:AlternateContent>
        <mc:AlternateContent xmlns:mc="http://schemas.openxmlformats.org/markup-compatibility/2006">
          <mc:Choice Requires="x14">
            <control shapeId="4212" r:id="rId14" name="Check Box 116">
              <controlPr locked="0" defaultSize="0" autoFill="0" autoLine="0" autoPict="0">
                <anchor moveWithCells="1" sizeWithCells="1">
                  <from>
                    <xdr:col>22</xdr:col>
                    <xdr:colOff>0</xdr:colOff>
                    <xdr:row>50</xdr:row>
                    <xdr:rowOff>0</xdr:rowOff>
                  </from>
                  <to>
                    <xdr:col>22</xdr:col>
                    <xdr:colOff>182880</xdr:colOff>
                    <xdr:row>50</xdr:row>
                    <xdr:rowOff>182880</xdr:rowOff>
                  </to>
                </anchor>
              </controlPr>
            </control>
          </mc:Choice>
        </mc:AlternateContent>
        <mc:AlternateContent xmlns:mc="http://schemas.openxmlformats.org/markup-compatibility/2006">
          <mc:Choice Requires="x14">
            <control shapeId="4213" r:id="rId15" name="Check Box 117">
              <controlPr locked="0" defaultSize="0" autoFill="0" autoLine="0" autoPict="0">
                <anchor moveWithCells="1" sizeWithCells="1">
                  <from>
                    <xdr:col>22</xdr:col>
                    <xdr:colOff>0</xdr:colOff>
                    <xdr:row>51</xdr:row>
                    <xdr:rowOff>0</xdr:rowOff>
                  </from>
                  <to>
                    <xdr:col>22</xdr:col>
                    <xdr:colOff>182880</xdr:colOff>
                    <xdr:row>51</xdr:row>
                    <xdr:rowOff>182880</xdr:rowOff>
                  </to>
                </anchor>
              </controlPr>
            </control>
          </mc:Choice>
        </mc:AlternateContent>
        <mc:AlternateContent xmlns:mc="http://schemas.openxmlformats.org/markup-compatibility/2006">
          <mc:Choice Requires="x14">
            <control shapeId="4214" r:id="rId16" name="Check Box 118">
              <controlPr locked="0" defaultSize="0" autoFill="0" autoLine="0" autoPict="0">
                <anchor moveWithCells="1" sizeWithCells="1">
                  <from>
                    <xdr:col>22</xdr:col>
                    <xdr:colOff>0</xdr:colOff>
                    <xdr:row>52</xdr:row>
                    <xdr:rowOff>0</xdr:rowOff>
                  </from>
                  <to>
                    <xdr:col>22</xdr:col>
                    <xdr:colOff>182880</xdr:colOff>
                    <xdr:row>52</xdr:row>
                    <xdr:rowOff>182880</xdr:rowOff>
                  </to>
                </anchor>
              </controlPr>
            </control>
          </mc:Choice>
        </mc:AlternateContent>
        <mc:AlternateContent xmlns:mc="http://schemas.openxmlformats.org/markup-compatibility/2006">
          <mc:Choice Requires="x14">
            <control shapeId="4215" r:id="rId17" name="Check Box 119">
              <controlPr locked="0" defaultSize="0" autoFill="0" autoLine="0" autoPict="0">
                <anchor moveWithCells="1" sizeWithCells="1">
                  <from>
                    <xdr:col>22</xdr:col>
                    <xdr:colOff>0</xdr:colOff>
                    <xdr:row>53</xdr:row>
                    <xdr:rowOff>0</xdr:rowOff>
                  </from>
                  <to>
                    <xdr:col>22</xdr:col>
                    <xdr:colOff>182880</xdr:colOff>
                    <xdr:row>53</xdr:row>
                    <xdr:rowOff>182880</xdr:rowOff>
                  </to>
                </anchor>
              </controlPr>
            </control>
          </mc:Choice>
        </mc:AlternateContent>
        <mc:AlternateContent xmlns:mc="http://schemas.openxmlformats.org/markup-compatibility/2006">
          <mc:Choice Requires="x14">
            <control shapeId="4216" r:id="rId18" name="Check Box 120">
              <controlPr locked="0" defaultSize="0" autoFill="0" autoLine="0" autoPict="0">
                <anchor moveWithCells="1" sizeWithCells="1">
                  <from>
                    <xdr:col>22</xdr:col>
                    <xdr:colOff>0</xdr:colOff>
                    <xdr:row>77</xdr:row>
                    <xdr:rowOff>0</xdr:rowOff>
                  </from>
                  <to>
                    <xdr:col>22</xdr:col>
                    <xdr:colOff>182880</xdr:colOff>
                    <xdr:row>77</xdr:row>
                    <xdr:rowOff>182880</xdr:rowOff>
                  </to>
                </anchor>
              </controlPr>
            </control>
          </mc:Choice>
        </mc:AlternateContent>
        <mc:AlternateContent xmlns:mc="http://schemas.openxmlformats.org/markup-compatibility/2006">
          <mc:Choice Requires="x14">
            <control shapeId="4217" r:id="rId19" name="Check Box 121">
              <controlPr locked="0" defaultSize="0" autoFill="0" autoLine="0" autoPict="0">
                <anchor moveWithCells="1" sizeWithCells="1">
                  <from>
                    <xdr:col>22</xdr:col>
                    <xdr:colOff>0</xdr:colOff>
                    <xdr:row>85</xdr:row>
                    <xdr:rowOff>0</xdr:rowOff>
                  </from>
                  <to>
                    <xdr:col>22</xdr:col>
                    <xdr:colOff>182880</xdr:colOff>
                    <xdr:row>85</xdr:row>
                    <xdr:rowOff>182880</xdr:rowOff>
                  </to>
                </anchor>
              </controlPr>
            </control>
          </mc:Choice>
        </mc:AlternateContent>
        <mc:AlternateContent xmlns:mc="http://schemas.openxmlformats.org/markup-compatibility/2006">
          <mc:Choice Requires="x14">
            <control shapeId="4218" r:id="rId20" name="Check Box 122">
              <controlPr locked="0" defaultSize="0" autoFill="0" autoLine="0" autoPict="0">
                <anchor moveWithCells="1" sizeWithCells="1">
                  <from>
                    <xdr:col>22</xdr:col>
                    <xdr:colOff>0</xdr:colOff>
                    <xdr:row>96</xdr:row>
                    <xdr:rowOff>0</xdr:rowOff>
                  </from>
                  <to>
                    <xdr:col>22</xdr:col>
                    <xdr:colOff>182880</xdr:colOff>
                    <xdr:row>96</xdr:row>
                    <xdr:rowOff>182880</xdr:rowOff>
                  </to>
                </anchor>
              </controlPr>
            </control>
          </mc:Choice>
        </mc:AlternateContent>
        <mc:AlternateContent xmlns:mc="http://schemas.openxmlformats.org/markup-compatibility/2006">
          <mc:Choice Requires="x14">
            <control shapeId="4219" r:id="rId21" name="Check Box 123">
              <controlPr locked="0" defaultSize="0" autoFill="0" autoLine="0" autoPict="0">
                <anchor moveWithCells="1" sizeWithCells="1">
                  <from>
                    <xdr:col>22</xdr:col>
                    <xdr:colOff>0</xdr:colOff>
                    <xdr:row>99</xdr:row>
                    <xdr:rowOff>0</xdr:rowOff>
                  </from>
                  <to>
                    <xdr:col>22</xdr:col>
                    <xdr:colOff>182880</xdr:colOff>
                    <xdr:row>99</xdr:row>
                    <xdr:rowOff>182880</xdr:rowOff>
                  </to>
                </anchor>
              </controlPr>
            </control>
          </mc:Choice>
        </mc:AlternateContent>
        <mc:AlternateContent xmlns:mc="http://schemas.openxmlformats.org/markup-compatibility/2006">
          <mc:Choice Requires="x14">
            <control shapeId="4220" r:id="rId22" name="Check Box 124">
              <controlPr locked="0" defaultSize="0" autoFill="0" autoLine="0" autoPict="0">
                <anchor moveWithCells="1" sizeWithCells="1">
                  <from>
                    <xdr:col>22</xdr:col>
                    <xdr:colOff>0</xdr:colOff>
                    <xdr:row>103</xdr:row>
                    <xdr:rowOff>0</xdr:rowOff>
                  </from>
                  <to>
                    <xdr:col>22</xdr:col>
                    <xdr:colOff>182880</xdr:colOff>
                    <xdr:row>103</xdr:row>
                    <xdr:rowOff>182880</xdr:rowOff>
                  </to>
                </anchor>
              </controlPr>
            </control>
          </mc:Choice>
        </mc:AlternateContent>
        <mc:AlternateContent xmlns:mc="http://schemas.openxmlformats.org/markup-compatibility/2006">
          <mc:Choice Requires="x14">
            <control shapeId="4221" r:id="rId23" name="Check Box 125">
              <controlPr locked="0" defaultSize="0" autoFill="0" autoLine="0" autoPict="0">
                <anchor moveWithCells="1" sizeWithCells="1">
                  <from>
                    <xdr:col>22</xdr:col>
                    <xdr:colOff>0</xdr:colOff>
                    <xdr:row>104</xdr:row>
                    <xdr:rowOff>0</xdr:rowOff>
                  </from>
                  <to>
                    <xdr:col>22</xdr:col>
                    <xdr:colOff>182880</xdr:colOff>
                    <xdr:row>104</xdr:row>
                    <xdr:rowOff>182880</xdr:rowOff>
                  </to>
                </anchor>
              </controlPr>
            </control>
          </mc:Choice>
        </mc:AlternateContent>
        <mc:AlternateContent xmlns:mc="http://schemas.openxmlformats.org/markup-compatibility/2006">
          <mc:Choice Requires="x14">
            <control shapeId="4222" r:id="rId24" name="Check Box 126">
              <controlPr locked="0" defaultSize="0" autoFill="0" autoLine="0" autoPict="0">
                <anchor moveWithCells="1" sizeWithCells="1">
                  <from>
                    <xdr:col>22</xdr:col>
                    <xdr:colOff>0</xdr:colOff>
                    <xdr:row>106</xdr:row>
                    <xdr:rowOff>0</xdr:rowOff>
                  </from>
                  <to>
                    <xdr:col>22</xdr:col>
                    <xdr:colOff>182880</xdr:colOff>
                    <xdr:row>106</xdr:row>
                    <xdr:rowOff>182880</xdr:rowOff>
                  </to>
                </anchor>
              </controlPr>
            </control>
          </mc:Choice>
        </mc:AlternateContent>
        <mc:AlternateContent xmlns:mc="http://schemas.openxmlformats.org/markup-compatibility/2006">
          <mc:Choice Requires="x14">
            <control shapeId="4223" r:id="rId25" name="Check Box 127">
              <controlPr locked="0" defaultSize="0" autoFill="0" autoLine="0" autoPict="0">
                <anchor moveWithCells="1" sizeWithCells="1">
                  <from>
                    <xdr:col>22</xdr:col>
                    <xdr:colOff>0</xdr:colOff>
                    <xdr:row>108</xdr:row>
                    <xdr:rowOff>0</xdr:rowOff>
                  </from>
                  <to>
                    <xdr:col>22</xdr:col>
                    <xdr:colOff>182880</xdr:colOff>
                    <xdr:row>108</xdr:row>
                    <xdr:rowOff>182880</xdr:rowOff>
                  </to>
                </anchor>
              </controlPr>
            </control>
          </mc:Choice>
        </mc:AlternateContent>
        <mc:AlternateContent xmlns:mc="http://schemas.openxmlformats.org/markup-compatibility/2006">
          <mc:Choice Requires="x14">
            <control shapeId="4224" r:id="rId26" name="Check Box 128">
              <controlPr locked="0" defaultSize="0" autoFill="0" autoLine="0" autoPict="0">
                <anchor moveWithCells="1" sizeWithCells="1">
                  <from>
                    <xdr:col>22</xdr:col>
                    <xdr:colOff>0</xdr:colOff>
                    <xdr:row>114</xdr:row>
                    <xdr:rowOff>0</xdr:rowOff>
                  </from>
                  <to>
                    <xdr:col>22</xdr:col>
                    <xdr:colOff>182880</xdr:colOff>
                    <xdr:row>114</xdr:row>
                    <xdr:rowOff>182880</xdr:rowOff>
                  </to>
                </anchor>
              </controlPr>
            </control>
          </mc:Choice>
        </mc:AlternateContent>
        <mc:AlternateContent xmlns:mc="http://schemas.openxmlformats.org/markup-compatibility/2006">
          <mc:Choice Requires="x14">
            <control shapeId="4225" r:id="rId27" name="Check Box 129">
              <controlPr locked="0" defaultSize="0" autoFill="0" autoLine="0" autoPict="0">
                <anchor moveWithCells="1" sizeWithCells="1">
                  <from>
                    <xdr:col>22</xdr:col>
                    <xdr:colOff>0</xdr:colOff>
                    <xdr:row>120</xdr:row>
                    <xdr:rowOff>0</xdr:rowOff>
                  </from>
                  <to>
                    <xdr:col>22</xdr:col>
                    <xdr:colOff>182880</xdr:colOff>
                    <xdr:row>120</xdr:row>
                    <xdr:rowOff>182880</xdr:rowOff>
                  </to>
                </anchor>
              </controlPr>
            </control>
          </mc:Choice>
        </mc:AlternateContent>
        <mc:AlternateContent xmlns:mc="http://schemas.openxmlformats.org/markup-compatibility/2006">
          <mc:Choice Requires="x14">
            <control shapeId="4226" r:id="rId28" name="Check Box 130">
              <controlPr locked="0" defaultSize="0" autoFill="0" autoLine="0" autoPict="0">
                <anchor moveWithCells="1" sizeWithCells="1">
                  <from>
                    <xdr:col>22</xdr:col>
                    <xdr:colOff>0</xdr:colOff>
                    <xdr:row>126</xdr:row>
                    <xdr:rowOff>0</xdr:rowOff>
                  </from>
                  <to>
                    <xdr:col>22</xdr:col>
                    <xdr:colOff>182880</xdr:colOff>
                    <xdr:row>126</xdr:row>
                    <xdr:rowOff>182880</xdr:rowOff>
                  </to>
                </anchor>
              </controlPr>
            </control>
          </mc:Choice>
        </mc:AlternateContent>
        <mc:AlternateContent xmlns:mc="http://schemas.openxmlformats.org/markup-compatibility/2006">
          <mc:Choice Requires="x14">
            <control shapeId="4227" r:id="rId29" name="Check Box 131">
              <controlPr locked="0" defaultSize="0" autoFill="0" autoLine="0" autoPict="0">
                <anchor moveWithCells="1" sizeWithCells="1">
                  <from>
                    <xdr:col>22</xdr:col>
                    <xdr:colOff>0</xdr:colOff>
                    <xdr:row>128</xdr:row>
                    <xdr:rowOff>0</xdr:rowOff>
                  </from>
                  <to>
                    <xdr:col>22</xdr:col>
                    <xdr:colOff>182880</xdr:colOff>
                    <xdr:row>128</xdr:row>
                    <xdr:rowOff>182880</xdr:rowOff>
                  </to>
                </anchor>
              </controlPr>
            </control>
          </mc:Choice>
        </mc:AlternateContent>
        <mc:AlternateContent xmlns:mc="http://schemas.openxmlformats.org/markup-compatibility/2006">
          <mc:Choice Requires="x14">
            <control shapeId="4228" r:id="rId30" name="Check Box 132">
              <controlPr locked="0" defaultSize="0" autoFill="0" autoLine="0" autoPict="0">
                <anchor moveWithCells="1" sizeWithCells="1">
                  <from>
                    <xdr:col>22</xdr:col>
                    <xdr:colOff>0</xdr:colOff>
                    <xdr:row>134</xdr:row>
                    <xdr:rowOff>0</xdr:rowOff>
                  </from>
                  <to>
                    <xdr:col>22</xdr:col>
                    <xdr:colOff>182880</xdr:colOff>
                    <xdr:row>134</xdr:row>
                    <xdr:rowOff>182880</xdr:rowOff>
                  </to>
                </anchor>
              </controlPr>
            </control>
          </mc:Choice>
        </mc:AlternateContent>
        <mc:AlternateContent xmlns:mc="http://schemas.openxmlformats.org/markup-compatibility/2006">
          <mc:Choice Requires="x14">
            <control shapeId="4229" r:id="rId31" name="Check Box 133">
              <controlPr locked="0" defaultSize="0" autoFill="0" autoLine="0" autoPict="0">
                <anchor moveWithCells="1" sizeWithCells="1">
                  <from>
                    <xdr:col>22</xdr:col>
                    <xdr:colOff>0</xdr:colOff>
                    <xdr:row>138</xdr:row>
                    <xdr:rowOff>0</xdr:rowOff>
                  </from>
                  <to>
                    <xdr:col>22</xdr:col>
                    <xdr:colOff>182880</xdr:colOff>
                    <xdr:row>138</xdr:row>
                    <xdr:rowOff>182880</xdr:rowOff>
                  </to>
                </anchor>
              </controlPr>
            </control>
          </mc:Choice>
        </mc:AlternateContent>
        <mc:AlternateContent xmlns:mc="http://schemas.openxmlformats.org/markup-compatibility/2006">
          <mc:Choice Requires="x14">
            <control shapeId="4230" r:id="rId32" name="Check Box 134">
              <controlPr locked="0" defaultSize="0" autoFill="0" autoLine="0" autoPict="0">
                <anchor moveWithCells="1" sizeWithCells="1">
                  <from>
                    <xdr:col>22</xdr:col>
                    <xdr:colOff>0</xdr:colOff>
                    <xdr:row>142</xdr:row>
                    <xdr:rowOff>0</xdr:rowOff>
                  </from>
                  <to>
                    <xdr:col>22</xdr:col>
                    <xdr:colOff>182880</xdr:colOff>
                    <xdr:row>142</xdr:row>
                    <xdr:rowOff>182880</xdr:rowOff>
                  </to>
                </anchor>
              </controlPr>
            </control>
          </mc:Choice>
        </mc:AlternateContent>
        <mc:AlternateContent xmlns:mc="http://schemas.openxmlformats.org/markup-compatibility/2006">
          <mc:Choice Requires="x14">
            <control shapeId="4231" r:id="rId33" name="Check Box 135">
              <controlPr locked="0" defaultSize="0" autoFill="0" autoLine="0" autoPict="0">
                <anchor moveWithCells="1" sizeWithCells="1">
                  <from>
                    <xdr:col>22</xdr:col>
                    <xdr:colOff>0</xdr:colOff>
                    <xdr:row>147</xdr:row>
                    <xdr:rowOff>0</xdr:rowOff>
                  </from>
                  <to>
                    <xdr:col>22</xdr:col>
                    <xdr:colOff>182880</xdr:colOff>
                    <xdr:row>147</xdr:row>
                    <xdr:rowOff>182880</xdr:rowOff>
                  </to>
                </anchor>
              </controlPr>
            </control>
          </mc:Choice>
        </mc:AlternateContent>
        <mc:AlternateContent xmlns:mc="http://schemas.openxmlformats.org/markup-compatibility/2006">
          <mc:Choice Requires="x14">
            <control shapeId="4232" r:id="rId34" name="Check Box 136">
              <controlPr locked="0" defaultSize="0" autoFill="0" autoLine="0" autoPict="0">
                <anchor moveWithCells="1" sizeWithCells="1">
                  <from>
                    <xdr:col>22</xdr:col>
                    <xdr:colOff>0</xdr:colOff>
                    <xdr:row>152</xdr:row>
                    <xdr:rowOff>0</xdr:rowOff>
                  </from>
                  <to>
                    <xdr:col>22</xdr:col>
                    <xdr:colOff>182880</xdr:colOff>
                    <xdr:row>152</xdr:row>
                    <xdr:rowOff>182880</xdr:rowOff>
                  </to>
                </anchor>
              </controlPr>
            </control>
          </mc:Choice>
        </mc:AlternateContent>
        <mc:AlternateContent xmlns:mc="http://schemas.openxmlformats.org/markup-compatibility/2006">
          <mc:Choice Requires="x14">
            <control shapeId="4233" r:id="rId35" name="Check Box 137">
              <controlPr locked="0" defaultSize="0" autoFill="0" autoLine="0" autoPict="0">
                <anchor moveWithCells="1" sizeWithCells="1">
                  <from>
                    <xdr:col>22</xdr:col>
                    <xdr:colOff>0</xdr:colOff>
                    <xdr:row>154</xdr:row>
                    <xdr:rowOff>0</xdr:rowOff>
                  </from>
                  <to>
                    <xdr:col>22</xdr:col>
                    <xdr:colOff>182880</xdr:colOff>
                    <xdr:row>154</xdr:row>
                    <xdr:rowOff>182880</xdr:rowOff>
                  </to>
                </anchor>
              </controlPr>
            </control>
          </mc:Choice>
        </mc:AlternateContent>
        <mc:AlternateContent xmlns:mc="http://schemas.openxmlformats.org/markup-compatibility/2006">
          <mc:Choice Requires="x14">
            <control shapeId="4234" r:id="rId36" name="Check Box 138">
              <controlPr locked="0" defaultSize="0" autoFill="0" autoLine="0" autoPict="0">
                <anchor moveWithCells="1" sizeWithCells="1">
                  <from>
                    <xdr:col>22</xdr:col>
                    <xdr:colOff>0</xdr:colOff>
                    <xdr:row>156</xdr:row>
                    <xdr:rowOff>0</xdr:rowOff>
                  </from>
                  <to>
                    <xdr:col>22</xdr:col>
                    <xdr:colOff>182880</xdr:colOff>
                    <xdr:row>156</xdr:row>
                    <xdr:rowOff>182880</xdr:rowOff>
                  </to>
                </anchor>
              </controlPr>
            </control>
          </mc:Choice>
        </mc:AlternateContent>
        <mc:AlternateContent xmlns:mc="http://schemas.openxmlformats.org/markup-compatibility/2006">
          <mc:Choice Requires="x14">
            <control shapeId="4235" r:id="rId37" name="Check Box 139">
              <controlPr locked="0" defaultSize="0" autoFill="0" autoLine="0" autoPict="0">
                <anchor moveWithCells="1" sizeWithCells="1">
                  <from>
                    <xdr:col>22</xdr:col>
                    <xdr:colOff>0</xdr:colOff>
                    <xdr:row>168</xdr:row>
                    <xdr:rowOff>0</xdr:rowOff>
                  </from>
                  <to>
                    <xdr:col>22</xdr:col>
                    <xdr:colOff>182880</xdr:colOff>
                    <xdr:row>168</xdr:row>
                    <xdr:rowOff>182880</xdr:rowOff>
                  </to>
                </anchor>
              </controlPr>
            </control>
          </mc:Choice>
        </mc:AlternateContent>
        <mc:AlternateContent xmlns:mc="http://schemas.openxmlformats.org/markup-compatibility/2006">
          <mc:Choice Requires="x14">
            <control shapeId="4236" r:id="rId38" name="Check Box 140">
              <controlPr locked="0" defaultSize="0" autoFill="0" autoLine="0" autoPict="0">
                <anchor moveWithCells="1" sizeWithCells="1">
                  <from>
                    <xdr:col>22</xdr:col>
                    <xdr:colOff>0</xdr:colOff>
                    <xdr:row>178</xdr:row>
                    <xdr:rowOff>0</xdr:rowOff>
                  </from>
                  <to>
                    <xdr:col>22</xdr:col>
                    <xdr:colOff>182880</xdr:colOff>
                    <xdr:row>178</xdr:row>
                    <xdr:rowOff>182880</xdr:rowOff>
                  </to>
                </anchor>
              </controlPr>
            </control>
          </mc:Choice>
        </mc:AlternateContent>
        <mc:AlternateContent xmlns:mc="http://schemas.openxmlformats.org/markup-compatibility/2006">
          <mc:Choice Requires="x14">
            <control shapeId="4237" r:id="rId39" name="Check Box 141">
              <controlPr locked="0" defaultSize="0" autoFill="0" autoLine="0" autoPict="0">
                <anchor moveWithCells="1" sizeWithCells="1">
                  <from>
                    <xdr:col>22</xdr:col>
                    <xdr:colOff>0</xdr:colOff>
                    <xdr:row>181</xdr:row>
                    <xdr:rowOff>0</xdr:rowOff>
                  </from>
                  <to>
                    <xdr:col>22</xdr:col>
                    <xdr:colOff>182880</xdr:colOff>
                    <xdr:row>181</xdr:row>
                    <xdr:rowOff>182880</xdr:rowOff>
                  </to>
                </anchor>
              </controlPr>
            </control>
          </mc:Choice>
        </mc:AlternateContent>
        <mc:AlternateContent xmlns:mc="http://schemas.openxmlformats.org/markup-compatibility/2006">
          <mc:Choice Requires="x14">
            <control shapeId="4238" r:id="rId40" name="Check Box 142">
              <controlPr locked="0" defaultSize="0" autoFill="0" autoLine="0" autoPict="0">
                <anchor moveWithCells="1" sizeWithCells="1">
                  <from>
                    <xdr:col>22</xdr:col>
                    <xdr:colOff>0</xdr:colOff>
                    <xdr:row>182</xdr:row>
                    <xdr:rowOff>0</xdr:rowOff>
                  </from>
                  <to>
                    <xdr:col>22</xdr:col>
                    <xdr:colOff>182880</xdr:colOff>
                    <xdr:row>182</xdr:row>
                    <xdr:rowOff>182880</xdr:rowOff>
                  </to>
                </anchor>
              </controlPr>
            </control>
          </mc:Choice>
        </mc:AlternateContent>
        <mc:AlternateContent xmlns:mc="http://schemas.openxmlformats.org/markup-compatibility/2006">
          <mc:Choice Requires="x14">
            <control shapeId="4239" r:id="rId41" name="Check Box 143">
              <controlPr locked="0" defaultSize="0" autoFill="0" autoLine="0" autoPict="0">
                <anchor moveWithCells="1" sizeWithCells="1">
                  <from>
                    <xdr:col>22</xdr:col>
                    <xdr:colOff>0</xdr:colOff>
                    <xdr:row>192</xdr:row>
                    <xdr:rowOff>0</xdr:rowOff>
                  </from>
                  <to>
                    <xdr:col>22</xdr:col>
                    <xdr:colOff>182880</xdr:colOff>
                    <xdr:row>192</xdr:row>
                    <xdr:rowOff>182880</xdr:rowOff>
                  </to>
                </anchor>
              </controlPr>
            </control>
          </mc:Choice>
        </mc:AlternateContent>
        <mc:AlternateContent xmlns:mc="http://schemas.openxmlformats.org/markup-compatibility/2006">
          <mc:Choice Requires="x14">
            <control shapeId="4240" r:id="rId42" name="Check Box 144">
              <controlPr locked="0" defaultSize="0" autoFill="0" autoLine="0" autoPict="0">
                <anchor moveWithCells="1" sizeWithCells="1">
                  <from>
                    <xdr:col>22</xdr:col>
                    <xdr:colOff>0</xdr:colOff>
                    <xdr:row>194</xdr:row>
                    <xdr:rowOff>0</xdr:rowOff>
                  </from>
                  <to>
                    <xdr:col>22</xdr:col>
                    <xdr:colOff>182880</xdr:colOff>
                    <xdr:row>194</xdr:row>
                    <xdr:rowOff>182880</xdr:rowOff>
                  </to>
                </anchor>
              </controlPr>
            </control>
          </mc:Choice>
        </mc:AlternateContent>
        <mc:AlternateContent xmlns:mc="http://schemas.openxmlformats.org/markup-compatibility/2006">
          <mc:Choice Requires="x14">
            <control shapeId="4241" r:id="rId43" name="Check Box 145">
              <controlPr locked="0" defaultSize="0" autoFill="0" autoLine="0" autoPict="0">
                <anchor moveWithCells="1" sizeWithCells="1">
                  <from>
                    <xdr:col>22</xdr:col>
                    <xdr:colOff>0</xdr:colOff>
                    <xdr:row>210</xdr:row>
                    <xdr:rowOff>0</xdr:rowOff>
                  </from>
                  <to>
                    <xdr:col>22</xdr:col>
                    <xdr:colOff>182880</xdr:colOff>
                    <xdr:row>210</xdr:row>
                    <xdr:rowOff>182880</xdr:rowOff>
                  </to>
                </anchor>
              </controlPr>
            </control>
          </mc:Choice>
        </mc:AlternateContent>
        <mc:AlternateContent xmlns:mc="http://schemas.openxmlformats.org/markup-compatibility/2006">
          <mc:Choice Requires="x14">
            <control shapeId="4242" r:id="rId44" name="Check Box 146">
              <controlPr locked="0" defaultSize="0" autoFill="0" autoLine="0" autoPict="0">
                <anchor moveWithCells="1" sizeWithCells="1">
                  <from>
                    <xdr:col>22</xdr:col>
                    <xdr:colOff>0</xdr:colOff>
                    <xdr:row>221</xdr:row>
                    <xdr:rowOff>0</xdr:rowOff>
                  </from>
                  <to>
                    <xdr:col>22</xdr:col>
                    <xdr:colOff>182880</xdr:colOff>
                    <xdr:row>221</xdr:row>
                    <xdr:rowOff>182880</xdr:rowOff>
                  </to>
                </anchor>
              </controlPr>
            </control>
          </mc:Choice>
        </mc:AlternateContent>
        <mc:AlternateContent xmlns:mc="http://schemas.openxmlformats.org/markup-compatibility/2006">
          <mc:Choice Requires="x14">
            <control shapeId="4243" r:id="rId45" name="Check Box 147">
              <controlPr locked="0" defaultSize="0" autoFill="0" autoLine="0" autoPict="0">
                <anchor moveWithCells="1" sizeWithCells="1">
                  <from>
                    <xdr:col>22</xdr:col>
                    <xdr:colOff>0</xdr:colOff>
                    <xdr:row>222</xdr:row>
                    <xdr:rowOff>0</xdr:rowOff>
                  </from>
                  <to>
                    <xdr:col>22</xdr:col>
                    <xdr:colOff>182880</xdr:colOff>
                    <xdr:row>222</xdr:row>
                    <xdr:rowOff>182880</xdr:rowOff>
                  </to>
                </anchor>
              </controlPr>
            </control>
          </mc:Choice>
        </mc:AlternateContent>
        <mc:AlternateContent xmlns:mc="http://schemas.openxmlformats.org/markup-compatibility/2006">
          <mc:Choice Requires="x14">
            <control shapeId="4244" r:id="rId46" name="Check Box 148">
              <controlPr locked="0" defaultSize="0" autoFill="0" autoLine="0" autoPict="0">
                <anchor moveWithCells="1" sizeWithCells="1">
                  <from>
                    <xdr:col>22</xdr:col>
                    <xdr:colOff>0</xdr:colOff>
                    <xdr:row>227</xdr:row>
                    <xdr:rowOff>0</xdr:rowOff>
                  </from>
                  <to>
                    <xdr:col>22</xdr:col>
                    <xdr:colOff>182880</xdr:colOff>
                    <xdr:row>227</xdr:row>
                    <xdr:rowOff>182880</xdr:rowOff>
                  </to>
                </anchor>
              </controlPr>
            </control>
          </mc:Choice>
        </mc:AlternateContent>
        <mc:AlternateContent xmlns:mc="http://schemas.openxmlformats.org/markup-compatibility/2006">
          <mc:Choice Requires="x14">
            <control shapeId="4245" r:id="rId47" name="Check Box 149">
              <controlPr locked="0" defaultSize="0" autoFill="0" autoLine="0" autoPict="0">
                <anchor moveWithCells="1" sizeWithCells="1">
                  <from>
                    <xdr:col>22</xdr:col>
                    <xdr:colOff>0</xdr:colOff>
                    <xdr:row>229</xdr:row>
                    <xdr:rowOff>0</xdr:rowOff>
                  </from>
                  <to>
                    <xdr:col>22</xdr:col>
                    <xdr:colOff>182880</xdr:colOff>
                    <xdr:row>229</xdr:row>
                    <xdr:rowOff>182880</xdr:rowOff>
                  </to>
                </anchor>
              </controlPr>
            </control>
          </mc:Choice>
        </mc:AlternateContent>
        <mc:AlternateContent xmlns:mc="http://schemas.openxmlformats.org/markup-compatibility/2006">
          <mc:Choice Requires="x14">
            <control shapeId="4246" r:id="rId48" name="Check Box 150">
              <controlPr locked="0" defaultSize="0" autoFill="0" autoLine="0" autoPict="0">
                <anchor moveWithCells="1" sizeWithCells="1">
                  <from>
                    <xdr:col>22</xdr:col>
                    <xdr:colOff>0</xdr:colOff>
                    <xdr:row>230</xdr:row>
                    <xdr:rowOff>0</xdr:rowOff>
                  </from>
                  <to>
                    <xdr:col>22</xdr:col>
                    <xdr:colOff>182880</xdr:colOff>
                    <xdr:row>230</xdr:row>
                    <xdr:rowOff>182880</xdr:rowOff>
                  </to>
                </anchor>
              </controlPr>
            </control>
          </mc:Choice>
        </mc:AlternateContent>
        <mc:AlternateContent xmlns:mc="http://schemas.openxmlformats.org/markup-compatibility/2006">
          <mc:Choice Requires="x14">
            <control shapeId="4247" r:id="rId49" name="Check Box 151">
              <controlPr locked="0" defaultSize="0" autoFill="0" autoLine="0" autoPict="0">
                <anchor moveWithCells="1" sizeWithCells="1">
                  <from>
                    <xdr:col>22</xdr:col>
                    <xdr:colOff>0</xdr:colOff>
                    <xdr:row>233</xdr:row>
                    <xdr:rowOff>0</xdr:rowOff>
                  </from>
                  <to>
                    <xdr:col>22</xdr:col>
                    <xdr:colOff>182880</xdr:colOff>
                    <xdr:row>233</xdr:row>
                    <xdr:rowOff>182880</xdr:rowOff>
                  </to>
                </anchor>
              </controlPr>
            </control>
          </mc:Choice>
        </mc:AlternateContent>
        <mc:AlternateContent xmlns:mc="http://schemas.openxmlformats.org/markup-compatibility/2006">
          <mc:Choice Requires="x14">
            <control shapeId="4248" r:id="rId50" name="Check Box 152">
              <controlPr locked="0" defaultSize="0" autoFill="0" autoLine="0" autoPict="0">
                <anchor moveWithCells="1" sizeWithCells="1">
                  <from>
                    <xdr:col>22</xdr:col>
                    <xdr:colOff>0</xdr:colOff>
                    <xdr:row>237</xdr:row>
                    <xdr:rowOff>0</xdr:rowOff>
                  </from>
                  <to>
                    <xdr:col>22</xdr:col>
                    <xdr:colOff>182880</xdr:colOff>
                    <xdr:row>237</xdr:row>
                    <xdr:rowOff>182880</xdr:rowOff>
                  </to>
                </anchor>
              </controlPr>
            </control>
          </mc:Choice>
        </mc:AlternateContent>
        <mc:AlternateContent xmlns:mc="http://schemas.openxmlformats.org/markup-compatibility/2006">
          <mc:Choice Requires="x14">
            <control shapeId="4249" r:id="rId51" name="Check Box 153">
              <controlPr locked="0" defaultSize="0" autoFill="0" autoLine="0" autoPict="0">
                <anchor moveWithCells="1" sizeWithCells="1">
                  <from>
                    <xdr:col>22</xdr:col>
                    <xdr:colOff>0</xdr:colOff>
                    <xdr:row>242</xdr:row>
                    <xdr:rowOff>0</xdr:rowOff>
                  </from>
                  <to>
                    <xdr:col>22</xdr:col>
                    <xdr:colOff>182880</xdr:colOff>
                    <xdr:row>242</xdr:row>
                    <xdr:rowOff>182880</xdr:rowOff>
                  </to>
                </anchor>
              </controlPr>
            </control>
          </mc:Choice>
        </mc:AlternateContent>
        <mc:AlternateContent xmlns:mc="http://schemas.openxmlformats.org/markup-compatibility/2006">
          <mc:Choice Requires="x14">
            <control shapeId="4250" r:id="rId52" name="Check Box 154">
              <controlPr locked="0" defaultSize="0" autoFill="0" autoLine="0" autoPict="0">
                <anchor moveWithCells="1" sizeWithCells="1">
                  <from>
                    <xdr:col>22</xdr:col>
                    <xdr:colOff>0</xdr:colOff>
                    <xdr:row>244</xdr:row>
                    <xdr:rowOff>0</xdr:rowOff>
                  </from>
                  <to>
                    <xdr:col>22</xdr:col>
                    <xdr:colOff>182880</xdr:colOff>
                    <xdr:row>244</xdr:row>
                    <xdr:rowOff>182880</xdr:rowOff>
                  </to>
                </anchor>
              </controlPr>
            </control>
          </mc:Choice>
        </mc:AlternateContent>
        <mc:AlternateContent xmlns:mc="http://schemas.openxmlformats.org/markup-compatibility/2006">
          <mc:Choice Requires="x14">
            <control shapeId="4251" r:id="rId53" name="Check Box 155">
              <controlPr locked="0" defaultSize="0" autoFill="0" autoLine="0" autoPict="0">
                <anchor moveWithCells="1" sizeWithCells="1">
                  <from>
                    <xdr:col>22</xdr:col>
                    <xdr:colOff>0</xdr:colOff>
                    <xdr:row>261</xdr:row>
                    <xdr:rowOff>0</xdr:rowOff>
                  </from>
                  <to>
                    <xdr:col>22</xdr:col>
                    <xdr:colOff>182880</xdr:colOff>
                    <xdr:row>261</xdr:row>
                    <xdr:rowOff>182880</xdr:rowOff>
                  </to>
                </anchor>
              </controlPr>
            </control>
          </mc:Choice>
        </mc:AlternateContent>
        <mc:AlternateContent xmlns:mc="http://schemas.openxmlformats.org/markup-compatibility/2006">
          <mc:Choice Requires="x14">
            <control shapeId="4252" r:id="rId54" name="Check Box 156">
              <controlPr locked="0" defaultSize="0" autoFill="0" autoLine="0" autoPict="0">
                <anchor moveWithCells="1" sizeWithCells="1">
                  <from>
                    <xdr:col>22</xdr:col>
                    <xdr:colOff>0</xdr:colOff>
                    <xdr:row>277</xdr:row>
                    <xdr:rowOff>0</xdr:rowOff>
                  </from>
                  <to>
                    <xdr:col>22</xdr:col>
                    <xdr:colOff>182880</xdr:colOff>
                    <xdr:row>277</xdr:row>
                    <xdr:rowOff>182880</xdr:rowOff>
                  </to>
                </anchor>
              </controlPr>
            </control>
          </mc:Choice>
        </mc:AlternateContent>
        <mc:AlternateContent xmlns:mc="http://schemas.openxmlformats.org/markup-compatibility/2006">
          <mc:Choice Requires="x14">
            <control shapeId="4253" r:id="rId55" name="Check Box 157">
              <controlPr locked="0" defaultSize="0" autoFill="0" autoLine="0" autoPict="0">
                <anchor moveWithCells="1" sizeWithCells="1">
                  <from>
                    <xdr:col>22</xdr:col>
                    <xdr:colOff>0</xdr:colOff>
                    <xdr:row>290</xdr:row>
                    <xdr:rowOff>0</xdr:rowOff>
                  </from>
                  <to>
                    <xdr:col>22</xdr:col>
                    <xdr:colOff>182880</xdr:colOff>
                    <xdr:row>290</xdr:row>
                    <xdr:rowOff>182880</xdr:rowOff>
                  </to>
                </anchor>
              </controlPr>
            </control>
          </mc:Choice>
        </mc:AlternateContent>
        <mc:AlternateContent xmlns:mc="http://schemas.openxmlformats.org/markup-compatibility/2006">
          <mc:Choice Requires="x14">
            <control shapeId="4254" r:id="rId56" name="Check Box 158">
              <controlPr locked="0" defaultSize="0" autoFill="0" autoLine="0" autoPict="0">
                <anchor moveWithCells="1" sizeWithCells="1">
                  <from>
                    <xdr:col>22</xdr:col>
                    <xdr:colOff>0</xdr:colOff>
                    <xdr:row>292</xdr:row>
                    <xdr:rowOff>0</xdr:rowOff>
                  </from>
                  <to>
                    <xdr:col>22</xdr:col>
                    <xdr:colOff>182880</xdr:colOff>
                    <xdr:row>292</xdr:row>
                    <xdr:rowOff>182880</xdr:rowOff>
                  </to>
                </anchor>
              </controlPr>
            </control>
          </mc:Choice>
        </mc:AlternateContent>
        <mc:AlternateContent xmlns:mc="http://schemas.openxmlformats.org/markup-compatibility/2006">
          <mc:Choice Requires="x14">
            <control shapeId="4255" r:id="rId57" name="Check Box 159">
              <controlPr locked="0" defaultSize="0" autoFill="0" autoLine="0" autoPict="0">
                <anchor moveWithCells="1" sizeWithCells="1">
                  <from>
                    <xdr:col>22</xdr:col>
                    <xdr:colOff>0</xdr:colOff>
                    <xdr:row>305</xdr:row>
                    <xdr:rowOff>0</xdr:rowOff>
                  </from>
                  <to>
                    <xdr:col>22</xdr:col>
                    <xdr:colOff>182880</xdr:colOff>
                    <xdr:row>305</xdr:row>
                    <xdr:rowOff>182880</xdr:rowOff>
                  </to>
                </anchor>
              </controlPr>
            </control>
          </mc:Choice>
        </mc:AlternateContent>
        <mc:AlternateContent xmlns:mc="http://schemas.openxmlformats.org/markup-compatibility/2006">
          <mc:Choice Requires="x14">
            <control shapeId="4256" r:id="rId58" name="Check Box 160">
              <controlPr locked="0" defaultSize="0" autoFill="0" autoLine="0" autoPict="0">
                <anchor moveWithCells="1" sizeWithCells="1">
                  <from>
                    <xdr:col>22</xdr:col>
                    <xdr:colOff>0</xdr:colOff>
                    <xdr:row>306</xdr:row>
                    <xdr:rowOff>0</xdr:rowOff>
                  </from>
                  <to>
                    <xdr:col>22</xdr:col>
                    <xdr:colOff>182880</xdr:colOff>
                    <xdr:row>306</xdr:row>
                    <xdr:rowOff>182880</xdr:rowOff>
                  </to>
                </anchor>
              </controlPr>
            </control>
          </mc:Choice>
        </mc:AlternateContent>
        <mc:AlternateContent xmlns:mc="http://schemas.openxmlformats.org/markup-compatibility/2006">
          <mc:Choice Requires="x14">
            <control shapeId="4257" r:id="rId59" name="Check Box 161">
              <controlPr locked="0" defaultSize="0" autoFill="0" autoLine="0" autoPict="0">
                <anchor moveWithCells="1" sizeWithCells="1">
                  <from>
                    <xdr:col>22</xdr:col>
                    <xdr:colOff>0</xdr:colOff>
                    <xdr:row>307</xdr:row>
                    <xdr:rowOff>0</xdr:rowOff>
                  </from>
                  <to>
                    <xdr:col>22</xdr:col>
                    <xdr:colOff>182880</xdr:colOff>
                    <xdr:row>307</xdr:row>
                    <xdr:rowOff>182880</xdr:rowOff>
                  </to>
                </anchor>
              </controlPr>
            </control>
          </mc:Choice>
        </mc:AlternateContent>
        <mc:AlternateContent xmlns:mc="http://schemas.openxmlformats.org/markup-compatibility/2006">
          <mc:Choice Requires="x14">
            <control shapeId="4258" r:id="rId60" name="Check Box 162">
              <controlPr locked="0" defaultSize="0" autoFill="0" autoLine="0" autoPict="0">
                <anchor moveWithCells="1" sizeWithCells="1">
                  <from>
                    <xdr:col>22</xdr:col>
                    <xdr:colOff>0</xdr:colOff>
                    <xdr:row>308</xdr:row>
                    <xdr:rowOff>0</xdr:rowOff>
                  </from>
                  <to>
                    <xdr:col>22</xdr:col>
                    <xdr:colOff>182880</xdr:colOff>
                    <xdr:row>308</xdr:row>
                    <xdr:rowOff>182880</xdr:rowOff>
                  </to>
                </anchor>
              </controlPr>
            </control>
          </mc:Choice>
        </mc:AlternateContent>
        <mc:AlternateContent xmlns:mc="http://schemas.openxmlformats.org/markup-compatibility/2006">
          <mc:Choice Requires="x14">
            <control shapeId="4259" r:id="rId61" name="Check Box 163">
              <controlPr locked="0" defaultSize="0" autoFill="0" autoLine="0" autoPict="0">
                <anchor moveWithCells="1" sizeWithCells="1">
                  <from>
                    <xdr:col>22</xdr:col>
                    <xdr:colOff>0</xdr:colOff>
                    <xdr:row>309</xdr:row>
                    <xdr:rowOff>0</xdr:rowOff>
                  </from>
                  <to>
                    <xdr:col>22</xdr:col>
                    <xdr:colOff>182880</xdr:colOff>
                    <xdr:row>309</xdr:row>
                    <xdr:rowOff>182880</xdr:rowOff>
                  </to>
                </anchor>
              </controlPr>
            </control>
          </mc:Choice>
        </mc:AlternateContent>
        <mc:AlternateContent xmlns:mc="http://schemas.openxmlformats.org/markup-compatibility/2006">
          <mc:Choice Requires="x14">
            <control shapeId="4260" r:id="rId62" name="Check Box 164">
              <controlPr locked="0" defaultSize="0" autoFill="0" autoLine="0" autoPict="0">
                <anchor moveWithCells="1" sizeWithCells="1">
                  <from>
                    <xdr:col>22</xdr:col>
                    <xdr:colOff>0</xdr:colOff>
                    <xdr:row>310</xdr:row>
                    <xdr:rowOff>0</xdr:rowOff>
                  </from>
                  <to>
                    <xdr:col>22</xdr:col>
                    <xdr:colOff>182880</xdr:colOff>
                    <xdr:row>310</xdr:row>
                    <xdr:rowOff>182880</xdr:rowOff>
                  </to>
                </anchor>
              </controlPr>
            </control>
          </mc:Choice>
        </mc:AlternateContent>
        <mc:AlternateContent xmlns:mc="http://schemas.openxmlformats.org/markup-compatibility/2006">
          <mc:Choice Requires="x14">
            <control shapeId="4261" r:id="rId63" name="Check Box 165">
              <controlPr locked="0" defaultSize="0" autoFill="0" autoLine="0" autoPict="0">
                <anchor moveWithCells="1" sizeWithCells="1">
                  <from>
                    <xdr:col>22</xdr:col>
                    <xdr:colOff>0</xdr:colOff>
                    <xdr:row>311</xdr:row>
                    <xdr:rowOff>0</xdr:rowOff>
                  </from>
                  <to>
                    <xdr:col>22</xdr:col>
                    <xdr:colOff>182880</xdr:colOff>
                    <xdr:row>311</xdr:row>
                    <xdr:rowOff>182880</xdr:rowOff>
                  </to>
                </anchor>
              </controlPr>
            </control>
          </mc:Choice>
        </mc:AlternateContent>
        <mc:AlternateContent xmlns:mc="http://schemas.openxmlformats.org/markup-compatibility/2006">
          <mc:Choice Requires="x14">
            <control shapeId="4262" r:id="rId64" name="Check Box 166">
              <controlPr locked="0" defaultSize="0" autoFill="0" autoLine="0" autoPict="0">
                <anchor moveWithCells="1" sizeWithCells="1">
                  <from>
                    <xdr:col>22</xdr:col>
                    <xdr:colOff>0</xdr:colOff>
                    <xdr:row>312</xdr:row>
                    <xdr:rowOff>0</xdr:rowOff>
                  </from>
                  <to>
                    <xdr:col>22</xdr:col>
                    <xdr:colOff>182880</xdr:colOff>
                    <xdr:row>312</xdr:row>
                    <xdr:rowOff>182880</xdr:rowOff>
                  </to>
                </anchor>
              </controlPr>
            </control>
          </mc:Choice>
        </mc:AlternateContent>
        <mc:AlternateContent xmlns:mc="http://schemas.openxmlformats.org/markup-compatibility/2006">
          <mc:Choice Requires="x14">
            <control shapeId="4263" r:id="rId65" name="Check Box 167">
              <controlPr locked="0" defaultSize="0" autoFill="0" autoLine="0" autoPict="0">
                <anchor moveWithCells="1" sizeWithCells="1">
                  <from>
                    <xdr:col>22</xdr:col>
                    <xdr:colOff>0</xdr:colOff>
                    <xdr:row>313</xdr:row>
                    <xdr:rowOff>0</xdr:rowOff>
                  </from>
                  <to>
                    <xdr:col>22</xdr:col>
                    <xdr:colOff>182880</xdr:colOff>
                    <xdr:row>313</xdr:row>
                    <xdr:rowOff>182880</xdr:rowOff>
                  </to>
                </anchor>
              </controlPr>
            </control>
          </mc:Choice>
        </mc:AlternateContent>
        <mc:AlternateContent xmlns:mc="http://schemas.openxmlformats.org/markup-compatibility/2006">
          <mc:Choice Requires="x14">
            <control shapeId="4264" r:id="rId66" name="Check Box 168">
              <controlPr locked="0" defaultSize="0" autoFill="0" autoLine="0" autoPict="0">
                <anchor moveWithCells="1" sizeWithCells="1">
                  <from>
                    <xdr:col>22</xdr:col>
                    <xdr:colOff>0</xdr:colOff>
                    <xdr:row>360</xdr:row>
                    <xdr:rowOff>0</xdr:rowOff>
                  </from>
                  <to>
                    <xdr:col>22</xdr:col>
                    <xdr:colOff>182880</xdr:colOff>
                    <xdr:row>360</xdr:row>
                    <xdr:rowOff>182880</xdr:rowOff>
                  </to>
                </anchor>
              </controlPr>
            </control>
          </mc:Choice>
        </mc:AlternateContent>
        <mc:AlternateContent xmlns:mc="http://schemas.openxmlformats.org/markup-compatibility/2006">
          <mc:Choice Requires="x14">
            <control shapeId="4265" r:id="rId67" name="Check Box 169">
              <controlPr locked="0" defaultSize="0" autoFill="0" autoLine="0" autoPict="0">
                <anchor moveWithCells="1" sizeWithCells="1">
                  <from>
                    <xdr:col>22</xdr:col>
                    <xdr:colOff>0</xdr:colOff>
                    <xdr:row>362</xdr:row>
                    <xdr:rowOff>0</xdr:rowOff>
                  </from>
                  <to>
                    <xdr:col>22</xdr:col>
                    <xdr:colOff>182880</xdr:colOff>
                    <xdr:row>362</xdr:row>
                    <xdr:rowOff>182880</xdr:rowOff>
                  </to>
                </anchor>
              </controlPr>
            </control>
          </mc:Choice>
        </mc:AlternateContent>
        <mc:AlternateContent xmlns:mc="http://schemas.openxmlformats.org/markup-compatibility/2006">
          <mc:Choice Requires="x14">
            <control shapeId="4266" r:id="rId68" name="Check Box 170">
              <controlPr locked="0" defaultSize="0" autoFill="0" autoLine="0" autoPict="0">
                <anchor moveWithCells="1" sizeWithCells="1">
                  <from>
                    <xdr:col>22</xdr:col>
                    <xdr:colOff>0</xdr:colOff>
                    <xdr:row>363</xdr:row>
                    <xdr:rowOff>0</xdr:rowOff>
                  </from>
                  <to>
                    <xdr:col>22</xdr:col>
                    <xdr:colOff>182880</xdr:colOff>
                    <xdr:row>363</xdr:row>
                    <xdr:rowOff>182880</xdr:rowOff>
                  </to>
                </anchor>
              </controlPr>
            </control>
          </mc:Choice>
        </mc:AlternateContent>
        <mc:AlternateContent xmlns:mc="http://schemas.openxmlformats.org/markup-compatibility/2006">
          <mc:Choice Requires="x14">
            <control shapeId="4267" r:id="rId69" name="Check Box 171">
              <controlPr locked="0" defaultSize="0" autoFill="0" autoLine="0" autoPict="0">
                <anchor moveWithCells="1" sizeWithCells="1">
                  <from>
                    <xdr:col>22</xdr:col>
                    <xdr:colOff>0</xdr:colOff>
                    <xdr:row>391</xdr:row>
                    <xdr:rowOff>0</xdr:rowOff>
                  </from>
                  <to>
                    <xdr:col>22</xdr:col>
                    <xdr:colOff>182880</xdr:colOff>
                    <xdr:row>391</xdr:row>
                    <xdr:rowOff>182880</xdr:rowOff>
                  </to>
                </anchor>
              </controlPr>
            </control>
          </mc:Choice>
        </mc:AlternateContent>
        <mc:AlternateContent xmlns:mc="http://schemas.openxmlformats.org/markup-compatibility/2006">
          <mc:Choice Requires="x14">
            <control shapeId="4268" r:id="rId70" name="Check Box 172">
              <controlPr locked="0" defaultSize="0" autoFill="0" autoLine="0" autoPict="0">
                <anchor moveWithCells="1" sizeWithCells="1">
                  <from>
                    <xdr:col>22</xdr:col>
                    <xdr:colOff>0</xdr:colOff>
                    <xdr:row>400</xdr:row>
                    <xdr:rowOff>0</xdr:rowOff>
                  </from>
                  <to>
                    <xdr:col>22</xdr:col>
                    <xdr:colOff>182880</xdr:colOff>
                    <xdr:row>400</xdr:row>
                    <xdr:rowOff>182880</xdr:rowOff>
                  </to>
                </anchor>
              </controlPr>
            </control>
          </mc:Choice>
        </mc:AlternateContent>
        <mc:AlternateContent xmlns:mc="http://schemas.openxmlformats.org/markup-compatibility/2006">
          <mc:Choice Requires="x14">
            <control shapeId="4269" r:id="rId71" name="Check Box 173">
              <controlPr locked="0" defaultSize="0" autoFill="0" autoLine="0" autoPict="0">
                <anchor moveWithCells="1" sizeWithCells="1">
                  <from>
                    <xdr:col>22</xdr:col>
                    <xdr:colOff>0</xdr:colOff>
                    <xdr:row>407</xdr:row>
                    <xdr:rowOff>0</xdr:rowOff>
                  </from>
                  <to>
                    <xdr:col>22</xdr:col>
                    <xdr:colOff>182880</xdr:colOff>
                    <xdr:row>407</xdr:row>
                    <xdr:rowOff>182880</xdr:rowOff>
                  </to>
                </anchor>
              </controlPr>
            </control>
          </mc:Choice>
        </mc:AlternateContent>
        <mc:AlternateContent xmlns:mc="http://schemas.openxmlformats.org/markup-compatibility/2006">
          <mc:Choice Requires="x14">
            <control shapeId="4270" r:id="rId72" name="Check Box 174">
              <controlPr locked="0" defaultSize="0" autoFill="0" autoLine="0" autoPict="0">
                <anchor moveWithCells="1" sizeWithCells="1">
                  <from>
                    <xdr:col>22</xdr:col>
                    <xdr:colOff>0</xdr:colOff>
                    <xdr:row>463</xdr:row>
                    <xdr:rowOff>0</xdr:rowOff>
                  </from>
                  <to>
                    <xdr:col>22</xdr:col>
                    <xdr:colOff>182880</xdr:colOff>
                    <xdr:row>463</xdr:row>
                    <xdr:rowOff>182880</xdr:rowOff>
                  </to>
                </anchor>
              </controlPr>
            </control>
          </mc:Choice>
        </mc:AlternateContent>
        <mc:AlternateContent xmlns:mc="http://schemas.openxmlformats.org/markup-compatibility/2006">
          <mc:Choice Requires="x14">
            <control shapeId="4271" r:id="rId73" name="Check Box 175">
              <controlPr locked="0" defaultSize="0" autoFill="0" autoLine="0" autoPict="0">
                <anchor moveWithCells="1" sizeWithCells="1">
                  <from>
                    <xdr:col>22</xdr:col>
                    <xdr:colOff>0</xdr:colOff>
                    <xdr:row>464</xdr:row>
                    <xdr:rowOff>0</xdr:rowOff>
                  </from>
                  <to>
                    <xdr:col>22</xdr:col>
                    <xdr:colOff>182880</xdr:colOff>
                    <xdr:row>464</xdr:row>
                    <xdr:rowOff>182880</xdr:rowOff>
                  </to>
                </anchor>
              </controlPr>
            </control>
          </mc:Choice>
        </mc:AlternateContent>
        <mc:AlternateContent xmlns:mc="http://schemas.openxmlformats.org/markup-compatibility/2006">
          <mc:Choice Requires="x14">
            <control shapeId="4272" r:id="rId74" name="Check Box 176">
              <controlPr locked="0" defaultSize="0" autoFill="0" autoLine="0" autoPict="0">
                <anchor moveWithCells="1" sizeWithCells="1">
                  <from>
                    <xdr:col>22</xdr:col>
                    <xdr:colOff>0</xdr:colOff>
                    <xdr:row>465</xdr:row>
                    <xdr:rowOff>0</xdr:rowOff>
                  </from>
                  <to>
                    <xdr:col>22</xdr:col>
                    <xdr:colOff>182880</xdr:colOff>
                    <xdr:row>465</xdr:row>
                    <xdr:rowOff>182880</xdr:rowOff>
                  </to>
                </anchor>
              </controlPr>
            </control>
          </mc:Choice>
        </mc:AlternateContent>
        <mc:AlternateContent xmlns:mc="http://schemas.openxmlformats.org/markup-compatibility/2006">
          <mc:Choice Requires="x14">
            <control shapeId="4273" r:id="rId75" name="Check Box 177">
              <controlPr locked="0" defaultSize="0" autoFill="0" autoLine="0" autoPict="0">
                <anchor moveWithCells="1" sizeWithCells="1">
                  <from>
                    <xdr:col>22</xdr:col>
                    <xdr:colOff>0</xdr:colOff>
                    <xdr:row>466</xdr:row>
                    <xdr:rowOff>0</xdr:rowOff>
                  </from>
                  <to>
                    <xdr:col>22</xdr:col>
                    <xdr:colOff>182880</xdr:colOff>
                    <xdr:row>466</xdr:row>
                    <xdr:rowOff>182880</xdr:rowOff>
                  </to>
                </anchor>
              </controlPr>
            </control>
          </mc:Choice>
        </mc:AlternateContent>
        <mc:AlternateContent xmlns:mc="http://schemas.openxmlformats.org/markup-compatibility/2006">
          <mc:Choice Requires="x14">
            <control shapeId="4274" r:id="rId76" name="Check Box 178">
              <controlPr locked="0" defaultSize="0" autoFill="0" autoLine="0" autoPict="0">
                <anchor moveWithCells="1" sizeWithCells="1">
                  <from>
                    <xdr:col>22</xdr:col>
                    <xdr:colOff>0</xdr:colOff>
                    <xdr:row>467</xdr:row>
                    <xdr:rowOff>0</xdr:rowOff>
                  </from>
                  <to>
                    <xdr:col>22</xdr:col>
                    <xdr:colOff>182880</xdr:colOff>
                    <xdr:row>467</xdr:row>
                    <xdr:rowOff>182880</xdr:rowOff>
                  </to>
                </anchor>
              </controlPr>
            </control>
          </mc:Choice>
        </mc:AlternateContent>
        <mc:AlternateContent xmlns:mc="http://schemas.openxmlformats.org/markup-compatibility/2006">
          <mc:Choice Requires="x14">
            <control shapeId="4275" r:id="rId77" name="Check Box 179">
              <controlPr locked="0" defaultSize="0" autoFill="0" autoLine="0" autoPict="0">
                <anchor moveWithCells="1" sizeWithCells="1">
                  <from>
                    <xdr:col>22</xdr:col>
                    <xdr:colOff>0</xdr:colOff>
                    <xdr:row>468</xdr:row>
                    <xdr:rowOff>0</xdr:rowOff>
                  </from>
                  <to>
                    <xdr:col>22</xdr:col>
                    <xdr:colOff>182880</xdr:colOff>
                    <xdr:row>468</xdr:row>
                    <xdr:rowOff>182880</xdr:rowOff>
                  </to>
                </anchor>
              </controlPr>
            </control>
          </mc:Choice>
        </mc:AlternateContent>
        <mc:AlternateContent xmlns:mc="http://schemas.openxmlformats.org/markup-compatibility/2006">
          <mc:Choice Requires="x14">
            <control shapeId="4276" r:id="rId78" name="Check Box 180">
              <controlPr locked="0" defaultSize="0" autoFill="0" autoLine="0" autoPict="0">
                <anchor moveWithCells="1" sizeWithCells="1">
                  <from>
                    <xdr:col>22</xdr:col>
                    <xdr:colOff>0</xdr:colOff>
                    <xdr:row>469</xdr:row>
                    <xdr:rowOff>0</xdr:rowOff>
                  </from>
                  <to>
                    <xdr:col>22</xdr:col>
                    <xdr:colOff>182880</xdr:colOff>
                    <xdr:row>469</xdr:row>
                    <xdr:rowOff>182880</xdr:rowOff>
                  </to>
                </anchor>
              </controlPr>
            </control>
          </mc:Choice>
        </mc:AlternateContent>
        <mc:AlternateContent xmlns:mc="http://schemas.openxmlformats.org/markup-compatibility/2006">
          <mc:Choice Requires="x14">
            <control shapeId="4277" r:id="rId79" name="Check Box 181">
              <controlPr locked="0" defaultSize="0" autoFill="0" autoLine="0" autoPict="0">
                <anchor moveWithCells="1" sizeWithCells="1">
                  <from>
                    <xdr:col>22</xdr:col>
                    <xdr:colOff>0</xdr:colOff>
                    <xdr:row>473</xdr:row>
                    <xdr:rowOff>0</xdr:rowOff>
                  </from>
                  <to>
                    <xdr:col>22</xdr:col>
                    <xdr:colOff>182880</xdr:colOff>
                    <xdr:row>473</xdr:row>
                    <xdr:rowOff>182880</xdr:rowOff>
                  </to>
                </anchor>
              </controlPr>
            </control>
          </mc:Choice>
        </mc:AlternateContent>
        <mc:AlternateContent xmlns:mc="http://schemas.openxmlformats.org/markup-compatibility/2006">
          <mc:Choice Requires="x14">
            <control shapeId="4278" r:id="rId80" name="Check Box 182">
              <controlPr locked="0" defaultSize="0" autoFill="0" autoLine="0" autoPict="0">
                <anchor moveWithCells="1" sizeWithCells="1">
                  <from>
                    <xdr:col>22</xdr:col>
                    <xdr:colOff>0</xdr:colOff>
                    <xdr:row>478</xdr:row>
                    <xdr:rowOff>0</xdr:rowOff>
                  </from>
                  <to>
                    <xdr:col>22</xdr:col>
                    <xdr:colOff>182880</xdr:colOff>
                    <xdr:row>478</xdr:row>
                    <xdr:rowOff>182880</xdr:rowOff>
                  </to>
                </anchor>
              </controlPr>
            </control>
          </mc:Choice>
        </mc:AlternateContent>
        <mc:AlternateContent xmlns:mc="http://schemas.openxmlformats.org/markup-compatibility/2006">
          <mc:Choice Requires="x14">
            <control shapeId="4279" r:id="rId81" name="Check Box 183">
              <controlPr locked="0" defaultSize="0" autoFill="0" autoLine="0" autoPict="0">
                <anchor moveWithCells="1" sizeWithCells="1">
                  <from>
                    <xdr:col>22</xdr:col>
                    <xdr:colOff>0</xdr:colOff>
                    <xdr:row>482</xdr:row>
                    <xdr:rowOff>0</xdr:rowOff>
                  </from>
                  <to>
                    <xdr:col>22</xdr:col>
                    <xdr:colOff>182880</xdr:colOff>
                    <xdr:row>482</xdr:row>
                    <xdr:rowOff>182880</xdr:rowOff>
                  </to>
                </anchor>
              </controlPr>
            </control>
          </mc:Choice>
        </mc:AlternateContent>
        <mc:AlternateContent xmlns:mc="http://schemas.openxmlformats.org/markup-compatibility/2006">
          <mc:Choice Requires="x14">
            <control shapeId="4280" r:id="rId82" name="Check Box 184">
              <controlPr locked="0" defaultSize="0" autoFill="0" autoLine="0" autoPict="0">
                <anchor moveWithCells="1" sizeWithCells="1">
                  <from>
                    <xdr:col>22</xdr:col>
                    <xdr:colOff>0</xdr:colOff>
                    <xdr:row>484</xdr:row>
                    <xdr:rowOff>0</xdr:rowOff>
                  </from>
                  <to>
                    <xdr:col>22</xdr:col>
                    <xdr:colOff>182880</xdr:colOff>
                    <xdr:row>484</xdr:row>
                    <xdr:rowOff>182880</xdr:rowOff>
                  </to>
                </anchor>
              </controlPr>
            </control>
          </mc:Choice>
        </mc:AlternateContent>
        <mc:AlternateContent xmlns:mc="http://schemas.openxmlformats.org/markup-compatibility/2006">
          <mc:Choice Requires="x14">
            <control shapeId="4281" r:id="rId83" name="Check Box 185">
              <controlPr locked="0" defaultSize="0" autoFill="0" autoLine="0" autoPict="0">
                <anchor moveWithCells="1" sizeWithCells="1">
                  <from>
                    <xdr:col>22</xdr:col>
                    <xdr:colOff>0</xdr:colOff>
                    <xdr:row>486</xdr:row>
                    <xdr:rowOff>0</xdr:rowOff>
                  </from>
                  <to>
                    <xdr:col>22</xdr:col>
                    <xdr:colOff>182880</xdr:colOff>
                    <xdr:row>486</xdr:row>
                    <xdr:rowOff>182880</xdr:rowOff>
                  </to>
                </anchor>
              </controlPr>
            </control>
          </mc:Choice>
        </mc:AlternateContent>
        <mc:AlternateContent xmlns:mc="http://schemas.openxmlformats.org/markup-compatibility/2006">
          <mc:Choice Requires="x14">
            <control shapeId="4282" r:id="rId84" name="Check Box 186">
              <controlPr locked="0" defaultSize="0" autoFill="0" autoLine="0" autoPict="0">
                <anchor moveWithCells="1" sizeWithCells="1">
                  <from>
                    <xdr:col>22</xdr:col>
                    <xdr:colOff>0</xdr:colOff>
                    <xdr:row>487</xdr:row>
                    <xdr:rowOff>0</xdr:rowOff>
                  </from>
                  <to>
                    <xdr:col>22</xdr:col>
                    <xdr:colOff>182880</xdr:colOff>
                    <xdr:row>487</xdr:row>
                    <xdr:rowOff>182880</xdr:rowOff>
                  </to>
                </anchor>
              </controlPr>
            </control>
          </mc:Choice>
        </mc:AlternateContent>
        <mc:AlternateContent xmlns:mc="http://schemas.openxmlformats.org/markup-compatibility/2006">
          <mc:Choice Requires="x14">
            <control shapeId="4283" r:id="rId85" name="Check Box 187">
              <controlPr locked="0" defaultSize="0" autoFill="0" autoLine="0" autoPict="0">
                <anchor moveWithCells="1" sizeWithCells="1">
                  <from>
                    <xdr:col>22</xdr:col>
                    <xdr:colOff>0</xdr:colOff>
                    <xdr:row>488</xdr:row>
                    <xdr:rowOff>0</xdr:rowOff>
                  </from>
                  <to>
                    <xdr:col>22</xdr:col>
                    <xdr:colOff>182880</xdr:colOff>
                    <xdr:row>488</xdr:row>
                    <xdr:rowOff>182880</xdr:rowOff>
                  </to>
                </anchor>
              </controlPr>
            </control>
          </mc:Choice>
        </mc:AlternateContent>
        <mc:AlternateContent xmlns:mc="http://schemas.openxmlformats.org/markup-compatibility/2006">
          <mc:Choice Requires="x14">
            <control shapeId="4284" r:id="rId86" name="Check Box 188">
              <controlPr locked="0" defaultSize="0" autoFill="0" autoLine="0" autoPict="0">
                <anchor moveWithCells="1" sizeWithCells="1">
                  <from>
                    <xdr:col>22</xdr:col>
                    <xdr:colOff>0</xdr:colOff>
                    <xdr:row>492</xdr:row>
                    <xdr:rowOff>0</xdr:rowOff>
                  </from>
                  <to>
                    <xdr:col>22</xdr:col>
                    <xdr:colOff>182880</xdr:colOff>
                    <xdr:row>492</xdr:row>
                    <xdr:rowOff>182880</xdr:rowOff>
                  </to>
                </anchor>
              </controlPr>
            </control>
          </mc:Choice>
        </mc:AlternateContent>
        <mc:AlternateContent xmlns:mc="http://schemas.openxmlformats.org/markup-compatibility/2006">
          <mc:Choice Requires="x14">
            <control shapeId="4285" r:id="rId87" name="Check Box 189">
              <controlPr locked="0" defaultSize="0" autoFill="0" autoLine="0" autoPict="0">
                <anchor moveWithCells="1" sizeWithCells="1">
                  <from>
                    <xdr:col>22</xdr:col>
                    <xdr:colOff>0</xdr:colOff>
                    <xdr:row>494</xdr:row>
                    <xdr:rowOff>0</xdr:rowOff>
                  </from>
                  <to>
                    <xdr:col>22</xdr:col>
                    <xdr:colOff>182880</xdr:colOff>
                    <xdr:row>494</xdr:row>
                    <xdr:rowOff>182880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pageSetUpPr fitToPage="1"/>
  </sheetPr>
  <dimension ref="A1:BI633"/>
  <sheetViews>
    <sheetView showGridLines="0" topLeftCell="H1" zoomScaleNormal="100" workbookViewId="0">
      <pane ySplit="7" topLeftCell="A8" activePane="bottomLeft" state="frozen"/>
      <selection activeCell="G8" sqref="G8:J8"/>
      <selection pane="bottomLeft" activeCell="H9" sqref="H9"/>
    </sheetView>
  </sheetViews>
  <sheetFormatPr defaultColWidth="9.109375" defaultRowHeight="14.4" x14ac:dyDescent="0.3"/>
  <cols>
    <col min="1" max="1" width="9.109375" style="18" hidden="1" customWidth="1"/>
    <col min="2" max="2" width="7.33203125" style="18" hidden="1" customWidth="1"/>
    <col min="3" max="7" width="3.88671875" style="18" hidden="1" customWidth="1"/>
    <col min="8" max="8" width="3.88671875" style="18" customWidth="1"/>
    <col min="9" max="9" width="10.44140625" style="79" customWidth="1"/>
    <col min="10" max="11" width="3.88671875" style="79" customWidth="1"/>
    <col min="12" max="12" width="71.6640625" style="79" customWidth="1"/>
    <col min="13" max="13" width="13.5546875" style="151" customWidth="1"/>
    <col min="14" max="14" width="7.6640625" style="79" hidden="1" customWidth="1"/>
    <col min="15" max="15" width="7.6640625" style="151" customWidth="1"/>
    <col min="16" max="21" width="8.88671875" style="79" hidden="1" customWidth="1"/>
    <col min="22" max="22" width="3" style="79" hidden="1" customWidth="1"/>
    <col min="23" max="23" width="21.44140625" style="79" customWidth="1"/>
    <col min="24" max="24" width="69" style="79" customWidth="1"/>
    <col min="25" max="25" width="34.88671875" style="1107" hidden="1" customWidth="1"/>
    <col min="26" max="26" width="34.88671875" style="79" hidden="1" customWidth="1"/>
    <col min="27" max="27" width="9.109375" style="1110" hidden="1" customWidth="1"/>
    <col min="28" max="37" width="9.109375" style="79" hidden="1" customWidth="1"/>
    <col min="38" max="38" width="19.109375" style="79" hidden="1" customWidth="1"/>
    <col min="39" max="39" width="2.109375" style="79" hidden="1" customWidth="1"/>
    <col min="40" max="40" width="16.33203125" style="79" hidden="1" customWidth="1"/>
    <col min="41" max="41" width="2.109375" style="79" hidden="1" customWidth="1"/>
    <col min="42" max="42" width="16.5546875" style="79" hidden="1" customWidth="1"/>
    <col min="43" max="43" width="17" style="79" hidden="1" customWidth="1"/>
    <col min="44" max="44" width="18.6640625" style="79" hidden="1" customWidth="1"/>
    <col min="45" max="45" width="2.109375" style="79" hidden="1" customWidth="1"/>
    <col min="46" max="61" width="9.109375" style="79" hidden="1" customWidth="1"/>
    <col min="62" max="16384" width="9.109375" style="79"/>
  </cols>
  <sheetData>
    <row r="1" spans="1:61" x14ac:dyDescent="0.3">
      <c r="H1" s="1316" t="s">
        <v>4691</v>
      </c>
      <c r="I1" s="1285" t="str">
        <f ca="1">IF(OR(AG3,AI3),"Errors on page, no Level reached","Current Chapter level: "&amp;AG1&amp;"                                            Total Points: "&amp;AG2)</f>
        <v>Current Chapter level: Bronze                                            Total Points: 33</v>
      </c>
      <c r="J1" s="1285"/>
      <c r="K1" s="1285"/>
      <c r="L1" s="1285"/>
      <c r="M1" s="1317"/>
      <c r="N1" s="1317"/>
      <c r="O1" s="1317"/>
      <c r="P1" s="1317"/>
      <c r="Q1" s="1317"/>
      <c r="R1" s="1317"/>
      <c r="S1" s="1317"/>
      <c r="T1" s="1317"/>
      <c r="U1" s="1317"/>
      <c r="V1" s="1317"/>
      <c r="W1" s="1317"/>
      <c r="X1" s="1190" t="s">
        <v>4651</v>
      </c>
      <c r="AF1" s="78" t="s">
        <v>814</v>
      </c>
      <c r="AG1" s="417" t="str">
        <f ca="1">IF(OR(AG3,AI3),"None",Ch7Level)</f>
        <v>Bronze</v>
      </c>
    </row>
    <row r="2" spans="1:61" x14ac:dyDescent="0.3">
      <c r="H2" s="1316"/>
      <c r="I2" s="1286" t="str">
        <f ca="1">"Points away from:  Bronze: "&amp;MAX(Points!C17-Ch7Points,0)&amp;",  Silver: "&amp;IF(Points!N10&lt;2,"N/A",MAX(Points!D17-Ch7Points,0))&amp;",  Gold: "&amp;IF(Points!N10&lt;3,"N/A",MAX(Points!E17-Ch7Points,0))&amp;",  Emerald: "&amp;IF(Points!N10&lt;4,"N/A",MAX(Points!F17-Ch7Points,0))</f>
        <v>Points away from:  Bronze: 0,  Silver: 12,  Gold: 27,  Emerald: N/A</v>
      </c>
      <c r="J2" s="1286"/>
      <c r="K2" s="1286"/>
      <c r="L2" s="1286"/>
      <c r="M2" s="1317"/>
      <c r="N2" s="1317"/>
      <c r="O2" s="1317"/>
      <c r="P2" s="1317"/>
      <c r="Q2" s="1317"/>
      <c r="R2" s="1317"/>
      <c r="S2" s="1317"/>
      <c r="T2" s="1317"/>
      <c r="U2" s="1317"/>
      <c r="V2" s="1317"/>
      <c r="W2" s="1317"/>
      <c r="X2" s="1190" t="s">
        <v>3731</v>
      </c>
      <c r="AF2" s="78" t="s">
        <v>815</v>
      </c>
      <c r="AG2" s="79">
        <f ca="1">INDIRECT(AF2)</f>
        <v>33</v>
      </c>
      <c r="AH2" s="79" t="s">
        <v>817</v>
      </c>
      <c r="AI2" s="79">
        <f ca="1">INDIRECT(AH2)</f>
        <v>12</v>
      </c>
      <c r="AJ2"/>
      <c r="AK2"/>
    </row>
    <row r="3" spans="1:61" x14ac:dyDescent="0.3">
      <c r="H3" s="1316"/>
      <c r="I3" s="1286" t="str">
        <f ca="1">"Add'l pts earned above:  Bronze: "&amp; MAX(0,Ch7Points-Points!C17) &amp;",  Silver: " &amp; IF(Points!N10&lt;2,"N/A",MAX(0,Ch7Points-Points!D17)) &amp;",  Gold: " &amp; IF(Points!N10&lt;3,"N/A",MAX(0,Ch7Points-Points!E17)) &amp;",  Emerald: " &amp; IF(Points!N10&lt;4,"N/A",MAX(0,Ch7Points-Points!F17))</f>
        <v>Add'l pts earned above:  Bronze: 3,  Silver: 0,  Gold: 0,  Emerald: N/A</v>
      </c>
      <c r="J3" s="1286"/>
      <c r="K3" s="1286"/>
      <c r="L3" s="1286"/>
      <c r="M3" s="1317"/>
      <c r="N3" s="1317"/>
      <c r="O3" s="1317"/>
      <c r="P3" s="1317"/>
      <c r="Q3" s="1317"/>
      <c r="R3" s="1317"/>
      <c r="S3" s="1317"/>
      <c r="T3" s="1317"/>
      <c r="U3" s="1317"/>
      <c r="V3" s="1317"/>
      <c r="W3" s="1317"/>
      <c r="X3" s="1190" t="s">
        <v>3730</v>
      </c>
      <c r="AF3" s="78" t="s">
        <v>816</v>
      </c>
      <c r="AG3" s="79" t="b">
        <f ca="1">OR(AE:AE)</f>
        <v>0</v>
      </c>
      <c r="AH3" s="78" t="s">
        <v>823</v>
      </c>
      <c r="AI3" s="79" t="b">
        <f ca="1">OR(AD:AD)</f>
        <v>0</v>
      </c>
    </row>
    <row r="4" spans="1:61" x14ac:dyDescent="0.3">
      <c r="H4" s="1316"/>
      <c r="I4" s="1297" t="str">
        <f ca="1">"Total Chapter Points needed for:  Bronze: "&amp;Points!C17&amp;",  Silver: "&amp;IF(Points!N10&lt;2,"N/A",Points!D17)&amp;",  Gold: "&amp;IF(Points!N10&lt;3,"N/A",Points!E17)&amp;",  Emerald: "&amp;IF(Points!N10&lt;4,"N/A",Points!F17)</f>
        <v>Total Chapter Points needed for:  Bronze: 30,  Silver: 45,  Gold: 60,  Emerald: N/A</v>
      </c>
      <c r="J4" s="1298"/>
      <c r="K4" s="1298"/>
      <c r="L4" s="1299"/>
      <c r="M4" s="1317"/>
      <c r="N4" s="1317"/>
      <c r="O4" s="1317"/>
      <c r="P4" s="1317"/>
      <c r="Q4" s="1317"/>
      <c r="R4" s="1317"/>
      <c r="S4" s="1317"/>
      <c r="T4" s="1317"/>
      <c r="U4" s="1317"/>
      <c r="V4" s="1317"/>
      <c r="W4" s="1317"/>
      <c r="X4" s="1231" t="s">
        <v>4722</v>
      </c>
      <c r="AF4" s="78"/>
      <c r="AH4" s="78"/>
    </row>
    <row r="5" spans="1:61" x14ac:dyDescent="0.3">
      <c r="H5" s="1316"/>
      <c r="I5" s="1300" t="str">
        <f>"Revision Date:  "&amp;TEXT('Info &amp; Intro'!E7,"m/d/yyyy")</f>
        <v>Revision Date:  7/11/2019</v>
      </c>
      <c r="J5" s="1301"/>
      <c r="K5" s="1301"/>
      <c r="L5" s="1302"/>
      <c r="M5" s="1317"/>
      <c r="N5" s="1317"/>
      <c r="O5" s="1317"/>
      <c r="P5" s="1317"/>
      <c r="Q5" s="1317"/>
      <c r="R5" s="1317"/>
      <c r="S5" s="1317"/>
      <c r="T5" s="1317"/>
      <c r="U5" s="1317"/>
      <c r="V5" s="1317"/>
      <c r="W5" s="1317"/>
      <c r="X5" s="1231"/>
      <c r="AF5" s="78"/>
      <c r="AH5" s="78"/>
    </row>
    <row r="6" spans="1:61" x14ac:dyDescent="0.3">
      <c r="H6" s="1316"/>
      <c r="I6" s="1339" t="s">
        <v>261</v>
      </c>
      <c r="J6" s="1340"/>
      <c r="K6" s="1341"/>
      <c r="L6" s="1321" t="s">
        <v>1311</v>
      </c>
      <c r="M6" s="1321" t="s">
        <v>262</v>
      </c>
      <c r="N6" s="1321"/>
      <c r="O6" s="35" t="s">
        <v>338</v>
      </c>
      <c r="P6" s="1321" t="s">
        <v>4719</v>
      </c>
      <c r="Q6" s="1321" t="s">
        <v>329</v>
      </c>
      <c r="R6" s="1321" t="s">
        <v>263</v>
      </c>
      <c r="S6" s="1321" t="s">
        <v>264</v>
      </c>
      <c r="T6" s="1321" t="s">
        <v>0</v>
      </c>
      <c r="U6" s="1321" t="s">
        <v>4720</v>
      </c>
      <c r="V6" s="1321"/>
      <c r="W6" s="1321" t="s">
        <v>265</v>
      </c>
      <c r="X6" s="1287" t="s">
        <v>1</v>
      </c>
      <c r="AC6" s="77" t="s">
        <v>327</v>
      </c>
      <c r="AD6" s="77" t="s">
        <v>0</v>
      </c>
      <c r="AE6" s="77" t="s">
        <v>326</v>
      </c>
    </row>
    <row r="7" spans="1:61" x14ac:dyDescent="0.3">
      <c r="H7" s="1316"/>
      <c r="I7" s="1339"/>
      <c r="J7" s="1340"/>
      <c r="K7" s="1341"/>
      <c r="L7" s="1322"/>
      <c r="M7" s="1322"/>
      <c r="N7" s="1322"/>
      <c r="O7" s="35" t="s">
        <v>339</v>
      </c>
      <c r="P7" s="1322"/>
      <c r="Q7" s="1322"/>
      <c r="R7" s="1322"/>
      <c r="S7" s="1322"/>
      <c r="T7" s="1322"/>
      <c r="U7" s="1322"/>
      <c r="V7" s="1322"/>
      <c r="W7" s="1322"/>
      <c r="X7" s="1288"/>
      <c r="AC7" s="77" t="s">
        <v>327</v>
      </c>
      <c r="AD7" s="77" t="s">
        <v>0</v>
      </c>
      <c r="AE7" s="77" t="s">
        <v>326</v>
      </c>
    </row>
    <row r="8" spans="1:61" s="1077" customFormat="1" hidden="1" x14ac:dyDescent="0.3">
      <c r="A8" s="18"/>
      <c r="B8" s="18"/>
      <c r="C8" s="18"/>
      <c r="D8" s="18"/>
      <c r="E8" s="18"/>
      <c r="F8" s="18"/>
      <c r="G8" s="18"/>
      <c r="H8" s="18"/>
      <c r="I8" s="1079"/>
      <c r="J8" s="1079"/>
      <c r="K8" s="1079"/>
      <c r="L8" s="1078"/>
      <c r="M8" s="1080"/>
      <c r="N8" s="1078"/>
      <c r="O8" s="35"/>
      <c r="P8" s="1078"/>
      <c r="Q8" s="1078"/>
      <c r="R8" s="1078"/>
      <c r="S8" s="1078"/>
      <c r="T8" s="1078"/>
      <c r="U8" s="1078"/>
      <c r="V8" s="1078"/>
      <c r="W8" s="1078"/>
      <c r="X8" s="1079"/>
      <c r="Y8" s="1107"/>
      <c r="AA8" s="1110"/>
      <c r="AC8" s="1076"/>
      <c r="AD8" s="1076"/>
      <c r="AE8" s="1076"/>
    </row>
    <row r="9" spans="1:61" ht="18" x14ac:dyDescent="0.35">
      <c r="A9" s="18" t="s">
        <v>260</v>
      </c>
      <c r="B9" s="18" t="s">
        <v>260</v>
      </c>
      <c r="C9" s="18" t="s">
        <v>260</v>
      </c>
      <c r="D9" s="18" t="s">
        <v>260</v>
      </c>
      <c r="E9" s="18" t="s">
        <v>260</v>
      </c>
      <c r="F9" s="18" t="s">
        <v>260</v>
      </c>
      <c r="G9" s="18" t="s">
        <v>260</v>
      </c>
      <c r="H9" s="1086"/>
      <c r="I9" s="22" t="s">
        <v>947</v>
      </c>
      <c r="J9" s="22"/>
      <c r="K9" s="22"/>
      <c r="L9" s="23"/>
      <c r="M9" s="24"/>
      <c r="N9" s="79" t="s">
        <v>260</v>
      </c>
      <c r="O9" s="24"/>
      <c r="P9" s="79" t="s">
        <v>260</v>
      </c>
      <c r="Q9" s="79" t="s">
        <v>260</v>
      </c>
      <c r="R9" s="79" t="s">
        <v>260</v>
      </c>
      <c r="S9" s="79" t="s">
        <v>260</v>
      </c>
      <c r="T9" s="79" t="s">
        <v>260</v>
      </c>
      <c r="U9" s="79" t="s">
        <v>260</v>
      </c>
      <c r="V9" s="79" t="s">
        <v>260</v>
      </c>
      <c r="W9" s="23"/>
      <c r="X9" s="23"/>
      <c r="Y9" s="1106" t="s">
        <v>260</v>
      </c>
      <c r="Z9" s="76" t="s">
        <v>260</v>
      </c>
      <c r="AA9" s="1108" t="s">
        <v>260</v>
      </c>
      <c r="AB9" s="1075" t="s">
        <v>260</v>
      </c>
      <c r="AC9" s="76" t="s">
        <v>260</v>
      </c>
      <c r="AD9" s="76" t="s">
        <v>260</v>
      </c>
      <c r="AE9" s="76" t="s">
        <v>260</v>
      </c>
      <c r="AF9" s="76" t="s">
        <v>260</v>
      </c>
      <c r="AG9" s="76" t="s">
        <v>260</v>
      </c>
      <c r="AH9" s="76" t="s">
        <v>260</v>
      </c>
      <c r="AI9" s="76" t="s">
        <v>260</v>
      </c>
      <c r="AJ9" s="76" t="s">
        <v>260</v>
      </c>
      <c r="AK9" s="76" t="s">
        <v>260</v>
      </c>
      <c r="AL9" s="76" t="s">
        <v>260</v>
      </c>
      <c r="AM9" s="76" t="s">
        <v>260</v>
      </c>
      <c r="AN9" s="76" t="s">
        <v>260</v>
      </c>
      <c r="AO9" s="76" t="s">
        <v>260</v>
      </c>
      <c r="AP9" s="76" t="s">
        <v>260</v>
      </c>
      <c r="AQ9" s="76" t="s">
        <v>260</v>
      </c>
      <c r="AR9" s="76" t="s">
        <v>260</v>
      </c>
      <c r="AS9" s="76" t="s">
        <v>260</v>
      </c>
      <c r="AT9" s="76" t="s">
        <v>260</v>
      </c>
      <c r="AU9" s="76" t="s">
        <v>260</v>
      </c>
      <c r="AV9" s="76" t="s">
        <v>260</v>
      </c>
      <c r="AW9" s="76" t="s">
        <v>260</v>
      </c>
      <c r="AX9" s="76" t="s">
        <v>260</v>
      </c>
      <c r="AY9" s="76" t="s">
        <v>260</v>
      </c>
      <c r="AZ9" s="76" t="s">
        <v>260</v>
      </c>
      <c r="BA9" s="76" t="s">
        <v>260</v>
      </c>
      <c r="BB9" s="76" t="s">
        <v>260</v>
      </c>
      <c r="BC9" s="76" t="s">
        <v>260</v>
      </c>
      <c r="BD9" s="76" t="s">
        <v>260</v>
      </c>
      <c r="BE9" s="76" t="s">
        <v>260</v>
      </c>
      <c r="BF9" s="76" t="s">
        <v>260</v>
      </c>
      <c r="BG9" s="76" t="s">
        <v>260</v>
      </c>
      <c r="BH9" s="76" t="s">
        <v>260</v>
      </c>
      <c r="BI9" s="415" t="s">
        <v>260</v>
      </c>
    </row>
    <row r="10" spans="1:61" x14ac:dyDescent="0.3">
      <c r="B10" s="938" t="s">
        <v>4668</v>
      </c>
      <c r="C10" s="93"/>
      <c r="D10" s="21"/>
      <c r="E10" s="21"/>
      <c r="F10" s="21"/>
      <c r="G10" s="21"/>
      <c r="H10" s="1084"/>
      <c r="I10" s="141">
        <v>701.1</v>
      </c>
      <c r="J10" s="614"/>
      <c r="K10" s="544"/>
      <c r="L10" s="1313" t="s">
        <v>948</v>
      </c>
      <c r="M10" s="548"/>
      <c r="N10" s="97"/>
      <c r="O10" s="539"/>
      <c r="P10" s="97"/>
      <c r="Q10" s="97"/>
      <c r="R10" s="97"/>
      <c r="S10" s="97"/>
      <c r="T10" s="97"/>
      <c r="U10" s="97"/>
      <c r="V10" s="97"/>
      <c r="W10" s="97"/>
      <c r="X10" s="97"/>
    </row>
    <row r="11" spans="1:61" x14ac:dyDescent="0.3">
      <c r="B11" s="938" t="s">
        <v>4668</v>
      </c>
      <c r="C11" s="93"/>
      <c r="D11" s="21"/>
      <c r="E11" s="21"/>
      <c r="F11" s="21"/>
      <c r="G11" s="21"/>
      <c r="H11" s="1084"/>
      <c r="I11" s="141"/>
      <c r="J11" s="614"/>
      <c r="K11" s="544"/>
      <c r="L11" s="1313"/>
      <c r="M11" s="548"/>
      <c r="N11" s="97"/>
      <c r="O11" s="539"/>
      <c r="P11" s="97"/>
      <c r="Q11" s="97"/>
      <c r="R11" s="97"/>
      <c r="S11" s="97"/>
      <c r="T11" s="97"/>
      <c r="U11" s="97"/>
      <c r="V11" s="97"/>
      <c r="W11" s="97" t="s">
        <v>1306</v>
      </c>
      <c r="X11" s="97"/>
      <c r="AX11" s="78" t="str">
        <f>'Overview (Design)'!A8</f>
        <v>Builder Name:</v>
      </c>
      <c r="AY11" s="79" t="str">
        <f>'Overview (Design)'!G8</f>
        <v>ZERH Builder</v>
      </c>
    </row>
    <row r="12" spans="1:61" x14ac:dyDescent="0.3">
      <c r="B12" s="938" t="s">
        <v>4668</v>
      </c>
      <c r="C12" s="93"/>
      <c r="D12" s="21"/>
      <c r="E12" s="21"/>
      <c r="F12" s="21"/>
      <c r="G12" s="21"/>
      <c r="H12" s="1084"/>
      <c r="I12" s="141"/>
      <c r="J12" s="614"/>
      <c r="K12" s="544"/>
      <c r="L12" s="1313"/>
      <c r="M12" s="548"/>
      <c r="N12" s="97"/>
      <c r="O12" s="539"/>
      <c r="P12" s="97" t="b">
        <v>1</v>
      </c>
      <c r="Q12" s="97" t="b">
        <v>0</v>
      </c>
      <c r="R12" s="97" t="b">
        <v>1</v>
      </c>
      <c r="S12" s="97" t="b">
        <v>1</v>
      </c>
      <c r="T12" s="97" t="b">
        <f>AND(NOT(S12),LEN(W12)&gt;0)</f>
        <v>0</v>
      </c>
      <c r="U12" s="97" t="str">
        <f>SUBSTITUTE(SUBSTITUTE(SUBSTITUTE("dd"&amp;B12&amp;C12&amp;D12&amp;E12&amp;F12,".","_"),"(","_"),")","")</f>
        <v>dd701_1</v>
      </c>
      <c r="V12" s="97"/>
      <c r="W12" s="114" t="s">
        <v>3195</v>
      </c>
      <c r="X12" s="97"/>
      <c r="AC12" s="150" t="b">
        <f>OR(AD12:AE12)</f>
        <v>0</v>
      </c>
      <c r="AD12" s="150" t="b">
        <f>T12</f>
        <v>0</v>
      </c>
      <c r="AE12" s="150" t="b">
        <f>AND(R12,ISBLANK(W12))</f>
        <v>0</v>
      </c>
      <c r="AL12" s="311"/>
      <c r="AM12" s="311"/>
      <c r="AN12" s="311"/>
      <c r="AO12" s="311"/>
      <c r="AP12" s="311" t="str">
        <f>SUBSTITUTE(SUBSTITUTE(SUBSTITUTE("dch"&amp;$B12&amp;$C12&amp;$D12&amp;$E12&amp;$F12,".","_"),"(","_"),")","")</f>
        <v>dch701_1</v>
      </c>
      <c r="AQ12" s="311" t="str">
        <f>W12</f>
        <v>Alt. Bronze or Silver</v>
      </c>
      <c r="AR12" s="311"/>
      <c r="AS12" s="311"/>
      <c r="AX12" s="78" t="str">
        <f>'Overview (Design)'!A9</f>
        <v>Physical Address of Home:</v>
      </c>
      <c r="AY12" s="79" t="str">
        <f>'Overview (Design)'!G9</f>
        <v>123 Main Sts</v>
      </c>
    </row>
    <row r="13" spans="1:61" x14ac:dyDescent="0.3">
      <c r="B13" s="938" t="s">
        <v>4668</v>
      </c>
      <c r="C13" s="93"/>
      <c r="D13" s="21"/>
      <c r="E13" s="21"/>
      <c r="F13" s="21"/>
      <c r="G13" s="21"/>
      <c r="H13" s="1084"/>
      <c r="I13" s="244"/>
      <c r="J13" s="626"/>
      <c r="K13" s="545"/>
      <c r="L13" s="1350"/>
      <c r="M13" s="549"/>
      <c r="N13" s="196"/>
      <c r="O13" s="540"/>
      <c r="P13" s="196"/>
      <c r="Q13" s="196"/>
      <c r="R13" s="627" t="s">
        <v>3599</v>
      </c>
      <c r="S13" s="627">
        <f ca="1">IFERROR(MATCH(W12,INDIRECT(U12),0),0)</f>
        <v>4</v>
      </c>
      <c r="T13" s="196"/>
      <c r="U13" s="196"/>
      <c r="V13" s="196"/>
      <c r="W13" s="196"/>
      <c r="X13" s="196"/>
      <c r="AX13" s="78" t="str">
        <f>'Overview (Design)'!A10</f>
        <v>Community/Lot #:</v>
      </c>
      <c r="AY13" s="79" t="str">
        <f>'Overview (Design)'!G10</f>
        <v>Lot 123</v>
      </c>
    </row>
    <row r="14" spans="1:61" x14ac:dyDescent="0.3">
      <c r="B14" s="938" t="s">
        <v>949</v>
      </c>
      <c r="C14" s="93"/>
      <c r="D14" s="21"/>
      <c r="E14" s="21"/>
      <c r="F14" s="21"/>
      <c r="G14" s="21"/>
      <c r="H14" s="1084"/>
      <c r="I14" s="215" t="s">
        <v>949</v>
      </c>
      <c r="J14" s="557"/>
      <c r="K14" s="557"/>
      <c r="L14" s="1364" t="s">
        <v>950</v>
      </c>
      <c r="M14" s="1407" t="s">
        <v>3601</v>
      </c>
      <c r="N14" s="216"/>
      <c r="O14" s="601"/>
      <c r="P14" s="218" t="b">
        <v>0</v>
      </c>
      <c r="Q14" s="218"/>
      <c r="R14" s="628" t="s">
        <v>3600</v>
      </c>
      <c r="S14" s="628">
        <f ca="1">COUNTIF(O463:O516,"&gt;0")+MIN(1,O524+O525)+COUNTIF(O528:O561,"&gt;0")</f>
        <v>1</v>
      </c>
      <c r="T14" s="218"/>
      <c r="U14" s="218"/>
      <c r="V14" s="218"/>
      <c r="W14" s="218"/>
      <c r="X14" s="1295"/>
      <c r="AC14" s="334" t="b">
        <f ca="1">OR(AD14:AE14)</f>
        <v>0</v>
      </c>
      <c r="AD14" s="334" t="b">
        <v>0</v>
      </c>
      <c r="AE14" s="334" t="b">
        <f ca="1">IF(AND(OR(S13=1,S13=2,S13=3),S14&lt;2),TRUE,FALSE)</f>
        <v>0</v>
      </c>
      <c r="AR14" s="311" t="str">
        <f>SUBSTITUTE(SUBSTITUTE(SUBSTITUTE("dnt"&amp;$B14&amp;$C14&amp;$D14&amp;$E14&amp;$F14,".","_"),"(","_"),")","")</f>
        <v>dnt701_1_1</v>
      </c>
      <c r="AS14" s="311">
        <f>X14</f>
        <v>0</v>
      </c>
      <c r="AX14" s="78" t="str">
        <f>'Overview (Design)'!A11</f>
        <v>City:</v>
      </c>
      <c r="AY14" s="79" t="str">
        <f>'Overview (Design)'!G11</f>
        <v>Durham</v>
      </c>
    </row>
    <row r="15" spans="1:61" x14ac:dyDescent="0.3">
      <c r="B15" s="938" t="s">
        <v>949</v>
      </c>
      <c r="C15" s="93"/>
      <c r="D15" s="21"/>
      <c r="E15" s="21"/>
      <c r="F15" s="21"/>
      <c r="G15" s="21"/>
      <c r="H15" s="1084"/>
      <c r="I15" s="238"/>
      <c r="J15" s="545"/>
      <c r="K15" s="545"/>
      <c r="L15" s="1350"/>
      <c r="M15" s="1408"/>
      <c r="N15" s="140"/>
      <c r="O15" s="598"/>
      <c r="P15" s="97"/>
      <c r="Q15" s="97"/>
      <c r="R15" s="97"/>
      <c r="S15" s="97"/>
      <c r="T15" s="97"/>
      <c r="U15" s="97"/>
      <c r="V15" s="97"/>
      <c r="W15" s="97"/>
      <c r="X15" s="1295"/>
      <c r="AX15" s="78" t="str">
        <f>'Overview (Design)'!A12</f>
        <v>State:</v>
      </c>
      <c r="AY15" s="79" t="str">
        <f>'Overview (Design)'!G12</f>
        <v>North Carolina</v>
      </c>
      <c r="BC15" s="79" t="str">
        <f>'Overview (Design)'!K12</f>
        <v>State</v>
      </c>
      <c r="BD15" s="79" t="str">
        <f>'Overview (Design)'!L12</f>
        <v>County</v>
      </c>
      <c r="BE15" s="79" t="str">
        <f>'Overview (Design)'!M12</f>
        <v>Radon</v>
      </c>
      <c r="BF15" s="79" t="str">
        <f>'Overview (Design)'!N12</f>
        <v>Climate</v>
      </c>
      <c r="BG15" s="79" t="str">
        <f>'Overview (Design)'!O12</f>
        <v>Moist</v>
      </c>
      <c r="BH15" s="79" t="str">
        <f>'Overview (Design)'!P12</f>
        <v>WarmHumid</v>
      </c>
      <c r="BI15" s="417" t="str">
        <f>'Overview (Design)'!Q12</f>
        <v>Tropical</v>
      </c>
    </row>
    <row r="16" spans="1:61" ht="15" customHeight="1" x14ac:dyDescent="0.3">
      <c r="B16" s="938" t="s">
        <v>951</v>
      </c>
      <c r="C16" s="93"/>
      <c r="D16" s="21"/>
      <c r="E16" s="21"/>
      <c r="F16" s="21"/>
      <c r="G16" s="21"/>
      <c r="H16" s="1084"/>
      <c r="I16" s="215" t="s">
        <v>951</v>
      </c>
      <c r="J16" s="557"/>
      <c r="K16" s="557"/>
      <c r="L16" s="1364" t="s">
        <v>952</v>
      </c>
      <c r="M16" s="1408"/>
      <c r="N16" s="140"/>
      <c r="O16" s="598"/>
      <c r="P16" s="97"/>
      <c r="Q16" s="97"/>
      <c r="R16" s="97"/>
      <c r="S16" s="97"/>
      <c r="T16" s="97"/>
      <c r="U16" s="97"/>
      <c r="V16" s="97"/>
      <c r="W16" s="97"/>
      <c r="X16" s="1295"/>
      <c r="AC16" s="79" t="b">
        <f>OR(AD16:AE16)</f>
        <v>0</v>
      </c>
      <c r="AD16" s="79" t="b">
        <v>0</v>
      </c>
      <c r="AE16" s="79" t="b">
        <v>0</v>
      </c>
      <c r="AR16" s="311" t="str">
        <f>SUBSTITUTE(SUBSTITUTE(SUBSTITUTE("dnt"&amp;$B16&amp;$C16&amp;$D16&amp;$E16&amp;$F16,".","_"),"(","_"),")","")</f>
        <v>dnt701_1_2</v>
      </c>
      <c r="AS16" s="311">
        <f>X16</f>
        <v>0</v>
      </c>
      <c r="AX16" s="78" t="str">
        <f>'Overview (Design)'!A13</f>
        <v>County:</v>
      </c>
      <c r="AY16" s="79" t="str">
        <f>'Overview (Design)'!G13</f>
        <v xml:space="preserve">Chatham  </v>
      </c>
      <c r="BC16" s="79" t="str">
        <f>'Overview (Design)'!K13</f>
        <v>North Carolina</v>
      </c>
      <c r="BD16" s="79" t="str">
        <f>'Overview (Design)'!L13</f>
        <v xml:space="preserve">Chatham  </v>
      </c>
      <c r="BE16" s="79">
        <f>'Overview (Design)'!M13</f>
        <v>3</v>
      </c>
      <c r="BF16" s="79">
        <f>'Overview (Design)'!N13</f>
        <v>4</v>
      </c>
      <c r="BG16" s="79" t="str">
        <f>'Overview (Design)'!O13</f>
        <v>Moist</v>
      </c>
      <c r="BH16" s="79" t="str">
        <f>'Overview (Design)'!P13</f>
        <v xml:space="preserve"> </v>
      </c>
      <c r="BI16" s="417" t="str">
        <f>'Overview (Design)'!Q13</f>
        <v xml:space="preserve"> </v>
      </c>
    </row>
    <row r="17" spans="2:51" x14ac:dyDescent="0.3">
      <c r="B17" s="938" t="s">
        <v>951</v>
      </c>
      <c r="C17" s="93"/>
      <c r="D17" s="21"/>
      <c r="E17" s="21"/>
      <c r="F17" s="21"/>
      <c r="G17" s="21"/>
      <c r="H17" s="1084"/>
      <c r="I17" s="140"/>
      <c r="J17" s="544"/>
      <c r="K17" s="544"/>
      <c r="L17" s="1313"/>
      <c r="M17" s="1408"/>
      <c r="N17" s="140"/>
      <c r="O17" s="598"/>
      <c r="P17" s="97"/>
      <c r="Q17" s="97"/>
      <c r="R17" s="97"/>
      <c r="S17" s="97"/>
      <c r="T17" s="97"/>
      <c r="U17" s="97"/>
      <c r="V17" s="97"/>
      <c r="W17" s="97"/>
      <c r="X17" s="1295"/>
      <c r="AX17" s="78" t="str">
        <f>'Overview (Design)'!A14</f>
        <v>Zip:</v>
      </c>
      <c r="AY17" s="79" t="str">
        <f>'Overview (Design)'!G14</f>
        <v>27703</v>
      </c>
    </row>
    <row r="18" spans="2:51" x14ac:dyDescent="0.3">
      <c r="B18" s="938" t="s">
        <v>951</v>
      </c>
      <c r="C18" s="93"/>
      <c r="D18" s="21"/>
      <c r="E18" s="21"/>
      <c r="F18" s="21"/>
      <c r="G18" s="21"/>
      <c r="H18" s="1084"/>
      <c r="I18" s="238"/>
      <c r="J18" s="545"/>
      <c r="K18" s="545"/>
      <c r="L18" s="1350"/>
      <c r="M18" s="1408"/>
      <c r="N18" s="140"/>
      <c r="O18" s="598"/>
      <c r="P18" s="97"/>
      <c r="Q18" s="97"/>
      <c r="R18" s="97"/>
      <c r="S18" s="97"/>
      <c r="T18" s="97"/>
      <c r="U18" s="97"/>
      <c r="V18" s="97"/>
      <c r="W18" s="97"/>
      <c r="X18" s="1295"/>
      <c r="AX18" s="78"/>
    </row>
    <row r="19" spans="2:51" ht="15" customHeight="1" x14ac:dyDescent="0.3">
      <c r="B19" s="938" t="s">
        <v>953</v>
      </c>
      <c r="C19" s="93"/>
      <c r="D19" s="21"/>
      <c r="E19" s="21"/>
      <c r="F19" s="21"/>
      <c r="G19" s="21"/>
      <c r="H19" s="1084"/>
      <c r="I19" s="141" t="s">
        <v>953</v>
      </c>
      <c r="J19" s="544"/>
      <c r="K19" s="544"/>
      <c r="L19" s="1313" t="s">
        <v>954</v>
      </c>
      <c r="M19" s="1408"/>
      <c r="N19"/>
      <c r="O19" s="598"/>
      <c r="P19" s="97"/>
      <c r="Q19" s="97"/>
      <c r="R19" s="97"/>
      <c r="S19" s="97"/>
      <c r="T19" s="97"/>
      <c r="U19" s="97"/>
      <c r="V19" s="97"/>
      <c r="W19" s="97"/>
      <c r="X19" s="1295"/>
      <c r="AR19" s="311" t="str">
        <f>SUBSTITUTE(SUBSTITUTE(SUBSTITUTE("dnt"&amp;$B19&amp;$C19&amp;$D19&amp;$E19&amp;$F19,".","_"),"(","_"),")","")</f>
        <v>dnt701_1_3</v>
      </c>
      <c r="AS19" s="311">
        <f>X19</f>
        <v>0</v>
      </c>
      <c r="AX19" s="78" t="str">
        <f>'Overview (Design)'!A16</f>
        <v>Single-Family or Multifamily:</v>
      </c>
      <c r="AY19" s="79" t="str">
        <f>'Overview (Design)'!G16</f>
        <v>Single-Family</v>
      </c>
    </row>
    <row r="20" spans="2:51" x14ac:dyDescent="0.3">
      <c r="B20" s="938" t="s">
        <v>953</v>
      </c>
      <c r="C20" s="93"/>
      <c r="D20" s="21"/>
      <c r="E20" s="21"/>
      <c r="F20" s="21"/>
      <c r="G20" s="21"/>
      <c r="H20" s="1084"/>
      <c r="I20" s="140"/>
      <c r="J20" s="544"/>
      <c r="K20" s="544"/>
      <c r="L20" s="1313"/>
      <c r="M20" s="1408"/>
      <c r="N20"/>
      <c r="O20" s="598"/>
      <c r="P20" s="97"/>
      <c r="Q20" s="97"/>
      <c r="R20" s="97"/>
      <c r="S20" s="97"/>
      <c r="T20" s="97"/>
      <c r="U20" s="97"/>
      <c r="V20" s="97"/>
      <c r="W20" s="97"/>
      <c r="X20" s="1295"/>
      <c r="AX20" s="78" t="str">
        <f>'Overview (Design)'!A17</f>
        <v>Number of Units:</v>
      </c>
      <c r="AY20" s="79">
        <f>'Overview (Design)'!G17</f>
        <v>0</v>
      </c>
    </row>
    <row r="21" spans="2:51" x14ac:dyDescent="0.3">
      <c r="B21" s="938" t="s">
        <v>953</v>
      </c>
      <c r="C21" s="93"/>
      <c r="D21" s="21"/>
      <c r="E21" s="21"/>
      <c r="F21" s="21"/>
      <c r="G21" s="21"/>
      <c r="H21" s="1084"/>
      <c r="I21" s="238"/>
      <c r="J21" s="545"/>
      <c r="K21" s="545"/>
      <c r="L21" s="1350"/>
      <c r="M21" s="1409"/>
      <c r="N21" s="238"/>
      <c r="O21" s="599"/>
      <c r="P21" s="196"/>
      <c r="Q21" s="196"/>
      <c r="R21" s="196"/>
      <c r="S21" s="196"/>
      <c r="T21" s="196"/>
      <c r="U21" s="196"/>
      <c r="V21" s="196"/>
      <c r="W21" s="196"/>
      <c r="X21" s="1295"/>
      <c r="AX21" s="78" t="str">
        <f>'Overview (Design)'!A18</f>
        <v>Project Name:</v>
      </c>
      <c r="AY21" s="79">
        <f>'Overview (Design)'!G18</f>
        <v>0</v>
      </c>
    </row>
    <row r="22" spans="2:51" x14ac:dyDescent="0.3">
      <c r="B22" s="938" t="s">
        <v>955</v>
      </c>
      <c r="C22" s="93"/>
      <c r="D22" s="21"/>
      <c r="E22" s="21"/>
      <c r="F22" s="21"/>
      <c r="G22" s="21"/>
      <c r="H22" s="1084"/>
      <c r="I22" s="606" t="s">
        <v>955</v>
      </c>
      <c r="J22" s="544"/>
      <c r="K22" s="544"/>
      <c r="L22" s="1313" t="s">
        <v>956</v>
      </c>
      <c r="M22" s="548"/>
      <c r="N22" s="140"/>
      <c r="O22" s="1308">
        <f ca="1">IFERROR(MATCH(W23,INDIRECT(U23),0)*15+15,0)*S23</f>
        <v>30</v>
      </c>
      <c r="P22" s="97"/>
      <c r="Q22" s="97"/>
      <c r="R22" s="97"/>
      <c r="S22" s="97"/>
      <c r="T22" s="97"/>
      <c r="U22" s="97"/>
      <c r="V22" s="97"/>
      <c r="W22" s="97" t="s">
        <v>3199</v>
      </c>
      <c r="X22" s="1304" t="s">
        <v>4797</v>
      </c>
      <c r="AN22" s="311" t="str">
        <f>SUBSTITUTE(SUBSTITUTE(SUBSTITUTE("dpc"&amp;$B22&amp;$C22&amp;$D22&amp;$E22&amp;$F22,".","_"),"(","_"),")","")</f>
        <v>dpc701_1_4</v>
      </c>
      <c r="AO22" s="311">
        <f ca="1">O22</f>
        <v>30</v>
      </c>
      <c r="AR22" s="311" t="str">
        <f>SUBSTITUTE(SUBSTITUTE(SUBSTITUTE("dnt"&amp;$B22&amp;$C22&amp;$D22&amp;$E22&amp;$F22,".","_"),"(","_"),")","")</f>
        <v>dnt701_1_4</v>
      </c>
      <c r="AS22" s="311" t="str">
        <f>X22</f>
        <v>ZERH Requirement - ENERGY STAR Homes Version 3.0 or 3.1 certification (depending on location)</v>
      </c>
      <c r="AX22" s="78"/>
    </row>
    <row r="23" spans="2:51" x14ac:dyDescent="0.3">
      <c r="B23" s="938" t="s">
        <v>955</v>
      </c>
      <c r="C23" s="93"/>
      <c r="D23" s="21"/>
      <c r="E23" s="21"/>
      <c r="F23" s="21"/>
      <c r="G23" s="21"/>
      <c r="H23" s="1084"/>
      <c r="I23" s="140"/>
      <c r="J23" s="544"/>
      <c r="K23" s="544"/>
      <c r="L23" s="1313"/>
      <c r="M23" s="548"/>
      <c r="N23" s="140"/>
      <c r="O23" s="1308"/>
      <c r="P23" s="97" t="b">
        <v>0</v>
      </c>
      <c r="Q23" s="97" t="b">
        <v>1</v>
      </c>
      <c r="R23" s="97" t="b">
        <f ca="1">S23</f>
        <v>1</v>
      </c>
      <c r="S23" s="97" t="b">
        <f ca="1">IFERROR(S13=4,FALSE)</f>
        <v>1</v>
      </c>
      <c r="T23" s="97" t="b">
        <f ca="1">AND(NOT(S23),LEN(W23)&gt;0)</f>
        <v>0</v>
      </c>
      <c r="U23" s="97" t="str">
        <f>SUBSTITUTE(SUBSTITUTE(SUBSTITUTE("dd"&amp;B22&amp;C22&amp;D22&amp;E22&amp;F22,".","_"),"(","_"),")","")</f>
        <v>dd701_1_4</v>
      </c>
      <c r="V23" s="97"/>
      <c r="W23" s="114" t="s">
        <v>3197</v>
      </c>
      <c r="X23" s="1295"/>
      <c r="AC23" s="150" t="b">
        <f ca="1">OR(AD23:AE23)</f>
        <v>0</v>
      </c>
      <c r="AD23" s="150" t="b">
        <f ca="1">T23</f>
        <v>0</v>
      </c>
      <c r="AE23" s="150" t="b">
        <f ca="1">AND(R23,ISBLANK(W23))</f>
        <v>0</v>
      </c>
      <c r="AP23" s="311" t="str">
        <f>SUBSTITUTE(SUBSTITUTE(SUBSTITUTE("dch"&amp;$B23&amp;$C23&amp;$D23&amp;$E23&amp;$F23,".","_"),"(","_"),")","")</f>
        <v>dch701_1_4</v>
      </c>
      <c r="AQ23" s="311" t="str">
        <f>W23</f>
        <v>Alt. Bronze</v>
      </c>
      <c r="AX23" s="78" t="str">
        <f>'Overview (Design)'!A20</f>
        <v>Above grade plane finished floor area:</v>
      </c>
      <c r="AY23" s="79">
        <f>'Overview (Design)'!G20</f>
        <v>2650</v>
      </c>
    </row>
    <row r="24" spans="2:51" x14ac:dyDescent="0.3">
      <c r="B24" s="938" t="s">
        <v>955</v>
      </c>
      <c r="C24" s="93"/>
      <c r="D24" s="21"/>
      <c r="E24" s="21"/>
      <c r="F24" s="21"/>
      <c r="G24" s="21"/>
      <c r="H24" s="1084"/>
      <c r="I24" s="140"/>
      <c r="J24" s="544"/>
      <c r="K24" s="544"/>
      <c r="L24" s="1313"/>
      <c r="M24" s="548"/>
      <c r="N24" s="140"/>
      <c r="O24" s="1308"/>
      <c r="P24" s="97"/>
      <c r="Q24" s="97"/>
      <c r="R24" s="97"/>
      <c r="S24" s="97"/>
      <c r="T24" s="97"/>
      <c r="U24" s="97"/>
      <c r="V24" s="97"/>
      <c r="W24" s="97"/>
      <c r="X24" s="1295"/>
      <c r="AX24" s="78" t="str">
        <f>'Overview (Design)'!A21</f>
        <v>Total conditioned floor area:</v>
      </c>
      <c r="AY24" s="79">
        <f>'Overview (Design)'!G21</f>
        <v>2650</v>
      </c>
    </row>
    <row r="25" spans="2:51" x14ac:dyDescent="0.3">
      <c r="B25" s="938" t="s">
        <v>955</v>
      </c>
      <c r="C25" s="93"/>
      <c r="D25" s="21"/>
      <c r="E25" s="21"/>
      <c r="F25" s="21"/>
      <c r="G25" s="21"/>
      <c r="H25" s="1084"/>
      <c r="I25" s="140"/>
      <c r="J25" s="544"/>
      <c r="K25" s="544"/>
      <c r="L25" s="1313"/>
      <c r="M25" s="548"/>
      <c r="N25" s="140"/>
      <c r="O25" s="1308"/>
      <c r="P25" s="97"/>
      <c r="Q25" s="97"/>
      <c r="R25" s="97"/>
      <c r="S25" s="97"/>
      <c r="T25" s="97"/>
      <c r="U25" s="97"/>
      <c r="V25" s="97"/>
      <c r="W25" s="97"/>
      <c r="X25" s="1295"/>
      <c r="AX25" s="416" t="str">
        <f>'Overview (Design)'!A22</f>
        <v>Stories above grade:</v>
      </c>
      <c r="AY25" s="417">
        <f>'Overview (Design)'!G22</f>
        <v>2</v>
      </c>
    </row>
    <row r="26" spans="2:51" x14ac:dyDescent="0.3">
      <c r="B26" s="938" t="s">
        <v>955</v>
      </c>
      <c r="C26" s="93"/>
      <c r="D26" s="21"/>
      <c r="E26" s="21"/>
      <c r="F26" s="21"/>
      <c r="G26" s="21"/>
      <c r="H26" s="1084"/>
      <c r="I26" s="140"/>
      <c r="J26" s="544"/>
      <c r="K26" s="544"/>
      <c r="L26" s="1313"/>
      <c r="M26" s="548"/>
      <c r="N26" s="140"/>
      <c r="O26" s="1308"/>
      <c r="P26" s="97"/>
      <c r="Q26" s="97"/>
      <c r="R26" s="97"/>
      <c r="S26" s="97"/>
      <c r="T26" s="97"/>
      <c r="U26" s="97"/>
      <c r="V26" s="97"/>
      <c r="W26" s="97"/>
      <c r="X26" s="1295"/>
    </row>
    <row r="27" spans="2:51" x14ac:dyDescent="0.3">
      <c r="B27" s="938" t="s">
        <v>955</v>
      </c>
      <c r="C27" s="93"/>
      <c r="D27" s="21"/>
      <c r="E27" s="21"/>
      <c r="F27" s="21"/>
      <c r="G27" s="21"/>
      <c r="H27" s="1084"/>
      <c r="I27" s="140"/>
      <c r="J27" s="544"/>
      <c r="K27" s="544"/>
      <c r="L27" s="1313"/>
      <c r="M27" s="548"/>
      <c r="N27" s="140"/>
      <c r="O27" s="1308"/>
      <c r="P27" s="97"/>
      <c r="Q27" s="97"/>
      <c r="R27" s="97"/>
      <c r="S27" s="97"/>
      <c r="T27" s="97"/>
      <c r="U27" s="97"/>
      <c r="V27" s="97"/>
      <c r="W27" s="97"/>
      <c r="X27" s="1295"/>
      <c r="AX27" s="78" t="str">
        <f>'Overview (Design)'!A24</f>
        <v xml:space="preserve">Project Description (optional): </v>
      </c>
      <c r="AY27" s="79">
        <f>'Overview (Design)'!G24</f>
        <v>0</v>
      </c>
    </row>
    <row r="28" spans="2:51" x14ac:dyDescent="0.3">
      <c r="B28" s="938" t="s">
        <v>955</v>
      </c>
      <c r="C28" s="93"/>
      <c r="D28" s="21"/>
      <c r="E28" s="21"/>
      <c r="F28" s="21"/>
      <c r="G28" s="21"/>
      <c r="H28" s="1084"/>
      <c r="I28" s="140"/>
      <c r="J28" s="544"/>
      <c r="K28" s="544"/>
      <c r="L28" s="1313"/>
      <c r="M28" s="548"/>
      <c r="N28" s="140"/>
      <c r="O28" s="1308"/>
      <c r="P28" s="97"/>
      <c r="Q28" s="97"/>
      <c r="R28" s="97"/>
      <c r="S28" s="97"/>
      <c r="T28" s="97"/>
      <c r="U28" s="97"/>
      <c r="V28" s="97"/>
      <c r="W28" s="97"/>
      <c r="X28" s="1295"/>
      <c r="AX28" s="416"/>
      <c r="AY28" s="417"/>
    </row>
    <row r="29" spans="2:51" ht="15" thickBot="1" x14ac:dyDescent="0.35">
      <c r="B29" s="938" t="s">
        <v>955</v>
      </c>
      <c r="C29" s="93"/>
      <c r="D29" s="21"/>
      <c r="E29" s="21"/>
      <c r="F29" s="21"/>
      <c r="G29" s="21"/>
      <c r="H29" s="1084"/>
      <c r="I29" s="270"/>
      <c r="J29" s="558"/>
      <c r="K29" s="558"/>
      <c r="L29" s="1332"/>
      <c r="M29" s="556"/>
      <c r="N29" s="270"/>
      <c r="O29" s="1315"/>
      <c r="P29" s="104"/>
      <c r="Q29" s="104"/>
      <c r="R29" s="104"/>
      <c r="S29" s="104"/>
      <c r="T29" s="104"/>
      <c r="U29" s="104"/>
      <c r="V29" s="104"/>
      <c r="W29" s="104"/>
      <c r="X29" s="1296"/>
      <c r="AX29" s="78" t="str">
        <f>'Overview (Design)'!A26</f>
        <v>HERS Index (if available):</v>
      </c>
      <c r="AY29" s="79">
        <f>'Overview (Design)'!G26</f>
        <v>0</v>
      </c>
    </row>
    <row r="30" spans="2:51" ht="15" thickTop="1" x14ac:dyDescent="0.3">
      <c r="B30" s="938">
        <v>701.2</v>
      </c>
      <c r="C30" s="93"/>
      <c r="D30" s="21"/>
      <c r="E30" s="21"/>
      <c r="F30" s="21"/>
      <c r="G30" s="21"/>
      <c r="H30" s="1084"/>
      <c r="I30" s="200">
        <v>701.2</v>
      </c>
      <c r="J30" s="616"/>
      <c r="K30" s="616"/>
      <c r="L30" s="1331" t="s">
        <v>957</v>
      </c>
      <c r="M30" s="1405" t="s">
        <v>3196</v>
      </c>
      <c r="N30" s="201"/>
      <c r="O30" s="602"/>
      <c r="P30" s="110"/>
      <c r="Q30" s="110"/>
      <c r="R30" s="110"/>
      <c r="S30" s="110"/>
      <c r="T30" s="110"/>
      <c r="U30" s="110"/>
      <c r="V30" s="110"/>
      <c r="W30" s="110"/>
      <c r="X30" s="110"/>
      <c r="AX30" s="78" t="str">
        <f>'Overview (Design)'!A27</f>
        <v>Foundation Type:</v>
      </c>
      <c r="AY30" s="79" t="str">
        <f>'Overview (Design)'!G27</f>
        <v>Conditioned crawlspace</v>
      </c>
    </row>
    <row r="31" spans="2:51" ht="15" thickBot="1" x14ac:dyDescent="0.35">
      <c r="B31" s="938">
        <v>701.2</v>
      </c>
      <c r="C31" s="93"/>
      <c r="D31" s="21"/>
      <c r="E31" s="21"/>
      <c r="F31" s="21"/>
      <c r="G31" s="21"/>
      <c r="H31" s="1084"/>
      <c r="I31" s="270"/>
      <c r="J31" s="558"/>
      <c r="K31" s="558"/>
      <c r="L31" s="1332"/>
      <c r="M31" s="1406"/>
      <c r="N31" s="270"/>
      <c r="O31" s="600"/>
      <c r="P31" s="104"/>
      <c r="Q31" s="104"/>
      <c r="R31" s="104"/>
      <c r="S31" s="104"/>
      <c r="T31" s="104"/>
      <c r="U31" s="104"/>
      <c r="V31" s="104"/>
      <c r="W31" s="104"/>
      <c r="X31" s="104"/>
      <c r="AX31" s="416"/>
      <c r="AY31" s="417"/>
    </row>
    <row r="32" spans="2:51" ht="15" thickTop="1" x14ac:dyDescent="0.3">
      <c r="B32" s="938">
        <v>701.3</v>
      </c>
      <c r="C32" s="93"/>
      <c r="D32" s="21"/>
      <c r="E32" s="21"/>
      <c r="F32" s="21"/>
      <c r="G32" s="21"/>
      <c r="H32" s="1084"/>
      <c r="I32" s="200">
        <v>701.3</v>
      </c>
      <c r="J32" s="616"/>
      <c r="K32" s="616"/>
      <c r="L32" s="1331" t="s">
        <v>958</v>
      </c>
      <c r="M32" s="547"/>
      <c r="N32" s="201"/>
      <c r="O32" s="602"/>
      <c r="P32" s="97" t="b">
        <v>0</v>
      </c>
      <c r="Q32" s="97" t="b">
        <v>1</v>
      </c>
      <c r="R32" s="110" t="b">
        <f ca="1">IF(S13=4,FALSE,TRUE)</f>
        <v>0</v>
      </c>
      <c r="S32" s="110" t="b">
        <f ca="1">IF(S13=4,FALSE,TRUE)</f>
        <v>0</v>
      </c>
      <c r="T32" s="110" t="b">
        <f ca="1">AND(NOT(S32),W32=TRUE)</f>
        <v>0</v>
      </c>
      <c r="U32" s="110"/>
      <c r="V32" s="110"/>
      <c r="W32" s="459"/>
      <c r="X32" s="1327"/>
      <c r="AC32" s="336" t="b">
        <f ca="1">OR(AD32:AE32)</f>
        <v>0</v>
      </c>
      <c r="AD32" s="336" t="b">
        <f ca="1">T32</f>
        <v>0</v>
      </c>
      <c r="AE32" s="985" t="b">
        <f ca="1">OR(AND(R32,NOT(W32)),AND(W32=TRUE,LEN(X32)=0))</f>
        <v>0</v>
      </c>
      <c r="AP32" s="311" t="str">
        <f>SUBSTITUTE(SUBSTITUTE(SUBSTITUTE("dch"&amp;$B32&amp;$C32&amp;$D32&amp;$E32&amp;$F32,".","_"),"(","_"),")","")</f>
        <v>dch701_3</v>
      </c>
      <c r="AQ32" s="311">
        <f>W32</f>
        <v>0</v>
      </c>
      <c r="AR32" s="311" t="str">
        <f>SUBSTITUTE(SUBSTITUTE(SUBSTITUTE("dnt"&amp;$B32&amp;$C32&amp;$D32&amp;$E32&amp;$F32,".","_"),"(","_"),")","")</f>
        <v>dnt701_3</v>
      </c>
      <c r="AS32" s="311">
        <f>X32</f>
        <v>0</v>
      </c>
      <c r="AX32" s="78" t="str">
        <f>'Overview (Design)'!A29</f>
        <v>Type of Heating System (main system):</v>
      </c>
      <c r="AY32" s="79" t="str">
        <f>'Overview (Design)'!G29</f>
        <v>Furnace</v>
      </c>
    </row>
    <row r="33" spans="2:51" x14ac:dyDescent="0.3">
      <c r="B33" s="938">
        <v>701.3</v>
      </c>
      <c r="C33" s="93"/>
      <c r="D33" s="21"/>
      <c r="E33" s="21"/>
      <c r="F33" s="21"/>
      <c r="G33" s="21"/>
      <c r="H33" s="1084"/>
      <c r="I33" s="140"/>
      <c r="J33" s="544"/>
      <c r="K33" s="544"/>
      <c r="L33" s="1313"/>
      <c r="M33" s="548"/>
      <c r="N33" s="140"/>
      <c r="O33" s="598"/>
      <c r="P33" s="97"/>
      <c r="Q33" s="97"/>
      <c r="R33" s="97"/>
      <c r="S33" s="97"/>
      <c r="T33" s="97"/>
      <c r="U33" s="97"/>
      <c r="V33" s="97"/>
      <c r="W33" s="97"/>
      <c r="X33" s="1295"/>
      <c r="AX33" s="78" t="str">
        <f>'Overview (Design)'!A30</f>
        <v>Type of Heating System (system 2):</v>
      </c>
      <c r="AY33" s="79">
        <f>'Overview (Design)'!G30</f>
        <v>0</v>
      </c>
    </row>
    <row r="34" spans="2:51" ht="15" thickBot="1" x14ac:dyDescent="0.35">
      <c r="B34" s="938">
        <v>701.3</v>
      </c>
      <c r="C34" s="93"/>
      <c r="D34" s="21"/>
      <c r="E34" s="21"/>
      <c r="F34" s="21"/>
      <c r="G34" s="21"/>
      <c r="H34" s="1084"/>
      <c r="I34" s="270"/>
      <c r="J34" s="558"/>
      <c r="K34" s="558"/>
      <c r="L34" s="561" t="s">
        <v>3602</v>
      </c>
      <c r="M34" s="556"/>
      <c r="N34" s="270"/>
      <c r="O34" s="600"/>
      <c r="P34" s="104"/>
      <c r="Q34" s="104"/>
      <c r="R34" s="104"/>
      <c r="S34" s="104"/>
      <c r="T34" s="104"/>
      <c r="U34" s="104"/>
      <c r="V34" s="104"/>
      <c r="W34" s="104"/>
      <c r="X34" s="1296"/>
      <c r="Z34" s="334"/>
      <c r="AB34" s="334"/>
      <c r="AC34" s="334"/>
      <c r="AD34" s="334"/>
      <c r="AE34" s="334"/>
      <c r="AF34" s="334"/>
      <c r="AG34" s="334"/>
      <c r="AH34" s="334"/>
      <c r="AI34" s="334"/>
      <c r="AJ34" s="334"/>
      <c r="AK34" s="334"/>
      <c r="AL34" s="334"/>
      <c r="AM34" s="334"/>
      <c r="AN34" s="334"/>
      <c r="AO34" s="334"/>
      <c r="AP34" s="334"/>
      <c r="AQ34" s="334"/>
      <c r="AR34" s="334"/>
      <c r="AS34" s="334"/>
      <c r="AT34" s="334"/>
      <c r="AU34" s="334"/>
      <c r="AX34" s="78" t="str">
        <f>'Overview (Design)'!A31</f>
        <v>Type of Heating System (system 3):</v>
      </c>
      <c r="AY34" s="79">
        <f>'Overview (Design)'!G31</f>
        <v>0</v>
      </c>
    </row>
    <row r="35" spans="2:51" ht="15" thickTop="1" x14ac:dyDescent="0.3">
      <c r="B35" s="938">
        <v>701.4</v>
      </c>
      <c r="C35" s="93"/>
      <c r="D35" s="21"/>
      <c r="E35" s="21"/>
      <c r="F35" s="21"/>
      <c r="G35" s="21"/>
      <c r="H35" s="1084"/>
      <c r="I35" s="200">
        <v>701.4</v>
      </c>
      <c r="J35" s="616"/>
      <c r="K35" s="616"/>
      <c r="L35" s="562" t="s">
        <v>959</v>
      </c>
      <c r="M35" s="547"/>
      <c r="N35" s="201"/>
      <c r="O35" s="602"/>
      <c r="P35" s="110"/>
      <c r="Q35" s="110"/>
      <c r="R35" s="110"/>
      <c r="S35" s="110"/>
      <c r="T35" s="110"/>
      <c r="U35" s="110"/>
      <c r="V35" s="110"/>
      <c r="W35" s="110"/>
      <c r="X35" s="110"/>
      <c r="AV35" s="334"/>
      <c r="AW35" s="334"/>
      <c r="AX35" s="78" t="str">
        <f>'Overview (Design)'!A32</f>
        <v>Heating Fuel:</v>
      </c>
      <c r="AY35" s="79">
        <f>'Overview (Design)'!G32</f>
        <v>0</v>
      </c>
    </row>
    <row r="36" spans="2:51" x14ac:dyDescent="0.3">
      <c r="B36" s="938" t="s">
        <v>960</v>
      </c>
      <c r="C36" s="93"/>
      <c r="D36" s="21"/>
      <c r="E36" s="21"/>
      <c r="F36" s="21"/>
      <c r="G36" s="21"/>
      <c r="H36" s="1084"/>
      <c r="I36" s="244" t="s">
        <v>960</v>
      </c>
      <c r="J36" s="545"/>
      <c r="K36" s="545"/>
      <c r="L36" s="629" t="s">
        <v>961</v>
      </c>
      <c r="M36" s="549"/>
      <c r="N36" s="238"/>
      <c r="O36" s="599"/>
      <c r="P36" s="196"/>
      <c r="Q36" s="196"/>
      <c r="R36" s="196"/>
      <c r="S36" s="196"/>
      <c r="T36" s="196"/>
      <c r="U36" s="196"/>
      <c r="V36" s="196"/>
      <c r="W36" s="196"/>
      <c r="X36" s="196"/>
      <c r="AX36" s="416" t="str">
        <f>'Overview (Design)'!A33</f>
        <v>Heating Ducts:</v>
      </c>
      <c r="AY36" s="417" t="str">
        <f>'Overview (Design)'!G33</f>
        <v>Ducted</v>
      </c>
    </row>
    <row r="37" spans="2:51" x14ac:dyDescent="0.3">
      <c r="B37" s="938" t="s">
        <v>962</v>
      </c>
      <c r="C37" s="938"/>
      <c r="D37" s="21"/>
      <c r="E37" s="21"/>
      <c r="F37" s="21"/>
      <c r="G37" s="21"/>
      <c r="H37" s="1084"/>
      <c r="I37" s="215" t="s">
        <v>962</v>
      </c>
      <c r="J37" s="557"/>
      <c r="K37" s="557"/>
      <c r="L37" s="1364" t="s">
        <v>963</v>
      </c>
      <c r="M37" s="1388" t="str">
        <f ca="1">IF(R37,"Mandatory","N/A")</f>
        <v>N/A</v>
      </c>
      <c r="N37" s="216"/>
      <c r="O37" s="601"/>
      <c r="P37" s="97" t="b">
        <v>1</v>
      </c>
      <c r="Q37" s="97" t="b">
        <v>0</v>
      </c>
      <c r="R37" s="218" t="b">
        <f ca="1">S37</f>
        <v>0</v>
      </c>
      <c r="S37" s="218" t="b">
        <f ca="1">NOT(S13=4)</f>
        <v>0</v>
      </c>
      <c r="T37" s="218" t="b">
        <f ca="1">AND(NOT(S37),W37=TRUE)</f>
        <v>0</v>
      </c>
      <c r="U37" s="218"/>
      <c r="V37" s="218"/>
      <c r="W37" s="452"/>
      <c r="X37" s="1295"/>
      <c r="AC37" s="336" t="b">
        <f ca="1">OR(AD37:AE37)</f>
        <v>0</v>
      </c>
      <c r="AD37" s="336" t="b">
        <f ca="1">T37</f>
        <v>0</v>
      </c>
      <c r="AE37" s="336" t="b">
        <f ca="1">AND(R37,NOT(W37))</f>
        <v>0</v>
      </c>
      <c r="AL37" s="311" t="str">
        <f>SUBSTITUTE(SUBSTITUTE(SUBSTITUTE("dpa"&amp;$B37&amp;$C37&amp;$D37&amp;$E37&amp;$F37,".","_"),"(","_"),")","")</f>
        <v>dpa701_4_1_1</v>
      </c>
      <c r="AM37" s="311" t="str">
        <f ca="1">M37</f>
        <v>N/A</v>
      </c>
      <c r="AP37" s="311" t="str">
        <f>SUBSTITUTE(SUBSTITUTE(SUBSTITUTE("dch"&amp;$B37&amp;$C37&amp;$D37&amp;$E37&amp;$F37,".","_"),"(","_"),")","")</f>
        <v>dch701_4_1_1</v>
      </c>
      <c r="AQ37" s="311">
        <f>W37</f>
        <v>0</v>
      </c>
      <c r="AR37" s="311" t="str">
        <f>SUBSTITUTE(SUBSTITUTE(SUBSTITUTE("dnt"&amp;$B37&amp;$C37&amp;$D37&amp;$E37&amp;$F37,".","_"),"(","_"),")","")</f>
        <v>dnt701_4_1_1</v>
      </c>
      <c r="AS37" s="311">
        <f>X37</f>
        <v>0</v>
      </c>
      <c r="AX37" s="416" t="str">
        <f>'Overview (Design)'!A34</f>
        <v>Type of Cooling System (main system):</v>
      </c>
      <c r="AY37" s="417" t="str">
        <f>'Overview (Design)'!G34</f>
        <v>Electric Air Conditiner</v>
      </c>
    </row>
    <row r="38" spans="2:51" x14ac:dyDescent="0.3">
      <c r="B38" s="938" t="s">
        <v>962</v>
      </c>
      <c r="C38" s="938"/>
      <c r="D38" s="21"/>
      <c r="E38" s="21"/>
      <c r="F38" s="21"/>
      <c r="G38" s="21"/>
      <c r="H38" s="1084"/>
      <c r="I38" s="140"/>
      <c r="J38" s="544"/>
      <c r="K38" s="544"/>
      <c r="L38" s="1313"/>
      <c r="M38" s="1351"/>
      <c r="N38" s="140"/>
      <c r="O38" s="598"/>
      <c r="P38" s="97"/>
      <c r="Q38" s="97"/>
      <c r="R38" s="97"/>
      <c r="S38" s="97"/>
      <c r="T38" s="97"/>
      <c r="U38" s="97"/>
      <c r="V38" s="97"/>
      <c r="W38" s="97"/>
      <c r="X38" s="1295"/>
      <c r="AX38" s="416" t="str">
        <f>'Overview (Design)'!A35</f>
        <v>Type of Cooling System (system 2):</v>
      </c>
      <c r="AY38" s="417">
        <f>'Overview (Design)'!G35</f>
        <v>0</v>
      </c>
    </row>
    <row r="39" spans="2:51" x14ac:dyDescent="0.3">
      <c r="B39" s="938" t="s">
        <v>962</v>
      </c>
      <c r="C39" s="938"/>
      <c r="D39" s="21"/>
      <c r="E39" s="21"/>
      <c r="F39" s="21"/>
      <c r="G39" s="21"/>
      <c r="H39" s="1084"/>
      <c r="I39" s="238"/>
      <c r="J39" s="545"/>
      <c r="K39" s="545"/>
      <c r="L39" s="1350"/>
      <c r="M39" s="1352"/>
      <c r="N39" s="238"/>
      <c r="O39" s="599"/>
      <c r="P39" s="196"/>
      <c r="Q39" s="196"/>
      <c r="R39" s="196"/>
      <c r="S39" s="196"/>
      <c r="T39" s="196"/>
      <c r="U39" s="196"/>
      <c r="V39" s="196"/>
      <c r="W39" s="196"/>
      <c r="X39" s="1295"/>
      <c r="AX39" s="416" t="str">
        <f>'Overview (Design)'!A36</f>
        <v>Type of Cooling System (system 3):</v>
      </c>
      <c r="AY39" s="417">
        <f>'Overview (Design)'!G36</f>
        <v>0</v>
      </c>
    </row>
    <row r="40" spans="2:51" x14ac:dyDescent="0.3">
      <c r="B40" s="938" t="s">
        <v>964</v>
      </c>
      <c r="C40" s="938"/>
      <c r="D40" s="21"/>
      <c r="E40" s="21"/>
      <c r="F40" s="21"/>
      <c r="G40" s="21"/>
      <c r="H40" s="1084"/>
      <c r="I40" s="630" t="s">
        <v>964</v>
      </c>
      <c r="J40" s="557"/>
      <c r="K40" s="557"/>
      <c r="L40" s="1364" t="s">
        <v>965</v>
      </c>
      <c r="M40" s="1388" t="str">
        <f ca="1">IF(R40,"Mandatory","N/A")</f>
        <v>N/A</v>
      </c>
      <c r="N40" s="216"/>
      <c r="O40" s="601"/>
      <c r="P40" s="97" t="b">
        <v>1</v>
      </c>
      <c r="Q40" s="97" t="b">
        <v>0</v>
      </c>
      <c r="R40" s="218" t="b">
        <f ca="1">S40</f>
        <v>0</v>
      </c>
      <c r="S40" s="218" t="b">
        <f ca="1">NOT(S13=4)</f>
        <v>0</v>
      </c>
      <c r="T40" s="218" t="b">
        <f ca="1">AND(NOT(S40),LEN(W40)&gt;0)</f>
        <v>0</v>
      </c>
      <c r="U40" s="218" t="str">
        <f>SUBSTITUTE(SUBSTITUTE(SUBSTITUTE("dd"&amp;B40&amp;C40&amp;D40&amp;E40&amp;F40,".","_"),"(","_"),")","")</f>
        <v>dd701_4_1_2</v>
      </c>
      <c r="V40" s="218"/>
      <c r="W40" s="114"/>
      <c r="X40" s="1295"/>
      <c r="AC40" s="336" t="b">
        <f ca="1">OR(AD40:AE40)</f>
        <v>0</v>
      </c>
      <c r="AD40" s="336" t="b">
        <f ca="1">T40</f>
        <v>0</v>
      </c>
      <c r="AE40" s="336" t="b">
        <f ca="1">AND(R40,OR(W40="Not Met",W40=""))</f>
        <v>0</v>
      </c>
      <c r="AL40" s="311" t="str">
        <f>SUBSTITUTE(SUBSTITUTE(SUBSTITUTE("dpa"&amp;$B40&amp;$C40&amp;$D40&amp;$E40&amp;$F40,".","_"),"(","_"),")","")</f>
        <v>dpa701_4_1_2</v>
      </c>
      <c r="AM40" s="311" t="str">
        <f ca="1">M40</f>
        <v>N/A</v>
      </c>
      <c r="AP40" s="311" t="str">
        <f>SUBSTITUTE(SUBSTITUTE(SUBSTITUTE("dch"&amp;$B40&amp;$C40&amp;$D40&amp;$E40&amp;$F40,".","_"),"(","_"),")","")</f>
        <v>dch701_4_1_2</v>
      </c>
      <c r="AQ40" s="311">
        <f>W40</f>
        <v>0</v>
      </c>
      <c r="AR40" s="311" t="str">
        <f>SUBSTITUTE(SUBSTITUTE(SUBSTITUTE("dnt"&amp;$B40&amp;$C40&amp;$D40&amp;$E40&amp;$F40,".","_"),"(","_"),")","")</f>
        <v>dnt701_4_1_2</v>
      </c>
      <c r="AS40" s="311">
        <f>X40</f>
        <v>0</v>
      </c>
      <c r="AX40" s="416" t="str">
        <f>'Overview (Design)'!A37</f>
        <v>Cooling Ducts:</v>
      </c>
      <c r="AY40" s="417" t="str">
        <f>'Overview (Design)'!G37</f>
        <v>Ducted</v>
      </c>
    </row>
    <row r="41" spans="2:51" x14ac:dyDescent="0.3">
      <c r="B41" s="938" t="s">
        <v>964</v>
      </c>
      <c r="C41" s="938"/>
      <c r="D41" s="21"/>
      <c r="E41" s="21"/>
      <c r="F41" s="21"/>
      <c r="G41" s="21"/>
      <c r="H41" s="1084"/>
      <c r="I41" s="140"/>
      <c r="J41" s="544"/>
      <c r="K41" s="544"/>
      <c r="L41" s="1313"/>
      <c r="M41" s="1351"/>
      <c r="N41" s="140"/>
      <c r="O41" s="598"/>
      <c r="P41" s="97"/>
      <c r="Q41" s="97"/>
      <c r="R41" s="97"/>
      <c r="S41" s="97"/>
      <c r="T41" s="97"/>
      <c r="U41" s="97"/>
      <c r="V41" s="97"/>
      <c r="W41" s="97"/>
      <c r="X41" s="1295"/>
      <c r="AX41" s="416"/>
      <c r="AY41" s="417"/>
    </row>
    <row r="42" spans="2:51" x14ac:dyDescent="0.3">
      <c r="B42" s="938" t="s">
        <v>964</v>
      </c>
      <c r="C42" s="938"/>
      <c r="D42" s="21"/>
      <c r="E42" s="21"/>
      <c r="F42" s="21"/>
      <c r="G42" s="21"/>
      <c r="H42" s="1084"/>
      <c r="I42" s="140"/>
      <c r="J42" s="544"/>
      <c r="K42" s="544"/>
      <c r="L42" s="1313"/>
      <c r="M42" s="1351"/>
      <c r="N42" s="140"/>
      <c r="O42" s="598"/>
      <c r="P42" s="97"/>
      <c r="Q42" s="97"/>
      <c r="R42" s="97"/>
      <c r="S42" s="97"/>
      <c r="T42" s="97"/>
      <c r="U42" s="97"/>
      <c r="V42" s="97"/>
      <c r="W42" s="97"/>
      <c r="X42" s="1295"/>
      <c r="AX42" s="416" t="str">
        <f>'Overview (Design)'!A39</f>
        <v>Maximum window and door SHGC:</v>
      </c>
      <c r="AY42" s="417">
        <f>'Overview (Design)'!G39</f>
        <v>0.22</v>
      </c>
    </row>
    <row r="43" spans="2:51" x14ac:dyDescent="0.3">
      <c r="B43" s="938" t="s">
        <v>964</v>
      </c>
      <c r="C43" s="938"/>
      <c r="D43" s="21"/>
      <c r="E43" s="21"/>
      <c r="F43" s="21"/>
      <c r="G43" s="21"/>
      <c r="H43" s="1084"/>
      <c r="I43" s="140"/>
      <c r="J43" s="544"/>
      <c r="K43" s="544"/>
      <c r="L43" s="1313"/>
      <c r="M43" s="1351"/>
      <c r="N43" s="140"/>
      <c r="O43" s="598"/>
      <c r="P43" s="97"/>
      <c r="Q43" s="97"/>
      <c r="R43" s="97"/>
      <c r="S43" s="97"/>
      <c r="T43" s="97"/>
      <c r="U43" s="97"/>
      <c r="V43" s="97"/>
      <c r="W43" s="97"/>
      <c r="X43" s="1295"/>
      <c r="AX43" s="416" t="str">
        <f>'Overview (Design)'!A40</f>
        <v>Maximum skylight SHGC:</v>
      </c>
      <c r="AY43" s="417">
        <f>'Overview (Design)'!G40</f>
        <v>0</v>
      </c>
    </row>
    <row r="44" spans="2:51" x14ac:dyDescent="0.3">
      <c r="B44" s="938" t="s">
        <v>964</v>
      </c>
      <c r="C44" s="938"/>
      <c r="D44" s="21"/>
      <c r="E44" s="21"/>
      <c r="F44" s="21"/>
      <c r="G44" s="21"/>
      <c r="H44" s="1084"/>
      <c r="I44" s="238"/>
      <c r="J44" s="545"/>
      <c r="K44" s="545"/>
      <c r="L44" s="1350"/>
      <c r="M44" s="1352"/>
      <c r="N44" s="238"/>
      <c r="O44" s="599"/>
      <c r="P44" s="196"/>
      <c r="Q44" s="196"/>
      <c r="R44" s="196"/>
      <c r="S44" s="196"/>
      <c r="T44" s="196"/>
      <c r="U44" s="196"/>
      <c r="V44" s="196"/>
      <c r="W44" s="196"/>
      <c r="X44" s="1295"/>
      <c r="AX44" s="416" t="str">
        <f>'Overview (Design)'!A41</f>
        <v>Maximum window and door U-value:</v>
      </c>
      <c r="AY44" s="417">
        <f>'Overview (Design)'!G41</f>
        <v>0.32</v>
      </c>
    </row>
    <row r="45" spans="2:51" x14ac:dyDescent="0.3">
      <c r="B45" s="938" t="s">
        <v>966</v>
      </c>
      <c r="C45" s="938"/>
      <c r="D45" s="21"/>
      <c r="E45" s="21"/>
      <c r="F45" s="21"/>
      <c r="G45" s="21"/>
      <c r="H45" s="1084"/>
      <c r="I45" s="630" t="s">
        <v>966</v>
      </c>
      <c r="J45" s="557"/>
      <c r="K45" s="557"/>
      <c r="L45" s="625" t="s">
        <v>967</v>
      </c>
      <c r="M45" s="550"/>
      <c r="N45" s="216"/>
      <c r="O45" s="601"/>
      <c r="P45" s="218"/>
      <c r="Q45" s="218"/>
      <c r="R45" s="218"/>
      <c r="S45" s="218"/>
      <c r="T45" s="218"/>
      <c r="U45" s="218"/>
      <c r="V45" s="218"/>
      <c r="W45" s="218"/>
      <c r="X45" s="218"/>
      <c r="AX45" s="416" t="str">
        <f>'Overview (Design)'!A42</f>
        <v>Maximum skylight U-value:</v>
      </c>
      <c r="AY45" s="417">
        <f>'Overview (Design)'!G42</f>
        <v>0</v>
      </c>
    </row>
    <row r="46" spans="2:51" x14ac:dyDescent="0.3">
      <c r="B46" s="938" t="s">
        <v>960</v>
      </c>
      <c r="C46" s="938"/>
      <c r="D46" s="21"/>
      <c r="E46" s="21"/>
      <c r="F46" s="21"/>
      <c r="G46" s="21"/>
      <c r="H46" s="1084"/>
      <c r="I46" s="606" t="s">
        <v>4078</v>
      </c>
      <c r="J46" s="544"/>
      <c r="K46" s="544"/>
      <c r="L46" s="1313" t="s">
        <v>968</v>
      </c>
      <c r="M46" s="1351" t="str">
        <f ca="1">IF(R46,"Mandatory","N/A")</f>
        <v>N/A</v>
      </c>
      <c r="N46" s="140"/>
      <c r="O46" s="598"/>
      <c r="P46" s="97" t="b">
        <v>1</v>
      </c>
      <c r="Q46" s="97" t="b">
        <v>0</v>
      </c>
      <c r="R46" s="97" t="b">
        <f ca="1">S46</f>
        <v>0</v>
      </c>
      <c r="S46" s="97" t="b">
        <f ca="1">AND(NOT(S13=4),NOT(AND(OR(AY36=INDEX(INDIRECT('Overview (Design)'!$E$33),2),AY36=INDEX(INDIRECT('Overview (Design)'!$E$33),3)),OR(AY40=INDEX(INDIRECT('Overview (Design)'!$E$37),2),AY40=INDEX(INDIRECT('Overview (Design)'!$E$37),3)))))</f>
        <v>0</v>
      </c>
      <c r="T46" s="97" t="b">
        <f ca="1">AND(NOT(S46),W46=TRUE)</f>
        <v>0</v>
      </c>
      <c r="U46" s="97"/>
      <c r="V46" s="97"/>
      <c r="W46" s="25"/>
      <c r="X46" s="1303"/>
      <c r="AC46" s="417" t="b">
        <f ca="1">OR(AD46:AE46)</f>
        <v>0</v>
      </c>
      <c r="AD46" s="417" t="b">
        <f ca="1">T46</f>
        <v>0</v>
      </c>
      <c r="AE46" s="417" t="b">
        <f ca="1">AND(R46,NOT(W46))</f>
        <v>0</v>
      </c>
      <c r="AL46" s="311" t="str">
        <f>SUBSTITUTE(SUBSTITUTE(SUBSTITUTE("dpa"&amp;$B46&amp;$C46&amp;$D46&amp;$E46&amp;$F46,".","_"),"(","_"),")","")</f>
        <v>dpa701_4_1</v>
      </c>
      <c r="AM46" s="311" t="str">
        <f ca="1">M46</f>
        <v>N/A</v>
      </c>
      <c r="AP46" s="311" t="str">
        <f>SUBSTITUTE(SUBSTITUTE(SUBSTITUTE("dch"&amp;$B46&amp;$C46&amp;$D46&amp;$E46&amp;$F46,".","_"),"(","_"),")","")</f>
        <v>dch701_4_1</v>
      </c>
      <c r="AQ46" s="311">
        <f>W46</f>
        <v>0</v>
      </c>
      <c r="AR46" s="311" t="str">
        <f>SUBSTITUTE(SUBSTITUTE(SUBSTITUTE("dnt"&amp;$B46&amp;$C46&amp;$D46&amp;$E46&amp;$F46,".","_"),"(","_"),")","")</f>
        <v>dnt701_4_1</v>
      </c>
      <c r="AS46" s="311">
        <f>X46</f>
        <v>0</v>
      </c>
      <c r="AX46" s="78" t="str">
        <f>'Overview (Design)'!A43</f>
        <v>Renewable Energy:</v>
      </c>
      <c r="AY46" s="79">
        <f>'Overview (Design)'!G43</f>
        <v>0</v>
      </c>
    </row>
    <row r="47" spans="2:51" x14ac:dyDescent="0.3">
      <c r="B47" s="938" t="s">
        <v>960</v>
      </c>
      <c r="C47" s="938"/>
      <c r="D47" s="21"/>
      <c r="E47" s="21"/>
      <c r="F47" s="21"/>
      <c r="G47" s="21"/>
      <c r="H47" s="1084"/>
      <c r="I47" s="606"/>
      <c r="J47" s="544"/>
      <c r="K47" s="544"/>
      <c r="L47" s="1313"/>
      <c r="M47" s="1351"/>
      <c r="N47" s="140"/>
      <c r="O47" s="598"/>
      <c r="P47" s="97"/>
      <c r="Q47" s="97"/>
      <c r="R47" s="97"/>
      <c r="S47" s="97"/>
      <c r="T47" s="97"/>
      <c r="U47" s="97"/>
      <c r="V47" s="97"/>
      <c r="W47" s="97"/>
      <c r="X47" s="1303"/>
      <c r="AX47" s="78" t="str">
        <f>'Overview (Design)'!A44</f>
        <v>Thermal Envelope Insulation:</v>
      </c>
      <c r="AY47" s="79">
        <f>'Overview (Design)'!G44</f>
        <v>0</v>
      </c>
    </row>
    <row r="48" spans="2:51" ht="15" customHeight="1" x14ac:dyDescent="0.3">
      <c r="B48" s="938" t="s">
        <v>960</v>
      </c>
      <c r="C48" s="938"/>
      <c r="D48" s="21"/>
      <c r="E48" s="21"/>
      <c r="F48" s="21"/>
      <c r="G48" s="21"/>
      <c r="H48" s="1084"/>
      <c r="I48" s="631"/>
      <c r="J48" s="545"/>
      <c r="K48" s="545"/>
      <c r="L48" s="1350"/>
      <c r="M48" s="1352"/>
      <c r="N48" s="238"/>
      <c r="O48" s="599"/>
      <c r="P48" s="196"/>
      <c r="Q48" s="196"/>
      <c r="R48" s="196"/>
      <c r="S48" s="196"/>
      <c r="T48" s="196"/>
      <c r="U48" s="196"/>
      <c r="V48" s="196"/>
      <c r="W48" s="196"/>
      <c r="X48" s="1303"/>
      <c r="AX48" s="78" t="str">
        <f>'Overview (Design)'!A45</f>
        <v>Attic Type:</v>
      </c>
      <c r="AY48" s="79" t="str">
        <f>'Overview (Design)'!G45</f>
        <v>Vented</v>
      </c>
    </row>
    <row r="49" spans="2:51" ht="15" customHeight="1" x14ac:dyDescent="0.3">
      <c r="B49" s="938" t="s">
        <v>969</v>
      </c>
      <c r="C49" s="938"/>
      <c r="D49" s="21"/>
      <c r="E49" s="21"/>
      <c r="F49" s="21"/>
      <c r="G49" s="21"/>
      <c r="H49" s="1084"/>
      <c r="I49" s="632" t="s">
        <v>969</v>
      </c>
      <c r="J49" s="365"/>
      <c r="K49" s="365"/>
      <c r="L49" s="633" t="s">
        <v>970</v>
      </c>
      <c r="M49" s="1092" t="str">
        <f ca="1">IF(R49,"Mandatory","N/A")</f>
        <v>N/A</v>
      </c>
      <c r="N49" s="274"/>
      <c r="O49" s="570"/>
      <c r="P49" s="97" t="b">
        <v>1</v>
      </c>
      <c r="Q49" s="97" t="b">
        <v>0</v>
      </c>
      <c r="R49" s="239" t="b">
        <f ca="1">S49</f>
        <v>0</v>
      </c>
      <c r="S49" s="239" t="b">
        <f ca="1">AND(NOT(S13=4),NOT(AND(OR(AY36=INDEX(INDIRECT('Overview (Design)'!$E$33),2),AY36=INDEX(INDIRECT('Overview (Design)'!$E$33),3)),OR(AY40=INDEX(INDIRECT('Overview (Design)'!$E$37),2),AY40=INDEX(INDIRECT('Overview (Design)'!$E$37),3)))))</f>
        <v>0</v>
      </c>
      <c r="T49" s="239" t="b">
        <f ca="1">AND(NOT(S49),W49=TRUE)</f>
        <v>0</v>
      </c>
      <c r="U49" s="239"/>
      <c r="V49" s="239"/>
      <c r="W49" s="452"/>
      <c r="X49" s="537"/>
      <c r="AC49" s="417" t="b">
        <f ca="1">OR(AD49:AE49)</f>
        <v>0</v>
      </c>
      <c r="AD49" s="417" t="b">
        <f ca="1">T49</f>
        <v>0</v>
      </c>
      <c r="AE49" s="417" t="b">
        <f ca="1">AND(R49,NOT(W49))</f>
        <v>0</v>
      </c>
      <c r="AL49" s="311" t="str">
        <f>SUBSTITUTE(SUBSTITUTE(SUBSTITUTE("dpa"&amp;$B49&amp;$C49&amp;$D49&amp;$E49&amp;$F49,".","_"),"(","_"),")","")</f>
        <v>dpa701_4_2_2</v>
      </c>
      <c r="AM49" s="311" t="str">
        <f ca="1">M49</f>
        <v>N/A</v>
      </c>
      <c r="AP49" s="311" t="str">
        <f>SUBSTITUTE(SUBSTITUTE(SUBSTITUTE("dch"&amp;$B49&amp;$C49&amp;$D49&amp;$E49&amp;$F49,".","_"),"(","_"),")","")</f>
        <v>dch701_4_2_2</v>
      </c>
      <c r="AQ49" s="311">
        <f>W49</f>
        <v>0</v>
      </c>
      <c r="AR49" s="311" t="str">
        <f t="shared" ref="AR49:AR50" si="0">SUBSTITUTE(SUBSTITUTE(SUBSTITUTE("dnt"&amp;$B49&amp;$C49&amp;$D49&amp;$E49&amp;$F49,".","_"),"(","_"),")","")</f>
        <v>dnt701_4_2_2</v>
      </c>
      <c r="AS49" s="311">
        <f>X49</f>
        <v>0</v>
      </c>
      <c r="AX49" s="78" t="str">
        <f>'Overview (Design)'!A46</f>
        <v>Attached Garage:</v>
      </c>
      <c r="AY49" s="79" t="str">
        <f>'Overview (Design)'!G46</f>
        <v>Yes</v>
      </c>
    </row>
    <row r="50" spans="2:51" x14ac:dyDescent="0.3">
      <c r="B50" s="938" t="s">
        <v>971</v>
      </c>
      <c r="C50" s="938"/>
      <c r="D50" s="21"/>
      <c r="E50" s="21"/>
      <c r="F50" s="21"/>
      <c r="G50" s="21"/>
      <c r="H50" s="1084"/>
      <c r="I50" s="630" t="s">
        <v>971</v>
      </c>
      <c r="J50" s="557"/>
      <c r="K50" s="557"/>
      <c r="L50" s="1364" t="s">
        <v>972</v>
      </c>
      <c r="M50" s="1388" t="str">
        <f ca="1">IF(R50,"Mandatory","N/A")</f>
        <v>N/A</v>
      </c>
      <c r="N50" s="216"/>
      <c r="O50" s="601"/>
      <c r="P50" s="97" t="b">
        <v>1</v>
      </c>
      <c r="Q50" s="97" t="b">
        <v>0</v>
      </c>
      <c r="R50" s="218" t="b">
        <f ca="1">S50</f>
        <v>0</v>
      </c>
      <c r="S50" s="218" t="b">
        <f ca="1">AND(NOT(S13=4),NOT(AND(OR(AY36=INDEX(INDIRECT('Overview (Design)'!$E$33),2),AY36=INDEX(INDIRECT('Overview (Design)'!$E$33),3)),OR(AY40=INDEX(INDIRECT('Overview (Design)'!$E$37),2),AY40=INDEX(INDIRECT('Overview (Design)'!$E$37),3)))))</f>
        <v>0</v>
      </c>
      <c r="T50" s="218" t="b">
        <f ca="1">AND(NOT(S50),W50=TRUE)</f>
        <v>0</v>
      </c>
      <c r="U50" s="218"/>
      <c r="V50" s="218"/>
      <c r="W50" s="452"/>
      <c r="X50" s="1295"/>
      <c r="AC50" s="417" t="b">
        <f ca="1">OR(AD50:AE50)</f>
        <v>0</v>
      </c>
      <c r="AD50" s="417" t="b">
        <f ca="1">T50</f>
        <v>0</v>
      </c>
      <c r="AE50" s="417" t="b">
        <f ca="1">AND(R50,NOT(W50))</f>
        <v>0</v>
      </c>
      <c r="AL50" s="311" t="str">
        <f>SUBSTITUTE(SUBSTITUTE(SUBSTITUTE("dpa"&amp;$B50&amp;$C50&amp;$D50&amp;$E50&amp;$F50,".","_"),"(","_"),")","")</f>
        <v>dpa701_4_2_3</v>
      </c>
      <c r="AM50" s="311" t="str">
        <f ca="1">M50</f>
        <v>N/A</v>
      </c>
      <c r="AP50" s="311" t="str">
        <f>SUBSTITUTE(SUBSTITUTE(SUBSTITUTE("dch"&amp;$B50&amp;$C50&amp;$D50&amp;$E50&amp;$F50,".","_"),"(","_"),")","")</f>
        <v>dch701_4_2_3</v>
      </c>
      <c r="AQ50" s="311">
        <f>W50</f>
        <v>0</v>
      </c>
      <c r="AR50" s="311" t="str">
        <f t="shared" si="0"/>
        <v>dnt701_4_2_3</v>
      </c>
      <c r="AS50" s="311">
        <f>X50</f>
        <v>0</v>
      </c>
      <c r="AX50" s="78" t="str">
        <f>'Overview (Design)'!A47</f>
        <v>Recessed Lighting:</v>
      </c>
      <c r="AY50" s="79">
        <f>'Overview (Design)'!G47</f>
        <v>0</v>
      </c>
    </row>
    <row r="51" spans="2:51" x14ac:dyDescent="0.3">
      <c r="B51" s="938" t="s">
        <v>971</v>
      </c>
      <c r="C51" s="938"/>
      <c r="D51" s="21"/>
      <c r="E51" s="21"/>
      <c r="F51" s="21"/>
      <c r="G51" s="21"/>
      <c r="H51" s="1084"/>
      <c r="I51" s="631"/>
      <c r="J51" s="545"/>
      <c r="K51" s="545"/>
      <c r="L51" s="1350"/>
      <c r="M51" s="1352"/>
      <c r="N51" s="238"/>
      <c r="O51" s="599"/>
      <c r="P51" s="196"/>
      <c r="Q51" s="196"/>
      <c r="R51" s="196"/>
      <c r="S51" s="196"/>
      <c r="T51" s="196"/>
      <c r="U51" s="196"/>
      <c r="V51" s="196"/>
      <c r="W51" s="196"/>
      <c r="X51" s="1295"/>
      <c r="AX51" s="78"/>
    </row>
    <row r="52" spans="2:51" x14ac:dyDescent="0.3">
      <c r="B52" s="938" t="s">
        <v>973</v>
      </c>
      <c r="C52" s="938"/>
      <c r="D52" s="21"/>
      <c r="E52" s="21"/>
      <c r="F52" s="21"/>
      <c r="G52" s="21"/>
      <c r="H52" s="1084"/>
      <c r="I52" s="630" t="s">
        <v>973</v>
      </c>
      <c r="J52" s="557"/>
      <c r="K52" s="557"/>
      <c r="L52" s="625" t="s">
        <v>974</v>
      </c>
      <c r="M52" s="550"/>
      <c r="N52" s="216"/>
      <c r="O52" s="601"/>
      <c r="P52" s="218"/>
      <c r="Q52" s="218"/>
      <c r="R52" s="218"/>
      <c r="S52" s="218"/>
      <c r="T52" s="218"/>
      <c r="U52" s="218"/>
      <c r="V52" s="218"/>
      <c r="W52" s="218"/>
      <c r="X52" s="218"/>
      <c r="AX52" s="78" t="str">
        <f>'Overview (Design)'!A49</f>
        <v>Special Design Features:</v>
      </c>
      <c r="AY52" s="79">
        <f>'Overview (Design)'!G49</f>
        <v>0</v>
      </c>
    </row>
    <row r="53" spans="2:51" x14ac:dyDescent="0.3">
      <c r="B53" s="938" t="s">
        <v>975</v>
      </c>
      <c r="C53" s="938"/>
      <c r="D53" s="21"/>
      <c r="E53" s="21"/>
      <c r="F53" s="21"/>
      <c r="G53" s="21"/>
      <c r="H53" s="1084"/>
      <c r="I53" s="68" t="s">
        <v>975</v>
      </c>
      <c r="J53" s="178"/>
      <c r="K53" s="178"/>
      <c r="L53" s="1292" t="s">
        <v>976</v>
      </c>
      <c r="M53" s="1351" t="str">
        <f ca="1">IF(R56,"Mandatory","N/A")</f>
        <v>N/A</v>
      </c>
      <c r="N53" s="4"/>
      <c r="O53" s="154"/>
      <c r="P53"/>
      <c r="Q53"/>
      <c r="U53"/>
      <c r="V53"/>
      <c r="W53" t="s">
        <v>3635</v>
      </c>
      <c r="X53" s="1303"/>
      <c r="AL53" s="311" t="str">
        <f>SUBSTITUTE(SUBSTITUTE(SUBSTITUTE("dpa"&amp;$B53&amp;$C53&amp;$D53&amp;$E53&amp;$F53,".","_"),"(","_"),")","")</f>
        <v>dpa701_4_3_1</v>
      </c>
      <c r="AM53" s="311" t="str">
        <f ca="1">M53</f>
        <v>N/A</v>
      </c>
      <c r="AR53" s="311" t="str">
        <f>SUBSTITUTE(SUBSTITUTE(SUBSTITUTE("dnt"&amp;$B53&amp;$C53&amp;$D53&amp;$E53&amp;$F53,".","_"),"(","_"),")","")</f>
        <v>dnt701_4_3_1</v>
      </c>
      <c r="AS53" s="311">
        <f>X53</f>
        <v>0</v>
      </c>
      <c r="AX53" s="78" t="str">
        <f>'Overview (Design)'!A50</f>
        <v>Passive Solar:</v>
      </c>
      <c r="AY53" s="79" t="str">
        <f>'Overview (Design)'!G50</f>
        <v>No</v>
      </c>
    </row>
    <row r="54" spans="2:51" x14ac:dyDescent="0.3">
      <c r="B54" s="938" t="s">
        <v>975</v>
      </c>
      <c r="C54" s="938"/>
      <c r="D54" s="21" t="s">
        <v>271</v>
      </c>
      <c r="E54" s="21"/>
      <c r="F54" s="21"/>
      <c r="G54" s="21"/>
      <c r="H54" s="1084"/>
      <c r="I54" s="4"/>
      <c r="J54" s="178"/>
      <c r="K54" s="178"/>
      <c r="L54" s="1292"/>
      <c r="M54" s="1351"/>
      <c r="N54" s="4"/>
      <c r="O54" s="154"/>
      <c r="P54" s="97" t="b">
        <v>1</v>
      </c>
      <c r="Q54" s="97" t="b">
        <v>1</v>
      </c>
      <c r="R54" s="358" t="b">
        <v>0</v>
      </c>
      <c r="S54" s="358" t="b">
        <f ca="1">AND(NOT(S13=4),AY25&gt;3,AY19=INDEX(INDIRECT('Overview (Design)'!$E$16),2))</f>
        <v>0</v>
      </c>
      <c r="T54" s="97" t="b">
        <f ca="1">AND(NOT(S54),W54=TRUE)</f>
        <v>0</v>
      </c>
      <c r="U54"/>
      <c r="V54"/>
      <c r="W54" s="25"/>
      <c r="X54" s="1303"/>
      <c r="AC54" s="1188" t="b">
        <f ca="1">OR(AD54:AE54)</f>
        <v>0</v>
      </c>
      <c r="AD54" s="1188" t="b">
        <f ca="1">T54</f>
        <v>0</v>
      </c>
      <c r="AE54" s="1188" t="b">
        <f>AND(R54,NOT(W54))</f>
        <v>0</v>
      </c>
      <c r="AP54" s="311" t="str">
        <f>SUBSTITUTE(SUBSTITUTE(SUBSTITUTE("dch"&amp;$B54&amp;$C54&amp;$D54&amp;$E54&amp;$F54,".","_"),"(","_"),")","")</f>
        <v>dch701_4_3_1_1</v>
      </c>
      <c r="AQ54" s="311">
        <f>W54</f>
        <v>0</v>
      </c>
      <c r="AX54" s="78" t="str">
        <f>'Overview (Design)'!A51</f>
        <v>Mass Walls:</v>
      </c>
      <c r="AY54" s="79" t="str">
        <f>'Overview (Design)'!G51</f>
        <v>No</v>
      </c>
    </row>
    <row r="55" spans="2:51" x14ac:dyDescent="0.3">
      <c r="B55" s="938" t="s">
        <v>975</v>
      </c>
      <c r="C55" s="938"/>
      <c r="D55" s="21"/>
      <c r="E55" s="21"/>
      <c r="F55" s="21"/>
      <c r="G55" s="21"/>
      <c r="H55" s="1084"/>
      <c r="I55" s="4"/>
      <c r="J55" s="178"/>
      <c r="K55" s="178"/>
      <c r="L55" s="1292"/>
      <c r="M55" s="1351"/>
      <c r="N55" s="4"/>
      <c r="O55" s="154"/>
      <c r="P55"/>
      <c r="Q55"/>
      <c r="R55"/>
      <c r="S55"/>
      <c r="T55"/>
      <c r="U55"/>
      <c r="V55"/>
      <c r="W55"/>
      <c r="X55" s="1303"/>
      <c r="AX55" s="78" t="str">
        <f>'Overview (Design)'!A52</f>
        <v>Ductless:</v>
      </c>
      <c r="AY55" s="79" t="str">
        <f>'Overview (Design)'!G52</f>
        <v>No</v>
      </c>
    </row>
    <row r="56" spans="2:51" x14ac:dyDescent="0.3">
      <c r="B56" s="938" t="s">
        <v>975</v>
      </c>
      <c r="C56" s="938"/>
      <c r="D56" s="21" t="s">
        <v>273</v>
      </c>
      <c r="E56" s="21"/>
      <c r="F56" s="21"/>
      <c r="G56" s="21"/>
      <c r="H56" s="1084"/>
      <c r="I56" s="4"/>
      <c r="J56" s="178"/>
      <c r="K56" s="178"/>
      <c r="L56" s="1292"/>
      <c r="M56" s="1351"/>
      <c r="N56" s="4"/>
      <c r="O56" s="154"/>
      <c r="P56" s="97" t="b">
        <v>1</v>
      </c>
      <c r="Q56" s="97" t="b">
        <v>1</v>
      </c>
      <c r="R56" s="150" t="b">
        <f ca="1">S56</f>
        <v>0</v>
      </c>
      <c r="S56" s="150" t="b">
        <f ca="1">AND(NOT(S13=4),NOT(W54))</f>
        <v>0</v>
      </c>
      <c r="T56" s="97" t="b">
        <f ca="1">AND(NOT(S56),W56=TRUE)</f>
        <v>0</v>
      </c>
      <c r="U56"/>
      <c r="V56"/>
      <c r="W56" s="25"/>
      <c r="X56" s="1303"/>
      <c r="AC56" s="358" t="b">
        <f ca="1">OR(AD56:AE56)</f>
        <v>0</v>
      </c>
      <c r="AD56" s="358" t="b">
        <f ca="1">T56</f>
        <v>0</v>
      </c>
      <c r="AE56" s="358" t="b">
        <f ca="1">AND(R56,NOT(W56))</f>
        <v>0</v>
      </c>
      <c r="AP56" s="311" t="str">
        <f>SUBSTITUTE(SUBSTITUTE(SUBSTITUTE("dch"&amp;$B56&amp;$C56&amp;$D56&amp;$E56&amp;$F56,".","_"),"(","_"),")","")</f>
        <v>dch701_4_3_1_2</v>
      </c>
      <c r="AQ56" s="311">
        <f>W56</f>
        <v>0</v>
      </c>
      <c r="AX56" s="78" t="str">
        <f>'Overview (Design)'!A53</f>
        <v>Radiant/Hydronic:</v>
      </c>
      <c r="AY56" s="79" t="str">
        <f>'Overview (Design)'!G53</f>
        <v>No</v>
      </c>
    </row>
    <row r="57" spans="2:51" x14ac:dyDescent="0.3">
      <c r="B57" s="938" t="s">
        <v>975</v>
      </c>
      <c r="C57" s="938"/>
      <c r="D57" s="21"/>
      <c r="E57" s="21" t="s">
        <v>121</v>
      </c>
      <c r="F57" s="21"/>
      <c r="G57" s="21"/>
      <c r="H57" s="1084"/>
      <c r="I57" s="4"/>
      <c r="J57" s="178"/>
      <c r="K57" s="260" t="s">
        <v>121</v>
      </c>
      <c r="L57" s="178" t="s">
        <v>977</v>
      </c>
      <c r="M57" s="522"/>
      <c r="N57" s="4"/>
      <c r="O57" s="154"/>
      <c r="P57"/>
      <c r="Q57"/>
      <c r="R57"/>
      <c r="S57"/>
      <c r="T57"/>
      <c r="U57"/>
      <c r="V57"/>
      <c r="W57"/>
      <c r="X57" s="512"/>
      <c r="AR57" s="311" t="str">
        <f t="shared" ref="AR57:AR68" si="1">SUBSTITUTE(SUBSTITUTE(SUBSTITUTE("dnt"&amp;$B57&amp;$C57&amp;$D57&amp;$E57&amp;$F57,".","_"),"(","_"),")","")</f>
        <v>dnt701_4_3_1_a</v>
      </c>
      <c r="AS57" s="311">
        <f t="shared" ref="AS57:AS68" si="2">X57</f>
        <v>0</v>
      </c>
      <c r="AX57" s="78" t="str">
        <f>'Overview (Design)'!A54</f>
        <v>Tankless Water Heater:</v>
      </c>
      <c r="AY57" s="79" t="str">
        <f>'Overview (Design)'!G54</f>
        <v>No</v>
      </c>
    </row>
    <row r="58" spans="2:51" ht="15" customHeight="1" x14ac:dyDescent="0.3">
      <c r="B58" s="938" t="s">
        <v>975</v>
      </c>
      <c r="C58" s="938"/>
      <c r="D58" s="21"/>
      <c r="E58" s="21" t="s">
        <v>122</v>
      </c>
      <c r="F58" s="21"/>
      <c r="G58" s="21"/>
      <c r="H58" s="1084"/>
      <c r="I58" s="4"/>
      <c r="J58" s="178"/>
      <c r="K58" s="260" t="s">
        <v>122</v>
      </c>
      <c r="L58" s="178" t="s">
        <v>978</v>
      </c>
      <c r="M58" s="522"/>
      <c r="N58" s="4"/>
      <c r="O58" s="154"/>
      <c r="P58"/>
      <c r="Q58"/>
      <c r="R58"/>
      <c r="S58"/>
      <c r="T58"/>
      <c r="U58"/>
      <c r="V58"/>
      <c r="W58"/>
      <c r="X58" s="512"/>
      <c r="AR58" s="311" t="str">
        <f t="shared" si="1"/>
        <v>dnt701_4_3_1_b</v>
      </c>
      <c r="AS58" s="311">
        <f t="shared" si="2"/>
        <v>0</v>
      </c>
      <c r="AX58" s="78" t="str">
        <f>'Overview (Design)'!A55</f>
        <v>Composting Toilet:</v>
      </c>
      <c r="AY58" s="79" t="str">
        <f>'Overview (Design)'!G55</f>
        <v>No</v>
      </c>
    </row>
    <row r="59" spans="2:51" ht="15" customHeight="1" x14ac:dyDescent="0.3">
      <c r="B59" s="938" t="s">
        <v>975</v>
      </c>
      <c r="C59" s="938"/>
      <c r="D59" s="21"/>
      <c r="E59" s="26" t="s">
        <v>123</v>
      </c>
      <c r="F59" s="26"/>
      <c r="G59" s="26"/>
      <c r="H59" s="1085"/>
      <c r="I59" s="4"/>
      <c r="J59" s="178"/>
      <c r="K59" s="261" t="s">
        <v>123</v>
      </c>
      <c r="L59" s="178" t="s">
        <v>979</v>
      </c>
      <c r="M59" s="522"/>
      <c r="N59" s="4"/>
      <c r="O59" s="154"/>
      <c r="P59"/>
      <c r="Q59"/>
      <c r="R59"/>
      <c r="S59"/>
      <c r="T59"/>
      <c r="U59"/>
      <c r="V59"/>
      <c r="W59"/>
      <c r="X59" s="512"/>
      <c r="AR59" s="311" t="str">
        <f t="shared" si="1"/>
        <v>dnt701_4_3_1_c</v>
      </c>
      <c r="AS59" s="311">
        <f t="shared" si="2"/>
        <v>0</v>
      </c>
      <c r="AX59" s="78"/>
    </row>
    <row r="60" spans="2:51" x14ac:dyDescent="0.3">
      <c r="B60" s="938" t="s">
        <v>975</v>
      </c>
      <c r="C60" s="938"/>
      <c r="D60" s="21"/>
      <c r="E60" s="21" t="s">
        <v>423</v>
      </c>
      <c r="F60" s="21"/>
      <c r="G60" s="21"/>
      <c r="H60" s="1084"/>
      <c r="I60" s="4"/>
      <c r="J60" s="178"/>
      <c r="K60" s="184" t="s">
        <v>423</v>
      </c>
      <c r="L60" s="178" t="s">
        <v>980</v>
      </c>
      <c r="M60" s="522"/>
      <c r="N60" s="4"/>
      <c r="O60" s="154"/>
      <c r="P60"/>
      <c r="Q60"/>
      <c r="R60"/>
      <c r="S60"/>
      <c r="T60"/>
      <c r="U60"/>
      <c r="V60"/>
      <c r="W60"/>
      <c r="X60" s="512"/>
      <c r="AR60" s="311" t="str">
        <f t="shared" si="1"/>
        <v>dnt701_4_3_1_d</v>
      </c>
      <c r="AS60" s="311">
        <f t="shared" si="2"/>
        <v>0</v>
      </c>
      <c r="AX60" s="78" t="str">
        <f>'Overview (Design)'!A57</f>
        <v>Local Energy Code:</v>
      </c>
      <c r="AY60" s="79" t="str">
        <f>'Overview (Design)'!G57</f>
        <v>Other</v>
      </c>
    </row>
    <row r="61" spans="2:51" x14ac:dyDescent="0.3">
      <c r="B61" s="938" t="s">
        <v>975</v>
      </c>
      <c r="C61" s="938"/>
      <c r="D61" s="21"/>
      <c r="E61" s="21" t="s">
        <v>578</v>
      </c>
      <c r="F61" s="21"/>
      <c r="G61" s="21"/>
      <c r="H61" s="1084"/>
      <c r="I61" s="4"/>
      <c r="J61" s="178"/>
      <c r="K61" s="184" t="s">
        <v>578</v>
      </c>
      <c r="L61" s="178" t="s">
        <v>981</v>
      </c>
      <c r="M61" s="522"/>
      <c r="N61" s="4"/>
      <c r="O61" s="154"/>
      <c r="P61"/>
      <c r="Q61"/>
      <c r="R61"/>
      <c r="S61"/>
      <c r="T61"/>
      <c r="U61"/>
      <c r="V61"/>
      <c r="W61"/>
      <c r="X61" s="512"/>
      <c r="AR61" s="311" t="str">
        <f t="shared" si="1"/>
        <v>dnt701_4_3_1_e</v>
      </c>
      <c r="AS61" s="311">
        <f t="shared" si="2"/>
        <v>0</v>
      </c>
      <c r="AX61" s="78" t="str">
        <f>'Overview (Design)'!A58</f>
        <v>Local Building Code:</v>
      </c>
      <c r="AY61" s="79" t="str">
        <f>'Overview (Design)'!G58</f>
        <v>Other</v>
      </c>
    </row>
    <row r="62" spans="2:51" x14ac:dyDescent="0.3">
      <c r="B62" s="938" t="s">
        <v>975</v>
      </c>
      <c r="C62" s="938"/>
      <c r="D62" s="21"/>
      <c r="E62" s="26" t="s">
        <v>645</v>
      </c>
      <c r="F62" s="26"/>
      <c r="G62" s="26"/>
      <c r="H62" s="1085"/>
      <c r="I62" s="4"/>
      <c r="J62" s="178"/>
      <c r="K62" s="261" t="s">
        <v>645</v>
      </c>
      <c r="L62" s="178" t="s">
        <v>982</v>
      </c>
      <c r="M62" s="522"/>
      <c r="N62" s="4"/>
      <c r="O62" s="154"/>
      <c r="P62"/>
      <c r="Q62"/>
      <c r="R62"/>
      <c r="S62"/>
      <c r="T62"/>
      <c r="U62"/>
      <c r="V62"/>
      <c r="W62"/>
      <c r="X62" s="512"/>
      <c r="AR62" s="311" t="str">
        <f t="shared" si="1"/>
        <v>dnt701_4_3_1_f</v>
      </c>
      <c r="AS62" s="311">
        <f t="shared" si="2"/>
        <v>0</v>
      </c>
    </row>
    <row r="63" spans="2:51" x14ac:dyDescent="0.3">
      <c r="B63" s="938" t="s">
        <v>975</v>
      </c>
      <c r="C63" s="938"/>
      <c r="D63" s="21"/>
      <c r="E63" s="21" t="s">
        <v>647</v>
      </c>
      <c r="F63" s="21"/>
      <c r="G63" s="21"/>
      <c r="H63" s="1084"/>
      <c r="I63" s="4"/>
      <c r="J63" s="178"/>
      <c r="K63" s="184" t="s">
        <v>647</v>
      </c>
      <c r="L63" s="178" t="s">
        <v>983</v>
      </c>
      <c r="M63" s="522"/>
      <c r="N63" s="4"/>
      <c r="O63" s="154"/>
      <c r="P63"/>
      <c r="Q63"/>
      <c r="R63"/>
      <c r="S63"/>
      <c r="T63"/>
      <c r="U63"/>
      <c r="V63"/>
      <c r="W63"/>
      <c r="X63" s="512"/>
      <c r="AR63" s="311" t="str">
        <f t="shared" si="1"/>
        <v>dnt701_4_3_1_g</v>
      </c>
      <c r="AS63" s="311">
        <f t="shared" si="2"/>
        <v>0</v>
      </c>
    </row>
    <row r="64" spans="2:51" x14ac:dyDescent="0.3">
      <c r="B64" s="938" t="s">
        <v>975</v>
      </c>
      <c r="C64" s="938"/>
      <c r="D64" s="21"/>
      <c r="E64" s="21" t="s">
        <v>649</v>
      </c>
      <c r="F64" s="21"/>
      <c r="G64" s="21"/>
      <c r="H64" s="1084"/>
      <c r="I64" s="4"/>
      <c r="J64" s="178"/>
      <c r="K64" s="184" t="s">
        <v>649</v>
      </c>
      <c r="L64" s="178" t="s">
        <v>984</v>
      </c>
      <c r="M64" s="522"/>
      <c r="N64" s="4"/>
      <c r="O64" s="154"/>
      <c r="P64"/>
      <c r="Q64"/>
      <c r="R64"/>
      <c r="S64"/>
      <c r="T64"/>
      <c r="U64"/>
      <c r="V64"/>
      <c r="W64"/>
      <c r="X64" s="512"/>
      <c r="AR64" s="311" t="str">
        <f t="shared" si="1"/>
        <v>dnt701_4_3_1_h</v>
      </c>
      <c r="AS64" s="311">
        <f t="shared" si="2"/>
        <v>0</v>
      </c>
    </row>
    <row r="65" spans="2:45" x14ac:dyDescent="0.3">
      <c r="B65" s="938" t="s">
        <v>975</v>
      </c>
      <c r="C65" s="938"/>
      <c r="D65" s="21"/>
      <c r="E65" s="21" t="s">
        <v>985</v>
      </c>
      <c r="F65" s="21"/>
      <c r="G65" s="21"/>
      <c r="H65" s="1084"/>
      <c r="I65" s="4"/>
      <c r="J65" s="178"/>
      <c r="K65" s="184" t="s">
        <v>985</v>
      </c>
      <c r="L65" s="178" t="s">
        <v>986</v>
      </c>
      <c r="M65" s="522"/>
      <c r="N65" s="4"/>
      <c r="O65" s="154"/>
      <c r="P65"/>
      <c r="Q65"/>
      <c r="R65"/>
      <c r="S65"/>
      <c r="T65"/>
      <c r="U65"/>
      <c r="V65"/>
      <c r="W65"/>
      <c r="X65" s="512"/>
      <c r="AR65" s="311" t="str">
        <f t="shared" si="1"/>
        <v>dnt701_4_3_1_i</v>
      </c>
      <c r="AS65" s="311">
        <f t="shared" si="2"/>
        <v>0</v>
      </c>
    </row>
    <row r="66" spans="2:45" x14ac:dyDescent="0.3">
      <c r="B66" s="938" t="s">
        <v>975</v>
      </c>
      <c r="C66" s="938"/>
      <c r="D66" s="21"/>
      <c r="E66" s="21" t="s">
        <v>987</v>
      </c>
      <c r="F66" s="21"/>
      <c r="G66" s="21"/>
      <c r="H66" s="1084"/>
      <c r="I66" s="4"/>
      <c r="J66" s="178"/>
      <c r="K66" s="184" t="s">
        <v>987</v>
      </c>
      <c r="L66" s="178" t="s">
        <v>988</v>
      </c>
      <c r="M66" s="522"/>
      <c r="N66" s="4"/>
      <c r="O66" s="154"/>
      <c r="P66"/>
      <c r="Q66"/>
      <c r="R66"/>
      <c r="S66"/>
      <c r="T66"/>
      <c r="U66"/>
      <c r="V66"/>
      <c r="W66"/>
      <c r="X66" s="512"/>
      <c r="AR66" s="311" t="str">
        <f t="shared" si="1"/>
        <v>dnt701_4_3_1_j</v>
      </c>
      <c r="AS66" s="311">
        <f t="shared" si="2"/>
        <v>0</v>
      </c>
    </row>
    <row r="67" spans="2:45" x14ac:dyDescent="0.3">
      <c r="B67" s="938" t="s">
        <v>975</v>
      </c>
      <c r="C67" s="938"/>
      <c r="D67" s="21"/>
      <c r="E67" s="21" t="s">
        <v>989</v>
      </c>
      <c r="F67" s="21"/>
      <c r="G67" s="21"/>
      <c r="H67" s="1084"/>
      <c r="I67" s="140"/>
      <c r="J67" s="544"/>
      <c r="K67" s="369" t="s">
        <v>989</v>
      </c>
      <c r="L67" s="544" t="s">
        <v>990</v>
      </c>
      <c r="M67" s="548"/>
      <c r="N67" s="140"/>
      <c r="O67" s="598"/>
      <c r="P67" s="97"/>
      <c r="Q67" s="97"/>
      <c r="R67" s="97"/>
      <c r="S67" s="97"/>
      <c r="T67" s="97"/>
      <c r="U67" s="97"/>
      <c r="V67" s="97"/>
      <c r="W67" s="97"/>
      <c r="X67" s="537"/>
      <c r="AR67" s="311" t="str">
        <f t="shared" si="1"/>
        <v>dnt701_4_3_1_k</v>
      </c>
      <c r="AS67" s="311">
        <f t="shared" si="2"/>
        <v>0</v>
      </c>
    </row>
    <row r="68" spans="2:45" x14ac:dyDescent="0.3">
      <c r="B68" s="938" t="s">
        <v>975</v>
      </c>
      <c r="C68" s="938"/>
      <c r="D68" s="21"/>
      <c r="E68" s="21" t="s">
        <v>991</v>
      </c>
      <c r="F68" s="21"/>
      <c r="G68" s="21"/>
      <c r="H68" s="1084"/>
      <c r="I68" s="238"/>
      <c r="J68" s="545"/>
      <c r="K68" s="629" t="s">
        <v>991</v>
      </c>
      <c r="L68" s="545" t="s">
        <v>992</v>
      </c>
      <c r="M68" s="549"/>
      <c r="N68" s="238"/>
      <c r="O68" s="599"/>
      <c r="P68" s="196"/>
      <c r="Q68" s="196"/>
      <c r="R68" s="196"/>
      <c r="S68" s="196"/>
      <c r="T68" s="196"/>
      <c r="U68" s="196"/>
      <c r="V68" s="196"/>
      <c r="W68" s="196"/>
      <c r="X68" s="537"/>
      <c r="AR68" s="311" t="str">
        <f t="shared" si="1"/>
        <v>dnt701_4_3_1_l</v>
      </c>
      <c r="AS68" s="311">
        <f t="shared" si="2"/>
        <v>0</v>
      </c>
    </row>
    <row r="69" spans="2:45" x14ac:dyDescent="0.3">
      <c r="B69" s="938" t="s">
        <v>993</v>
      </c>
      <c r="C69" s="938"/>
      <c r="D69" s="21"/>
      <c r="E69" s="21"/>
      <c r="F69" s="21"/>
      <c r="G69" s="21"/>
      <c r="H69" s="1084"/>
      <c r="I69" s="68" t="s">
        <v>993</v>
      </c>
      <c r="J69" s="178"/>
      <c r="K69" s="178"/>
      <c r="L69" s="1292" t="s">
        <v>994</v>
      </c>
      <c r="M69" s="1351" t="str">
        <f ca="1">IF(R72,"Mandatory","N/A")</f>
        <v>N/A</v>
      </c>
      <c r="N69" s="4"/>
      <c r="O69" s="154"/>
      <c r="P69"/>
      <c r="Q69"/>
      <c r="AL69" s="311" t="str">
        <f>SUBSTITUTE(SUBSTITUTE(SUBSTITUTE("dpa"&amp;$B69&amp;$C69&amp;$D69&amp;$E69&amp;$F69,".","_"),"(","_"),")","")</f>
        <v>dpa701_4_3_2</v>
      </c>
      <c r="AM69" s="311" t="str">
        <f ca="1">M69</f>
        <v>N/A</v>
      </c>
    </row>
    <row r="70" spans="2:45" x14ac:dyDescent="0.3">
      <c r="B70" s="938" t="s">
        <v>993</v>
      </c>
      <c r="C70" s="938"/>
      <c r="D70" s="21"/>
      <c r="E70" s="21"/>
      <c r="F70" s="21"/>
      <c r="G70" s="21"/>
      <c r="H70" s="1084"/>
      <c r="I70" s="4"/>
      <c r="J70" s="178"/>
      <c r="K70" s="178"/>
      <c r="L70" s="1292"/>
      <c r="M70" s="1351"/>
      <c r="N70" s="4"/>
      <c r="O70" s="154"/>
      <c r="P70"/>
      <c r="Q70"/>
      <c r="R70"/>
      <c r="S70"/>
      <c r="T70"/>
      <c r="U70"/>
      <c r="V70"/>
      <c r="W70"/>
      <c r="X70"/>
    </row>
    <row r="71" spans="2:45" x14ac:dyDescent="0.3">
      <c r="B71" s="938" t="s">
        <v>993</v>
      </c>
      <c r="C71" s="938"/>
      <c r="D71" s="21"/>
      <c r="E71" s="21"/>
      <c r="F71" s="21"/>
      <c r="G71" s="21"/>
      <c r="H71" s="1084"/>
      <c r="I71" s="4"/>
      <c r="J71" s="178"/>
      <c r="K71" s="178"/>
      <c r="L71" s="1292"/>
      <c r="M71" s="1351"/>
      <c r="N71" s="4"/>
      <c r="O71" s="154"/>
      <c r="P71"/>
      <c r="Q71"/>
      <c r="W71" s="79" t="s">
        <v>4030</v>
      </c>
      <c r="X71"/>
    </row>
    <row r="72" spans="2:45" x14ac:dyDescent="0.3">
      <c r="B72" s="938" t="s">
        <v>993</v>
      </c>
      <c r="C72" s="938"/>
      <c r="D72" s="21" t="s">
        <v>4672</v>
      </c>
      <c r="E72" s="21"/>
      <c r="F72" s="21"/>
      <c r="G72" s="21"/>
      <c r="H72" s="1084"/>
      <c r="I72" s="4"/>
      <c r="J72" s="260" t="s">
        <v>271</v>
      </c>
      <c r="K72" s="178"/>
      <c r="L72" s="1292" t="s">
        <v>995</v>
      </c>
      <c r="M72" s="522"/>
      <c r="N72" s="4"/>
      <c r="O72" s="154"/>
      <c r="P72" s="97" t="b">
        <v>1</v>
      </c>
      <c r="Q72" s="97" t="b">
        <v>1</v>
      </c>
      <c r="R72" s="417" t="b">
        <f ca="1">AND(S72,NOT(OR(AND(BF16=2,BG16="Dry"),BI16="Tropical")))</f>
        <v>0</v>
      </c>
      <c r="S72" s="417" t="b">
        <f ca="1">NOT(S13=4)</f>
        <v>0</v>
      </c>
      <c r="T72" s="97" t="b">
        <f ca="1">IF(AND(NOT(S72),LEN(W72)&gt;0),TRUE,FALSE)</f>
        <v>0</v>
      </c>
      <c r="U72"/>
      <c r="V72"/>
      <c r="W72" s="478"/>
      <c r="X72" s="1337"/>
      <c r="AC72" s="417" t="b">
        <f ca="1">OR(AD72:AE72)</f>
        <v>0</v>
      </c>
      <c r="AD72" s="417" t="b">
        <f ca="1">T72</f>
        <v>0</v>
      </c>
      <c r="AE72" s="417" t="b">
        <f ca="1">AND(R72,LEN(W72)=0)</f>
        <v>0</v>
      </c>
      <c r="AP72" s="311" t="str">
        <f>SUBSTITUTE(SUBSTITUTE(SUBSTITUTE("dch"&amp;$B72&amp;$C72&amp;$D72&amp;$E72&amp;$F72,".","_"),"(","_"),")","")</f>
        <v>dch701_4_3_2_1_</v>
      </c>
      <c r="AQ72" s="311">
        <f>W72</f>
        <v>0</v>
      </c>
      <c r="AR72" s="311" t="str">
        <f>SUBSTITUTE(SUBSTITUTE(SUBSTITUTE("dnt"&amp;$B72&amp;$C72&amp;$D72&amp;$E72&amp;$F72,".","_"),"(","_"),")","")</f>
        <v>dnt701_4_3_2_1_</v>
      </c>
      <c r="AS72" s="311">
        <f>X72</f>
        <v>0</v>
      </c>
    </row>
    <row r="73" spans="2:45" x14ac:dyDescent="0.3">
      <c r="B73" s="938" t="s">
        <v>993</v>
      </c>
      <c r="C73" s="938"/>
      <c r="D73" s="21" t="s">
        <v>271</v>
      </c>
      <c r="E73" s="21"/>
      <c r="F73" s="21"/>
      <c r="G73" s="21"/>
      <c r="H73" s="1084"/>
      <c r="I73" s="4"/>
      <c r="J73" s="178"/>
      <c r="K73" s="178"/>
      <c r="L73" s="1292"/>
      <c r="M73" s="522"/>
      <c r="N73" s="4"/>
      <c r="O73" s="154"/>
      <c r="P73"/>
      <c r="Q73"/>
      <c r="R73"/>
      <c r="S73"/>
      <c r="T73"/>
      <c r="U73"/>
      <c r="V73"/>
      <c r="W73"/>
      <c r="X73" s="1312"/>
    </row>
    <row r="74" spans="2:45" x14ac:dyDescent="0.3">
      <c r="B74" s="938" t="s">
        <v>993</v>
      </c>
      <c r="C74" s="938"/>
      <c r="D74" s="21" t="s">
        <v>271</v>
      </c>
      <c r="E74" s="21"/>
      <c r="F74" s="21"/>
      <c r="G74" s="21"/>
      <c r="H74" s="1084"/>
      <c r="I74" s="4"/>
      <c r="J74" s="178"/>
      <c r="K74" s="178"/>
      <c r="L74" s="1292"/>
      <c r="M74" s="522"/>
      <c r="N74" s="4"/>
      <c r="O74" s="154"/>
      <c r="P74" s="97"/>
      <c r="Q74" s="97"/>
      <c r="R74"/>
      <c r="S74"/>
      <c r="T74"/>
      <c r="U74"/>
      <c r="V74"/>
      <c r="W74" t="s">
        <v>4690</v>
      </c>
      <c r="X74" s="1304"/>
    </row>
    <row r="75" spans="2:45" x14ac:dyDescent="0.3">
      <c r="B75" s="938" t="s">
        <v>993</v>
      </c>
      <c r="C75" s="938"/>
      <c r="D75" s="21" t="s">
        <v>3177</v>
      </c>
      <c r="E75" s="21"/>
      <c r="F75" s="21"/>
      <c r="G75" s="21"/>
      <c r="H75" s="1084"/>
      <c r="I75" s="4"/>
      <c r="J75" s="178"/>
      <c r="K75" s="178"/>
      <c r="L75" s="1292"/>
      <c r="M75" s="522"/>
      <c r="N75" s="4"/>
      <c r="O75" s="154"/>
      <c r="P75" s="97" t="b">
        <v>1</v>
      </c>
      <c r="Q75" s="97" t="b">
        <v>1</v>
      </c>
      <c r="R75" t="b">
        <v>0</v>
      </c>
      <c r="S75" s="1083" t="b">
        <f ca="1">AND(NOT(S13=4),NOT(W54))</f>
        <v>0</v>
      </c>
      <c r="T75" s="97" t="b">
        <f ca="1">IF(AND(NOT(S75),LEN(W75)&gt;0),TRUE,FALSE)</f>
        <v>0</v>
      </c>
      <c r="U75"/>
      <c r="V75"/>
      <c r="W75" s="478"/>
      <c r="X75" s="1337"/>
      <c r="AC75" s="1083" t="b">
        <f ca="1">OR(AD75:AE75)</f>
        <v>0</v>
      </c>
      <c r="AD75" s="1083" t="b">
        <f ca="1">T75</f>
        <v>0</v>
      </c>
      <c r="AE75" s="1083" t="b">
        <f>AND(R75,LEN(W75)=0)</f>
        <v>0</v>
      </c>
      <c r="AP75" s="311" t="str">
        <f>SUBSTITUTE(SUBSTITUTE(SUBSTITUTE("dch"&amp;$B75&amp;$C75&amp;$D75&amp;$E75&amp;$F75,".","_"),"(","_"),")","")</f>
        <v>dch701_4_3_2e</v>
      </c>
      <c r="AQ75" s="311">
        <f>W75</f>
        <v>0</v>
      </c>
      <c r="AR75" s="311" t="str">
        <f>SUBSTITUTE(SUBSTITUTE(SUBSTITUTE("dnt"&amp;$B75&amp;$C75&amp;$D75&amp;$E75&amp;$F75,".","_"),"(","_"),")","")</f>
        <v>dnt701_4_3_2e</v>
      </c>
      <c r="AS75" s="311">
        <f>X75</f>
        <v>0</v>
      </c>
    </row>
    <row r="76" spans="2:45" x14ac:dyDescent="0.3">
      <c r="B76" s="938" t="s">
        <v>993</v>
      </c>
      <c r="C76" s="938"/>
      <c r="D76" s="21" t="s">
        <v>271</v>
      </c>
      <c r="E76" s="21"/>
      <c r="F76" s="21"/>
      <c r="G76" s="21"/>
      <c r="H76" s="1084"/>
      <c r="I76" s="4"/>
      <c r="J76" s="178"/>
      <c r="K76" s="178"/>
      <c r="L76" s="1292"/>
      <c r="M76" s="522"/>
      <c r="N76" s="4"/>
      <c r="O76" s="154"/>
      <c r="P76"/>
      <c r="Q76"/>
      <c r="R76"/>
      <c r="S76"/>
      <c r="T76"/>
      <c r="U76"/>
      <c r="V76"/>
      <c r="W76"/>
      <c r="X76" s="1304"/>
    </row>
    <row r="77" spans="2:45" x14ac:dyDescent="0.3">
      <c r="B77" s="938" t="s">
        <v>993</v>
      </c>
      <c r="C77" s="938"/>
      <c r="D77" s="21" t="s">
        <v>271</v>
      </c>
      <c r="E77" s="21" t="s">
        <v>121</v>
      </c>
      <c r="F77" s="21"/>
      <c r="G77" s="21"/>
      <c r="H77" s="1084"/>
      <c r="I77" s="4"/>
      <c r="J77" s="178"/>
      <c r="K77" s="260" t="s">
        <v>121</v>
      </c>
      <c r="L77" s="178" t="s">
        <v>996</v>
      </c>
      <c r="M77" s="522"/>
      <c r="N77" s="4"/>
      <c r="O77" s="154"/>
      <c r="P77"/>
      <c r="Q77"/>
      <c r="R77"/>
      <c r="S77"/>
      <c r="T77"/>
      <c r="U77"/>
      <c r="V77"/>
      <c r="W77"/>
      <c r="X77" s="512"/>
      <c r="AR77" s="311" t="str">
        <f t="shared" ref="AR77:AR78" si="3">SUBSTITUTE(SUBSTITUTE(SUBSTITUTE("dnt"&amp;$B77&amp;$C77&amp;$D77&amp;$E77&amp;$F77,".","_"),"(","_"),")","")</f>
        <v>dnt701_4_3_2_1_a</v>
      </c>
      <c r="AS77" s="311">
        <f>X77</f>
        <v>0</v>
      </c>
    </row>
    <row r="78" spans="2:45" x14ac:dyDescent="0.3">
      <c r="B78" s="938" t="s">
        <v>993</v>
      </c>
      <c r="C78" s="938"/>
      <c r="D78" s="21" t="s">
        <v>271</v>
      </c>
      <c r="E78" s="21" t="s">
        <v>122</v>
      </c>
      <c r="F78" s="21"/>
      <c r="G78" s="21"/>
      <c r="H78" s="1084"/>
      <c r="I78" s="4"/>
      <c r="J78" s="178"/>
      <c r="K78" s="260" t="s">
        <v>122</v>
      </c>
      <c r="L78" s="1329" t="s">
        <v>997</v>
      </c>
      <c r="M78" s="522"/>
      <c r="N78" s="4"/>
      <c r="O78" s="154"/>
      <c r="P78"/>
      <c r="Q78"/>
      <c r="R78"/>
      <c r="S78"/>
      <c r="T78"/>
      <c r="U78"/>
      <c r="V78"/>
      <c r="W78"/>
      <c r="X78" s="1303"/>
      <c r="AR78" s="311" t="str">
        <f t="shared" si="3"/>
        <v>dnt701_4_3_2_1_b</v>
      </c>
      <c r="AS78" s="311">
        <f>X78</f>
        <v>0</v>
      </c>
    </row>
    <row r="79" spans="2:45" x14ac:dyDescent="0.3">
      <c r="B79" s="938" t="s">
        <v>993</v>
      </c>
      <c r="C79" s="938"/>
      <c r="D79" s="21" t="s">
        <v>271</v>
      </c>
      <c r="E79" s="21" t="s">
        <v>122</v>
      </c>
      <c r="F79" s="21"/>
      <c r="G79" s="21"/>
      <c r="H79" s="1084"/>
      <c r="I79" s="4"/>
      <c r="J79" s="178"/>
      <c r="K79" s="260"/>
      <c r="L79" s="1329"/>
      <c r="M79" s="522"/>
      <c r="N79" s="4"/>
      <c r="O79" s="154"/>
      <c r="P79"/>
      <c r="Q79"/>
      <c r="R79"/>
      <c r="S79"/>
      <c r="T79"/>
      <c r="U79"/>
      <c r="V79"/>
      <c r="W79"/>
      <c r="X79" s="1303"/>
    </row>
    <row r="80" spans="2:45" x14ac:dyDescent="0.3">
      <c r="B80" s="938" t="s">
        <v>993</v>
      </c>
      <c r="C80" s="938"/>
      <c r="D80" s="21" t="s">
        <v>271</v>
      </c>
      <c r="E80" s="26" t="s">
        <v>123</v>
      </c>
      <c r="F80" s="26"/>
      <c r="G80" s="26"/>
      <c r="H80" s="1085"/>
      <c r="I80" s="4"/>
      <c r="J80" s="178"/>
      <c r="K80" s="261" t="s">
        <v>123</v>
      </c>
      <c r="L80" s="178" t="s">
        <v>998</v>
      </c>
      <c r="M80" s="522"/>
      <c r="N80" s="4"/>
      <c r="O80" s="154"/>
      <c r="P80"/>
      <c r="Q80"/>
      <c r="R80"/>
      <c r="S80"/>
      <c r="T80"/>
      <c r="U80"/>
      <c r="V80"/>
      <c r="W80"/>
      <c r="X80" s="512"/>
      <c r="AR80" s="311" t="str">
        <f t="shared" ref="AR80:AR81" si="4">SUBSTITUTE(SUBSTITUTE(SUBSTITUTE("dnt"&amp;$B80&amp;$C80&amp;$D80&amp;$E80&amp;$F80,".","_"),"(","_"),")","")</f>
        <v>dnt701_4_3_2_1_c</v>
      </c>
      <c r="AS80" s="311">
        <f>X80</f>
        <v>0</v>
      </c>
    </row>
    <row r="81" spans="1:45" x14ac:dyDescent="0.3">
      <c r="B81" s="938" t="s">
        <v>993</v>
      </c>
      <c r="C81" s="938"/>
      <c r="D81" s="21" t="s">
        <v>271</v>
      </c>
      <c r="E81" s="21" t="s">
        <v>423</v>
      </c>
      <c r="F81" s="21"/>
      <c r="G81" s="21"/>
      <c r="H81" s="1084"/>
      <c r="I81" s="4"/>
      <c r="J81" s="178"/>
      <c r="K81" s="184" t="s">
        <v>423</v>
      </c>
      <c r="L81" s="1329" t="s">
        <v>999</v>
      </c>
      <c r="M81" s="522"/>
      <c r="N81" s="4"/>
      <c r="O81" s="154"/>
      <c r="P81"/>
      <c r="Q81"/>
      <c r="R81"/>
      <c r="S81"/>
      <c r="T81"/>
      <c r="U81"/>
      <c r="V81"/>
      <c r="W81"/>
      <c r="X81" s="1303"/>
      <c r="AR81" s="311" t="str">
        <f t="shared" si="4"/>
        <v>dnt701_4_3_2_1_d</v>
      </c>
      <c r="AS81" s="311">
        <f>X81</f>
        <v>0</v>
      </c>
    </row>
    <row r="82" spans="1:45" x14ac:dyDescent="0.3">
      <c r="B82" s="938" t="s">
        <v>993</v>
      </c>
      <c r="C82" s="938"/>
      <c r="D82" s="21" t="s">
        <v>271</v>
      </c>
      <c r="E82" s="21" t="s">
        <v>423</v>
      </c>
      <c r="F82" s="21"/>
      <c r="G82" s="21"/>
      <c r="H82" s="1084"/>
      <c r="I82" s="4"/>
      <c r="J82" s="178"/>
      <c r="K82" s="184"/>
      <c r="L82" s="1329"/>
      <c r="M82" s="522"/>
      <c r="N82" s="4"/>
      <c r="O82" s="154"/>
      <c r="P82"/>
      <c r="Q82"/>
      <c r="R82"/>
      <c r="S82"/>
      <c r="T82"/>
      <c r="U82"/>
      <c r="V82"/>
      <c r="W82"/>
      <c r="X82" s="1303"/>
    </row>
    <row r="83" spans="1:45" x14ac:dyDescent="0.3">
      <c r="B83" s="938" t="s">
        <v>993</v>
      </c>
      <c r="C83" s="938"/>
      <c r="D83" s="21" t="s">
        <v>271</v>
      </c>
      <c r="E83" s="21" t="s">
        <v>578</v>
      </c>
      <c r="F83" s="21"/>
      <c r="G83" s="21"/>
      <c r="H83" s="1084"/>
      <c r="I83" s="4"/>
      <c r="J83" s="178"/>
      <c r="K83" s="184" t="s">
        <v>578</v>
      </c>
      <c r="L83" s="178" t="s">
        <v>1000</v>
      </c>
      <c r="M83" s="522"/>
      <c r="N83" s="4"/>
      <c r="O83" s="154"/>
      <c r="P83"/>
      <c r="Q83"/>
      <c r="R83"/>
      <c r="S83"/>
      <c r="T83"/>
      <c r="U83"/>
      <c r="V83"/>
      <c r="W83"/>
      <c r="X83" s="512"/>
      <c r="AR83" s="311" t="str">
        <f t="shared" ref="AR83:AR86" si="5">SUBSTITUTE(SUBSTITUTE(SUBSTITUTE("dnt"&amp;$B83&amp;$C83&amp;$D83&amp;$E83&amp;$F83,".","_"),"(","_"),")","")</f>
        <v>dnt701_4_3_2_1_e</v>
      </c>
      <c r="AS83" s="311">
        <f>X83</f>
        <v>0</v>
      </c>
    </row>
    <row r="84" spans="1:45" x14ac:dyDescent="0.3">
      <c r="B84" s="938" t="s">
        <v>993</v>
      </c>
      <c r="C84" s="938"/>
      <c r="D84" s="21" t="s">
        <v>271</v>
      </c>
      <c r="E84" s="26" t="s">
        <v>645</v>
      </c>
      <c r="F84" s="26"/>
      <c r="G84" s="26"/>
      <c r="H84" s="1085"/>
      <c r="I84" s="4"/>
      <c r="J84" s="178"/>
      <c r="K84" s="261" t="s">
        <v>645</v>
      </c>
      <c r="L84" s="178" t="s">
        <v>1001</v>
      </c>
      <c r="M84" s="522"/>
      <c r="N84" s="4"/>
      <c r="O84" s="154"/>
      <c r="P84"/>
      <c r="Q84"/>
      <c r="R84"/>
      <c r="S84"/>
      <c r="T84"/>
      <c r="U84"/>
      <c r="V84"/>
      <c r="W84"/>
      <c r="X84" s="512"/>
      <c r="AR84" s="311" t="str">
        <f t="shared" si="5"/>
        <v>dnt701_4_3_2_1_f</v>
      </c>
      <c r="AS84" s="311">
        <f>X84</f>
        <v>0</v>
      </c>
    </row>
    <row r="85" spans="1:45" ht="15" customHeight="1" x14ac:dyDescent="0.3">
      <c r="B85" s="938" t="s">
        <v>993</v>
      </c>
      <c r="C85" s="938"/>
      <c r="D85" s="21" t="s">
        <v>271</v>
      </c>
      <c r="E85" s="21" t="s">
        <v>647</v>
      </c>
      <c r="F85" s="21"/>
      <c r="G85" s="21"/>
      <c r="H85" s="1084"/>
      <c r="I85" s="4"/>
      <c r="J85" s="178"/>
      <c r="K85" s="184" t="s">
        <v>647</v>
      </c>
      <c r="L85" s="178" t="s">
        <v>1002</v>
      </c>
      <c r="M85" s="522"/>
      <c r="N85" s="4"/>
      <c r="O85" s="154"/>
      <c r="P85"/>
      <c r="Q85"/>
      <c r="R85"/>
      <c r="S85"/>
      <c r="T85"/>
      <c r="U85"/>
      <c r="V85"/>
      <c r="W85"/>
      <c r="X85" s="512"/>
      <c r="AR85" s="311" t="str">
        <f t="shared" si="5"/>
        <v>dnt701_4_3_2_1_g</v>
      </c>
      <c r="AS85" s="311">
        <f>X85</f>
        <v>0</v>
      </c>
    </row>
    <row r="86" spans="1:45" x14ac:dyDescent="0.3">
      <c r="B86" s="938" t="s">
        <v>993</v>
      </c>
      <c r="C86" s="938"/>
      <c r="D86" s="21" t="s">
        <v>271</v>
      </c>
      <c r="E86" s="21" t="s">
        <v>649</v>
      </c>
      <c r="F86" s="21"/>
      <c r="G86" s="21"/>
      <c r="H86" s="1084"/>
      <c r="I86" s="4"/>
      <c r="J86" s="544"/>
      <c r="K86" s="647"/>
      <c r="L86" s="1394" t="s">
        <v>4075</v>
      </c>
      <c r="M86" s="522"/>
      <c r="N86" s="4"/>
      <c r="O86" s="154"/>
      <c r="P86"/>
      <c r="Q86"/>
      <c r="R86"/>
      <c r="S86"/>
      <c r="T86"/>
      <c r="U86"/>
      <c r="V86"/>
      <c r="W86"/>
      <c r="X86" s="1303"/>
      <c r="AR86" s="311" t="str">
        <f t="shared" si="5"/>
        <v>dnt701_4_3_2_1_h</v>
      </c>
      <c r="AS86" s="311">
        <f>X86</f>
        <v>0</v>
      </c>
    </row>
    <row r="87" spans="1:45" x14ac:dyDescent="0.3">
      <c r="B87" s="938" t="s">
        <v>993</v>
      </c>
      <c r="C87" s="938"/>
      <c r="D87" s="21" t="s">
        <v>271</v>
      </c>
      <c r="E87" s="21"/>
      <c r="F87" s="21"/>
      <c r="G87" s="21"/>
      <c r="H87" s="1084"/>
      <c r="I87" s="4"/>
      <c r="J87" s="545"/>
      <c r="K87" s="648"/>
      <c r="L87" s="1396"/>
      <c r="M87" s="522"/>
      <c r="N87" s="4"/>
      <c r="O87" s="154"/>
      <c r="P87"/>
      <c r="Q87"/>
      <c r="R87"/>
      <c r="S87"/>
      <c r="T87"/>
      <c r="U87"/>
      <c r="V87"/>
      <c r="W87"/>
      <c r="X87" s="1303"/>
    </row>
    <row r="88" spans="1:45" x14ac:dyDescent="0.3">
      <c r="B88" s="938" t="s">
        <v>993</v>
      </c>
      <c r="C88" s="938"/>
      <c r="D88" s="21" t="s">
        <v>273</v>
      </c>
      <c r="E88" s="21"/>
      <c r="F88" s="21"/>
      <c r="G88" s="21"/>
      <c r="H88" s="1084"/>
      <c r="I88" s="140"/>
      <c r="J88" s="614" t="s">
        <v>273</v>
      </c>
      <c r="K88" s="544"/>
      <c r="L88" s="1313" t="s">
        <v>1003</v>
      </c>
      <c r="M88" s="548"/>
      <c r="N88" s="140"/>
      <c r="O88" s="598"/>
      <c r="P88" s="97" t="b">
        <v>1</v>
      </c>
      <c r="Q88" s="97" t="b">
        <v>1</v>
      </c>
      <c r="R88" s="97" t="b">
        <f ca="1">S88</f>
        <v>0</v>
      </c>
      <c r="S88" s="97" t="b">
        <f ca="1">AND(NOT(S13=4),NOT(W54))</f>
        <v>0</v>
      </c>
      <c r="T88" s="97" t="b">
        <f ca="1">AND(NOT(S88),W88=TRUE)</f>
        <v>0</v>
      </c>
      <c r="U88" s="97"/>
      <c r="V88" s="97"/>
      <c r="W88" s="452"/>
      <c r="X88" s="1295"/>
      <c r="AC88" s="417" t="b">
        <f ca="1">OR(AD88:AE88)</f>
        <v>0</v>
      </c>
      <c r="AD88" s="417" t="b">
        <f ca="1">T88</f>
        <v>0</v>
      </c>
      <c r="AE88" s="417" t="b">
        <f ca="1">AND(R88,NOT(W88))</f>
        <v>0</v>
      </c>
      <c r="AP88" s="311" t="str">
        <f>SUBSTITUTE(SUBSTITUTE(SUBSTITUTE("dch"&amp;$B88&amp;$C88&amp;$D88&amp;$E88&amp;$F88,".","_"),"(","_"),")","")</f>
        <v>dch701_4_3_2_2</v>
      </c>
      <c r="AQ88" s="311">
        <f>W88</f>
        <v>0</v>
      </c>
      <c r="AR88" s="311" t="str">
        <f>SUBSTITUTE(SUBSTITUTE(SUBSTITUTE("dnt"&amp;$B88&amp;$C88&amp;$D88&amp;$E88&amp;$F88,".","_"),"(","_"),")","")</f>
        <v>dnt701_4_3_2_2</v>
      </c>
      <c r="AS88" s="311">
        <f>X88</f>
        <v>0</v>
      </c>
    </row>
    <row r="89" spans="1:45" x14ac:dyDescent="0.3">
      <c r="B89" s="938" t="s">
        <v>993</v>
      </c>
      <c r="C89" s="938"/>
      <c r="D89" s="21" t="s">
        <v>273</v>
      </c>
      <c r="E89" s="21"/>
      <c r="F89" s="21"/>
      <c r="G89" s="21"/>
      <c r="H89" s="1084"/>
      <c r="I89" s="140"/>
      <c r="J89" s="544"/>
      <c r="K89" s="544"/>
      <c r="L89" s="1313"/>
      <c r="M89" s="548"/>
      <c r="N89" s="140"/>
      <c r="O89" s="598"/>
      <c r="P89" s="97"/>
      <c r="Q89" s="97"/>
      <c r="R89" s="97"/>
      <c r="S89" s="97"/>
      <c r="T89" s="97"/>
      <c r="U89" s="97"/>
      <c r="V89" s="97"/>
      <c r="W89" s="97"/>
      <c r="X89" s="1295"/>
    </row>
    <row r="90" spans="1:45" s="358" customFormat="1" x14ac:dyDescent="0.3">
      <c r="A90" s="18"/>
      <c r="B90" s="938" t="s">
        <v>993</v>
      </c>
      <c r="C90" s="938"/>
      <c r="D90" s="21" t="s">
        <v>273</v>
      </c>
      <c r="E90" s="21"/>
      <c r="F90" s="21"/>
      <c r="G90" s="21"/>
      <c r="H90" s="1084"/>
      <c r="I90" s="238"/>
      <c r="J90" s="545"/>
      <c r="K90" s="545"/>
      <c r="L90" s="623" t="s">
        <v>3636</v>
      </c>
      <c r="M90" s="549"/>
      <c r="N90" s="238"/>
      <c r="O90" s="599"/>
      <c r="P90" s="196"/>
      <c r="Q90" s="196"/>
      <c r="R90" s="196"/>
      <c r="S90" s="196"/>
      <c r="T90" s="196"/>
      <c r="U90" s="196"/>
      <c r="V90" s="196"/>
      <c r="W90" s="196"/>
      <c r="X90" s="1295"/>
      <c r="Y90" s="1107"/>
      <c r="AA90" s="1110"/>
    </row>
    <row r="91" spans="1:45" x14ac:dyDescent="0.3">
      <c r="B91" s="938" t="s">
        <v>1004</v>
      </c>
      <c r="C91" s="938"/>
      <c r="D91" s="21"/>
      <c r="E91" s="21"/>
      <c r="F91" s="21"/>
      <c r="G91" s="21"/>
      <c r="H91" s="1084"/>
      <c r="I91" s="68" t="s">
        <v>1004</v>
      </c>
      <c r="J91" s="178"/>
      <c r="K91" s="178"/>
      <c r="L91" s="184" t="s">
        <v>1005</v>
      </c>
      <c r="M91" s="1091" t="str">
        <f ca="1">IF(R91,"Mandatory","N/A")</f>
        <v>N/A</v>
      </c>
      <c r="N91" s="4"/>
      <c r="O91" s="154"/>
      <c r="P91" s="97" t="b">
        <v>1</v>
      </c>
      <c r="Q91" s="97" t="b">
        <v>0</v>
      </c>
      <c r="R91" s="150" t="b">
        <f ca="1">S91</f>
        <v>0</v>
      </c>
      <c r="S91" s="417" t="b">
        <f ca="1">AND(NOT(S13=4),NOT(W54))</f>
        <v>0</v>
      </c>
      <c r="T91" s="97" t="b">
        <f ca="1">AND(NOT(S91),W91=TRUE)</f>
        <v>0</v>
      </c>
      <c r="U91"/>
      <c r="V91"/>
      <c r="W91" s="127"/>
      <c r="X91"/>
      <c r="AC91" s="417" t="b">
        <f ca="1">OR(AD91:AE91)</f>
        <v>0</v>
      </c>
      <c r="AD91" s="417" t="b">
        <f ca="1">T91</f>
        <v>0</v>
      </c>
      <c r="AE91" s="417" t="b">
        <f ca="1">AND(R91,NOT(W91))</f>
        <v>0</v>
      </c>
      <c r="AL91" s="311" t="str">
        <f>SUBSTITUTE(SUBSTITUTE(SUBSTITUTE("dpa"&amp;$B91&amp;$C91&amp;$D91&amp;$E91&amp;$F91,".","_"),"(","_"),")","")</f>
        <v>dpa701_4_3_2_1</v>
      </c>
      <c r="AM91" s="311" t="str">
        <f ca="1">M91</f>
        <v>N/A</v>
      </c>
      <c r="AP91" s="311" t="str">
        <f>SUBSTITUTE(SUBSTITUTE(SUBSTITUTE("dch"&amp;$B91&amp;$C91&amp;$D91&amp;$E91&amp;$F91,".","_"),"(","_"),")","")</f>
        <v>dch701_4_3_2_1</v>
      </c>
      <c r="AQ91" s="311">
        <f>W91</f>
        <v>0</v>
      </c>
    </row>
    <row r="92" spans="1:45" x14ac:dyDescent="0.3">
      <c r="B92" s="938" t="s">
        <v>1004</v>
      </c>
      <c r="C92" s="938"/>
      <c r="D92" s="21" t="s">
        <v>271</v>
      </c>
      <c r="E92" s="21"/>
      <c r="F92" s="21"/>
      <c r="G92" s="21"/>
      <c r="H92" s="1084"/>
      <c r="I92" s="4"/>
      <c r="J92" s="626" t="s">
        <v>271</v>
      </c>
      <c r="K92" s="545"/>
      <c r="L92" s="545" t="s">
        <v>1006</v>
      </c>
      <c r="M92" s="522"/>
      <c r="N92" s="4"/>
      <c r="O92" s="154"/>
      <c r="P92"/>
      <c r="Q92"/>
      <c r="R92"/>
      <c r="S92"/>
      <c r="T92"/>
      <c r="U92"/>
      <c r="V92"/>
      <c r="W92"/>
      <c r="X92" s="512"/>
      <c r="AR92" s="311" t="str">
        <f t="shared" ref="AR92:AR93" si="6">SUBSTITUTE(SUBSTITUTE(SUBSTITUTE("dnt"&amp;$B92&amp;$C92&amp;$D92&amp;$E92&amp;$F92,".","_"),"(","_"),")","")</f>
        <v>dnt701_4_3_2_1_1</v>
      </c>
      <c r="AS92" s="311">
        <f>X92</f>
        <v>0</v>
      </c>
    </row>
    <row r="93" spans="1:45" x14ac:dyDescent="0.3">
      <c r="B93" s="938" t="s">
        <v>1004</v>
      </c>
      <c r="C93" s="938"/>
      <c r="D93" s="21" t="s">
        <v>273</v>
      </c>
      <c r="E93" s="21"/>
      <c r="F93" s="21"/>
      <c r="G93" s="21"/>
      <c r="H93" s="1084"/>
      <c r="I93" s="4"/>
      <c r="J93" s="649" t="s">
        <v>273</v>
      </c>
      <c r="K93" s="557"/>
      <c r="L93" s="1356" t="s">
        <v>1007</v>
      </c>
      <c r="M93" s="522"/>
      <c r="N93" s="4"/>
      <c r="O93" s="154"/>
      <c r="P93"/>
      <c r="Q93"/>
      <c r="R93"/>
      <c r="S93"/>
      <c r="T93"/>
      <c r="U93"/>
      <c r="V93"/>
      <c r="W93"/>
      <c r="X93" s="1303"/>
      <c r="AR93" s="311" t="str">
        <f t="shared" si="6"/>
        <v>dnt701_4_3_2_1_2</v>
      </c>
      <c r="AS93" s="311">
        <f>X93</f>
        <v>0</v>
      </c>
    </row>
    <row r="94" spans="1:45" x14ac:dyDescent="0.3">
      <c r="B94" s="938" t="s">
        <v>1004</v>
      </c>
      <c r="C94" s="938"/>
      <c r="D94" s="21" t="s">
        <v>273</v>
      </c>
      <c r="E94" s="21"/>
      <c r="F94" s="21"/>
      <c r="G94" s="21"/>
      <c r="H94" s="1084"/>
      <c r="I94" s="4"/>
      <c r="J94" s="626"/>
      <c r="K94" s="545"/>
      <c r="L94" s="1306"/>
      <c r="M94" s="522"/>
      <c r="N94" s="4"/>
      <c r="O94" s="154"/>
      <c r="P94"/>
      <c r="Q94"/>
      <c r="R94"/>
      <c r="S94"/>
      <c r="T94"/>
      <c r="U94"/>
      <c r="V94"/>
      <c r="W94"/>
      <c r="X94" s="1303"/>
    </row>
    <row r="95" spans="1:45" x14ac:dyDescent="0.3">
      <c r="B95" s="938" t="s">
        <v>1004</v>
      </c>
      <c r="C95" s="938"/>
      <c r="D95" s="21" t="s">
        <v>275</v>
      </c>
      <c r="E95" s="21"/>
      <c r="F95" s="21"/>
      <c r="G95" s="21"/>
      <c r="H95" s="1084"/>
      <c r="I95" s="4"/>
      <c r="J95" s="650" t="s">
        <v>275</v>
      </c>
      <c r="K95" s="365"/>
      <c r="L95" s="365" t="s">
        <v>1008</v>
      </c>
      <c r="M95" s="522"/>
      <c r="N95" s="4"/>
      <c r="O95" s="154"/>
      <c r="P95"/>
      <c r="Q95"/>
      <c r="R95"/>
      <c r="S95"/>
      <c r="T95"/>
      <c r="U95"/>
      <c r="V95"/>
      <c r="W95"/>
      <c r="X95" s="512"/>
      <c r="AR95" s="311" t="str">
        <f t="shared" ref="AR95:AR96" si="7">SUBSTITUTE(SUBSTITUTE(SUBSTITUTE("dnt"&amp;$B95&amp;$C95&amp;$D95&amp;$E95&amp;$F95,".","_"),"(","_"),")","")</f>
        <v>dnt701_4_3_2_1_3</v>
      </c>
      <c r="AS95" s="311">
        <f>X95</f>
        <v>0</v>
      </c>
    </row>
    <row r="96" spans="1:45" x14ac:dyDescent="0.3">
      <c r="B96" s="938" t="s">
        <v>1004</v>
      </c>
      <c r="C96" s="938"/>
      <c r="D96" s="21" t="s">
        <v>285</v>
      </c>
      <c r="E96" s="21"/>
      <c r="F96" s="21"/>
      <c r="G96" s="21"/>
      <c r="H96" s="1084"/>
      <c r="I96" s="4"/>
      <c r="J96" s="260" t="s">
        <v>285</v>
      </c>
      <c r="K96" s="178"/>
      <c r="L96" s="1329" t="s">
        <v>1009</v>
      </c>
      <c r="M96" s="522"/>
      <c r="N96" s="4"/>
      <c r="O96" s="154"/>
      <c r="P96"/>
      <c r="Q96"/>
      <c r="R96"/>
      <c r="S96"/>
      <c r="T96"/>
      <c r="U96"/>
      <c r="V96"/>
      <c r="W96"/>
      <c r="X96" s="1303"/>
      <c r="AR96" s="311" t="str">
        <f t="shared" si="7"/>
        <v>dnt701_4_3_2_1_4</v>
      </c>
      <c r="AS96" s="311">
        <f>X96</f>
        <v>0</v>
      </c>
    </row>
    <row r="97" spans="2:45" x14ac:dyDescent="0.3">
      <c r="B97" s="938" t="s">
        <v>1004</v>
      </c>
      <c r="C97" s="938"/>
      <c r="D97" s="21" t="s">
        <v>285</v>
      </c>
      <c r="E97" s="21"/>
      <c r="F97" s="21"/>
      <c r="G97" s="21"/>
      <c r="H97" s="1084"/>
      <c r="I97" s="4"/>
      <c r="J97" s="260"/>
      <c r="K97" s="178"/>
      <c r="L97" s="1329"/>
      <c r="M97" s="522"/>
      <c r="N97" s="4"/>
      <c r="O97" s="154"/>
      <c r="P97"/>
      <c r="Q97"/>
      <c r="R97"/>
      <c r="S97"/>
      <c r="T97"/>
      <c r="U97"/>
      <c r="V97"/>
      <c r="W97"/>
      <c r="X97" s="1303"/>
    </row>
    <row r="98" spans="2:45" x14ac:dyDescent="0.3">
      <c r="B98" s="938" t="s">
        <v>1004</v>
      </c>
      <c r="C98" s="938"/>
      <c r="D98" s="21" t="s">
        <v>285</v>
      </c>
      <c r="E98" s="21"/>
      <c r="F98" s="21"/>
      <c r="G98" s="21"/>
      <c r="H98" s="1084"/>
      <c r="I98" s="4"/>
      <c r="J98" s="260"/>
      <c r="K98" s="178"/>
      <c r="L98" s="1329"/>
      <c r="M98" s="522"/>
      <c r="N98" s="4"/>
      <c r="O98" s="154"/>
      <c r="P98"/>
      <c r="Q98"/>
      <c r="R98"/>
      <c r="S98"/>
      <c r="T98"/>
      <c r="U98"/>
      <c r="V98"/>
      <c r="W98"/>
      <c r="X98" s="1303"/>
    </row>
    <row r="99" spans="2:45" x14ac:dyDescent="0.3">
      <c r="B99" s="938" t="s">
        <v>1004</v>
      </c>
      <c r="C99" s="938"/>
      <c r="D99" s="21" t="s">
        <v>285</v>
      </c>
      <c r="E99" s="21"/>
      <c r="F99" s="21"/>
      <c r="G99" s="21"/>
      <c r="H99" s="1084"/>
      <c r="I99" s="4"/>
      <c r="J99" s="260"/>
      <c r="K99" s="178"/>
      <c r="L99" s="1329"/>
      <c r="M99" s="522"/>
      <c r="N99" s="4"/>
      <c r="O99" s="154"/>
      <c r="P99"/>
      <c r="Q99"/>
      <c r="R99"/>
      <c r="S99"/>
      <c r="T99"/>
      <c r="U99"/>
      <c r="V99"/>
      <c r="W99"/>
      <c r="X99" s="1303"/>
    </row>
    <row r="100" spans="2:45" x14ac:dyDescent="0.3">
      <c r="B100" s="938" t="s">
        <v>1004</v>
      </c>
      <c r="C100" s="938"/>
      <c r="D100" s="21" t="s">
        <v>291</v>
      </c>
      <c r="E100" s="21"/>
      <c r="F100" s="21"/>
      <c r="G100" s="21"/>
      <c r="H100" s="1084"/>
      <c r="I100" s="4"/>
      <c r="J100" s="614" t="s">
        <v>291</v>
      </c>
      <c r="K100" s="544"/>
      <c r="L100" s="1305" t="s">
        <v>1010</v>
      </c>
      <c r="M100" s="522"/>
      <c r="N100" s="4"/>
      <c r="O100" s="154"/>
      <c r="P100"/>
      <c r="Q100"/>
      <c r="R100"/>
      <c r="S100"/>
      <c r="T100"/>
      <c r="U100"/>
      <c r="V100"/>
      <c r="W100"/>
      <c r="X100" s="1303"/>
      <c r="AR100" s="311" t="str">
        <f>SUBSTITUTE(SUBSTITUTE(SUBSTITUTE("dnt"&amp;$B100&amp;$C100&amp;$D100&amp;$E100&amp;$F100,".","_"),"(","_"),")","")</f>
        <v>dnt701_4_3_2_1_5</v>
      </c>
      <c r="AS100" s="311">
        <f>X100</f>
        <v>0</v>
      </c>
    </row>
    <row r="101" spans="2:45" x14ac:dyDescent="0.3">
      <c r="B101" s="938" t="s">
        <v>1004</v>
      </c>
      <c r="C101" s="938"/>
      <c r="D101" s="21" t="s">
        <v>291</v>
      </c>
      <c r="E101" s="21"/>
      <c r="F101" s="21"/>
      <c r="G101" s="21"/>
      <c r="H101" s="1084"/>
      <c r="I101" s="4"/>
      <c r="J101" s="626"/>
      <c r="K101" s="545"/>
      <c r="L101" s="1306"/>
      <c r="M101" s="522"/>
      <c r="N101" s="4"/>
      <c r="O101" s="154"/>
      <c r="P101"/>
      <c r="Q101"/>
      <c r="R101"/>
      <c r="S101"/>
      <c r="T101"/>
      <c r="U101"/>
      <c r="V101"/>
      <c r="W101"/>
      <c r="X101" s="1303"/>
    </row>
    <row r="102" spans="2:45" x14ac:dyDescent="0.3">
      <c r="B102" s="938" t="s">
        <v>1004</v>
      </c>
      <c r="C102" s="938"/>
      <c r="D102" s="21" t="s">
        <v>293</v>
      </c>
      <c r="E102" s="21"/>
      <c r="F102" s="21"/>
      <c r="G102" s="21"/>
      <c r="H102" s="1084"/>
      <c r="I102" s="4"/>
      <c r="J102" s="649" t="s">
        <v>293</v>
      </c>
      <c r="K102" s="557"/>
      <c r="L102" s="1356" t="s">
        <v>1011</v>
      </c>
      <c r="M102" s="522"/>
      <c r="N102" s="4"/>
      <c r="O102" s="154"/>
      <c r="P102"/>
      <c r="Q102"/>
      <c r="R102"/>
      <c r="S102"/>
      <c r="T102"/>
      <c r="U102"/>
      <c r="V102"/>
      <c r="W102"/>
      <c r="X102" s="1303"/>
      <c r="AR102" s="311" t="str">
        <f>SUBSTITUTE(SUBSTITUTE(SUBSTITUTE("dnt"&amp;$B102&amp;$C102&amp;$D102&amp;$E102&amp;$F102,".","_"),"(","_"),")","")</f>
        <v>dnt701_4_3_2_1_6</v>
      </c>
      <c r="AS102" s="311">
        <f>X102</f>
        <v>0</v>
      </c>
    </row>
    <row r="103" spans="2:45" x14ac:dyDescent="0.3">
      <c r="B103" s="938" t="s">
        <v>1004</v>
      </c>
      <c r="C103" s="938"/>
      <c r="D103" s="21" t="s">
        <v>293</v>
      </c>
      <c r="E103" s="21"/>
      <c r="F103" s="21"/>
      <c r="G103" s="21"/>
      <c r="H103" s="1084"/>
      <c r="I103" s="4"/>
      <c r="J103" s="614"/>
      <c r="K103" s="544"/>
      <c r="L103" s="1305"/>
      <c r="M103" s="522"/>
      <c r="N103" s="4"/>
      <c r="O103" s="154"/>
      <c r="P103"/>
      <c r="Q103"/>
      <c r="R103"/>
      <c r="S103"/>
      <c r="T103"/>
      <c r="U103"/>
      <c r="V103"/>
      <c r="W103"/>
      <c r="X103" s="1303"/>
    </row>
    <row r="104" spans="2:45" x14ac:dyDescent="0.3">
      <c r="B104" s="938" t="s">
        <v>1004</v>
      </c>
      <c r="C104" s="938"/>
      <c r="D104" s="21" t="s">
        <v>293</v>
      </c>
      <c r="E104" s="21"/>
      <c r="F104" s="21"/>
      <c r="G104" s="21"/>
      <c r="H104" s="1084"/>
      <c r="I104" s="4"/>
      <c r="J104" s="626"/>
      <c r="K104" s="545"/>
      <c r="L104" s="1306"/>
      <c r="M104" s="522"/>
      <c r="N104" s="4"/>
      <c r="O104" s="154"/>
      <c r="P104"/>
      <c r="Q104"/>
      <c r="R104"/>
      <c r="S104"/>
      <c r="T104"/>
      <c r="U104"/>
      <c r="V104"/>
      <c r="W104"/>
      <c r="X104" s="1303"/>
    </row>
    <row r="105" spans="2:45" x14ac:dyDescent="0.3">
      <c r="B105" s="938" t="s">
        <v>1004</v>
      </c>
      <c r="C105" s="938"/>
      <c r="D105" s="21" t="s">
        <v>405</v>
      </c>
      <c r="E105" s="21"/>
      <c r="F105" s="21"/>
      <c r="G105" s="21"/>
      <c r="H105" s="1084"/>
      <c r="I105" s="4"/>
      <c r="J105" s="649" t="s">
        <v>405</v>
      </c>
      <c r="K105" s="557"/>
      <c r="L105" s="1356" t="s">
        <v>1012</v>
      </c>
      <c r="M105" s="522"/>
      <c r="N105" s="4"/>
      <c r="O105" s="154"/>
      <c r="P105"/>
      <c r="Q105"/>
      <c r="R105"/>
      <c r="S105"/>
      <c r="T105"/>
      <c r="U105"/>
      <c r="V105"/>
      <c r="W105"/>
      <c r="X105" s="1303"/>
      <c r="AR105" s="311" t="str">
        <f>SUBSTITUTE(SUBSTITUTE(SUBSTITUTE("dnt"&amp;$B105&amp;$C105&amp;$D105&amp;$E105&amp;$F105,".","_"),"(","_"),")","")</f>
        <v>dnt701_4_3_2_1_7</v>
      </c>
      <c r="AS105" s="311">
        <f>X105</f>
        <v>0</v>
      </c>
    </row>
    <row r="106" spans="2:45" ht="15" customHeight="1" x14ac:dyDescent="0.3">
      <c r="B106" s="938" t="s">
        <v>1004</v>
      </c>
      <c r="C106" s="938"/>
      <c r="D106" s="21" t="s">
        <v>405</v>
      </c>
      <c r="E106" s="21"/>
      <c r="F106" s="21"/>
      <c r="G106" s="21"/>
      <c r="H106" s="1084"/>
      <c r="I106" s="4"/>
      <c r="J106" s="626"/>
      <c r="K106" s="545"/>
      <c r="L106" s="1306"/>
      <c r="M106" s="522"/>
      <c r="N106" s="4"/>
      <c r="O106" s="154"/>
      <c r="P106"/>
      <c r="Q106"/>
      <c r="R106"/>
      <c r="S106"/>
      <c r="T106"/>
      <c r="U106"/>
      <c r="V106"/>
      <c r="W106"/>
      <c r="X106" s="1303"/>
    </row>
    <row r="107" spans="2:45" ht="15" customHeight="1" x14ac:dyDescent="0.3">
      <c r="B107" s="938" t="s">
        <v>1004</v>
      </c>
      <c r="C107" s="938"/>
      <c r="D107" s="21" t="s">
        <v>456</v>
      </c>
      <c r="E107" s="21"/>
      <c r="F107" s="21"/>
      <c r="G107" s="21"/>
      <c r="H107" s="1084"/>
      <c r="I107" s="4"/>
      <c r="J107" s="650" t="s">
        <v>456</v>
      </c>
      <c r="K107" s="365"/>
      <c r="L107" s="365" t="s">
        <v>1013</v>
      </c>
      <c r="M107" s="522"/>
      <c r="N107" s="4"/>
      <c r="O107" s="154"/>
      <c r="P107"/>
      <c r="Q107"/>
      <c r="R107"/>
      <c r="S107"/>
      <c r="T107"/>
      <c r="U107"/>
      <c r="V107"/>
      <c r="W107"/>
      <c r="X107" s="512"/>
      <c r="AR107" s="311" t="str">
        <f t="shared" ref="AR107:AR109" si="8">SUBSTITUTE(SUBSTITUTE(SUBSTITUTE("dnt"&amp;$B107&amp;$C107&amp;$D107&amp;$E107&amp;$F107,".","_"),"(","_"),")","")</f>
        <v>dnt701_4_3_2_1_8</v>
      </c>
      <c r="AS107" s="311">
        <f>X107</f>
        <v>0</v>
      </c>
    </row>
    <row r="108" spans="2:45" ht="15" customHeight="1" x14ac:dyDescent="0.3">
      <c r="B108" s="938" t="s">
        <v>1004</v>
      </c>
      <c r="C108" s="938"/>
      <c r="D108" s="21" t="s">
        <v>458</v>
      </c>
      <c r="E108" s="21"/>
      <c r="F108" s="21"/>
      <c r="G108" s="21"/>
      <c r="H108" s="1084"/>
      <c r="I108" s="4"/>
      <c r="J108" s="650" t="s">
        <v>458</v>
      </c>
      <c r="K108" s="365"/>
      <c r="L108" s="365" t="s">
        <v>1014</v>
      </c>
      <c r="M108" s="522"/>
      <c r="N108" s="4"/>
      <c r="O108" s="154"/>
      <c r="P108"/>
      <c r="Q108"/>
      <c r="R108"/>
      <c r="S108"/>
      <c r="T108"/>
      <c r="U108"/>
      <c r="V108"/>
      <c r="W108"/>
      <c r="X108" s="512"/>
      <c r="AR108" s="311" t="str">
        <f t="shared" si="8"/>
        <v>dnt701_4_3_2_1_9</v>
      </c>
      <c r="AS108" s="311">
        <f>X108</f>
        <v>0</v>
      </c>
    </row>
    <row r="109" spans="2:45" ht="15" customHeight="1" x14ac:dyDescent="0.3">
      <c r="B109" s="938" t="s">
        <v>1004</v>
      </c>
      <c r="C109" s="938"/>
      <c r="D109" s="21" t="s">
        <v>460</v>
      </c>
      <c r="E109" s="21"/>
      <c r="F109" s="21"/>
      <c r="G109" s="21"/>
      <c r="H109" s="1084"/>
      <c r="I109" s="4"/>
      <c r="J109" s="649" t="s">
        <v>460</v>
      </c>
      <c r="K109" s="557"/>
      <c r="L109" s="1356" t="s">
        <v>1015</v>
      </c>
      <c r="M109" s="522"/>
      <c r="N109" s="4"/>
      <c r="O109" s="154"/>
      <c r="P109"/>
      <c r="Q109"/>
      <c r="R109"/>
      <c r="S109"/>
      <c r="T109"/>
      <c r="U109"/>
      <c r="V109"/>
      <c r="W109"/>
      <c r="X109" s="1303"/>
      <c r="AR109" s="311" t="str">
        <f t="shared" si="8"/>
        <v>dnt701_4_3_2_1_10</v>
      </c>
      <c r="AS109" s="311">
        <f>X109</f>
        <v>0</v>
      </c>
    </row>
    <row r="110" spans="2:45" x14ac:dyDescent="0.3">
      <c r="B110" s="938" t="s">
        <v>1004</v>
      </c>
      <c r="C110" s="938"/>
      <c r="D110" s="21" t="s">
        <v>460</v>
      </c>
      <c r="E110" s="21"/>
      <c r="F110" s="21"/>
      <c r="G110" s="21"/>
      <c r="H110" s="1084"/>
      <c r="I110" s="4"/>
      <c r="J110" s="614"/>
      <c r="K110" s="544"/>
      <c r="L110" s="1305"/>
      <c r="M110" s="522"/>
      <c r="N110" s="4"/>
      <c r="O110" s="154"/>
      <c r="P110"/>
      <c r="Q110"/>
      <c r="R110"/>
      <c r="S110"/>
      <c r="T110"/>
      <c r="U110"/>
      <c r="V110"/>
      <c r="W110"/>
      <c r="X110" s="1303"/>
    </row>
    <row r="111" spans="2:45" ht="15" customHeight="1" x14ac:dyDescent="0.3">
      <c r="B111" s="938" t="s">
        <v>1004</v>
      </c>
      <c r="C111" s="938"/>
      <c r="D111" s="21" t="s">
        <v>460</v>
      </c>
      <c r="E111" s="21"/>
      <c r="F111" s="21"/>
      <c r="G111" s="21"/>
      <c r="H111" s="1084"/>
      <c r="I111" s="4"/>
      <c r="J111" s="626"/>
      <c r="K111" s="545"/>
      <c r="L111" s="1306"/>
      <c r="M111" s="522"/>
      <c r="N111" s="4"/>
      <c r="O111" s="154"/>
      <c r="P111"/>
      <c r="Q111"/>
      <c r="R111"/>
      <c r="S111"/>
      <c r="T111"/>
      <c r="U111"/>
      <c r="V111"/>
      <c r="W111"/>
      <c r="X111" s="1303"/>
    </row>
    <row r="112" spans="2:45" ht="15" customHeight="1" x14ac:dyDescent="0.3">
      <c r="B112" s="938" t="s">
        <v>1004</v>
      </c>
      <c r="C112" s="938"/>
      <c r="D112" s="21" t="s">
        <v>462</v>
      </c>
      <c r="E112" s="21"/>
      <c r="F112" s="21"/>
      <c r="G112" s="21"/>
      <c r="H112" s="1084"/>
      <c r="I112" s="140"/>
      <c r="J112" s="614" t="s">
        <v>462</v>
      </c>
      <c r="K112" s="544"/>
      <c r="L112" s="1305" t="s">
        <v>1016</v>
      </c>
      <c r="M112" s="548"/>
      <c r="N112" s="140"/>
      <c r="O112" s="598"/>
      <c r="P112" s="97"/>
      <c r="Q112" s="97"/>
      <c r="R112" s="97"/>
      <c r="S112" s="97"/>
      <c r="T112" s="97"/>
      <c r="U112" s="97"/>
      <c r="V112" s="97"/>
      <c r="W112" s="97"/>
      <c r="X112" s="1295"/>
      <c r="AR112" s="311" t="str">
        <f>SUBSTITUTE(SUBSTITUTE(SUBSTITUTE("dnt"&amp;$B112&amp;$C112&amp;$D112&amp;$E112&amp;$F112,".","_"),"(","_"),")","")</f>
        <v>dnt701_4_3_2_1_11</v>
      </c>
      <c r="AS112" s="311">
        <f>X112</f>
        <v>0</v>
      </c>
    </row>
    <row r="113" spans="1:45" s="358" customFormat="1" x14ac:dyDescent="0.3">
      <c r="A113" s="18"/>
      <c r="B113" s="938" t="s">
        <v>1004</v>
      </c>
      <c r="C113" s="938"/>
      <c r="D113" s="21" t="s">
        <v>462</v>
      </c>
      <c r="E113" s="21"/>
      <c r="F113" s="21"/>
      <c r="G113" s="21"/>
      <c r="H113" s="1084"/>
      <c r="I113" s="140"/>
      <c r="J113" s="614"/>
      <c r="K113" s="544"/>
      <c r="L113" s="1305"/>
      <c r="M113" s="548"/>
      <c r="N113" s="140"/>
      <c r="O113" s="598"/>
      <c r="P113" s="97"/>
      <c r="Q113" s="97"/>
      <c r="R113" s="97"/>
      <c r="S113" s="97"/>
      <c r="T113" s="97"/>
      <c r="U113" s="97"/>
      <c r="V113" s="97"/>
      <c r="W113" s="97"/>
      <c r="X113" s="1295"/>
      <c r="Y113" s="1107"/>
      <c r="AA113" s="1110"/>
    </row>
    <row r="114" spans="1:45" x14ac:dyDescent="0.3">
      <c r="B114" s="938" t="s">
        <v>1004</v>
      </c>
      <c r="C114" s="938"/>
      <c r="D114" s="21" t="s">
        <v>462</v>
      </c>
      <c r="E114" s="21"/>
      <c r="F114" s="21"/>
      <c r="G114" s="21"/>
      <c r="H114" s="1084"/>
      <c r="I114" s="238"/>
      <c r="J114" s="626"/>
      <c r="K114" s="545"/>
      <c r="L114" s="1306"/>
      <c r="M114" s="549"/>
      <c r="N114" s="238"/>
      <c r="O114" s="599"/>
      <c r="P114" s="196"/>
      <c r="Q114" s="196"/>
      <c r="R114" s="196"/>
      <c r="S114" s="196"/>
      <c r="T114" s="196"/>
      <c r="U114" s="196"/>
      <c r="V114" s="196"/>
      <c r="W114" s="196"/>
      <c r="X114" s="1295"/>
    </row>
    <row r="115" spans="1:45" x14ac:dyDescent="0.3">
      <c r="B115" s="938" t="s">
        <v>1017</v>
      </c>
      <c r="C115" s="938"/>
      <c r="D115" s="21"/>
      <c r="E115" s="21"/>
      <c r="F115" s="21"/>
      <c r="G115" s="21"/>
      <c r="H115" s="1084"/>
      <c r="I115" s="215" t="s">
        <v>1018</v>
      </c>
      <c r="J115" s="557"/>
      <c r="K115" s="557"/>
      <c r="L115" s="1364" t="s">
        <v>1019</v>
      </c>
      <c r="M115" s="550"/>
      <c r="N115" s="216"/>
      <c r="O115" s="601"/>
      <c r="P115" s="218"/>
      <c r="Q115" s="218"/>
      <c r="R115" s="218"/>
      <c r="S115" s="218"/>
      <c r="T115" s="218"/>
      <c r="U115" s="218"/>
      <c r="V115" s="218"/>
      <c r="W115" s="218" t="s">
        <v>3758</v>
      </c>
      <c r="X115" s="1295"/>
      <c r="AR115" s="311" t="str">
        <f>SUBSTITUTE(SUBSTITUTE(SUBSTITUTE("dnt"&amp;$B115&amp;$C115&amp;$D115&amp;$E115&amp;$F115,".","_"),"(","_"),")","")</f>
        <v>dnt701_4_3_3_3</v>
      </c>
      <c r="AS115" s="311">
        <f>X115</f>
        <v>0</v>
      </c>
    </row>
    <row r="116" spans="1:45" x14ac:dyDescent="0.3">
      <c r="B116" s="938" t="s">
        <v>1017</v>
      </c>
      <c r="C116" s="938"/>
      <c r="D116" s="21"/>
      <c r="E116" s="21"/>
      <c r="F116" s="21"/>
      <c r="G116" s="21"/>
      <c r="H116" s="1084"/>
      <c r="I116" s="141"/>
      <c r="J116" s="544"/>
      <c r="K116" s="544"/>
      <c r="L116" s="1313"/>
      <c r="M116" s="548"/>
      <c r="N116" s="140"/>
      <c r="O116" s="598"/>
      <c r="P116" s="97"/>
      <c r="Q116" s="97"/>
      <c r="R116" s="97"/>
      <c r="S116" s="97"/>
      <c r="T116" s="97"/>
      <c r="U116" s="97"/>
      <c r="V116" s="97"/>
      <c r="W116" s="97"/>
      <c r="X116" s="1295"/>
    </row>
    <row r="117" spans="1:45" x14ac:dyDescent="0.3">
      <c r="B117" s="938" t="s">
        <v>1017</v>
      </c>
      <c r="C117" s="938"/>
      <c r="D117" s="21"/>
      <c r="E117" s="21"/>
      <c r="F117" s="21"/>
      <c r="G117" s="21"/>
      <c r="H117" s="1084"/>
      <c r="I117" s="244"/>
      <c r="J117" s="545"/>
      <c r="K117" s="545"/>
      <c r="L117" s="1350"/>
      <c r="M117" s="549"/>
      <c r="N117" s="238"/>
      <c r="O117" s="599"/>
      <c r="P117" s="196"/>
      <c r="Q117" s="196"/>
      <c r="R117" s="196"/>
      <c r="S117" s="196"/>
      <c r="T117" s="196"/>
      <c r="U117" s="196"/>
      <c r="V117" s="196"/>
      <c r="W117" s="196"/>
      <c r="X117" s="1295"/>
    </row>
    <row r="118" spans="1:45" x14ac:dyDescent="0.3">
      <c r="B118" s="938" t="s">
        <v>1020</v>
      </c>
      <c r="C118" s="938"/>
      <c r="D118" s="21"/>
      <c r="E118" s="21"/>
      <c r="F118" s="21"/>
      <c r="G118" s="21"/>
      <c r="H118" s="1084"/>
      <c r="I118" s="215" t="s">
        <v>1021</v>
      </c>
      <c r="J118" s="557"/>
      <c r="K118" s="557"/>
      <c r="L118" s="1364" t="s">
        <v>1022</v>
      </c>
      <c r="M118" s="1388" t="str">
        <f ca="1">IF(R118,"Mandatory","N/A")</f>
        <v>N/A</v>
      </c>
      <c r="N118" s="216"/>
      <c r="O118" s="601"/>
      <c r="P118" s="97" t="b">
        <v>1</v>
      </c>
      <c r="Q118" s="97" t="b">
        <v>1</v>
      </c>
      <c r="R118" s="218" t="b">
        <f ca="1">S118</f>
        <v>0</v>
      </c>
      <c r="S118" s="218" t="b">
        <f ca="1">NOT(S13=4)</f>
        <v>0</v>
      </c>
      <c r="T118" s="218" t="b">
        <f ca="1">AND(NOT(S118),W118=TRUE)</f>
        <v>0</v>
      </c>
      <c r="U118" s="218"/>
      <c r="V118" s="218"/>
      <c r="W118" s="452"/>
      <c r="X118" s="1295"/>
      <c r="AC118" s="358" t="b">
        <f ca="1">OR(AD118:AE118)</f>
        <v>0</v>
      </c>
      <c r="AD118" s="358" t="b">
        <f ca="1">T118</f>
        <v>0</v>
      </c>
      <c r="AE118" s="358" t="b">
        <f ca="1">AND(R118,NOT(W118))</f>
        <v>0</v>
      </c>
      <c r="AL118" s="311" t="str">
        <f>SUBSTITUTE(SUBSTITUTE(SUBSTITUTE("dpa"&amp;$B118&amp;$C118&amp;$D118&amp;$E118&amp;$F118,".","_"),"(","_"),")","")</f>
        <v>dpa701_4_3_3_4</v>
      </c>
      <c r="AM118" s="311" t="str">
        <f ca="1">M118</f>
        <v>N/A</v>
      </c>
      <c r="AP118" s="311" t="str">
        <f>SUBSTITUTE(SUBSTITUTE(SUBSTITUTE("dch"&amp;$B118&amp;$C118&amp;$D118&amp;$E118&amp;$F118,".","_"),"(","_"),")","")</f>
        <v>dch701_4_3_3_4</v>
      </c>
      <c r="AQ118" s="311">
        <f>W118</f>
        <v>0</v>
      </c>
      <c r="AR118" s="311" t="str">
        <f>SUBSTITUTE(SUBSTITUTE(SUBSTITUTE("dnt"&amp;$B118&amp;$C118&amp;$D118&amp;$E118&amp;$F118,".","_"),"(","_"),")","")</f>
        <v>dnt701_4_3_3_4</v>
      </c>
      <c r="AS118" s="311">
        <f>X118</f>
        <v>0</v>
      </c>
    </row>
    <row r="119" spans="1:45" x14ac:dyDescent="0.3">
      <c r="B119" s="938" t="s">
        <v>1020</v>
      </c>
      <c r="C119" s="938"/>
      <c r="D119" s="21"/>
      <c r="E119" s="21"/>
      <c r="F119" s="21"/>
      <c r="G119" s="21"/>
      <c r="H119" s="1084"/>
      <c r="I119" s="140"/>
      <c r="J119" s="544"/>
      <c r="K119" s="544"/>
      <c r="L119" s="1313"/>
      <c r="M119" s="1351"/>
      <c r="N119" s="140"/>
      <c r="O119" s="598"/>
      <c r="P119" s="97"/>
      <c r="Q119" s="97"/>
      <c r="R119" s="97"/>
      <c r="S119" s="97"/>
      <c r="T119" s="97"/>
      <c r="U119" s="97"/>
      <c r="V119" s="97"/>
      <c r="W119" s="97"/>
      <c r="X119" s="1295"/>
    </row>
    <row r="120" spans="1:45" x14ac:dyDescent="0.3">
      <c r="B120" s="938" t="s">
        <v>1020</v>
      </c>
      <c r="C120" s="938"/>
      <c r="D120" s="21"/>
      <c r="E120" s="21"/>
      <c r="F120" s="21"/>
      <c r="G120" s="21"/>
      <c r="H120" s="1084"/>
      <c r="I120" s="140"/>
      <c r="J120" s="544"/>
      <c r="K120" s="544"/>
      <c r="L120" s="1313"/>
      <c r="M120" s="1351"/>
      <c r="N120" s="140"/>
      <c r="O120" s="598"/>
      <c r="P120" s="97"/>
      <c r="Q120" s="97"/>
      <c r="R120" s="97"/>
      <c r="S120" s="97"/>
      <c r="T120" s="97"/>
      <c r="U120" s="97"/>
      <c r="V120" s="97"/>
      <c r="W120" s="97"/>
      <c r="X120" s="1295"/>
    </row>
    <row r="121" spans="1:45" x14ac:dyDescent="0.3">
      <c r="B121" s="938" t="s">
        <v>1020</v>
      </c>
      <c r="C121" s="938"/>
      <c r="D121" s="21"/>
      <c r="E121" s="21"/>
      <c r="F121" s="21"/>
      <c r="G121" s="21"/>
      <c r="H121" s="1084"/>
      <c r="I121" s="140"/>
      <c r="J121" s="544"/>
      <c r="K121" s="544"/>
      <c r="L121" s="1313"/>
      <c r="M121" s="1351"/>
      <c r="N121" s="140"/>
      <c r="O121" s="598"/>
      <c r="P121" s="97"/>
      <c r="Q121" s="97"/>
      <c r="R121" s="97"/>
      <c r="S121" s="97"/>
      <c r="T121" s="97"/>
      <c r="U121" s="97"/>
      <c r="V121" s="97"/>
      <c r="W121" s="97"/>
      <c r="X121" s="1295"/>
    </row>
    <row r="122" spans="1:45" x14ac:dyDescent="0.3">
      <c r="B122" s="938" t="s">
        <v>1020</v>
      </c>
      <c r="C122" s="938"/>
      <c r="D122" s="21"/>
      <c r="E122" s="21"/>
      <c r="F122" s="21"/>
      <c r="G122" s="21"/>
      <c r="H122" s="1084"/>
      <c r="I122" s="140"/>
      <c r="J122" s="544"/>
      <c r="K122" s="544"/>
      <c r="L122" s="1313"/>
      <c r="M122" s="1351"/>
      <c r="N122" s="140"/>
      <c r="O122" s="598"/>
      <c r="P122" s="97"/>
      <c r="Q122" s="97"/>
      <c r="R122" s="97"/>
      <c r="S122" s="97"/>
      <c r="T122" s="97"/>
      <c r="U122" s="97"/>
      <c r="V122" s="97"/>
      <c r="W122" s="97"/>
      <c r="X122" s="1295"/>
    </row>
    <row r="123" spans="1:45" s="358" customFormat="1" x14ac:dyDescent="0.3">
      <c r="A123" s="18"/>
      <c r="B123" s="938" t="s">
        <v>1020</v>
      </c>
      <c r="C123" s="938"/>
      <c r="D123" s="21"/>
      <c r="E123" s="21"/>
      <c r="F123" s="21"/>
      <c r="G123" s="21"/>
      <c r="H123" s="1084"/>
      <c r="I123" s="238"/>
      <c r="J123" s="545"/>
      <c r="K123" s="545"/>
      <c r="L123" s="1350"/>
      <c r="M123" s="1352"/>
      <c r="N123" s="238"/>
      <c r="O123" s="599"/>
      <c r="P123" s="196"/>
      <c r="Q123" s="196"/>
      <c r="R123" s="196"/>
      <c r="S123" s="196"/>
      <c r="T123" s="196"/>
      <c r="U123" s="196"/>
      <c r="V123" s="196"/>
      <c r="W123" s="196"/>
      <c r="X123" s="1295"/>
      <c r="Y123" s="1107"/>
      <c r="AA123" s="1110"/>
    </row>
    <row r="124" spans="1:45" x14ac:dyDescent="0.3">
      <c r="B124" s="938" t="s">
        <v>1023</v>
      </c>
      <c r="C124" s="938"/>
      <c r="D124" s="21"/>
      <c r="E124" s="21"/>
      <c r="F124" s="21"/>
      <c r="G124" s="21"/>
      <c r="H124" s="1084"/>
      <c r="I124" s="215" t="s">
        <v>1024</v>
      </c>
      <c r="J124" s="557"/>
      <c r="K124" s="557"/>
      <c r="L124" s="1364" t="s">
        <v>1025</v>
      </c>
      <c r="M124" s="1388" t="str">
        <f ca="1">IF(R124,"Mandatory","N/A")</f>
        <v>N/A</v>
      </c>
      <c r="N124" s="216"/>
      <c r="O124" s="601"/>
      <c r="P124" s="97" t="b">
        <v>1</v>
      </c>
      <c r="Q124" s="97" t="b">
        <v>1</v>
      </c>
      <c r="R124" s="218" t="b">
        <f ca="1">S124</f>
        <v>0</v>
      </c>
      <c r="S124" s="218" t="b">
        <f ca="1">NOT(S13=4)</f>
        <v>0</v>
      </c>
      <c r="T124" s="218" t="b">
        <f ca="1">AND(NOT(S124),LEN(W124)&gt;0)</f>
        <v>0</v>
      </c>
      <c r="U124" s="218" t="str">
        <f>SUBSTITUTE(SUBSTITUTE(SUBSTITUTE("dd"&amp;B124&amp;C124&amp;D124&amp;E124&amp;F124,".","_"),"(","_"),")","")</f>
        <v>dd701_4_3_3_5</v>
      </c>
      <c r="V124" s="218"/>
      <c r="W124" s="114"/>
      <c r="X124" s="1295"/>
      <c r="AC124" s="417" t="b">
        <f ca="1">OR(AD124:AE124)</f>
        <v>0</v>
      </c>
      <c r="AD124" s="417" t="b">
        <f ca="1">T124</f>
        <v>0</v>
      </c>
      <c r="AE124" s="417" t="b">
        <f ca="1">AND(R124,OR(W124="Not Met",W124=""))</f>
        <v>0</v>
      </c>
      <c r="AL124" s="311" t="str">
        <f>SUBSTITUTE(SUBSTITUTE(SUBSTITUTE("dpa"&amp;$B124&amp;$C124&amp;$D124&amp;$E124&amp;$F124,".","_"),"(","_"),")","")</f>
        <v>dpa701_4_3_3_5</v>
      </c>
      <c r="AM124" s="311" t="str">
        <f ca="1">M124</f>
        <v>N/A</v>
      </c>
      <c r="AP124" s="311" t="str">
        <f>SUBSTITUTE(SUBSTITUTE(SUBSTITUTE("dch"&amp;$B124&amp;$C124&amp;$D124&amp;$E124&amp;$F124,".","_"),"(","_"),")","")</f>
        <v>dch701_4_3_3_5</v>
      </c>
      <c r="AQ124" s="311">
        <f>W124</f>
        <v>0</v>
      </c>
      <c r="AR124" s="311" t="str">
        <f>SUBSTITUTE(SUBSTITUTE(SUBSTITUTE("dnt"&amp;$B124&amp;$C124&amp;$D124&amp;$E124&amp;$F124,".","_"),"(","_"),")","")</f>
        <v>dnt701_4_3_3_5</v>
      </c>
      <c r="AS124" s="311">
        <f>X124</f>
        <v>0</v>
      </c>
    </row>
    <row r="125" spans="1:45" x14ac:dyDescent="0.3">
      <c r="B125" s="938" t="s">
        <v>1023</v>
      </c>
      <c r="C125" s="938"/>
      <c r="D125" s="21"/>
      <c r="E125" s="21"/>
      <c r="F125" s="21"/>
      <c r="G125" s="21"/>
      <c r="H125" s="1084"/>
      <c r="I125" s="140"/>
      <c r="J125" s="544"/>
      <c r="K125" s="544"/>
      <c r="L125" s="1313"/>
      <c r="M125" s="1351"/>
      <c r="N125" s="140"/>
      <c r="O125" s="598"/>
      <c r="P125" s="97"/>
      <c r="Q125" s="97"/>
      <c r="R125" s="97"/>
      <c r="S125" s="97"/>
      <c r="T125" s="97"/>
      <c r="U125" s="97"/>
      <c r="V125" s="97"/>
      <c r="W125" s="97"/>
      <c r="X125" s="1295"/>
    </row>
    <row r="126" spans="1:45" x14ac:dyDescent="0.3">
      <c r="B126" s="938" t="s">
        <v>1023</v>
      </c>
      <c r="C126" s="938"/>
      <c r="D126" s="21"/>
      <c r="E126" s="21"/>
      <c r="F126" s="21"/>
      <c r="G126" s="21"/>
      <c r="H126" s="1084"/>
      <c r="I126" s="140"/>
      <c r="J126" s="544"/>
      <c r="K126" s="544"/>
      <c r="L126" s="1313"/>
      <c r="M126" s="1351"/>
      <c r="N126" s="140"/>
      <c r="O126" s="598"/>
      <c r="P126" s="97"/>
      <c r="Q126" s="97"/>
      <c r="R126" s="97"/>
      <c r="S126" s="97"/>
      <c r="T126" s="97"/>
      <c r="U126" s="97"/>
      <c r="V126" s="97"/>
      <c r="W126" s="97"/>
      <c r="X126" s="1295"/>
    </row>
    <row r="127" spans="1:45" x14ac:dyDescent="0.3">
      <c r="B127" s="938" t="s">
        <v>1023</v>
      </c>
      <c r="C127" s="938"/>
      <c r="D127" s="21"/>
      <c r="E127" s="21"/>
      <c r="F127" s="21"/>
      <c r="G127" s="21"/>
      <c r="H127" s="1084"/>
      <c r="I127" s="140"/>
      <c r="J127" s="544"/>
      <c r="K127" s="544"/>
      <c r="L127" s="1313"/>
      <c r="M127" s="1351"/>
      <c r="N127" s="140"/>
      <c r="O127" s="598"/>
      <c r="P127" s="97"/>
      <c r="Q127" s="97"/>
      <c r="R127" s="97"/>
      <c r="S127" s="97"/>
      <c r="T127" s="97"/>
      <c r="U127" s="97"/>
      <c r="V127" s="97"/>
      <c r="W127" s="97"/>
      <c r="X127" s="1295"/>
    </row>
    <row r="128" spans="1:45" x14ac:dyDescent="0.3">
      <c r="B128" s="938" t="s">
        <v>1023</v>
      </c>
      <c r="C128" s="938"/>
      <c r="D128" s="21"/>
      <c r="E128" s="21"/>
      <c r="F128" s="21"/>
      <c r="G128" s="21"/>
      <c r="H128" s="1084"/>
      <c r="I128" s="140"/>
      <c r="J128" s="544"/>
      <c r="K128" s="544"/>
      <c r="L128" s="1313"/>
      <c r="M128" s="1351"/>
      <c r="N128" s="140"/>
      <c r="O128" s="598"/>
      <c r="P128" s="97"/>
      <c r="Q128" s="97"/>
      <c r="R128" s="97"/>
      <c r="S128" s="97"/>
      <c r="T128" s="97"/>
      <c r="U128" s="97"/>
      <c r="V128" s="97"/>
      <c r="W128" s="97"/>
      <c r="X128" s="1295"/>
    </row>
    <row r="129" spans="2:45" x14ac:dyDescent="0.3">
      <c r="B129" s="938" t="s">
        <v>1023</v>
      </c>
      <c r="C129" s="938"/>
      <c r="D129" s="21"/>
      <c r="E129" s="21"/>
      <c r="F129" s="21"/>
      <c r="G129" s="21"/>
      <c r="H129" s="1084"/>
      <c r="I129" s="238"/>
      <c r="J129" s="545"/>
      <c r="K129" s="545"/>
      <c r="L129" s="1350"/>
      <c r="M129" s="1352"/>
      <c r="N129" s="238"/>
      <c r="O129" s="599"/>
      <c r="P129" s="196"/>
      <c r="Q129" s="196"/>
      <c r="R129" s="196"/>
      <c r="S129" s="196"/>
      <c r="T129" s="196"/>
      <c r="U129" s="196"/>
      <c r="V129" s="196"/>
      <c r="W129" s="196"/>
      <c r="X129" s="1295"/>
    </row>
    <row r="130" spans="2:45" x14ac:dyDescent="0.3">
      <c r="B130" s="938" t="s">
        <v>1026</v>
      </c>
      <c r="C130" s="93"/>
      <c r="D130" s="21"/>
      <c r="E130" s="21"/>
      <c r="F130" s="21"/>
      <c r="G130" s="21"/>
      <c r="H130" s="1084"/>
      <c r="I130" s="66" t="s">
        <v>1026</v>
      </c>
      <c r="J130" s="178"/>
      <c r="K130" s="178"/>
      <c r="L130" s="1292" t="s">
        <v>1027</v>
      </c>
      <c r="M130" s="1351" t="str">
        <f ca="1">IF(S132,"Mandatory","N/A")</f>
        <v>N/A</v>
      </c>
      <c r="N130" s="4"/>
      <c r="O130" s="154"/>
      <c r="P130"/>
      <c r="Q130"/>
      <c r="U130"/>
      <c r="V130"/>
      <c r="W130"/>
      <c r="X130"/>
      <c r="AL130" s="311" t="str">
        <f>SUBSTITUTE(SUBSTITUTE(SUBSTITUTE("dpa"&amp;$B130&amp;$C130&amp;$D130&amp;$E130&amp;$F130,".","_"),"(","_"),")","")</f>
        <v>dpa701_4_4</v>
      </c>
      <c r="AM130" s="311" t="str">
        <f ca="1">M130</f>
        <v>N/A</v>
      </c>
    </row>
    <row r="131" spans="2:45" x14ac:dyDescent="0.3">
      <c r="B131" s="938" t="s">
        <v>1026</v>
      </c>
      <c r="C131" s="93"/>
      <c r="D131" s="21"/>
      <c r="E131" s="21"/>
      <c r="F131" s="21"/>
      <c r="G131" s="21"/>
      <c r="H131" s="1084"/>
      <c r="I131" s="4"/>
      <c r="J131" s="178"/>
      <c r="K131" s="178"/>
      <c r="L131" s="1292"/>
      <c r="M131" s="1351"/>
      <c r="N131" s="4"/>
      <c r="O131" s="154"/>
      <c r="P131"/>
      <c r="Q131"/>
      <c r="R131"/>
      <c r="S131"/>
      <c r="T131"/>
      <c r="U131"/>
      <c r="V131"/>
      <c r="W131"/>
      <c r="X131"/>
    </row>
    <row r="132" spans="2:45" x14ac:dyDescent="0.3">
      <c r="B132" s="938" t="s">
        <v>1026</v>
      </c>
      <c r="C132" s="93"/>
      <c r="D132" s="27" t="s">
        <v>271</v>
      </c>
      <c r="E132" s="21"/>
      <c r="F132" s="21"/>
      <c r="G132" s="21"/>
      <c r="H132" s="1084"/>
      <c r="I132" s="4"/>
      <c r="J132" s="614" t="s">
        <v>271</v>
      </c>
      <c r="K132" s="544"/>
      <c r="L132" s="1305" t="s">
        <v>1028</v>
      </c>
      <c r="M132" s="522"/>
      <c r="N132" s="4"/>
      <c r="O132" s="154"/>
      <c r="P132" s="97" t="b">
        <v>1</v>
      </c>
      <c r="Q132" s="97" t="b">
        <v>1</v>
      </c>
      <c r="R132" s="150" t="b">
        <f ca="1">AND(S132,NOT(W134))</f>
        <v>0</v>
      </c>
      <c r="S132" s="150" t="b">
        <f ca="1">NOT(S13=4)</f>
        <v>0</v>
      </c>
      <c r="T132" s="97" t="b">
        <f ca="1">AND(NOT(S132),W132=TRUE)</f>
        <v>0</v>
      </c>
      <c r="U132"/>
      <c r="V132"/>
      <c r="W132" s="25"/>
      <c r="X132" s="1303"/>
      <c r="AC132" s="358" t="b">
        <f ca="1">OR(AD132:AE132)</f>
        <v>0</v>
      </c>
      <c r="AD132" s="358" t="b">
        <f ca="1">T132</f>
        <v>0</v>
      </c>
      <c r="AE132" s="358" t="b">
        <f ca="1">AND(R132,NOT(W132))</f>
        <v>0</v>
      </c>
      <c r="AP132" s="311" t="str">
        <f>SUBSTITUTE(SUBSTITUTE(SUBSTITUTE("dch"&amp;$B132&amp;$C132&amp;$D132&amp;$E132&amp;$F132,".","_"),"(","_"),")","")</f>
        <v>dch701_4_4_1</v>
      </c>
      <c r="AQ132" s="311">
        <f>W132</f>
        <v>0</v>
      </c>
      <c r="AR132" s="311" t="str">
        <f>SUBSTITUTE(SUBSTITUTE(SUBSTITUTE("dnt"&amp;$B132&amp;$C132&amp;$D132&amp;$E132&amp;$F132,".","_"),"(","_"),")","")</f>
        <v>dnt701_4_4_1</v>
      </c>
      <c r="AS132" s="311">
        <f>X132</f>
        <v>0</v>
      </c>
    </row>
    <row r="133" spans="2:45" x14ac:dyDescent="0.3">
      <c r="B133" s="938" t="s">
        <v>1026</v>
      </c>
      <c r="C133" s="93"/>
      <c r="D133" s="27" t="s">
        <v>271</v>
      </c>
      <c r="E133" s="21"/>
      <c r="F133" s="21"/>
      <c r="G133" s="21"/>
      <c r="H133" s="1084"/>
      <c r="I133" s="4"/>
      <c r="J133" s="626"/>
      <c r="K133" s="545"/>
      <c r="L133" s="1306"/>
      <c r="M133" s="522"/>
      <c r="N133" s="4"/>
      <c r="O133" s="154"/>
      <c r="P133"/>
      <c r="Q133"/>
      <c r="R133"/>
      <c r="S133"/>
      <c r="T133"/>
      <c r="U133"/>
      <c r="V133"/>
      <c r="W133"/>
      <c r="X133" s="1303"/>
    </row>
    <row r="134" spans="2:45" x14ac:dyDescent="0.3">
      <c r="B134" s="938" t="s">
        <v>1026</v>
      </c>
      <c r="C134" s="93"/>
      <c r="D134" s="27" t="s">
        <v>273</v>
      </c>
      <c r="E134" s="21"/>
      <c r="F134" s="21"/>
      <c r="G134" s="21"/>
      <c r="H134" s="1084"/>
      <c r="I134" s="238"/>
      <c r="J134" s="626" t="s">
        <v>273</v>
      </c>
      <c r="K134" s="545"/>
      <c r="L134" s="545" t="s">
        <v>1029</v>
      </c>
      <c r="M134" s="549"/>
      <c r="N134" s="238"/>
      <c r="O134" s="599"/>
      <c r="P134" s="97" t="b">
        <v>1</v>
      </c>
      <c r="Q134" s="97" t="b">
        <v>1</v>
      </c>
      <c r="R134" s="196" t="b">
        <f ca="1">AND(S134,NOT(W132))</f>
        <v>0</v>
      </c>
      <c r="S134" s="196" t="b">
        <f ca="1">NOT(S13=4)</f>
        <v>0</v>
      </c>
      <c r="T134" s="196" t="b">
        <f ca="1">AND(NOT(S134),W134=TRUE)</f>
        <v>0</v>
      </c>
      <c r="U134" s="196"/>
      <c r="V134" s="196"/>
      <c r="W134" s="452"/>
      <c r="X134" s="537"/>
      <c r="AC134" s="358" t="b">
        <f ca="1">OR(AD134:AE134)</f>
        <v>0</v>
      </c>
      <c r="AD134" s="358" t="b">
        <f ca="1">T134</f>
        <v>0</v>
      </c>
      <c r="AE134" s="358" t="b">
        <f ca="1">AND(R134,NOT(W134))</f>
        <v>0</v>
      </c>
      <c r="AP134" s="311" t="str">
        <f>SUBSTITUTE(SUBSTITUTE(SUBSTITUTE("dch"&amp;$B134&amp;$C134&amp;$D134&amp;$E134&amp;$F134,".","_"),"(","_"),")","")</f>
        <v>dch701_4_4_2</v>
      </c>
      <c r="AQ134" s="311">
        <f>W134</f>
        <v>0</v>
      </c>
      <c r="AR134" s="311" t="str">
        <f>SUBSTITUTE(SUBSTITUTE(SUBSTITUTE("dnt"&amp;$B134&amp;$C134&amp;$D134&amp;$E134&amp;$F134,".","_"),"(","_"),")","")</f>
        <v>dnt701_4_4_2</v>
      </c>
      <c r="AS134" s="311">
        <f>X134</f>
        <v>0</v>
      </c>
    </row>
    <row r="135" spans="2:45" x14ac:dyDescent="0.3">
      <c r="B135" s="938" t="s">
        <v>1030</v>
      </c>
      <c r="C135" s="93"/>
      <c r="D135" s="21"/>
      <c r="E135" s="21"/>
      <c r="F135" s="21"/>
      <c r="G135" s="21"/>
      <c r="H135" s="1084"/>
      <c r="I135" s="66" t="s">
        <v>1030</v>
      </c>
      <c r="J135" s="178"/>
      <c r="K135" s="178"/>
      <c r="L135" s="184" t="s">
        <v>1031</v>
      </c>
      <c r="M135" s="1091" t="str">
        <f ca="1">IF(R135,"Mandatory","N/A")</f>
        <v>N/A</v>
      </c>
      <c r="N135" s="4"/>
      <c r="O135" s="154"/>
      <c r="P135" s="97" t="b">
        <v>1</v>
      </c>
      <c r="Q135" s="97" t="b">
        <v>0</v>
      </c>
      <c r="R135" s="150" t="b">
        <f ca="1">S135</f>
        <v>0</v>
      </c>
      <c r="S135" s="150" t="b">
        <f ca="1">AND(NOT(S13=4),OR(AY32=INDEX(INDIRECT('Overview (Design)'!$E$29),2),AY33=INDEX(INDIRECT('Overview (Design)'!$E$29),2),AY34=INDEX(INDIRECT('Overview (Design)'!$E$29),2)))</f>
        <v>0</v>
      </c>
      <c r="T135" s="97" t="b">
        <f ca="1">AND(NOT(S135),W135=TRUE)</f>
        <v>0</v>
      </c>
      <c r="U135"/>
      <c r="V135"/>
      <c r="W135" s="127"/>
      <c r="X135" s="541"/>
      <c r="AL135" s="311" t="str">
        <f>SUBSTITUTE(SUBSTITUTE(SUBSTITUTE("dpa"&amp;$B135&amp;$C135&amp;$D135&amp;$E135&amp;$F135,".","_"),"(","_"),")","")</f>
        <v>dpa701_4_5</v>
      </c>
      <c r="AM135" s="311" t="str">
        <f ca="1">M135</f>
        <v>N/A</v>
      </c>
      <c r="AP135" s="311" t="str">
        <f>SUBSTITUTE(SUBSTITUTE(SUBSTITUTE("dch"&amp;$B135&amp;$C135&amp;$D135&amp;$E135&amp;$F135,".","_"),"(","_"),")","")</f>
        <v>dch701_4_5</v>
      </c>
      <c r="AQ135" s="311">
        <f>W135</f>
        <v>0</v>
      </c>
      <c r="AR135" s="311" t="str">
        <f>SUBSTITUTE(SUBSTITUTE(SUBSTITUTE("dnt"&amp;$B135&amp;$C135&amp;$D135&amp;$E135&amp;$F135,".","_"),"(","_"),")","")</f>
        <v>dnt701_4_5</v>
      </c>
      <c r="AS135" s="311">
        <f>X135</f>
        <v>0</v>
      </c>
    </row>
    <row r="136" spans="2:45" ht="15" customHeight="1" x14ac:dyDescent="0.35">
      <c r="B136" s="938">
        <v>702</v>
      </c>
      <c r="C136" s="93"/>
      <c r="D136" s="21"/>
      <c r="E136" s="21"/>
      <c r="F136" s="21"/>
      <c r="G136" s="21"/>
      <c r="H136" s="1084"/>
      <c r="I136" s="14" t="s">
        <v>1032</v>
      </c>
      <c r="J136" s="87"/>
      <c r="K136" s="87"/>
      <c r="L136" s="87"/>
      <c r="M136" s="484"/>
      <c r="N136" s="604"/>
      <c r="O136" s="594"/>
      <c r="P136" s="23"/>
      <c r="Q136" s="23"/>
      <c r="R136" s="23"/>
      <c r="S136" s="23"/>
      <c r="T136" s="23"/>
      <c r="U136" s="23"/>
      <c r="V136" s="23"/>
      <c r="W136" s="23"/>
      <c r="X136" s="23"/>
    </row>
    <row r="137" spans="2:45" ht="15" customHeight="1" x14ac:dyDescent="0.3">
      <c r="B137" s="938">
        <v>702.1</v>
      </c>
      <c r="C137" s="93"/>
      <c r="D137" s="21"/>
      <c r="E137" s="21"/>
      <c r="F137" s="21"/>
      <c r="G137" s="21"/>
      <c r="H137" s="1084"/>
      <c r="I137" s="141">
        <v>702.1</v>
      </c>
      <c r="J137" s="544"/>
      <c r="K137" s="544"/>
      <c r="L137" s="1313" t="s">
        <v>1033</v>
      </c>
      <c r="M137" s="551"/>
      <c r="N137" s="140"/>
      <c r="O137" s="598"/>
      <c r="P137" s="97"/>
      <c r="Q137" s="97"/>
      <c r="R137" s="97"/>
      <c r="S137" s="97"/>
      <c r="T137" s="97"/>
      <c r="U137" s="97"/>
      <c r="V137" s="97"/>
      <c r="W137" s="97"/>
      <c r="X137" s="97"/>
      <c r="AC137" s="358"/>
      <c r="AD137" s="358"/>
      <c r="AE137" s="358"/>
    </row>
    <row r="138" spans="2:45" ht="15" thickBot="1" x14ac:dyDescent="0.35">
      <c r="B138" s="938">
        <v>702.1</v>
      </c>
      <c r="C138" s="93"/>
      <c r="D138" s="21"/>
      <c r="E138" s="21"/>
      <c r="F138" s="21"/>
      <c r="G138" s="21"/>
      <c r="H138" s="1084"/>
      <c r="I138" s="270"/>
      <c r="J138" s="558"/>
      <c r="K138" s="558"/>
      <c r="L138" s="1332"/>
      <c r="M138" s="618"/>
      <c r="N138" s="270"/>
      <c r="O138" s="600"/>
      <c r="P138" s="104"/>
      <c r="Q138" s="104"/>
      <c r="R138" s="104"/>
      <c r="S138" s="104"/>
      <c r="T138" s="104"/>
      <c r="U138" s="104"/>
      <c r="V138" s="104"/>
      <c r="W138" s="104"/>
      <c r="X138" s="104"/>
    </row>
    <row r="139" spans="2:45" ht="15" thickTop="1" x14ac:dyDescent="0.3">
      <c r="B139" s="938">
        <v>702.2</v>
      </c>
      <c r="C139" s="93"/>
      <c r="D139" s="21"/>
      <c r="E139" s="21"/>
      <c r="F139" s="21"/>
      <c r="G139" s="21"/>
      <c r="H139" s="1084"/>
      <c r="I139" s="200">
        <v>702.2</v>
      </c>
      <c r="J139" s="616"/>
      <c r="K139" s="616"/>
      <c r="L139" s="562" t="s">
        <v>1034</v>
      </c>
      <c r="M139" s="547"/>
      <c r="N139" s="201"/>
      <c r="O139" s="602"/>
      <c r="P139" s="110"/>
      <c r="Q139" s="110"/>
      <c r="R139" s="110"/>
      <c r="S139" s="110"/>
      <c r="T139" s="110"/>
      <c r="U139" s="110"/>
      <c r="V139" s="110"/>
      <c r="W139" s="110"/>
      <c r="X139" s="110"/>
    </row>
    <row r="140" spans="2:45" ht="15" customHeight="1" x14ac:dyDescent="0.3">
      <c r="B140" s="938" t="s">
        <v>1035</v>
      </c>
      <c r="C140" s="93"/>
      <c r="D140" s="21"/>
      <c r="E140" s="21"/>
      <c r="F140" s="21"/>
      <c r="G140" s="21"/>
      <c r="H140" s="1084"/>
      <c r="I140" s="606" t="s">
        <v>1035</v>
      </c>
      <c r="J140" s="544"/>
      <c r="K140" s="544"/>
      <c r="L140" s="1313" t="s">
        <v>1036</v>
      </c>
      <c r="M140" s="1351" t="str">
        <f ca="1">IF(R140,"Mandatory","N/A")</f>
        <v>N/A</v>
      </c>
      <c r="N140" s="140"/>
      <c r="O140" s="598"/>
      <c r="P140" s="97" t="b">
        <v>0</v>
      </c>
      <c r="Q140" s="97" t="b">
        <v>1</v>
      </c>
      <c r="R140" s="97" t="b">
        <f ca="1">S140</f>
        <v>0</v>
      </c>
      <c r="S140" s="97" t="b">
        <f ca="1">(S13=1)</f>
        <v>0</v>
      </c>
      <c r="T140" s="97" t="b">
        <f ca="1">AND(NOT(S140),W140=TRUE)</f>
        <v>0</v>
      </c>
      <c r="U140" s="97"/>
      <c r="V140" s="97"/>
      <c r="W140" s="452"/>
      <c r="X140" s="1295"/>
      <c r="AC140" s="358" t="b">
        <f ca="1">OR(AD140:AE140)</f>
        <v>0</v>
      </c>
      <c r="AD140" s="358" t="b">
        <f ca="1">T140</f>
        <v>0</v>
      </c>
      <c r="AE140" s="358" t="b">
        <f ca="1">AND(R140,NOT(W140))</f>
        <v>0</v>
      </c>
      <c r="AL140" s="311" t="str">
        <f>SUBSTITUTE(SUBSTITUTE(SUBSTITUTE("dpa"&amp;$B140&amp;$C140&amp;$D140&amp;$E140&amp;$F140,".","_"),"(","_"),")","")</f>
        <v>dpa702_2_1</v>
      </c>
      <c r="AM140" s="311" t="str">
        <f ca="1">M140</f>
        <v>N/A</v>
      </c>
      <c r="AP140" s="311" t="str">
        <f>SUBSTITUTE(SUBSTITUTE(SUBSTITUTE("dch"&amp;$B140&amp;$C140&amp;$D140&amp;$E140&amp;$F140,".","_"),"(","_"),")","")</f>
        <v>dch702_2_1</v>
      </c>
      <c r="AQ140" s="311">
        <f>W140</f>
        <v>0</v>
      </c>
      <c r="AR140" s="311" t="str">
        <f>SUBSTITUTE(SUBSTITUTE(SUBSTITUTE("dnt"&amp;$B140&amp;$C140&amp;$D140&amp;$E140&amp;$F140,".","_"),"(","_"),")","")</f>
        <v>dnt702_2_1</v>
      </c>
      <c r="AS140" s="311">
        <f>X140</f>
        <v>0</v>
      </c>
    </row>
    <row r="141" spans="2:45" x14ac:dyDescent="0.3">
      <c r="B141" s="938" t="s">
        <v>1035</v>
      </c>
      <c r="C141" s="93"/>
      <c r="D141" s="21"/>
      <c r="E141" s="21"/>
      <c r="F141" s="21"/>
      <c r="G141" s="21"/>
      <c r="H141" s="1084"/>
      <c r="I141" s="140"/>
      <c r="J141" s="544"/>
      <c r="K141" s="544"/>
      <c r="L141" s="1313"/>
      <c r="M141" s="1351"/>
      <c r="N141" s="140"/>
      <c r="O141" s="598"/>
      <c r="P141" s="97"/>
      <c r="Q141" s="97"/>
      <c r="R141" s="97"/>
      <c r="S141" s="97"/>
      <c r="T141" s="97"/>
      <c r="U141" s="97"/>
      <c r="V141" s="97"/>
      <c r="W141" s="97"/>
      <c r="X141" s="1295"/>
    </row>
    <row r="142" spans="2:45" x14ac:dyDescent="0.3">
      <c r="B142" s="938" t="s">
        <v>1035</v>
      </c>
      <c r="C142" s="93"/>
      <c r="D142" s="21"/>
      <c r="E142" s="21"/>
      <c r="F142" s="21"/>
      <c r="G142" s="21"/>
      <c r="H142" s="1084"/>
      <c r="I142" s="140"/>
      <c r="J142" s="544"/>
      <c r="K142" s="544"/>
      <c r="L142" s="1313"/>
      <c r="M142" s="1351"/>
      <c r="N142" s="140"/>
      <c r="O142" s="598"/>
      <c r="P142" s="97"/>
      <c r="Q142" s="97"/>
      <c r="R142" s="97"/>
      <c r="S142" s="97"/>
      <c r="T142" s="97"/>
      <c r="U142" s="97"/>
      <c r="V142" s="97"/>
      <c r="W142" s="97"/>
      <c r="X142" s="1295"/>
    </row>
    <row r="143" spans="2:45" x14ac:dyDescent="0.3">
      <c r="B143" s="938" t="s">
        <v>1035</v>
      </c>
      <c r="C143" s="93"/>
      <c r="D143" s="21"/>
      <c r="E143" s="21"/>
      <c r="F143" s="21"/>
      <c r="G143" s="21"/>
      <c r="H143" s="1084"/>
      <c r="I143" s="238"/>
      <c r="J143" s="545"/>
      <c r="K143" s="545"/>
      <c r="L143" s="1350"/>
      <c r="M143" s="1352"/>
      <c r="N143" s="238"/>
      <c r="O143" s="599"/>
      <c r="P143" s="196"/>
      <c r="Q143" s="196"/>
      <c r="R143" s="196"/>
      <c r="S143" s="196"/>
      <c r="T143" s="196"/>
      <c r="U143" s="196"/>
      <c r="V143" s="196"/>
      <c r="W143" s="196"/>
      <c r="X143" s="1295"/>
    </row>
    <row r="144" spans="2:45" x14ac:dyDescent="0.3">
      <c r="B144" s="938" t="s">
        <v>1037</v>
      </c>
      <c r="C144" s="93"/>
      <c r="D144" s="21"/>
      <c r="E144" s="21"/>
      <c r="F144" s="21"/>
      <c r="G144" s="21"/>
      <c r="H144" s="1084"/>
      <c r="I144" s="68" t="s">
        <v>1037</v>
      </c>
      <c r="J144" s="178"/>
      <c r="K144" s="178"/>
      <c r="L144" s="1292" t="s">
        <v>1038</v>
      </c>
      <c r="M144" s="1375" t="s">
        <v>3725</v>
      </c>
      <c r="N144" s="4"/>
      <c r="O144" s="1310">
        <f ca="1">ROUNDDOWN(S146*IF(NOT(W146=""),30+(W146*200),0),0)</f>
        <v>0</v>
      </c>
      <c r="P144"/>
      <c r="Q144"/>
      <c r="W144" s="1242" t="s">
        <v>3726</v>
      </c>
      <c r="X144" s="1304"/>
      <c r="AL144" s="311" t="str">
        <f>SUBSTITUTE(SUBSTITUTE(SUBSTITUTE("dpa"&amp;$B144&amp;$C144&amp;$D144&amp;$E144&amp;$F144,".","_"),"(","_"),")","")</f>
        <v>dpa702_2_2</v>
      </c>
      <c r="AM144" s="311" t="str">
        <f>M144</f>
        <v>Points per formula</v>
      </c>
      <c r="AN144" s="311" t="str">
        <f>SUBSTITUTE(SUBSTITUTE(SUBSTITUTE("dpc"&amp;$B144&amp;$C144&amp;$D144&amp;$E144&amp;$F144,".","_"),"(","_"),")","")</f>
        <v>dpc702_2_2</v>
      </c>
      <c r="AO144" s="311">
        <f ca="1">O144</f>
        <v>0</v>
      </c>
      <c r="AR144" s="311" t="str">
        <f>SUBSTITUTE(SUBSTITUTE(SUBSTITUTE("dnt"&amp;$B144&amp;$C144&amp;$D144&amp;$E144&amp;$F144,".","_"),"(","_"),")","")</f>
        <v>dnt702_2_2</v>
      </c>
      <c r="AS144" s="311">
        <f>X144</f>
        <v>0</v>
      </c>
    </row>
    <row r="145" spans="1:49" x14ac:dyDescent="0.3">
      <c r="B145" s="938" t="s">
        <v>1037</v>
      </c>
      <c r="C145" s="93"/>
      <c r="D145" s="21"/>
      <c r="E145" s="21"/>
      <c r="F145" s="21"/>
      <c r="G145" s="21"/>
      <c r="H145" s="1084"/>
      <c r="I145" s="4"/>
      <c r="J145" s="178"/>
      <c r="K145" s="178"/>
      <c r="L145" s="1292"/>
      <c r="M145" s="1375"/>
      <c r="N145" s="4"/>
      <c r="O145" s="1310"/>
      <c r="P145"/>
      <c r="Q145"/>
      <c r="U145"/>
      <c r="V145"/>
      <c r="W145" s="1242"/>
      <c r="X145" s="1303"/>
    </row>
    <row r="146" spans="1:49" x14ac:dyDescent="0.3">
      <c r="B146" s="938" t="s">
        <v>1037</v>
      </c>
      <c r="C146" s="93"/>
      <c r="D146" s="21"/>
      <c r="E146" s="21"/>
      <c r="F146" s="21"/>
      <c r="G146" s="21"/>
      <c r="H146" s="1084"/>
      <c r="I146" s="4"/>
      <c r="J146" s="178"/>
      <c r="K146" s="178"/>
      <c r="L146" s="1292"/>
      <c r="M146" s="1375"/>
      <c r="N146" s="4"/>
      <c r="O146" s="1310"/>
      <c r="P146" s="97" t="b">
        <v>0</v>
      </c>
      <c r="Q146" s="97" t="b">
        <v>1</v>
      </c>
      <c r="R146" s="358" t="b">
        <f ca="1">S146</f>
        <v>0</v>
      </c>
      <c r="S146" s="358" t="b">
        <f ca="1">(S13=1)</f>
        <v>0</v>
      </c>
      <c r="T146" s="97" t="b">
        <f ca="1">AND(NOT(S146),LEN(W146)&gt;0)</f>
        <v>0</v>
      </c>
      <c r="U146"/>
      <c r="V146"/>
      <c r="W146" s="407"/>
      <c r="X146" s="1303"/>
      <c r="AC146" s="358" t="b">
        <f ca="1">OR(AD146:AE146)</f>
        <v>0</v>
      </c>
      <c r="AD146" s="358" t="b">
        <f ca="1">T146</f>
        <v>0</v>
      </c>
      <c r="AE146" s="358" t="b">
        <f ca="1">AND(R146,ISBLANK(W146))</f>
        <v>0</v>
      </c>
      <c r="AP146" s="311" t="str">
        <f>SUBSTITUTE(SUBSTITUTE(SUBSTITUTE("dch"&amp;$B146&amp;$C146&amp;$D146&amp;$E146&amp;$F146,".","_"),"(","_"),")","")</f>
        <v>dch702_2_2</v>
      </c>
      <c r="AQ146" s="311">
        <f>W146</f>
        <v>0</v>
      </c>
    </row>
    <row r="147" spans="1:49" s="150" customFormat="1" x14ac:dyDescent="0.3">
      <c r="A147" s="18"/>
      <c r="B147" s="938" t="s">
        <v>1037</v>
      </c>
      <c r="C147" s="93"/>
      <c r="D147" s="21"/>
      <c r="E147" s="21"/>
      <c r="F147" s="21"/>
      <c r="G147" s="21"/>
      <c r="H147" s="1084"/>
      <c r="I147" s="4"/>
      <c r="J147" s="178"/>
      <c r="K147" s="178"/>
      <c r="L147" s="1292"/>
      <c r="M147" s="1375"/>
      <c r="N147" s="4"/>
      <c r="O147" s="1310"/>
      <c r="P147"/>
      <c r="Q147"/>
      <c r="R147"/>
      <c r="S147"/>
      <c r="T147"/>
      <c r="U147"/>
      <c r="V147"/>
      <c r="W147"/>
      <c r="X147" s="1303"/>
      <c r="Y147" s="1107"/>
      <c r="Z147" s="79"/>
      <c r="AA147" s="1110"/>
      <c r="AB147" s="79"/>
      <c r="AC147" s="79"/>
      <c r="AD147" s="79"/>
      <c r="AE147" s="79"/>
      <c r="AF147" s="79"/>
      <c r="AG147" s="79"/>
      <c r="AH147" s="79"/>
      <c r="AI147" s="79"/>
      <c r="AJ147" s="79"/>
      <c r="AK147" s="79"/>
      <c r="AL147" s="79"/>
      <c r="AM147" s="79"/>
      <c r="AN147" s="79"/>
      <c r="AO147" s="79"/>
      <c r="AP147" s="79"/>
      <c r="AQ147" s="79"/>
      <c r="AR147" s="79"/>
      <c r="AS147" s="79"/>
      <c r="AT147" s="79"/>
      <c r="AU147" s="79"/>
      <c r="AV147" s="79"/>
      <c r="AW147" s="79"/>
    </row>
    <row r="148" spans="1:49" x14ac:dyDescent="0.3">
      <c r="B148" s="938" t="s">
        <v>1037</v>
      </c>
      <c r="C148" s="93"/>
      <c r="D148" s="21"/>
      <c r="E148" s="21"/>
      <c r="F148" s="21"/>
      <c r="G148" s="21"/>
      <c r="H148" s="1084"/>
      <c r="I148" s="4"/>
      <c r="J148" s="178"/>
      <c r="K148" s="178"/>
      <c r="L148" s="1292"/>
      <c r="M148" s="1375"/>
      <c r="N148" s="4"/>
      <c r="O148" s="1310"/>
      <c r="P148" s="150"/>
      <c r="Q148" s="150"/>
      <c r="R148" s="150"/>
      <c r="S148" s="150"/>
      <c r="T148" s="150"/>
      <c r="U148" s="150"/>
      <c r="V148" s="150"/>
      <c r="W148" s="150"/>
      <c r="X148" s="1303"/>
      <c r="Z148" s="150"/>
      <c r="AB148" s="150"/>
      <c r="AC148" s="150"/>
      <c r="AD148" s="150"/>
      <c r="AE148" s="150"/>
      <c r="AF148" s="150"/>
      <c r="AG148" s="150"/>
      <c r="AH148" s="150"/>
      <c r="AI148" s="150"/>
      <c r="AJ148" s="150"/>
      <c r="AK148" s="150"/>
      <c r="AL148" s="150"/>
      <c r="AM148" s="150"/>
      <c r="AN148" s="150"/>
      <c r="AO148" s="150"/>
      <c r="AP148" s="150"/>
      <c r="AQ148" s="150"/>
      <c r="AR148" s="150"/>
      <c r="AS148" s="150"/>
      <c r="AT148" s="150"/>
      <c r="AU148" s="150"/>
      <c r="AV148" s="150"/>
      <c r="AW148" s="150"/>
    </row>
    <row r="149" spans="1:49" x14ac:dyDescent="0.3">
      <c r="B149" s="938" t="s">
        <v>1037</v>
      </c>
      <c r="C149" s="93"/>
      <c r="D149" s="21"/>
      <c r="E149" s="21"/>
      <c r="F149" s="21"/>
      <c r="G149" s="21"/>
      <c r="H149" s="1084"/>
      <c r="I149" s="4"/>
      <c r="J149" s="178"/>
      <c r="K149" s="178"/>
      <c r="L149" s="184" t="s">
        <v>1039</v>
      </c>
      <c r="M149" s="522"/>
      <c r="N149" s="4"/>
      <c r="O149" s="154"/>
      <c r="P149"/>
      <c r="Q149"/>
      <c r="R149"/>
      <c r="S149"/>
      <c r="T149"/>
      <c r="U149"/>
      <c r="V149"/>
      <c r="W149"/>
      <c r="X149" s="1303"/>
    </row>
    <row r="150" spans="1:49" x14ac:dyDescent="0.3">
      <c r="B150" s="938" t="s">
        <v>1037</v>
      </c>
      <c r="C150" s="93"/>
      <c r="D150" s="21"/>
      <c r="E150" s="21" t="s">
        <v>4384</v>
      </c>
      <c r="F150" s="21"/>
      <c r="G150" s="21"/>
      <c r="H150" s="1084"/>
      <c r="I150" s="140"/>
      <c r="J150" s="544"/>
      <c r="K150" s="544"/>
      <c r="L150" s="1369" t="s">
        <v>3201</v>
      </c>
      <c r="M150" s="548"/>
      <c r="N150" s="140"/>
      <c r="O150" s="598"/>
      <c r="P150" s="97"/>
      <c r="Q150" s="97"/>
      <c r="R150" s="97"/>
      <c r="S150" s="97"/>
      <c r="T150" s="97"/>
      <c r="U150" s="97"/>
      <c r="V150" s="97"/>
      <c r="W150" s="97"/>
      <c r="X150" s="1295"/>
      <c r="AR150" s="311" t="str">
        <f>SUBSTITUTE(SUBSTITUTE(SUBSTITUTE("dnt"&amp;$B150&amp;$C150&amp;$D150&amp;$E150&amp;$F150,".","_"),"(","_"),")","")</f>
        <v>dnt702_2_2_m</v>
      </c>
      <c r="AS150" s="311">
        <f>X150</f>
        <v>0</v>
      </c>
    </row>
    <row r="151" spans="1:49" x14ac:dyDescent="0.3">
      <c r="B151" s="938" t="s">
        <v>1037</v>
      </c>
      <c r="C151" s="93"/>
      <c r="D151" s="21"/>
      <c r="E151" s="21"/>
      <c r="F151" s="21"/>
      <c r="G151" s="21"/>
      <c r="H151" s="1084"/>
      <c r="I151" s="140"/>
      <c r="J151" s="544"/>
      <c r="K151" s="544"/>
      <c r="L151" s="1369"/>
      <c r="M151" s="548"/>
      <c r="N151" s="140"/>
      <c r="O151" s="598"/>
      <c r="P151" s="97"/>
      <c r="Q151" s="97"/>
      <c r="R151" s="97"/>
      <c r="S151" s="97"/>
      <c r="T151" s="97"/>
      <c r="U151" s="97"/>
      <c r="V151" s="97"/>
      <c r="W151" s="97"/>
      <c r="X151" s="1295"/>
    </row>
    <row r="152" spans="1:49" x14ac:dyDescent="0.3">
      <c r="B152" s="938" t="s">
        <v>1037</v>
      </c>
      <c r="C152" s="93"/>
      <c r="D152" s="21"/>
      <c r="E152" s="21"/>
      <c r="F152" s="21"/>
      <c r="G152" s="21"/>
      <c r="H152" s="1084"/>
      <c r="I152" s="238"/>
      <c r="J152" s="545"/>
      <c r="K152" s="545"/>
      <c r="L152" s="1370"/>
      <c r="M152" s="635"/>
      <c r="N152" s="140"/>
      <c r="O152" s="598"/>
      <c r="P152" s="97"/>
      <c r="Q152" s="97"/>
      <c r="R152" s="97"/>
      <c r="S152" s="97"/>
      <c r="T152" s="97"/>
      <c r="U152" s="97"/>
      <c r="V152" s="97"/>
      <c r="W152" s="118"/>
      <c r="X152" s="1295"/>
    </row>
    <row r="153" spans="1:49" x14ac:dyDescent="0.3">
      <c r="B153" s="938" t="s">
        <v>1040</v>
      </c>
      <c r="C153" s="93"/>
      <c r="D153" s="21"/>
      <c r="E153" s="21"/>
      <c r="F153" s="21"/>
      <c r="G153" s="21"/>
      <c r="H153" s="1084"/>
      <c r="I153" s="68" t="s">
        <v>1040</v>
      </c>
      <c r="J153" s="178"/>
      <c r="K153" s="178"/>
      <c r="L153" s="1292" t="s">
        <v>1041</v>
      </c>
      <c r="M153" s="522"/>
      <c r="N153" s="4"/>
      <c r="O153" s="154"/>
      <c r="P153"/>
      <c r="Q153"/>
      <c r="R153"/>
      <c r="S153"/>
      <c r="T153"/>
      <c r="U153"/>
      <c r="V153"/>
      <c r="W153"/>
      <c r="X153" s="1304"/>
      <c r="AR153" s="311" t="str">
        <f>SUBSTITUTE(SUBSTITUTE(SUBSTITUTE("dnt"&amp;$B153&amp;$C153&amp;$D153&amp;$E153&amp;$F153,".","_"),"(","_"),")","")</f>
        <v>dnt702_2_3</v>
      </c>
      <c r="AS153" s="311">
        <f>X153</f>
        <v>0</v>
      </c>
    </row>
    <row r="154" spans="1:49" x14ac:dyDescent="0.3">
      <c r="B154" s="938" t="s">
        <v>1040</v>
      </c>
      <c r="C154" s="93"/>
      <c r="D154" s="21"/>
      <c r="E154" s="21"/>
      <c r="F154" s="21"/>
      <c r="G154" s="21"/>
      <c r="H154" s="1084"/>
      <c r="I154" s="4"/>
      <c r="J154" s="178"/>
      <c r="K154" s="178"/>
      <c r="L154" s="1292"/>
      <c r="M154" s="522"/>
      <c r="N154" s="4"/>
      <c r="O154" s="154"/>
      <c r="P154"/>
      <c r="Q154"/>
      <c r="R154"/>
      <c r="S154"/>
      <c r="T154"/>
      <c r="U154"/>
      <c r="V154"/>
      <c r="W154"/>
      <c r="X154" s="1303"/>
    </row>
    <row r="155" spans="1:49" ht="18" x14ac:dyDescent="0.35">
      <c r="B155" s="938">
        <v>703</v>
      </c>
      <c r="C155" s="93"/>
      <c r="D155" s="21"/>
      <c r="E155" s="21"/>
      <c r="F155" s="21"/>
      <c r="G155" s="21"/>
      <c r="H155" s="1084"/>
      <c r="I155" s="14" t="s">
        <v>1042</v>
      </c>
      <c r="J155" s="87"/>
      <c r="K155" s="87"/>
      <c r="L155" s="87"/>
      <c r="M155" s="484"/>
      <c r="N155" s="604"/>
      <c r="O155" s="594"/>
      <c r="P155" s="23"/>
      <c r="Q155" s="23"/>
      <c r="R155" s="23"/>
      <c r="S155" s="23"/>
      <c r="T155" s="23"/>
      <c r="U155" s="23"/>
      <c r="V155" s="23"/>
      <c r="W155" s="23"/>
      <c r="X155" s="23"/>
    </row>
    <row r="156" spans="1:49" ht="15" customHeight="1" x14ac:dyDescent="0.3">
      <c r="B156" s="938">
        <v>703.1</v>
      </c>
      <c r="C156" s="93"/>
      <c r="D156" s="21"/>
      <c r="E156" s="21"/>
      <c r="F156" s="21"/>
      <c r="G156" s="21"/>
      <c r="H156" s="1084"/>
      <c r="I156" s="66">
        <v>703.1</v>
      </c>
      <c r="J156" s="178"/>
      <c r="K156" s="178"/>
      <c r="L156" s="184" t="s">
        <v>1043</v>
      </c>
      <c r="M156" s="522">
        <v>30</v>
      </c>
      <c r="N156" s="4"/>
      <c r="O156" s="522">
        <f ca="1">30*OR(AND(R157=FALSE,R170=FALSE,R173=FALSE),AND(OR(W170=TRUE,R170=FALSE),W173=TRUE,OR(W157=TRUE,R157=FALSE)))*S157</f>
        <v>0</v>
      </c>
      <c r="P156"/>
      <c r="Q156"/>
      <c r="R156"/>
      <c r="S156"/>
      <c r="T156"/>
      <c r="U156"/>
      <c r="V156"/>
      <c r="W156"/>
      <c r="X156"/>
      <c r="AL156" s="311" t="str">
        <f>SUBSTITUTE(SUBSTITUTE(SUBSTITUTE("dpa"&amp;$B156&amp;$C156&amp;$D156&amp;$E156&amp;$F156,".","_"),"(","_"),")","")</f>
        <v>dpa703_1</v>
      </c>
      <c r="AM156" s="311">
        <f>M156</f>
        <v>30</v>
      </c>
      <c r="AN156" s="311" t="str">
        <f>SUBSTITUTE(SUBSTITUTE(SUBSTITUTE("dpc"&amp;$B156&amp;$C156&amp;$D156&amp;$E156&amp;$F156,".","_"),"(","_"),")","")</f>
        <v>dpc703_1</v>
      </c>
      <c r="AO156" s="311">
        <f ca="1">O156</f>
        <v>0</v>
      </c>
    </row>
    <row r="157" spans="1:49" ht="15" customHeight="1" x14ac:dyDescent="0.3">
      <c r="B157" s="938" t="s">
        <v>1044</v>
      </c>
      <c r="C157" s="93"/>
      <c r="D157" s="21"/>
      <c r="E157" s="21"/>
      <c r="F157" s="21"/>
      <c r="G157" s="21"/>
      <c r="H157" s="1084"/>
      <c r="I157" s="68" t="s">
        <v>1044</v>
      </c>
      <c r="J157" s="178"/>
      <c r="K157" s="178"/>
      <c r="L157" s="1292" t="s">
        <v>1045</v>
      </c>
      <c r="M157" s="1351" t="str">
        <f ca="1">IF(R157,"Mandatory","N/A")</f>
        <v>N/A</v>
      </c>
      <c r="N157" s="4"/>
      <c r="O157" s="154"/>
      <c r="P157" s="97" t="b">
        <v>0</v>
      </c>
      <c r="Q157" s="97" t="b">
        <v>1</v>
      </c>
      <c r="R157" s="150" t="b">
        <f ca="1">AND(S157,NOT(BI16="Tropical"))</f>
        <v>0</v>
      </c>
      <c r="S157" s="150" t="b">
        <f ca="1">(S13=2)</f>
        <v>0</v>
      </c>
      <c r="T157" s="97" t="b">
        <f ca="1">AND(NOT(S157),W157=TRUE)</f>
        <v>0</v>
      </c>
      <c r="U157"/>
      <c r="V157"/>
      <c r="W157" s="25"/>
      <c r="X157" s="1303"/>
      <c r="AC157" s="419" t="b">
        <f ca="1">OR(AD157:AE157)</f>
        <v>0</v>
      </c>
      <c r="AD157" s="419" t="b">
        <f ca="1">T157</f>
        <v>0</v>
      </c>
      <c r="AE157" s="419" t="b">
        <f ca="1">AND(R157,NOT(W157))</f>
        <v>0</v>
      </c>
      <c r="AL157" s="311" t="str">
        <f>SUBSTITUTE(SUBSTITUTE(SUBSTITUTE("dpa"&amp;$B157&amp;$C157&amp;$D157&amp;$E157&amp;$F157,".","_"),"(","_"),")","")</f>
        <v>dpa703_1_1</v>
      </c>
      <c r="AM157" s="311" t="str">
        <f ca="1">M157</f>
        <v>N/A</v>
      </c>
      <c r="AP157" s="311" t="str">
        <f>SUBSTITUTE(SUBSTITUTE(SUBSTITUTE("dch"&amp;$B157&amp;$C157&amp;$D157&amp;$E157&amp;$F157,".","_"),"(","_"),")","")</f>
        <v>dch703_1_1</v>
      </c>
      <c r="AQ157" s="311">
        <f>W157</f>
        <v>0</v>
      </c>
      <c r="AR157" s="311" t="str">
        <f>SUBSTITUTE(SUBSTITUTE(SUBSTITUTE("dnt"&amp;$B157&amp;$C157&amp;$D157&amp;$E157&amp;$F157,".","_"),"(","_"),")","")</f>
        <v>dnt703_1_1</v>
      </c>
      <c r="AS157" s="311">
        <f>X157</f>
        <v>0</v>
      </c>
    </row>
    <row r="158" spans="1:49" x14ac:dyDescent="0.3">
      <c r="B158" s="938" t="s">
        <v>1044</v>
      </c>
      <c r="C158" s="93"/>
      <c r="D158" s="21"/>
      <c r="E158" s="21"/>
      <c r="F158" s="21"/>
      <c r="G158" s="21"/>
      <c r="H158" s="1084"/>
      <c r="I158" s="4"/>
      <c r="J158" s="178"/>
      <c r="K158" s="178"/>
      <c r="L158" s="1292"/>
      <c r="M158" s="1351"/>
      <c r="N158" s="4"/>
      <c r="O158" s="154"/>
      <c r="P158"/>
      <c r="Q158"/>
      <c r="R158"/>
      <c r="S158"/>
      <c r="T158"/>
      <c r="U158"/>
      <c r="V158"/>
      <c r="W158"/>
      <c r="X158" s="1303"/>
    </row>
    <row r="159" spans="1:49" x14ac:dyDescent="0.3">
      <c r="B159" s="938" t="s">
        <v>1044</v>
      </c>
      <c r="C159" s="93"/>
      <c r="D159" s="21"/>
      <c r="E159" s="21"/>
      <c r="F159" s="21"/>
      <c r="G159" s="21"/>
      <c r="H159" s="1084"/>
      <c r="I159" s="238"/>
      <c r="J159" s="545"/>
      <c r="K159" s="545"/>
      <c r="L159" s="554" t="s">
        <v>3202</v>
      </c>
      <c r="M159" s="522"/>
      <c r="N159" s="4"/>
      <c r="O159" s="154"/>
      <c r="P159"/>
      <c r="Q159"/>
      <c r="R159"/>
      <c r="S159"/>
      <c r="T159"/>
      <c r="U159"/>
      <c r="V159"/>
      <c r="W159"/>
      <c r="X159" s="1303"/>
    </row>
    <row r="160" spans="1:49" x14ac:dyDescent="0.3">
      <c r="B160" s="938" t="s">
        <v>1046</v>
      </c>
      <c r="C160" s="938"/>
      <c r="D160" s="21"/>
      <c r="E160" s="21"/>
      <c r="F160" s="21"/>
      <c r="G160" s="21"/>
      <c r="H160" s="1084"/>
      <c r="I160" s="630" t="s">
        <v>1047</v>
      </c>
      <c r="J160" s="557"/>
      <c r="K160" s="557"/>
      <c r="L160" s="1364" t="s">
        <v>1048</v>
      </c>
      <c r="M160" s="522"/>
      <c r="N160" s="4"/>
      <c r="O160" s="154"/>
      <c r="P160"/>
      <c r="Q160"/>
      <c r="R160"/>
      <c r="S160"/>
      <c r="T160"/>
      <c r="U160"/>
      <c r="V160"/>
      <c r="W160"/>
      <c r="X160" s="1303"/>
    </row>
    <row r="161" spans="2:45" x14ac:dyDescent="0.3">
      <c r="B161" s="938" t="s">
        <v>1046</v>
      </c>
      <c r="C161" s="938"/>
      <c r="D161" s="21"/>
      <c r="E161" s="21"/>
      <c r="F161" s="21"/>
      <c r="G161" s="21"/>
      <c r="H161" s="1084"/>
      <c r="I161" s="140"/>
      <c r="J161" s="544"/>
      <c r="K161" s="544"/>
      <c r="L161" s="1313"/>
      <c r="M161" s="522"/>
      <c r="N161" s="4"/>
      <c r="O161" s="154"/>
      <c r="P161"/>
      <c r="Q161"/>
      <c r="R161"/>
      <c r="S161"/>
      <c r="T161"/>
      <c r="U161"/>
      <c r="V161"/>
      <c r="W161"/>
      <c r="X161" s="1303"/>
    </row>
    <row r="162" spans="2:45" x14ac:dyDescent="0.3">
      <c r="B162" s="938" t="s">
        <v>1046</v>
      </c>
      <c r="C162" s="938"/>
      <c r="D162" s="21"/>
      <c r="E162" s="21"/>
      <c r="F162" s="21"/>
      <c r="G162" s="21"/>
      <c r="H162" s="1084"/>
      <c r="I162" s="140"/>
      <c r="J162" s="544"/>
      <c r="K162" s="544"/>
      <c r="L162" s="1313"/>
      <c r="M162" s="522"/>
      <c r="N162" s="4"/>
      <c r="O162" s="154"/>
      <c r="P162"/>
      <c r="Q162"/>
      <c r="R162"/>
      <c r="S162"/>
      <c r="T162"/>
      <c r="U162"/>
      <c r="V162"/>
      <c r="W162"/>
      <c r="X162" s="1303"/>
    </row>
    <row r="163" spans="2:45" x14ac:dyDescent="0.3">
      <c r="B163" s="938" t="s">
        <v>1046</v>
      </c>
      <c r="C163" s="938"/>
      <c r="D163" s="21"/>
      <c r="E163" s="21"/>
      <c r="F163" s="21"/>
      <c r="G163" s="21"/>
      <c r="H163" s="1084"/>
      <c r="I163" s="140"/>
      <c r="J163" s="544"/>
      <c r="K163" s="544"/>
      <c r="L163" s="1313"/>
      <c r="M163" s="522"/>
      <c r="N163" s="4"/>
      <c r="O163" s="154"/>
      <c r="P163"/>
      <c r="Q163"/>
      <c r="R163"/>
      <c r="S163"/>
      <c r="T163"/>
      <c r="U163"/>
      <c r="V163"/>
      <c r="W163"/>
      <c r="X163" s="1303"/>
    </row>
    <row r="164" spans="2:45" x14ac:dyDescent="0.3">
      <c r="B164" s="938" t="s">
        <v>1046</v>
      </c>
      <c r="C164" s="938"/>
      <c r="D164" s="21"/>
      <c r="E164" s="21"/>
      <c r="F164" s="21"/>
      <c r="G164" s="21"/>
      <c r="H164" s="1084"/>
      <c r="I164" s="140"/>
      <c r="J164" s="544"/>
      <c r="K164" s="544"/>
      <c r="L164" s="1313"/>
      <c r="M164" s="522"/>
      <c r="N164" s="4"/>
      <c r="O164" s="154"/>
      <c r="P164"/>
      <c r="Q164"/>
      <c r="R164"/>
      <c r="S164"/>
      <c r="T164"/>
      <c r="U164"/>
      <c r="V164"/>
      <c r="W164"/>
      <c r="X164" s="1303"/>
    </row>
    <row r="165" spans="2:45" x14ac:dyDescent="0.3">
      <c r="B165" s="938" t="s">
        <v>1046</v>
      </c>
      <c r="C165" s="938"/>
      <c r="D165" s="21"/>
      <c r="E165" s="21"/>
      <c r="F165" s="21"/>
      <c r="G165" s="21"/>
      <c r="H165" s="1084"/>
      <c r="I165" s="238"/>
      <c r="J165" s="545"/>
      <c r="K165" s="545"/>
      <c r="L165" s="1350"/>
      <c r="M165" s="522"/>
      <c r="N165" s="4"/>
      <c r="O165" s="154"/>
      <c r="P165"/>
      <c r="Q165"/>
      <c r="R165"/>
      <c r="S165"/>
      <c r="T165"/>
      <c r="U165"/>
      <c r="V165"/>
      <c r="W165"/>
      <c r="X165" s="1303"/>
    </row>
    <row r="166" spans="2:45" x14ac:dyDescent="0.3">
      <c r="B166" s="938" t="s">
        <v>1049</v>
      </c>
      <c r="C166" s="938"/>
      <c r="D166" s="21"/>
      <c r="E166" s="21"/>
      <c r="F166" s="21"/>
      <c r="G166" s="21"/>
      <c r="H166" s="1084"/>
      <c r="I166" s="630" t="s">
        <v>1050</v>
      </c>
      <c r="J166" s="557"/>
      <c r="K166" s="557"/>
      <c r="L166" s="1364" t="s">
        <v>1051</v>
      </c>
      <c r="M166" s="522"/>
      <c r="N166" s="4"/>
      <c r="O166" s="154"/>
      <c r="P166"/>
      <c r="Q166"/>
      <c r="R166"/>
      <c r="S166"/>
      <c r="T166"/>
      <c r="U166"/>
      <c r="V166"/>
      <c r="W166"/>
      <c r="X166" s="1303"/>
    </row>
    <row r="167" spans="2:45" x14ac:dyDescent="0.3">
      <c r="B167" s="938" t="s">
        <v>1049</v>
      </c>
      <c r="C167" s="938"/>
      <c r="D167" s="21"/>
      <c r="E167" s="21"/>
      <c r="F167" s="21"/>
      <c r="G167" s="21"/>
      <c r="H167" s="1084"/>
      <c r="I167" s="140"/>
      <c r="J167" s="544"/>
      <c r="K167" s="544"/>
      <c r="L167" s="1313"/>
      <c r="M167" s="522"/>
      <c r="N167" s="4"/>
      <c r="O167" s="154"/>
      <c r="P167"/>
      <c r="Q167"/>
      <c r="R167"/>
      <c r="S167"/>
      <c r="T167"/>
      <c r="U167"/>
      <c r="V167"/>
      <c r="W167"/>
      <c r="X167" s="1303"/>
    </row>
    <row r="168" spans="2:45" x14ac:dyDescent="0.3">
      <c r="B168" s="938" t="s">
        <v>1049</v>
      </c>
      <c r="C168" s="938"/>
      <c r="D168" s="21"/>
      <c r="E168" s="21"/>
      <c r="F168" s="21"/>
      <c r="G168" s="21"/>
      <c r="H168" s="1084"/>
      <c r="I168" s="140"/>
      <c r="J168" s="544"/>
      <c r="K168" s="544"/>
      <c r="L168" s="1313"/>
      <c r="M168" s="522"/>
      <c r="N168" s="4"/>
      <c r="O168" s="154"/>
      <c r="P168"/>
      <c r="Q168"/>
      <c r="R168"/>
      <c r="S168"/>
      <c r="T168"/>
      <c r="U168"/>
      <c r="V168"/>
      <c r="W168"/>
      <c r="X168" s="1303"/>
    </row>
    <row r="169" spans="2:45" x14ac:dyDescent="0.3">
      <c r="B169" s="938" t="s">
        <v>1049</v>
      </c>
      <c r="C169" s="938"/>
      <c r="D169" s="21"/>
      <c r="E169" s="21"/>
      <c r="F169" s="21"/>
      <c r="G169" s="21"/>
      <c r="H169" s="1084"/>
      <c r="I169" s="238"/>
      <c r="J169" s="545"/>
      <c r="K169" s="545"/>
      <c r="L169" s="1350"/>
      <c r="M169" s="549"/>
      <c r="N169" s="4"/>
      <c r="O169" s="154"/>
      <c r="P169"/>
      <c r="Q169"/>
      <c r="R169"/>
      <c r="S169"/>
      <c r="T169"/>
      <c r="U169"/>
      <c r="V169"/>
      <c r="W169"/>
      <c r="X169" s="1303"/>
    </row>
    <row r="170" spans="2:45" ht="15" customHeight="1" x14ac:dyDescent="0.3">
      <c r="B170" s="938" t="s">
        <v>1052</v>
      </c>
      <c r="C170" s="93"/>
      <c r="D170" s="21"/>
      <c r="E170" s="21"/>
      <c r="F170" s="21"/>
      <c r="G170" s="21"/>
      <c r="H170" s="1084"/>
      <c r="I170" s="68" t="s">
        <v>1052</v>
      </c>
      <c r="J170" s="178"/>
      <c r="K170" s="178"/>
      <c r="L170" s="1292" t="s">
        <v>1053</v>
      </c>
      <c r="M170" s="1351" t="str">
        <f ca="1">IF(R170,"Mandatory","N/A")</f>
        <v>N/A</v>
      </c>
      <c r="N170" s="4"/>
      <c r="O170" s="154"/>
      <c r="P170" s="97" t="b">
        <v>0</v>
      </c>
      <c r="Q170" s="97" t="b">
        <v>1</v>
      </c>
      <c r="R170" s="417" t="b">
        <f ca="1">AND(S170,NOT(BI16="Tropical"))</f>
        <v>0</v>
      </c>
      <c r="S170" s="150" t="b">
        <f ca="1">(S13=2)</f>
        <v>0</v>
      </c>
      <c r="T170" s="97" t="b">
        <f ca="1">AND(NOT(S170),W170=TRUE)</f>
        <v>0</v>
      </c>
      <c r="U170"/>
      <c r="V170"/>
      <c r="W170" s="25"/>
      <c r="X170" s="1303"/>
      <c r="AC170" s="419" t="b">
        <f ca="1">OR(AD170:AE170)</f>
        <v>0</v>
      </c>
      <c r="AD170" s="419" t="b">
        <f ca="1">T170</f>
        <v>0</v>
      </c>
      <c r="AE170" s="419" t="b">
        <f ca="1">AND(R170,NOT(W170))</f>
        <v>0</v>
      </c>
      <c r="AL170" s="311" t="str">
        <f>SUBSTITUTE(SUBSTITUTE(SUBSTITUTE("dpa"&amp;$B170&amp;$C170&amp;$D170&amp;$E170&amp;$F170,".","_"),"(","_"),")","")</f>
        <v>dpa703_1_2</v>
      </c>
      <c r="AM170" s="311" t="str">
        <f ca="1">M170</f>
        <v>N/A</v>
      </c>
      <c r="AP170" s="311" t="str">
        <f>SUBSTITUTE(SUBSTITUTE(SUBSTITUTE("dch"&amp;$B170&amp;$C170&amp;$D170&amp;$E170&amp;$F170,".","_"),"(","_"),")","")</f>
        <v>dch703_1_2</v>
      </c>
      <c r="AQ170" s="311">
        <f>W170</f>
        <v>0</v>
      </c>
      <c r="AR170" s="311" t="str">
        <f>SUBSTITUTE(SUBSTITUTE(SUBSTITUTE("dnt"&amp;$B170&amp;$C170&amp;$D170&amp;$E170&amp;$F170,".","_"),"(","_"),")","")</f>
        <v>dnt703_1_2</v>
      </c>
      <c r="AS170" s="311">
        <f>X170</f>
        <v>0</v>
      </c>
    </row>
    <row r="171" spans="2:45" x14ac:dyDescent="0.3">
      <c r="B171" s="938" t="s">
        <v>1052</v>
      </c>
      <c r="C171" s="93"/>
      <c r="D171" s="21"/>
      <c r="E171" s="21"/>
      <c r="F171" s="21"/>
      <c r="G171" s="21"/>
      <c r="H171" s="1084"/>
      <c r="I171" s="4"/>
      <c r="J171" s="178"/>
      <c r="K171" s="178"/>
      <c r="L171" s="1292"/>
      <c r="M171" s="1351"/>
      <c r="N171" s="4"/>
      <c r="O171" s="154"/>
      <c r="P171"/>
      <c r="Q171"/>
      <c r="R171"/>
      <c r="S171"/>
      <c r="T171" s="1187" t="b">
        <f ca="1">IF(S170,IF(AND(AND('Overview (Design)'!L9&gt;=1,'Overview (Design)'!L9 &lt;=2),AND(W72&gt;=1,W72&lt;=5)),TRUE,IF(AND(AND('Overview (Design)'!L9&gt;=3,'Overview (Design)'!L9&lt;=8),AND(W72&gt;=1,W72&lt;=3)), TRUE,FALSE)))</f>
        <v>0</v>
      </c>
      <c r="U171"/>
      <c r="V171"/>
      <c r="W171" s="1412" t="s">
        <v>4772</v>
      </c>
      <c r="X171" s="1303"/>
      <c r="AD171" s="1186" t="b">
        <f ca="1">IF( AND(S170,T171=FALSE), TRUE,FALSE)</f>
        <v>0</v>
      </c>
    </row>
    <row r="172" spans="2:45" x14ac:dyDescent="0.3">
      <c r="B172" s="938" t="s">
        <v>1052</v>
      </c>
      <c r="C172" s="93"/>
      <c r="D172" s="21"/>
      <c r="E172" s="21"/>
      <c r="F172" s="21"/>
      <c r="G172" s="21"/>
      <c r="H172" s="1084"/>
      <c r="I172" s="238"/>
      <c r="J172" s="545"/>
      <c r="K172" s="545"/>
      <c r="L172" s="568" t="s">
        <v>3759</v>
      </c>
      <c r="M172" s="549"/>
      <c r="N172" s="4"/>
      <c r="O172" s="154"/>
      <c r="P172"/>
      <c r="Q172"/>
      <c r="R172"/>
      <c r="S172"/>
      <c r="T172"/>
      <c r="U172"/>
      <c r="V172"/>
      <c r="W172" s="1412"/>
      <c r="X172" s="1303"/>
    </row>
    <row r="173" spans="2:45" ht="15" customHeight="1" x14ac:dyDescent="0.3">
      <c r="B173" s="938" t="s">
        <v>1054</v>
      </c>
      <c r="C173" s="93"/>
      <c r="D173" s="21"/>
      <c r="E173" s="21"/>
      <c r="F173" s="21"/>
      <c r="G173" s="21"/>
      <c r="H173" s="1084"/>
      <c r="I173" s="606" t="s">
        <v>1054</v>
      </c>
      <c r="J173" s="544"/>
      <c r="K173" s="544"/>
      <c r="L173" s="1313" t="s">
        <v>1055</v>
      </c>
      <c r="M173" s="1351" t="str">
        <f ca="1">IF(R173,"Mandatory","N/A")</f>
        <v>N/A</v>
      </c>
      <c r="N173" s="140"/>
      <c r="O173" s="598"/>
      <c r="P173" s="97" t="b">
        <v>1</v>
      </c>
      <c r="Q173" s="97" t="b">
        <v>1</v>
      </c>
      <c r="R173" s="97" t="b">
        <f ca="1">S173</f>
        <v>0</v>
      </c>
      <c r="S173" s="97" t="b">
        <f ca="1">AND(S13=2,NOT(AND(AY36=INDEX(INDIRECT('Overview (Design)'!$E$33),3),AY40=INDEX(INDIRECT('Overview (Design)'!$E$37),3))))</f>
        <v>0</v>
      </c>
      <c r="T173" s="97" t="b">
        <f ca="1">AND(NOT(S173),W173=TRUE)</f>
        <v>0</v>
      </c>
      <c r="U173" s="97"/>
      <c r="V173" s="97"/>
      <c r="W173" s="452"/>
      <c r="X173" s="1295"/>
      <c r="AC173" s="419" t="b">
        <f ca="1">OR(AD173:AE173)</f>
        <v>0</v>
      </c>
      <c r="AD173" s="419" t="b">
        <f ca="1">T173</f>
        <v>0</v>
      </c>
      <c r="AE173" s="419" t="b">
        <f ca="1">AND(R173,NOT(W173))</f>
        <v>0</v>
      </c>
      <c r="AL173" s="311" t="str">
        <f>SUBSTITUTE(SUBSTITUTE(SUBSTITUTE("dpa"&amp;$B173&amp;$C173&amp;$D173&amp;$E173&amp;$F173,".","_"),"(","_"),")","")</f>
        <v>dpa703_1_3</v>
      </c>
      <c r="AM173" s="311" t="str">
        <f ca="1">M173</f>
        <v>N/A</v>
      </c>
      <c r="AP173" s="311" t="str">
        <f>SUBSTITUTE(SUBSTITUTE(SUBSTITUTE("dch"&amp;$B173&amp;$C173&amp;$D173&amp;$E173&amp;$F173,".","_"),"(","_"),")","")</f>
        <v>dch703_1_3</v>
      </c>
      <c r="AQ173" s="311">
        <f>W173</f>
        <v>0</v>
      </c>
      <c r="AR173" s="311" t="str">
        <f>SUBSTITUTE(SUBSTITUTE(SUBSTITUTE("dnt"&amp;$B173&amp;$C173&amp;$D173&amp;$E173&amp;$F173,".","_"),"(","_"),")","")</f>
        <v>dnt703_1_3</v>
      </c>
      <c r="AS173" s="311">
        <f>X173</f>
        <v>0</v>
      </c>
    </row>
    <row r="174" spans="2:45" ht="15" thickBot="1" x14ac:dyDescent="0.35">
      <c r="B174" s="938" t="s">
        <v>1054</v>
      </c>
      <c r="C174" s="93"/>
      <c r="D174" s="21"/>
      <c r="E174" s="21"/>
      <c r="F174" s="21"/>
      <c r="G174" s="21"/>
      <c r="H174" s="1084"/>
      <c r="I174" s="270"/>
      <c r="J174" s="558"/>
      <c r="K174" s="558"/>
      <c r="L174" s="1332"/>
      <c r="M174" s="1410"/>
      <c r="N174" s="270"/>
      <c r="O174" s="600"/>
      <c r="P174" s="104"/>
      <c r="Q174" s="104"/>
      <c r="R174" s="104"/>
      <c r="S174" s="104"/>
      <c r="T174" s="104"/>
      <c r="U174" s="104"/>
      <c r="V174" s="104"/>
      <c r="W174" s="104"/>
      <c r="X174" s="1296"/>
    </row>
    <row r="175" spans="2:45" ht="15" thickTop="1" x14ac:dyDescent="0.3">
      <c r="B175" s="938">
        <v>703.2</v>
      </c>
      <c r="C175" s="93"/>
      <c r="D175" s="21"/>
      <c r="E175" s="21"/>
      <c r="F175" s="21"/>
      <c r="G175" s="21"/>
      <c r="H175" s="1084"/>
      <c r="I175" s="66">
        <v>703.2</v>
      </c>
      <c r="J175" s="178"/>
      <c r="K175" s="178"/>
      <c r="L175" s="184" t="s">
        <v>1056</v>
      </c>
      <c r="M175" s="522"/>
      <c r="N175" s="4"/>
      <c r="O175" s="154"/>
      <c r="P175"/>
      <c r="Q175"/>
      <c r="R175"/>
      <c r="S175"/>
      <c r="T175"/>
      <c r="U175"/>
      <c r="V175"/>
      <c r="W175"/>
      <c r="X175"/>
    </row>
    <row r="176" spans="2:45" x14ac:dyDescent="0.3">
      <c r="B176" s="938" t="s">
        <v>1057</v>
      </c>
      <c r="C176" s="93"/>
      <c r="D176" s="21"/>
      <c r="E176" s="21"/>
      <c r="F176" s="21"/>
      <c r="G176" s="21"/>
      <c r="H176" s="1084"/>
      <c r="I176" s="66" t="s">
        <v>1057</v>
      </c>
      <c r="J176" s="178"/>
      <c r="K176" s="178"/>
      <c r="L176" s="1292" t="s">
        <v>1058</v>
      </c>
      <c r="M176" s="1411" t="s">
        <v>1059</v>
      </c>
      <c r="N176" s="4"/>
      <c r="O176" s="1310">
        <f>W176*IFERROR(Formulas!$C$19,0)</f>
        <v>0</v>
      </c>
      <c r="P176" s="97" t="b">
        <v>0</v>
      </c>
      <c r="Q176" s="97" t="b">
        <v>1</v>
      </c>
      <c r="R176" s="145" t="b">
        <v>0</v>
      </c>
      <c r="S176" s="150" t="b">
        <f ca="1">(S13=2)</f>
        <v>0</v>
      </c>
      <c r="T176" s="97" t="b">
        <f ca="1">AND(NOT(S176),W176=TRUE)</f>
        <v>0</v>
      </c>
      <c r="U176"/>
      <c r="V176"/>
      <c r="W176" s="25"/>
      <c r="X176" s="1303"/>
      <c r="AC176" s="419" t="b">
        <f ca="1">OR(AD176:AE176)</f>
        <v>0</v>
      </c>
      <c r="AD176" s="419" t="b">
        <f ca="1">T176</f>
        <v>0</v>
      </c>
      <c r="AE176" s="419" t="b">
        <f>AND(R176,NOT(W176))</f>
        <v>0</v>
      </c>
      <c r="AL176" s="311" t="str">
        <f>SUBSTITUTE(SUBSTITUTE(SUBSTITUTE("dpa"&amp;$B176&amp;$C176&amp;$D176&amp;$E176&amp;$F176,".","_"),"(","_"),")","")</f>
        <v>dpa703_2_1</v>
      </c>
      <c r="AM176" s="311" t="str">
        <f>M176</f>
        <v>Per Table 703.2.1(b)</v>
      </c>
      <c r="AN176" s="311" t="str">
        <f>SUBSTITUTE(SUBSTITUTE(SUBSTITUTE("dpc"&amp;$B176&amp;$C176&amp;$D176&amp;$E176&amp;$F176,".","_"),"(","_"),")","")</f>
        <v>dpc703_2_1</v>
      </c>
      <c r="AO176" s="311">
        <f>O176</f>
        <v>0</v>
      </c>
      <c r="AP176" s="311" t="str">
        <f>SUBSTITUTE(SUBSTITUTE(SUBSTITUTE("dch"&amp;$B176&amp;$C176&amp;$D176&amp;$E176&amp;$F176,".","_"),"(","_"),")","")</f>
        <v>dch703_2_1</v>
      </c>
      <c r="AQ176" s="311">
        <f>W176</f>
        <v>0</v>
      </c>
      <c r="AR176" s="311" t="str">
        <f>SUBSTITUTE(SUBSTITUTE(SUBSTITUTE("dnt"&amp;$B176&amp;$C176&amp;$D176&amp;$E176&amp;$F176,".","_"),"(","_"),")","")</f>
        <v>dnt703_2_1</v>
      </c>
      <c r="AS176" s="311">
        <f>X176</f>
        <v>0</v>
      </c>
    </row>
    <row r="177" spans="1:45" x14ac:dyDescent="0.3">
      <c r="B177" s="938" t="s">
        <v>1057</v>
      </c>
      <c r="C177" s="93"/>
      <c r="D177" s="21"/>
      <c r="E177" s="21"/>
      <c r="F177" s="21"/>
      <c r="G177" s="21"/>
      <c r="H177" s="1084"/>
      <c r="I177" s="4"/>
      <c r="J177" s="178"/>
      <c r="K177" s="178"/>
      <c r="L177" s="1292"/>
      <c r="M177" s="1411"/>
      <c r="N177" s="4"/>
      <c r="O177" s="1310"/>
      <c r="P177"/>
      <c r="Q177"/>
      <c r="R177"/>
      <c r="S177"/>
      <c r="T177"/>
      <c r="U177"/>
      <c r="V177"/>
      <c r="W177" t="s">
        <v>3762</v>
      </c>
      <c r="X177" s="1303"/>
    </row>
    <row r="178" spans="1:45" x14ac:dyDescent="0.3">
      <c r="B178" s="938" t="s">
        <v>1057</v>
      </c>
      <c r="C178" s="93"/>
      <c r="D178" s="27" t="s">
        <v>273</v>
      </c>
      <c r="E178" s="21"/>
      <c r="F178" s="21"/>
      <c r="G178" s="21"/>
      <c r="H178" s="1084"/>
      <c r="I178" s="4"/>
      <c r="J178" s="178"/>
      <c r="K178" s="178"/>
      <c r="L178" s="1292"/>
      <c r="M178" s="1411"/>
      <c r="N178" s="4"/>
      <c r="O178" s="1310"/>
      <c r="P178" s="97" t="b">
        <v>0</v>
      </c>
      <c r="Q178" s="97" t="b">
        <v>1</v>
      </c>
      <c r="R178" s="419" t="b">
        <v>0</v>
      </c>
      <c r="S178" s="419" t="b">
        <f ca="1">(S13=2)</f>
        <v>0</v>
      </c>
      <c r="T178" s="97" t="b">
        <f ca="1">AND(NOT(S178),LEN(W178)&gt;0)</f>
        <v>0</v>
      </c>
      <c r="U178"/>
      <c r="V178"/>
      <c r="W178" s="407"/>
      <c r="X178" s="1303"/>
      <c r="AC178" s="419" t="b">
        <f ca="1">OR(AD178:AE178)</f>
        <v>0</v>
      </c>
      <c r="AD178" s="419" t="b">
        <f ca="1">T178</f>
        <v>0</v>
      </c>
      <c r="AE178" s="419" t="b">
        <f>AND(R178,ISBLANK(W178))</f>
        <v>0</v>
      </c>
      <c r="AP178" s="311" t="str">
        <f>SUBSTITUTE(SUBSTITUTE(SUBSTITUTE("dch"&amp;$B178&amp;$C178&amp;$D178&amp;$E178&amp;$F178,".","_"),"(","_"),")","")</f>
        <v>dch703_2_1_2</v>
      </c>
      <c r="AQ178" s="311">
        <f>W178</f>
        <v>0</v>
      </c>
    </row>
    <row r="179" spans="1:45" x14ac:dyDescent="0.3">
      <c r="B179" s="938" t="s">
        <v>1057</v>
      </c>
      <c r="C179" s="93"/>
      <c r="D179" s="21"/>
      <c r="E179" s="21"/>
      <c r="F179" s="21"/>
      <c r="G179" s="21"/>
      <c r="H179" s="1084"/>
      <c r="I179" s="4"/>
      <c r="J179" s="178"/>
      <c r="K179" s="178"/>
      <c r="L179" s="1292"/>
      <c r="M179" s="1411"/>
      <c r="N179" s="4"/>
      <c r="O179" s="1310"/>
      <c r="P179"/>
      <c r="Q179"/>
      <c r="R179"/>
      <c r="S179"/>
      <c r="T179"/>
      <c r="U179"/>
      <c r="V179"/>
      <c r="W179"/>
      <c r="X179" s="1303"/>
    </row>
    <row r="180" spans="1:45" x14ac:dyDescent="0.3">
      <c r="B180" s="938" t="s">
        <v>1057</v>
      </c>
      <c r="C180" s="93"/>
      <c r="D180" s="21"/>
      <c r="E180" s="21"/>
      <c r="F180" s="21"/>
      <c r="G180" s="21"/>
      <c r="H180" s="1084"/>
      <c r="I180" s="4"/>
      <c r="J180" s="178"/>
      <c r="K180" s="178"/>
      <c r="L180" s="1292"/>
      <c r="M180" s="1411"/>
      <c r="N180" s="4"/>
      <c r="O180" s="1310"/>
      <c r="P180"/>
      <c r="Q180"/>
      <c r="R180"/>
      <c r="S180"/>
      <c r="T180"/>
      <c r="U180"/>
      <c r="V180"/>
      <c r="W180"/>
      <c r="X180" s="1303"/>
    </row>
    <row r="181" spans="1:45" x14ac:dyDescent="0.3">
      <c r="B181" s="938" t="s">
        <v>1057</v>
      </c>
      <c r="C181" s="93"/>
      <c r="D181" s="21"/>
      <c r="E181" s="21"/>
      <c r="F181" s="21"/>
      <c r="G181" s="21"/>
      <c r="H181" s="1084"/>
      <c r="I181" s="4"/>
      <c r="J181" s="178"/>
      <c r="K181" s="178"/>
      <c r="L181" s="1292"/>
      <c r="M181" s="1411"/>
      <c r="N181" s="4"/>
      <c r="O181" s="1310"/>
      <c r="P181"/>
      <c r="Q181"/>
      <c r="R181"/>
      <c r="S181"/>
      <c r="T181"/>
      <c r="U181"/>
      <c r="V181"/>
      <c r="W181"/>
      <c r="X181" s="1303"/>
    </row>
    <row r="182" spans="1:45" s="419" customFormat="1" x14ac:dyDescent="0.3">
      <c r="A182" s="18"/>
      <c r="B182" s="938" t="s">
        <v>1057</v>
      </c>
      <c r="C182" s="93"/>
      <c r="D182" s="21"/>
      <c r="E182" s="21"/>
      <c r="F182" s="21"/>
      <c r="G182" s="21"/>
      <c r="H182" s="1084"/>
      <c r="I182" s="238"/>
      <c r="J182" s="545"/>
      <c r="K182" s="545"/>
      <c r="L182" s="623" t="s">
        <v>3760</v>
      </c>
      <c r="M182" s="555"/>
      <c r="N182" s="238"/>
      <c r="O182" s="599"/>
      <c r="P182" s="196"/>
      <c r="Q182" s="196"/>
      <c r="R182" s="196"/>
      <c r="S182" s="196"/>
      <c r="T182" s="196"/>
      <c r="U182" s="196"/>
      <c r="V182" s="196"/>
      <c r="W182" s="636"/>
      <c r="X182" s="1303"/>
      <c r="Y182" s="1107"/>
      <c r="AA182" s="1110"/>
    </row>
    <row r="183" spans="1:45" x14ac:dyDescent="0.3">
      <c r="B183" s="938" t="s">
        <v>1060</v>
      </c>
      <c r="C183" s="93"/>
      <c r="D183" s="21"/>
      <c r="E183" s="21"/>
      <c r="F183" s="21"/>
      <c r="G183" s="21"/>
      <c r="H183" s="1084"/>
      <c r="I183" s="215" t="s">
        <v>1060</v>
      </c>
      <c r="J183" s="557"/>
      <c r="K183" s="557"/>
      <c r="L183" s="1364" t="s">
        <v>1061</v>
      </c>
      <c r="M183" s="1413" t="s">
        <v>1062</v>
      </c>
      <c r="N183" s="216"/>
      <c r="O183" s="1324">
        <f>IF(ROUND(W184,0)&gt;=6,INDEX({3,3,3,3,2,2,0,0},BF16),IF(ROUND(W184,0)&gt;=3,INDEX({1,1,1,1,0,0,0,0},BF16),0))</f>
        <v>0</v>
      </c>
      <c r="P183" s="218"/>
      <c r="Q183" s="218"/>
      <c r="R183" s="218"/>
      <c r="S183" s="218"/>
      <c r="T183" s="218"/>
      <c r="U183" s="218"/>
      <c r="V183" s="218"/>
      <c r="W183" s="637" t="s">
        <v>3769</v>
      </c>
      <c r="X183" s="1303"/>
      <c r="AL183" s="311" t="str">
        <f>SUBSTITUTE(SUBSTITUTE(SUBSTITUTE("dpa"&amp;$B183&amp;$C183&amp;$D183&amp;$E183&amp;$F183,".","_"),"(","_"),")","")</f>
        <v>dpa703_2_2</v>
      </c>
      <c r="AM183" s="311" t="str">
        <f>M183</f>
        <v>Per Table 703.2.2</v>
      </c>
      <c r="AN183" s="311" t="str">
        <f>SUBSTITUTE(SUBSTITUTE(SUBSTITUTE("dpc"&amp;$B183&amp;$C183&amp;$D183&amp;$E183&amp;$F183,".","_"),"(","_"),")","")</f>
        <v>dpc703_2_2</v>
      </c>
      <c r="AO183" s="311">
        <f>O183</f>
        <v>0</v>
      </c>
      <c r="AR183" s="311" t="str">
        <f>SUBSTITUTE(SUBSTITUTE(SUBSTITUTE("dnt"&amp;$B183&amp;$C183&amp;$D183&amp;$E183&amp;$F183,".","_"),"(","_"),")","")</f>
        <v>dnt703_2_2</v>
      </c>
      <c r="AS183" s="311">
        <f>X183</f>
        <v>0</v>
      </c>
    </row>
    <row r="184" spans="1:45" x14ac:dyDescent="0.3">
      <c r="B184" s="938" t="s">
        <v>1060</v>
      </c>
      <c r="C184" s="93"/>
      <c r="D184" s="21"/>
      <c r="E184" s="21"/>
      <c r="F184" s="21"/>
      <c r="G184" s="21"/>
      <c r="H184" s="1084"/>
      <c r="I184" s="238"/>
      <c r="J184" s="545"/>
      <c r="K184" s="545"/>
      <c r="L184" s="1350"/>
      <c r="M184" s="1414"/>
      <c r="N184" s="238"/>
      <c r="O184" s="1309"/>
      <c r="P184" s="97" t="b">
        <v>1</v>
      </c>
      <c r="Q184" s="97" t="b">
        <v>1</v>
      </c>
      <c r="R184" s="196" t="b">
        <v>0</v>
      </c>
      <c r="S184" s="196" t="b">
        <f ca="1">(S13=2)</f>
        <v>0</v>
      </c>
      <c r="T184" s="196" t="b">
        <f ca="1">AND(NOT(S184),LEN(W184)&gt;0)</f>
        <v>0</v>
      </c>
      <c r="U184" s="196"/>
      <c r="V184" s="196"/>
      <c r="W184" s="424"/>
      <c r="X184" s="1303"/>
      <c r="AC184" s="419" t="b">
        <f ca="1">OR(AD184:AE184)</f>
        <v>0</v>
      </c>
      <c r="AD184" s="419" t="b">
        <f ca="1">T184</f>
        <v>0</v>
      </c>
      <c r="AE184" s="419" t="b">
        <f>AND(R184,ISBLANK(W184))</f>
        <v>0</v>
      </c>
      <c r="AP184" s="311" t="str">
        <f>SUBSTITUTE(SUBSTITUTE(SUBSTITUTE("dch"&amp;$B184&amp;$C184&amp;$D184&amp;$E184&amp;$F184,".","_"),"(","_"),")","")</f>
        <v>dch703_2_2</v>
      </c>
      <c r="AQ184" s="311">
        <f>W184</f>
        <v>0</v>
      </c>
    </row>
    <row r="185" spans="1:45" x14ac:dyDescent="0.3">
      <c r="B185" s="938" t="s">
        <v>1063</v>
      </c>
      <c r="C185" s="93"/>
      <c r="D185" s="21"/>
      <c r="E185" s="21"/>
      <c r="F185" s="21"/>
      <c r="G185" s="21"/>
      <c r="H185" s="1084"/>
      <c r="I185" s="215" t="s">
        <v>1063</v>
      </c>
      <c r="J185" s="557"/>
      <c r="K185" s="557"/>
      <c r="L185" s="1364" t="s">
        <v>1064</v>
      </c>
      <c r="M185" s="1415">
        <f>IFERROR(MIN(IF(AND(AY19=INDEX(ddSingleOrMulti,2),AY25&gt;3,BF16&lt;4),1,3),IF(BI16="Tropical",3,INDEX({2,3,3,1,1,0,0},BF16))),0)</f>
        <v>1</v>
      </c>
      <c r="N185" s="216"/>
      <c r="O185" s="1324">
        <f ca="1">M185*S185*W185</f>
        <v>0</v>
      </c>
      <c r="P185" s="97" t="b">
        <v>1</v>
      </c>
      <c r="Q185" s="97" t="b">
        <v>1</v>
      </c>
      <c r="R185" s="218" t="b">
        <v>0</v>
      </c>
      <c r="S185" s="218" t="b">
        <f ca="1">(S13=2)</f>
        <v>0</v>
      </c>
      <c r="T185" s="218" t="b">
        <f ca="1">AND(NOT(S185),W185=TRUE)</f>
        <v>0</v>
      </c>
      <c r="U185" s="218"/>
      <c r="V185" s="218"/>
      <c r="W185" s="452"/>
      <c r="X185" s="1303"/>
      <c r="AC185" s="471" t="b">
        <f ca="1">OR(AD185:AE185)</f>
        <v>0</v>
      </c>
      <c r="AD185" s="471" t="b">
        <f ca="1">T185</f>
        <v>0</v>
      </c>
      <c r="AE185" s="471" t="b">
        <f>AND(R185,NOT(W185))</f>
        <v>0</v>
      </c>
      <c r="AL185" s="311" t="str">
        <f>SUBSTITUTE(SUBSTITUTE(SUBSTITUTE("dpa"&amp;$B185&amp;$C185&amp;$D185&amp;$E185&amp;$F185,".","_"),"(","_"),")","")</f>
        <v>dpa703_2_3</v>
      </c>
      <c r="AM185" s="311">
        <f>M185</f>
        <v>1</v>
      </c>
      <c r="AN185" s="311" t="str">
        <f>SUBSTITUTE(SUBSTITUTE(SUBSTITUTE("dpc"&amp;$B185&amp;$C185&amp;$D185&amp;$E185&amp;$F185,".","_"),"(","_"),")","")</f>
        <v>dpc703_2_3</v>
      </c>
      <c r="AO185" s="311">
        <f ca="1">O185</f>
        <v>0</v>
      </c>
      <c r="AP185" s="311" t="str">
        <f>SUBSTITUTE(SUBSTITUTE(SUBSTITUTE("dch"&amp;$B185&amp;$C185&amp;$D185&amp;$E185&amp;$F185,".","_"),"(","_"),")","")</f>
        <v>dch703_2_3</v>
      </c>
      <c r="AQ185" s="311">
        <f>W185</f>
        <v>0</v>
      </c>
      <c r="AR185" s="311" t="str">
        <f>SUBSTITUTE(SUBSTITUTE(SUBSTITUTE("dnt"&amp;$B185&amp;$C185&amp;$D185&amp;$E185&amp;$F185,".","_"),"(","_"),")","")</f>
        <v>dnt703_2_3</v>
      </c>
      <c r="AS185" s="311">
        <f>X185</f>
        <v>0</v>
      </c>
    </row>
    <row r="186" spans="1:45" x14ac:dyDescent="0.3">
      <c r="B186" s="938" t="s">
        <v>1063</v>
      </c>
      <c r="C186" s="93"/>
      <c r="D186" s="21"/>
      <c r="E186" s="21"/>
      <c r="F186" s="21"/>
      <c r="G186" s="21"/>
      <c r="H186" s="1084"/>
      <c r="I186" s="140"/>
      <c r="J186" s="544"/>
      <c r="K186" s="544"/>
      <c r="L186" s="1313"/>
      <c r="M186" s="1360"/>
      <c r="N186" s="140"/>
      <c r="O186" s="1308"/>
      <c r="P186" s="97"/>
      <c r="Q186" s="97"/>
      <c r="R186" s="97"/>
      <c r="S186" s="97"/>
      <c r="T186" s="97"/>
      <c r="U186" s="97"/>
      <c r="V186" s="97"/>
      <c r="W186" s="118"/>
      <c r="X186" s="1303"/>
    </row>
    <row r="187" spans="1:45" x14ac:dyDescent="0.3">
      <c r="B187" s="938" t="s">
        <v>1063</v>
      </c>
      <c r="C187" s="93"/>
      <c r="D187" s="21"/>
      <c r="E187" s="21"/>
      <c r="F187" s="21"/>
      <c r="G187" s="21"/>
      <c r="H187" s="1084"/>
      <c r="I187" s="238"/>
      <c r="J187" s="545"/>
      <c r="K187" s="545"/>
      <c r="L187" s="1350"/>
      <c r="M187" s="1363"/>
      <c r="N187" s="238"/>
      <c r="O187" s="1309"/>
      <c r="P187" s="196"/>
      <c r="Q187" s="196"/>
      <c r="R187" s="196"/>
      <c r="S187" s="196"/>
      <c r="T187" s="196"/>
      <c r="U187" s="196"/>
      <c r="V187" s="196"/>
      <c r="W187" s="636"/>
      <c r="X187" s="1303"/>
    </row>
    <row r="188" spans="1:45" x14ac:dyDescent="0.3">
      <c r="B188" s="938" t="s">
        <v>1065</v>
      </c>
      <c r="C188" s="93"/>
      <c r="D188" s="21"/>
      <c r="E188" s="21"/>
      <c r="F188" s="21"/>
      <c r="G188" s="21"/>
      <c r="H188" s="1084"/>
      <c r="I188" s="215" t="s">
        <v>1065</v>
      </c>
      <c r="J188" s="557"/>
      <c r="K188" s="557"/>
      <c r="L188" s="1364" t="s">
        <v>1066</v>
      </c>
      <c r="M188" s="1413" t="s">
        <v>1067</v>
      </c>
      <c r="N188" s="216"/>
      <c r="O188" s="1324">
        <f ca="1">MAX(S190:T190)*S189</f>
        <v>0</v>
      </c>
      <c r="P188"/>
      <c r="Q188"/>
      <c r="U188"/>
      <c r="V188"/>
      <c r="W188" t="str">
        <f>IF(S190&gt;=T190,"ACH50 (from 701.4.3.2):","ELR50 (from 701.4.3.2):")</f>
        <v>ACH50 (from 701.4.3.2):</v>
      </c>
      <c r="X188" s="1303"/>
      <c r="AL188" s="311" t="str">
        <f>SUBSTITUTE(SUBSTITUTE(SUBSTITUTE("dpa"&amp;$B188&amp;$C188&amp;$D188&amp;$E188&amp;$F188,".","_"),"(","_"),")","")</f>
        <v>dpa703_2_4</v>
      </c>
      <c r="AM188" s="311" t="str">
        <f>M188</f>
        <v>Per Table 703.2.4</v>
      </c>
      <c r="AN188" s="311" t="str">
        <f>SUBSTITUTE(SUBSTITUTE(SUBSTITUTE("dpc"&amp;$B188&amp;$C188&amp;$D188&amp;$E188&amp;$F188,".","_"),"(","_"),")","")</f>
        <v>dpc703_2_4</v>
      </c>
      <c r="AO188" s="311">
        <f ca="1">O188</f>
        <v>0</v>
      </c>
      <c r="AR188" s="311" t="str">
        <f>SUBSTITUTE(SUBSTITUTE(SUBSTITUTE("dnt"&amp;$B188&amp;$C188&amp;$D188&amp;$E188&amp;$F188,".","_"),"(","_"),")","")</f>
        <v>dnt703_2_4</v>
      </c>
      <c r="AS188" s="311">
        <f>X188</f>
        <v>0</v>
      </c>
    </row>
    <row r="189" spans="1:45" x14ac:dyDescent="0.3">
      <c r="B189" s="938" t="s">
        <v>1065</v>
      </c>
      <c r="C189" s="93"/>
      <c r="D189" s="21"/>
      <c r="E189" s="21"/>
      <c r="F189" s="21"/>
      <c r="G189" s="21"/>
      <c r="H189" s="1084"/>
      <c r="I189" s="140"/>
      <c r="J189" s="544"/>
      <c r="K189" s="544"/>
      <c r="L189" s="1313"/>
      <c r="M189" s="1416"/>
      <c r="N189" s="140"/>
      <c r="O189" s="1308"/>
      <c r="P189"/>
      <c r="Q189"/>
      <c r="R189" s="145" t="b">
        <v>0</v>
      </c>
      <c r="S189" s="150" t="b">
        <f ca="1">(S13=2)</f>
        <v>0</v>
      </c>
      <c r="T189" s="145" t="b">
        <v>0</v>
      </c>
      <c r="U189"/>
      <c r="V189"/>
      <c r="W189" s="533">
        <f>IF(S190&gt;=T190,W72,W75)</f>
        <v>0</v>
      </c>
      <c r="X189" s="1303"/>
    </row>
    <row r="190" spans="1:45" x14ac:dyDescent="0.3">
      <c r="B190" s="938" t="s">
        <v>1065</v>
      </c>
      <c r="C190" s="93"/>
      <c r="D190" s="21"/>
      <c r="E190" s="21"/>
      <c r="F190" s="21"/>
      <c r="G190" s="21"/>
      <c r="H190" s="1084"/>
      <c r="I190" s="238"/>
      <c r="J190" s="545"/>
      <c r="K190" s="545"/>
      <c r="L190" s="1350"/>
      <c r="M190" s="1414"/>
      <c r="N190" s="238"/>
      <c r="O190" s="1309"/>
      <c r="P190"/>
      <c r="Q190"/>
      <c r="R190" s="1" t="s">
        <v>4693</v>
      </c>
      <c r="S190" s="1">
        <f>Formulas!N$19</f>
        <v>0</v>
      </c>
      <c r="T190" s="1">
        <f>Formulas!O$19</f>
        <v>0</v>
      </c>
      <c r="U190"/>
      <c r="V190"/>
      <c r="W190"/>
      <c r="X190" s="1303"/>
    </row>
    <row r="191" spans="1:45" x14ac:dyDescent="0.3">
      <c r="B191" s="93" t="s">
        <v>1068</v>
      </c>
      <c r="C191" s="93"/>
      <c r="D191" s="21"/>
      <c r="E191" s="21"/>
      <c r="F191" s="21"/>
      <c r="G191" s="21"/>
      <c r="H191" s="1084"/>
      <c r="I191" s="68" t="s">
        <v>1068</v>
      </c>
      <c r="J191" s="178"/>
      <c r="K191" s="178"/>
      <c r="L191" s="184" t="s">
        <v>1069</v>
      </c>
      <c r="M191" s="522"/>
      <c r="N191" s="4"/>
      <c r="O191" s="154"/>
      <c r="P191"/>
      <c r="Q191"/>
      <c r="R191"/>
      <c r="S191"/>
      <c r="T191"/>
      <c r="U191"/>
      <c r="V191"/>
      <c r="W191"/>
      <c r="X191"/>
    </row>
    <row r="192" spans="1:45" ht="15" customHeight="1" x14ac:dyDescent="0.3">
      <c r="B192" s="938" t="s">
        <v>1070</v>
      </c>
      <c r="C192" s="93"/>
      <c r="D192" s="21"/>
      <c r="E192" s="21"/>
      <c r="F192" s="21"/>
      <c r="G192" s="21"/>
      <c r="H192" s="1084"/>
      <c r="I192" s="606" t="s">
        <v>1070</v>
      </c>
      <c r="J192" s="544"/>
      <c r="K192" s="544"/>
      <c r="L192" s="1305" t="s">
        <v>1071</v>
      </c>
      <c r="M192" s="1351" t="str">
        <f ca="1">IF(R192,"Mandatory","N/A")</f>
        <v>N/A</v>
      </c>
      <c r="N192" s="4"/>
      <c r="O192" s="154"/>
      <c r="P192" s="97" t="b">
        <v>1</v>
      </c>
      <c r="Q192" s="97" t="b">
        <v>1</v>
      </c>
      <c r="R192" s="150" t="b">
        <f ca="1">S192</f>
        <v>0</v>
      </c>
      <c r="S192" s="150" t="b">
        <f ca="1">(S13=2)</f>
        <v>0</v>
      </c>
      <c r="T192" s="97" t="b">
        <f ca="1">AND(NOT(S192),W192=TRUE)</f>
        <v>0</v>
      </c>
      <c r="U192"/>
      <c r="V192"/>
      <c r="W192" s="25"/>
      <c r="X192" s="1303"/>
      <c r="AC192" s="511" t="b">
        <f ca="1">OR(AD192:AE192)</f>
        <v>0</v>
      </c>
      <c r="AD192" s="511" t="b">
        <f ca="1">T192</f>
        <v>0</v>
      </c>
      <c r="AE192" s="511" t="b">
        <f ca="1">AND(R192,NOT(W192))</f>
        <v>0</v>
      </c>
      <c r="AL192" s="311" t="str">
        <f>SUBSTITUTE(SUBSTITUTE(SUBSTITUTE("dpa"&amp;$B192&amp;$C192&amp;$D192&amp;$E192&amp;$F192,".","_"),"(","_"),")","")</f>
        <v>dpa703_2_5_1</v>
      </c>
      <c r="AM192" s="311" t="str">
        <f ca="1">M192</f>
        <v>N/A</v>
      </c>
      <c r="AP192" s="311" t="str">
        <f>SUBSTITUTE(SUBSTITUTE(SUBSTITUTE("dch"&amp;$B192&amp;$C192&amp;$D192&amp;$E192&amp;$F192,".","_"),"(","_"),")","")</f>
        <v>dch703_2_5_1</v>
      </c>
      <c r="AQ192" s="311">
        <f>W192</f>
        <v>0</v>
      </c>
      <c r="AR192" s="311" t="str">
        <f>SUBSTITUTE(SUBSTITUTE(SUBSTITUTE("dnt"&amp;$B192&amp;$C192&amp;$D192&amp;$E192&amp;$F192,".","_"),"(","_"),")","")</f>
        <v>dnt703_2_5_1</v>
      </c>
      <c r="AS192" s="311">
        <f>X192</f>
        <v>0</v>
      </c>
    </row>
    <row r="193" spans="1:45" x14ac:dyDescent="0.3">
      <c r="B193" s="938" t="s">
        <v>1070</v>
      </c>
      <c r="C193" s="93"/>
      <c r="D193" s="21"/>
      <c r="E193" s="21"/>
      <c r="F193" s="21"/>
      <c r="G193" s="21"/>
      <c r="H193" s="1084"/>
      <c r="I193" s="140"/>
      <c r="J193" s="544"/>
      <c r="K193" s="544"/>
      <c r="L193" s="1305"/>
      <c r="M193" s="1351"/>
      <c r="N193" s="4"/>
      <c r="O193" s="154"/>
      <c r="P193"/>
      <c r="Q193"/>
      <c r="R193"/>
      <c r="S193"/>
      <c r="T193"/>
      <c r="U193"/>
      <c r="V193"/>
      <c r="W193"/>
      <c r="X193" s="1303"/>
    </row>
    <row r="194" spans="1:45" x14ac:dyDescent="0.3">
      <c r="B194" s="938" t="s">
        <v>1070</v>
      </c>
      <c r="C194" s="93"/>
      <c r="D194" s="21"/>
      <c r="E194" s="21"/>
      <c r="F194" s="21"/>
      <c r="G194" s="21"/>
      <c r="H194" s="1084"/>
      <c r="I194" s="140"/>
      <c r="J194" s="544"/>
      <c r="K194" s="544"/>
      <c r="L194" s="1305"/>
      <c r="M194" s="1351"/>
      <c r="N194" s="4"/>
      <c r="O194" s="154"/>
      <c r="P194"/>
      <c r="Q194"/>
      <c r="R194"/>
      <c r="S194"/>
      <c r="T194"/>
      <c r="U194"/>
      <c r="V194"/>
      <c r="W194"/>
      <c r="X194" s="1303"/>
    </row>
    <row r="195" spans="1:45" x14ac:dyDescent="0.3">
      <c r="B195" s="938" t="s">
        <v>1070</v>
      </c>
      <c r="C195" s="93"/>
      <c r="D195" s="21"/>
      <c r="E195" s="21"/>
      <c r="F195" s="21"/>
      <c r="G195" s="21"/>
      <c r="H195" s="1084"/>
      <c r="I195" s="140"/>
      <c r="J195" s="544"/>
      <c r="K195" s="544"/>
      <c r="L195" s="1305"/>
      <c r="M195" s="1351"/>
      <c r="N195" s="4"/>
      <c r="O195" s="154"/>
      <c r="P195"/>
      <c r="Q195"/>
      <c r="R195"/>
      <c r="S195"/>
      <c r="T195"/>
      <c r="U195"/>
      <c r="V195"/>
      <c r="W195"/>
      <c r="X195" s="1303"/>
    </row>
    <row r="196" spans="1:45" x14ac:dyDescent="0.3">
      <c r="B196" s="938" t="s">
        <v>1070</v>
      </c>
      <c r="C196" s="93"/>
      <c r="D196" s="21"/>
      <c r="E196" s="21"/>
      <c r="F196" s="21"/>
      <c r="G196" s="21"/>
      <c r="H196" s="1084"/>
      <c r="I196" s="140"/>
      <c r="J196" s="544"/>
      <c r="K196" s="544"/>
      <c r="L196" s="1305"/>
      <c r="M196" s="1351"/>
      <c r="N196" s="4"/>
      <c r="O196" s="154"/>
      <c r="P196"/>
      <c r="Q196"/>
      <c r="R196"/>
      <c r="S196"/>
      <c r="T196"/>
      <c r="U196"/>
      <c r="V196"/>
      <c r="W196"/>
      <c r="X196" s="1303"/>
    </row>
    <row r="197" spans="1:45" x14ac:dyDescent="0.3">
      <c r="B197" s="938" t="s">
        <v>1070</v>
      </c>
      <c r="C197" s="93"/>
      <c r="D197" s="21"/>
      <c r="E197" s="21"/>
      <c r="F197" s="21"/>
      <c r="G197" s="21"/>
      <c r="H197" s="1084"/>
      <c r="I197" s="140"/>
      <c r="J197" s="544"/>
      <c r="K197" s="544"/>
      <c r="L197" s="1305"/>
      <c r="M197" s="1351"/>
      <c r="N197" s="4"/>
      <c r="O197" s="154"/>
      <c r="P197"/>
      <c r="Q197"/>
      <c r="R197"/>
      <c r="S197"/>
      <c r="T197"/>
      <c r="U197"/>
      <c r="V197"/>
      <c r="W197"/>
      <c r="X197" s="1303"/>
    </row>
    <row r="198" spans="1:45" s="511" customFormat="1" x14ac:dyDescent="0.3">
      <c r="A198" s="18"/>
      <c r="B198" s="938" t="s">
        <v>1070</v>
      </c>
      <c r="C198" s="93"/>
      <c r="D198" s="21"/>
      <c r="E198" s="21"/>
      <c r="F198" s="21"/>
      <c r="G198" s="21"/>
      <c r="H198" s="1084"/>
      <c r="I198" s="238"/>
      <c r="J198" s="545"/>
      <c r="K198" s="545"/>
      <c r="L198" s="623" t="s">
        <v>4047</v>
      </c>
      <c r="M198" s="521"/>
      <c r="N198" s="4"/>
      <c r="O198" s="154"/>
      <c r="X198" s="1303"/>
      <c r="Y198" s="1107"/>
      <c r="AA198" s="1110"/>
    </row>
    <row r="199" spans="1:45" x14ac:dyDescent="0.3">
      <c r="B199" s="938" t="s">
        <v>1072</v>
      </c>
      <c r="C199" s="93"/>
      <c r="D199" s="21"/>
      <c r="E199" s="21"/>
      <c r="F199" s="21"/>
      <c r="G199" s="21"/>
      <c r="H199" s="1084"/>
      <c r="I199" s="630" t="s">
        <v>1072</v>
      </c>
      <c r="J199" s="557"/>
      <c r="K199" s="557"/>
      <c r="L199" s="1364" t="s">
        <v>1073</v>
      </c>
      <c r="M199" s="522"/>
      <c r="N199" s="4"/>
      <c r="O199" s="154"/>
      <c r="P199" s="97" t="b">
        <v>1</v>
      </c>
      <c r="Q199" s="97" t="b">
        <v>1</v>
      </c>
      <c r="R199" s="511" t="b">
        <f ca="1">S199</f>
        <v>0</v>
      </c>
      <c r="S199" s="511" t="b">
        <f ca="1">(S13=2)</f>
        <v>0</v>
      </c>
      <c r="T199" s="97" t="b">
        <f ca="1">AND(NOT(S199),LEN(W199)&gt;0)</f>
        <v>0</v>
      </c>
      <c r="U199" s="97" t="str">
        <f>SUBSTITUTE(SUBSTITUTE(SUBSTITUTE("dd"&amp;B199&amp;C199&amp;D199&amp;E199&amp;F199,".","_"),"(","_"),")","")</f>
        <v>dd703_2_5_1_1</v>
      </c>
      <c r="V199"/>
      <c r="W199" s="12"/>
      <c r="X199" s="1303"/>
      <c r="AC199" s="511" t="b">
        <f ca="1">OR(AD199:AE199)</f>
        <v>0</v>
      </c>
      <c r="AD199" s="511" t="b">
        <f ca="1">T199</f>
        <v>0</v>
      </c>
      <c r="AE199" s="511" t="b">
        <f ca="1">AND(R199,OR(W199="Not Met",W199=""))</f>
        <v>0</v>
      </c>
      <c r="AP199" s="311" t="str">
        <f>SUBSTITUTE(SUBSTITUTE(SUBSTITUTE("dch"&amp;$B199&amp;$C199&amp;$D199&amp;$E199&amp;$F199,".","_"),"(","_"),")","")</f>
        <v>dch703_2_5_1_1</v>
      </c>
      <c r="AQ199" s="311">
        <f>W199</f>
        <v>0</v>
      </c>
      <c r="AR199" s="311" t="str">
        <f>SUBSTITUTE(SUBSTITUTE(SUBSTITUTE("dnt"&amp;$B199&amp;$C199&amp;$D199&amp;$E199&amp;$F199,".","_"),"(","_"),")","")</f>
        <v>dnt703_2_5_1_1</v>
      </c>
      <c r="AS199" s="311">
        <f>X199</f>
        <v>0</v>
      </c>
    </row>
    <row r="200" spans="1:45" x14ac:dyDescent="0.3">
      <c r="B200" s="938" t="s">
        <v>1072</v>
      </c>
      <c r="C200" s="93"/>
      <c r="D200" s="21"/>
      <c r="E200" s="21"/>
      <c r="F200" s="21"/>
      <c r="G200" s="21"/>
      <c r="H200" s="1084"/>
      <c r="I200" s="140"/>
      <c r="J200" s="544"/>
      <c r="K200" s="544"/>
      <c r="L200" s="1313"/>
      <c r="M200" s="522"/>
      <c r="N200" s="4"/>
      <c r="O200" s="154"/>
      <c r="P200"/>
      <c r="Q200"/>
      <c r="R200"/>
      <c r="S200"/>
      <c r="T200"/>
      <c r="U200"/>
      <c r="V200"/>
      <c r="W200"/>
      <c r="X200" s="1303"/>
    </row>
    <row r="201" spans="1:45" x14ac:dyDescent="0.3">
      <c r="B201" s="938" t="s">
        <v>1072</v>
      </c>
      <c r="C201" s="93"/>
      <c r="D201" s="21"/>
      <c r="E201" s="21"/>
      <c r="F201" s="21"/>
      <c r="G201" s="21"/>
      <c r="H201" s="1084"/>
      <c r="I201" s="140"/>
      <c r="J201" s="544"/>
      <c r="K201" s="544"/>
      <c r="L201" s="1313"/>
      <c r="M201" s="522"/>
      <c r="N201" s="4"/>
      <c r="O201" s="154"/>
      <c r="P201"/>
      <c r="Q201"/>
      <c r="R201"/>
      <c r="S201"/>
      <c r="T201"/>
      <c r="U201"/>
      <c r="V201"/>
      <c r="W201"/>
      <c r="X201" s="1303"/>
    </row>
    <row r="202" spans="1:45" x14ac:dyDescent="0.3">
      <c r="B202" s="938" t="s">
        <v>1072</v>
      </c>
      <c r="C202" s="93"/>
      <c r="D202" s="21"/>
      <c r="E202" s="21"/>
      <c r="F202" s="21"/>
      <c r="G202" s="21"/>
      <c r="H202" s="1084"/>
      <c r="I202" s="140"/>
      <c r="J202" s="544"/>
      <c r="K202" s="544"/>
      <c r="L202" s="1313"/>
      <c r="M202" s="522"/>
      <c r="N202" s="4"/>
      <c r="O202" s="154"/>
      <c r="P202"/>
      <c r="Q202"/>
      <c r="R202"/>
      <c r="S202"/>
      <c r="T202"/>
      <c r="U202"/>
      <c r="V202"/>
      <c r="W202"/>
      <c r="X202" s="1303"/>
    </row>
    <row r="203" spans="1:45" x14ac:dyDescent="0.3">
      <c r="B203" s="938" t="s">
        <v>1072</v>
      </c>
      <c r="C203" s="93"/>
      <c r="D203" s="21"/>
      <c r="E203" s="21"/>
      <c r="F203" s="21"/>
      <c r="G203" s="21"/>
      <c r="H203" s="1084"/>
      <c r="I203" s="140"/>
      <c r="J203" s="544"/>
      <c r="K203" s="544"/>
      <c r="L203" s="1313"/>
      <c r="M203" s="522"/>
      <c r="N203" s="4"/>
      <c r="O203" s="154"/>
      <c r="P203"/>
      <c r="Q203"/>
      <c r="R203"/>
      <c r="S203"/>
      <c r="T203"/>
      <c r="U203"/>
      <c r="V203"/>
      <c r="W203"/>
      <c r="X203" s="1303"/>
    </row>
    <row r="204" spans="1:45" x14ac:dyDescent="0.3">
      <c r="B204" s="938" t="s">
        <v>1072</v>
      </c>
      <c r="C204" s="93"/>
      <c r="D204" s="21"/>
      <c r="E204" s="21"/>
      <c r="F204" s="21"/>
      <c r="G204" s="21"/>
      <c r="H204" s="1084"/>
      <c r="I204" s="140"/>
      <c r="J204" s="544"/>
      <c r="K204" s="544"/>
      <c r="L204" s="1313"/>
      <c r="M204" s="522"/>
      <c r="N204" s="4"/>
      <c r="O204" s="154"/>
      <c r="P204"/>
      <c r="Q204"/>
      <c r="R204"/>
      <c r="S204"/>
      <c r="T204"/>
      <c r="U204"/>
      <c r="V204"/>
      <c r="W204"/>
      <c r="X204" s="1303"/>
    </row>
    <row r="205" spans="1:45" x14ac:dyDescent="0.3">
      <c r="B205" s="938" t="s">
        <v>1072</v>
      </c>
      <c r="C205" s="93"/>
      <c r="D205" s="21"/>
      <c r="E205" s="21"/>
      <c r="F205" s="21"/>
      <c r="G205" s="21"/>
      <c r="H205" s="1084"/>
      <c r="I205" s="140"/>
      <c r="J205" s="544"/>
      <c r="K205" s="544"/>
      <c r="L205" s="1313"/>
      <c r="M205" s="522"/>
      <c r="N205" s="4"/>
      <c r="O205" s="154"/>
      <c r="P205"/>
      <c r="Q205"/>
      <c r="R205"/>
      <c r="S205"/>
      <c r="T205"/>
      <c r="U205"/>
      <c r="V205"/>
      <c r="W205"/>
      <c r="X205" s="1303"/>
    </row>
    <row r="206" spans="1:45" x14ac:dyDescent="0.3">
      <c r="B206" s="938" t="s">
        <v>1072</v>
      </c>
      <c r="C206" s="93"/>
      <c r="D206" s="21"/>
      <c r="E206" s="21"/>
      <c r="F206" s="21"/>
      <c r="G206" s="21"/>
      <c r="H206" s="1084"/>
      <c r="I206" s="238"/>
      <c r="J206" s="545"/>
      <c r="K206" s="545"/>
      <c r="L206" s="1350"/>
      <c r="M206" s="549"/>
      <c r="N206" s="4"/>
      <c r="O206" s="154"/>
      <c r="P206"/>
      <c r="Q206"/>
      <c r="R206"/>
      <c r="S206"/>
      <c r="T206"/>
      <c r="U206"/>
      <c r="V206"/>
      <c r="W206"/>
      <c r="X206" s="1303"/>
    </row>
    <row r="207" spans="1:45" ht="15" customHeight="1" x14ac:dyDescent="0.3">
      <c r="B207" s="938" t="s">
        <v>1074</v>
      </c>
      <c r="C207" s="93"/>
      <c r="D207" s="21"/>
      <c r="E207" s="21"/>
      <c r="F207" s="21"/>
      <c r="G207" s="21"/>
      <c r="H207" s="1084"/>
      <c r="I207" s="68" t="s">
        <v>1074</v>
      </c>
      <c r="J207" s="178"/>
      <c r="K207" s="178"/>
      <c r="L207" s="1292" t="s">
        <v>1075</v>
      </c>
      <c r="M207" s="1411" t="s">
        <v>4049</v>
      </c>
      <c r="N207" s="4"/>
      <c r="O207" s="1310">
        <f ca="1">IFERROR(INDEX(M212:M214,MATCH(W207,INDIRECT(U207),0)),0)*S207</f>
        <v>0</v>
      </c>
      <c r="P207" s="97" t="b">
        <v>1</v>
      </c>
      <c r="Q207" s="97" t="b">
        <v>1</v>
      </c>
      <c r="R207" s="145" t="b">
        <v>0</v>
      </c>
      <c r="S207" s="150" t="b">
        <f ca="1">AND(S13=2,OR(W215="Met",W215="N/A"))</f>
        <v>0</v>
      </c>
      <c r="T207" s="97" t="b">
        <f ca="1">AND(NOT(S207),LEN(W207)&gt;0)</f>
        <v>0</v>
      </c>
      <c r="U207" s="97" t="str">
        <f>SUBSTITUTE(SUBSTITUTE(SUBSTITUTE("dd"&amp;B207&amp;C207&amp;D207&amp;E207&amp;F207,".","_"),"(","_"),")","")</f>
        <v>dd703_2_5_2</v>
      </c>
      <c r="V207"/>
      <c r="W207" s="12"/>
      <c r="X207" s="1303"/>
      <c r="AC207" s="511" t="b">
        <f ca="1">OR(AD207:AE207)</f>
        <v>0</v>
      </c>
      <c r="AD207" s="511" t="b">
        <f ca="1">T207</f>
        <v>0</v>
      </c>
      <c r="AE207" s="511" t="b">
        <f>AND(R207,OR(W207="Not Met",W207=""))</f>
        <v>0</v>
      </c>
      <c r="AL207" s="311" t="str">
        <f>SUBSTITUTE(SUBSTITUTE(SUBSTITUTE("dpa"&amp;$B207&amp;$C207&amp;$D207&amp;$E207&amp;$F207,".","_"),"(","_"),")","")</f>
        <v>dpa703_2_5_2</v>
      </c>
      <c r="AM207" s="311" t="str">
        <f>M207</f>
        <v>Per Table 703.2.5.2(a) or
703.2.5.2(b) or 
703.2.5.2(c)</v>
      </c>
      <c r="AN207" s="311" t="str">
        <f>SUBSTITUTE(SUBSTITUTE(SUBSTITUTE("dpc"&amp;$B207&amp;$C207&amp;$D207&amp;$E207&amp;$F207,".","_"),"(","_"),")","")</f>
        <v>dpc703_2_5_2</v>
      </c>
      <c r="AO207" s="311">
        <f ca="1">O207</f>
        <v>0</v>
      </c>
      <c r="AP207" s="311" t="str">
        <f>SUBSTITUTE(SUBSTITUTE(SUBSTITUTE("dch"&amp;$B207&amp;$C207&amp;$D207&amp;$E207&amp;$F207,".","_"),"(","_"),")","")</f>
        <v>dch703_2_5_2</v>
      </c>
      <c r="AQ207" s="311">
        <f>W207</f>
        <v>0</v>
      </c>
      <c r="AR207" s="311" t="str">
        <f>SUBSTITUTE(SUBSTITUTE(SUBSTITUTE("dnt"&amp;$B207&amp;$C207&amp;$D207&amp;$E207&amp;$F207,".","_"),"(","_"),")","")</f>
        <v>dnt703_2_5_2</v>
      </c>
      <c r="AS207" s="311">
        <f>X207</f>
        <v>0</v>
      </c>
    </row>
    <row r="208" spans="1:45" x14ac:dyDescent="0.3">
      <c r="B208" s="938" t="s">
        <v>1074</v>
      </c>
      <c r="C208" s="93"/>
      <c r="D208" s="21"/>
      <c r="E208" s="21"/>
      <c r="F208" s="21"/>
      <c r="G208" s="21"/>
      <c r="H208" s="1084"/>
      <c r="I208" s="4"/>
      <c r="J208" s="178"/>
      <c r="K208" s="178"/>
      <c r="L208" s="1292"/>
      <c r="M208" s="1411"/>
      <c r="N208" s="4"/>
      <c r="O208" s="1310"/>
      <c r="P208"/>
      <c r="Q208"/>
      <c r="R208"/>
      <c r="S208"/>
      <c r="T208"/>
      <c r="U208"/>
      <c r="V208"/>
      <c r="W208"/>
      <c r="X208" s="1303"/>
    </row>
    <row r="209" spans="1:45" x14ac:dyDescent="0.3">
      <c r="B209" s="938" t="s">
        <v>1074</v>
      </c>
      <c r="C209" s="93"/>
      <c r="D209" s="21"/>
      <c r="E209" s="21"/>
      <c r="F209" s="21"/>
      <c r="G209" s="21"/>
      <c r="H209" s="1084"/>
      <c r="I209" s="4"/>
      <c r="J209" s="178"/>
      <c r="K209" s="178"/>
      <c r="L209" s="1292"/>
      <c r="M209" s="1411"/>
      <c r="N209" s="4"/>
      <c r="O209" s="1310"/>
      <c r="P209"/>
      <c r="Q209"/>
      <c r="R209"/>
      <c r="S209"/>
      <c r="T209"/>
      <c r="U209"/>
      <c r="V209"/>
      <c r="W209"/>
      <c r="X209" s="1303"/>
    </row>
    <row r="210" spans="1:45" x14ac:dyDescent="0.3">
      <c r="B210" s="938" t="s">
        <v>1074</v>
      </c>
      <c r="C210" s="93"/>
      <c r="D210" s="21"/>
      <c r="E210" s="21"/>
      <c r="F210" s="21"/>
      <c r="G210" s="21"/>
      <c r="H210" s="1084"/>
      <c r="I210" s="4"/>
      <c r="J210" s="178"/>
      <c r="K210" s="178"/>
      <c r="L210" s="1292"/>
      <c r="M210" s="1411"/>
      <c r="N210" s="4"/>
      <c r="O210" s="1310"/>
      <c r="P210"/>
      <c r="Q210"/>
      <c r="R210"/>
      <c r="S210"/>
      <c r="T210"/>
      <c r="U210"/>
      <c r="V210"/>
      <c r="W210"/>
      <c r="X210" s="1303"/>
    </row>
    <row r="211" spans="1:45" ht="15" customHeight="1" x14ac:dyDescent="0.3">
      <c r="B211" s="938" t="s">
        <v>1074</v>
      </c>
      <c r="C211" s="93"/>
      <c r="D211" s="21"/>
      <c r="E211" s="21"/>
      <c r="F211" s="21"/>
      <c r="G211" s="21"/>
      <c r="H211" s="1084"/>
      <c r="I211" s="4"/>
      <c r="J211" s="178"/>
      <c r="K211" s="178"/>
      <c r="L211" s="1292"/>
      <c r="M211" s="1411"/>
      <c r="N211" s="4"/>
      <c r="O211" s="1310"/>
      <c r="P211"/>
      <c r="Q211"/>
      <c r="R211"/>
      <c r="S211"/>
      <c r="T211"/>
      <c r="U211"/>
      <c r="V211"/>
      <c r="W211"/>
      <c r="X211" s="1303"/>
    </row>
    <row r="212" spans="1:45" s="511" customFormat="1" ht="15" customHeight="1" x14ac:dyDescent="0.3">
      <c r="A212" s="18"/>
      <c r="B212" s="938" t="s">
        <v>1074</v>
      </c>
      <c r="C212" s="93"/>
      <c r="D212" s="21"/>
      <c r="E212" s="21" t="s">
        <v>121</v>
      </c>
      <c r="F212" s="21"/>
      <c r="G212" s="21"/>
      <c r="H212" s="1084"/>
      <c r="I212" s="4"/>
      <c r="J212" s="524"/>
      <c r="K212" s="626" t="s">
        <v>121</v>
      </c>
      <c r="L212" s="543" t="s">
        <v>3705</v>
      </c>
      <c r="M212" s="569">
        <f>IFERROR(INDEX({1,1,2,3,3,4,4,4},T239),0)</f>
        <v>3</v>
      </c>
      <c r="N212" s="4"/>
      <c r="O212" s="154"/>
      <c r="X212" s="1303"/>
      <c r="Y212" s="1107"/>
      <c r="AA212" s="1110"/>
      <c r="AL212" s="311" t="str">
        <f t="shared" ref="AL212:AL214" si="9">SUBSTITUTE(SUBSTITUTE(SUBSTITUTE("dpa"&amp;$B212&amp;$C212&amp;$D212&amp;$E212&amp;$F212,".","_"),"(","_"),")","")</f>
        <v>dpa703_2_5_2_a</v>
      </c>
      <c r="AM212" s="311">
        <f>M212</f>
        <v>3</v>
      </c>
    </row>
    <row r="213" spans="1:45" s="511" customFormat="1" ht="15" customHeight="1" x14ac:dyDescent="0.3">
      <c r="A213" s="18"/>
      <c r="B213" s="938" t="s">
        <v>1074</v>
      </c>
      <c r="C213" s="93"/>
      <c r="D213" s="21"/>
      <c r="E213" s="21" t="s">
        <v>122</v>
      </c>
      <c r="F213" s="21"/>
      <c r="G213" s="21"/>
      <c r="H213" s="1084"/>
      <c r="I213" s="4"/>
      <c r="J213" s="524"/>
      <c r="K213" s="626" t="s">
        <v>122</v>
      </c>
      <c r="L213" s="543" t="s">
        <v>3702</v>
      </c>
      <c r="M213" s="569">
        <f>IFERROR(INDEX({2,3,4,4,4,5,5,4},T239),0)</f>
        <v>4</v>
      </c>
      <c r="N213" s="4"/>
      <c r="O213" s="154"/>
      <c r="X213" s="1303"/>
      <c r="Y213" s="1107"/>
      <c r="AA213" s="1110"/>
      <c r="AL213" s="311" t="str">
        <f t="shared" si="9"/>
        <v>dpa703_2_5_2_b</v>
      </c>
      <c r="AM213" s="311">
        <f>M213</f>
        <v>4</v>
      </c>
    </row>
    <row r="214" spans="1:45" s="511" customFormat="1" ht="15" customHeight="1" x14ac:dyDescent="0.3">
      <c r="A214" s="18"/>
      <c r="B214" s="938" t="s">
        <v>1074</v>
      </c>
      <c r="C214" s="93"/>
      <c r="D214" s="21"/>
      <c r="E214" s="21" t="s">
        <v>123</v>
      </c>
      <c r="F214" s="21"/>
      <c r="G214" s="21"/>
      <c r="H214" s="1084"/>
      <c r="I214" s="238"/>
      <c r="J214" s="545"/>
      <c r="K214" s="651" t="s">
        <v>123</v>
      </c>
      <c r="L214" s="364" t="s">
        <v>3701</v>
      </c>
      <c r="M214" s="157">
        <f>IF(T240,3,1)*IFERROR(INDEX({0,0,0,6,6,6,6,6},T239),0)</f>
        <v>6</v>
      </c>
      <c r="N214" s="4"/>
      <c r="O214" s="154"/>
      <c r="X214" s="1303"/>
      <c r="Y214" s="1107"/>
      <c r="AA214" s="1110"/>
      <c r="AL214" s="311" t="str">
        <f t="shared" si="9"/>
        <v>dpa703_2_5_2_c</v>
      </c>
      <c r="AM214" s="311">
        <f>M214</f>
        <v>6</v>
      </c>
    </row>
    <row r="215" spans="1:45" x14ac:dyDescent="0.3">
      <c r="B215" s="938" t="s">
        <v>1076</v>
      </c>
      <c r="C215" s="93"/>
      <c r="D215" s="21"/>
      <c r="E215" s="21"/>
      <c r="F215" s="21"/>
      <c r="G215" s="21"/>
      <c r="H215" s="1084"/>
      <c r="I215" s="606" t="s">
        <v>1076</v>
      </c>
      <c r="J215" s="544"/>
      <c r="K215" s="97"/>
      <c r="L215" s="1313" t="s">
        <v>1077</v>
      </c>
      <c r="M215" s="552"/>
      <c r="N215" s="140"/>
      <c r="O215" s="598"/>
      <c r="P215" s="97" t="b">
        <v>1</v>
      </c>
      <c r="Q215" s="97" t="b">
        <v>1</v>
      </c>
      <c r="R215" s="97" t="b">
        <v>0</v>
      </c>
      <c r="S215" s="97" t="b">
        <f ca="1">(S13=2)</f>
        <v>0</v>
      </c>
      <c r="T215" s="97" t="b">
        <f ca="1">AND(NOT(S215),LEN(W215)&gt;0)</f>
        <v>0</v>
      </c>
      <c r="U215" s="97" t="str">
        <f>SUBSTITUTE(SUBSTITUTE(SUBSTITUTE("dd"&amp;B215&amp;C215&amp;D215&amp;E215&amp;F215,".","_"),"(","_"),")","")</f>
        <v>dd703_2_5_2_1</v>
      </c>
      <c r="V215" s="97"/>
      <c r="W215" s="114"/>
      <c r="X215" s="1295"/>
      <c r="AC215" s="511" t="b">
        <f ca="1">OR(AD215:AE215)</f>
        <v>0</v>
      </c>
      <c r="AD215" s="511" t="b">
        <f ca="1">T215</f>
        <v>0</v>
      </c>
      <c r="AE215" s="511" t="b">
        <f>AND(R215,OR(W215="Not Met",W215=""))</f>
        <v>0</v>
      </c>
      <c r="AP215" s="311" t="str">
        <f>SUBSTITUTE(SUBSTITUTE(SUBSTITUTE("dch"&amp;$B215&amp;$C215&amp;$D215&amp;$E215&amp;$F215,".","_"),"(","_"),")","")</f>
        <v>dch703_2_5_2_1</v>
      </c>
      <c r="AQ215" s="311">
        <f>W215</f>
        <v>0</v>
      </c>
      <c r="AR215" s="311" t="str">
        <f>SUBSTITUTE(SUBSTITUTE(SUBSTITUTE("dnt"&amp;$B215&amp;$C215&amp;$D215&amp;$E215&amp;$F215,".","_"),"(","_"),")","")</f>
        <v>dnt703_2_5_2_1</v>
      </c>
      <c r="AS215" s="311">
        <f>X215</f>
        <v>0</v>
      </c>
    </row>
    <row r="216" spans="1:45" x14ac:dyDescent="0.3">
      <c r="B216" s="938" t="s">
        <v>1076</v>
      </c>
      <c r="C216" s="93"/>
      <c r="D216" s="21"/>
      <c r="E216" s="21"/>
      <c r="F216" s="21"/>
      <c r="G216" s="21"/>
      <c r="H216" s="1084"/>
      <c r="I216" s="140"/>
      <c r="J216" s="544"/>
      <c r="K216" s="544"/>
      <c r="L216" s="1313"/>
      <c r="M216" s="552"/>
      <c r="N216" s="140"/>
      <c r="O216" s="598"/>
      <c r="P216" s="97"/>
      <c r="Q216" s="97"/>
      <c r="R216" s="97"/>
      <c r="S216" s="97"/>
      <c r="T216" s="97"/>
      <c r="U216" s="97"/>
      <c r="V216" s="97"/>
      <c r="W216" s="97"/>
      <c r="X216" s="1295"/>
    </row>
    <row r="217" spans="1:45" x14ac:dyDescent="0.3">
      <c r="B217" s="938" t="s">
        <v>1076</v>
      </c>
      <c r="C217" s="93"/>
      <c r="D217" s="21"/>
      <c r="E217" s="21"/>
      <c r="F217" s="21"/>
      <c r="G217" s="21"/>
      <c r="H217" s="1084"/>
      <c r="I217" s="140"/>
      <c r="J217" s="544"/>
      <c r="K217" s="544"/>
      <c r="L217" s="1313"/>
      <c r="M217" s="552"/>
      <c r="N217" s="140"/>
      <c r="O217" s="598"/>
      <c r="P217" s="97"/>
      <c r="Q217" s="97"/>
      <c r="R217" s="97"/>
      <c r="S217" s="97"/>
      <c r="T217" s="97"/>
      <c r="U217" s="97"/>
      <c r="V217" s="97"/>
      <c r="W217" s="97"/>
      <c r="X217" s="1295"/>
    </row>
    <row r="218" spans="1:45" x14ac:dyDescent="0.3">
      <c r="B218" s="938" t="s">
        <v>1076</v>
      </c>
      <c r="C218" s="93"/>
      <c r="D218" s="21"/>
      <c r="E218" s="21"/>
      <c r="F218" s="21"/>
      <c r="G218" s="21"/>
      <c r="H218" s="1084"/>
      <c r="I218" s="140"/>
      <c r="J218" s="544"/>
      <c r="K218" s="544"/>
      <c r="L218" s="1313"/>
      <c r="M218" s="552"/>
      <c r="N218" s="140"/>
      <c r="O218" s="598"/>
      <c r="P218" s="97"/>
      <c r="Q218" s="97"/>
      <c r="R218" s="97"/>
      <c r="S218" s="97"/>
      <c r="T218" s="97"/>
      <c r="U218" s="97"/>
      <c r="V218" s="97"/>
      <c r="W218" s="97"/>
      <c r="X218" s="1295"/>
    </row>
    <row r="219" spans="1:45" x14ac:dyDescent="0.3">
      <c r="B219" s="938" t="s">
        <v>1076</v>
      </c>
      <c r="C219" s="93"/>
      <c r="D219" s="21"/>
      <c r="E219" s="21"/>
      <c r="F219" s="21"/>
      <c r="G219" s="21"/>
      <c r="H219" s="1084"/>
      <c r="I219" s="140"/>
      <c r="J219" s="544"/>
      <c r="K219" s="544"/>
      <c r="L219" s="1313"/>
      <c r="M219" s="552"/>
      <c r="N219" s="140"/>
      <c r="O219" s="598"/>
      <c r="P219" s="97"/>
      <c r="Q219" s="97"/>
      <c r="R219" s="97"/>
      <c r="S219" s="97"/>
      <c r="T219" s="97"/>
      <c r="U219" s="97"/>
      <c r="V219" s="97"/>
      <c r="W219" s="97"/>
      <c r="X219" s="1295"/>
    </row>
    <row r="220" spans="1:45" x14ac:dyDescent="0.3">
      <c r="B220" s="938" t="s">
        <v>1076</v>
      </c>
      <c r="C220" s="93"/>
      <c r="D220" s="21"/>
      <c r="E220" s="21"/>
      <c r="F220" s="21"/>
      <c r="G220" s="21"/>
      <c r="H220" s="1084"/>
      <c r="I220" s="140"/>
      <c r="J220" s="544"/>
      <c r="K220" s="544"/>
      <c r="L220" s="1313"/>
      <c r="M220" s="552"/>
      <c r="N220" s="140"/>
      <c r="O220" s="598"/>
      <c r="P220" s="97"/>
      <c r="Q220" s="97"/>
      <c r="R220" s="97"/>
      <c r="S220" s="97"/>
      <c r="T220" s="97"/>
      <c r="U220" s="97"/>
      <c r="V220" s="97"/>
      <c r="W220" s="97"/>
      <c r="X220" s="1295"/>
    </row>
    <row r="221" spans="1:45" x14ac:dyDescent="0.3">
      <c r="B221" s="938" t="s">
        <v>1076</v>
      </c>
      <c r="C221" s="93"/>
      <c r="D221" s="21"/>
      <c r="E221" s="21"/>
      <c r="F221" s="21"/>
      <c r="G221" s="21"/>
      <c r="H221" s="1084"/>
      <c r="I221" s="140"/>
      <c r="J221" s="544"/>
      <c r="K221" s="544"/>
      <c r="L221" s="1313"/>
      <c r="M221" s="552"/>
      <c r="N221" s="140"/>
      <c r="O221" s="598"/>
      <c r="P221" s="97"/>
      <c r="Q221" s="97"/>
      <c r="R221" s="97"/>
      <c r="S221" s="97"/>
      <c r="T221" s="97"/>
      <c r="U221" s="97"/>
      <c r="V221" s="97"/>
      <c r="W221" s="97"/>
      <c r="X221" s="1295"/>
    </row>
    <row r="222" spans="1:45" ht="15" thickBot="1" x14ac:dyDescent="0.35">
      <c r="B222" s="938" t="s">
        <v>1076</v>
      </c>
      <c r="C222" s="93"/>
      <c r="D222" s="21"/>
      <c r="E222" s="21"/>
      <c r="F222" s="21"/>
      <c r="G222" s="21"/>
      <c r="H222" s="1084"/>
      <c r="I222" s="270"/>
      <c r="J222" s="558"/>
      <c r="K222" s="558"/>
      <c r="L222" s="1332"/>
      <c r="M222" s="618"/>
      <c r="N222" s="270"/>
      <c r="O222" s="600"/>
      <c r="P222" s="104"/>
      <c r="Q222" s="104"/>
      <c r="R222" s="104"/>
      <c r="S222" s="104"/>
      <c r="T222" s="104"/>
      <c r="U222" s="104"/>
      <c r="V222" s="104"/>
      <c r="W222" s="104"/>
      <c r="X222" s="1296"/>
    </row>
    <row r="223" spans="1:45" ht="15" thickTop="1" x14ac:dyDescent="0.3">
      <c r="B223" s="938" t="s">
        <v>1078</v>
      </c>
      <c r="C223" s="93"/>
      <c r="D223" s="21"/>
      <c r="E223" s="21"/>
      <c r="F223" s="21"/>
      <c r="G223" s="21"/>
      <c r="H223" s="1084"/>
      <c r="I223" s="27">
        <v>703.3</v>
      </c>
      <c r="J223" s="178"/>
      <c r="K223" s="178"/>
      <c r="L223" s="184" t="s">
        <v>1079</v>
      </c>
      <c r="M223" s="522"/>
      <c r="N223" s="4"/>
      <c r="O223" s="154"/>
      <c r="P223"/>
      <c r="Q223"/>
      <c r="R223"/>
      <c r="S223"/>
      <c r="T223"/>
      <c r="U223"/>
      <c r="V223"/>
      <c r="W223"/>
      <c r="X223"/>
    </row>
    <row r="224" spans="1:45" x14ac:dyDescent="0.3">
      <c r="B224" s="938" t="s">
        <v>1078</v>
      </c>
      <c r="C224" s="93"/>
      <c r="D224" s="21" t="s">
        <v>271</v>
      </c>
      <c r="E224" s="21"/>
      <c r="F224" s="21"/>
      <c r="G224" s="21"/>
      <c r="H224" s="1084"/>
      <c r="I224" s="68" t="s">
        <v>1078</v>
      </c>
      <c r="J224" s="178"/>
      <c r="K224" s="178"/>
      <c r="L224" s="1292" t="s">
        <v>1080</v>
      </c>
      <c r="M224" s="522"/>
      <c r="N224" s="4"/>
      <c r="O224" s="154"/>
      <c r="P224"/>
      <c r="Q224"/>
      <c r="R224"/>
      <c r="S224"/>
      <c r="T224"/>
      <c r="U224"/>
      <c r="V224"/>
      <c r="W224" t="s">
        <v>4036</v>
      </c>
      <c r="X224" s="1303"/>
      <c r="AR224" s="311" t="str">
        <f>SUBSTITUTE(SUBSTITUTE(SUBSTITUTE("dnt"&amp;$B224&amp;$C224&amp;$D224&amp;$E224&amp;$F224,".","_"),"(","_"),")","")</f>
        <v>dnt703_3_0_1</v>
      </c>
      <c r="AS224" s="311">
        <f>X224</f>
        <v>0</v>
      </c>
    </row>
    <row r="225" spans="2:45" x14ac:dyDescent="0.3">
      <c r="B225" s="938" t="s">
        <v>1078</v>
      </c>
      <c r="C225" s="93"/>
      <c r="D225" s="21" t="s">
        <v>271</v>
      </c>
      <c r="E225" s="21"/>
      <c r="F225" s="21"/>
      <c r="G225" s="21"/>
      <c r="H225" s="1084"/>
      <c r="I225" s="4"/>
      <c r="J225" s="178"/>
      <c r="K225" s="178"/>
      <c r="L225" s="1292"/>
      <c r="M225" s="522"/>
      <c r="N225" s="4"/>
      <c r="O225" s="154"/>
      <c r="P225" s="97" t="b">
        <v>1</v>
      </c>
      <c r="Q225" s="97" t="b">
        <v>1</v>
      </c>
      <c r="R225" s="488" t="b">
        <v>0</v>
      </c>
      <c r="S225" s="488" t="b">
        <f ca="1">(S13=2)</f>
        <v>0</v>
      </c>
      <c r="T225" s="97" t="b">
        <f ca="1">AND(NOT(S225),LEN(W225)&gt;0)</f>
        <v>0</v>
      </c>
      <c r="U225" s="97" t="str">
        <f>SUBSTITUTE(SUBSTITUTE(SUBSTITUTE("dd"&amp;B225&amp;C225&amp;D225&amp;E225&amp;F225,".","_"),"(","_"),")","")</f>
        <v>dd703_3_0_1</v>
      </c>
      <c r="V225"/>
      <c r="W225" s="12"/>
      <c r="X225" s="1303"/>
      <c r="AC225" s="782" t="b">
        <f ca="1">OR(AD225:AE225)</f>
        <v>0</v>
      </c>
      <c r="AD225" s="782" t="b">
        <f ca="1">T225</f>
        <v>0</v>
      </c>
      <c r="AE225" s="782" t="b">
        <f ca="1">AND(W225=INDEX(INDIRECT(U225),1),LEN(X224)=0)</f>
        <v>0</v>
      </c>
      <c r="AP225" s="311" t="str">
        <f>SUBSTITUTE(SUBSTITUTE(SUBSTITUTE("dch"&amp;$B225&amp;$C225&amp;$D225&amp;$E225&amp;$F225,".","_"),"(","_"),")","")</f>
        <v>dch703_3_0_1</v>
      </c>
      <c r="AQ225" s="311">
        <f>W225</f>
        <v>0</v>
      </c>
    </row>
    <row r="226" spans="2:45" x14ac:dyDescent="0.3">
      <c r="B226" s="938" t="s">
        <v>1078</v>
      </c>
      <c r="C226" s="93"/>
      <c r="D226" s="21"/>
      <c r="E226" s="21"/>
      <c r="F226" s="21"/>
      <c r="G226" s="21"/>
      <c r="H226" s="1084"/>
      <c r="I226" s="4"/>
      <c r="J226" s="178"/>
      <c r="K226" s="178"/>
      <c r="L226" s="1292"/>
      <c r="M226" s="522"/>
      <c r="N226" s="4"/>
      <c r="O226" s="154"/>
      <c r="P226"/>
      <c r="Q226"/>
      <c r="X226" s="1303"/>
    </row>
    <row r="227" spans="2:45" x14ac:dyDescent="0.3">
      <c r="B227" s="938" t="s">
        <v>1078</v>
      </c>
      <c r="C227" s="93"/>
      <c r="D227" s="21"/>
      <c r="E227" s="21"/>
      <c r="F227" s="21"/>
      <c r="G227" s="21"/>
      <c r="H227" s="1084"/>
      <c r="I227" s="4"/>
      <c r="J227" s="178"/>
      <c r="K227" s="178"/>
      <c r="L227" s="1292"/>
      <c r="M227" s="522"/>
      <c r="N227" s="4"/>
      <c r="O227" s="154"/>
      <c r="P227"/>
      <c r="Q227"/>
      <c r="X227" s="1303"/>
    </row>
    <row r="228" spans="2:45" x14ac:dyDescent="0.3">
      <c r="B228" s="938" t="s">
        <v>1078</v>
      </c>
      <c r="C228" s="93"/>
      <c r="D228" s="21"/>
      <c r="E228" s="21"/>
      <c r="F228" s="21"/>
      <c r="G228" s="21"/>
      <c r="H228" s="1084"/>
      <c r="I228" s="4"/>
      <c r="J228" s="178"/>
      <c r="K228" s="178"/>
      <c r="L228" s="1292"/>
      <c r="M228" s="522"/>
      <c r="N228" s="4"/>
      <c r="O228" s="154"/>
      <c r="P228"/>
      <c r="Q228"/>
      <c r="R228"/>
      <c r="S228"/>
      <c r="T228"/>
      <c r="U228"/>
      <c r="V228"/>
      <c r="W228"/>
      <c r="X228" s="1303"/>
    </row>
    <row r="229" spans="2:45" x14ac:dyDescent="0.3">
      <c r="B229" s="938" t="s">
        <v>1078</v>
      </c>
      <c r="C229" s="93"/>
      <c r="D229" s="21"/>
      <c r="E229" s="21"/>
      <c r="F229" s="21"/>
      <c r="G229" s="21"/>
      <c r="H229" s="1084"/>
      <c r="I229" s="4"/>
      <c r="J229" s="178"/>
      <c r="K229" s="178"/>
      <c r="L229" s="1292"/>
      <c r="M229" s="522"/>
      <c r="N229" s="4"/>
      <c r="O229" s="154"/>
      <c r="P229"/>
      <c r="Q229"/>
      <c r="R229"/>
      <c r="S229"/>
      <c r="T229"/>
      <c r="U229"/>
      <c r="V229"/>
      <c r="X229" s="1303"/>
    </row>
    <row r="230" spans="2:45" x14ac:dyDescent="0.3">
      <c r="B230" s="938" t="s">
        <v>1078</v>
      </c>
      <c r="C230" s="93"/>
      <c r="D230" s="21" t="s">
        <v>273</v>
      </c>
      <c r="E230" s="21"/>
      <c r="F230" s="21"/>
      <c r="G230" s="21"/>
      <c r="H230" s="1084"/>
      <c r="I230" s="4"/>
      <c r="J230" s="178"/>
      <c r="K230" s="178"/>
      <c r="L230" s="1292"/>
      <c r="M230" s="522"/>
      <c r="N230" s="4"/>
      <c r="O230" s="154"/>
      <c r="P230"/>
      <c r="Q230"/>
      <c r="V230"/>
      <c r="W230" s="488" t="s">
        <v>4037</v>
      </c>
      <c r="X230" s="1303"/>
      <c r="AR230" s="311" t="str">
        <f>SUBSTITUTE(SUBSTITUTE(SUBSTITUTE("dnt"&amp;$B230&amp;$C230&amp;$D230&amp;$E230&amp;$F230,".","_"),"(","_"),")","")</f>
        <v>dnt703_3_0_2</v>
      </c>
      <c r="AS230" s="311">
        <f>X230</f>
        <v>0</v>
      </c>
    </row>
    <row r="231" spans="2:45" x14ac:dyDescent="0.3">
      <c r="B231" s="938" t="s">
        <v>1078</v>
      </c>
      <c r="C231" s="93"/>
      <c r="D231" s="21" t="s">
        <v>273</v>
      </c>
      <c r="E231" s="21"/>
      <c r="F231" s="21"/>
      <c r="G231" s="21"/>
      <c r="H231" s="1084"/>
      <c r="I231" s="4"/>
      <c r="J231" s="178"/>
      <c r="K231" s="178"/>
      <c r="L231" s="1292"/>
      <c r="M231" s="522"/>
      <c r="N231" s="4"/>
      <c r="O231" s="154"/>
      <c r="P231" s="97" t="b">
        <v>1</v>
      </c>
      <c r="Q231" s="97" t="b">
        <v>1</v>
      </c>
      <c r="R231" s="488" t="b">
        <v>0</v>
      </c>
      <c r="S231" s="488" t="b">
        <f ca="1">(S13=2)</f>
        <v>0</v>
      </c>
      <c r="T231" s="97" t="b">
        <f ca="1">AND(NOT(S231),LEN(W231)&gt;0)</f>
        <v>0</v>
      </c>
      <c r="U231" s="97" t="str">
        <f>SUBSTITUTE(SUBSTITUTE(SUBSTITUTE("dd"&amp;B231&amp;C231&amp;D231&amp;E231&amp;F231,".","_"),"(","_"),")","")</f>
        <v>dd703_3_0_2</v>
      </c>
      <c r="V231"/>
      <c r="W231" s="12"/>
      <c r="X231" s="1303"/>
      <c r="AC231" s="782" t="b">
        <f ca="1">OR(AD231:AE231)</f>
        <v>0</v>
      </c>
      <c r="AD231" s="782" t="b">
        <f ca="1">T231</f>
        <v>0</v>
      </c>
      <c r="AE231" s="782" t="b">
        <f ca="1">AND(W231=INDEX(INDIRECT(U231),1),LEN(X230)=0)</f>
        <v>0</v>
      </c>
      <c r="AP231" s="311" t="str">
        <f>SUBSTITUTE(SUBSTITUTE(SUBSTITUTE("dch"&amp;$B231&amp;$C231&amp;$D231&amp;$E231&amp;$F231,".","_"),"(","_"),")","")</f>
        <v>dch703_3_0_2</v>
      </c>
      <c r="AQ231" s="311">
        <f>W231</f>
        <v>0</v>
      </c>
    </row>
    <row r="232" spans="2:45" x14ac:dyDescent="0.3">
      <c r="B232" s="938" t="s">
        <v>1078</v>
      </c>
      <c r="C232" s="93"/>
      <c r="D232" s="21"/>
      <c r="E232" s="21"/>
      <c r="F232" s="21"/>
      <c r="G232" s="21"/>
      <c r="H232" s="1084"/>
      <c r="I232" s="4"/>
      <c r="J232" s="178"/>
      <c r="K232" s="178"/>
      <c r="L232" s="1399" t="s">
        <v>1300</v>
      </c>
      <c r="M232" s="522"/>
      <c r="N232" s="4"/>
      <c r="O232" s="154"/>
      <c r="P232"/>
      <c r="Q232"/>
      <c r="R232"/>
      <c r="S232"/>
      <c r="T232"/>
      <c r="U232"/>
      <c r="V232"/>
      <c r="W232"/>
      <c r="X232" s="1303"/>
    </row>
    <row r="233" spans="2:45" x14ac:dyDescent="0.3">
      <c r="B233" s="938" t="s">
        <v>1078</v>
      </c>
      <c r="C233" s="93"/>
      <c r="D233" s="21"/>
      <c r="E233" s="21"/>
      <c r="F233" s="21"/>
      <c r="G233" s="21"/>
      <c r="H233" s="1084"/>
      <c r="I233" s="4"/>
      <c r="J233" s="178"/>
      <c r="K233" s="178"/>
      <c r="L233" s="1399"/>
      <c r="M233" s="522"/>
      <c r="N233" s="4"/>
      <c r="O233" s="154"/>
      <c r="P233"/>
      <c r="Q233"/>
      <c r="R233"/>
      <c r="S233"/>
      <c r="T233"/>
      <c r="U233"/>
      <c r="V233"/>
      <c r="W233"/>
      <c r="X233" s="1303"/>
    </row>
    <row r="234" spans="2:45" x14ac:dyDescent="0.3">
      <c r="B234" s="938" t="s">
        <v>1078</v>
      </c>
      <c r="C234" s="93"/>
      <c r="D234" s="21"/>
      <c r="E234" s="21"/>
      <c r="F234" s="21"/>
      <c r="G234" s="21"/>
      <c r="H234" s="1084"/>
      <c r="I234" s="4"/>
      <c r="J234" s="178"/>
      <c r="K234" s="178"/>
      <c r="L234" s="262" t="s">
        <v>1081</v>
      </c>
      <c r="M234" s="522"/>
      <c r="N234" s="4"/>
      <c r="O234" s="154"/>
      <c r="P234"/>
      <c r="Q234"/>
      <c r="R234"/>
      <c r="S234"/>
      <c r="T234"/>
      <c r="U234"/>
      <c r="V234"/>
      <c r="W234"/>
      <c r="X234" s="1303"/>
    </row>
    <row r="235" spans="2:45" x14ac:dyDescent="0.3">
      <c r="B235" s="938" t="s">
        <v>1078</v>
      </c>
      <c r="C235" s="93"/>
      <c r="D235" s="21"/>
      <c r="E235" s="21"/>
      <c r="F235" s="21"/>
      <c r="G235" s="21"/>
      <c r="H235" s="1084"/>
      <c r="I235" s="140"/>
      <c r="J235" s="544"/>
      <c r="K235" s="544"/>
      <c r="L235" s="638" t="s">
        <v>1082</v>
      </c>
      <c r="M235" s="522"/>
      <c r="N235" s="4"/>
      <c r="O235" s="154"/>
      <c r="P235"/>
      <c r="Q235"/>
      <c r="R235"/>
      <c r="S235"/>
      <c r="T235"/>
      <c r="U235"/>
      <c r="V235"/>
      <c r="W235"/>
      <c r="X235" s="1303"/>
    </row>
    <row r="236" spans="2:45" x14ac:dyDescent="0.3">
      <c r="B236" s="938" t="s">
        <v>1078</v>
      </c>
      <c r="C236" s="93"/>
      <c r="D236" s="21"/>
      <c r="E236" s="21"/>
      <c r="F236" s="21"/>
      <c r="G236" s="21"/>
      <c r="H236" s="1084"/>
      <c r="I236" s="238"/>
      <c r="J236" s="545"/>
      <c r="K236" s="545"/>
      <c r="L236" s="639" t="s">
        <v>1083</v>
      </c>
      <c r="M236" s="522"/>
      <c r="N236" s="4"/>
      <c r="O236" s="154"/>
      <c r="P236"/>
      <c r="Q236"/>
      <c r="R236"/>
      <c r="S236"/>
      <c r="T236"/>
      <c r="U236"/>
      <c r="V236"/>
      <c r="W236"/>
      <c r="X236" s="1303"/>
    </row>
    <row r="237" spans="2:45" x14ac:dyDescent="0.3">
      <c r="B237" s="938" t="s">
        <v>1084</v>
      </c>
      <c r="C237" s="93"/>
      <c r="D237" s="21"/>
      <c r="E237" s="21"/>
      <c r="F237" s="21"/>
      <c r="G237" s="21"/>
      <c r="H237" s="1084"/>
      <c r="I237" s="606" t="s">
        <v>1084</v>
      </c>
      <c r="J237" s="544"/>
      <c r="K237" s="544"/>
      <c r="L237" s="1313" t="s">
        <v>1085</v>
      </c>
      <c r="M237" s="1360">
        <v>4</v>
      </c>
      <c r="N237" s="140"/>
      <c r="O237" s="1308">
        <f ca="1">M237*S237*W237</f>
        <v>0</v>
      </c>
      <c r="P237" s="97" t="b">
        <v>1</v>
      </c>
      <c r="Q237" s="97" t="b">
        <v>1</v>
      </c>
      <c r="R237" s="145" t="b">
        <v>0</v>
      </c>
      <c r="S237" s="150" t="b">
        <f ca="1">(S13=2)</f>
        <v>0</v>
      </c>
      <c r="T237" s="97" t="b">
        <f ca="1">AND(NOT(S237),W237=TRUE)</f>
        <v>0</v>
      </c>
      <c r="U237"/>
      <c r="V237"/>
      <c r="W237" s="25"/>
      <c r="X237" s="1303"/>
      <c r="AC237" s="511" t="b">
        <f ca="1">OR(AD237:AE237)</f>
        <v>0</v>
      </c>
      <c r="AD237" s="511" t="b">
        <f ca="1">T237</f>
        <v>0</v>
      </c>
      <c r="AE237" s="511" t="b">
        <f>AND(R237,NOT(W237))</f>
        <v>0</v>
      </c>
      <c r="AL237" s="311" t="str">
        <f>SUBSTITUTE(SUBSTITUTE(SUBSTITUTE("dpa"&amp;$B237&amp;$C237&amp;$D237&amp;$E237&amp;$F237,".","_"),"(","_"),")","")</f>
        <v>dpa703_3_1</v>
      </c>
      <c r="AM237" s="311">
        <f>M237</f>
        <v>4</v>
      </c>
      <c r="AN237" s="311" t="str">
        <f>SUBSTITUTE(SUBSTITUTE(SUBSTITUTE("dpc"&amp;$B237&amp;$C237&amp;$D237&amp;$E237&amp;$F237,".","_"),"(","_"),")","")</f>
        <v>dpc703_3_1</v>
      </c>
      <c r="AO237" s="311">
        <f ca="1">O237</f>
        <v>0</v>
      </c>
      <c r="AP237" s="311" t="str">
        <f>SUBSTITUTE(SUBSTITUTE(SUBSTITUTE("dch"&amp;$B237&amp;$C237&amp;$D237&amp;$E237&amp;$F237,".","_"),"(","_"),")","")</f>
        <v>dch703_3_1</v>
      </c>
      <c r="AQ237" s="311">
        <f>W237</f>
        <v>0</v>
      </c>
      <c r="AR237" s="311" t="str">
        <f>SUBSTITUTE(SUBSTITUTE(SUBSTITUTE("dnt"&amp;$B237&amp;$C237&amp;$D237&amp;$E237&amp;$F237,".","_"),"(","_"),")","")</f>
        <v>dnt703_3_1</v>
      </c>
      <c r="AS237" s="311">
        <f>X237</f>
        <v>0</v>
      </c>
    </row>
    <row r="238" spans="2:45" x14ac:dyDescent="0.3">
      <c r="B238" s="938" t="s">
        <v>1084</v>
      </c>
      <c r="C238" s="93"/>
      <c r="D238" s="21"/>
      <c r="E238" s="21"/>
      <c r="F238" s="21"/>
      <c r="G238" s="21"/>
      <c r="H238" s="1084"/>
      <c r="I238" s="140"/>
      <c r="J238" s="544"/>
      <c r="K238" s="544"/>
      <c r="L238" s="1313"/>
      <c r="M238" s="1360"/>
      <c r="N238" s="140"/>
      <c r="O238" s="1308"/>
      <c r="P238"/>
      <c r="Q238"/>
      <c r="U238"/>
      <c r="V238"/>
      <c r="W238"/>
      <c r="X238" s="1303"/>
    </row>
    <row r="239" spans="2:45" x14ac:dyDescent="0.3">
      <c r="B239" s="938" t="s">
        <v>1084</v>
      </c>
      <c r="C239" s="93"/>
      <c r="D239" s="21"/>
      <c r="E239" s="21"/>
      <c r="F239" s="21"/>
      <c r="G239" s="21"/>
      <c r="H239" s="1084"/>
      <c r="I239" s="140"/>
      <c r="J239" s="544"/>
      <c r="K239" s="544"/>
      <c r="L239" s="1313"/>
      <c r="M239" s="1360"/>
      <c r="N239" s="140"/>
      <c r="O239" s="1308"/>
      <c r="P239"/>
      <c r="Q239"/>
      <c r="S239" s="479" t="s">
        <v>4044</v>
      </c>
      <c r="T239" s="1">
        <f>BF16</f>
        <v>4</v>
      </c>
      <c r="U239"/>
      <c r="V239"/>
      <c r="W239"/>
      <c r="X239" s="1303"/>
    </row>
    <row r="240" spans="2:45" x14ac:dyDescent="0.3">
      <c r="B240" s="938" t="s">
        <v>1084</v>
      </c>
      <c r="C240" s="93"/>
      <c r="D240" s="21"/>
      <c r="E240" s="21"/>
      <c r="F240" s="21"/>
      <c r="G240" s="21"/>
      <c r="H240" s="1084"/>
      <c r="I240" s="140"/>
      <c r="J240" s="544"/>
      <c r="K240" s="544"/>
      <c r="L240" s="1313"/>
      <c r="M240" s="1360"/>
      <c r="N240" s="140"/>
      <c r="O240" s="1308"/>
      <c r="P240"/>
      <c r="Q240"/>
      <c r="R240" s="1"/>
      <c r="S240" s="479" t="s">
        <v>3911</v>
      </c>
      <c r="T240" s="1" t="b">
        <f>AND(AY25&gt;4,AY19=INDEX(ddSingleOrMulti,2))</f>
        <v>0</v>
      </c>
      <c r="U240"/>
      <c r="V240"/>
      <c r="W240"/>
      <c r="X240" s="1303"/>
    </row>
    <row r="241" spans="1:45" x14ac:dyDescent="0.3">
      <c r="B241" s="938" t="s">
        <v>1084</v>
      </c>
      <c r="C241" s="93"/>
      <c r="D241" s="21"/>
      <c r="E241" s="21"/>
      <c r="F241" s="21"/>
      <c r="G241" s="21"/>
      <c r="H241" s="1084"/>
      <c r="I241" s="238"/>
      <c r="J241" s="545"/>
      <c r="K241" s="545"/>
      <c r="L241" s="1350"/>
      <c r="M241" s="1363"/>
      <c r="N241" s="238"/>
      <c r="O241" s="1309"/>
      <c r="P241"/>
      <c r="Q241"/>
      <c r="R241"/>
      <c r="S241"/>
      <c r="T241"/>
      <c r="U241"/>
      <c r="V241"/>
      <c r="W241"/>
      <c r="X241" s="1303"/>
    </row>
    <row r="242" spans="1:45" x14ac:dyDescent="0.3">
      <c r="B242" s="938" t="s">
        <v>1086</v>
      </c>
      <c r="C242" s="93"/>
      <c r="D242" s="21"/>
      <c r="E242" s="21"/>
      <c r="F242" s="21"/>
      <c r="G242" s="21"/>
      <c r="H242" s="1084"/>
      <c r="I242" s="68" t="s">
        <v>1086</v>
      </c>
      <c r="J242" s="178"/>
      <c r="K242" s="178"/>
      <c r="L242" s="184" t="s">
        <v>1087</v>
      </c>
      <c r="M242" s="525"/>
      <c r="N242" s="4"/>
      <c r="O242" s="154"/>
      <c r="P242"/>
      <c r="Q242"/>
      <c r="X242"/>
    </row>
    <row r="243" spans="1:45" x14ac:dyDescent="0.3">
      <c r="B243" s="938" t="s">
        <v>1086</v>
      </c>
      <c r="C243" s="93"/>
      <c r="D243" s="21" t="s">
        <v>271</v>
      </c>
      <c r="E243" s="21"/>
      <c r="F243" s="21"/>
      <c r="G243" s="21"/>
      <c r="H243" s="1084"/>
      <c r="I243" s="4"/>
      <c r="J243" s="260" t="s">
        <v>271</v>
      </c>
      <c r="K243" s="178"/>
      <c r="L243" s="178" t="s">
        <v>1088</v>
      </c>
      <c r="M243" s="522"/>
      <c r="N243" s="4"/>
      <c r="O243" s="154">
        <f ca="1">IFERROR(INDEX(M244:M248,MATCH(W244,{0.9,0.92,0.94,0.96,0.98},1)),0)*S244</f>
        <v>0</v>
      </c>
      <c r="P243"/>
      <c r="Q243"/>
      <c r="U243"/>
      <c r="V243"/>
      <c r="W243" t="s">
        <v>4053</v>
      </c>
      <c r="X243" s="1303"/>
      <c r="AN243" s="311" t="str">
        <f>SUBSTITUTE(SUBSTITUTE(SUBSTITUTE("dpc"&amp;$B243&amp;$C243&amp;$D243&amp;$E243&amp;$F243,".","_"),"(","_"),")","")</f>
        <v>dpc703_3_2 _1</v>
      </c>
      <c r="AO243" s="311">
        <f ca="1">O243</f>
        <v>0</v>
      </c>
      <c r="AR243" s="311" t="str">
        <f>SUBSTITUTE(SUBSTITUTE(SUBSTITUTE("dnt"&amp;$B243&amp;$C243&amp;$D243&amp;$E243&amp;$F243,".","_"),"(","_"),")","")</f>
        <v>dnt703_3_2 _1</v>
      </c>
      <c r="AS243" s="311">
        <f>X243</f>
        <v>0</v>
      </c>
    </row>
    <row r="244" spans="1:45" s="488" customFormat="1" x14ac:dyDescent="0.3">
      <c r="A244" s="18"/>
      <c r="B244" s="938" t="s">
        <v>1086</v>
      </c>
      <c r="C244" s="93"/>
      <c r="D244" s="21" t="s">
        <v>271</v>
      </c>
      <c r="E244" s="21" t="s">
        <v>271</v>
      </c>
      <c r="F244" s="21"/>
      <c r="G244" s="21"/>
      <c r="H244" s="1084"/>
      <c r="I244" s="4"/>
      <c r="J244" s="260"/>
      <c r="K244" s="489"/>
      <c r="L244" s="489" t="s">
        <v>4038</v>
      </c>
      <c r="M244" s="522">
        <f>IF(T240,IFERROR(INDEX({0,4,4,8,8,10,11,13},T239),0),IFERROR(INDEX({0,2,3,6,6,9,10,12},T239),0))</f>
        <v>6</v>
      </c>
      <c r="N244" s="4"/>
      <c r="O244" s="154"/>
      <c r="P244" s="97" t="b">
        <v>1</v>
      </c>
      <c r="Q244" s="97" t="b">
        <v>1</v>
      </c>
      <c r="R244" s="511" t="b">
        <v>0</v>
      </c>
      <c r="S244" s="511" t="b">
        <f ca="1">AND(S13=2,LEN(W250)=0,LEN(W253)=0,LEN(W258)=0,LEN(W264)=0,LEN(W268)=0,NOT(W280=TRUE),LEN(W285)=0)</f>
        <v>0</v>
      </c>
      <c r="T244" s="97" t="b">
        <f ca="1">AND(NOT(S244),LEN(W244)&gt;0)</f>
        <v>0</v>
      </c>
      <c r="U244"/>
      <c r="V244"/>
      <c r="W244" s="583"/>
      <c r="X244" s="1303"/>
      <c r="Y244" s="1107"/>
      <c r="AA244" s="1110"/>
      <c r="AC244" s="511" t="b">
        <f ca="1">OR(AD244:AE244)</f>
        <v>0</v>
      </c>
      <c r="AD244" s="511" t="b">
        <f ca="1">T244</f>
        <v>0</v>
      </c>
      <c r="AE244" s="511" t="b">
        <f>AND(R244,OR(W244="Not Met",W244=""))</f>
        <v>0</v>
      </c>
      <c r="AL244" s="311" t="str">
        <f t="shared" ref="AL244:AL248" si="10">SUBSTITUTE(SUBSTITUTE(SUBSTITUTE("dpa"&amp;$B244&amp;$C244&amp;$D244&amp;$E244&amp;$F244,".","_"),"(","_"),")","")</f>
        <v>dpa703_3_2 _1_1</v>
      </c>
      <c r="AM244" s="311">
        <f>M244</f>
        <v>6</v>
      </c>
      <c r="AP244" s="311" t="str">
        <f>SUBSTITUTE(SUBSTITUTE(SUBSTITUTE("dch"&amp;$B244&amp;$C244&amp;$D244&amp;$E244&amp;$F244,".","_"),"(","_"),")","")</f>
        <v>dch703_3_2 _1_1</v>
      </c>
      <c r="AQ244" s="311">
        <f>W244</f>
        <v>0</v>
      </c>
    </row>
    <row r="245" spans="1:45" s="488" customFormat="1" x14ac:dyDescent="0.3">
      <c r="A245" s="18"/>
      <c r="B245" s="938" t="s">
        <v>1086</v>
      </c>
      <c r="C245" s="93"/>
      <c r="D245" s="21" t="s">
        <v>271</v>
      </c>
      <c r="E245" s="21" t="s">
        <v>273</v>
      </c>
      <c r="F245" s="21"/>
      <c r="G245" s="21"/>
      <c r="H245" s="1084"/>
      <c r="I245" s="4"/>
      <c r="J245" s="260"/>
      <c r="K245" s="489"/>
      <c r="L245" s="489" t="s">
        <v>4039</v>
      </c>
      <c r="M245" s="522">
        <f>IF(T240,IFERROR(INDEX({0,4,4,9,10,11,12,14},T239),0),IFERROR(INDEX({0,2,4,7,8,10,12,14},T239),0))</f>
        <v>7</v>
      </c>
      <c r="N245" s="4"/>
      <c r="O245" s="154"/>
      <c r="X245" s="1303"/>
      <c r="Y245" s="1107"/>
      <c r="AA245" s="1110"/>
      <c r="AL245" s="311" t="str">
        <f t="shared" si="10"/>
        <v>dpa703_3_2 _1_2</v>
      </c>
      <c r="AM245" s="311">
        <f>M245</f>
        <v>7</v>
      </c>
    </row>
    <row r="246" spans="1:45" s="488" customFormat="1" x14ac:dyDescent="0.3">
      <c r="A246" s="18"/>
      <c r="B246" s="938" t="s">
        <v>1086</v>
      </c>
      <c r="C246" s="93"/>
      <c r="D246" s="21" t="s">
        <v>271</v>
      </c>
      <c r="E246" s="21" t="s">
        <v>275</v>
      </c>
      <c r="F246" s="21"/>
      <c r="G246" s="21"/>
      <c r="H246" s="1084"/>
      <c r="I246" s="4"/>
      <c r="J246" s="260"/>
      <c r="K246" s="489"/>
      <c r="L246" s="489" t="s">
        <v>4040</v>
      </c>
      <c r="M246" s="522">
        <f>IF(T240,IFERROR(INDEX({0,5,5,10,11,12,14,16},T239),0),IFERROR(INDEX({0,3,4,9,9,12,14,16},T239),0))</f>
        <v>9</v>
      </c>
      <c r="N246" s="4"/>
      <c r="O246" s="154"/>
      <c r="X246" s="1303"/>
      <c r="Y246" s="1107"/>
      <c r="AA246" s="1110"/>
      <c r="AL246" s="311" t="str">
        <f t="shared" si="10"/>
        <v>dpa703_3_2 _1_3</v>
      </c>
      <c r="AM246" s="311">
        <f>M246</f>
        <v>9</v>
      </c>
    </row>
    <row r="247" spans="1:45" s="488" customFormat="1" x14ac:dyDescent="0.3">
      <c r="A247" s="18"/>
      <c r="B247" s="938" t="s">
        <v>1086</v>
      </c>
      <c r="C247" s="93"/>
      <c r="D247" s="21" t="s">
        <v>271</v>
      </c>
      <c r="E247" s="21" t="s">
        <v>285</v>
      </c>
      <c r="F247" s="21"/>
      <c r="G247" s="21"/>
      <c r="H247" s="1084"/>
      <c r="I247" s="4"/>
      <c r="J247" s="260"/>
      <c r="K247" s="489"/>
      <c r="L247" s="489" t="s">
        <v>4041</v>
      </c>
      <c r="M247" s="522">
        <f>IF(T240,IFERROR(INDEX({0,5,5,12,12,13,15,17},T239),0),IFERROR(INDEX({1,3,5,10,10,14,16,19},T239),0))</f>
        <v>10</v>
      </c>
      <c r="N247" s="4"/>
      <c r="O247" s="154"/>
      <c r="X247" s="1303"/>
      <c r="Y247" s="1107"/>
      <c r="AA247" s="1110"/>
      <c r="AL247" s="311" t="str">
        <f t="shared" si="10"/>
        <v>dpa703_3_2 _1_4</v>
      </c>
      <c r="AM247" s="311">
        <f>M247</f>
        <v>10</v>
      </c>
    </row>
    <row r="248" spans="1:45" x14ac:dyDescent="0.3">
      <c r="B248" s="938" t="s">
        <v>1086</v>
      </c>
      <c r="C248" s="93"/>
      <c r="D248" s="21" t="s">
        <v>271</v>
      </c>
      <c r="E248" s="21" t="s">
        <v>291</v>
      </c>
      <c r="F248" s="21"/>
      <c r="G248" s="21"/>
      <c r="H248" s="1084"/>
      <c r="I248" s="4"/>
      <c r="J248" s="545"/>
      <c r="K248" s="545"/>
      <c r="L248" s="545" t="s">
        <v>4042</v>
      </c>
      <c r="M248" s="549">
        <f>IF(T240,IFERROR(INDEX({0,6,6,13,13,14,16,18},T239),0),IFERROR(INDEX({1,3,6,11,12,16,18,21},T239),0))</f>
        <v>11</v>
      </c>
      <c r="N248" s="238"/>
      <c r="O248" s="599"/>
      <c r="P248"/>
      <c r="Q248"/>
      <c r="R248" s="488"/>
      <c r="S248" s="488"/>
      <c r="T248" s="488"/>
      <c r="U248" s="488"/>
      <c r="V248" s="488"/>
      <c r="W248" s="488"/>
      <c r="X248" s="1303"/>
      <c r="AL248" s="311" t="str">
        <f t="shared" si="10"/>
        <v>dpa703_3_2 _1_5</v>
      </c>
      <c r="AM248" s="311">
        <f>M248</f>
        <v>11</v>
      </c>
    </row>
    <row r="249" spans="1:45" x14ac:dyDescent="0.3">
      <c r="B249" s="938" t="s">
        <v>1086</v>
      </c>
      <c r="C249" s="93"/>
      <c r="D249" s="21" t="s">
        <v>273</v>
      </c>
      <c r="E249" s="21"/>
      <c r="F249" s="21"/>
      <c r="G249" s="21"/>
      <c r="H249" s="1084"/>
      <c r="I249" s="4"/>
      <c r="J249" s="260" t="s">
        <v>273</v>
      </c>
      <c r="K249" s="178"/>
      <c r="L249" s="178" t="s">
        <v>1089</v>
      </c>
      <c r="M249" s="522"/>
      <c r="N249" s="4"/>
      <c r="O249" s="154">
        <f ca="1">IFERROR(INDEX(M250:M251,MATCH(W250,{0.85,0.9},1)),0)*S250</f>
        <v>0</v>
      </c>
      <c r="P249"/>
      <c r="Q249"/>
      <c r="R249"/>
      <c r="S249"/>
      <c r="T249"/>
      <c r="U249"/>
      <c r="V249"/>
      <c r="W249" s="511" t="s">
        <v>4053</v>
      </c>
      <c r="X249" s="1303"/>
      <c r="AN249" s="311" t="str">
        <f>SUBSTITUTE(SUBSTITUTE(SUBSTITUTE("dpc"&amp;$B249&amp;$C249&amp;$D249&amp;$E249&amp;$F249,".","_"),"(","_"),")","")</f>
        <v>dpc703_3_2 _2</v>
      </c>
      <c r="AO249" s="311">
        <f ca="1">O249</f>
        <v>0</v>
      </c>
      <c r="AR249" s="311" t="str">
        <f>SUBSTITUTE(SUBSTITUTE(SUBSTITUTE("dnt"&amp;$B249&amp;$C249&amp;$D249&amp;$E249&amp;$F249,".","_"),"(","_"),")","")</f>
        <v>dnt703_3_2 _2</v>
      </c>
      <c r="AS249" s="311">
        <f>X249</f>
        <v>0</v>
      </c>
    </row>
    <row r="250" spans="1:45" s="488" customFormat="1" x14ac:dyDescent="0.3">
      <c r="A250" s="18"/>
      <c r="B250" s="938" t="s">
        <v>1086</v>
      </c>
      <c r="C250" s="93"/>
      <c r="D250" s="21" t="s">
        <v>273</v>
      </c>
      <c r="E250" s="21" t="s">
        <v>271</v>
      </c>
      <c r="F250" s="21"/>
      <c r="G250" s="21"/>
      <c r="H250" s="1084"/>
      <c r="I250" s="4"/>
      <c r="J250" s="260"/>
      <c r="K250" s="489"/>
      <c r="L250" s="489" t="s">
        <v>4043</v>
      </c>
      <c r="M250" s="522">
        <f>IFERROR(INDEX({0,1,2,3,3,4,5,6},T239),0)</f>
        <v>3</v>
      </c>
      <c r="N250" s="4"/>
      <c r="O250" s="154"/>
      <c r="P250" s="97" t="b">
        <v>1</v>
      </c>
      <c r="Q250" s="97" t="b">
        <v>1</v>
      </c>
      <c r="R250" s="511" t="b">
        <v>0</v>
      </c>
      <c r="S250" s="511" t="b">
        <f ca="1">AND(S13=2,LEN(W244)=0,LEN(W253)=0,LEN(W258)=0,LEN(W264)=0,LEN(W268)=0,NOT(W280=TRUE),LEN(W285)=0)</f>
        <v>0</v>
      </c>
      <c r="T250" s="97" t="b">
        <f ca="1">AND(NOT(S250),LEN(W250)&gt;0)</f>
        <v>0</v>
      </c>
      <c r="U250"/>
      <c r="V250"/>
      <c r="W250" s="583"/>
      <c r="X250" s="1303"/>
      <c r="Y250" s="1107"/>
      <c r="AA250" s="1110"/>
      <c r="AC250" s="511" t="b">
        <f ca="1">OR(AD250:AE250)</f>
        <v>0</v>
      </c>
      <c r="AD250" s="511" t="b">
        <f ca="1">T250</f>
        <v>0</v>
      </c>
      <c r="AE250" s="511" t="b">
        <f>AND(R250,OR(W250="Not Met",W250=""))</f>
        <v>0</v>
      </c>
      <c r="AL250" s="311" t="str">
        <f t="shared" ref="AL250:AL251" si="11">SUBSTITUTE(SUBSTITUTE(SUBSTITUTE("dpa"&amp;$B250&amp;$C250&amp;$D250&amp;$E250&amp;$F250,".","_"),"(","_"),")","")</f>
        <v>dpa703_3_2 _2_1</v>
      </c>
      <c r="AM250" s="311">
        <f>M250</f>
        <v>3</v>
      </c>
      <c r="AP250" s="311" t="str">
        <f>SUBSTITUTE(SUBSTITUTE(SUBSTITUTE("dch"&amp;$B250&amp;$C250&amp;$D250&amp;$E250&amp;$F250,".","_"),"(","_"),")","")</f>
        <v>dch703_3_2 _2_1</v>
      </c>
      <c r="AQ250" s="311">
        <f>W250</f>
        <v>0</v>
      </c>
    </row>
    <row r="251" spans="1:45" x14ac:dyDescent="0.3">
      <c r="B251" s="938" t="s">
        <v>1086</v>
      </c>
      <c r="C251" s="93"/>
      <c r="D251" s="21" t="s">
        <v>273</v>
      </c>
      <c r="E251" s="21" t="s">
        <v>273</v>
      </c>
      <c r="F251" s="21"/>
      <c r="G251" s="21"/>
      <c r="H251" s="1084"/>
      <c r="I251" s="4"/>
      <c r="J251" s="545"/>
      <c r="K251" s="545"/>
      <c r="L251" s="545" t="s">
        <v>4038</v>
      </c>
      <c r="M251" s="549">
        <f>IFERROR(INDEX({0,2,3,6,6,9,10,12},T239),0)</f>
        <v>6</v>
      </c>
      <c r="N251" s="238"/>
      <c r="O251" s="599"/>
      <c r="P251"/>
      <c r="Q251"/>
      <c r="R251" s="488"/>
      <c r="S251" s="488"/>
      <c r="T251" s="488"/>
      <c r="U251" s="488"/>
      <c r="V251" s="488"/>
      <c r="W251" s="488"/>
      <c r="X251" s="1303"/>
      <c r="AC251" s="488"/>
      <c r="AD251" s="488"/>
      <c r="AE251" s="488"/>
      <c r="AL251" s="311" t="str">
        <f t="shared" si="11"/>
        <v>dpa703_3_2 _2_2</v>
      </c>
      <c r="AM251" s="311">
        <f>M251</f>
        <v>6</v>
      </c>
    </row>
    <row r="252" spans="1:45" x14ac:dyDescent="0.3">
      <c r="B252" s="938" t="s">
        <v>1086</v>
      </c>
      <c r="C252" s="93"/>
      <c r="D252" s="21" t="s">
        <v>275</v>
      </c>
      <c r="E252" s="21"/>
      <c r="F252" s="21"/>
      <c r="G252" s="21"/>
      <c r="H252" s="1084"/>
      <c r="I252" s="4"/>
      <c r="J252" s="260" t="s">
        <v>275</v>
      </c>
      <c r="K252" s="178"/>
      <c r="L252" s="178" t="s">
        <v>1090</v>
      </c>
      <c r="M252" s="522"/>
      <c r="N252" s="4"/>
      <c r="O252" s="154">
        <f ca="1">IFERROR(INDEX(M253:M256,MATCH(W253,{0.85,0.9,0.94,0.96},1)),0)*S253</f>
        <v>0</v>
      </c>
      <c r="P252"/>
      <c r="Q252"/>
      <c r="R252"/>
      <c r="S252"/>
      <c r="T252"/>
      <c r="U252"/>
      <c r="V252"/>
      <c r="W252" s="511" t="s">
        <v>4053</v>
      </c>
      <c r="X252" s="1303"/>
      <c r="AN252" s="311" t="str">
        <f>SUBSTITUTE(SUBSTITUTE(SUBSTITUTE("dpc"&amp;$B252&amp;$C252&amp;$D252&amp;$E252&amp;$F252,".","_"),"(","_"),")","")</f>
        <v>dpc703_3_2 _3</v>
      </c>
      <c r="AO252" s="311">
        <f ca="1">O252</f>
        <v>0</v>
      </c>
      <c r="AR252" s="311" t="str">
        <f>SUBSTITUTE(SUBSTITUTE(SUBSTITUTE("dnt"&amp;$B252&amp;$C252&amp;$D252&amp;$E252&amp;$F252,".","_"),"(","_"),")","")</f>
        <v>dnt703_3_2 _3</v>
      </c>
      <c r="AS252" s="311">
        <f>X252</f>
        <v>0</v>
      </c>
    </row>
    <row r="253" spans="1:45" s="488" customFormat="1" x14ac:dyDescent="0.3">
      <c r="A253" s="18"/>
      <c r="B253" s="938" t="s">
        <v>1086</v>
      </c>
      <c r="C253" s="93"/>
      <c r="D253" s="21" t="s">
        <v>275</v>
      </c>
      <c r="E253" s="21" t="s">
        <v>271</v>
      </c>
      <c r="F253" s="21"/>
      <c r="G253" s="21"/>
      <c r="H253" s="1084"/>
      <c r="I253" s="4"/>
      <c r="J253" s="260"/>
      <c r="K253" s="489"/>
      <c r="L253" s="489" t="s">
        <v>4043</v>
      </c>
      <c r="M253" s="522">
        <f>IFERROR(INDEX({0,1,1,2,3,4,4,4},T239),0)</f>
        <v>2</v>
      </c>
      <c r="N253" s="4"/>
      <c r="O253" s="154"/>
      <c r="P253" s="97" t="b">
        <v>1</v>
      </c>
      <c r="Q253" s="97" t="b">
        <v>1</v>
      </c>
      <c r="R253" s="511" t="b">
        <v>0</v>
      </c>
      <c r="S253" s="511" t="b">
        <f ca="1">AND(S13=2,LEN(W244)=0,LEN(W250)=0,LEN(W258)=0,LEN(W264)=0,LEN(W268)=0,NOT(W280=TRUE),LEN(W285)=0)</f>
        <v>0</v>
      </c>
      <c r="T253" s="97" t="b">
        <f ca="1">AND(NOT(S253),LEN(W253)&gt;0)</f>
        <v>0</v>
      </c>
      <c r="U253"/>
      <c r="V253"/>
      <c r="W253" s="583"/>
      <c r="X253" s="1303"/>
      <c r="Y253" s="1107"/>
      <c r="AA253" s="1110"/>
      <c r="AC253" s="511" t="b">
        <f ca="1">OR(AD253:AE253)</f>
        <v>0</v>
      </c>
      <c r="AD253" s="511" t="b">
        <f ca="1">T253</f>
        <v>0</v>
      </c>
      <c r="AE253" s="511" t="b">
        <f>AND(R253,OR(W253="Not Met",W253=""))</f>
        <v>0</v>
      </c>
      <c r="AL253" s="311" t="str">
        <f t="shared" ref="AL253:AL256" si="12">SUBSTITUTE(SUBSTITUTE(SUBSTITUTE("dpa"&amp;$B253&amp;$C253&amp;$D253&amp;$E253&amp;$F253,".","_"),"(","_"),")","")</f>
        <v>dpa703_3_2 _3_1</v>
      </c>
      <c r="AM253" s="311">
        <f t="shared" ref="AM253:AM256" si="13">M253</f>
        <v>2</v>
      </c>
      <c r="AP253" s="311" t="str">
        <f>SUBSTITUTE(SUBSTITUTE(SUBSTITUTE("dch"&amp;$B253&amp;$C253&amp;$D253&amp;$E253&amp;$F253,".","_"),"(","_"),")","")</f>
        <v>dch703_3_2 _3_1</v>
      </c>
      <c r="AQ253" s="311">
        <f>W253</f>
        <v>0</v>
      </c>
    </row>
    <row r="254" spans="1:45" s="488" customFormat="1" x14ac:dyDescent="0.3">
      <c r="A254" s="18"/>
      <c r="B254" s="938" t="s">
        <v>1086</v>
      </c>
      <c r="C254" s="93"/>
      <c r="D254" s="21" t="s">
        <v>275</v>
      </c>
      <c r="E254" s="21" t="s">
        <v>273</v>
      </c>
      <c r="F254" s="21"/>
      <c r="G254" s="21"/>
      <c r="H254" s="1084"/>
      <c r="I254" s="4"/>
      <c r="J254" s="260"/>
      <c r="K254" s="489"/>
      <c r="L254" s="489" t="s">
        <v>4038</v>
      </c>
      <c r="M254" s="522">
        <f>IFERROR(INDEX({0,1,2,4,6,7,8,6},T239),0)</f>
        <v>4</v>
      </c>
      <c r="N254" s="4"/>
      <c r="O254" s="154"/>
      <c r="X254" s="1303"/>
      <c r="Y254" s="1107"/>
      <c r="AA254" s="1110"/>
      <c r="AL254" s="311" t="str">
        <f t="shared" si="12"/>
        <v>dpa703_3_2 _3_2</v>
      </c>
      <c r="AM254" s="311">
        <f t="shared" si="13"/>
        <v>4</v>
      </c>
    </row>
    <row r="255" spans="1:45" s="488" customFormat="1" x14ac:dyDescent="0.3">
      <c r="A255" s="18"/>
      <c r="B255" s="938" t="s">
        <v>1086</v>
      </c>
      <c r="C255" s="93"/>
      <c r="D255" s="21" t="s">
        <v>275</v>
      </c>
      <c r="E255" s="21" t="s">
        <v>275</v>
      </c>
      <c r="F255" s="21"/>
      <c r="G255" s="21"/>
      <c r="H255" s="1084"/>
      <c r="I255" s="4"/>
      <c r="J255" s="260"/>
      <c r="K255" s="489"/>
      <c r="L255" s="489" t="s">
        <v>4040</v>
      </c>
      <c r="M255" s="522">
        <f>IFERROR(INDEX({0,2,3,5,8,9,10,8},T239),0)</f>
        <v>5</v>
      </c>
      <c r="N255" s="4"/>
      <c r="O255" s="154"/>
      <c r="X255" s="1303"/>
      <c r="Y255" s="1107"/>
      <c r="AA255" s="1110"/>
      <c r="AL255" s="311" t="str">
        <f t="shared" si="12"/>
        <v>dpa703_3_2 _3_3</v>
      </c>
      <c r="AM255" s="311">
        <f t="shared" si="13"/>
        <v>5</v>
      </c>
    </row>
    <row r="256" spans="1:45" x14ac:dyDescent="0.3">
      <c r="B256" s="938" t="s">
        <v>1086</v>
      </c>
      <c r="C256" s="93"/>
      <c r="D256" s="21" t="s">
        <v>275</v>
      </c>
      <c r="E256" s="21" t="s">
        <v>285</v>
      </c>
      <c r="F256" s="21"/>
      <c r="G256" s="21"/>
      <c r="H256" s="1084"/>
      <c r="I256" s="4"/>
      <c r="J256" s="545"/>
      <c r="K256" s="545"/>
      <c r="L256" s="545" t="s">
        <v>4041</v>
      </c>
      <c r="M256" s="549">
        <f>IFERROR(INDEX({0,2,4,6,9,11,12,10},T239),0)</f>
        <v>6</v>
      </c>
      <c r="N256" s="238"/>
      <c r="O256" s="599"/>
      <c r="P256"/>
      <c r="Q256"/>
      <c r="R256" s="488"/>
      <c r="S256" s="488"/>
      <c r="T256" s="488"/>
      <c r="U256" s="488"/>
      <c r="V256" s="488"/>
      <c r="W256" s="488"/>
      <c r="X256" s="1303"/>
      <c r="AC256" s="488"/>
      <c r="AD256" s="488"/>
      <c r="AE256" s="488"/>
      <c r="AL256" s="311" t="str">
        <f t="shared" si="12"/>
        <v>dpa703_3_2 _3_4</v>
      </c>
      <c r="AM256" s="311">
        <f t="shared" si="13"/>
        <v>6</v>
      </c>
    </row>
    <row r="257" spans="1:45" x14ac:dyDescent="0.3">
      <c r="B257" s="938" t="s">
        <v>1086</v>
      </c>
      <c r="C257" s="93"/>
      <c r="D257" s="21" t="s">
        <v>285</v>
      </c>
      <c r="E257" s="21"/>
      <c r="F257" s="21"/>
      <c r="G257" s="21"/>
      <c r="H257" s="1084"/>
      <c r="I257" s="4"/>
      <c r="J257" s="260" t="s">
        <v>285</v>
      </c>
      <c r="K257" s="178"/>
      <c r="L257" s="178" t="s">
        <v>1091</v>
      </c>
      <c r="M257" s="522"/>
      <c r="N257" s="4"/>
      <c r="O257" s="154">
        <f ca="1">IFERROR(INDEX(M258:M259,MATCH(W258,{0.85,0.9},1)),0)*S258</f>
        <v>0</v>
      </c>
      <c r="P257"/>
      <c r="Q257"/>
      <c r="R257"/>
      <c r="S257"/>
      <c r="T257"/>
      <c r="U257"/>
      <c r="V257"/>
      <c r="W257" s="511" t="s">
        <v>4053</v>
      </c>
      <c r="X257" s="1303"/>
      <c r="AN257" s="311" t="str">
        <f>SUBSTITUTE(SUBSTITUTE(SUBSTITUTE("dpc"&amp;$B257&amp;$C257&amp;$D257&amp;$E257&amp;$F257,".","_"),"(","_"),")","")</f>
        <v>dpc703_3_2 _4</v>
      </c>
      <c r="AO257" s="311">
        <f ca="1">O257</f>
        <v>0</v>
      </c>
      <c r="AR257" s="311" t="str">
        <f>SUBSTITUTE(SUBSTITUTE(SUBSTITUTE("dnt"&amp;$B257&amp;$C257&amp;$D257&amp;$E257&amp;$F257,".","_"),"(","_"),")","")</f>
        <v>dnt703_3_2 _4</v>
      </c>
      <c r="AS257" s="311">
        <f>X257</f>
        <v>0</v>
      </c>
    </row>
    <row r="258" spans="1:45" s="488" customFormat="1" x14ac:dyDescent="0.3">
      <c r="A258" s="18"/>
      <c r="B258" s="938" t="s">
        <v>1086</v>
      </c>
      <c r="C258" s="93"/>
      <c r="D258" s="21" t="s">
        <v>285</v>
      </c>
      <c r="E258" s="21" t="s">
        <v>271</v>
      </c>
      <c r="F258" s="21"/>
      <c r="G258" s="21"/>
      <c r="H258" s="1084"/>
      <c r="I258" s="4"/>
      <c r="J258" s="260"/>
      <c r="K258" s="489"/>
      <c r="L258" s="489" t="s">
        <v>4043</v>
      </c>
      <c r="M258" s="522">
        <f>IFERROR(INDEX({0,1,1,3,3,4,4,5},T239),0)</f>
        <v>3</v>
      </c>
      <c r="N258" s="4"/>
      <c r="O258" s="154"/>
      <c r="P258" s="97" t="b">
        <v>1</v>
      </c>
      <c r="Q258" s="97" t="b">
        <v>1</v>
      </c>
      <c r="R258" s="511" t="b">
        <v>0</v>
      </c>
      <c r="S258" s="511" t="b">
        <f ca="1">AND(S13=2,LEN(W244)=0,LEN(W250)=0,LEN(W253)=0,LEN(W264)=0,LEN(W268)=0,NOT(W280=TRUE),LEN(W285)=0)</f>
        <v>0</v>
      </c>
      <c r="T258" s="97" t="b">
        <f ca="1">AND(NOT(S258),LEN(W258)&gt;0)</f>
        <v>0</v>
      </c>
      <c r="U258"/>
      <c r="V258"/>
      <c r="W258" s="583"/>
      <c r="X258" s="1303"/>
      <c r="Y258" s="1107"/>
      <c r="AA258" s="1110"/>
      <c r="AC258" s="511" t="b">
        <f ca="1">OR(AD258:AE258)</f>
        <v>0</v>
      </c>
      <c r="AD258" s="511" t="b">
        <f ca="1">T258</f>
        <v>0</v>
      </c>
      <c r="AE258" s="511" t="b">
        <f>AND(R258,OR(W258="Not Met",W258=""))</f>
        <v>0</v>
      </c>
      <c r="AL258" s="311" t="str">
        <f t="shared" ref="AL258:AL259" si="14">SUBSTITUTE(SUBSTITUTE(SUBSTITUTE("dpa"&amp;$B258&amp;$C258&amp;$D258&amp;$E258&amp;$F258,".","_"),"(","_"),")","")</f>
        <v>dpa703_3_2 _4_1</v>
      </c>
      <c r="AM258" s="311">
        <f t="shared" ref="AM258:AM259" si="15">M258</f>
        <v>3</v>
      </c>
      <c r="AP258" s="311" t="str">
        <f>SUBSTITUTE(SUBSTITUTE(SUBSTITUTE("dch"&amp;$B258&amp;$C258&amp;$D258&amp;$E258&amp;$F258,".","_"),"(","_"),")","")</f>
        <v>dch703_3_2 _4_1</v>
      </c>
      <c r="AQ258" s="311">
        <f>W258</f>
        <v>0</v>
      </c>
    </row>
    <row r="259" spans="1:45" x14ac:dyDescent="0.3">
      <c r="B259" s="938" t="s">
        <v>1086</v>
      </c>
      <c r="C259" s="93"/>
      <c r="D259" s="21" t="s">
        <v>285</v>
      </c>
      <c r="E259" s="21" t="s">
        <v>273</v>
      </c>
      <c r="F259" s="21"/>
      <c r="G259" s="21"/>
      <c r="H259" s="1084"/>
      <c r="I259" s="238"/>
      <c r="J259" s="545"/>
      <c r="K259" s="545"/>
      <c r="L259" s="545" t="s">
        <v>4038</v>
      </c>
      <c r="M259" s="549">
        <f>IFERROR(INDEX({1,2,3,5,6,7,9,10},T239),0)</f>
        <v>5</v>
      </c>
      <c r="N259" s="4"/>
      <c r="O259" s="154"/>
      <c r="P259"/>
      <c r="Q259"/>
      <c r="R259"/>
      <c r="S259"/>
      <c r="T259"/>
      <c r="U259"/>
      <c r="V259"/>
      <c r="W259"/>
      <c r="X259" s="1303"/>
      <c r="AL259" s="311" t="str">
        <f t="shared" si="14"/>
        <v>dpa703_3_2 _4_2</v>
      </c>
      <c r="AM259" s="311">
        <f t="shared" si="15"/>
        <v>5</v>
      </c>
    </row>
    <row r="260" spans="1:45" x14ac:dyDescent="0.3">
      <c r="B260" s="93" t="s">
        <v>1092</v>
      </c>
      <c r="C260" s="93"/>
      <c r="D260" s="21"/>
      <c r="E260" s="21"/>
      <c r="F260" s="21"/>
      <c r="G260" s="21"/>
      <c r="H260" s="1084"/>
      <c r="I260" s="68" t="s">
        <v>1092</v>
      </c>
      <c r="J260" s="178"/>
      <c r="K260" s="178"/>
      <c r="L260" s="1292" t="s">
        <v>1093</v>
      </c>
      <c r="M260" s="522"/>
      <c r="N260" s="4"/>
      <c r="O260" s="154"/>
      <c r="P260"/>
      <c r="Q260"/>
      <c r="R260"/>
      <c r="S260"/>
      <c r="T260"/>
      <c r="U260"/>
      <c r="V260"/>
      <c r="W260"/>
      <c r="X260"/>
    </row>
    <row r="261" spans="1:45" x14ac:dyDescent="0.3">
      <c r="B261" s="93" t="s">
        <v>1092</v>
      </c>
      <c r="C261" s="93"/>
      <c r="D261" s="21"/>
      <c r="E261" s="21"/>
      <c r="F261" s="21"/>
      <c r="G261" s="21"/>
      <c r="H261" s="1084"/>
      <c r="I261" s="4"/>
      <c r="J261" s="178"/>
      <c r="K261" s="178"/>
      <c r="L261" s="1292"/>
      <c r="M261" s="522"/>
      <c r="N261" s="4"/>
      <c r="O261" s="154"/>
      <c r="P261"/>
      <c r="Q261"/>
      <c r="R261"/>
      <c r="S261"/>
      <c r="T261"/>
      <c r="U261"/>
      <c r="V261"/>
      <c r="W261"/>
      <c r="X261"/>
    </row>
    <row r="262" spans="1:45" x14ac:dyDescent="0.3">
      <c r="B262" s="93" t="s">
        <v>1092</v>
      </c>
      <c r="C262" s="93"/>
      <c r="D262" s="21"/>
      <c r="E262" s="21"/>
      <c r="F262" s="21"/>
      <c r="G262" s="21"/>
      <c r="H262" s="1084"/>
      <c r="I262" s="4"/>
      <c r="J262" s="178"/>
      <c r="K262" s="178"/>
      <c r="L262" s="1292"/>
      <c r="M262" s="522"/>
      <c r="N262" s="4"/>
      <c r="O262" s="154"/>
      <c r="P262"/>
      <c r="Q262"/>
      <c r="X262"/>
    </row>
    <row r="263" spans="1:45" s="511" customFormat="1" x14ac:dyDescent="0.3">
      <c r="A263" s="18"/>
      <c r="B263" s="93" t="s">
        <v>1092</v>
      </c>
      <c r="C263" s="93"/>
      <c r="D263" s="21" t="s">
        <v>271</v>
      </c>
      <c r="E263" s="21"/>
      <c r="F263" s="21"/>
      <c r="G263" s="21"/>
      <c r="H263" s="1084"/>
      <c r="I263" s="4"/>
      <c r="J263" s="260" t="s">
        <v>271</v>
      </c>
      <c r="K263" s="524"/>
      <c r="L263" s="514" t="s">
        <v>3706</v>
      </c>
      <c r="M263" s="522"/>
      <c r="N263" s="4"/>
      <c r="O263" s="154">
        <f ca="1">IFERROR(INDEX(M264:M267,MATCH(W264,{8.5,9,9.5,10},1)),0)*S264</f>
        <v>0</v>
      </c>
      <c r="R263"/>
      <c r="S263"/>
      <c r="T263"/>
      <c r="U263"/>
      <c r="V263"/>
      <c r="W263" s="511" t="s">
        <v>4060</v>
      </c>
      <c r="X263" s="1303"/>
      <c r="Y263" s="1107"/>
      <c r="AA263" s="1110"/>
      <c r="AN263" s="311" t="str">
        <f>SUBSTITUTE(SUBSTITUTE(SUBSTITUTE("dpc"&amp;$B263&amp;$C263&amp;$D263&amp;$E263&amp;$F263,".","_"),"(","_"),")","")</f>
        <v>dpc703_3_3 _1</v>
      </c>
      <c r="AO263" s="311">
        <f ca="1">O263</f>
        <v>0</v>
      </c>
      <c r="AR263" s="311" t="str">
        <f>SUBSTITUTE(SUBSTITUTE(SUBSTITUTE("dnt"&amp;$B263&amp;$C263&amp;$D263&amp;$E263&amp;$F263,".","_"),"(","_"),")","")</f>
        <v>dnt703_3_3 _1</v>
      </c>
      <c r="AS263" s="311">
        <f>X263</f>
        <v>0</v>
      </c>
    </row>
    <row r="264" spans="1:45" s="511" customFormat="1" x14ac:dyDescent="0.3">
      <c r="A264" s="18"/>
      <c r="B264" s="93" t="s">
        <v>1092</v>
      </c>
      <c r="C264" s="93"/>
      <c r="D264" s="21" t="s">
        <v>271</v>
      </c>
      <c r="E264" s="21" t="s">
        <v>271</v>
      </c>
      <c r="F264" s="21"/>
      <c r="G264" s="21"/>
      <c r="H264" s="1084"/>
      <c r="I264" s="4"/>
      <c r="J264" s="260"/>
      <c r="K264" s="524"/>
      <c r="L264" s="524" t="s">
        <v>4054</v>
      </c>
      <c r="M264" s="522">
        <f>IF(T240,IFERROR(INDEX({0,3,4,8,11,13,13,13},T239),0),IFERROR(INDEX({0,1,1,2,2,2,2,2},T239),0))</f>
        <v>2</v>
      </c>
      <c r="N264" s="4"/>
      <c r="O264" s="154"/>
      <c r="P264" s="97" t="b">
        <v>1</v>
      </c>
      <c r="Q264" s="97" t="b">
        <v>1</v>
      </c>
      <c r="R264" s="511" t="b">
        <v>0</v>
      </c>
      <c r="S264" s="511" t="b">
        <f ca="1">AND(S13=2,LEN(W244)=0,LEN(W250)=0,LEN(W253)=0,LEN(W258)=0,LEN(W268)=0,NOT(W280=TRUE),LEN(W285)=0)</f>
        <v>0</v>
      </c>
      <c r="T264" s="97" t="b">
        <f ca="1">AND(NOT(S264),LEN(W264)&gt;0)</f>
        <v>0</v>
      </c>
      <c r="W264" s="584"/>
      <c r="X264" s="1303"/>
      <c r="Y264" s="1107"/>
      <c r="AA264" s="1110"/>
      <c r="AC264" s="511" t="b">
        <f ca="1">OR(AD264:AE264)</f>
        <v>0</v>
      </c>
      <c r="AD264" s="511" t="b">
        <f ca="1">T264</f>
        <v>0</v>
      </c>
      <c r="AE264" s="511" t="b">
        <f>AND(R264,OR(W264="Not Met",W264=""))</f>
        <v>0</v>
      </c>
      <c r="AL264" s="311" t="str">
        <f t="shared" ref="AL264:AL268" si="16">SUBSTITUTE(SUBSTITUTE(SUBSTITUTE("dpa"&amp;$B264&amp;$C264&amp;$D264&amp;$E264&amp;$F264,".","_"),"(","_"),")","")</f>
        <v>dpa703_3_3 _1_1</v>
      </c>
      <c r="AM264" s="311">
        <f t="shared" ref="AM264:AM267" si="17">M264</f>
        <v>2</v>
      </c>
      <c r="AP264" s="311" t="str">
        <f>SUBSTITUTE(SUBSTITUTE(SUBSTITUTE("dch"&amp;$B264&amp;$C264&amp;$D264&amp;$E264&amp;$F264,".","_"),"(","_"),")","")</f>
        <v>dch703_3_3 _1_1</v>
      </c>
      <c r="AQ264" s="311">
        <f>W264</f>
        <v>0</v>
      </c>
    </row>
    <row r="265" spans="1:45" s="511" customFormat="1" x14ac:dyDescent="0.3">
      <c r="A265" s="18"/>
      <c r="B265" s="93" t="s">
        <v>1092</v>
      </c>
      <c r="C265" s="93"/>
      <c r="D265" s="21" t="s">
        <v>271</v>
      </c>
      <c r="E265" s="21" t="s">
        <v>273</v>
      </c>
      <c r="F265" s="21"/>
      <c r="G265" s="21"/>
      <c r="H265" s="1084"/>
      <c r="I265" s="4"/>
      <c r="J265" s="260"/>
      <c r="K265" s="524"/>
      <c r="L265" s="524" t="s">
        <v>4055</v>
      </c>
      <c r="M265" s="522">
        <f>IF(T240,IFERROR(INDEX({0,3,4,8,11,13,13,13},T239),0),IFERROR(INDEX({0,2,4,5,6,10,10,10},T239),0))</f>
        <v>5</v>
      </c>
      <c r="N265" s="4"/>
      <c r="O265" s="154"/>
      <c r="X265" s="1303"/>
      <c r="Y265" s="1107"/>
      <c r="AA265" s="1110"/>
      <c r="AL265" s="311" t="str">
        <f t="shared" si="16"/>
        <v>dpa703_3_3 _1_2</v>
      </c>
      <c r="AM265" s="311">
        <f t="shared" si="17"/>
        <v>5</v>
      </c>
    </row>
    <row r="266" spans="1:45" s="511" customFormat="1" x14ac:dyDescent="0.3">
      <c r="A266" s="18"/>
      <c r="B266" s="93" t="s">
        <v>1092</v>
      </c>
      <c r="C266" s="93"/>
      <c r="D266" s="21" t="s">
        <v>271</v>
      </c>
      <c r="E266" s="21" t="s">
        <v>275</v>
      </c>
      <c r="F266" s="21"/>
      <c r="G266" s="21"/>
      <c r="H266" s="1084"/>
      <c r="I266" s="4"/>
      <c r="J266" s="260"/>
      <c r="K266" s="524"/>
      <c r="L266" s="524" t="s">
        <v>4056</v>
      </c>
      <c r="M266" s="522">
        <f>IF(T240,IFERROR(INDEX({0,3,4,8,11,13,13,13},T239),0),IFERROR(INDEX({0,3,7,7,11,18,18,18},T239),0))</f>
        <v>7</v>
      </c>
      <c r="N266" s="4"/>
      <c r="O266" s="154"/>
      <c r="X266" s="1303"/>
      <c r="Y266" s="1107"/>
      <c r="AA266" s="1110"/>
      <c r="AL266" s="311" t="str">
        <f t="shared" si="16"/>
        <v>dpa703_3_3 _1_3</v>
      </c>
      <c r="AM266" s="311">
        <f t="shared" si="17"/>
        <v>7</v>
      </c>
    </row>
    <row r="267" spans="1:45" s="511" customFormat="1" x14ac:dyDescent="0.3">
      <c r="A267" s="18"/>
      <c r="B267" s="93" t="s">
        <v>1092</v>
      </c>
      <c r="C267" s="93"/>
      <c r="D267" s="21" t="s">
        <v>271</v>
      </c>
      <c r="E267" s="21" t="s">
        <v>285</v>
      </c>
      <c r="F267" s="21"/>
      <c r="G267" s="21"/>
      <c r="H267" s="1084"/>
      <c r="I267" s="4"/>
      <c r="J267" s="626"/>
      <c r="K267" s="545"/>
      <c r="L267" s="545" t="s">
        <v>4057</v>
      </c>
      <c r="M267" s="549">
        <f>IF(T240,IFERROR(INDEX({0,3,4,8,11,13,13,13},T239),0),IFERROR(INDEX({1,5,10,10,15,26,26,26},T239),0))</f>
        <v>10</v>
      </c>
      <c r="N267" s="238"/>
      <c r="O267" s="599"/>
      <c r="W267" s="511" t="s">
        <v>4059</v>
      </c>
      <c r="X267" s="1303"/>
      <c r="Y267" s="1107"/>
      <c r="AA267" s="1110"/>
      <c r="AL267" s="311" t="str">
        <f t="shared" si="16"/>
        <v>dpa703_3_3 _1_4</v>
      </c>
      <c r="AM267" s="311">
        <f t="shared" si="17"/>
        <v>10</v>
      </c>
    </row>
    <row r="268" spans="1:45" x14ac:dyDescent="0.3">
      <c r="B268" s="93" t="s">
        <v>1092</v>
      </c>
      <c r="C268" s="93"/>
      <c r="D268" s="21" t="s">
        <v>275</v>
      </c>
      <c r="E268" s="21"/>
      <c r="F268" s="21"/>
      <c r="G268" s="21"/>
      <c r="H268" s="1084"/>
      <c r="I268" s="238"/>
      <c r="J268" s="626" t="s">
        <v>275</v>
      </c>
      <c r="K268" s="545"/>
      <c r="L268" s="543" t="s">
        <v>4058</v>
      </c>
      <c r="M268" s="549">
        <f>IFERROR(INDEX({2,7,11,14,16,18,18,18},T239),0)</f>
        <v>14</v>
      </c>
      <c r="N268" s="238"/>
      <c r="O268" s="599">
        <f ca="1">IF(AND(S268,W268&gt;=1.3),M268,0)</f>
        <v>0</v>
      </c>
      <c r="P268" s="97" t="b">
        <v>1</v>
      </c>
      <c r="Q268" s="97" t="b">
        <v>1</v>
      </c>
      <c r="R268" s="196" t="b">
        <v>0</v>
      </c>
      <c r="S268" s="196" t="b">
        <f ca="1">AND(S13=2,LEN(W244)=0,LEN(W250)=0,LEN(W253)=0,LEN(W258)=0,LEN(W264)=0,NOT(W280=TRUE),LEN(W285)=0)</f>
        <v>0</v>
      </c>
      <c r="T268" s="196" t="b">
        <f ca="1">AND(NOT(S268),LEN(W268)&gt;0)</f>
        <v>0</v>
      </c>
      <c r="U268" s="196"/>
      <c r="V268" s="196"/>
      <c r="W268" s="584"/>
      <c r="X268" s="512"/>
      <c r="AC268" s="511" t="b">
        <f ca="1">OR(AD268:AE268)</f>
        <v>0</v>
      </c>
      <c r="AD268" s="511" t="b">
        <f ca="1">T268</f>
        <v>0</v>
      </c>
      <c r="AE268" s="511" t="b">
        <f>AND(R268,OR(W268="Not Met",W268=""))</f>
        <v>0</v>
      </c>
      <c r="AL268" s="311" t="str">
        <f t="shared" si="16"/>
        <v>dpa703_3_3 _3</v>
      </c>
      <c r="AM268" s="311">
        <f>M268</f>
        <v>14</v>
      </c>
      <c r="AN268" s="311" t="str">
        <f>SUBSTITUTE(SUBSTITUTE(SUBSTITUTE("dpc"&amp;$B268&amp;$C268&amp;$D268&amp;$E268&amp;$F268,".","_"),"(","_"),")","")</f>
        <v>dpc703_3_3 _3</v>
      </c>
      <c r="AO268" s="311">
        <f ca="1">O268</f>
        <v>0</v>
      </c>
      <c r="AP268" s="311" t="str">
        <f>SUBSTITUTE(SUBSTITUTE(SUBSTITUTE("dch"&amp;$B268&amp;$C268&amp;$D268&amp;$E268&amp;$F268,".","_"),"(","_"),")","")</f>
        <v>dch703_3_3 _3</v>
      </c>
      <c r="AQ268" s="311">
        <f>W268</f>
        <v>0</v>
      </c>
      <c r="AR268" s="311" t="str">
        <f>SUBSTITUTE(SUBSTITUTE(SUBSTITUTE("dnt"&amp;$B268&amp;$C268&amp;$D268&amp;$E268&amp;$F268,".","_"),"(","_"),")","")</f>
        <v>dnt703_3_3 _3</v>
      </c>
      <c r="AS268" s="311">
        <f>X268</f>
        <v>0</v>
      </c>
    </row>
    <row r="269" spans="1:45" x14ac:dyDescent="0.3">
      <c r="B269" s="93" t="s">
        <v>1094</v>
      </c>
      <c r="C269" s="93"/>
      <c r="D269" s="21"/>
      <c r="E269" s="21"/>
      <c r="F269" s="21"/>
      <c r="G269" s="21"/>
      <c r="H269" s="1084"/>
      <c r="I269" s="68" t="s">
        <v>1094</v>
      </c>
      <c r="J269" s="178"/>
      <c r="K269" s="178"/>
      <c r="L269" s="1389" t="s">
        <v>1095</v>
      </c>
      <c r="M269" s="522"/>
      <c r="N269" s="4"/>
      <c r="O269" s="154"/>
      <c r="P269"/>
      <c r="Q269"/>
      <c r="R269"/>
      <c r="S269"/>
      <c r="T269"/>
      <c r="U269"/>
      <c r="V269"/>
      <c r="W269"/>
      <c r="X269"/>
    </row>
    <row r="270" spans="1:45" x14ac:dyDescent="0.3">
      <c r="B270" s="93" t="s">
        <v>1094</v>
      </c>
      <c r="C270" s="93"/>
      <c r="D270" s="21"/>
      <c r="E270" s="21"/>
      <c r="F270" s="21"/>
      <c r="G270" s="21"/>
      <c r="H270" s="1084"/>
      <c r="I270" s="4"/>
      <c r="J270" s="178"/>
      <c r="K270" s="178"/>
      <c r="L270" s="1389"/>
      <c r="M270" s="522"/>
      <c r="N270" s="4"/>
      <c r="O270" s="154"/>
      <c r="P270"/>
      <c r="Q270"/>
      <c r="R270"/>
      <c r="S270"/>
      <c r="T270"/>
      <c r="U270"/>
      <c r="V270"/>
      <c r="W270"/>
      <c r="X270"/>
    </row>
    <row r="271" spans="1:45" x14ac:dyDescent="0.3">
      <c r="B271" s="93" t="s">
        <v>1094</v>
      </c>
      <c r="C271" s="93"/>
      <c r="D271" s="21"/>
      <c r="E271" s="21"/>
      <c r="F271" s="21"/>
      <c r="G271" s="21"/>
      <c r="H271" s="1084"/>
      <c r="I271" s="4"/>
      <c r="J271" s="178"/>
      <c r="K271" s="178"/>
      <c r="L271" s="1389"/>
      <c r="M271" s="522"/>
      <c r="N271" s="4"/>
      <c r="O271" s="154"/>
      <c r="P271"/>
      <c r="Q271"/>
      <c r="X271"/>
    </row>
    <row r="272" spans="1:45" s="511" customFormat="1" x14ac:dyDescent="0.3">
      <c r="A272" s="18"/>
      <c r="B272" s="93" t="s">
        <v>1094</v>
      </c>
      <c r="C272" s="93"/>
      <c r="D272" s="21" t="s">
        <v>271</v>
      </c>
      <c r="E272" s="21"/>
      <c r="F272" s="21"/>
      <c r="G272" s="21"/>
      <c r="H272" s="1084"/>
      <c r="I272" s="4"/>
      <c r="J272" s="260" t="s">
        <v>271</v>
      </c>
      <c r="K272" s="524"/>
      <c r="L272" s="514" t="s">
        <v>4067</v>
      </c>
      <c r="M272" s="522"/>
      <c r="N272" s="4"/>
      <c r="O272" s="154">
        <f ca="1">IFERROR(INDEX(M273:M276,MATCH(W273,{15,17,19,21},1)),0)*S273</f>
        <v>0</v>
      </c>
      <c r="R272"/>
      <c r="S272"/>
      <c r="T272"/>
      <c r="U272"/>
      <c r="V272"/>
      <c r="W272" s="511" t="s">
        <v>4069</v>
      </c>
      <c r="X272" s="1303"/>
      <c r="Y272" s="1107"/>
      <c r="AA272" s="1110"/>
      <c r="AN272" s="311" t="str">
        <f>SUBSTITUTE(SUBSTITUTE(SUBSTITUTE("dpc"&amp;$B272&amp;$C272&amp;$D272&amp;$E272&amp;$F272,".","_"),"(","_"),")","")</f>
        <v>dpc703_3_4_1</v>
      </c>
      <c r="AO272" s="311">
        <f ca="1">O272</f>
        <v>0</v>
      </c>
      <c r="AR272" s="311" t="str">
        <f>SUBSTITUTE(SUBSTITUTE(SUBSTITUTE("dnt"&amp;$B272&amp;$C272&amp;$D272&amp;$E272&amp;$F272,".","_"),"(","_"),")","")</f>
        <v>dnt703_3_4_1</v>
      </c>
      <c r="AS272" s="311">
        <f>X272</f>
        <v>0</v>
      </c>
    </row>
    <row r="273" spans="1:45" s="511" customFormat="1" x14ac:dyDescent="0.3">
      <c r="A273" s="18"/>
      <c r="B273" s="93" t="s">
        <v>1094</v>
      </c>
      <c r="C273" s="93"/>
      <c r="D273" s="21" t="s">
        <v>271</v>
      </c>
      <c r="E273" s="21" t="s">
        <v>271</v>
      </c>
      <c r="F273" s="21"/>
      <c r="G273" s="21"/>
      <c r="H273" s="1084"/>
      <c r="I273" s="4"/>
      <c r="J273" s="260"/>
      <c r="K273" s="524"/>
      <c r="L273" s="524" t="s">
        <v>4061</v>
      </c>
      <c r="M273" s="522">
        <f>IFERROR(INDEX({9,6,3,1,1,1,1,0},T239),0)</f>
        <v>1</v>
      </c>
      <c r="N273" s="4"/>
      <c r="O273" s="154"/>
      <c r="P273" s="97" t="b">
        <v>1</v>
      </c>
      <c r="Q273" s="97" t="b">
        <v>1</v>
      </c>
      <c r="R273" s="511" t="b">
        <v>0</v>
      </c>
      <c r="S273" s="511" t="b">
        <f ca="1">AND(S13=2,NOT(W277=TRUE),LEN(W279)=0,NOT(W280=TRUE),LEN(W285)=0)</f>
        <v>0</v>
      </c>
      <c r="T273" s="97" t="b">
        <f ca="1">AND(NOT(S273),LEN(W273)&gt;0)</f>
        <v>0</v>
      </c>
      <c r="W273" s="584"/>
      <c r="X273" s="1303"/>
      <c r="Y273" s="1107"/>
      <c r="AA273" s="1110"/>
      <c r="AC273" s="511" t="b">
        <f ca="1">OR(AD273:AE273)</f>
        <v>0</v>
      </c>
      <c r="AD273" s="511" t="b">
        <f ca="1">T273</f>
        <v>0</v>
      </c>
      <c r="AE273" s="511" t="b">
        <f>AND(R273,OR(W273="Not Met",W273=""))</f>
        <v>0</v>
      </c>
      <c r="AL273" s="311" t="str">
        <f t="shared" ref="AL273:AL280" si="18">SUBSTITUTE(SUBSTITUTE(SUBSTITUTE("dpa"&amp;$B273&amp;$C273&amp;$D273&amp;$E273&amp;$F273,".","_"),"(","_"),")","")</f>
        <v>dpa703_3_4_1_1</v>
      </c>
      <c r="AM273" s="311">
        <f t="shared" ref="AM273:AM279" si="19">M273</f>
        <v>1</v>
      </c>
      <c r="AP273" s="311" t="str">
        <f>SUBSTITUTE(SUBSTITUTE(SUBSTITUTE("dch"&amp;$B273&amp;$C273&amp;$D273&amp;$E273&amp;$F273,".","_"),"(","_"),")","")</f>
        <v>dch703_3_4_1_1</v>
      </c>
      <c r="AQ273" s="311">
        <f>W273</f>
        <v>0</v>
      </c>
    </row>
    <row r="274" spans="1:45" s="511" customFormat="1" x14ac:dyDescent="0.3">
      <c r="A274" s="18"/>
      <c r="B274" s="93" t="s">
        <v>1094</v>
      </c>
      <c r="C274" s="93"/>
      <c r="D274" s="21" t="s">
        <v>271</v>
      </c>
      <c r="E274" s="21" t="s">
        <v>273</v>
      </c>
      <c r="F274" s="21"/>
      <c r="G274" s="21"/>
      <c r="H274" s="1084"/>
      <c r="I274" s="4"/>
      <c r="J274" s="260"/>
      <c r="K274" s="524"/>
      <c r="L274" s="524" t="s">
        <v>4062</v>
      </c>
      <c r="M274" s="522">
        <f>IFERROR(INDEX({11,9,7,3,3,2,2,0},T239),0)</f>
        <v>3</v>
      </c>
      <c r="N274" s="4"/>
      <c r="O274" s="154"/>
      <c r="X274" s="1303"/>
      <c r="Y274" s="1107"/>
      <c r="AA274" s="1110"/>
      <c r="AL274" s="311" t="str">
        <f t="shared" si="18"/>
        <v>dpa703_3_4_1_2</v>
      </c>
      <c r="AM274" s="311">
        <f t="shared" si="19"/>
        <v>3</v>
      </c>
    </row>
    <row r="275" spans="1:45" s="511" customFormat="1" x14ac:dyDescent="0.3">
      <c r="A275" s="18"/>
      <c r="B275" s="93" t="s">
        <v>1094</v>
      </c>
      <c r="C275" s="93"/>
      <c r="D275" s="21" t="s">
        <v>271</v>
      </c>
      <c r="E275" s="21" t="s">
        <v>275</v>
      </c>
      <c r="F275" s="21"/>
      <c r="G275" s="21"/>
      <c r="H275" s="1084"/>
      <c r="I275" s="4"/>
      <c r="J275" s="260"/>
      <c r="K275" s="524"/>
      <c r="L275" s="524" t="s">
        <v>4063</v>
      </c>
      <c r="M275" s="522">
        <f>IFERROR(INDEX({19,12,10,6,4,4,4,0},T239),0)</f>
        <v>6</v>
      </c>
      <c r="N275" s="4"/>
      <c r="O275" s="154"/>
      <c r="X275" s="1303"/>
      <c r="Y275" s="1107"/>
      <c r="AA275" s="1110"/>
      <c r="AL275" s="311" t="str">
        <f t="shared" si="18"/>
        <v>dpa703_3_4_1_3</v>
      </c>
      <c r="AM275" s="311">
        <f t="shared" si="19"/>
        <v>6</v>
      </c>
    </row>
    <row r="276" spans="1:45" s="511" customFormat="1" x14ac:dyDescent="0.3">
      <c r="A276" s="18"/>
      <c r="B276" s="93" t="s">
        <v>1094</v>
      </c>
      <c r="C276" s="93"/>
      <c r="D276" s="21" t="s">
        <v>271</v>
      </c>
      <c r="E276" s="21" t="s">
        <v>285</v>
      </c>
      <c r="F276" s="21"/>
      <c r="G276" s="21"/>
      <c r="H276" s="1084"/>
      <c r="I276" s="4"/>
      <c r="J276" s="260"/>
      <c r="K276" s="524"/>
      <c r="L276" s="524" t="s">
        <v>4064</v>
      </c>
      <c r="M276" s="522">
        <f>IFERROR(INDEX({26,15,14,8,6,6,5,0},T239),0)</f>
        <v>8</v>
      </c>
      <c r="N276" s="4"/>
      <c r="O276" s="154"/>
      <c r="X276" s="1303"/>
      <c r="Y276" s="1107"/>
      <c r="AA276" s="1110"/>
      <c r="AL276" s="311" t="str">
        <f t="shared" si="18"/>
        <v>dpa703_3_4_1_4</v>
      </c>
      <c r="AM276" s="311">
        <f t="shared" si="19"/>
        <v>8</v>
      </c>
    </row>
    <row r="277" spans="1:45" s="511" customFormat="1" x14ac:dyDescent="0.3">
      <c r="A277" s="18"/>
      <c r="B277" s="93" t="s">
        <v>1094</v>
      </c>
      <c r="C277" s="93"/>
      <c r="D277" s="21" t="s">
        <v>271</v>
      </c>
      <c r="E277" s="26" t="s">
        <v>291</v>
      </c>
      <c r="F277" s="21"/>
      <c r="G277" s="21"/>
      <c r="H277" s="1084"/>
      <c r="I277" s="4"/>
      <c r="J277" s="97"/>
      <c r="K277" s="614" t="s">
        <v>4066</v>
      </c>
      <c r="L277" s="1293" t="s">
        <v>4065</v>
      </c>
      <c r="M277" s="1318">
        <v>20</v>
      </c>
      <c r="N277" s="140"/>
      <c r="O277" s="1308">
        <f ca="1">M277*S277*W277</f>
        <v>0</v>
      </c>
      <c r="P277" s="97" t="b">
        <v>1</v>
      </c>
      <c r="Q277" s="97" t="b">
        <v>1</v>
      </c>
      <c r="R277" s="511" t="b">
        <v>0</v>
      </c>
      <c r="S277" s="422" t="b">
        <f ca="1">AND(S13=2,BI16="Tropical",LEN(W273)=0,LEN(W279)=0,NOT(W280=TRUE),LEN(W285)=0)</f>
        <v>0</v>
      </c>
      <c r="T277" s="97" t="b">
        <f ca="1">AND(NOT(S277),W277=TRUE)</f>
        <v>0</v>
      </c>
      <c r="W277" s="25"/>
      <c r="X277" s="1303"/>
      <c r="Y277" s="1107"/>
      <c r="AA277" s="1110"/>
      <c r="AC277" s="511" t="b">
        <f ca="1">OR(AD277:AE277)</f>
        <v>0</v>
      </c>
      <c r="AD277" s="511" t="b">
        <f ca="1">T277</f>
        <v>0</v>
      </c>
      <c r="AE277" s="511" t="b">
        <f>AND(R277,NOT(W277))</f>
        <v>0</v>
      </c>
      <c r="AL277" s="311" t="str">
        <f t="shared" si="18"/>
        <v>dpa703_3_4_1_5</v>
      </c>
      <c r="AM277" s="311">
        <f t="shared" si="19"/>
        <v>20</v>
      </c>
      <c r="AN277" s="311" t="str">
        <f>SUBSTITUTE(SUBSTITUTE(SUBSTITUTE("dpc"&amp;$B277&amp;$C277&amp;$D277&amp;$E277&amp;$F277,".","_"),"(","_"),")","")</f>
        <v>dpc703_3_4_1_5</v>
      </c>
      <c r="AO277" s="311">
        <f ca="1">O277</f>
        <v>0</v>
      </c>
      <c r="AP277" s="311" t="str">
        <f>SUBSTITUTE(SUBSTITUTE(SUBSTITUTE("dch"&amp;$B277&amp;$C277&amp;$D277&amp;$E277&amp;$F277,".","_"),"(","_"),")","")</f>
        <v>dch703_3_4_1_5</v>
      </c>
      <c r="AQ277" s="311">
        <f>W277</f>
        <v>0</v>
      </c>
      <c r="AR277" s="311" t="str">
        <f>SUBSTITUTE(SUBSTITUTE(SUBSTITUTE("dnt"&amp;$B277&amp;$C277&amp;$D277&amp;$E277&amp;$F277,".","_"),"(","_"),")","")</f>
        <v>dnt703_3_4_1_5</v>
      </c>
      <c r="AS277" s="311">
        <f>X277</f>
        <v>0</v>
      </c>
    </row>
    <row r="278" spans="1:45" s="511" customFormat="1" x14ac:dyDescent="0.3">
      <c r="A278" s="18"/>
      <c r="B278" s="93" t="s">
        <v>1094</v>
      </c>
      <c r="C278" s="93"/>
      <c r="D278" s="21" t="s">
        <v>271</v>
      </c>
      <c r="E278" s="21"/>
      <c r="F278" s="21"/>
      <c r="G278" s="21"/>
      <c r="H278" s="1084"/>
      <c r="I278" s="4"/>
      <c r="J278" s="626"/>
      <c r="K278" s="545"/>
      <c r="L278" s="1294"/>
      <c r="M278" s="1319"/>
      <c r="N278" s="238"/>
      <c r="O278" s="1309"/>
      <c r="W278" s="511" t="s">
        <v>4059</v>
      </c>
      <c r="X278" s="1303"/>
      <c r="Y278" s="1107"/>
      <c r="AA278" s="1110"/>
      <c r="AL278" s="311" t="str">
        <f t="shared" si="18"/>
        <v>dpa703_3_4_1</v>
      </c>
      <c r="AM278" s="311">
        <f t="shared" si="19"/>
        <v>0</v>
      </c>
    </row>
    <row r="279" spans="1:45" x14ac:dyDescent="0.3">
      <c r="B279" s="93" t="s">
        <v>1094</v>
      </c>
      <c r="C279" s="93"/>
      <c r="D279" s="21" t="s">
        <v>273</v>
      </c>
      <c r="E279" s="21"/>
      <c r="F279" s="21"/>
      <c r="G279" s="21"/>
      <c r="H279" s="1084"/>
      <c r="I279" s="238"/>
      <c r="J279" s="626" t="s">
        <v>273</v>
      </c>
      <c r="K279" s="545"/>
      <c r="L279" s="543" t="s">
        <v>4068</v>
      </c>
      <c r="M279" s="549">
        <f>IFERROR(INDEX({3,6,3,1,1,0,0,0},T239),0)</f>
        <v>1</v>
      </c>
      <c r="N279" s="238"/>
      <c r="O279" s="599">
        <f ca="1">IF(AND(S279,W279&gt;=1.2),M279,0)</f>
        <v>0</v>
      </c>
      <c r="P279" s="97" t="b">
        <v>1</v>
      </c>
      <c r="Q279" s="97" t="b">
        <v>1</v>
      </c>
      <c r="R279" s="511" t="b">
        <v>0</v>
      </c>
      <c r="S279" s="511" t="b">
        <f ca="1">AND(S13=2,LEN(W273)=0,NOT(W277=TRUE),NOT(W280=TRUE),LEN(W285)=0)</f>
        <v>0</v>
      </c>
      <c r="T279" s="97" t="b">
        <f ca="1">AND(NOT(S279),LEN(W279)&gt;0)</f>
        <v>0</v>
      </c>
      <c r="U279"/>
      <c r="V279"/>
      <c r="W279" s="584"/>
      <c r="X279" s="512"/>
      <c r="AC279" s="511" t="b">
        <f ca="1">OR(AD279:AE279)</f>
        <v>0</v>
      </c>
      <c r="AD279" s="511" t="b">
        <f ca="1">T279</f>
        <v>0</v>
      </c>
      <c r="AE279" s="511" t="b">
        <f>AND(R279,OR(W279="Not Met",W279=""))</f>
        <v>0</v>
      </c>
      <c r="AL279" s="311" t="str">
        <f t="shared" si="18"/>
        <v>dpa703_3_4_2</v>
      </c>
      <c r="AM279" s="311">
        <f t="shared" si="19"/>
        <v>1</v>
      </c>
      <c r="AN279" s="311" t="str">
        <f t="shared" ref="AN279:AN280" si="20">SUBSTITUTE(SUBSTITUTE(SUBSTITUTE("dpc"&amp;$B279&amp;$C279&amp;$D279&amp;$E279&amp;$F279,".","_"),"(","_"),")","")</f>
        <v>dpc703_3_4_2</v>
      </c>
      <c r="AO279" s="311">
        <f ca="1">O279</f>
        <v>0</v>
      </c>
      <c r="AP279" s="311" t="str">
        <f>SUBSTITUTE(SUBSTITUTE(SUBSTITUTE("dch"&amp;$B279&amp;$C279&amp;$D279&amp;$E279&amp;$F279,".","_"),"(","_"),")","")</f>
        <v>dch703_3_4_2</v>
      </c>
      <c r="AQ279" s="311">
        <f>W279</f>
        <v>0</v>
      </c>
      <c r="AR279" s="311" t="str">
        <f t="shared" ref="AR279:AR280" si="21">SUBSTITUTE(SUBSTITUTE(SUBSTITUTE("dnt"&amp;$B279&amp;$C279&amp;$D279&amp;$E279&amp;$F279,".","_"),"(","_"),")","")</f>
        <v>dnt703_3_4_2</v>
      </c>
      <c r="AS279" s="311">
        <f>X279</f>
        <v>0</v>
      </c>
    </row>
    <row r="280" spans="1:45" x14ac:dyDescent="0.3">
      <c r="B280" s="93" t="s">
        <v>1096</v>
      </c>
      <c r="C280" s="93"/>
      <c r="D280" s="21"/>
      <c r="E280" s="21"/>
      <c r="F280" s="21"/>
      <c r="G280" s="21"/>
      <c r="H280" s="1084"/>
      <c r="I280" s="630" t="s">
        <v>1096</v>
      </c>
      <c r="J280" s="557"/>
      <c r="K280" s="557"/>
      <c r="L280" s="1364" t="s">
        <v>1097</v>
      </c>
      <c r="M280" s="1323">
        <f>IFERROR(INDEX({14,18,22,30,37,37,37,37},T239),0)</f>
        <v>30</v>
      </c>
      <c r="N280" s="216"/>
      <c r="O280" s="1324">
        <f ca="1">M280*S280*W280</f>
        <v>0</v>
      </c>
      <c r="P280" s="97" t="b">
        <v>1</v>
      </c>
      <c r="Q280" s="97" t="b">
        <v>1</v>
      </c>
      <c r="R280" s="511" t="b">
        <v>0</v>
      </c>
      <c r="S280" s="511" t="b">
        <f ca="1">AND(S13=2,LEN(W244)=0,LEN(W250)=0,LEN(W253)=0,LEN(W258)=0,LEN(W264)=0,LEN(W268)=0,LEN(W273)=0,NOT(W277=TRUE),LEN(W279)=0,LEN(W285)=0)</f>
        <v>0</v>
      </c>
      <c r="T280" s="97" t="b">
        <f ca="1">AND(NOT(S280),W280=TRUE)</f>
        <v>0</v>
      </c>
      <c r="U280"/>
      <c r="V280"/>
      <c r="W280" s="25"/>
      <c r="X280" s="1303"/>
      <c r="AC280" s="511" t="b">
        <f ca="1">OR(AD280:AE280)</f>
        <v>0</v>
      </c>
      <c r="AD280" s="511" t="b">
        <f ca="1">T280</f>
        <v>0</v>
      </c>
      <c r="AE280" s="511" t="b">
        <f>AND(R280,NOT(W280))</f>
        <v>0</v>
      </c>
      <c r="AL280" s="311" t="str">
        <f t="shared" si="18"/>
        <v>dpa703_3_5</v>
      </c>
      <c r="AM280" s="311">
        <f>M280</f>
        <v>30</v>
      </c>
      <c r="AN280" s="311" t="str">
        <f t="shared" si="20"/>
        <v>dpc703_3_5</v>
      </c>
      <c r="AO280" s="311">
        <f ca="1">O280</f>
        <v>0</v>
      </c>
      <c r="AP280" s="311" t="str">
        <f>SUBSTITUTE(SUBSTITUTE(SUBSTITUTE("dch"&amp;$B280&amp;$C280&amp;$D280&amp;$E280&amp;$F280,".","_"),"(","_"),")","")</f>
        <v>dch703_3_5</v>
      </c>
      <c r="AQ280" s="311">
        <f>W280</f>
        <v>0</v>
      </c>
      <c r="AR280" s="311" t="str">
        <f t="shared" si="21"/>
        <v>dnt703_3_5</v>
      </c>
      <c r="AS280" s="311">
        <f>X280</f>
        <v>0</v>
      </c>
    </row>
    <row r="281" spans="1:45" x14ac:dyDescent="0.3">
      <c r="B281" s="93" t="s">
        <v>1096</v>
      </c>
      <c r="C281" s="93"/>
      <c r="D281" s="21"/>
      <c r="E281" s="21"/>
      <c r="F281" s="21"/>
      <c r="G281" s="21"/>
      <c r="H281" s="1084"/>
      <c r="I281" s="140"/>
      <c r="J281" s="544"/>
      <c r="K281" s="544"/>
      <c r="L281" s="1313"/>
      <c r="M281" s="1318"/>
      <c r="N281" s="140"/>
      <c r="O281" s="1308"/>
      <c r="P281"/>
      <c r="Q281"/>
      <c r="R281"/>
      <c r="S281"/>
      <c r="T281"/>
      <c r="U281"/>
      <c r="V281"/>
      <c r="W281"/>
      <c r="X281" s="1303"/>
    </row>
    <row r="282" spans="1:45" x14ac:dyDescent="0.3">
      <c r="B282" s="93" t="s">
        <v>1096</v>
      </c>
      <c r="C282" s="93"/>
      <c r="D282" s="21"/>
      <c r="E282" s="21"/>
      <c r="F282" s="21"/>
      <c r="G282" s="21"/>
      <c r="H282" s="1084"/>
      <c r="I282" s="140"/>
      <c r="J282" s="544"/>
      <c r="K282" s="544"/>
      <c r="L282" s="1313"/>
      <c r="M282" s="1318"/>
      <c r="N282" s="140"/>
      <c r="O282" s="1308"/>
      <c r="P282"/>
      <c r="Q282"/>
      <c r="R282"/>
      <c r="S282"/>
      <c r="T282"/>
      <c r="U282"/>
      <c r="V282"/>
      <c r="W282"/>
      <c r="X282" s="1303"/>
    </row>
    <row r="283" spans="1:45" x14ac:dyDescent="0.3">
      <c r="B283" s="93" t="s">
        <v>1096</v>
      </c>
      <c r="C283" s="93"/>
      <c r="D283" s="21"/>
      <c r="E283" s="21"/>
      <c r="F283" s="21"/>
      <c r="G283" s="21"/>
      <c r="H283" s="1084"/>
      <c r="I283" s="238"/>
      <c r="J283" s="545"/>
      <c r="K283" s="545"/>
      <c r="L283" s="545" t="s">
        <v>4070</v>
      </c>
      <c r="M283" s="1319"/>
      <c r="N283" s="238"/>
      <c r="O283" s="1309"/>
      <c r="P283"/>
      <c r="Q283"/>
      <c r="R283"/>
      <c r="S283"/>
      <c r="T283"/>
      <c r="U283"/>
      <c r="V283"/>
      <c r="W283"/>
      <c r="X283" s="1303"/>
    </row>
    <row r="284" spans="1:45" x14ac:dyDescent="0.3">
      <c r="B284" s="93" t="s">
        <v>1098</v>
      </c>
      <c r="C284" s="93"/>
      <c r="D284" s="21"/>
      <c r="E284" s="21"/>
      <c r="F284" s="21"/>
      <c r="G284" s="21"/>
      <c r="H284" s="1084"/>
      <c r="I284" s="68" t="s">
        <v>1098</v>
      </c>
      <c r="J284" s="178"/>
      <c r="K284" s="178"/>
      <c r="L284" s="1389" t="s">
        <v>4105</v>
      </c>
      <c r="M284" s="522"/>
      <c r="N284" s="4"/>
      <c r="O284" s="1310">
        <f ca="1">IFERROR(INDEX(M287:M289,MATCH(W285,{16,24,28},1)),0)*S285</f>
        <v>0</v>
      </c>
      <c r="P284"/>
      <c r="Q284"/>
      <c r="R284" s="511"/>
      <c r="S284" s="511"/>
      <c r="T284" s="511"/>
      <c r="U284" s="511"/>
      <c r="V284" s="511"/>
      <c r="W284" s="511" t="s">
        <v>4074</v>
      </c>
      <c r="X284" s="1303"/>
      <c r="AN284" s="311" t="str">
        <f>SUBSTITUTE(SUBSTITUTE(SUBSTITUTE("dpc"&amp;$B284&amp;$C284&amp;$D284&amp;$E284&amp;$F284,".","_"),"(","_"),")","")</f>
        <v>dpc703_3_6</v>
      </c>
      <c r="AO284" s="311">
        <f ca="1">O284</f>
        <v>0</v>
      </c>
      <c r="AR284" s="311" t="str">
        <f>SUBSTITUTE(SUBSTITUTE(SUBSTITUTE("dnt"&amp;$B284&amp;$C284&amp;$D284&amp;$E284&amp;$F284,".","_"),"(","_"),")","")</f>
        <v>dnt703_3_6</v>
      </c>
      <c r="AS284" s="311">
        <f>X284</f>
        <v>0</v>
      </c>
    </row>
    <row r="285" spans="1:45" x14ac:dyDescent="0.3">
      <c r="B285" s="93" t="s">
        <v>1098</v>
      </c>
      <c r="C285" s="93"/>
      <c r="D285" s="21"/>
      <c r="E285" s="21"/>
      <c r="F285" s="21"/>
      <c r="G285" s="21"/>
      <c r="H285" s="1084"/>
      <c r="I285" s="4"/>
      <c r="J285" s="178"/>
      <c r="K285" s="178"/>
      <c r="L285" s="1389"/>
      <c r="M285" s="522"/>
      <c r="N285" s="4"/>
      <c r="O285" s="1310"/>
      <c r="P285" s="97" t="b">
        <v>1</v>
      </c>
      <c r="Q285" s="97" t="b">
        <v>1</v>
      </c>
      <c r="R285" s="511" t="b">
        <v>0</v>
      </c>
      <c r="S285" s="511" t="b">
        <f ca="1">AND(S13=2,LEN(W244)=0,LEN(W250)=0,LEN(W253)=0,LEN(W258)=0,LEN(W264)=0,LEN(W268)=0,LEN(W273)=0,NOT(W277=TRUE),LEN(W279)=0,NOT(W280=TRUE))</f>
        <v>0</v>
      </c>
      <c r="T285" s="97" t="b">
        <f ca="1">AND(NOT(S285),LEN(W285)&gt;0)</f>
        <v>0</v>
      </c>
      <c r="U285" s="511"/>
      <c r="V285" s="511"/>
      <c r="W285" s="584"/>
      <c r="X285" s="1303"/>
      <c r="AC285" s="511" t="b">
        <f ca="1">OR(AD285:AE285)</f>
        <v>0</v>
      </c>
      <c r="AD285" s="511" t="b">
        <f ca="1">T285</f>
        <v>0</v>
      </c>
      <c r="AE285" s="511" t="b">
        <f>AND(R285,OR(W285="Not Met",W285=""))</f>
        <v>0</v>
      </c>
      <c r="AP285" s="311" t="str">
        <f>SUBSTITUTE(SUBSTITUTE(SUBSTITUTE("dch"&amp;$B285&amp;$C285&amp;$D285&amp;$E285&amp;$F285,".","_"),"(","_"),")","")</f>
        <v>dch703_3_6</v>
      </c>
      <c r="AQ285" s="311">
        <f>W285</f>
        <v>0</v>
      </c>
    </row>
    <row r="286" spans="1:45" x14ac:dyDescent="0.3">
      <c r="B286" s="93" t="s">
        <v>1098</v>
      </c>
      <c r="C286" s="93"/>
      <c r="D286" s="21"/>
      <c r="E286" s="21"/>
      <c r="F286" s="21"/>
      <c r="G286" s="21"/>
      <c r="H286" s="1084"/>
      <c r="I286" s="4"/>
      <c r="J286" s="178"/>
      <c r="K286" s="178"/>
      <c r="L286" s="1389"/>
      <c r="M286" s="522"/>
      <c r="N286" s="4"/>
      <c r="O286" s="1310"/>
      <c r="P286"/>
      <c r="Q286"/>
      <c r="R286"/>
      <c r="S286"/>
      <c r="T286"/>
      <c r="U286"/>
      <c r="V286"/>
      <c r="W286"/>
      <c r="X286" s="1303"/>
    </row>
    <row r="287" spans="1:45" s="511" customFormat="1" x14ac:dyDescent="0.3">
      <c r="A287" s="18"/>
      <c r="B287" s="93" t="s">
        <v>1098</v>
      </c>
      <c r="C287" s="93"/>
      <c r="D287" s="21"/>
      <c r="E287" s="21" t="s">
        <v>271</v>
      </c>
      <c r="F287" s="21"/>
      <c r="G287" s="21"/>
      <c r="H287" s="1084"/>
      <c r="I287" s="4"/>
      <c r="J287" s="524"/>
      <c r="K287" s="524"/>
      <c r="L287" s="524" t="s">
        <v>4071</v>
      </c>
      <c r="M287" s="522">
        <f>IFERROR(INDEX({1,1,2,16,22,22,0,0},T239),0)</f>
        <v>16</v>
      </c>
      <c r="N287" s="4"/>
      <c r="O287" s="154"/>
      <c r="X287" s="1303"/>
      <c r="Y287" s="1107"/>
      <c r="AA287" s="1110"/>
      <c r="AL287" s="311" t="str">
        <f t="shared" ref="AL287:AL290" si="22">SUBSTITUTE(SUBSTITUTE(SUBSTITUTE("dpa"&amp;$B287&amp;$C287&amp;$D287&amp;$E287&amp;$F287,".","_"),"(","_"),")","")</f>
        <v>dpa703_3_6_1</v>
      </c>
      <c r="AM287" s="311">
        <f>M287</f>
        <v>16</v>
      </c>
    </row>
    <row r="288" spans="1:45" s="511" customFormat="1" x14ac:dyDescent="0.3">
      <c r="A288" s="18"/>
      <c r="B288" s="93" t="s">
        <v>1098</v>
      </c>
      <c r="C288" s="93"/>
      <c r="D288" s="21"/>
      <c r="E288" s="21" t="s">
        <v>273</v>
      </c>
      <c r="F288" s="21"/>
      <c r="G288" s="21"/>
      <c r="H288" s="1084"/>
      <c r="I288" s="4"/>
      <c r="J288" s="524"/>
      <c r="K288" s="524"/>
      <c r="L288" s="524" t="s">
        <v>4072</v>
      </c>
      <c r="M288" s="522">
        <f>IFERROR(INDEX({24,29,22,31,35,35,0,0},T239),0)</f>
        <v>31</v>
      </c>
      <c r="N288" s="4"/>
      <c r="O288" s="154"/>
      <c r="X288" s="1303"/>
      <c r="Y288" s="1107"/>
      <c r="AA288" s="1110"/>
      <c r="AL288" s="311" t="str">
        <f t="shared" si="22"/>
        <v>dpa703_3_6_2</v>
      </c>
      <c r="AM288" s="311">
        <f>M288</f>
        <v>31</v>
      </c>
    </row>
    <row r="289" spans="1:45" x14ac:dyDescent="0.3">
      <c r="B289" s="93" t="s">
        <v>1098</v>
      </c>
      <c r="C289" s="93"/>
      <c r="D289" s="21"/>
      <c r="E289" s="21" t="s">
        <v>275</v>
      </c>
      <c r="F289" s="21"/>
      <c r="G289" s="21"/>
      <c r="H289" s="1084"/>
      <c r="I289" s="238"/>
      <c r="J289" s="545"/>
      <c r="K289" s="545"/>
      <c r="L289" s="545" t="s">
        <v>4073</v>
      </c>
      <c r="M289" s="549">
        <f>IFERROR(INDEX({42,46,35,42,44,44,0,0},T239),0)</f>
        <v>42</v>
      </c>
      <c r="N289" s="238"/>
      <c r="O289" s="599"/>
      <c r="P289"/>
      <c r="Q289"/>
      <c r="R289"/>
      <c r="S289"/>
      <c r="T289"/>
      <c r="U289"/>
      <c r="V289"/>
      <c r="W289"/>
      <c r="X289" s="1303"/>
      <c r="AL289" s="311" t="str">
        <f t="shared" si="22"/>
        <v>dpa703_3_6_3</v>
      </c>
      <c r="AM289" s="311">
        <f>M289</f>
        <v>42</v>
      </c>
    </row>
    <row r="290" spans="1:45" x14ac:dyDescent="0.3">
      <c r="B290" s="93" t="s">
        <v>1099</v>
      </c>
      <c r="C290" s="93"/>
      <c r="D290" s="21"/>
      <c r="E290" s="21" t="s">
        <v>271</v>
      </c>
      <c r="F290" s="21"/>
      <c r="G290" s="21"/>
      <c r="H290" s="1084"/>
      <c r="I290" s="68" t="s">
        <v>1099</v>
      </c>
      <c r="J290" s="178"/>
      <c r="K290" s="178"/>
      <c r="L290" s="184" t="s">
        <v>1100</v>
      </c>
      <c r="M290" s="522">
        <v>1</v>
      </c>
      <c r="N290" s="4"/>
      <c r="O290" s="154">
        <f ca="1">IF(AND(S292,W292&gt;0),MIN(8,W292),M290*S290*W290)</f>
        <v>0</v>
      </c>
      <c r="P290" s="97" t="b">
        <v>0</v>
      </c>
      <c r="Q290" s="97" t="b">
        <v>1</v>
      </c>
      <c r="R290" s="145" t="b">
        <v>0</v>
      </c>
      <c r="S290" s="150" t="b">
        <f ca="1">AND(S13=2,NOT(W297))</f>
        <v>0</v>
      </c>
      <c r="T290" s="97" t="b">
        <f ca="1">AND(NOT(S290),W290=TRUE)</f>
        <v>0</v>
      </c>
      <c r="U290"/>
      <c r="V290"/>
      <c r="W290" s="25"/>
      <c r="X290" s="1303"/>
      <c r="AC290" s="511" t="b">
        <f ca="1">OR(AD290:AE290)</f>
        <v>0</v>
      </c>
      <c r="AD290" s="511" t="b">
        <f ca="1">T290</f>
        <v>0</v>
      </c>
      <c r="AE290" s="511" t="b">
        <f>AND(R290,NOT(W290))</f>
        <v>0</v>
      </c>
      <c r="AL290" s="311" t="str">
        <f t="shared" si="22"/>
        <v>dpa703_3_7_1</v>
      </c>
      <c r="AM290" s="311">
        <f>M290</f>
        <v>1</v>
      </c>
      <c r="AN290" s="311" t="str">
        <f>SUBSTITUTE(SUBSTITUTE(SUBSTITUTE("dpc"&amp;$B290&amp;$C290&amp;$D290&amp;$E290&amp;$F290,".","_"),"(","_"),")","")</f>
        <v>dpc703_3_7_1</v>
      </c>
      <c r="AO290" s="311">
        <f ca="1">O290</f>
        <v>0</v>
      </c>
      <c r="AP290" s="311" t="str">
        <f>SUBSTITUTE(SUBSTITUTE(SUBSTITUTE("dch"&amp;$B290&amp;$C290&amp;$D290&amp;$E290&amp;$F290,".","_"),"(","_"),")","")</f>
        <v>dch703_3_7_1</v>
      </c>
      <c r="AQ290" s="311">
        <f>W290</f>
        <v>0</v>
      </c>
      <c r="AR290" s="311" t="str">
        <f>SUBSTITUTE(SUBSTITUTE(SUBSTITUTE("dnt"&amp;$B290&amp;$C290&amp;$D290&amp;$E290&amp;$F290,".","_"),"(","_"),")","")</f>
        <v>dnt703_3_7_1</v>
      </c>
      <c r="AS290" s="311">
        <f>X290</f>
        <v>0</v>
      </c>
    </row>
    <row r="291" spans="1:45" x14ac:dyDescent="0.3">
      <c r="B291" s="93" t="s">
        <v>1099</v>
      </c>
      <c r="C291" s="93"/>
      <c r="D291" s="21"/>
      <c r="E291" s="21"/>
      <c r="F291" s="21"/>
      <c r="G291" s="21"/>
      <c r="H291" s="1084"/>
      <c r="I291" s="4"/>
      <c r="J291" s="178"/>
      <c r="K291" s="178"/>
      <c r="L291" s="180" t="s">
        <v>1101</v>
      </c>
      <c r="M291" s="522"/>
      <c r="N291" s="4"/>
      <c r="O291" s="154"/>
      <c r="P291"/>
      <c r="Q291"/>
      <c r="R291"/>
      <c r="S291"/>
      <c r="T291"/>
      <c r="U291"/>
      <c r="V291"/>
      <c r="W291" t="s">
        <v>4029</v>
      </c>
      <c r="X291" s="1303"/>
    </row>
    <row r="292" spans="1:45" x14ac:dyDescent="0.3">
      <c r="B292" s="93" t="s">
        <v>1099</v>
      </c>
      <c r="C292" s="93"/>
      <c r="D292" s="21"/>
      <c r="E292" s="21" t="s">
        <v>273</v>
      </c>
      <c r="F292" s="21"/>
      <c r="G292" s="21"/>
      <c r="H292" s="1084"/>
      <c r="I292" s="4"/>
      <c r="J292" s="178"/>
      <c r="K292" s="178"/>
      <c r="L292" s="1389" t="s">
        <v>1102</v>
      </c>
      <c r="M292" s="522"/>
      <c r="N292" s="4"/>
      <c r="O292" s="154"/>
      <c r="P292" s="97" t="b">
        <v>0</v>
      </c>
      <c r="Q292" s="97" t="b">
        <v>1</v>
      </c>
      <c r="R292" s="511" t="b">
        <v>0</v>
      </c>
      <c r="S292" t="b">
        <f ca="1">AND(S13=2,NOT(W297),W290=TRUE,OR(BI16="Tropical",AND(BG16="Dry",OR(BF16=2,BF16=3,BF16=4))))</f>
        <v>0</v>
      </c>
      <c r="T292" s="97" t="b">
        <f ca="1">AND(NOT(S292),LEN(W292)&gt;0)</f>
        <v>0</v>
      </c>
      <c r="U292"/>
      <c r="V292"/>
      <c r="W292" s="609"/>
      <c r="X292" s="1303"/>
      <c r="AC292" s="511" t="b">
        <f ca="1">OR(AD292:AE292)</f>
        <v>0</v>
      </c>
      <c r="AD292" s="511" t="b">
        <f ca="1">T292</f>
        <v>0</v>
      </c>
      <c r="AE292" s="511" t="b">
        <f>AND(R292,OR(W292="Not Met",W292=""))</f>
        <v>0</v>
      </c>
      <c r="AP292" s="311" t="str">
        <f>SUBSTITUTE(SUBSTITUTE(SUBSTITUTE("dch"&amp;$B292&amp;$C292&amp;$D292&amp;$E292&amp;$F292,".","_"),"(","_"),")","")</f>
        <v>dch703_3_7_2</v>
      </c>
      <c r="AQ292" s="311">
        <f>W292</f>
        <v>0</v>
      </c>
    </row>
    <row r="293" spans="1:45" x14ac:dyDescent="0.3">
      <c r="B293" s="93" t="s">
        <v>1099</v>
      </c>
      <c r="C293" s="93"/>
      <c r="D293" s="21"/>
      <c r="E293" s="21"/>
      <c r="F293" s="21"/>
      <c r="G293" s="21"/>
      <c r="H293" s="1084"/>
      <c r="I293" s="4"/>
      <c r="J293" s="178"/>
      <c r="K293" s="178"/>
      <c r="L293" s="1389"/>
      <c r="M293" s="522"/>
      <c r="N293" s="4"/>
      <c r="O293" s="154"/>
      <c r="P293"/>
      <c r="Q293"/>
      <c r="R293"/>
      <c r="S293"/>
      <c r="T293"/>
      <c r="U293"/>
      <c r="V293"/>
      <c r="W293"/>
      <c r="X293" s="1303"/>
    </row>
    <row r="294" spans="1:45" x14ac:dyDescent="0.3">
      <c r="B294" s="93" t="s">
        <v>1099</v>
      </c>
      <c r="C294" s="93"/>
      <c r="D294" s="21"/>
      <c r="E294" s="21"/>
      <c r="F294" s="21"/>
      <c r="G294" s="21"/>
      <c r="H294" s="1084"/>
      <c r="I294" s="4"/>
      <c r="J294" s="178"/>
      <c r="K294" s="178"/>
      <c r="L294" s="1389"/>
      <c r="M294" s="522"/>
      <c r="N294" s="4"/>
      <c r="O294" s="154"/>
      <c r="P294"/>
      <c r="Q294"/>
      <c r="R294"/>
      <c r="S294"/>
      <c r="T294"/>
      <c r="U294"/>
      <c r="V294"/>
      <c r="W294"/>
      <c r="X294" s="1303"/>
    </row>
    <row r="295" spans="1:45" x14ac:dyDescent="0.3">
      <c r="B295" s="93" t="s">
        <v>1099</v>
      </c>
      <c r="C295" s="93"/>
      <c r="D295" s="21"/>
      <c r="E295" s="21"/>
      <c r="F295" s="21"/>
      <c r="G295" s="21"/>
      <c r="H295" s="1084"/>
      <c r="I295" s="4"/>
      <c r="J295" s="178"/>
      <c r="K295" s="178"/>
      <c r="L295" s="1389"/>
      <c r="M295" s="522"/>
      <c r="N295" s="4"/>
      <c r="O295" s="154"/>
      <c r="P295"/>
      <c r="Q295"/>
      <c r="R295"/>
      <c r="S295"/>
      <c r="T295"/>
      <c r="U295"/>
      <c r="V295"/>
      <c r="W295"/>
      <c r="X295" s="1303"/>
    </row>
    <row r="296" spans="1:45" s="511" customFormat="1" x14ac:dyDescent="0.3">
      <c r="A296" s="18"/>
      <c r="B296" s="93" t="s">
        <v>1099</v>
      </c>
      <c r="C296" s="93"/>
      <c r="D296" s="21"/>
      <c r="E296" s="21"/>
      <c r="F296" s="21"/>
      <c r="G296" s="21"/>
      <c r="H296" s="1084"/>
      <c r="I296" s="238"/>
      <c r="J296" s="545"/>
      <c r="K296" s="545"/>
      <c r="L296" s="568" t="s">
        <v>4046</v>
      </c>
      <c r="M296" s="549"/>
      <c r="N296" s="238"/>
      <c r="O296" s="599"/>
      <c r="P296" s="196"/>
      <c r="Q296" s="196"/>
      <c r="R296" s="196"/>
      <c r="S296" s="196"/>
      <c r="T296" s="196"/>
      <c r="U296" s="196"/>
      <c r="V296" s="196"/>
      <c r="W296" s="636"/>
      <c r="X296" s="1303"/>
      <c r="Y296" s="1107"/>
      <c r="AA296" s="1110"/>
    </row>
    <row r="297" spans="1:45" x14ac:dyDescent="0.3">
      <c r="B297" s="93" t="s">
        <v>1103</v>
      </c>
      <c r="C297" s="93"/>
      <c r="D297" s="21"/>
      <c r="E297" s="21"/>
      <c r="F297" s="21"/>
      <c r="G297" s="21"/>
      <c r="H297" s="1084"/>
      <c r="I297" s="630" t="s">
        <v>1103</v>
      </c>
      <c r="J297" s="557"/>
      <c r="K297" s="557"/>
      <c r="L297" s="1393" t="s">
        <v>1104</v>
      </c>
      <c r="M297" s="1323">
        <f>IFERROR(INDEX({4,4,4,3,3,3,0,0},BF16),0)</f>
        <v>3</v>
      </c>
      <c r="N297" s="216"/>
      <c r="O297" s="1324">
        <f ca="1">M297*S297*W297</f>
        <v>0</v>
      </c>
      <c r="P297" s="97" t="b">
        <v>1</v>
      </c>
      <c r="Q297" s="97" t="b">
        <v>1</v>
      </c>
      <c r="R297" s="218" t="b">
        <v>0</v>
      </c>
      <c r="S297" s="218" t="b">
        <f ca="1">(S13=2)</f>
        <v>0</v>
      </c>
      <c r="T297" s="218" t="b">
        <f ca="1">AND(NOT(S297),W297=TRUE)</f>
        <v>0</v>
      </c>
      <c r="U297" s="218"/>
      <c r="V297" s="218"/>
      <c r="W297" s="452"/>
      <c r="X297" s="1295"/>
      <c r="AC297" s="511" t="b">
        <f ca="1">OR(AD297:AE297)</f>
        <v>0</v>
      </c>
      <c r="AD297" s="511" t="b">
        <f ca="1">T297</f>
        <v>0</v>
      </c>
      <c r="AE297" s="511" t="b">
        <f>AND(R297,NOT(W297))</f>
        <v>0</v>
      </c>
      <c r="AL297" s="311" t="str">
        <f>SUBSTITUTE(SUBSTITUTE(SUBSTITUTE("dpa"&amp;$B297&amp;$C297&amp;$D297&amp;$E297&amp;$F297,".","_"),"(","_"),")","")</f>
        <v>dpa703_3_8</v>
      </c>
      <c r="AM297" s="311">
        <f>M297</f>
        <v>3</v>
      </c>
      <c r="AN297" s="311" t="str">
        <f>SUBSTITUTE(SUBSTITUTE(SUBSTITUTE("dpc"&amp;$B297&amp;$C297&amp;$D297&amp;$E297&amp;$F297,".","_"),"(","_"),")","")</f>
        <v>dpc703_3_8</v>
      </c>
      <c r="AO297" s="311">
        <f ca="1">O297</f>
        <v>0</v>
      </c>
      <c r="AP297" s="311" t="str">
        <f>SUBSTITUTE(SUBSTITUTE(SUBSTITUTE("dch"&amp;$B297&amp;$C297&amp;$D297&amp;$E297&amp;$F297,".","_"),"(","_"),")","")</f>
        <v>dch703_3_8</v>
      </c>
      <c r="AQ297" s="311">
        <f>W297</f>
        <v>0</v>
      </c>
      <c r="AR297" s="311" t="str">
        <f>SUBSTITUTE(SUBSTITUTE(SUBSTITUTE("dnt"&amp;$B297&amp;$C297&amp;$D297&amp;$E297&amp;$F297,".","_"),"(","_"),")","")</f>
        <v>dnt703_3_8</v>
      </c>
      <c r="AS297" s="311">
        <f>X297</f>
        <v>0</v>
      </c>
    </row>
    <row r="298" spans="1:45" x14ac:dyDescent="0.3">
      <c r="B298" s="93" t="s">
        <v>1103</v>
      </c>
      <c r="C298" s="93"/>
      <c r="D298" s="21"/>
      <c r="E298" s="21"/>
      <c r="F298" s="21"/>
      <c r="G298" s="21"/>
      <c r="H298" s="1084"/>
      <c r="I298" s="140"/>
      <c r="J298" s="544"/>
      <c r="K298" s="544"/>
      <c r="L298" s="1390"/>
      <c r="M298" s="1318"/>
      <c r="N298" s="140"/>
      <c r="O298" s="1308"/>
      <c r="P298" s="97"/>
      <c r="Q298" s="97"/>
      <c r="R298" s="97"/>
      <c r="S298" s="97"/>
      <c r="T298" s="97"/>
      <c r="U298" s="97"/>
      <c r="V298" s="97"/>
      <c r="W298" s="97"/>
      <c r="X298" s="1295"/>
    </row>
    <row r="299" spans="1:45" x14ac:dyDescent="0.3">
      <c r="B299" s="93" t="s">
        <v>1103</v>
      </c>
      <c r="C299" s="93"/>
      <c r="D299" s="21"/>
      <c r="E299" s="21"/>
      <c r="F299" s="21"/>
      <c r="G299" s="21"/>
      <c r="H299" s="1084"/>
      <c r="I299" s="140"/>
      <c r="J299" s="544"/>
      <c r="K299" s="544"/>
      <c r="L299" s="553" t="s">
        <v>1101</v>
      </c>
      <c r="M299" s="548"/>
      <c r="N299" s="140"/>
      <c r="O299" s="598"/>
      <c r="P299" s="97"/>
      <c r="Q299" s="97"/>
      <c r="R299" s="97"/>
      <c r="S299" s="97"/>
      <c r="T299" s="97"/>
      <c r="U299" s="97"/>
      <c r="V299" s="97"/>
      <c r="W299" s="97"/>
      <c r="X299" s="1295"/>
    </row>
    <row r="300" spans="1:45" s="511" customFormat="1" x14ac:dyDescent="0.3">
      <c r="A300" s="18"/>
      <c r="B300" s="93" t="s">
        <v>1103</v>
      </c>
      <c r="C300" s="93"/>
      <c r="D300" s="21"/>
      <c r="E300" s="21"/>
      <c r="F300" s="21"/>
      <c r="G300" s="21"/>
      <c r="H300" s="1084"/>
      <c r="I300" s="140"/>
      <c r="J300" s="544"/>
      <c r="K300" s="544"/>
      <c r="L300" s="1394" t="s">
        <v>4045</v>
      </c>
      <c r="M300" s="548"/>
      <c r="N300" s="140"/>
      <c r="O300" s="598"/>
      <c r="P300" s="97"/>
      <c r="Q300" s="97"/>
      <c r="R300" s="97"/>
      <c r="S300" s="97"/>
      <c r="T300" s="97"/>
      <c r="U300" s="97"/>
      <c r="V300" s="97"/>
      <c r="W300" s="97"/>
      <c r="X300" s="1295"/>
      <c r="Y300" s="1107"/>
      <c r="AA300" s="1110"/>
    </row>
    <row r="301" spans="1:45" ht="15" thickBot="1" x14ac:dyDescent="0.35">
      <c r="B301" s="93" t="s">
        <v>1103</v>
      </c>
      <c r="C301" s="93"/>
      <c r="D301" s="21"/>
      <c r="E301" s="21"/>
      <c r="F301" s="21"/>
      <c r="G301" s="21"/>
      <c r="H301" s="1084"/>
      <c r="I301" s="270"/>
      <c r="J301" s="558"/>
      <c r="K301" s="558"/>
      <c r="L301" s="1395"/>
      <c r="M301" s="556"/>
      <c r="N301" s="270"/>
      <c r="O301" s="600"/>
      <c r="P301" s="104"/>
      <c r="Q301" s="104"/>
      <c r="R301" s="104"/>
      <c r="S301" s="104"/>
      <c r="T301" s="104"/>
      <c r="U301" s="104"/>
      <c r="V301" s="104"/>
      <c r="W301" s="104"/>
      <c r="X301" s="1296"/>
    </row>
    <row r="302" spans="1:45" ht="15" thickTop="1" x14ac:dyDescent="0.3">
      <c r="B302" s="938">
        <v>703.4</v>
      </c>
      <c r="C302" s="93"/>
      <c r="D302" s="21"/>
      <c r="E302" s="21"/>
      <c r="F302" s="21"/>
      <c r="G302" s="21"/>
      <c r="H302" s="1084"/>
      <c r="I302" s="66">
        <v>703.4</v>
      </c>
      <c r="J302" s="178"/>
      <c r="K302" s="178"/>
      <c r="L302" s="184" t="s">
        <v>1105</v>
      </c>
      <c r="M302" s="522"/>
      <c r="N302" s="4"/>
      <c r="O302" s="154"/>
      <c r="P302"/>
      <c r="Q302"/>
      <c r="R302" s="1"/>
      <c r="S302" s="479" t="s">
        <v>3911</v>
      </c>
      <c r="T302" s="1" t="b">
        <f>AND(AY25&gt;4,AY19=INDEX(ddSingleOrMulti,2))</f>
        <v>0</v>
      </c>
      <c r="U302"/>
      <c r="V302"/>
      <c r="W302"/>
      <c r="X302"/>
    </row>
    <row r="303" spans="1:45" x14ac:dyDescent="0.3">
      <c r="B303" s="938" t="s">
        <v>1106</v>
      </c>
      <c r="C303" s="93"/>
      <c r="D303" s="21"/>
      <c r="E303" s="21"/>
      <c r="F303" s="21"/>
      <c r="G303" s="21"/>
      <c r="H303" s="1084"/>
      <c r="I303" s="141" t="s">
        <v>1106</v>
      </c>
      <c r="J303" s="544"/>
      <c r="K303" s="544"/>
      <c r="L303" s="369" t="s">
        <v>1107</v>
      </c>
      <c r="M303" s="1318">
        <f>IFERROR(INDEX({0,2,4,6,8,8,8,8},BF16),0)</f>
        <v>6</v>
      </c>
      <c r="N303" s="140"/>
      <c r="O303" s="1308">
        <f ca="1">M303*S303*W303</f>
        <v>0</v>
      </c>
      <c r="P303" s="97" t="b">
        <v>1</v>
      </c>
      <c r="Q303" s="97" t="b">
        <v>1</v>
      </c>
      <c r="R303" s="477" t="b">
        <v>0</v>
      </c>
      <c r="S303" s="477" t="b">
        <f ca="1">AND(S13=2,NOT(T302),AY36=INDEX(ddHDucts,2))</f>
        <v>0</v>
      </c>
      <c r="T303" s="97" t="b">
        <f ca="1">AND(NOT(S303),W303=TRUE)</f>
        <v>0</v>
      </c>
      <c r="U303"/>
      <c r="V303"/>
      <c r="W303" s="25"/>
      <c r="X303" s="1303"/>
      <c r="AC303" s="511" t="b">
        <f ca="1">OR(AD303:AE303)</f>
        <v>0</v>
      </c>
      <c r="AD303" s="511" t="b">
        <f ca="1">T303</f>
        <v>0</v>
      </c>
      <c r="AE303" s="511" t="b">
        <f>AND(R303,NOT(W303))</f>
        <v>0</v>
      </c>
      <c r="AL303" s="311" t="str">
        <f>SUBSTITUTE(SUBSTITUTE(SUBSTITUTE("dpa"&amp;$B303&amp;$C303&amp;$D303&amp;$E303&amp;$F303,".","_"),"(","_"),")","")</f>
        <v>dpa703_4_1</v>
      </c>
      <c r="AM303" s="311">
        <f>M303</f>
        <v>6</v>
      </c>
      <c r="AN303" s="311" t="str">
        <f>SUBSTITUTE(SUBSTITUTE(SUBSTITUTE("dpc"&amp;$B303&amp;$C303&amp;$D303&amp;$E303&amp;$F303,".","_"),"(","_"),")","")</f>
        <v>dpc703_4_1</v>
      </c>
      <c r="AO303" s="311">
        <f ca="1">O303</f>
        <v>0</v>
      </c>
      <c r="AP303" s="311" t="str">
        <f>SUBSTITUTE(SUBSTITUTE(SUBSTITUTE("dch"&amp;$B303&amp;$C303&amp;$D303&amp;$E303&amp;$F303,".","_"),"(","_"),")","")</f>
        <v>dch703_4_1</v>
      </c>
      <c r="AQ303" s="311">
        <f>W303</f>
        <v>0</v>
      </c>
      <c r="AR303" s="311" t="str">
        <f>SUBSTITUTE(SUBSTITUTE(SUBSTITUTE("dnt"&amp;$B303&amp;$C303&amp;$D303&amp;$E303&amp;$F303,".","_"),"(","_"),")","")</f>
        <v>dnt703_4_1</v>
      </c>
      <c r="AS303" s="311">
        <f>X303</f>
        <v>0</v>
      </c>
    </row>
    <row r="304" spans="1:45" x14ac:dyDescent="0.3">
      <c r="B304" s="938" t="s">
        <v>1106</v>
      </c>
      <c r="C304" s="93"/>
      <c r="D304" s="21"/>
      <c r="E304" s="21"/>
      <c r="F304" s="21"/>
      <c r="G304" s="21"/>
      <c r="H304" s="1084"/>
      <c r="I304" s="238"/>
      <c r="J304" s="545"/>
      <c r="K304" s="545"/>
      <c r="L304" s="568" t="s">
        <v>1108</v>
      </c>
      <c r="M304" s="1319"/>
      <c r="N304" s="238"/>
      <c r="O304" s="1309"/>
      <c r="P304"/>
      <c r="Q304"/>
      <c r="R304"/>
      <c r="S304"/>
      <c r="T304"/>
      <c r="U304"/>
      <c r="V304"/>
      <c r="W304"/>
      <c r="X304" s="1303"/>
    </row>
    <row r="305" spans="1:49" x14ac:dyDescent="0.3">
      <c r="B305" s="938" t="s">
        <v>1109</v>
      </c>
      <c r="C305" s="93"/>
      <c r="D305" s="21"/>
      <c r="E305" s="21"/>
      <c r="F305" s="21"/>
      <c r="G305" s="21"/>
      <c r="H305" s="1084"/>
      <c r="I305" s="215" t="s">
        <v>1109</v>
      </c>
      <c r="J305" s="557"/>
      <c r="K305" s="557"/>
      <c r="L305" s="625" t="s">
        <v>1110</v>
      </c>
      <c r="M305" s="1323">
        <f>IFERROR(INDEX({8,8,4,2,1,0,0,0},BF16),0)</f>
        <v>2</v>
      </c>
      <c r="N305" s="216"/>
      <c r="O305" s="1324">
        <f ca="1">M305*S305*W305</f>
        <v>0</v>
      </c>
      <c r="P305" s="97" t="b">
        <v>1</v>
      </c>
      <c r="Q305" s="97" t="b">
        <v>1</v>
      </c>
      <c r="R305" s="477" t="b">
        <v>0</v>
      </c>
      <c r="S305" s="477" t="b">
        <f ca="1">AND(S13=2,NOT(T302),AY40=INDEX(ddCDucts,2))</f>
        <v>0</v>
      </c>
      <c r="T305" s="97" t="b">
        <f ca="1">AND(NOT(S305),W305=TRUE)</f>
        <v>0</v>
      </c>
      <c r="U305"/>
      <c r="V305"/>
      <c r="W305" s="25"/>
      <c r="X305" s="1303"/>
      <c r="AC305" s="511" t="b">
        <f ca="1">OR(AD305:AE305)</f>
        <v>0</v>
      </c>
      <c r="AD305" s="511" t="b">
        <f ca="1">T305</f>
        <v>0</v>
      </c>
      <c r="AE305" s="511" t="b">
        <f>AND(R305,NOT(W305))</f>
        <v>0</v>
      </c>
      <c r="AL305" s="311" t="str">
        <f>SUBSTITUTE(SUBSTITUTE(SUBSTITUTE("dpa"&amp;$B305&amp;$C305&amp;$D305&amp;$E305&amp;$F305,".","_"),"(","_"),")","")</f>
        <v>dpa703_4_2</v>
      </c>
      <c r="AM305" s="311">
        <f>M305</f>
        <v>2</v>
      </c>
      <c r="AN305" s="311" t="str">
        <f>SUBSTITUTE(SUBSTITUTE(SUBSTITUTE("dpc"&amp;$B305&amp;$C305&amp;$D305&amp;$E305&amp;$F305,".","_"),"(","_"),")","")</f>
        <v>dpc703_4_2</v>
      </c>
      <c r="AO305" s="311">
        <f ca="1">O305</f>
        <v>0</v>
      </c>
      <c r="AP305" s="311" t="str">
        <f>SUBSTITUTE(SUBSTITUTE(SUBSTITUTE("dch"&amp;$B305&amp;$C305&amp;$D305&amp;$E305&amp;$F305,".","_"),"(","_"),")","")</f>
        <v>dch703_4_2</v>
      </c>
      <c r="AQ305" s="311">
        <f>W305</f>
        <v>0</v>
      </c>
      <c r="AR305" s="311" t="str">
        <f>SUBSTITUTE(SUBSTITUTE(SUBSTITUTE("dnt"&amp;$B305&amp;$C305&amp;$D305&amp;$E305&amp;$F305,".","_"),"(","_"),")","")</f>
        <v>dnt703_4_2</v>
      </c>
      <c r="AS305" s="311">
        <f>X305</f>
        <v>0</v>
      </c>
    </row>
    <row r="306" spans="1:49" x14ac:dyDescent="0.3">
      <c r="B306" s="938" t="s">
        <v>1109</v>
      </c>
      <c r="C306" s="93"/>
      <c r="D306" s="21"/>
      <c r="E306" s="21"/>
      <c r="F306" s="21"/>
      <c r="G306" s="21"/>
      <c r="H306" s="1084"/>
      <c r="I306" s="238"/>
      <c r="J306" s="545"/>
      <c r="K306" s="545"/>
      <c r="L306" s="568" t="s">
        <v>1108</v>
      </c>
      <c r="M306" s="1319"/>
      <c r="N306" s="238"/>
      <c r="O306" s="1309"/>
      <c r="P306"/>
      <c r="Q306"/>
      <c r="R306"/>
      <c r="S306"/>
      <c r="T306"/>
      <c r="U306"/>
      <c r="V306"/>
      <c r="W306"/>
      <c r="X306" s="1303"/>
    </row>
    <row r="307" spans="1:49" x14ac:dyDescent="0.3">
      <c r="B307" s="938" t="s">
        <v>1111</v>
      </c>
      <c r="C307" s="93"/>
      <c r="D307" s="21"/>
      <c r="E307" s="21"/>
      <c r="F307" s="21"/>
      <c r="G307" s="21"/>
      <c r="H307" s="1084"/>
      <c r="I307" s="66" t="s">
        <v>1111</v>
      </c>
      <c r="J307" s="178"/>
      <c r="K307" s="178"/>
      <c r="L307" s="184" t="s">
        <v>1112</v>
      </c>
      <c r="M307" s="522">
        <f>IFERROR(INDEX({8,10,8,8,8,4,4,4},BF16),0)</f>
        <v>8</v>
      </c>
      <c r="N307" s="4"/>
      <c r="O307" s="154">
        <f ca="1">M307*S308*S309*S311*W308*W309*W311</f>
        <v>0</v>
      </c>
      <c r="P307"/>
      <c r="Q307"/>
      <c r="R307"/>
      <c r="S307"/>
      <c r="T307"/>
      <c r="U307"/>
      <c r="V307"/>
      <c r="W307"/>
      <c r="X307"/>
      <c r="AL307" s="311" t="str">
        <f>SUBSTITUTE(SUBSTITUTE(SUBSTITUTE("dpa"&amp;$B307&amp;$C307&amp;$D307&amp;$E307&amp;$F307,".","_"),"(","_"),")","")</f>
        <v>dpa703_4_3</v>
      </c>
      <c r="AM307" s="311">
        <f>M307</f>
        <v>8</v>
      </c>
      <c r="AN307" s="311" t="str">
        <f>SUBSTITUTE(SUBSTITUTE(SUBSTITUTE("dpc"&amp;$B307&amp;$C307&amp;$D307&amp;$E307&amp;$F307,".","_"),"(","_"),")","")</f>
        <v>dpc703_4_3</v>
      </c>
      <c r="AO307" s="311">
        <f ca="1">O307</f>
        <v>0</v>
      </c>
    </row>
    <row r="308" spans="1:49" x14ac:dyDescent="0.3">
      <c r="B308" s="938" t="s">
        <v>1111</v>
      </c>
      <c r="C308" s="93"/>
      <c r="D308" s="21" t="s">
        <v>271</v>
      </c>
      <c r="E308" s="21"/>
      <c r="F308" s="21"/>
      <c r="G308" s="21"/>
      <c r="H308" s="1084"/>
      <c r="I308" s="4"/>
      <c r="J308" s="626" t="s">
        <v>271</v>
      </c>
      <c r="K308" s="545"/>
      <c r="L308" s="545" t="s">
        <v>1113</v>
      </c>
      <c r="M308" s="522"/>
      <c r="N308" s="4"/>
      <c r="O308" s="154"/>
      <c r="P308" s="97" t="b">
        <v>1</v>
      </c>
      <c r="Q308" s="97" t="b">
        <v>0</v>
      </c>
      <c r="R308" s="477" t="b">
        <v>0</v>
      </c>
      <c r="S308" s="477" t="b">
        <f ca="1">AND(S13=2,NOT(T302),OR(AY36&lt;&gt;INDEX(ddHDucts,2),AY40&lt;&gt;INDEX(ddCDucts,2)))</f>
        <v>0</v>
      </c>
      <c r="T308" s="97" t="b">
        <f ca="1">AND(NOT(S308),W308=TRUE)</f>
        <v>0</v>
      </c>
      <c r="U308"/>
      <c r="V308"/>
      <c r="W308" s="25"/>
      <c r="X308" s="512"/>
      <c r="AC308" s="511" t="b">
        <f ca="1">OR(AD308:AE308)</f>
        <v>0</v>
      </c>
      <c r="AD308" s="511" t="b">
        <f ca="1">T308</f>
        <v>0</v>
      </c>
      <c r="AE308" s="511" t="b">
        <f>AND(R308,NOT(W308))</f>
        <v>0</v>
      </c>
      <c r="AP308" s="311" t="str">
        <f t="shared" ref="AP308:AP309" si="23">SUBSTITUTE(SUBSTITUTE(SUBSTITUTE("dch"&amp;$B308&amp;$C308&amp;$D308&amp;$E308&amp;$F308,".","_"),"(","_"),")","")</f>
        <v>dch703_4_3_1</v>
      </c>
      <c r="AQ308" s="311">
        <f>W308</f>
        <v>0</v>
      </c>
      <c r="AR308" s="311" t="str">
        <f t="shared" ref="AR308:AR309" si="24">SUBSTITUTE(SUBSTITUTE(SUBSTITUTE("dnt"&amp;$B308&amp;$C308&amp;$D308&amp;$E308&amp;$F308,".","_"),"(","_"),")","")</f>
        <v>dnt703_4_3_1</v>
      </c>
      <c r="AS308" s="311">
        <f>X308</f>
        <v>0</v>
      </c>
    </row>
    <row r="309" spans="1:49" x14ac:dyDescent="0.3">
      <c r="B309" s="938" t="s">
        <v>1111</v>
      </c>
      <c r="C309" s="93"/>
      <c r="D309" s="21" t="s">
        <v>273</v>
      </c>
      <c r="E309" s="21"/>
      <c r="F309" s="21"/>
      <c r="G309" s="21"/>
      <c r="H309" s="1084"/>
      <c r="I309" s="4"/>
      <c r="J309" s="649" t="s">
        <v>273</v>
      </c>
      <c r="K309" s="557"/>
      <c r="L309" s="1356" t="s">
        <v>1114</v>
      </c>
      <c r="M309" s="522"/>
      <c r="N309" s="4"/>
      <c r="O309" s="154"/>
      <c r="P309" s="97" t="b">
        <v>1</v>
      </c>
      <c r="Q309" s="97" t="b">
        <v>0</v>
      </c>
      <c r="R309" s="477" t="b">
        <v>0</v>
      </c>
      <c r="S309" s="477" t="b">
        <f ca="1">AND(S13=2,NOT(T302),OR(AY36&lt;&gt;INDEX(ddHDucts,2),AY40&lt;&gt;INDEX(ddCDucts,2)),W313&lt;&gt;INDEX(INDIRECT(U313),1),W313&lt;&gt;INDEX(INDIRECT(U313),3))</f>
        <v>0</v>
      </c>
      <c r="T309" s="97" t="b">
        <f ca="1">AND(NOT(S309),W309=TRUE)</f>
        <v>0</v>
      </c>
      <c r="U309"/>
      <c r="V309"/>
      <c r="W309" s="25"/>
      <c r="X309" s="1303"/>
      <c r="AC309" s="511" t="b">
        <f ca="1">OR(AD309:AE309)</f>
        <v>0</v>
      </c>
      <c r="AD309" s="511" t="b">
        <f ca="1">T309</f>
        <v>0</v>
      </c>
      <c r="AE309" s="511" t="b">
        <f>AND(R309,NOT(W309))</f>
        <v>0</v>
      </c>
      <c r="AP309" s="311" t="str">
        <f t="shared" si="23"/>
        <v>dch703_4_3_2</v>
      </c>
      <c r="AQ309" s="311">
        <f>W309</f>
        <v>0</v>
      </c>
      <c r="AR309" s="311" t="str">
        <f t="shared" si="24"/>
        <v>dnt703_4_3_2</v>
      </c>
      <c r="AS309" s="311">
        <f>X309</f>
        <v>0</v>
      </c>
    </row>
    <row r="310" spans="1:49" x14ac:dyDescent="0.3">
      <c r="B310" s="938" t="s">
        <v>1111</v>
      </c>
      <c r="C310" s="93"/>
      <c r="D310" s="21" t="s">
        <v>273</v>
      </c>
      <c r="E310" s="21"/>
      <c r="F310" s="21"/>
      <c r="G310" s="21"/>
      <c r="H310" s="1084"/>
      <c r="I310" s="4"/>
      <c r="J310" s="545"/>
      <c r="K310" s="545"/>
      <c r="L310" s="1306"/>
      <c r="M310" s="522"/>
      <c r="N310" s="4"/>
      <c r="O310" s="154"/>
      <c r="P310"/>
      <c r="Q310"/>
      <c r="R310"/>
      <c r="S310"/>
      <c r="T310"/>
      <c r="U310"/>
      <c r="V310"/>
      <c r="W310"/>
      <c r="X310" s="1303"/>
    </row>
    <row r="311" spans="1:49" x14ac:dyDescent="0.3">
      <c r="B311" s="938" t="s">
        <v>1111</v>
      </c>
      <c r="C311" s="93"/>
      <c r="D311" s="21" t="s">
        <v>275</v>
      </c>
      <c r="E311" s="21"/>
      <c r="F311" s="21"/>
      <c r="G311" s="21"/>
      <c r="H311" s="1084"/>
      <c r="I311" s="140"/>
      <c r="J311" s="614" t="s">
        <v>275</v>
      </c>
      <c r="K311" s="544"/>
      <c r="L311" s="544" t="s">
        <v>1115</v>
      </c>
      <c r="M311" s="522"/>
      <c r="N311" s="4"/>
      <c r="O311" s="154"/>
      <c r="P311" s="97" t="b">
        <v>1</v>
      </c>
      <c r="Q311" s="97" t="b">
        <v>0</v>
      </c>
      <c r="R311" s="477" t="b">
        <v>0</v>
      </c>
      <c r="S311" s="477" t="b">
        <f ca="1">AND(S13=2,NOT(T302),OR(AY36&lt;&gt;INDEX(ddHDucts,2),AY40&lt;&gt;INDEX(ddCDucts,2)))</f>
        <v>0</v>
      </c>
      <c r="T311" s="97" t="b">
        <f ca="1">AND(NOT(S311),W311=TRUE)</f>
        <v>0</v>
      </c>
      <c r="U311"/>
      <c r="V311"/>
      <c r="W311" s="25"/>
      <c r="X311" s="1303"/>
      <c r="AC311" s="511" t="b">
        <f ca="1">OR(AD311:AE311)</f>
        <v>0</v>
      </c>
      <c r="AD311" s="511" t="b">
        <f ca="1">T311</f>
        <v>0</v>
      </c>
      <c r="AE311" s="511" t="b">
        <f>AND(R311,NOT(W311))</f>
        <v>0</v>
      </c>
      <c r="AP311" s="311" t="str">
        <f>SUBSTITUTE(SUBSTITUTE(SUBSTITUTE("dch"&amp;$B311&amp;$C311&amp;$D311&amp;$E311&amp;$F311,".","_"),"(","_"),")","")</f>
        <v>dch703_4_3_3</v>
      </c>
      <c r="AQ311" s="311">
        <f>W311</f>
        <v>0</v>
      </c>
      <c r="AR311" s="311" t="str">
        <f>SUBSTITUTE(SUBSTITUTE(SUBSTITUTE("dnt"&amp;$B311&amp;$C311&amp;$D311&amp;$E311&amp;$F311,".","_"),"(","_"),")","")</f>
        <v>dnt703_4_3_3</v>
      </c>
      <c r="AS311" s="311">
        <f>X311</f>
        <v>0</v>
      </c>
    </row>
    <row r="312" spans="1:49" x14ac:dyDescent="0.3">
      <c r="B312" s="938" t="s">
        <v>1111</v>
      </c>
      <c r="C312" s="93"/>
      <c r="D312" s="21" t="s">
        <v>275</v>
      </c>
      <c r="E312" s="21"/>
      <c r="F312" s="21"/>
      <c r="G312" s="21"/>
      <c r="H312" s="1084"/>
      <c r="I312" s="238"/>
      <c r="J312" s="545"/>
      <c r="K312" s="545"/>
      <c r="L312" s="568" t="s">
        <v>1108</v>
      </c>
      <c r="M312" s="522"/>
      <c r="N312" s="4"/>
      <c r="O312" s="154"/>
      <c r="P312"/>
      <c r="Q312"/>
      <c r="R312"/>
      <c r="S312"/>
      <c r="T312"/>
      <c r="U312"/>
      <c r="V312"/>
      <c r="W312"/>
      <c r="X312" s="1303"/>
    </row>
    <row r="313" spans="1:49" x14ac:dyDescent="0.3">
      <c r="B313" s="938" t="s">
        <v>1116</v>
      </c>
      <c r="C313" s="93"/>
      <c r="D313" s="21"/>
      <c r="E313" s="21"/>
      <c r="F313" s="21"/>
      <c r="G313" s="21"/>
      <c r="H313" s="1084"/>
      <c r="I313" s="141" t="s">
        <v>1116</v>
      </c>
      <c r="J313" s="544"/>
      <c r="K313" s="544"/>
      <c r="L313" s="1313" t="s">
        <v>1117</v>
      </c>
      <c r="M313" s="548"/>
      <c r="N313" s="140"/>
      <c r="O313" s="1308">
        <f ca="1">IFERROR(INDEX(M319:M321,MATCH(W313,INDIRECT(U313),0)),0)*S313</f>
        <v>0</v>
      </c>
      <c r="P313" s="97" t="b">
        <v>0</v>
      </c>
      <c r="Q313" s="97" t="b">
        <v>1</v>
      </c>
      <c r="R313" s="97" t="b">
        <v>0</v>
      </c>
      <c r="S313" s="97" t="b">
        <f ca="1">AND(S13=2,OR(AY36&lt;&gt;INDEX(ddHDucts,2),AY40&lt;&gt;INDEX(ddCDucts,2)),W309&lt;&gt;TRUE,LEN(W536)=0)</f>
        <v>0</v>
      </c>
      <c r="T313" s="97" t="b">
        <f ca="1">AND(NOT(S313),LEN(W313)&gt;0)</f>
        <v>0</v>
      </c>
      <c r="U313" s="97" t="str">
        <f>SUBSTITUTE(SUBSTITUTE(SUBSTITUTE("dd"&amp;B314&amp;C314&amp;D314&amp;E314&amp;F314,".","_"),"(","_"),")","")</f>
        <v>dd703_4_4</v>
      </c>
      <c r="V313" s="97"/>
      <c r="W313" s="114"/>
      <c r="X313" s="1295"/>
      <c r="AC313" s="511" t="b">
        <f ca="1">OR(AD313:AE313)</f>
        <v>0</v>
      </c>
      <c r="AD313" s="511" t="b">
        <f ca="1">T313</f>
        <v>0</v>
      </c>
      <c r="AE313" s="511" t="b">
        <f>AND(R313,OR(W313="Not Met",W313=""))</f>
        <v>0</v>
      </c>
      <c r="AN313" s="311" t="str">
        <f>SUBSTITUTE(SUBSTITUTE(SUBSTITUTE("dpc"&amp;$B313&amp;$C313&amp;$D313&amp;$E313&amp;$F313,".","_"),"(","_"),")","")</f>
        <v>dpc703_4_4</v>
      </c>
      <c r="AO313" s="311">
        <f ca="1">O313</f>
        <v>0</v>
      </c>
      <c r="AP313" s="311" t="str">
        <f>SUBSTITUTE(SUBSTITUTE(SUBSTITUTE("dch"&amp;$B313&amp;$C313&amp;$D313&amp;$E313&amp;$F313,".","_"),"(","_"),")","")</f>
        <v>dch703_4_4</v>
      </c>
      <c r="AQ313" s="311">
        <f>W313</f>
        <v>0</v>
      </c>
      <c r="AR313" s="311" t="str">
        <f>SUBSTITUTE(SUBSTITUTE(SUBSTITUTE("dnt"&amp;$B313&amp;$C313&amp;$D313&amp;$E313&amp;$F313,".","_"),"(","_"),")","")</f>
        <v>dnt703_4_4</v>
      </c>
      <c r="AS313" s="311">
        <f>X313</f>
        <v>0</v>
      </c>
    </row>
    <row r="314" spans="1:49" x14ac:dyDescent="0.3">
      <c r="B314" s="938" t="s">
        <v>1116</v>
      </c>
      <c r="C314" s="93"/>
      <c r="D314" s="21"/>
      <c r="E314" s="21"/>
      <c r="F314" s="21"/>
      <c r="G314" s="21"/>
      <c r="H314" s="1084"/>
      <c r="I314" s="140"/>
      <c r="J314" s="544"/>
      <c r="K314" s="544"/>
      <c r="L314" s="1313"/>
      <c r="M314" s="548"/>
      <c r="N314" s="140"/>
      <c r="O314" s="1308"/>
      <c r="P314" s="97"/>
      <c r="Q314" s="97"/>
      <c r="R314" s="97"/>
      <c r="S314" s="97"/>
      <c r="T314" s="97"/>
      <c r="U314" s="97"/>
      <c r="V314" s="97"/>
      <c r="W314" s="97"/>
      <c r="X314" s="1295"/>
    </row>
    <row r="315" spans="1:49" x14ac:dyDescent="0.3">
      <c r="B315" s="938" t="s">
        <v>1116</v>
      </c>
      <c r="C315" s="93"/>
      <c r="D315" s="21"/>
      <c r="E315" s="21"/>
      <c r="F315" s="21"/>
      <c r="G315" s="21"/>
      <c r="H315" s="1084"/>
      <c r="I315" s="140"/>
      <c r="J315" s="544"/>
      <c r="K315" s="544"/>
      <c r="L315" s="1313"/>
      <c r="M315" s="548"/>
      <c r="N315" s="140"/>
      <c r="O315" s="1308"/>
      <c r="P315" s="97"/>
      <c r="Q315" s="97"/>
      <c r="R315" s="97"/>
      <c r="S315" s="97"/>
      <c r="T315" s="97"/>
      <c r="U315" s="97"/>
      <c r="V315" s="97"/>
      <c r="W315" s="97"/>
      <c r="X315" s="1295"/>
    </row>
    <row r="316" spans="1:49" s="175" customFormat="1" x14ac:dyDescent="0.3">
      <c r="A316" s="18"/>
      <c r="B316" s="938" t="s">
        <v>1116</v>
      </c>
      <c r="C316" s="93"/>
      <c r="D316" s="21"/>
      <c r="E316" s="21"/>
      <c r="F316" s="21"/>
      <c r="G316" s="21"/>
      <c r="H316" s="1084"/>
      <c r="I316" s="140"/>
      <c r="J316" s="544"/>
      <c r="K316" s="544"/>
      <c r="L316" s="1313"/>
      <c r="M316" s="548"/>
      <c r="N316" s="140"/>
      <c r="O316" s="1308"/>
      <c r="P316" s="97"/>
      <c r="Q316" s="97"/>
      <c r="R316" s="97"/>
      <c r="S316" s="97"/>
      <c r="T316" s="97"/>
      <c r="U316" s="97"/>
      <c r="V316" s="97"/>
      <c r="W316" s="97"/>
      <c r="X316" s="1295"/>
      <c r="Y316" s="1107"/>
      <c r="Z316" s="79"/>
      <c r="AA316" s="1110"/>
      <c r="AB316" s="79"/>
      <c r="AC316" s="79"/>
      <c r="AD316" s="79"/>
      <c r="AE316" s="79"/>
      <c r="AF316" s="79"/>
      <c r="AG316" s="79"/>
      <c r="AH316" s="79"/>
      <c r="AI316" s="79"/>
      <c r="AJ316" s="79"/>
      <c r="AK316" s="79"/>
      <c r="AL316" s="79"/>
      <c r="AM316" s="79"/>
      <c r="AN316" s="79"/>
      <c r="AO316" s="79"/>
      <c r="AP316" s="79"/>
      <c r="AQ316" s="79"/>
      <c r="AR316" s="79"/>
      <c r="AS316" s="79"/>
      <c r="AT316" s="79"/>
      <c r="AU316" s="79"/>
      <c r="AV316" s="79"/>
      <c r="AW316" s="79"/>
    </row>
    <row r="317" spans="1:49" x14ac:dyDescent="0.3">
      <c r="B317" s="938" t="s">
        <v>1116</v>
      </c>
      <c r="C317" s="93"/>
      <c r="D317" s="21"/>
      <c r="E317" s="21"/>
      <c r="F317" s="21"/>
      <c r="G317" s="21"/>
      <c r="H317" s="1084"/>
      <c r="I317" s="140"/>
      <c r="J317" s="544"/>
      <c r="K317" s="544"/>
      <c r="L317" s="1313"/>
      <c r="M317" s="548"/>
      <c r="N317" s="140"/>
      <c r="O317" s="1308"/>
      <c r="P317" s="97"/>
      <c r="Q317" s="97"/>
      <c r="R317" s="97"/>
      <c r="S317" s="97"/>
      <c r="T317" s="97"/>
      <c r="U317" s="97"/>
      <c r="V317" s="97"/>
      <c r="W317" s="97"/>
      <c r="X317" s="1295"/>
      <c r="Z317" s="175"/>
      <c r="AB317" s="175"/>
      <c r="AC317" s="175"/>
      <c r="AD317" s="175"/>
      <c r="AE317" s="175"/>
      <c r="AF317" s="175"/>
      <c r="AG317" s="175"/>
      <c r="AH317" s="175"/>
      <c r="AI317" s="175"/>
      <c r="AJ317" s="175"/>
      <c r="AK317" s="175"/>
      <c r="AL317" s="175"/>
      <c r="AM317" s="175"/>
      <c r="AN317" s="175"/>
      <c r="AO317" s="175"/>
      <c r="AP317" s="175"/>
      <c r="AQ317" s="175"/>
      <c r="AR317" s="175"/>
      <c r="AS317" s="175"/>
      <c r="AT317" s="175"/>
      <c r="AU317" s="175"/>
      <c r="AV317" s="175"/>
      <c r="AW317" s="175"/>
    </row>
    <row r="318" spans="1:49" x14ac:dyDescent="0.3">
      <c r="B318" s="938" t="s">
        <v>1116</v>
      </c>
      <c r="C318" s="93"/>
      <c r="D318" s="21"/>
      <c r="E318" s="21"/>
      <c r="F318" s="21"/>
      <c r="G318" s="21"/>
      <c r="H318" s="1084"/>
      <c r="I318" s="140"/>
      <c r="J318" s="544"/>
      <c r="K318" s="544"/>
      <c r="L318" s="553" t="s">
        <v>1118</v>
      </c>
      <c r="M318" s="548"/>
      <c r="N318" s="140"/>
      <c r="O318" s="598"/>
      <c r="P318" s="97"/>
      <c r="Q318" s="97"/>
      <c r="R318" s="97"/>
      <c r="S318" s="97"/>
      <c r="T318" s="97"/>
      <c r="U318" s="97"/>
      <c r="V318" s="97"/>
      <c r="W318" s="97"/>
      <c r="X318" s="1295"/>
    </row>
    <row r="319" spans="1:49" s="477" customFormat="1" x14ac:dyDescent="0.3">
      <c r="A319" s="18"/>
      <c r="B319" s="938" t="s">
        <v>1116</v>
      </c>
      <c r="C319" s="93"/>
      <c r="D319" s="21" t="s">
        <v>271</v>
      </c>
      <c r="E319" s="21"/>
      <c r="F319" s="21"/>
      <c r="G319" s="21"/>
      <c r="H319" s="1084"/>
      <c r="I319" s="140"/>
      <c r="J319" s="626" t="s">
        <v>271</v>
      </c>
      <c r="K319" s="545"/>
      <c r="L319" s="545" t="s">
        <v>3908</v>
      </c>
      <c r="M319" s="549">
        <f>IFERROR(INDEX({4,5,4,3,2,1,1,1},BF16),0)</f>
        <v>3</v>
      </c>
      <c r="N319" s="140"/>
      <c r="O319" s="598"/>
      <c r="P319" s="97"/>
      <c r="Q319" s="97"/>
      <c r="R319" s="97"/>
      <c r="S319" s="97"/>
      <c r="T319" s="97"/>
      <c r="U319" s="97"/>
      <c r="V319" s="97"/>
      <c r="W319" s="97"/>
      <c r="X319" s="1295"/>
      <c r="Y319" s="1107"/>
      <c r="AA319" s="1110"/>
      <c r="AL319" s="311" t="str">
        <f t="shared" ref="AL319:AL321" si="25">SUBSTITUTE(SUBSTITUTE(SUBSTITUTE("dpa"&amp;$B319&amp;$C319&amp;$D319&amp;$E319&amp;$F319,".","_"),"(","_"),")","")</f>
        <v>dpa703_4_4_1</v>
      </c>
      <c r="AM319" s="311">
        <f>M319</f>
        <v>3</v>
      </c>
    </row>
    <row r="320" spans="1:49" s="477" customFormat="1" x14ac:dyDescent="0.3">
      <c r="A320" s="18"/>
      <c r="B320" s="938" t="s">
        <v>1116</v>
      </c>
      <c r="C320" s="93"/>
      <c r="D320" s="21" t="s">
        <v>273</v>
      </c>
      <c r="E320" s="21"/>
      <c r="F320" s="21"/>
      <c r="G320" s="21"/>
      <c r="H320" s="1084"/>
      <c r="I320" s="140"/>
      <c r="J320" s="650" t="s">
        <v>273</v>
      </c>
      <c r="K320" s="365"/>
      <c r="L320" s="365" t="s">
        <v>3909</v>
      </c>
      <c r="M320" s="571">
        <f>IFERROR(INDEX({1,1,1,1,1,1,1,1},BF16),0)</f>
        <v>1</v>
      </c>
      <c r="N320" s="140"/>
      <c r="O320" s="598"/>
      <c r="P320" s="97"/>
      <c r="Q320" s="97"/>
      <c r="R320" s="97"/>
      <c r="S320" s="97"/>
      <c r="T320" s="97"/>
      <c r="U320" s="97"/>
      <c r="V320" s="97"/>
      <c r="W320" s="97"/>
      <c r="X320" s="1295"/>
      <c r="Y320" s="1107"/>
      <c r="AA320" s="1110"/>
      <c r="AL320" s="311" t="str">
        <f t="shared" si="25"/>
        <v>dpa703_4_4_2</v>
      </c>
      <c r="AM320" s="311">
        <f>M320</f>
        <v>1</v>
      </c>
    </row>
    <row r="321" spans="1:45" s="477" customFormat="1" ht="15" thickBot="1" x14ac:dyDescent="0.35">
      <c r="A321" s="18"/>
      <c r="B321" s="938" t="s">
        <v>1116</v>
      </c>
      <c r="C321" s="93"/>
      <c r="D321" s="21" t="s">
        <v>275</v>
      </c>
      <c r="E321" s="21"/>
      <c r="F321" s="21"/>
      <c r="G321" s="21"/>
      <c r="H321" s="1084"/>
      <c r="I321" s="270"/>
      <c r="J321" s="615" t="s">
        <v>275</v>
      </c>
      <c r="K321" s="558"/>
      <c r="L321" s="558" t="s">
        <v>3910</v>
      </c>
      <c r="M321" s="556">
        <f>IFERROR(INDEX({3,4,3,2,1,1,1,1},BF16),0)</f>
        <v>2</v>
      </c>
      <c r="N321" s="270"/>
      <c r="O321" s="600"/>
      <c r="P321" s="104"/>
      <c r="Q321" s="104"/>
      <c r="R321" s="104"/>
      <c r="S321" s="104"/>
      <c r="T321" s="104"/>
      <c r="U321" s="104"/>
      <c r="V321" s="104"/>
      <c r="W321" s="104"/>
      <c r="X321" s="1296"/>
      <c r="Y321" s="1107"/>
      <c r="AA321" s="1110"/>
      <c r="AL321" s="311" t="str">
        <f t="shared" si="25"/>
        <v>dpa703_4_4_3</v>
      </c>
      <c r="AM321" s="311">
        <f>M321</f>
        <v>2</v>
      </c>
    </row>
    <row r="322" spans="1:45" ht="15" thickTop="1" x14ac:dyDescent="0.3">
      <c r="B322" s="938">
        <v>703.5</v>
      </c>
      <c r="C322" s="93"/>
      <c r="D322" s="21"/>
      <c r="E322" s="21"/>
      <c r="F322" s="21"/>
      <c r="G322" s="21"/>
      <c r="H322" s="1084"/>
      <c r="I322" s="66">
        <v>703.5</v>
      </c>
      <c r="J322" s="178"/>
      <c r="K322" s="178"/>
      <c r="L322" s="184" t="s">
        <v>1119</v>
      </c>
      <c r="M322" s="522"/>
      <c r="N322" s="4"/>
      <c r="O322" s="154"/>
      <c r="P322"/>
      <c r="Q322"/>
      <c r="R322"/>
      <c r="S322"/>
      <c r="T322"/>
      <c r="U322"/>
      <c r="V322"/>
      <c r="W322"/>
      <c r="X322"/>
    </row>
    <row r="323" spans="1:45" x14ac:dyDescent="0.3">
      <c r="B323" s="938" t="s">
        <v>1120</v>
      </c>
      <c r="C323" s="93"/>
      <c r="D323" s="21"/>
      <c r="E323" s="21"/>
      <c r="F323" s="21"/>
      <c r="G323" s="21"/>
      <c r="H323" s="1084"/>
      <c r="I323" s="66" t="s">
        <v>1120</v>
      </c>
      <c r="J323" s="178"/>
      <c r="K323" s="178"/>
      <c r="L323" s="184" t="s">
        <v>1121</v>
      </c>
      <c r="M323" s="522"/>
      <c r="N323" s="4"/>
      <c r="O323" s="4"/>
      <c r="P323"/>
      <c r="Q323"/>
      <c r="R323"/>
      <c r="S323"/>
      <c r="T323"/>
      <c r="U323"/>
      <c r="V323"/>
      <c r="W323" t="s">
        <v>3888</v>
      </c>
      <c r="X323" s="1303"/>
      <c r="AR323" s="311" t="str">
        <f>SUBSTITUTE(SUBSTITUTE(SUBSTITUTE("dnt"&amp;$B323&amp;$C323&amp;$D323&amp;$E323&amp;$F323,".","_"),"(","_"),")","")</f>
        <v>dnt703_5_1</v>
      </c>
      <c r="AS323" s="311">
        <f>X323</f>
        <v>0</v>
      </c>
    </row>
    <row r="324" spans="1:45" x14ac:dyDescent="0.3">
      <c r="B324" s="938" t="s">
        <v>1120</v>
      </c>
      <c r="C324" s="93"/>
      <c r="D324" s="21"/>
      <c r="E324" s="21"/>
      <c r="F324" s="21"/>
      <c r="G324" s="21"/>
      <c r="H324" s="1084"/>
      <c r="I324" s="4"/>
      <c r="J324" s="178"/>
      <c r="K324" s="178"/>
      <c r="L324" s="475" t="s">
        <v>3907</v>
      </c>
      <c r="M324" s="522"/>
      <c r="N324" s="4"/>
      <c r="O324" s="4"/>
      <c r="P324" s="97" t="b">
        <v>1</v>
      </c>
      <c r="Q324" s="97" t="b">
        <v>1</v>
      </c>
      <c r="R324" s="474" t="b">
        <v>0</v>
      </c>
      <c r="S324" s="474" t="b">
        <f ca="1">AND(S13=2,LEN(W347)=0)</f>
        <v>0</v>
      </c>
      <c r="T324" s="97" t="b">
        <f ca="1">AND(NOT(S324),LEN(W324)&gt;0)</f>
        <v>0</v>
      </c>
      <c r="U324" s="97" t="str">
        <f>SUBSTITUTE(SUBSTITUTE(SUBSTITUTE("dd"&amp;B324&amp;C324&amp;D324&amp;E324&amp;F324,".","_"),"(","_"),")","")</f>
        <v>dd703_5_1</v>
      </c>
      <c r="V324"/>
      <c r="W324" s="12"/>
      <c r="X324" s="1303"/>
      <c r="AC324" s="511" t="b">
        <f ca="1">OR(AD324:AE324)</f>
        <v>0</v>
      </c>
      <c r="AD324" s="511" t="b">
        <f ca="1">T324</f>
        <v>0</v>
      </c>
      <c r="AE324" s="511" t="b">
        <f>AND(R324,OR(W324="Not Met",W324=""))</f>
        <v>0</v>
      </c>
      <c r="AP324" s="311" t="str">
        <f>SUBSTITUTE(SUBSTITUTE(SUBSTITUTE("dch"&amp;$B324&amp;$C324&amp;$D324&amp;$E324&amp;$F324,".","_"),"(","_"),")","")</f>
        <v>dch703_5_1</v>
      </c>
      <c r="AQ324" s="311">
        <f>W324</f>
        <v>0</v>
      </c>
    </row>
    <row r="325" spans="1:45" x14ac:dyDescent="0.3">
      <c r="B325" s="938" t="s">
        <v>1120</v>
      </c>
      <c r="C325" s="93"/>
      <c r="D325" s="21" t="s">
        <v>271</v>
      </c>
      <c r="E325" s="21"/>
      <c r="F325" s="21"/>
      <c r="G325" s="21"/>
      <c r="H325" s="1084"/>
      <c r="I325" s="4"/>
      <c r="J325" s="260" t="s">
        <v>271</v>
      </c>
      <c r="K325" s="178"/>
      <c r="L325" s="178" t="s">
        <v>1122</v>
      </c>
      <c r="M325" s="522"/>
      <c r="N325" s="4"/>
      <c r="O325" s="154"/>
      <c r="P325"/>
      <c r="Q325"/>
      <c r="R325"/>
      <c r="S325"/>
      <c r="T325"/>
      <c r="U325"/>
      <c r="V325"/>
      <c r="W325" t="s">
        <v>3887</v>
      </c>
      <c r="X325" s="1303"/>
    </row>
    <row r="326" spans="1:45" s="474" customFormat="1" x14ac:dyDescent="0.3">
      <c r="A326" s="18"/>
      <c r="B326" s="938" t="s">
        <v>1120</v>
      </c>
      <c r="C326" s="93"/>
      <c r="D326" s="21" t="s">
        <v>271</v>
      </c>
      <c r="E326" s="21" t="s">
        <v>121</v>
      </c>
      <c r="F326" s="21"/>
      <c r="G326" s="21"/>
      <c r="H326" s="1084"/>
      <c r="I326" s="4"/>
      <c r="J326" s="260"/>
      <c r="K326" s="260" t="s">
        <v>121</v>
      </c>
      <c r="L326" s="476" t="s">
        <v>1122</v>
      </c>
      <c r="M326" s="522"/>
      <c r="N326" s="4"/>
      <c r="O326" s="154">
        <f ca="1">IFERROR(INDEX(M327:M328,MATCH(W326,{0.67,0.8},1)),0)*S327*S324</f>
        <v>0</v>
      </c>
      <c r="P326" s="97" t="b">
        <v>1</v>
      </c>
      <c r="Q326" s="97" t="b">
        <v>1</v>
      </c>
      <c r="R326" s="474" t="b">
        <v>0</v>
      </c>
      <c r="S326" s="474" t="b">
        <f ca="1">AND(S13=2,LEN(W347)=0)</f>
        <v>0</v>
      </c>
      <c r="T326" s="97" t="b">
        <f ca="1">AND(NOT(S326),LEN(W326)&gt;0)</f>
        <v>0</v>
      </c>
      <c r="U326"/>
      <c r="V326"/>
      <c r="W326" s="478"/>
      <c r="X326" s="1303"/>
      <c r="Y326" s="1107"/>
      <c r="AA326" s="1110"/>
      <c r="AC326" s="511" t="b">
        <f ca="1">OR(AD326:AE326)</f>
        <v>0</v>
      </c>
      <c r="AD326" s="511" t="b">
        <f ca="1">T326</f>
        <v>0</v>
      </c>
      <c r="AE326" s="511" t="b">
        <f>AND(R326,OR(W326="Not Met",W326=""))</f>
        <v>0</v>
      </c>
      <c r="AN326" s="311" t="str">
        <f>SUBSTITUTE(SUBSTITUTE(SUBSTITUTE("dpc"&amp;$B326&amp;$C326&amp;$D326&amp;$E326&amp;$F326,".","_"),"(","_"),")","")</f>
        <v>dpc703_5_1_1_a</v>
      </c>
      <c r="AO326" s="311">
        <f ca="1">O326</f>
        <v>0</v>
      </c>
      <c r="AP326" s="311" t="str">
        <f>SUBSTITUTE(SUBSTITUTE(SUBSTITUTE("dch"&amp;$B326&amp;$C326&amp;$D326&amp;$E326&amp;$F326,".","_"),"(","_"),")","")</f>
        <v>dch703_5_1_1_a</v>
      </c>
      <c r="AQ326" s="311">
        <f>W326</f>
        <v>0</v>
      </c>
    </row>
    <row r="327" spans="1:45" s="474" customFormat="1" x14ac:dyDescent="0.3">
      <c r="A327" s="18"/>
      <c r="B327" s="938" t="s">
        <v>1120</v>
      </c>
      <c r="C327" s="93"/>
      <c r="D327" s="21" t="s">
        <v>271</v>
      </c>
      <c r="E327" s="21" t="s">
        <v>121</v>
      </c>
      <c r="F327" s="21" t="s">
        <v>121</v>
      </c>
      <c r="G327" s="21"/>
      <c r="H327" s="1084"/>
      <c r="I327" s="4"/>
      <c r="J327" s="260"/>
      <c r="K327" s="260"/>
      <c r="L327" s="476" t="s">
        <v>3895</v>
      </c>
      <c r="M327" s="522">
        <f>IFERROR(INDEX({3,3,2,2,2,2,2,1},BF16),0)*IF(T302,2,1)</f>
        <v>2</v>
      </c>
      <c r="N327" s="4"/>
      <c r="O327" s="154"/>
      <c r="S327" s="1" t="b">
        <f ca="1">W324=INDEX(INDIRECT(U324),1)</f>
        <v>0</v>
      </c>
      <c r="X327" s="1303"/>
      <c r="Y327" s="1107"/>
      <c r="AA327" s="1110"/>
      <c r="AL327" s="311" t="str">
        <f t="shared" ref="AL327:AL328" si="26">SUBSTITUTE(SUBSTITUTE(SUBSTITUTE("dpa"&amp;$B327&amp;$C327&amp;$D327&amp;$E327&amp;$F327,".","_"),"(","_"),")","")</f>
        <v>dpa703_5_1_1_a_a</v>
      </c>
      <c r="AM327" s="311">
        <f>M327</f>
        <v>2</v>
      </c>
    </row>
    <row r="328" spans="1:45" s="474" customFormat="1" x14ac:dyDescent="0.3">
      <c r="A328" s="18"/>
      <c r="B328" s="938" t="s">
        <v>1120</v>
      </c>
      <c r="C328" s="93"/>
      <c r="D328" s="21" t="s">
        <v>271</v>
      </c>
      <c r="E328" s="21" t="s">
        <v>121</v>
      </c>
      <c r="F328" s="21" t="s">
        <v>122</v>
      </c>
      <c r="G328" s="21"/>
      <c r="H328" s="1084"/>
      <c r="I328" s="4"/>
      <c r="J328" s="260"/>
      <c r="K328" s="260"/>
      <c r="L328" s="476" t="s">
        <v>3896</v>
      </c>
      <c r="M328" s="522">
        <f>IFERROR(INDEX({4,4,3,3,3,3,3,2},BF16),0)*IF(T302,2,1)</f>
        <v>3</v>
      </c>
      <c r="N328" s="4"/>
      <c r="O328" s="154"/>
      <c r="X328" s="1303"/>
      <c r="Y328" s="1107"/>
      <c r="AA328" s="1110"/>
      <c r="AL328" s="311" t="str">
        <f t="shared" si="26"/>
        <v>dpa703_5_1_1_a_b</v>
      </c>
      <c r="AM328" s="311">
        <f>M328</f>
        <v>3</v>
      </c>
    </row>
    <row r="329" spans="1:45" x14ac:dyDescent="0.3">
      <c r="B329" s="938" t="s">
        <v>1120</v>
      </c>
      <c r="C329" s="93"/>
      <c r="D329" s="21" t="s">
        <v>271</v>
      </c>
      <c r="E329" s="21" t="s">
        <v>122</v>
      </c>
      <c r="F329" s="21"/>
      <c r="G329" s="21"/>
      <c r="H329" s="1084"/>
      <c r="I329" s="4"/>
      <c r="J329" s="178"/>
      <c r="K329" s="260" t="s">
        <v>122</v>
      </c>
      <c r="L329" s="1367" t="s">
        <v>3892</v>
      </c>
      <c r="M329" s="522"/>
      <c r="N329" s="4"/>
      <c r="O329" s="1310">
        <f ca="1">IFERROR(INDEX(M331:M332,MATCH(W326,{0.9,0.95},1)),0)*S329*S324</f>
        <v>0</v>
      </c>
      <c r="P329"/>
      <c r="Q329"/>
      <c r="R329"/>
      <c r="S329" s="1" t="b">
        <f ca="1">W324=INDEX(INDIRECT(U324),2)</f>
        <v>0</v>
      </c>
      <c r="T329"/>
      <c r="U329"/>
      <c r="V329"/>
      <c r="W329"/>
      <c r="X329" s="1303"/>
      <c r="AN329" s="311" t="str">
        <f>SUBSTITUTE(SUBSTITUTE(SUBSTITUTE("dpc"&amp;$B329&amp;$C329&amp;$D329&amp;$E329&amp;$F329,".","_"),"(","_"),")","")</f>
        <v>dpc703_5_1_1_b</v>
      </c>
      <c r="AO329" s="311">
        <f ca="1">O329</f>
        <v>0</v>
      </c>
    </row>
    <row r="330" spans="1:45" s="474" customFormat="1" x14ac:dyDescent="0.3">
      <c r="A330" s="18"/>
      <c r="B330" s="938" t="s">
        <v>1120</v>
      </c>
      <c r="C330" s="93"/>
      <c r="D330" s="21" t="s">
        <v>271</v>
      </c>
      <c r="E330" s="21" t="s">
        <v>122</v>
      </c>
      <c r="F330" s="21"/>
      <c r="G330" s="21"/>
      <c r="H330" s="1084"/>
      <c r="I330" s="4"/>
      <c r="J330" s="476"/>
      <c r="K330" s="260"/>
      <c r="L330" s="1367"/>
      <c r="M330" s="522"/>
      <c r="N330" s="4"/>
      <c r="O330" s="1310"/>
      <c r="X330" s="1303"/>
      <c r="Y330" s="1107"/>
      <c r="AA330" s="1110"/>
    </row>
    <row r="331" spans="1:45" s="474" customFormat="1" x14ac:dyDescent="0.3">
      <c r="A331" s="18"/>
      <c r="B331" s="938" t="s">
        <v>1120</v>
      </c>
      <c r="C331" s="93"/>
      <c r="D331" s="21" t="s">
        <v>271</v>
      </c>
      <c r="E331" s="21" t="s">
        <v>122</v>
      </c>
      <c r="F331" s="21" t="s">
        <v>121</v>
      </c>
      <c r="G331" s="21"/>
      <c r="H331" s="1084"/>
      <c r="I331" s="4"/>
      <c r="J331" s="476"/>
      <c r="K331" s="260"/>
      <c r="L331" s="476" t="s">
        <v>3897</v>
      </c>
      <c r="M331" s="522">
        <f>IFERROR(INDEX({6,6,5,3,3,3,3,2},BF16),0)</f>
        <v>3</v>
      </c>
      <c r="N331" s="4"/>
      <c r="O331" s="154"/>
      <c r="X331" s="1303"/>
      <c r="Y331" s="1107"/>
      <c r="AA331" s="1110"/>
      <c r="AL331" s="311" t="str">
        <f t="shared" ref="AL331:AL332" si="27">SUBSTITUTE(SUBSTITUTE(SUBSTITUTE("dpa"&amp;$B331&amp;$C331&amp;$D331&amp;$E331&amp;$F331,".","_"),"(","_"),")","")</f>
        <v>dpa703_5_1_1_b_a</v>
      </c>
      <c r="AM331" s="311">
        <f>M331</f>
        <v>3</v>
      </c>
    </row>
    <row r="332" spans="1:45" s="474" customFormat="1" x14ac:dyDescent="0.3">
      <c r="A332" s="18"/>
      <c r="B332" s="938" t="s">
        <v>1120</v>
      </c>
      <c r="C332" s="93"/>
      <c r="D332" s="21" t="s">
        <v>271</v>
      </c>
      <c r="E332" s="21" t="s">
        <v>122</v>
      </c>
      <c r="F332" s="21" t="s">
        <v>122</v>
      </c>
      <c r="G332" s="21"/>
      <c r="H332" s="1084"/>
      <c r="I332" s="4"/>
      <c r="J332" s="545"/>
      <c r="K332" s="626"/>
      <c r="L332" s="545" t="s">
        <v>3898</v>
      </c>
      <c r="M332" s="549">
        <f>IFERROR(INDEX({7,7,5,4,4,4,4,2},BF16),0)</f>
        <v>4</v>
      </c>
      <c r="N332" s="4"/>
      <c r="O332" s="154"/>
      <c r="X332" s="1303"/>
      <c r="Y332" s="1107"/>
      <c r="AA332" s="1110"/>
      <c r="AL332" s="311" t="str">
        <f t="shared" si="27"/>
        <v>dpa703_5_1_1_b_b</v>
      </c>
      <c r="AM332" s="311">
        <f>M332</f>
        <v>4</v>
      </c>
    </row>
    <row r="333" spans="1:45" x14ac:dyDescent="0.3">
      <c r="B333" s="938" t="s">
        <v>1120</v>
      </c>
      <c r="C333" s="93"/>
      <c r="D333" s="21" t="s">
        <v>273</v>
      </c>
      <c r="E333" s="21"/>
      <c r="F333" s="21"/>
      <c r="G333" s="21"/>
      <c r="H333" s="1084"/>
      <c r="I333" s="4"/>
      <c r="J333" s="260" t="s">
        <v>273</v>
      </c>
      <c r="K333" s="178"/>
      <c r="L333" s="178" t="s">
        <v>1123</v>
      </c>
      <c r="M333" s="522"/>
      <c r="N333" s="4"/>
      <c r="O333" s="154"/>
      <c r="P333"/>
      <c r="Q333"/>
      <c r="R333"/>
      <c r="T333"/>
      <c r="U333"/>
      <c r="V333"/>
      <c r="W333"/>
      <c r="X333" s="1303"/>
    </row>
    <row r="334" spans="1:45" s="474" customFormat="1" x14ac:dyDescent="0.3">
      <c r="A334" s="18"/>
      <c r="B334" s="938" t="s">
        <v>1120</v>
      </c>
      <c r="C334" s="93"/>
      <c r="D334" s="21" t="s">
        <v>273</v>
      </c>
      <c r="E334" s="21" t="s">
        <v>121</v>
      </c>
      <c r="F334" s="21"/>
      <c r="G334" s="21"/>
      <c r="H334" s="1084"/>
      <c r="I334" s="4"/>
      <c r="J334" s="260"/>
      <c r="K334" s="260" t="s">
        <v>121</v>
      </c>
      <c r="L334" s="476" t="s">
        <v>3890</v>
      </c>
      <c r="M334" s="522">
        <v>1</v>
      </c>
      <c r="N334" s="4"/>
      <c r="O334" s="154">
        <f ca="1">M334*AND(S334,W326&gt;=0.95)*S324</f>
        <v>0</v>
      </c>
      <c r="S334" s="1" t="b">
        <f ca="1">W324=INDEX(INDIRECT(U324),3)</f>
        <v>0</v>
      </c>
      <c r="X334" s="1303"/>
      <c r="Y334" s="1107"/>
      <c r="AA334" s="1110"/>
      <c r="AL334" s="311" t="str">
        <f t="shared" ref="AL334:AL336" si="28">SUBSTITUTE(SUBSTITUTE(SUBSTITUTE("dpa"&amp;$B334&amp;$C334&amp;$D334&amp;$E334&amp;$F334,".","_"),"(","_"),")","")</f>
        <v>dpa703_5_1_2_a</v>
      </c>
      <c r="AM334" s="311">
        <f>M334</f>
        <v>1</v>
      </c>
      <c r="AN334" s="311" t="str">
        <f t="shared" ref="AN334:AN337" si="29">SUBSTITUTE(SUBSTITUTE(SUBSTITUTE("dpc"&amp;$B334&amp;$C334&amp;$D334&amp;$E334&amp;$F334,".","_"),"(","_"),")","")</f>
        <v>dpc703_5_1_2_a</v>
      </c>
      <c r="AO334" s="311">
        <f ca="1">O334</f>
        <v>0</v>
      </c>
    </row>
    <row r="335" spans="1:45" x14ac:dyDescent="0.3">
      <c r="B335" s="938" t="s">
        <v>1120</v>
      </c>
      <c r="C335" s="93"/>
      <c r="D335" s="21" t="s">
        <v>273</v>
      </c>
      <c r="E335" s="21" t="s">
        <v>122</v>
      </c>
      <c r="F335" s="21"/>
      <c r="G335" s="21"/>
      <c r="H335" s="1084"/>
      <c r="I335" s="4"/>
      <c r="J335" s="545"/>
      <c r="K335" s="626" t="s">
        <v>122</v>
      </c>
      <c r="L335" s="545" t="s">
        <v>3891</v>
      </c>
      <c r="M335" s="549">
        <v>2</v>
      </c>
      <c r="N335" s="238"/>
      <c r="O335" s="599">
        <f ca="1">M335*AND(S335,W326&gt;=0.97)*S324</f>
        <v>0</v>
      </c>
      <c r="P335"/>
      <c r="Q335"/>
      <c r="R335"/>
      <c r="S335" s="1" t="b">
        <f ca="1">W324=INDEX(INDIRECT(U324),4)</f>
        <v>0</v>
      </c>
      <c r="T335"/>
      <c r="U335"/>
      <c r="V335"/>
      <c r="W335"/>
      <c r="X335" s="1303"/>
      <c r="AL335" s="311" t="str">
        <f t="shared" si="28"/>
        <v>dpa703_5_1_2_b</v>
      </c>
      <c r="AM335" s="311">
        <f>M335</f>
        <v>2</v>
      </c>
      <c r="AN335" s="311" t="str">
        <f t="shared" si="29"/>
        <v>dpc703_5_1_2_b</v>
      </c>
      <c r="AO335" s="311">
        <f ca="1">O335</f>
        <v>0</v>
      </c>
    </row>
    <row r="336" spans="1:45" x14ac:dyDescent="0.3">
      <c r="B336" s="938" t="s">
        <v>1120</v>
      </c>
      <c r="C336" s="93"/>
      <c r="D336" s="21" t="s">
        <v>275</v>
      </c>
      <c r="E336" s="21"/>
      <c r="F336" s="21"/>
      <c r="G336" s="21"/>
      <c r="H336" s="1084"/>
      <c r="I336" s="4"/>
      <c r="J336" s="650" t="s">
        <v>275</v>
      </c>
      <c r="K336" s="365"/>
      <c r="L336" s="365" t="s">
        <v>3889</v>
      </c>
      <c r="M336" s="571">
        <v>1</v>
      </c>
      <c r="N336" s="274"/>
      <c r="O336" s="570">
        <f ca="1">M336*AND(S336,W326&gt;=0.59)*S324</f>
        <v>0</v>
      </c>
      <c r="P336"/>
      <c r="Q336"/>
      <c r="R336"/>
      <c r="S336" s="1" t="b">
        <f ca="1">W324=INDEX(INDIRECT(U324),5)</f>
        <v>0</v>
      </c>
      <c r="T336"/>
      <c r="U336"/>
      <c r="V336"/>
      <c r="W336"/>
      <c r="X336" s="1303"/>
      <c r="AL336" s="311" t="str">
        <f t="shared" si="28"/>
        <v>dpa703_5_1_3</v>
      </c>
      <c r="AM336" s="311">
        <f>M336</f>
        <v>1</v>
      </c>
      <c r="AN336" s="311" t="str">
        <f t="shared" si="29"/>
        <v>dpc703_5_1_3</v>
      </c>
      <c r="AO336" s="311">
        <f ca="1">O336</f>
        <v>0</v>
      </c>
    </row>
    <row r="337" spans="1:49" x14ac:dyDescent="0.3">
      <c r="B337" s="938" t="s">
        <v>1120</v>
      </c>
      <c r="C337" s="93"/>
      <c r="D337" s="21" t="s">
        <v>285</v>
      </c>
      <c r="E337" s="21"/>
      <c r="F337" s="21"/>
      <c r="G337" s="21"/>
      <c r="H337" s="1084"/>
      <c r="I337" s="4"/>
      <c r="J337" s="260" t="s">
        <v>285</v>
      </c>
      <c r="K337" s="178"/>
      <c r="L337" s="178" t="s">
        <v>1124</v>
      </c>
      <c r="M337" s="522"/>
      <c r="N337" s="4"/>
      <c r="O337" s="154">
        <f ca="1">IFERROR(INDEX(M338:M340,MATCH(W326,{1.5,2,2.2},1)),0)*S337*S324</f>
        <v>0</v>
      </c>
      <c r="P337"/>
      <c r="Q337"/>
      <c r="R337"/>
      <c r="S337" s="1" t="b">
        <f ca="1">W324=INDEX(INDIRECT(U324),6)</f>
        <v>0</v>
      </c>
      <c r="T337"/>
      <c r="U337"/>
      <c r="V337"/>
      <c r="W337"/>
      <c r="X337" s="1303"/>
      <c r="AN337" s="311" t="str">
        <f t="shared" si="29"/>
        <v>dpc703_5_1_4</v>
      </c>
      <c r="AO337" s="311">
        <f ca="1">O337</f>
        <v>0</v>
      </c>
    </row>
    <row r="338" spans="1:49" s="474" customFormat="1" x14ac:dyDescent="0.3">
      <c r="A338" s="18"/>
      <c r="B338" s="938" t="s">
        <v>1120</v>
      </c>
      <c r="C338" s="93"/>
      <c r="D338" s="21" t="s">
        <v>285</v>
      </c>
      <c r="E338" s="21" t="s">
        <v>121</v>
      </c>
      <c r="F338" s="21"/>
      <c r="G338" s="21"/>
      <c r="H338" s="1084"/>
      <c r="I338" s="4"/>
      <c r="J338" s="260"/>
      <c r="K338" s="476"/>
      <c r="L338" s="476" t="s">
        <v>3899</v>
      </c>
      <c r="M338" s="522">
        <f>IFERROR(INDEX({8,5,4,3,2,2,1,1},BF16),0)</f>
        <v>3</v>
      </c>
      <c r="N338" s="4"/>
      <c r="O338" s="154"/>
      <c r="X338" s="1303"/>
      <c r="Y338" s="1107"/>
      <c r="AA338" s="1110"/>
      <c r="AL338" s="311" t="str">
        <f t="shared" ref="AL338:AL341" si="30">SUBSTITUTE(SUBSTITUTE(SUBSTITUTE("dpa"&amp;$B338&amp;$C338&amp;$D338&amp;$E338&amp;$F338,".","_"),"(","_"),")","")</f>
        <v>dpa703_5_1_4_a</v>
      </c>
      <c r="AM338" s="311">
        <f>M338</f>
        <v>3</v>
      </c>
    </row>
    <row r="339" spans="1:49" s="474" customFormat="1" x14ac:dyDescent="0.3">
      <c r="A339" s="18"/>
      <c r="B339" s="938" t="s">
        <v>1120</v>
      </c>
      <c r="C339" s="93"/>
      <c r="D339" s="21" t="s">
        <v>285</v>
      </c>
      <c r="E339" s="21" t="s">
        <v>122</v>
      </c>
      <c r="F339" s="21"/>
      <c r="G339" s="21"/>
      <c r="H339" s="1084"/>
      <c r="I339" s="4"/>
      <c r="J339" s="260"/>
      <c r="K339" s="476"/>
      <c r="L339" s="476" t="s">
        <v>3900</v>
      </c>
      <c r="M339" s="522">
        <f>IFERROR(INDEX({16,9,8,6,5,4,2,2},BF16),0)</f>
        <v>6</v>
      </c>
      <c r="N339" s="4"/>
      <c r="O339" s="154"/>
      <c r="X339" s="1303"/>
      <c r="Y339" s="1107"/>
      <c r="AA339" s="1110"/>
      <c r="AL339" s="311" t="str">
        <f t="shared" si="30"/>
        <v>dpa703_5_1_4_b</v>
      </c>
      <c r="AM339" s="311">
        <f>M339</f>
        <v>6</v>
      </c>
    </row>
    <row r="340" spans="1:49" x14ac:dyDescent="0.3">
      <c r="B340" s="938" t="s">
        <v>1120</v>
      </c>
      <c r="C340" s="93"/>
      <c r="D340" s="21" t="s">
        <v>285</v>
      </c>
      <c r="E340" s="21" t="s">
        <v>123</v>
      </c>
      <c r="F340" s="21"/>
      <c r="G340" s="21"/>
      <c r="H340" s="1084"/>
      <c r="I340" s="238"/>
      <c r="J340" s="545"/>
      <c r="K340" s="545"/>
      <c r="L340" s="545" t="s">
        <v>3901</v>
      </c>
      <c r="M340" s="549">
        <f>IFERROR(INDEX({19,10,9,7,6,5,3,3},BF16),0)</f>
        <v>7</v>
      </c>
      <c r="N340" s="4"/>
      <c r="O340" s="154"/>
      <c r="P340"/>
      <c r="Q340"/>
      <c r="R340"/>
      <c r="S340"/>
      <c r="T340"/>
      <c r="U340"/>
      <c r="V340"/>
      <c r="W340"/>
      <c r="X340" s="1303"/>
      <c r="AL340" s="311" t="str">
        <f t="shared" si="30"/>
        <v>dpa703_5_1_4_c</v>
      </c>
      <c r="AM340" s="311">
        <f>M340</f>
        <v>7</v>
      </c>
    </row>
    <row r="341" spans="1:49" s="175" customFormat="1" x14ac:dyDescent="0.3">
      <c r="A341" s="18"/>
      <c r="B341" s="938" t="s">
        <v>1125</v>
      </c>
      <c r="C341" s="93"/>
      <c r="D341" s="21"/>
      <c r="E341" s="21"/>
      <c r="F341" s="21"/>
      <c r="G341" s="21"/>
      <c r="H341" s="1084"/>
      <c r="I341" s="606" t="s">
        <v>1125</v>
      </c>
      <c r="J341" s="544"/>
      <c r="K341" s="544"/>
      <c r="L341" s="1390" t="s">
        <v>1126</v>
      </c>
      <c r="M341" s="1419">
        <f>IFERROR(INDEX({23,17,9,7,5,4,2,2},BF16),0)</f>
        <v>7</v>
      </c>
      <c r="N341" s="140"/>
      <c r="O341" s="1308">
        <f ca="1">M341*S341*W341</f>
        <v>0</v>
      </c>
      <c r="P341" s="97" t="b">
        <v>1</v>
      </c>
      <c r="Q341" s="97" t="b">
        <v>1</v>
      </c>
      <c r="R341" s="97" t="b">
        <v>0</v>
      </c>
      <c r="S341" s="97" t="b">
        <f ca="1">(S13=2)</f>
        <v>0</v>
      </c>
      <c r="T341" s="97" t="b">
        <f ca="1">AND(NOT(S341),W341=TRUE)</f>
        <v>0</v>
      </c>
      <c r="U341" s="97"/>
      <c r="V341" s="97"/>
      <c r="W341" s="452"/>
      <c r="X341" s="1303"/>
      <c r="Y341" s="1107"/>
      <c r="Z341" s="79"/>
      <c r="AA341" s="1110"/>
      <c r="AB341" s="79"/>
      <c r="AC341" s="511" t="b">
        <f ca="1">OR(AD341:AE341)</f>
        <v>0</v>
      </c>
      <c r="AD341" s="511" t="b">
        <f ca="1">T341</f>
        <v>0</v>
      </c>
      <c r="AE341" s="511" t="b">
        <f>AND(R341,NOT(W341))</f>
        <v>0</v>
      </c>
      <c r="AF341" s="79"/>
      <c r="AG341" s="79"/>
      <c r="AH341" s="79"/>
      <c r="AI341" s="79"/>
      <c r="AJ341" s="79"/>
      <c r="AK341" s="79"/>
      <c r="AL341" s="311" t="str">
        <f t="shared" si="30"/>
        <v>dpa703_5_2</v>
      </c>
      <c r="AM341" s="311">
        <f>M341</f>
        <v>7</v>
      </c>
      <c r="AN341" s="311" t="str">
        <f>SUBSTITUTE(SUBSTITUTE(SUBSTITUTE("dpc"&amp;$B341&amp;$C341&amp;$D341&amp;$E341&amp;$F341,".","_"),"(","_"),")","")</f>
        <v>dpc703_5_2</v>
      </c>
      <c r="AO341" s="311">
        <f ca="1">O341</f>
        <v>0</v>
      </c>
      <c r="AP341" s="311" t="str">
        <f>SUBSTITUTE(SUBSTITUTE(SUBSTITUTE("dch"&amp;$B341&amp;$C341&amp;$D341&amp;$E341&amp;$F341,".","_"),"(","_"),")","")</f>
        <v>dch703_5_2</v>
      </c>
      <c r="AQ341" s="311">
        <f>W341</f>
        <v>0</v>
      </c>
      <c r="AR341" s="311" t="str">
        <f>SUBSTITUTE(SUBSTITUTE(SUBSTITUTE("dnt"&amp;$B341&amp;$C341&amp;$D341&amp;$E341&amp;$F341,".","_"),"(","_"),")","")</f>
        <v>dnt703_5_2</v>
      </c>
      <c r="AS341" s="311">
        <f>X341</f>
        <v>0</v>
      </c>
      <c r="AT341" s="79"/>
      <c r="AU341" s="79"/>
      <c r="AV341" s="79"/>
      <c r="AW341" s="79"/>
    </row>
    <row r="342" spans="1:49" x14ac:dyDescent="0.3">
      <c r="B342" s="938" t="s">
        <v>1125</v>
      </c>
      <c r="C342" s="93"/>
      <c r="D342" s="21"/>
      <c r="E342" s="21"/>
      <c r="F342" s="21"/>
      <c r="G342" s="21"/>
      <c r="H342" s="1084"/>
      <c r="I342" s="631"/>
      <c r="J342" s="545"/>
      <c r="K342" s="545"/>
      <c r="L342" s="1391"/>
      <c r="M342" s="1420"/>
      <c r="N342" s="238"/>
      <c r="O342" s="1309"/>
      <c r="P342" s="196"/>
      <c r="Q342" s="196"/>
      <c r="R342" s="196"/>
      <c r="S342" s="196"/>
      <c r="T342" s="196"/>
      <c r="U342" s="196"/>
      <c r="V342" s="196"/>
      <c r="W342" s="636"/>
      <c r="X342" s="1303"/>
      <c r="Z342" s="175"/>
      <c r="AB342" s="175"/>
      <c r="AC342" s="175"/>
      <c r="AD342" s="175"/>
      <c r="AE342" s="175"/>
      <c r="AF342" s="175"/>
      <c r="AG342" s="175"/>
      <c r="AH342" s="175"/>
      <c r="AI342" s="175"/>
      <c r="AJ342" s="175"/>
      <c r="AK342" s="175"/>
      <c r="AL342" s="175"/>
      <c r="AM342" s="175"/>
      <c r="AN342" s="175"/>
      <c r="AO342" s="175"/>
      <c r="AP342" s="175"/>
      <c r="AQ342" s="175"/>
      <c r="AR342" s="175"/>
      <c r="AS342" s="175"/>
      <c r="AT342" s="175"/>
      <c r="AU342" s="175"/>
      <c r="AV342" s="175"/>
      <c r="AW342" s="175"/>
    </row>
    <row r="343" spans="1:49" x14ac:dyDescent="0.3">
      <c r="B343" s="938" t="s">
        <v>1127</v>
      </c>
      <c r="C343" s="93"/>
      <c r="D343" s="21"/>
      <c r="E343" s="21"/>
      <c r="F343" s="21"/>
      <c r="G343" s="21"/>
      <c r="H343" s="1084"/>
      <c r="I343" s="68" t="s">
        <v>1127</v>
      </c>
      <c r="J343" s="178"/>
      <c r="K343" s="178"/>
      <c r="L343" s="184" t="s">
        <v>1128</v>
      </c>
      <c r="M343" s="526">
        <v>2</v>
      </c>
      <c r="N343" s="4"/>
      <c r="O343" s="154">
        <f ca="1">M343*S343*W343</f>
        <v>0</v>
      </c>
      <c r="P343" s="97" t="b">
        <v>1</v>
      </c>
      <c r="Q343" s="97" t="b">
        <v>1</v>
      </c>
      <c r="R343" s="145" t="b">
        <v>0</v>
      </c>
      <c r="S343" s="150" t="b">
        <f ca="1">(S13=2)</f>
        <v>0</v>
      </c>
      <c r="T343" s="97" t="b">
        <f ca="1">AND(NOT(S343),W343=TRUE)</f>
        <v>0</v>
      </c>
      <c r="U343"/>
      <c r="V343"/>
      <c r="W343" s="127"/>
      <c r="X343" s="1303"/>
      <c r="AC343" s="511" t="b">
        <f ca="1">OR(AD343:AE343)</f>
        <v>0</v>
      </c>
      <c r="AD343" s="511" t="b">
        <f ca="1">T343</f>
        <v>0</v>
      </c>
      <c r="AE343" s="511" t="b">
        <f>AND(R343,NOT(W343))</f>
        <v>0</v>
      </c>
      <c r="AL343" s="311" t="str">
        <f>SUBSTITUTE(SUBSTITUTE(SUBSTITUTE("dpa"&amp;$B343&amp;$C343&amp;$D343&amp;$E343&amp;$F343,".","_"),"(","_"),")","")</f>
        <v>dpa703_5_3</v>
      </c>
      <c r="AM343" s="311">
        <f>M343</f>
        <v>2</v>
      </c>
      <c r="AN343" s="311" t="str">
        <f>SUBSTITUTE(SUBSTITUTE(SUBSTITUTE("dpc"&amp;$B343&amp;$C343&amp;$D343&amp;$E343&amp;$F343,".","_"),"(","_"),")","")</f>
        <v>dpc703_5_3</v>
      </c>
      <c r="AO343" s="311">
        <f ca="1">O343</f>
        <v>0</v>
      </c>
      <c r="AP343" s="311" t="str">
        <f>SUBSTITUTE(SUBSTITUTE(SUBSTITUTE("dch"&amp;$B343&amp;$C343&amp;$D343&amp;$E343&amp;$F343,".","_"),"(","_"),")","")</f>
        <v>dch703_5_3</v>
      </c>
      <c r="AQ343" s="311">
        <f>W343</f>
        <v>0</v>
      </c>
      <c r="AR343" s="311" t="str">
        <f>SUBSTITUTE(SUBSTITUTE(SUBSTITUTE("dnt"&amp;$B343&amp;$C343&amp;$D343&amp;$E343&amp;$F343,".","_"),"(","_"),")","")</f>
        <v>dnt703_5_3</v>
      </c>
      <c r="AS343" s="311">
        <f>X343</f>
        <v>0</v>
      </c>
    </row>
    <row r="344" spans="1:49" ht="15" customHeight="1" x14ac:dyDescent="0.3">
      <c r="B344" s="938" t="s">
        <v>1127</v>
      </c>
      <c r="C344" s="93"/>
      <c r="D344" s="21"/>
      <c r="E344" s="21"/>
      <c r="F344" s="21"/>
      <c r="G344" s="21"/>
      <c r="H344" s="1084"/>
      <c r="I344" s="196"/>
      <c r="J344" s="545"/>
      <c r="K344" s="545"/>
      <c r="L344" s="560" t="s">
        <v>1101</v>
      </c>
      <c r="M344" s="549"/>
      <c r="N344" s="238"/>
      <c r="O344" s="599"/>
      <c r="P344"/>
      <c r="Q344"/>
      <c r="R344"/>
      <c r="S344"/>
      <c r="T344"/>
      <c r="U344"/>
      <c r="V344"/>
      <c r="W344"/>
      <c r="X344" s="1303"/>
    </row>
    <row r="345" spans="1:49" ht="15" customHeight="1" x14ac:dyDescent="0.3">
      <c r="B345" s="938" t="s">
        <v>3886</v>
      </c>
      <c r="C345" s="93"/>
      <c r="D345" s="21"/>
      <c r="E345" s="21"/>
      <c r="F345" s="21"/>
      <c r="G345" s="21"/>
      <c r="H345" s="1084"/>
      <c r="I345" s="631" t="s">
        <v>3886</v>
      </c>
      <c r="J345" s="545"/>
      <c r="K345" s="545"/>
      <c r="L345" s="629" t="s">
        <v>1129</v>
      </c>
      <c r="M345" s="640">
        <v>1</v>
      </c>
      <c r="N345" s="238"/>
      <c r="O345" s="599">
        <f ca="1">M345*S345*W345</f>
        <v>0</v>
      </c>
      <c r="P345" s="97" t="b">
        <v>1</v>
      </c>
      <c r="Q345" s="97" t="b">
        <v>1</v>
      </c>
      <c r="R345" s="196" t="b">
        <v>0</v>
      </c>
      <c r="S345" s="196" t="b">
        <f ca="1">AND(S13=2,OR(AY32=INDEX(ddHeat1,2),AY33=INDEX(ddHeat2,2),AY34=INDEX(ddHeat3,2)))</f>
        <v>0</v>
      </c>
      <c r="T345" s="196" t="b">
        <f ca="1">AND(NOT(S345),W345=TRUE)</f>
        <v>0</v>
      </c>
      <c r="U345" s="196"/>
      <c r="V345" s="196"/>
      <c r="W345" s="452"/>
      <c r="X345" s="512"/>
      <c r="AC345" s="511" t="b">
        <f ca="1">OR(AD345:AE345)</f>
        <v>0</v>
      </c>
      <c r="AD345" s="511" t="b">
        <f ca="1">T345</f>
        <v>0</v>
      </c>
      <c r="AE345" s="511" t="b">
        <f>AND(R345,NOT(W345))</f>
        <v>0</v>
      </c>
      <c r="AL345" s="311" t="str">
        <f>SUBSTITUTE(SUBSTITUTE(SUBSTITUTE("dpa"&amp;$B345&amp;$C345&amp;$D345&amp;$E345&amp;$F345,".","_"),"(","_"),")","")</f>
        <v>dpa703_5_4</v>
      </c>
      <c r="AM345" s="311">
        <f>M345</f>
        <v>1</v>
      </c>
      <c r="AN345" s="311" t="str">
        <f t="shared" ref="AN345:AN346" si="31">SUBSTITUTE(SUBSTITUTE(SUBSTITUTE("dpc"&amp;$B345&amp;$C345&amp;$D345&amp;$E345&amp;$F345,".","_"),"(","_"),")","")</f>
        <v>dpc703_5_4</v>
      </c>
      <c r="AO345" s="311">
        <f ca="1">O345</f>
        <v>0</v>
      </c>
      <c r="AP345" s="311" t="str">
        <f>SUBSTITUTE(SUBSTITUTE(SUBSTITUTE("dch"&amp;$B345&amp;$C345&amp;$D345&amp;$E345&amp;$F345,".","_"),"(","_"),")","")</f>
        <v>dch703_5_4</v>
      </c>
      <c r="AQ345" s="311">
        <f>W345</f>
        <v>0</v>
      </c>
      <c r="AR345" s="311" t="str">
        <f t="shared" ref="AR345:AR346" si="32">SUBSTITUTE(SUBSTITUTE(SUBSTITUTE("dnt"&amp;$B345&amp;$C345&amp;$D345&amp;$E345&amp;$F345,".","_"),"(","_"),")","")</f>
        <v>dnt703_5_4</v>
      </c>
      <c r="AS345" s="311">
        <f>X345</f>
        <v>0</v>
      </c>
    </row>
    <row r="346" spans="1:49" x14ac:dyDescent="0.3">
      <c r="B346" s="938" t="s">
        <v>1130</v>
      </c>
      <c r="C346" s="93"/>
      <c r="D346" s="21"/>
      <c r="E346" s="21"/>
      <c r="F346" s="21"/>
      <c r="G346" s="21"/>
      <c r="H346" s="1084"/>
      <c r="I346" s="630" t="s">
        <v>1130</v>
      </c>
      <c r="J346" s="557"/>
      <c r="K346" s="557"/>
      <c r="L346" s="1364" t="s">
        <v>4106</v>
      </c>
      <c r="M346" s="550"/>
      <c r="N346" s="216"/>
      <c r="O346" s="1324">
        <f ca="1">IFERROR(INDEX(M349:M353,MATCH(W347,{1.3,1.51,1.81,2.31,3.01},1)),0)*S347</f>
        <v>0</v>
      </c>
      <c r="P346" s="218"/>
      <c r="Q346" s="218"/>
      <c r="R346" s="218"/>
      <c r="S346" s="218"/>
      <c r="T346" s="218"/>
      <c r="U346" s="218"/>
      <c r="V346" s="218"/>
      <c r="W346" s="218" t="s">
        <v>3885</v>
      </c>
      <c r="X346" s="1295"/>
      <c r="AN346" s="311" t="str">
        <f t="shared" si="31"/>
        <v>dpc703_5_5</v>
      </c>
      <c r="AO346" s="311">
        <f ca="1">O346</f>
        <v>0</v>
      </c>
      <c r="AR346" s="311" t="str">
        <f t="shared" si="32"/>
        <v>dnt703_5_5</v>
      </c>
      <c r="AS346" s="311">
        <f>X346</f>
        <v>0</v>
      </c>
    </row>
    <row r="347" spans="1:49" x14ac:dyDescent="0.3">
      <c r="B347" s="938" t="s">
        <v>1130</v>
      </c>
      <c r="C347" s="93"/>
      <c r="D347" s="21"/>
      <c r="E347" s="21"/>
      <c r="F347" s="21"/>
      <c r="G347" s="21"/>
      <c r="H347" s="1084"/>
      <c r="I347" s="140"/>
      <c r="J347" s="544"/>
      <c r="K347" s="544"/>
      <c r="L347" s="1313"/>
      <c r="M347" s="548"/>
      <c r="N347" s="140"/>
      <c r="O347" s="1308"/>
      <c r="P347" s="97" t="b">
        <v>1</v>
      </c>
      <c r="Q347" s="97" t="b">
        <v>1</v>
      </c>
      <c r="R347" s="97" t="b">
        <v>0</v>
      </c>
      <c r="S347" s="97" t="b">
        <f ca="1">AND(S13=2,LEN(W324)=0,LEN(W326)=0)</f>
        <v>0</v>
      </c>
      <c r="T347" s="97" t="b">
        <f ca="1">AND(NOT(S347),LEN(W347)&gt;0)</f>
        <v>0</v>
      </c>
      <c r="U347" s="97"/>
      <c r="V347" s="97"/>
      <c r="W347" s="478"/>
      <c r="X347" s="1295"/>
      <c r="AC347" s="511" t="b">
        <f ca="1">OR(AD347:AE347)</f>
        <v>0</v>
      </c>
      <c r="AD347" s="511" t="b">
        <f ca="1">T347</f>
        <v>0</v>
      </c>
      <c r="AE347" s="511" t="b">
        <f>AND(R347,OR(W347="Not Met",W347=""))</f>
        <v>0</v>
      </c>
      <c r="AP347" s="311" t="str">
        <f>SUBSTITUTE(SUBSTITUTE(SUBSTITUTE("dch"&amp;$B347&amp;$C347&amp;$D347&amp;$E347&amp;$F347,".","_"),"(","_"),")","")</f>
        <v>dch703_5_5</v>
      </c>
      <c r="AQ347" s="311">
        <f>W347</f>
        <v>0</v>
      </c>
    </row>
    <row r="348" spans="1:49" x14ac:dyDescent="0.3">
      <c r="B348" s="938" t="s">
        <v>1130</v>
      </c>
      <c r="C348" s="93"/>
      <c r="D348" s="21"/>
      <c r="E348" s="21"/>
      <c r="F348" s="21"/>
      <c r="G348" s="21"/>
      <c r="H348" s="1084"/>
      <c r="I348" s="140"/>
      <c r="J348" s="544"/>
      <c r="K348" s="544"/>
      <c r="L348" s="1313"/>
      <c r="M348" s="548"/>
      <c r="N348" s="140"/>
      <c r="O348" s="1308"/>
      <c r="P348" s="97"/>
      <c r="Q348" s="97"/>
      <c r="R348" s="97"/>
      <c r="S348" s="97"/>
      <c r="T348" s="97"/>
      <c r="U348" s="97"/>
      <c r="V348" s="97"/>
      <c r="W348" s="97"/>
      <c r="X348" s="1295"/>
    </row>
    <row r="349" spans="1:49" s="474" customFormat="1" x14ac:dyDescent="0.3">
      <c r="A349" s="18"/>
      <c r="B349" s="938" t="s">
        <v>1130</v>
      </c>
      <c r="C349" s="93"/>
      <c r="D349" s="21" t="s">
        <v>271</v>
      </c>
      <c r="E349" s="21"/>
      <c r="F349" s="21"/>
      <c r="G349" s="21"/>
      <c r="H349" s="1084"/>
      <c r="I349" s="140"/>
      <c r="J349" s="97"/>
      <c r="K349" s="544"/>
      <c r="L349" s="652" t="s">
        <v>3902</v>
      </c>
      <c r="M349" s="640">
        <f>IFERROR(INDEX({1,2,3,5,7,8,7,7},BF16),0)</f>
        <v>5</v>
      </c>
      <c r="N349" s="140"/>
      <c r="O349" s="598"/>
      <c r="P349" s="97"/>
      <c r="Q349" s="97"/>
      <c r="R349" s="97"/>
      <c r="S349" s="97"/>
      <c r="T349" s="97"/>
      <c r="U349" s="97"/>
      <c r="V349" s="97"/>
      <c r="W349" s="97"/>
      <c r="X349" s="1295"/>
      <c r="Y349" s="1107"/>
      <c r="AA349" s="1110"/>
      <c r="AL349" s="311" t="str">
        <f t="shared" ref="AL349:AL353" si="33">SUBSTITUTE(SUBSTITUTE(SUBSTITUTE("dpa"&amp;$B349&amp;$C349&amp;$D349&amp;$E349&amp;$F349,".","_"),"(","_"),")","")</f>
        <v>dpa703_5_5_1</v>
      </c>
      <c r="AM349" s="311">
        <f t="shared" ref="AM349:AM353" si="34">M349</f>
        <v>5</v>
      </c>
    </row>
    <row r="350" spans="1:49" s="474" customFormat="1" x14ac:dyDescent="0.3">
      <c r="A350" s="18"/>
      <c r="B350" s="938" t="s">
        <v>1130</v>
      </c>
      <c r="C350" s="93"/>
      <c r="D350" s="21" t="s">
        <v>273</v>
      </c>
      <c r="E350" s="21"/>
      <c r="F350" s="21"/>
      <c r="G350" s="21"/>
      <c r="H350" s="1084"/>
      <c r="I350" s="140"/>
      <c r="J350" s="97"/>
      <c r="K350" s="544"/>
      <c r="L350" s="653" t="s">
        <v>3903</v>
      </c>
      <c r="M350" s="654">
        <f>IFERROR(INDEX({2,2,4,7,10,11,11,11},BF16),0)</f>
        <v>7</v>
      </c>
      <c r="N350" s="140"/>
      <c r="O350" s="598"/>
      <c r="P350" s="97"/>
      <c r="Q350" s="97"/>
      <c r="R350" s="97"/>
      <c r="S350" s="97"/>
      <c r="T350" s="97"/>
      <c r="U350" s="97"/>
      <c r="V350" s="97"/>
      <c r="W350" s="97"/>
      <c r="X350" s="1295"/>
      <c r="Y350" s="1107"/>
      <c r="AA350" s="1110"/>
      <c r="AL350" s="311" t="str">
        <f t="shared" si="33"/>
        <v>dpa703_5_5_2</v>
      </c>
      <c r="AM350" s="311">
        <f t="shared" si="34"/>
        <v>7</v>
      </c>
    </row>
    <row r="351" spans="1:49" s="474" customFormat="1" x14ac:dyDescent="0.3">
      <c r="A351" s="18"/>
      <c r="B351" s="938" t="s">
        <v>1130</v>
      </c>
      <c r="C351" s="93"/>
      <c r="D351" s="21" t="s">
        <v>275</v>
      </c>
      <c r="E351" s="21"/>
      <c r="F351" s="21"/>
      <c r="G351" s="21"/>
      <c r="H351" s="1084"/>
      <c r="I351" s="140"/>
      <c r="J351" s="97"/>
      <c r="K351" s="544"/>
      <c r="L351" s="653" t="s">
        <v>3904</v>
      </c>
      <c r="M351" s="654">
        <f>IFERROR(INDEX({2,3,6,10,14,16,15,15},BF16),0)</f>
        <v>10</v>
      </c>
      <c r="N351" s="140"/>
      <c r="O351" s="598"/>
      <c r="P351" s="97"/>
      <c r="Q351" s="97"/>
      <c r="R351" s="97"/>
      <c r="S351" s="97"/>
      <c r="T351" s="97"/>
      <c r="U351" s="97"/>
      <c r="V351" s="97"/>
      <c r="W351" s="97"/>
      <c r="X351" s="1295"/>
      <c r="Y351" s="1107"/>
      <c r="AA351" s="1110"/>
      <c r="AL351" s="311" t="str">
        <f t="shared" si="33"/>
        <v>dpa703_5_5_3</v>
      </c>
      <c r="AM351" s="311">
        <f t="shared" si="34"/>
        <v>10</v>
      </c>
    </row>
    <row r="352" spans="1:49" s="474" customFormat="1" x14ac:dyDescent="0.3">
      <c r="A352" s="18"/>
      <c r="B352" s="938" t="s">
        <v>1130</v>
      </c>
      <c r="C352" s="93"/>
      <c r="D352" s="21" t="s">
        <v>285</v>
      </c>
      <c r="E352" s="21"/>
      <c r="F352" s="21"/>
      <c r="G352" s="21"/>
      <c r="H352" s="1084"/>
      <c r="I352" s="140"/>
      <c r="J352" s="97"/>
      <c r="K352" s="544"/>
      <c r="L352" s="653" t="s">
        <v>3905</v>
      </c>
      <c r="M352" s="654">
        <f>IFERROR(INDEX({4,5,9,16,21,23,22,22},BF16),0)</f>
        <v>16</v>
      </c>
      <c r="N352" s="140"/>
      <c r="O352" s="598"/>
      <c r="P352" s="97"/>
      <c r="Q352" s="97"/>
      <c r="R352" s="97"/>
      <c r="S352" s="97"/>
      <c r="T352" s="97"/>
      <c r="U352" s="97"/>
      <c r="V352" s="97"/>
      <c r="W352" s="97"/>
      <c r="X352" s="1295"/>
      <c r="Y352" s="1107"/>
      <c r="AA352" s="1110"/>
      <c r="AL352" s="311" t="str">
        <f t="shared" si="33"/>
        <v>dpa703_5_5_4</v>
      </c>
      <c r="AM352" s="311">
        <f t="shared" si="34"/>
        <v>16</v>
      </c>
    </row>
    <row r="353" spans="1:49" s="474" customFormat="1" ht="15" thickBot="1" x14ac:dyDescent="0.35">
      <c r="A353" s="18"/>
      <c r="B353" s="938" t="s">
        <v>1130</v>
      </c>
      <c r="C353" s="93"/>
      <c r="D353" s="21" t="s">
        <v>291</v>
      </c>
      <c r="E353" s="21"/>
      <c r="F353" s="21"/>
      <c r="G353" s="21"/>
      <c r="H353" s="1084"/>
      <c r="I353" s="270"/>
      <c r="J353" s="104"/>
      <c r="K353" s="558"/>
      <c r="L353" s="641" t="s">
        <v>3906</v>
      </c>
      <c r="M353" s="642">
        <f>IFERROR(INDEX({6,8,12,23,30,34,33,33},BF16),0)</f>
        <v>23</v>
      </c>
      <c r="N353" s="270"/>
      <c r="O353" s="600"/>
      <c r="P353" s="104"/>
      <c r="Q353" s="104"/>
      <c r="R353" s="104"/>
      <c r="S353" s="104"/>
      <c r="T353" s="104"/>
      <c r="U353" s="104"/>
      <c r="V353" s="104"/>
      <c r="W353" s="104"/>
      <c r="X353" s="1296"/>
      <c r="Y353" s="1107"/>
      <c r="AA353" s="1110"/>
      <c r="AL353" s="311" t="str">
        <f t="shared" si="33"/>
        <v>dpa703_5_5_5</v>
      </c>
      <c r="AM353" s="311">
        <f t="shared" si="34"/>
        <v>23</v>
      </c>
    </row>
    <row r="354" spans="1:49" ht="15" thickTop="1" x14ac:dyDescent="0.3">
      <c r="B354" s="938">
        <v>703.6</v>
      </c>
      <c r="C354" s="93"/>
      <c r="D354" s="21"/>
      <c r="E354" s="21"/>
      <c r="F354" s="21"/>
      <c r="G354" s="21"/>
      <c r="H354" s="1084"/>
      <c r="I354" s="66">
        <v>703.6</v>
      </c>
      <c r="J354" s="178"/>
      <c r="K354" s="178"/>
      <c r="L354" s="184" t="s">
        <v>1131</v>
      </c>
      <c r="M354" s="522"/>
      <c r="N354" s="4"/>
      <c r="O354" s="154"/>
      <c r="P354"/>
      <c r="Q354"/>
      <c r="R354"/>
      <c r="S354"/>
      <c r="T354"/>
      <c r="U354"/>
      <c r="V354"/>
      <c r="W354"/>
      <c r="X354"/>
    </row>
    <row r="355" spans="1:49" s="175" customFormat="1" x14ac:dyDescent="0.3">
      <c r="A355" s="18"/>
      <c r="B355" s="938" t="s">
        <v>1132</v>
      </c>
      <c r="C355" s="93"/>
      <c r="D355" s="21"/>
      <c r="E355" s="21"/>
      <c r="F355" s="21"/>
      <c r="G355" s="21"/>
      <c r="H355" s="1084"/>
      <c r="I355" s="66" t="s">
        <v>1132</v>
      </c>
      <c r="J355" s="178"/>
      <c r="K355" s="178"/>
      <c r="L355" s="1389" t="s">
        <v>1133</v>
      </c>
      <c r="M355" s="522"/>
      <c r="N355" s="4"/>
      <c r="O355" s="154"/>
      <c r="P355"/>
      <c r="Q355"/>
      <c r="R355" s="145"/>
      <c r="S355" s="150"/>
      <c r="T355" s="145"/>
      <c r="U355"/>
      <c r="V355"/>
      <c r="W355"/>
      <c r="X355"/>
      <c r="Y355" s="1107"/>
      <c r="Z355" s="79"/>
      <c r="AA355" s="1110"/>
      <c r="AB355" s="79"/>
      <c r="AC355" s="79"/>
      <c r="AD355" s="79"/>
      <c r="AE355" s="79"/>
      <c r="AF355" s="79"/>
      <c r="AG355" s="79"/>
      <c r="AH355" s="79"/>
      <c r="AI355" s="79"/>
      <c r="AJ355" s="79"/>
      <c r="AK355" s="79"/>
      <c r="AL355" s="79"/>
      <c r="AM355" s="79"/>
      <c r="AN355" s="79"/>
      <c r="AO355" s="79"/>
      <c r="AP355" s="79"/>
      <c r="AQ355" s="79"/>
      <c r="AR355" s="79"/>
      <c r="AS355" s="79"/>
      <c r="AT355" s="79"/>
      <c r="AU355" s="79"/>
      <c r="AV355" s="79"/>
      <c r="AW355" s="79"/>
    </row>
    <row r="356" spans="1:49" x14ac:dyDescent="0.3">
      <c r="B356" s="938" t="s">
        <v>1132</v>
      </c>
      <c r="C356" s="93"/>
      <c r="D356" s="21"/>
      <c r="E356" s="21"/>
      <c r="F356" s="21"/>
      <c r="G356" s="21"/>
      <c r="H356" s="1084"/>
      <c r="I356" s="66"/>
      <c r="J356" s="178"/>
      <c r="K356" s="178"/>
      <c r="L356" s="1389"/>
      <c r="M356" s="522"/>
      <c r="N356" s="4"/>
      <c r="O356" s="154"/>
      <c r="P356" s="175"/>
      <c r="Q356" s="175"/>
      <c r="R356" s="175"/>
      <c r="S356" s="175"/>
      <c r="T356" s="175"/>
      <c r="U356" s="175"/>
      <c r="V356" s="175"/>
      <c r="W356" s="175"/>
      <c r="X356" s="175"/>
      <c r="Z356" s="175"/>
      <c r="AB356" s="175"/>
      <c r="AC356" s="175"/>
      <c r="AD356" s="175"/>
      <c r="AE356" s="175"/>
      <c r="AF356" s="175"/>
      <c r="AG356" s="175"/>
      <c r="AH356" s="175"/>
      <c r="AI356" s="175"/>
      <c r="AJ356" s="175"/>
      <c r="AK356" s="175"/>
      <c r="AL356" s="175"/>
      <c r="AM356" s="175"/>
      <c r="AN356" s="175"/>
      <c r="AO356" s="175"/>
      <c r="AP356" s="175"/>
      <c r="AQ356" s="175"/>
      <c r="AR356" s="175"/>
      <c r="AS356" s="175"/>
      <c r="AT356" s="175"/>
      <c r="AU356" s="175"/>
      <c r="AV356" s="175"/>
      <c r="AW356" s="175"/>
    </row>
    <row r="357" spans="1:49" x14ac:dyDescent="0.3">
      <c r="B357" s="938" t="s">
        <v>1132</v>
      </c>
      <c r="C357" s="93"/>
      <c r="D357" s="21" t="s">
        <v>271</v>
      </c>
      <c r="E357" s="21"/>
      <c r="F357" s="21"/>
      <c r="G357" s="21"/>
      <c r="H357" s="1084"/>
      <c r="I357" s="4"/>
      <c r="J357" s="614" t="s">
        <v>271</v>
      </c>
      <c r="K357" s="544"/>
      <c r="L357" s="1374" t="s">
        <v>3883</v>
      </c>
      <c r="M357" s="1318">
        <f>IFERROR(INDEX({3,3,3,2,2,2,2,2},BF16),0)</f>
        <v>2</v>
      </c>
      <c r="N357" s="140"/>
      <c r="O357" s="1308">
        <f ca="1">M357*S357*W357</f>
        <v>0</v>
      </c>
      <c r="P357" s="97" t="b">
        <v>0</v>
      </c>
      <c r="Q357" s="97" t="b">
        <v>1</v>
      </c>
      <c r="R357" s="145" t="b">
        <v>0</v>
      </c>
      <c r="S357" s="150" t="b">
        <f ca="1">AND(S13=2,NOT(W361),NOT(W359))</f>
        <v>0</v>
      </c>
      <c r="T357" s="97" t="b">
        <f ca="1">AND(NOT(S357),W357=TRUE)</f>
        <v>0</v>
      </c>
      <c r="U357"/>
      <c r="V357"/>
      <c r="W357" s="25"/>
      <c r="X357" s="1303"/>
      <c r="AC357" s="471" t="b">
        <f ca="1">OR(AD357:AE357)</f>
        <v>0</v>
      </c>
      <c r="AD357" s="471" t="b">
        <f ca="1">T357</f>
        <v>0</v>
      </c>
      <c r="AE357" s="471" t="b">
        <f>AND(R357,NOT(W357))</f>
        <v>0</v>
      </c>
      <c r="AL357" s="311" t="str">
        <f>SUBSTITUTE(SUBSTITUTE(SUBSTITUTE("dpa"&amp;$B357&amp;$C357&amp;$D357&amp;$E357&amp;$F357,".","_"),"(","_"),")","")</f>
        <v>dpa703_6_1_1</v>
      </c>
      <c r="AM357" s="311">
        <f>M357</f>
        <v>2</v>
      </c>
      <c r="AN357" s="311" t="str">
        <f>SUBSTITUTE(SUBSTITUTE(SUBSTITUTE("dpc"&amp;$B357&amp;$C357&amp;$D357&amp;$E357&amp;$F357,".","_"),"(","_"),")","")</f>
        <v>dpc703_6_1_1</v>
      </c>
      <c r="AO357" s="311">
        <f ca="1">O357</f>
        <v>0</v>
      </c>
      <c r="AP357" s="311" t="str">
        <f>SUBSTITUTE(SUBSTITUTE(SUBSTITUTE("dch"&amp;$B357&amp;$C357&amp;$D357&amp;$E357&amp;$F357,".","_"),"(","_"),")","")</f>
        <v>dch703_6_1_1</v>
      </c>
      <c r="AQ357" s="311">
        <f>W357</f>
        <v>0</v>
      </c>
      <c r="AR357" s="311" t="str">
        <f>SUBSTITUTE(SUBSTITUTE(SUBSTITUTE("dnt"&amp;$B357&amp;$C357&amp;$D357&amp;$E357&amp;$F357,".","_"),"(","_"),")","")</f>
        <v>dnt703_6_1_1</v>
      </c>
      <c r="AS357" s="311">
        <f>X357</f>
        <v>0</v>
      </c>
    </row>
    <row r="358" spans="1:49" x14ac:dyDescent="0.3">
      <c r="B358" s="938" t="s">
        <v>1132</v>
      </c>
      <c r="C358" s="93"/>
      <c r="D358" s="21" t="s">
        <v>271</v>
      </c>
      <c r="E358" s="21"/>
      <c r="F358" s="21"/>
      <c r="G358" s="21"/>
      <c r="H358" s="1084"/>
      <c r="I358" s="4"/>
      <c r="J358" s="626"/>
      <c r="K358" s="545"/>
      <c r="L358" s="1392"/>
      <c r="M358" s="1319"/>
      <c r="N358" s="238"/>
      <c r="O358" s="1309"/>
      <c r="P358"/>
      <c r="Q358"/>
      <c r="R358"/>
      <c r="S358"/>
      <c r="T358"/>
      <c r="U358"/>
      <c r="V358"/>
      <c r="W358"/>
      <c r="X358" s="1303"/>
    </row>
    <row r="359" spans="1:49" x14ac:dyDescent="0.3">
      <c r="B359" s="938" t="s">
        <v>1132</v>
      </c>
      <c r="C359" s="93"/>
      <c r="D359" s="21" t="s">
        <v>273</v>
      </c>
      <c r="E359" s="21"/>
      <c r="F359" s="21"/>
      <c r="G359" s="21"/>
      <c r="H359" s="1084"/>
      <c r="I359" s="4"/>
      <c r="J359" s="649" t="s">
        <v>273</v>
      </c>
      <c r="K359" s="557"/>
      <c r="L359" s="1356" t="s">
        <v>1134</v>
      </c>
      <c r="M359" s="1323">
        <v>1</v>
      </c>
      <c r="N359" s="216"/>
      <c r="O359" s="1324">
        <f ca="1">M359*S359*W359</f>
        <v>0</v>
      </c>
      <c r="P359" s="97" t="b">
        <v>0</v>
      </c>
      <c r="Q359" s="97" t="b">
        <v>1</v>
      </c>
      <c r="R359" s="145" t="b">
        <v>0</v>
      </c>
      <c r="S359" s="150" t="b">
        <f ca="1">AND(S13=2,NOT(W361),NOT(W357))</f>
        <v>0</v>
      </c>
      <c r="T359" s="97" t="b">
        <f ca="1">AND(NOT(S359),W359=TRUE)</f>
        <v>0</v>
      </c>
      <c r="U359"/>
      <c r="V359"/>
      <c r="W359" s="25"/>
      <c r="X359" s="1303"/>
      <c r="AC359" s="471" t="b">
        <f ca="1">OR(AD359:AE359)</f>
        <v>0</v>
      </c>
      <c r="AD359" s="471" t="b">
        <f ca="1">T359</f>
        <v>0</v>
      </c>
      <c r="AE359" s="471" t="b">
        <f>AND(R359,NOT(W359))</f>
        <v>0</v>
      </c>
      <c r="AL359" s="311" t="str">
        <f>SUBSTITUTE(SUBSTITUTE(SUBSTITUTE("dpa"&amp;$B359&amp;$C359&amp;$D359&amp;$E359&amp;$F359,".","_"),"(","_"),")","")</f>
        <v>dpa703_6_1_2</v>
      </c>
      <c r="AM359" s="311">
        <f>M359</f>
        <v>1</v>
      </c>
      <c r="AN359" s="311" t="str">
        <f>SUBSTITUTE(SUBSTITUTE(SUBSTITUTE("dpc"&amp;$B359&amp;$C359&amp;$D359&amp;$E359&amp;$F359,".","_"),"(","_"),")","")</f>
        <v>dpc703_6_1_2</v>
      </c>
      <c r="AO359" s="311">
        <f ca="1">O359</f>
        <v>0</v>
      </c>
      <c r="AP359" s="311" t="str">
        <f>SUBSTITUTE(SUBSTITUTE(SUBSTITUTE("dch"&amp;$B359&amp;$C359&amp;$D359&amp;$E359&amp;$F359,".","_"),"(","_"),")","")</f>
        <v>dch703_6_1_2</v>
      </c>
      <c r="AQ359" s="311">
        <f>W359</f>
        <v>0</v>
      </c>
      <c r="AR359" s="311" t="str">
        <f>SUBSTITUTE(SUBSTITUTE(SUBSTITUTE("dnt"&amp;$B359&amp;$C359&amp;$D359&amp;$E359&amp;$F359,".","_"),"(","_"),")","")</f>
        <v>dnt703_6_1_2</v>
      </c>
      <c r="AS359" s="311">
        <f>X359</f>
        <v>0</v>
      </c>
    </row>
    <row r="360" spans="1:49" x14ac:dyDescent="0.3">
      <c r="B360" s="938" t="s">
        <v>1132</v>
      </c>
      <c r="C360" s="93"/>
      <c r="D360" s="21" t="s">
        <v>273</v>
      </c>
      <c r="E360" s="21"/>
      <c r="F360" s="21"/>
      <c r="G360" s="21"/>
      <c r="H360" s="1084"/>
      <c r="I360" s="4"/>
      <c r="J360" s="545"/>
      <c r="K360" s="545"/>
      <c r="L360" s="1306"/>
      <c r="M360" s="1319"/>
      <c r="N360" s="238"/>
      <c r="O360" s="1309"/>
      <c r="P360"/>
      <c r="Q360"/>
      <c r="R360"/>
      <c r="S360"/>
      <c r="T360"/>
      <c r="U360"/>
      <c r="V360"/>
      <c r="W360"/>
      <c r="X360" s="1303"/>
    </row>
    <row r="361" spans="1:49" x14ac:dyDescent="0.3">
      <c r="B361" s="938" t="s">
        <v>1132</v>
      </c>
      <c r="C361" s="93"/>
      <c r="D361" s="21" t="s">
        <v>275</v>
      </c>
      <c r="E361" s="21"/>
      <c r="F361" s="21"/>
      <c r="G361" s="21"/>
      <c r="H361" s="1084"/>
      <c r="I361" s="140"/>
      <c r="J361" s="614" t="s">
        <v>275</v>
      </c>
      <c r="K361" s="544"/>
      <c r="L361" s="1305" t="s">
        <v>1135</v>
      </c>
      <c r="M361" s="1318">
        <v>7</v>
      </c>
      <c r="N361" s="140"/>
      <c r="O361" s="1308">
        <f ca="1">M361*S361*W361</f>
        <v>0</v>
      </c>
      <c r="P361" s="97" t="b">
        <v>0</v>
      </c>
      <c r="Q361" s="97" t="b">
        <v>1</v>
      </c>
      <c r="R361" s="97" t="b">
        <v>0</v>
      </c>
      <c r="S361" s="97" t="b">
        <f ca="1">AND(S13=2,IF($AY$19=INDEX(ddSingleOrMulti,2),TRUE,FALSE),NOT(W359),NOT(W357))</f>
        <v>0</v>
      </c>
      <c r="T361" s="97" t="b">
        <f ca="1">AND(NOT(S361),W361=TRUE)</f>
        <v>0</v>
      </c>
      <c r="U361" s="97"/>
      <c r="V361" s="97"/>
      <c r="W361" s="452"/>
      <c r="X361" s="1295"/>
      <c r="AC361" s="471" t="b">
        <f ca="1">OR(AD361:AE361)</f>
        <v>0</v>
      </c>
      <c r="AD361" s="471" t="b">
        <f ca="1">T361</f>
        <v>0</v>
      </c>
      <c r="AE361" s="471" t="b">
        <f>AND(R361,NOT(W361))</f>
        <v>0</v>
      </c>
      <c r="AL361" s="311" t="str">
        <f>SUBSTITUTE(SUBSTITUTE(SUBSTITUTE("dpa"&amp;$B361&amp;$C361&amp;$D361&amp;$E361&amp;$F361,".","_"),"(","_"),")","")</f>
        <v>dpa703_6_1_3</v>
      </c>
      <c r="AM361" s="311">
        <f>M361</f>
        <v>7</v>
      </c>
      <c r="AN361" s="311" t="str">
        <f>SUBSTITUTE(SUBSTITUTE(SUBSTITUTE("dpc"&amp;$B361&amp;$C361&amp;$D361&amp;$E361&amp;$F361,".","_"),"(","_"),")","")</f>
        <v>dpc703_6_1_3</v>
      </c>
      <c r="AO361" s="311">
        <f ca="1">O361</f>
        <v>0</v>
      </c>
      <c r="AP361" s="311" t="str">
        <f>SUBSTITUTE(SUBSTITUTE(SUBSTITUTE("dch"&amp;$B361&amp;$C361&amp;$D361&amp;$E361&amp;$F361,".","_"),"(","_"),")","")</f>
        <v>dch703_6_1_3</v>
      </c>
      <c r="AQ361" s="311">
        <f>W361</f>
        <v>0</v>
      </c>
      <c r="AR361" s="311" t="str">
        <f>SUBSTITUTE(SUBSTITUTE(SUBSTITUTE("dnt"&amp;$B361&amp;$C361&amp;$D361&amp;$E361&amp;$F361,".","_"),"(","_"),")","")</f>
        <v>dnt703_6_1_3</v>
      </c>
      <c r="AS361" s="311">
        <f>X361</f>
        <v>0</v>
      </c>
    </row>
    <row r="362" spans="1:49" x14ac:dyDescent="0.3">
      <c r="B362" s="938" t="s">
        <v>1132</v>
      </c>
      <c r="C362" s="93"/>
      <c r="D362" s="21" t="s">
        <v>275</v>
      </c>
      <c r="E362" s="21"/>
      <c r="F362" s="21"/>
      <c r="G362" s="21"/>
      <c r="H362" s="1084"/>
      <c r="I362" s="238"/>
      <c r="J362" s="545"/>
      <c r="K362" s="545"/>
      <c r="L362" s="1306"/>
      <c r="M362" s="1319"/>
      <c r="N362" s="238"/>
      <c r="O362" s="1309"/>
      <c r="P362" s="196"/>
      <c r="Q362" s="196"/>
      <c r="R362" s="196"/>
      <c r="S362" s="196"/>
      <c r="T362" s="196"/>
      <c r="U362" s="196"/>
      <c r="V362" s="196"/>
      <c r="W362" s="196"/>
      <c r="X362" s="1295"/>
    </row>
    <row r="363" spans="1:49" x14ac:dyDescent="0.3">
      <c r="B363" s="938" t="s">
        <v>1136</v>
      </c>
      <c r="C363" s="93"/>
      <c r="D363" s="21"/>
      <c r="E363" s="21"/>
      <c r="F363" s="21"/>
      <c r="G363" s="21"/>
      <c r="H363" s="1084"/>
      <c r="I363" s="68" t="s">
        <v>1136</v>
      </c>
      <c r="J363" s="178"/>
      <c r="K363" s="178"/>
      <c r="L363" s="184" t="s">
        <v>1137</v>
      </c>
      <c r="M363" s="522"/>
      <c r="N363" s="4"/>
      <c r="O363" s="154"/>
      <c r="P363"/>
      <c r="Q363"/>
      <c r="R363"/>
      <c r="S363"/>
      <c r="T363"/>
      <c r="U363"/>
      <c r="V363"/>
      <c r="W363"/>
      <c r="X363"/>
    </row>
    <row r="364" spans="1:49" x14ac:dyDescent="0.3">
      <c r="B364" s="938" t="s">
        <v>1136</v>
      </c>
      <c r="C364" s="93"/>
      <c r="D364" s="21" t="s">
        <v>271</v>
      </c>
      <c r="E364" s="21"/>
      <c r="F364" s="21"/>
      <c r="G364" s="21"/>
      <c r="H364" s="1084"/>
      <c r="I364" s="4"/>
      <c r="J364" s="626" t="s">
        <v>271</v>
      </c>
      <c r="K364" s="545"/>
      <c r="L364" s="652" t="s">
        <v>1138</v>
      </c>
      <c r="M364" s="549">
        <v>1</v>
      </c>
      <c r="N364" s="238"/>
      <c r="O364" s="599">
        <f ca="1">M364*S364*W364</f>
        <v>0</v>
      </c>
      <c r="P364" s="97" t="b">
        <v>0</v>
      </c>
      <c r="Q364" s="97" t="b">
        <v>1</v>
      </c>
      <c r="R364" s="145" t="b">
        <v>0</v>
      </c>
      <c r="S364" s="150" t="b">
        <f ca="1">(S13=2)</f>
        <v>0</v>
      </c>
      <c r="T364" s="97" t="b">
        <f ca="1">AND(NOT(S364),W364=TRUE)</f>
        <v>0</v>
      </c>
      <c r="U364"/>
      <c r="V364"/>
      <c r="W364" s="25"/>
      <c r="X364" s="512"/>
      <c r="AC364" s="471" t="b">
        <f ca="1">OR(AD364:AE364)</f>
        <v>0</v>
      </c>
      <c r="AD364" s="471" t="b">
        <f ca="1">T364</f>
        <v>0</v>
      </c>
      <c r="AE364" s="471" t="b">
        <f>AND(R364,NOT(W364))</f>
        <v>0</v>
      </c>
      <c r="AL364" s="311" t="str">
        <f t="shared" ref="AL364:AL366" si="35">SUBSTITUTE(SUBSTITUTE(SUBSTITUTE("dpa"&amp;$B364&amp;$C364&amp;$D364&amp;$E364&amp;$F364,".","_"),"(","_"),")","")</f>
        <v>dpa703_6_2 _1</v>
      </c>
      <c r="AM364" s="311">
        <f>M364</f>
        <v>1</v>
      </c>
      <c r="AN364" s="311" t="str">
        <f>SUBSTITUTE(SUBSTITUTE(SUBSTITUTE("dpc"&amp;$B364&amp;$C364&amp;$D364&amp;$E364&amp;$F364,".","_"),"(","_"),")","")</f>
        <v>dpc703_6_2 _1</v>
      </c>
      <c r="AO364" s="311">
        <f ca="1">O364</f>
        <v>0</v>
      </c>
      <c r="AP364" s="311" t="str">
        <f t="shared" ref="AP364:AP366" si="36">SUBSTITUTE(SUBSTITUTE(SUBSTITUTE("dch"&amp;$B364&amp;$C364&amp;$D364&amp;$E364&amp;$F364,".","_"),"(","_"),")","")</f>
        <v>dch703_6_2 _1</v>
      </c>
      <c r="AQ364" s="311">
        <f>W364</f>
        <v>0</v>
      </c>
      <c r="AR364" s="311" t="str">
        <f t="shared" ref="AR364:AR366" si="37">SUBSTITUTE(SUBSTITUTE(SUBSTITUTE("dnt"&amp;$B364&amp;$C364&amp;$D364&amp;$E364&amp;$F364,".","_"),"(","_"),")","")</f>
        <v>dnt703_6_2 _1</v>
      </c>
      <c r="AS364" s="311">
        <f>X364</f>
        <v>0</v>
      </c>
    </row>
    <row r="365" spans="1:49" x14ac:dyDescent="0.3">
      <c r="B365" s="938" t="s">
        <v>1136</v>
      </c>
      <c r="C365" s="93"/>
      <c r="D365" s="21" t="s">
        <v>273</v>
      </c>
      <c r="E365" s="21"/>
      <c r="F365" s="21"/>
      <c r="G365" s="21"/>
      <c r="H365" s="1084"/>
      <c r="I365" s="4"/>
      <c r="J365" s="650" t="s">
        <v>273</v>
      </c>
      <c r="K365" s="365"/>
      <c r="L365" s="365" t="s">
        <v>1139</v>
      </c>
      <c r="M365" s="571">
        <v>1</v>
      </c>
      <c r="N365" s="274"/>
      <c r="O365" s="570">
        <f ca="1">M365*S365*W365</f>
        <v>0</v>
      </c>
      <c r="P365" s="97" t="b">
        <v>0</v>
      </c>
      <c r="Q365" s="97" t="b">
        <v>1</v>
      </c>
      <c r="R365" s="145" t="b">
        <v>0</v>
      </c>
      <c r="S365" s="150" t="b">
        <f ca="1">(S13=2)</f>
        <v>0</v>
      </c>
      <c r="T365" s="97" t="b">
        <f ca="1">AND(NOT(S365),W365=TRUE)</f>
        <v>0</v>
      </c>
      <c r="U365"/>
      <c r="V365"/>
      <c r="W365" s="25"/>
      <c r="X365" s="512"/>
      <c r="AC365" s="471" t="b">
        <f ca="1">OR(AD365:AE365)</f>
        <v>0</v>
      </c>
      <c r="AD365" s="471" t="b">
        <f ca="1">T365</f>
        <v>0</v>
      </c>
      <c r="AE365" s="471" t="b">
        <f>AND(R365,NOT(W365))</f>
        <v>0</v>
      </c>
      <c r="AL365" s="311" t="str">
        <f t="shared" si="35"/>
        <v>dpa703_6_2 _2</v>
      </c>
      <c r="AM365" s="311">
        <f>M365</f>
        <v>1</v>
      </c>
      <c r="AN365" s="311" t="str">
        <f>SUBSTITUTE(SUBSTITUTE(SUBSTITUTE("dpc"&amp;$B365&amp;$C365&amp;$D365&amp;$E365&amp;$F365,".","_"),"(","_"),")","")</f>
        <v>dpc703_6_2 _2</v>
      </c>
      <c r="AO365" s="311">
        <f ca="1">O365</f>
        <v>0</v>
      </c>
      <c r="AP365" s="311" t="str">
        <f t="shared" si="36"/>
        <v>dch703_6_2 _2</v>
      </c>
      <c r="AQ365" s="311">
        <f>W365</f>
        <v>0</v>
      </c>
      <c r="AR365" s="311" t="str">
        <f t="shared" si="37"/>
        <v>dnt703_6_2 _2</v>
      </c>
      <c r="AS365" s="311">
        <f>X365</f>
        <v>0</v>
      </c>
    </row>
    <row r="366" spans="1:49" x14ac:dyDescent="0.3">
      <c r="B366" s="938" t="s">
        <v>1136</v>
      </c>
      <c r="C366" s="93"/>
      <c r="D366" s="21" t="s">
        <v>275</v>
      </c>
      <c r="E366" s="21"/>
      <c r="F366" s="21"/>
      <c r="G366" s="21"/>
      <c r="H366" s="1084"/>
      <c r="I366" s="140"/>
      <c r="J366" s="614" t="s">
        <v>275</v>
      </c>
      <c r="K366" s="544"/>
      <c r="L366" s="544" t="s">
        <v>1140</v>
      </c>
      <c r="M366" s="548">
        <v>4</v>
      </c>
      <c r="N366" s="140"/>
      <c r="O366" s="598">
        <f ca="1">M366*S366*W366</f>
        <v>0</v>
      </c>
      <c r="P366" s="97" t="b">
        <v>0</v>
      </c>
      <c r="Q366" s="97" t="b">
        <v>1</v>
      </c>
      <c r="R366" s="97" t="b">
        <v>0</v>
      </c>
      <c r="S366" s="97" t="b">
        <f ca="1">(S13=2)</f>
        <v>0</v>
      </c>
      <c r="T366" s="97" t="b">
        <f ca="1">AND(NOT(S366),W366=TRUE)</f>
        <v>0</v>
      </c>
      <c r="U366" s="97"/>
      <c r="V366" s="97"/>
      <c r="W366" s="452"/>
      <c r="X366" s="1295"/>
      <c r="AC366" s="471" t="b">
        <f ca="1">OR(AD366:AE366)</f>
        <v>0</v>
      </c>
      <c r="AD366" s="471" t="b">
        <f ca="1">T366</f>
        <v>0</v>
      </c>
      <c r="AE366" s="471" t="b">
        <f>AND(R366,NOT(W366))</f>
        <v>0</v>
      </c>
      <c r="AL366" s="311" t="str">
        <f t="shared" si="35"/>
        <v>dpa703_6_2 _3</v>
      </c>
      <c r="AM366" s="311">
        <f>M366</f>
        <v>4</v>
      </c>
      <c r="AN366" s="311" t="str">
        <f>SUBSTITUTE(SUBSTITUTE(SUBSTITUTE("dpc"&amp;$B366&amp;$C366&amp;$D366&amp;$E366&amp;$F366,".","_"),"(","_"),")","")</f>
        <v>dpc703_6_2 _3</v>
      </c>
      <c r="AO366" s="311">
        <f ca="1">O366</f>
        <v>0</v>
      </c>
      <c r="AP366" s="311" t="str">
        <f t="shared" si="36"/>
        <v>dch703_6_2 _3</v>
      </c>
      <c r="AQ366" s="311">
        <f>W366</f>
        <v>0</v>
      </c>
      <c r="AR366" s="311" t="str">
        <f t="shared" si="37"/>
        <v>dnt703_6_2 _3</v>
      </c>
      <c r="AS366" s="311">
        <f>X366</f>
        <v>0</v>
      </c>
    </row>
    <row r="367" spans="1:49" s="471" customFormat="1" ht="15" thickBot="1" x14ac:dyDescent="0.35">
      <c r="A367" s="18"/>
      <c r="B367" s="938" t="s">
        <v>1136</v>
      </c>
      <c r="C367" s="93"/>
      <c r="D367" s="21" t="s">
        <v>275</v>
      </c>
      <c r="E367" s="21"/>
      <c r="F367" s="21"/>
      <c r="G367" s="21"/>
      <c r="H367" s="1084"/>
      <c r="I367" s="270"/>
      <c r="J367" s="615"/>
      <c r="K367" s="558"/>
      <c r="L367" s="561" t="s">
        <v>3878</v>
      </c>
      <c r="M367" s="556"/>
      <c r="N367" s="270"/>
      <c r="O367" s="600"/>
      <c r="P367" s="104"/>
      <c r="Q367" s="104"/>
      <c r="R367" s="104"/>
      <c r="S367" s="104"/>
      <c r="T367" s="104"/>
      <c r="U367" s="104"/>
      <c r="V367" s="104"/>
      <c r="W367" s="104"/>
      <c r="X367" s="1296"/>
      <c r="Y367" s="1107"/>
      <c r="AA367" s="1110"/>
    </row>
    <row r="368" spans="1:49" ht="15" thickTop="1" x14ac:dyDescent="0.3">
      <c r="B368" s="938">
        <v>703.7</v>
      </c>
      <c r="C368" s="93"/>
      <c r="D368" s="21"/>
      <c r="E368" s="21"/>
      <c r="F368" s="21"/>
      <c r="G368" s="21"/>
      <c r="H368" s="1084"/>
      <c r="I368" s="67">
        <v>703.7</v>
      </c>
      <c r="J368" s="178"/>
      <c r="K368" s="178"/>
      <c r="L368" s="184" t="s">
        <v>1141</v>
      </c>
      <c r="M368" s="522"/>
      <c r="N368" s="4"/>
      <c r="O368" s="154"/>
      <c r="P368"/>
      <c r="Q368"/>
      <c r="R368"/>
      <c r="S368"/>
      <c r="T368"/>
      <c r="U368"/>
      <c r="V368"/>
      <c r="W368"/>
      <c r="X368"/>
    </row>
    <row r="369" spans="1:49" x14ac:dyDescent="0.3">
      <c r="B369" s="938" t="s">
        <v>1142</v>
      </c>
      <c r="C369" s="93"/>
      <c r="D369" s="21"/>
      <c r="E369" s="21"/>
      <c r="F369" s="21"/>
      <c r="G369" s="21"/>
      <c r="H369" s="1084"/>
      <c r="I369" s="67" t="s">
        <v>1142</v>
      </c>
      <c r="J369" s="178"/>
      <c r="K369" s="178"/>
      <c r="L369" s="1292" t="s">
        <v>1143</v>
      </c>
      <c r="M369" s="1335">
        <v>4</v>
      </c>
      <c r="N369" s="4"/>
      <c r="O369" s="1310">
        <f ca="1">M369*S369*W369</f>
        <v>0</v>
      </c>
      <c r="P369" s="97" t="b">
        <v>1</v>
      </c>
      <c r="Q369" s="97" t="b">
        <v>1</v>
      </c>
      <c r="R369" s="145" t="b">
        <v>0</v>
      </c>
      <c r="S369" s="150" t="b">
        <f ca="1">(S13=2)</f>
        <v>0</v>
      </c>
      <c r="T369" s="97" t="b">
        <f ca="1">AND(NOT(S369),W369=TRUE)</f>
        <v>0</v>
      </c>
      <c r="U369"/>
      <c r="V369"/>
      <c r="W369" s="25"/>
      <c r="X369"/>
      <c r="AC369" s="471" t="b">
        <f ca="1">OR(AD369:AE369)</f>
        <v>0</v>
      </c>
      <c r="AD369" s="471" t="b">
        <f ca="1">T369</f>
        <v>0</v>
      </c>
      <c r="AE369" s="471" t="b">
        <f>AND(R369,NOT(W369))</f>
        <v>0</v>
      </c>
      <c r="AL369" s="311" t="str">
        <f>SUBSTITUTE(SUBSTITUTE(SUBSTITUTE("dpa"&amp;$B369&amp;$C369&amp;$D369&amp;$E369&amp;$F369,".","_"),"(","_"),")","")</f>
        <v>dpa703_7_1</v>
      </c>
      <c r="AM369" s="311">
        <f>M369</f>
        <v>4</v>
      </c>
      <c r="AN369" s="311" t="str">
        <f>SUBSTITUTE(SUBSTITUTE(SUBSTITUTE("dpc"&amp;$B369&amp;$C369&amp;$D369&amp;$E369&amp;$F369,".","_"),"(","_"),")","")</f>
        <v>dpc703_7_1</v>
      </c>
      <c r="AO369" s="311">
        <f ca="1">O369</f>
        <v>0</v>
      </c>
      <c r="AP369" s="311" t="str">
        <f>SUBSTITUTE(SUBSTITUTE(SUBSTITUTE("dch"&amp;$B369&amp;$C369&amp;$D369&amp;$E369&amp;$F369,".","_"),"(","_"),")","")</f>
        <v>dch703_7_1</v>
      </c>
      <c r="AQ369" s="311">
        <f>W369</f>
        <v>0</v>
      </c>
    </row>
    <row r="370" spans="1:49" x14ac:dyDescent="0.3">
      <c r="B370" s="938" t="s">
        <v>1142</v>
      </c>
      <c r="C370" s="93"/>
      <c r="D370" s="21"/>
      <c r="E370" s="21"/>
      <c r="F370" s="21"/>
      <c r="G370" s="21"/>
      <c r="H370" s="1084"/>
      <c r="I370" s="4"/>
      <c r="J370" s="178"/>
      <c r="K370" s="178"/>
      <c r="L370" s="1292"/>
      <c r="M370" s="1335"/>
      <c r="N370" s="4"/>
      <c r="O370" s="1310"/>
      <c r="P370"/>
      <c r="Q370"/>
      <c r="R370"/>
      <c r="S370"/>
      <c r="T370"/>
      <c r="U370"/>
      <c r="V370"/>
      <c r="W370"/>
      <c r="X370"/>
    </row>
    <row r="371" spans="1:49" x14ac:dyDescent="0.3">
      <c r="B371" s="938" t="s">
        <v>1142</v>
      </c>
      <c r="C371" s="93"/>
      <c r="D371" s="21" t="s">
        <v>271</v>
      </c>
      <c r="E371" s="21"/>
      <c r="F371" s="21"/>
      <c r="G371" s="21"/>
      <c r="H371" s="1084"/>
      <c r="I371" s="4"/>
      <c r="J371" s="614" t="s">
        <v>271</v>
      </c>
      <c r="K371" s="544"/>
      <c r="L371" s="1305" t="s">
        <v>1144</v>
      </c>
      <c r="M371" s="522"/>
      <c r="N371" s="4"/>
      <c r="O371" s="154"/>
      <c r="P371"/>
      <c r="Q371"/>
      <c r="R371"/>
      <c r="S371"/>
      <c r="T371"/>
      <c r="U371"/>
      <c r="V371"/>
      <c r="W371"/>
      <c r="X371" s="1303"/>
      <c r="AR371" s="311" t="str">
        <f>SUBSTITUTE(SUBSTITUTE(SUBSTITUTE("dnt"&amp;$B371&amp;$C371&amp;$D371&amp;$E371&amp;$F371,".","_"),"(","_"),")","")</f>
        <v>dnt703_7_1_1</v>
      </c>
      <c r="AS371" s="311">
        <f>X371</f>
        <v>0</v>
      </c>
    </row>
    <row r="372" spans="1:49" x14ac:dyDescent="0.3">
      <c r="B372" s="938" t="s">
        <v>1142</v>
      </c>
      <c r="C372" s="93"/>
      <c r="D372" s="21" t="s">
        <v>271</v>
      </c>
      <c r="E372" s="21"/>
      <c r="F372" s="21"/>
      <c r="G372" s="21"/>
      <c r="H372" s="1084"/>
      <c r="I372" s="4"/>
      <c r="J372" s="626"/>
      <c r="K372" s="545"/>
      <c r="L372" s="1306"/>
      <c r="M372" s="522"/>
      <c r="N372" s="4"/>
      <c r="O372" s="154"/>
      <c r="P372"/>
      <c r="Q372"/>
      <c r="R372"/>
      <c r="S372"/>
      <c r="T372"/>
      <c r="U372"/>
      <c r="V372"/>
      <c r="W372"/>
      <c r="X372" s="1303"/>
    </row>
    <row r="373" spans="1:49" x14ac:dyDescent="0.3">
      <c r="B373" s="938" t="s">
        <v>1142</v>
      </c>
      <c r="C373" s="93"/>
      <c r="D373" s="21" t="s">
        <v>273</v>
      </c>
      <c r="E373" s="21"/>
      <c r="F373" s="21"/>
      <c r="G373" s="21"/>
      <c r="H373" s="1084"/>
      <c r="I373" s="4"/>
      <c r="J373" s="649" t="s">
        <v>273</v>
      </c>
      <c r="K373" s="557"/>
      <c r="L373" s="1356" t="s">
        <v>1145</v>
      </c>
      <c r="M373" s="522"/>
      <c r="N373" s="4"/>
      <c r="O373" s="154"/>
      <c r="P373"/>
      <c r="Q373"/>
      <c r="R373"/>
      <c r="S373"/>
      <c r="T373"/>
      <c r="U373"/>
      <c r="V373"/>
      <c r="W373"/>
      <c r="X373" s="1303"/>
      <c r="AR373" s="311" t="str">
        <f>SUBSTITUTE(SUBSTITUTE(SUBSTITUTE("dnt"&amp;$B373&amp;$C373&amp;$D373&amp;$E373&amp;$F373,".","_"),"(","_"),")","")</f>
        <v>dnt703_7_1_2</v>
      </c>
      <c r="AS373" s="311">
        <f>X373</f>
        <v>0</v>
      </c>
    </row>
    <row r="374" spans="1:49" x14ac:dyDescent="0.3">
      <c r="B374" s="938" t="s">
        <v>1142</v>
      </c>
      <c r="C374" s="93"/>
      <c r="D374" s="21" t="s">
        <v>273</v>
      </c>
      <c r="E374" s="21"/>
      <c r="F374" s="21"/>
      <c r="G374" s="21"/>
      <c r="H374" s="1084"/>
      <c r="I374" s="4"/>
      <c r="J374" s="626"/>
      <c r="K374" s="545"/>
      <c r="L374" s="1306"/>
      <c r="M374" s="522"/>
      <c r="N374" s="4"/>
      <c r="O374" s="154"/>
      <c r="P374"/>
      <c r="Q374"/>
      <c r="R374"/>
      <c r="S374"/>
      <c r="T374"/>
      <c r="U374"/>
      <c r="V374"/>
      <c r="W374"/>
      <c r="X374" s="1303"/>
    </row>
    <row r="375" spans="1:49" x14ac:dyDescent="0.3">
      <c r="B375" s="938" t="s">
        <v>1142</v>
      </c>
      <c r="C375" s="93"/>
      <c r="D375" s="21" t="s">
        <v>275</v>
      </c>
      <c r="E375" s="21"/>
      <c r="F375" s="21"/>
      <c r="G375" s="21"/>
      <c r="H375" s="1084"/>
      <c r="I375" s="4"/>
      <c r="J375" s="649" t="s">
        <v>275</v>
      </c>
      <c r="K375" s="557"/>
      <c r="L375" s="1356" t="s">
        <v>1146</v>
      </c>
      <c r="M375" s="522"/>
      <c r="N375" s="4"/>
      <c r="O375" s="154"/>
      <c r="P375"/>
      <c r="Q375"/>
      <c r="R375"/>
      <c r="S375"/>
      <c r="T375"/>
      <c r="U375"/>
      <c r="V375"/>
      <c r="W375"/>
      <c r="X375" s="1303"/>
      <c r="AR375" s="311" t="str">
        <f>SUBSTITUTE(SUBSTITUTE(SUBSTITUTE("dnt"&amp;$B375&amp;$C375&amp;$D375&amp;$E375&amp;$F375,".","_"),"(","_"),")","")</f>
        <v>dnt703_7_1_3</v>
      </c>
      <c r="AS375" s="311">
        <f>X375</f>
        <v>0</v>
      </c>
    </row>
    <row r="376" spans="1:49" x14ac:dyDescent="0.3">
      <c r="B376" s="938" t="s">
        <v>1142</v>
      </c>
      <c r="C376" s="93"/>
      <c r="D376" s="21" t="s">
        <v>275</v>
      </c>
      <c r="E376" s="21"/>
      <c r="F376" s="21"/>
      <c r="G376" s="21"/>
      <c r="H376" s="1084"/>
      <c r="I376" s="4"/>
      <c r="J376" s="545"/>
      <c r="K376" s="545"/>
      <c r="L376" s="1306"/>
      <c r="M376" s="522"/>
      <c r="N376" s="4"/>
      <c r="O376" s="154"/>
      <c r="P376"/>
      <c r="Q376"/>
      <c r="R376"/>
      <c r="S376"/>
      <c r="T376"/>
      <c r="U376"/>
      <c r="V376"/>
      <c r="W376"/>
      <c r="X376" s="1303"/>
    </row>
    <row r="377" spans="1:49" x14ac:dyDescent="0.3">
      <c r="B377" s="938" t="s">
        <v>1142</v>
      </c>
      <c r="C377" s="93"/>
      <c r="D377" s="21" t="s">
        <v>285</v>
      </c>
      <c r="E377" s="21"/>
      <c r="F377" s="21"/>
      <c r="G377" s="21"/>
      <c r="H377" s="1084"/>
      <c r="I377" s="4"/>
      <c r="J377" s="649" t="s">
        <v>285</v>
      </c>
      <c r="K377" s="557"/>
      <c r="L377" s="1356" t="s">
        <v>1147</v>
      </c>
      <c r="M377" s="522"/>
      <c r="N377" s="4"/>
      <c r="O377" s="154"/>
      <c r="P377"/>
      <c r="Q377"/>
      <c r="R377"/>
      <c r="S377"/>
      <c r="T377"/>
      <c r="U377"/>
      <c r="V377"/>
      <c r="W377"/>
      <c r="X377" s="1303"/>
      <c r="AR377" s="311" t="str">
        <f>SUBSTITUTE(SUBSTITUTE(SUBSTITUTE("dnt"&amp;$B377&amp;$C377&amp;$D377&amp;$E377&amp;$F377,".","_"),"(","_"),")","")</f>
        <v>dnt703_7_1_4</v>
      </c>
      <c r="AS377" s="311">
        <f>X377</f>
        <v>0</v>
      </c>
    </row>
    <row r="378" spans="1:49" x14ac:dyDescent="0.3">
      <c r="B378" s="938" t="s">
        <v>1142</v>
      </c>
      <c r="C378" s="93"/>
      <c r="D378" s="21" t="s">
        <v>285</v>
      </c>
      <c r="E378" s="21"/>
      <c r="F378" s="21"/>
      <c r="G378" s="21"/>
      <c r="H378" s="1084"/>
      <c r="I378" s="4"/>
      <c r="J378" s="545"/>
      <c r="K378" s="545"/>
      <c r="L378" s="1306"/>
      <c r="M378" s="522"/>
      <c r="N378" s="4"/>
      <c r="O378" s="154"/>
      <c r="P378"/>
      <c r="Q378"/>
      <c r="R378"/>
      <c r="S378"/>
      <c r="T378"/>
      <c r="U378"/>
      <c r="V378"/>
      <c r="W378"/>
      <c r="X378" s="1303"/>
    </row>
    <row r="379" spans="1:49" x14ac:dyDescent="0.3">
      <c r="B379" s="938" t="s">
        <v>1142</v>
      </c>
      <c r="C379" s="93"/>
      <c r="D379" s="21" t="s">
        <v>291</v>
      </c>
      <c r="E379" s="21"/>
      <c r="F379" s="21"/>
      <c r="G379" s="21"/>
      <c r="H379" s="1084"/>
      <c r="I379" s="4"/>
      <c r="J379" s="649" t="s">
        <v>291</v>
      </c>
      <c r="K379" s="557"/>
      <c r="L379" s="1356" t="s">
        <v>1148</v>
      </c>
      <c r="M379" s="522"/>
      <c r="N379" s="4"/>
      <c r="O379" s="154"/>
      <c r="P379"/>
      <c r="Q379"/>
      <c r="R379"/>
      <c r="S379"/>
      <c r="T379"/>
      <c r="U379"/>
      <c r="V379"/>
      <c r="W379"/>
      <c r="X379" s="1303"/>
      <c r="AR379" s="311" t="str">
        <f>SUBSTITUTE(SUBSTITUTE(SUBSTITUTE("dnt"&amp;$B379&amp;$C379&amp;$D379&amp;$E379&amp;$F379,".","_"),"(","_"),")","")</f>
        <v>dnt703_7_1_5</v>
      </c>
      <c r="AS379" s="311">
        <f>X379</f>
        <v>0</v>
      </c>
    </row>
    <row r="380" spans="1:49" x14ac:dyDescent="0.3">
      <c r="B380" s="938" t="s">
        <v>1142</v>
      </c>
      <c r="C380" s="93"/>
      <c r="D380" s="21" t="s">
        <v>291</v>
      </c>
      <c r="E380" s="21"/>
      <c r="F380" s="21"/>
      <c r="G380" s="21"/>
      <c r="H380" s="1084"/>
      <c r="I380" s="4"/>
      <c r="J380" s="545"/>
      <c r="K380" s="545"/>
      <c r="L380" s="1306"/>
      <c r="M380" s="522"/>
      <c r="N380" s="4"/>
      <c r="O380" s="154"/>
      <c r="P380"/>
      <c r="Q380"/>
      <c r="R380"/>
      <c r="S380"/>
      <c r="T380"/>
      <c r="U380"/>
      <c r="V380"/>
      <c r="W380"/>
      <c r="X380" s="1303"/>
    </row>
    <row r="381" spans="1:49" x14ac:dyDescent="0.3">
      <c r="B381" s="938" t="s">
        <v>1142</v>
      </c>
      <c r="C381" s="93"/>
      <c r="D381" s="21" t="s">
        <v>293</v>
      </c>
      <c r="E381" s="21"/>
      <c r="F381" s="21"/>
      <c r="G381" s="21"/>
      <c r="H381" s="1084"/>
      <c r="I381" s="4"/>
      <c r="J381" s="260" t="s">
        <v>293</v>
      </c>
      <c r="K381" s="178"/>
      <c r="L381" s="178" t="s">
        <v>1149</v>
      </c>
      <c r="M381" s="522"/>
      <c r="N381" s="4"/>
      <c r="O381" s="154"/>
      <c r="P381"/>
      <c r="Q381"/>
      <c r="R381"/>
      <c r="S381"/>
      <c r="T381"/>
      <c r="U381"/>
      <c r="V381"/>
      <c r="W381"/>
      <c r="X381"/>
    </row>
    <row r="382" spans="1:49" s="175" customFormat="1" x14ac:dyDescent="0.3">
      <c r="A382" s="18"/>
      <c r="B382" s="938" t="s">
        <v>1142</v>
      </c>
      <c r="C382" s="93"/>
      <c r="D382" s="21" t="s">
        <v>293</v>
      </c>
      <c r="E382" s="21" t="s">
        <v>121</v>
      </c>
      <c r="F382" s="21"/>
      <c r="G382" s="21"/>
      <c r="H382" s="1084"/>
      <c r="I382" s="4"/>
      <c r="J382" s="178"/>
      <c r="K382" s="260" t="s">
        <v>121</v>
      </c>
      <c r="L382" s="1367" t="s">
        <v>1150</v>
      </c>
      <c r="M382" s="522"/>
      <c r="N382" s="4"/>
      <c r="O382" s="154"/>
      <c r="P382"/>
      <c r="Q382"/>
      <c r="R382"/>
      <c r="S382"/>
      <c r="T382"/>
      <c r="U382"/>
      <c r="V382"/>
      <c r="W382"/>
      <c r="X382" s="1303"/>
      <c r="Y382" s="1107"/>
      <c r="Z382" s="79"/>
      <c r="AA382" s="1110"/>
      <c r="AB382" s="79"/>
      <c r="AC382" s="79"/>
      <c r="AD382" s="79"/>
      <c r="AE382" s="79"/>
      <c r="AF382" s="79"/>
      <c r="AG382" s="79"/>
      <c r="AH382" s="79"/>
      <c r="AI382" s="79"/>
      <c r="AJ382" s="79"/>
      <c r="AK382" s="79"/>
      <c r="AL382" s="79"/>
      <c r="AM382" s="79"/>
      <c r="AN382" s="79"/>
      <c r="AO382" s="79"/>
      <c r="AP382" s="79"/>
      <c r="AQ382" s="79"/>
      <c r="AR382" s="311" t="str">
        <f>SUBSTITUTE(SUBSTITUTE(SUBSTITUTE("dnt"&amp;$B382&amp;$C382&amp;$D382&amp;$E382&amp;$F382,".","_"),"(","_"),")","")</f>
        <v>dnt703_7_1_6_a</v>
      </c>
      <c r="AS382" s="311">
        <f>X382</f>
        <v>0</v>
      </c>
      <c r="AT382" s="79"/>
      <c r="AU382" s="79"/>
      <c r="AV382" s="79"/>
      <c r="AW382" s="79"/>
    </row>
    <row r="383" spans="1:49" x14ac:dyDescent="0.3">
      <c r="B383" s="938" t="s">
        <v>1142</v>
      </c>
      <c r="C383" s="93"/>
      <c r="D383" s="21" t="s">
        <v>293</v>
      </c>
      <c r="E383" s="21" t="s">
        <v>121</v>
      </c>
      <c r="F383" s="21"/>
      <c r="G383" s="21"/>
      <c r="H383" s="1084"/>
      <c r="I383" s="4"/>
      <c r="J383" s="178"/>
      <c r="K383" s="260"/>
      <c r="L383" s="1367"/>
      <c r="M383" s="522"/>
      <c r="N383" s="4"/>
      <c r="O383" s="154"/>
      <c r="P383" s="175"/>
      <c r="Q383" s="175"/>
      <c r="R383" s="175"/>
      <c r="S383" s="175"/>
      <c r="T383" s="175"/>
      <c r="U383" s="175"/>
      <c r="V383" s="175"/>
      <c r="W383" s="175"/>
      <c r="X383" s="1303"/>
      <c r="Z383" s="175"/>
      <c r="AB383" s="175"/>
      <c r="AC383" s="175"/>
      <c r="AD383" s="175"/>
      <c r="AE383" s="175"/>
      <c r="AF383" s="175"/>
      <c r="AG383" s="175"/>
      <c r="AH383" s="175"/>
      <c r="AI383" s="175"/>
      <c r="AJ383" s="175"/>
      <c r="AK383" s="175"/>
      <c r="AL383" s="175"/>
      <c r="AM383" s="175"/>
      <c r="AN383" s="175"/>
      <c r="AO383" s="175"/>
      <c r="AP383" s="175"/>
      <c r="AQ383" s="175"/>
      <c r="AR383" s="175"/>
      <c r="AS383" s="175"/>
      <c r="AT383" s="175"/>
      <c r="AU383" s="175"/>
      <c r="AV383" s="175"/>
      <c r="AW383" s="175"/>
    </row>
    <row r="384" spans="1:49" x14ac:dyDescent="0.3">
      <c r="B384" s="938" t="s">
        <v>1142</v>
      </c>
      <c r="C384" s="93"/>
      <c r="D384" s="21" t="s">
        <v>293</v>
      </c>
      <c r="E384" s="21" t="s">
        <v>122</v>
      </c>
      <c r="F384" s="21"/>
      <c r="G384" s="21"/>
      <c r="H384" s="1084"/>
      <c r="I384" s="4"/>
      <c r="J384" s="178"/>
      <c r="K384" s="260" t="s">
        <v>122</v>
      </c>
      <c r="L384" s="178" t="s">
        <v>1151</v>
      </c>
      <c r="M384" s="522"/>
      <c r="N384" s="4"/>
      <c r="O384" s="154"/>
      <c r="P384"/>
      <c r="Q384"/>
      <c r="R384"/>
      <c r="S384"/>
      <c r="T384"/>
      <c r="U384"/>
      <c r="V384"/>
      <c r="W384"/>
      <c r="X384" s="512"/>
      <c r="AR384" s="311" t="str">
        <f t="shared" ref="AR384:AR385" si="38">SUBSTITUTE(SUBSTITUTE(SUBSTITUTE("dnt"&amp;$B384&amp;$C384&amp;$D384&amp;$E384&amp;$F384,".","_"),"(","_"),")","")</f>
        <v>dnt703_7_1_6_b</v>
      </c>
      <c r="AS384" s="311">
        <f>X384</f>
        <v>0</v>
      </c>
    </row>
    <row r="385" spans="1:45" x14ac:dyDescent="0.3">
      <c r="B385" s="938" t="s">
        <v>1142</v>
      </c>
      <c r="C385" s="93"/>
      <c r="D385" s="21" t="s">
        <v>293</v>
      </c>
      <c r="E385" s="26" t="s">
        <v>123</v>
      </c>
      <c r="F385" s="26"/>
      <c r="G385" s="26"/>
      <c r="H385" s="1085"/>
      <c r="I385" s="4"/>
      <c r="J385" s="544"/>
      <c r="K385" s="655" t="s">
        <v>123</v>
      </c>
      <c r="L385" s="1305" t="s">
        <v>1152</v>
      </c>
      <c r="M385" s="522"/>
      <c r="N385" s="4"/>
      <c r="O385" s="154"/>
      <c r="P385"/>
      <c r="Q385"/>
      <c r="R385"/>
      <c r="S385"/>
      <c r="T385"/>
      <c r="U385"/>
      <c r="V385"/>
      <c r="W385"/>
      <c r="X385" s="1303"/>
      <c r="AR385" s="311" t="str">
        <f t="shared" si="38"/>
        <v>dnt703_7_1_6_c</v>
      </c>
      <c r="AS385" s="311">
        <f>X385</f>
        <v>0</v>
      </c>
    </row>
    <row r="386" spans="1:45" x14ac:dyDescent="0.3">
      <c r="B386" s="938" t="s">
        <v>1142</v>
      </c>
      <c r="C386" s="93"/>
      <c r="D386" s="21" t="s">
        <v>293</v>
      </c>
      <c r="E386" s="26" t="s">
        <v>123</v>
      </c>
      <c r="F386" s="21"/>
      <c r="G386" s="21"/>
      <c r="H386" s="1084"/>
      <c r="I386" s="4"/>
      <c r="J386" s="545"/>
      <c r="K386" s="545"/>
      <c r="L386" s="1306"/>
      <c r="M386" s="522"/>
      <c r="N386" s="4"/>
      <c r="O386" s="154"/>
      <c r="P386"/>
      <c r="Q386"/>
      <c r="R386"/>
      <c r="S386"/>
      <c r="T386"/>
      <c r="U386"/>
      <c r="V386"/>
      <c r="W386"/>
      <c r="X386" s="1303"/>
    </row>
    <row r="387" spans="1:45" x14ac:dyDescent="0.3">
      <c r="B387" s="938" t="s">
        <v>1142</v>
      </c>
      <c r="C387" s="93"/>
      <c r="D387" s="21" t="s">
        <v>405</v>
      </c>
      <c r="E387" s="21"/>
      <c r="F387" s="21"/>
      <c r="G387" s="21"/>
      <c r="H387" s="1084"/>
      <c r="I387" s="4"/>
      <c r="J387" s="649" t="s">
        <v>405</v>
      </c>
      <c r="K387" s="557"/>
      <c r="L387" s="1356" t="s">
        <v>3880</v>
      </c>
      <c r="M387" s="522"/>
      <c r="N387" s="4"/>
      <c r="O387" s="154"/>
      <c r="P387"/>
      <c r="Q387"/>
      <c r="R387"/>
      <c r="S387"/>
      <c r="T387"/>
      <c r="U387"/>
      <c r="V387"/>
      <c r="W387"/>
      <c r="X387" s="1303"/>
      <c r="AR387" s="311" t="str">
        <f>SUBSTITUTE(SUBSTITUTE(SUBSTITUTE("dnt"&amp;$B387&amp;$C387&amp;$D387&amp;$E387&amp;$F387,".","_"),"(","_"),")","")</f>
        <v>dnt703_7_1_7</v>
      </c>
      <c r="AS387" s="311">
        <f>X387</f>
        <v>0</v>
      </c>
    </row>
    <row r="388" spans="1:45" x14ac:dyDescent="0.3">
      <c r="B388" s="938" t="s">
        <v>1142</v>
      </c>
      <c r="C388" s="93"/>
      <c r="D388" s="21" t="s">
        <v>405</v>
      </c>
      <c r="E388" s="21"/>
      <c r="F388" s="21"/>
      <c r="G388" s="21"/>
      <c r="H388" s="1084"/>
      <c r="I388" s="4"/>
      <c r="J388" s="544"/>
      <c r="K388" s="544"/>
      <c r="L388" s="1305"/>
      <c r="M388" s="522"/>
      <c r="N388" s="4"/>
      <c r="O388" s="154"/>
      <c r="P388"/>
      <c r="Q388"/>
      <c r="R388"/>
      <c r="S388"/>
      <c r="T388"/>
      <c r="U388"/>
      <c r="V388"/>
      <c r="W388"/>
      <c r="X388" s="1303"/>
    </row>
    <row r="389" spans="1:45" s="471" customFormat="1" x14ac:dyDescent="0.3">
      <c r="A389" s="18"/>
      <c r="B389" s="938" t="s">
        <v>1142</v>
      </c>
      <c r="C389" s="93"/>
      <c r="D389" s="21" t="s">
        <v>405</v>
      </c>
      <c r="E389" s="21"/>
      <c r="F389" s="21"/>
      <c r="G389" s="21"/>
      <c r="H389" s="1084"/>
      <c r="I389" s="4"/>
      <c r="J389" s="545"/>
      <c r="K389" s="545"/>
      <c r="L389" s="623" t="s">
        <v>3881</v>
      </c>
      <c r="M389" s="522"/>
      <c r="N389" s="4"/>
      <c r="O389" s="154"/>
      <c r="X389" s="1303"/>
      <c r="Y389" s="1107"/>
      <c r="AA389" s="1110"/>
    </row>
    <row r="390" spans="1:45" x14ac:dyDescent="0.3">
      <c r="B390" s="938" t="s">
        <v>1142</v>
      </c>
      <c r="C390" s="93"/>
      <c r="D390" s="21" t="s">
        <v>456</v>
      </c>
      <c r="E390" s="21"/>
      <c r="F390" s="21"/>
      <c r="G390" s="21"/>
      <c r="H390" s="1084"/>
      <c r="I390" s="4"/>
      <c r="J390" s="650" t="s">
        <v>456</v>
      </c>
      <c r="K390" s="365"/>
      <c r="L390" s="365" t="s">
        <v>1153</v>
      </c>
      <c r="M390" s="522"/>
      <c r="N390" s="4"/>
      <c r="O390" s="154"/>
      <c r="P390"/>
      <c r="Q390"/>
      <c r="R390"/>
      <c r="S390"/>
      <c r="T390"/>
      <c r="U390"/>
      <c r="V390"/>
      <c r="W390"/>
      <c r="X390" s="512"/>
      <c r="AR390" s="311" t="str">
        <f t="shared" ref="AR390:AR392" si="39">SUBSTITUTE(SUBSTITUTE(SUBSTITUTE("dnt"&amp;$B390&amp;$C390&amp;$D390&amp;$E390&amp;$F390,".","_"),"(","_"),")","")</f>
        <v>dnt703_7_1_8</v>
      </c>
      <c r="AS390" s="311">
        <f>X390</f>
        <v>0</v>
      </c>
    </row>
    <row r="391" spans="1:45" ht="15" customHeight="1" x14ac:dyDescent="0.3">
      <c r="B391" s="938" t="s">
        <v>1142</v>
      </c>
      <c r="C391" s="93"/>
      <c r="D391" s="21" t="s">
        <v>458</v>
      </c>
      <c r="E391" s="21"/>
      <c r="F391" s="21"/>
      <c r="G391" s="21"/>
      <c r="H391" s="1084"/>
      <c r="I391" s="4"/>
      <c r="J391" s="260" t="s">
        <v>458</v>
      </c>
      <c r="K391" s="178"/>
      <c r="L391" s="178" t="s">
        <v>1154</v>
      </c>
      <c r="M391" s="522"/>
      <c r="N391" s="4"/>
      <c r="O391" s="154"/>
      <c r="P391"/>
      <c r="Q391"/>
      <c r="R391"/>
      <c r="S391"/>
      <c r="T391"/>
      <c r="U391"/>
      <c r="V391"/>
      <c r="W391"/>
      <c r="X391" s="512"/>
      <c r="AR391" s="311" t="str">
        <f t="shared" si="39"/>
        <v>dnt703_7_1_9</v>
      </c>
      <c r="AS391" s="311">
        <f>X391</f>
        <v>0</v>
      </c>
    </row>
    <row r="392" spans="1:45" x14ac:dyDescent="0.3">
      <c r="B392" s="938" t="s">
        <v>1142</v>
      </c>
      <c r="C392" s="93"/>
      <c r="D392" s="21"/>
      <c r="E392" s="21"/>
      <c r="F392" s="21"/>
      <c r="G392" s="21"/>
      <c r="H392" s="1084"/>
      <c r="I392" s="140"/>
      <c r="J392" s="544"/>
      <c r="K392" s="544"/>
      <c r="L392" s="1394" t="s">
        <v>3877</v>
      </c>
      <c r="M392" s="548"/>
      <c r="N392" s="140"/>
      <c r="O392" s="598"/>
      <c r="P392" s="97"/>
      <c r="Q392" s="97"/>
      <c r="R392" s="97"/>
      <c r="S392" s="97"/>
      <c r="T392" s="97"/>
      <c r="U392" s="97"/>
      <c r="V392" s="97"/>
      <c r="W392" s="97"/>
      <c r="X392" s="1295"/>
      <c r="AR392" s="311" t="str">
        <f t="shared" si="39"/>
        <v>dnt703_7_1</v>
      </c>
      <c r="AS392" s="311">
        <f>X392</f>
        <v>0</v>
      </c>
    </row>
    <row r="393" spans="1:45" x14ac:dyDescent="0.3">
      <c r="B393" s="938" t="s">
        <v>1142</v>
      </c>
      <c r="C393" s="93"/>
      <c r="D393" s="21"/>
      <c r="E393" s="21"/>
      <c r="F393" s="21"/>
      <c r="G393" s="21"/>
      <c r="H393" s="1084"/>
      <c r="I393" s="140"/>
      <c r="J393" s="544"/>
      <c r="K393" s="544"/>
      <c r="L393" s="1394"/>
      <c r="M393" s="548"/>
      <c r="N393" s="140"/>
      <c r="O393" s="598"/>
      <c r="P393" s="97"/>
      <c r="Q393" s="97"/>
      <c r="R393" s="97"/>
      <c r="S393" s="97"/>
      <c r="T393" s="97"/>
      <c r="U393" s="97"/>
      <c r="V393" s="97"/>
      <c r="W393" s="97"/>
      <c r="X393" s="1295"/>
    </row>
    <row r="394" spans="1:45" x14ac:dyDescent="0.3">
      <c r="B394" s="938" t="s">
        <v>1142</v>
      </c>
      <c r="C394" s="93"/>
      <c r="D394" s="21"/>
      <c r="E394" s="21"/>
      <c r="F394" s="21"/>
      <c r="G394" s="21"/>
      <c r="H394" s="1084"/>
      <c r="I394" s="140"/>
      <c r="J394" s="544"/>
      <c r="K394" s="544"/>
      <c r="L394" s="1394"/>
      <c r="M394" s="548"/>
      <c r="N394" s="140"/>
      <c r="O394" s="598"/>
      <c r="P394" s="97"/>
      <c r="Q394" s="97"/>
      <c r="R394" s="97"/>
      <c r="S394" s="97"/>
      <c r="T394" s="97"/>
      <c r="U394" s="97"/>
      <c r="V394" s="97"/>
      <c r="W394" s="97"/>
      <c r="X394" s="1295"/>
    </row>
    <row r="395" spans="1:45" x14ac:dyDescent="0.3">
      <c r="B395" s="938" t="s">
        <v>1142</v>
      </c>
      <c r="C395" s="93"/>
      <c r="D395" s="21"/>
      <c r="E395" s="21"/>
      <c r="F395" s="21"/>
      <c r="G395" s="21"/>
      <c r="H395" s="1084"/>
      <c r="I395" s="140"/>
      <c r="J395" s="544"/>
      <c r="K395" s="544"/>
      <c r="L395" s="1394"/>
      <c r="M395" s="548"/>
      <c r="N395" s="140"/>
      <c r="O395" s="598"/>
      <c r="P395" s="97"/>
      <c r="Q395" s="97"/>
      <c r="R395" s="97"/>
      <c r="S395" s="97"/>
      <c r="T395" s="97"/>
      <c r="U395" s="97"/>
      <c r="V395" s="97"/>
      <c r="W395" s="97"/>
      <c r="X395" s="1295"/>
    </row>
    <row r="396" spans="1:45" x14ac:dyDescent="0.3">
      <c r="B396" s="938" t="s">
        <v>1142</v>
      </c>
      <c r="C396" s="93"/>
      <c r="D396" s="21"/>
      <c r="E396" s="21"/>
      <c r="F396" s="21"/>
      <c r="G396" s="21"/>
      <c r="H396" s="1084"/>
      <c r="I396" s="238"/>
      <c r="J396" s="545"/>
      <c r="K396" s="545"/>
      <c r="L396" s="1396"/>
      <c r="M396" s="549"/>
      <c r="N396" s="238"/>
      <c r="O396" s="599"/>
      <c r="P396" s="196"/>
      <c r="Q396" s="196"/>
      <c r="R396" s="196"/>
      <c r="S396" s="196"/>
      <c r="T396" s="196"/>
      <c r="U396" s="196"/>
      <c r="V396" s="196"/>
      <c r="W396" s="196"/>
      <c r="X396" s="1295"/>
    </row>
    <row r="397" spans="1:45" x14ac:dyDescent="0.3">
      <c r="B397" s="93" t="s">
        <v>1155</v>
      </c>
      <c r="C397" s="93"/>
      <c r="D397" s="21"/>
      <c r="E397" s="21"/>
      <c r="F397" s="21"/>
      <c r="G397" s="21"/>
      <c r="H397" s="1084"/>
      <c r="I397" s="630" t="s">
        <v>1155</v>
      </c>
      <c r="J397" s="557"/>
      <c r="K397" s="557"/>
      <c r="L397" s="1364" t="s">
        <v>1156</v>
      </c>
      <c r="M397" s="1323">
        <v>1</v>
      </c>
      <c r="N397" s="216"/>
      <c r="O397" s="1324">
        <f ca="1">M397*S397*W397</f>
        <v>0</v>
      </c>
      <c r="P397" s="97" t="b">
        <v>1</v>
      </c>
      <c r="Q397" s="97" t="b">
        <v>1</v>
      </c>
      <c r="R397" s="145" t="b">
        <v>0</v>
      </c>
      <c r="S397" s="150" t="b">
        <f ca="1">(S13=2)</f>
        <v>0</v>
      </c>
      <c r="T397" s="97" t="b">
        <f ca="1">AND(NOT(S397),W397=TRUE)</f>
        <v>0</v>
      </c>
      <c r="U397"/>
      <c r="V397"/>
      <c r="W397" s="127"/>
      <c r="X397" s="1304"/>
      <c r="AC397" s="471" t="b">
        <f ca="1">OR(AD397:AE397)</f>
        <v>0</v>
      </c>
      <c r="AD397" s="471" t="b">
        <f ca="1">T397</f>
        <v>0</v>
      </c>
      <c r="AE397" s="471" t="b">
        <f>AND(R397,NOT(W397))</f>
        <v>0</v>
      </c>
      <c r="AL397" s="311" t="str">
        <f>SUBSTITUTE(SUBSTITUTE(SUBSTITUTE("dpa"&amp;$B397&amp;$C397&amp;$D397&amp;$E397&amp;$F397,".","_"),"(","_"),")","")</f>
        <v xml:space="preserve">dpa703_7_2 </v>
      </c>
      <c r="AM397" s="311">
        <f>M397</f>
        <v>1</v>
      </c>
      <c r="AN397" s="311" t="str">
        <f>SUBSTITUTE(SUBSTITUTE(SUBSTITUTE("dpc"&amp;$B397&amp;$C397&amp;$D397&amp;$E397&amp;$F397,".","_"),"(","_"),")","")</f>
        <v xml:space="preserve">dpc703_7_2 </v>
      </c>
      <c r="AO397" s="311">
        <f ca="1">O397</f>
        <v>0</v>
      </c>
      <c r="AP397" s="311" t="str">
        <f>SUBSTITUTE(SUBSTITUTE(SUBSTITUTE("dch"&amp;$B397&amp;$C397&amp;$D397&amp;$E397&amp;$F397,".","_"),"(","_"),")","")</f>
        <v xml:space="preserve">dch703_7_2 </v>
      </c>
      <c r="AQ397" s="311">
        <f>W397</f>
        <v>0</v>
      </c>
      <c r="AR397" s="311" t="str">
        <f>SUBSTITUTE(SUBSTITUTE(SUBSTITUTE("dnt"&amp;$B397&amp;$C397&amp;$D397&amp;$E397&amp;$F397,".","_"),"(","_"),")","")</f>
        <v xml:space="preserve">dnt703_7_2 </v>
      </c>
      <c r="AS397" s="311">
        <f>X397</f>
        <v>0</v>
      </c>
    </row>
    <row r="398" spans="1:45" x14ac:dyDescent="0.3">
      <c r="B398" s="93" t="s">
        <v>1155</v>
      </c>
      <c r="C398" s="93"/>
      <c r="D398" s="21"/>
      <c r="E398" s="21"/>
      <c r="F398" s="21"/>
      <c r="G398" s="21"/>
      <c r="H398" s="1084"/>
      <c r="I398" s="238"/>
      <c r="J398" s="545"/>
      <c r="K398" s="545"/>
      <c r="L398" s="1350"/>
      <c r="M398" s="1319"/>
      <c r="N398" s="238"/>
      <c r="O398" s="1309"/>
      <c r="P398"/>
      <c r="Q398"/>
      <c r="R398"/>
      <c r="S398"/>
      <c r="T398"/>
      <c r="U398"/>
      <c r="V398"/>
      <c r="W398"/>
      <c r="X398" s="1303"/>
    </row>
    <row r="399" spans="1:45" x14ac:dyDescent="0.3">
      <c r="B399" s="938" t="s">
        <v>1157</v>
      </c>
      <c r="C399" s="93"/>
      <c r="D399" s="21"/>
      <c r="E399" s="21"/>
      <c r="F399" s="21"/>
      <c r="G399" s="21"/>
      <c r="H399" s="1084"/>
      <c r="I399" s="68" t="s">
        <v>1157</v>
      </c>
      <c r="J399" s="178"/>
      <c r="K399" s="178"/>
      <c r="L399" s="1292" t="s">
        <v>1158</v>
      </c>
      <c r="M399" s="522"/>
      <c r="N399" s="4"/>
      <c r="O399" s="1310">
        <f ca="1">INDEX({0,3,4},MATCH(S401,{0,3,4},1))*S405</f>
        <v>0</v>
      </c>
      <c r="P399"/>
      <c r="Q399"/>
      <c r="R399"/>
      <c r="S399"/>
      <c r="T399"/>
      <c r="U399"/>
      <c r="V399"/>
      <c r="W399"/>
      <c r="X399"/>
      <c r="AN399" s="311" t="str">
        <f>SUBSTITUTE(SUBSTITUTE(SUBSTITUTE("dpc"&amp;$B399&amp;$C399&amp;$D399&amp;$E399&amp;$F399,".","_"),"(","_"),")","")</f>
        <v>dpc703_7_3</v>
      </c>
      <c r="AO399" s="311">
        <f ca="1">O399</f>
        <v>0</v>
      </c>
    </row>
    <row r="400" spans="1:45" x14ac:dyDescent="0.3">
      <c r="B400" s="938" t="s">
        <v>1157</v>
      </c>
      <c r="C400" s="93"/>
      <c r="D400" s="21"/>
      <c r="E400" s="21"/>
      <c r="F400" s="21"/>
      <c r="G400" s="21"/>
      <c r="H400" s="1084"/>
      <c r="I400" s="4"/>
      <c r="J400" s="178"/>
      <c r="K400" s="178"/>
      <c r="L400" s="1292"/>
      <c r="M400" s="522"/>
      <c r="N400" s="4"/>
      <c r="O400" s="1310"/>
      <c r="P400"/>
      <c r="Q400"/>
      <c r="R400"/>
      <c r="S400"/>
      <c r="T400"/>
      <c r="U400"/>
      <c r="V400"/>
      <c r="W400"/>
      <c r="X400"/>
    </row>
    <row r="401" spans="2:45" x14ac:dyDescent="0.3">
      <c r="B401" s="938" t="s">
        <v>1157</v>
      </c>
      <c r="C401" s="93"/>
      <c r="D401" s="142" t="s">
        <v>271</v>
      </c>
      <c r="E401" s="21"/>
      <c r="F401" s="21"/>
      <c r="G401" s="21"/>
      <c r="H401" s="1084"/>
      <c r="I401" s="4"/>
      <c r="J401" s="178"/>
      <c r="K401" s="178"/>
      <c r="L401" s="181" t="s">
        <v>1159</v>
      </c>
      <c r="M401" s="522">
        <v>3</v>
      </c>
      <c r="N401" s="4"/>
      <c r="O401" s="154"/>
      <c r="P401"/>
      <c r="Q401"/>
      <c r="R401" t="s">
        <v>3879</v>
      </c>
      <c r="S401" s="1">
        <f ca="1">(1*MIN(1,COUNTIF(W405:W409,TRUE))+1*S411*W411+1*W414+1*S415*W415+1*MIN(1,COUNTIF(W420:W422,TRUE))+1*W424)</f>
        <v>0</v>
      </c>
      <c r="T401"/>
      <c r="U401"/>
      <c r="V401"/>
      <c r="W401"/>
      <c r="X401"/>
      <c r="AL401" s="311" t="str">
        <f t="shared" ref="AL401:AL402" si="40">SUBSTITUTE(SUBSTITUTE(SUBSTITUTE("dpa"&amp;$B401&amp;$C401&amp;$D401&amp;$E401&amp;$F401,".","_"),"(","_"),")","")</f>
        <v>dpa703_7_3_1</v>
      </c>
      <c r="AM401" s="311">
        <f>M401</f>
        <v>3</v>
      </c>
    </row>
    <row r="402" spans="2:45" x14ac:dyDescent="0.3">
      <c r="B402" s="938" t="s">
        <v>1157</v>
      </c>
      <c r="C402" s="93"/>
      <c r="D402" s="21" t="s">
        <v>273</v>
      </c>
      <c r="E402" s="21"/>
      <c r="F402" s="21"/>
      <c r="G402" s="21"/>
      <c r="H402" s="1084"/>
      <c r="I402" s="4"/>
      <c r="J402" s="178"/>
      <c r="K402" s="178"/>
      <c r="L402" s="181" t="s">
        <v>1160</v>
      </c>
      <c r="M402" s="522">
        <v>1</v>
      </c>
      <c r="N402" s="4"/>
      <c r="O402" s="154"/>
      <c r="P402"/>
      <c r="Q402"/>
      <c r="R402"/>
      <c r="S402"/>
      <c r="T402"/>
      <c r="U402"/>
      <c r="V402"/>
      <c r="W402"/>
      <c r="X402"/>
      <c r="AL402" s="311" t="str">
        <f t="shared" si="40"/>
        <v>dpa703_7_3_2</v>
      </c>
      <c r="AM402" s="311">
        <f>M402</f>
        <v>1</v>
      </c>
    </row>
    <row r="403" spans="2:45" x14ac:dyDescent="0.3">
      <c r="B403" s="938" t="s">
        <v>1157</v>
      </c>
      <c r="C403" s="93"/>
      <c r="D403" s="142" t="s">
        <v>271</v>
      </c>
      <c r="E403" s="21"/>
      <c r="F403" s="21"/>
      <c r="G403" s="21"/>
      <c r="H403" s="1084"/>
      <c r="I403" s="4"/>
      <c r="J403" s="264" t="s">
        <v>271</v>
      </c>
      <c r="K403" s="178"/>
      <c r="L403" s="1329" t="s">
        <v>1161</v>
      </c>
      <c r="M403" s="522"/>
      <c r="N403" s="4"/>
      <c r="O403" s="154"/>
      <c r="P403"/>
      <c r="Q403"/>
      <c r="R403"/>
      <c r="S403"/>
      <c r="T403"/>
      <c r="U403"/>
      <c r="V403"/>
      <c r="W403"/>
      <c r="X403"/>
    </row>
    <row r="404" spans="2:45" x14ac:dyDescent="0.3">
      <c r="B404" s="938" t="s">
        <v>1157</v>
      </c>
      <c r="C404" s="93"/>
      <c r="D404" s="142" t="s">
        <v>271</v>
      </c>
      <c r="E404" s="21"/>
      <c r="F404" s="21"/>
      <c r="G404" s="21"/>
      <c r="H404" s="1084"/>
      <c r="I404" s="4"/>
      <c r="J404" s="178"/>
      <c r="K404" s="178"/>
      <c r="L404" s="1329"/>
      <c r="M404" s="522"/>
      <c r="N404" s="4"/>
      <c r="O404" s="154"/>
      <c r="P404"/>
      <c r="Q404"/>
      <c r="R404"/>
      <c r="S404"/>
      <c r="T404"/>
      <c r="U404"/>
      <c r="V404"/>
      <c r="W404"/>
      <c r="X404"/>
    </row>
    <row r="405" spans="2:45" x14ac:dyDescent="0.3">
      <c r="B405" s="938" t="s">
        <v>1157</v>
      </c>
      <c r="C405" s="93"/>
      <c r="D405" s="142" t="s">
        <v>271</v>
      </c>
      <c r="E405" s="21" t="s">
        <v>121</v>
      </c>
      <c r="F405" s="21"/>
      <c r="G405" s="21"/>
      <c r="H405" s="1084"/>
      <c r="I405" s="4"/>
      <c r="J405" s="178"/>
      <c r="K405" s="260" t="s">
        <v>121</v>
      </c>
      <c r="L405" s="1329" t="s">
        <v>1162</v>
      </c>
      <c r="M405" s="522"/>
      <c r="N405" s="4"/>
      <c r="O405" s="154"/>
      <c r="P405" s="97" t="b">
        <v>1</v>
      </c>
      <c r="Q405" s="97" t="b">
        <v>1</v>
      </c>
      <c r="R405" s="471" t="b">
        <v>0</v>
      </c>
      <c r="S405" s="471" t="b">
        <f ca="1">(S13=2)</f>
        <v>0</v>
      </c>
      <c r="T405" s="97" t="b">
        <f ca="1">AND(NOT(S405),W405=TRUE)</f>
        <v>0</v>
      </c>
      <c r="U405"/>
      <c r="V405"/>
      <c r="W405" s="25"/>
      <c r="X405" s="1303"/>
      <c r="AC405" s="471" t="b">
        <f ca="1">OR(AD405:AE405)</f>
        <v>0</v>
      </c>
      <c r="AD405" s="471" t="b">
        <f ca="1">T405</f>
        <v>0</v>
      </c>
      <c r="AE405" s="471" t="b">
        <f>AND(R405,NOT(W405))</f>
        <v>0</v>
      </c>
      <c r="AP405" s="311" t="str">
        <f>SUBSTITUTE(SUBSTITUTE(SUBSTITUTE("dch"&amp;$B405&amp;$C405&amp;$D405&amp;$E405&amp;$F405,".","_"),"(","_"),")","")</f>
        <v>dch703_7_3_1_a</v>
      </c>
      <c r="AQ405" s="311">
        <f>W405</f>
        <v>0</v>
      </c>
      <c r="AR405" s="311" t="str">
        <f>SUBSTITUTE(SUBSTITUTE(SUBSTITUTE("dnt"&amp;$B405&amp;$C405&amp;$D405&amp;$E405&amp;$F405,".","_"),"(","_"),")","")</f>
        <v>dnt703_7_3_1_a</v>
      </c>
      <c r="AS405" s="311">
        <f>X405</f>
        <v>0</v>
      </c>
    </row>
    <row r="406" spans="2:45" x14ac:dyDescent="0.3">
      <c r="B406" s="938" t="s">
        <v>1157</v>
      </c>
      <c r="C406" s="93"/>
      <c r="D406" s="142" t="s">
        <v>271</v>
      </c>
      <c r="E406" s="21" t="s">
        <v>121</v>
      </c>
      <c r="F406" s="21"/>
      <c r="G406" s="21"/>
      <c r="H406" s="1084"/>
      <c r="I406" s="4"/>
      <c r="J406" s="178"/>
      <c r="K406" s="178"/>
      <c r="L406" s="1329"/>
      <c r="M406" s="522"/>
      <c r="N406" s="4"/>
      <c r="O406" s="154"/>
      <c r="P406"/>
      <c r="Q406"/>
      <c r="R406"/>
      <c r="S406"/>
      <c r="T406"/>
      <c r="U406"/>
      <c r="V406"/>
      <c r="W406"/>
      <c r="X406" s="1303"/>
    </row>
    <row r="407" spans="2:45" x14ac:dyDescent="0.3">
      <c r="B407" s="938" t="s">
        <v>1157</v>
      </c>
      <c r="C407" s="93"/>
      <c r="D407" s="142" t="s">
        <v>271</v>
      </c>
      <c r="E407" s="21" t="s">
        <v>122</v>
      </c>
      <c r="F407" s="21"/>
      <c r="G407" s="21"/>
      <c r="H407" s="1084"/>
      <c r="I407" s="4"/>
      <c r="J407" s="178"/>
      <c r="K407" s="260" t="s">
        <v>122</v>
      </c>
      <c r="L407" s="178" t="s">
        <v>1163</v>
      </c>
      <c r="M407" s="522"/>
      <c r="N407" s="4"/>
      <c r="O407" s="154"/>
      <c r="P407" s="97" t="b">
        <v>1</v>
      </c>
      <c r="Q407" s="97" t="b">
        <v>1</v>
      </c>
      <c r="R407" s="471" t="b">
        <v>0</v>
      </c>
      <c r="S407" s="471" t="b">
        <f ca="1">(S13=2)</f>
        <v>0</v>
      </c>
      <c r="T407" s="97" t="b">
        <f ca="1">AND(NOT(S407),W407=TRUE)</f>
        <v>0</v>
      </c>
      <c r="U407"/>
      <c r="V407"/>
      <c r="W407" s="25"/>
      <c r="X407" s="512"/>
      <c r="AC407" s="471" t="b">
        <f ca="1">OR(AD407:AE407)</f>
        <v>0</v>
      </c>
      <c r="AD407" s="471" t="b">
        <f ca="1">T407</f>
        <v>0</v>
      </c>
      <c r="AE407" s="471" t="b">
        <f>AND(R407,NOT(W407))</f>
        <v>0</v>
      </c>
      <c r="AP407" s="311" t="str">
        <f t="shared" ref="AP407:AP409" si="41">SUBSTITUTE(SUBSTITUTE(SUBSTITUTE("dch"&amp;$B407&amp;$C407&amp;$D407&amp;$E407&amp;$F407,".","_"),"(","_"),")","")</f>
        <v>dch703_7_3_1_b</v>
      </c>
      <c r="AQ407" s="311">
        <f>W407</f>
        <v>0</v>
      </c>
      <c r="AR407" s="311" t="str">
        <f t="shared" ref="AR407:AR409" si="42">SUBSTITUTE(SUBSTITUTE(SUBSTITUTE("dnt"&amp;$B407&amp;$C407&amp;$D407&amp;$E407&amp;$F407,".","_"),"(","_"),")","")</f>
        <v>dnt703_7_3_1_b</v>
      </c>
      <c r="AS407" s="311">
        <f>X407</f>
        <v>0</v>
      </c>
    </row>
    <row r="408" spans="2:45" x14ac:dyDescent="0.3">
      <c r="B408" s="938" t="s">
        <v>1157</v>
      </c>
      <c r="C408" s="93"/>
      <c r="D408" s="142" t="s">
        <v>271</v>
      </c>
      <c r="E408" s="26" t="s">
        <v>123</v>
      </c>
      <c r="F408" s="26"/>
      <c r="G408" s="26"/>
      <c r="H408" s="1085"/>
      <c r="I408" s="4"/>
      <c r="J408" s="178"/>
      <c r="K408" s="261" t="s">
        <v>123</v>
      </c>
      <c r="L408" s="178" t="s">
        <v>1164</v>
      </c>
      <c r="M408" s="522"/>
      <c r="N408" s="4"/>
      <c r="O408" s="154"/>
      <c r="P408" s="97" t="b">
        <v>1</v>
      </c>
      <c r="Q408" s="97" t="b">
        <v>1</v>
      </c>
      <c r="R408" s="471" t="b">
        <v>0</v>
      </c>
      <c r="S408" s="471" t="b">
        <f ca="1">(S13=2)</f>
        <v>0</v>
      </c>
      <c r="T408" s="97" t="b">
        <f ca="1">AND(NOT(S408),W408=TRUE)</f>
        <v>0</v>
      </c>
      <c r="U408"/>
      <c r="V408"/>
      <c r="W408" s="25"/>
      <c r="X408" s="512"/>
      <c r="AC408" s="471" t="b">
        <f ca="1">OR(AD408:AE408)</f>
        <v>0</v>
      </c>
      <c r="AD408" s="471" t="b">
        <f ca="1">T408</f>
        <v>0</v>
      </c>
      <c r="AE408" s="471" t="b">
        <f>AND(R408,NOT(W408))</f>
        <v>0</v>
      </c>
      <c r="AP408" s="311" t="str">
        <f t="shared" si="41"/>
        <v>dch703_7_3_1_c</v>
      </c>
      <c r="AQ408" s="311">
        <f>W408</f>
        <v>0</v>
      </c>
      <c r="AR408" s="311" t="str">
        <f t="shared" si="42"/>
        <v>dnt703_7_3_1_c</v>
      </c>
      <c r="AS408" s="311">
        <f>X408</f>
        <v>0</v>
      </c>
    </row>
    <row r="409" spans="2:45" x14ac:dyDescent="0.3">
      <c r="B409" s="938" t="s">
        <v>1157</v>
      </c>
      <c r="C409" s="93"/>
      <c r="D409" s="142" t="s">
        <v>271</v>
      </c>
      <c r="E409" s="21" t="s">
        <v>423</v>
      </c>
      <c r="F409" s="21"/>
      <c r="G409" s="21"/>
      <c r="H409" s="1084"/>
      <c r="I409" s="4"/>
      <c r="J409" s="544"/>
      <c r="K409" s="369" t="s">
        <v>423</v>
      </c>
      <c r="L409" s="1305" t="s">
        <v>1165</v>
      </c>
      <c r="M409" s="522"/>
      <c r="N409" s="4"/>
      <c r="O409" s="154"/>
      <c r="P409" s="97" t="b">
        <v>1</v>
      </c>
      <c r="Q409" s="97" t="b">
        <v>1</v>
      </c>
      <c r="R409" s="471" t="b">
        <v>0</v>
      </c>
      <c r="S409" s="471" t="b">
        <f ca="1">(S13=2)</f>
        <v>0</v>
      </c>
      <c r="T409" s="97" t="b">
        <f ca="1">AND(NOT(S409),W409=TRUE)</f>
        <v>0</v>
      </c>
      <c r="U409"/>
      <c r="V409"/>
      <c r="W409" s="25"/>
      <c r="X409" s="1303"/>
      <c r="AC409" s="471" t="b">
        <f ca="1">OR(AD409:AE409)</f>
        <v>0</v>
      </c>
      <c r="AD409" s="471" t="b">
        <f ca="1">T409</f>
        <v>0</v>
      </c>
      <c r="AE409" s="471" t="b">
        <f>AND(R409,NOT(W409))</f>
        <v>0</v>
      </c>
      <c r="AP409" s="311" t="str">
        <f t="shared" si="41"/>
        <v>dch703_7_3_1_d</v>
      </c>
      <c r="AQ409" s="311">
        <f>W409</f>
        <v>0</v>
      </c>
      <c r="AR409" s="311" t="str">
        <f t="shared" si="42"/>
        <v>dnt703_7_3_1_d</v>
      </c>
      <c r="AS409" s="311">
        <f>X409</f>
        <v>0</v>
      </c>
    </row>
    <row r="410" spans="2:45" x14ac:dyDescent="0.3">
      <c r="B410" s="938" t="s">
        <v>1157</v>
      </c>
      <c r="C410" s="93"/>
      <c r="D410" s="142" t="s">
        <v>271</v>
      </c>
      <c r="E410" s="21" t="s">
        <v>423</v>
      </c>
      <c r="F410" s="21"/>
      <c r="G410" s="21"/>
      <c r="H410" s="1084"/>
      <c r="I410" s="4"/>
      <c r="J410" s="545"/>
      <c r="K410" s="545"/>
      <c r="L410" s="1306"/>
      <c r="M410" s="522"/>
      <c r="N410" s="4"/>
      <c r="O410" s="154"/>
      <c r="P410"/>
      <c r="Q410"/>
      <c r="R410"/>
      <c r="S410"/>
      <c r="T410"/>
      <c r="U410"/>
      <c r="V410"/>
      <c r="W410"/>
      <c r="X410" s="1303"/>
    </row>
    <row r="411" spans="2:45" x14ac:dyDescent="0.3">
      <c r="B411" s="938" t="s">
        <v>1157</v>
      </c>
      <c r="C411" s="93"/>
      <c r="D411" s="21" t="s">
        <v>273</v>
      </c>
      <c r="E411" s="21"/>
      <c r="F411" s="21"/>
      <c r="G411" s="21"/>
      <c r="H411" s="1084"/>
      <c r="I411" s="4"/>
      <c r="J411" s="264" t="s">
        <v>273</v>
      </c>
      <c r="K411" s="178"/>
      <c r="L411" s="1329" t="s">
        <v>1166</v>
      </c>
      <c r="M411" s="522"/>
      <c r="N411" s="4"/>
      <c r="O411" s="154"/>
      <c r="P411" s="97" t="b">
        <v>1</v>
      </c>
      <c r="Q411" s="97" t="b">
        <v>1</v>
      </c>
      <c r="R411" s="471" t="b">
        <v>0</v>
      </c>
      <c r="S411" s="471" t="b">
        <f ca="1">AND(S13=2,NOT(W369=TRUE))</f>
        <v>0</v>
      </c>
      <c r="T411" s="97" t="b">
        <f ca="1">AND(NOT(S411),W411=TRUE)</f>
        <v>0</v>
      </c>
      <c r="U411"/>
      <c r="V411"/>
      <c r="W411" s="25"/>
      <c r="X411" s="1303"/>
      <c r="AC411" s="471" t="b">
        <f ca="1">OR(AD411:AE411)</f>
        <v>0</v>
      </c>
      <c r="AD411" s="471" t="b">
        <f ca="1">T411</f>
        <v>0</v>
      </c>
      <c r="AE411" s="471" t="b">
        <f>AND(R411,NOT(W411))</f>
        <v>0</v>
      </c>
      <c r="AP411" s="311" t="str">
        <f>SUBSTITUTE(SUBSTITUTE(SUBSTITUTE("dch"&amp;$B411&amp;$C411&amp;$D411&amp;$E411&amp;$F411,".","_"),"(","_"),")","")</f>
        <v>dch703_7_3_2</v>
      </c>
      <c r="AQ411" s="311">
        <f>W411</f>
        <v>0</v>
      </c>
      <c r="AR411" s="311" t="str">
        <f>SUBSTITUTE(SUBSTITUTE(SUBSTITUTE("dnt"&amp;$B411&amp;$C411&amp;$D411&amp;$E411&amp;$F411,".","_"),"(","_"),")","")</f>
        <v>dnt703_7_3_2</v>
      </c>
      <c r="AS411" s="311">
        <f>X411</f>
        <v>0</v>
      </c>
    </row>
    <row r="412" spans="2:45" x14ac:dyDescent="0.3">
      <c r="B412" s="938" t="s">
        <v>1157</v>
      </c>
      <c r="C412" s="93"/>
      <c r="D412" s="21" t="s">
        <v>273</v>
      </c>
      <c r="E412" s="21"/>
      <c r="F412" s="21"/>
      <c r="G412" s="21"/>
      <c r="H412" s="1084"/>
      <c r="I412" s="4"/>
      <c r="J412" s="178"/>
      <c r="K412" s="178"/>
      <c r="L412" s="1329"/>
      <c r="M412" s="522"/>
      <c r="N412" s="4"/>
      <c r="O412" s="154"/>
      <c r="P412"/>
      <c r="Q412"/>
      <c r="R412"/>
      <c r="S412"/>
      <c r="T412"/>
      <c r="U412"/>
      <c r="V412"/>
      <c r="W412"/>
      <c r="X412" s="1303"/>
    </row>
    <row r="413" spans="2:45" x14ac:dyDescent="0.3">
      <c r="B413" s="938" t="s">
        <v>1157</v>
      </c>
      <c r="C413" s="93"/>
      <c r="D413" s="21" t="s">
        <v>273</v>
      </c>
      <c r="E413" s="21"/>
      <c r="F413" s="21"/>
      <c r="G413" s="21"/>
      <c r="H413" s="1084"/>
      <c r="I413" s="4"/>
      <c r="J413" s="545"/>
      <c r="K413" s="545"/>
      <c r="L413" s="560" t="s">
        <v>1167</v>
      </c>
      <c r="M413" s="522"/>
      <c r="N413" s="4"/>
      <c r="O413" s="154"/>
      <c r="P413"/>
      <c r="Q413"/>
      <c r="R413"/>
      <c r="S413"/>
      <c r="T413"/>
      <c r="U413"/>
      <c r="V413"/>
      <c r="W413"/>
      <c r="X413" s="1303"/>
    </row>
    <row r="414" spans="2:45" x14ac:dyDescent="0.3">
      <c r="B414" s="938" t="s">
        <v>1157</v>
      </c>
      <c r="C414" s="93"/>
      <c r="D414" s="21" t="s">
        <v>275</v>
      </c>
      <c r="E414" s="21"/>
      <c r="F414" s="21"/>
      <c r="G414" s="21"/>
      <c r="H414" s="1084"/>
      <c r="I414" s="4"/>
      <c r="J414" s="656" t="s">
        <v>275</v>
      </c>
      <c r="K414" s="365"/>
      <c r="L414" s="365" t="s">
        <v>1168</v>
      </c>
      <c r="M414" s="522"/>
      <c r="N414" s="4"/>
      <c r="O414" s="154"/>
      <c r="P414" s="97" t="b">
        <v>1</v>
      </c>
      <c r="Q414" s="97" t="b">
        <v>1</v>
      </c>
      <c r="R414" s="471" t="b">
        <v>0</v>
      </c>
      <c r="S414" s="471" t="b">
        <f ca="1">(S13=2)</f>
        <v>0</v>
      </c>
      <c r="T414" s="97" t="b">
        <f ca="1">AND(NOT(S414),W414=TRUE)</f>
        <v>0</v>
      </c>
      <c r="U414"/>
      <c r="V414"/>
      <c r="W414" s="25"/>
      <c r="X414" s="512"/>
      <c r="AC414" s="471" t="b">
        <f ca="1">OR(AD414:AE414)</f>
        <v>0</v>
      </c>
      <c r="AD414" s="471" t="b">
        <f ca="1">T414</f>
        <v>0</v>
      </c>
      <c r="AE414" s="471" t="b">
        <f>AND(R414,NOT(W414))</f>
        <v>0</v>
      </c>
      <c r="AP414" s="311" t="str">
        <f t="shared" ref="AP414:AP415" si="43">SUBSTITUTE(SUBSTITUTE(SUBSTITUTE("dch"&amp;$B414&amp;$C414&amp;$D414&amp;$E414&amp;$F414,".","_"),"(","_"),")","")</f>
        <v>dch703_7_3_3</v>
      </c>
      <c r="AQ414" s="311">
        <f>W414</f>
        <v>0</v>
      </c>
      <c r="AR414" s="311" t="str">
        <f t="shared" ref="AR414:AR415" si="44">SUBSTITUTE(SUBSTITUTE(SUBSTITUTE("dnt"&amp;$B414&amp;$C414&amp;$D414&amp;$E414&amp;$F414,".","_"),"(","_"),")","")</f>
        <v>dnt703_7_3_3</v>
      </c>
      <c r="AS414" s="311">
        <f>X414</f>
        <v>0</v>
      </c>
    </row>
    <row r="415" spans="2:45" x14ac:dyDescent="0.3">
      <c r="B415" s="938" t="s">
        <v>1157</v>
      </c>
      <c r="C415" s="93"/>
      <c r="D415" s="21" t="s">
        <v>285</v>
      </c>
      <c r="E415" s="21"/>
      <c r="F415" s="21"/>
      <c r="G415" s="21"/>
      <c r="H415" s="1084"/>
      <c r="I415" s="4"/>
      <c r="J415" s="657" t="s">
        <v>285</v>
      </c>
      <c r="K415" s="557"/>
      <c r="L415" s="1356" t="s">
        <v>1169</v>
      </c>
      <c r="M415" s="522"/>
      <c r="N415" s="4"/>
      <c r="O415" s="154"/>
      <c r="P415" s="97" t="b">
        <v>1</v>
      </c>
      <c r="Q415" s="97" t="b">
        <v>1</v>
      </c>
      <c r="R415" s="471" t="b">
        <v>0</v>
      </c>
      <c r="S415" s="471" t="b">
        <f ca="1">AND(S13=2,OR(BF16=1,BF16=2,BF16=3))</f>
        <v>0</v>
      </c>
      <c r="T415" s="97" t="b">
        <f ca="1">AND(NOT(S415),W415=TRUE)</f>
        <v>0</v>
      </c>
      <c r="U415"/>
      <c r="V415"/>
      <c r="W415" s="25"/>
      <c r="X415" s="1303"/>
      <c r="AC415" s="471" t="b">
        <f ca="1">OR(AD415:AE415)</f>
        <v>0</v>
      </c>
      <c r="AD415" s="471" t="b">
        <f ca="1">T415</f>
        <v>0</v>
      </c>
      <c r="AE415" s="471" t="b">
        <f>AND(R415,NOT(W415))</f>
        <v>0</v>
      </c>
      <c r="AP415" s="311" t="str">
        <f t="shared" si="43"/>
        <v>dch703_7_3_4</v>
      </c>
      <c r="AQ415" s="311">
        <f>W415</f>
        <v>0</v>
      </c>
      <c r="AR415" s="311" t="str">
        <f t="shared" si="44"/>
        <v>dnt703_7_3_4</v>
      </c>
      <c r="AS415" s="311">
        <f>X415</f>
        <v>0</v>
      </c>
    </row>
    <row r="416" spans="2:45" x14ac:dyDescent="0.3">
      <c r="B416" s="938" t="s">
        <v>1157</v>
      </c>
      <c r="C416" s="93"/>
      <c r="D416" s="21" t="s">
        <v>285</v>
      </c>
      <c r="E416" s="21"/>
      <c r="F416" s="21"/>
      <c r="G416" s="21"/>
      <c r="H416" s="1084"/>
      <c r="I416" s="4"/>
      <c r="J416" s="545"/>
      <c r="K416" s="545"/>
      <c r="L416" s="1306"/>
      <c r="M416" s="522"/>
      <c r="N416" s="4"/>
      <c r="O416" s="154"/>
      <c r="P416"/>
      <c r="Q416"/>
      <c r="R416"/>
      <c r="S416"/>
      <c r="T416"/>
      <c r="U416"/>
      <c r="V416"/>
      <c r="W416"/>
      <c r="X416" s="1303"/>
    </row>
    <row r="417" spans="2:45" x14ac:dyDescent="0.3">
      <c r="B417" s="938" t="s">
        <v>1157</v>
      </c>
      <c r="C417" s="93"/>
      <c r="D417" s="21" t="s">
        <v>291</v>
      </c>
      <c r="E417" s="21"/>
      <c r="F417" s="21"/>
      <c r="G417" s="21"/>
      <c r="H417" s="1084"/>
      <c r="I417" s="4"/>
      <c r="J417" s="264" t="s">
        <v>291</v>
      </c>
      <c r="K417" s="178"/>
      <c r="L417" s="1329" t="s">
        <v>1170</v>
      </c>
      <c r="M417" s="522"/>
      <c r="N417" s="4"/>
      <c r="O417" s="154"/>
      <c r="P417"/>
      <c r="Q417"/>
      <c r="R417"/>
      <c r="S417"/>
      <c r="T417"/>
      <c r="U417"/>
      <c r="V417"/>
      <c r="W417"/>
      <c r="X417"/>
    </row>
    <row r="418" spans="2:45" x14ac:dyDescent="0.3">
      <c r="B418" s="938" t="s">
        <v>1157</v>
      </c>
      <c r="C418" s="93"/>
      <c r="D418" s="21" t="s">
        <v>291</v>
      </c>
      <c r="E418" s="21"/>
      <c r="F418" s="21"/>
      <c r="G418" s="21"/>
      <c r="H418" s="1084"/>
      <c r="I418" s="4"/>
      <c r="J418" s="178"/>
      <c r="K418" s="178"/>
      <c r="L418" s="1329"/>
      <c r="M418" s="522"/>
      <c r="N418" s="4"/>
      <c r="O418" s="154"/>
      <c r="P418"/>
      <c r="Q418"/>
      <c r="R418"/>
      <c r="S418"/>
      <c r="T418"/>
      <c r="U418"/>
      <c r="V418"/>
      <c r="W418"/>
      <c r="X418"/>
    </row>
    <row r="419" spans="2:45" x14ac:dyDescent="0.3">
      <c r="B419" s="938" t="s">
        <v>1157</v>
      </c>
      <c r="C419" s="93"/>
      <c r="D419" s="21" t="s">
        <v>291</v>
      </c>
      <c r="E419" s="21"/>
      <c r="F419" s="21"/>
      <c r="G419" s="21"/>
      <c r="H419" s="1084"/>
      <c r="I419" s="4"/>
      <c r="J419" s="178"/>
      <c r="K419" s="178"/>
      <c r="L419" s="1329"/>
      <c r="M419" s="522"/>
      <c r="N419" s="4"/>
      <c r="O419" s="154"/>
      <c r="P419"/>
      <c r="Q419"/>
      <c r="R419"/>
      <c r="S419"/>
      <c r="T419"/>
      <c r="U419"/>
      <c r="V419"/>
      <c r="W419"/>
      <c r="X419"/>
    </row>
    <row r="420" spans="2:45" x14ac:dyDescent="0.3">
      <c r="B420" s="938" t="s">
        <v>1157</v>
      </c>
      <c r="C420" s="93"/>
      <c r="D420" s="142" t="s">
        <v>291</v>
      </c>
      <c r="E420" s="21" t="s">
        <v>121</v>
      </c>
      <c r="F420" s="21"/>
      <c r="G420" s="21"/>
      <c r="H420" s="1084"/>
      <c r="I420" s="4"/>
      <c r="J420" s="178"/>
      <c r="K420" s="260" t="s">
        <v>121</v>
      </c>
      <c r="L420" s="1329" t="s">
        <v>1171</v>
      </c>
      <c r="M420" s="522"/>
      <c r="N420" s="4"/>
      <c r="O420" s="154"/>
      <c r="P420" s="97" t="b">
        <v>1</v>
      </c>
      <c r="Q420" s="97" t="b">
        <v>1</v>
      </c>
      <c r="R420" s="471" t="b">
        <v>0</v>
      </c>
      <c r="S420" s="471" t="b">
        <f ca="1">(S13=2)</f>
        <v>0</v>
      </c>
      <c r="T420" s="97" t="b">
        <f ca="1">AND(NOT(S420),W420=TRUE)</f>
        <v>0</v>
      </c>
      <c r="U420"/>
      <c r="V420"/>
      <c r="W420" s="25"/>
      <c r="X420" s="1303"/>
      <c r="AC420" s="471" t="b">
        <f ca="1">OR(AD420:AE420)</f>
        <v>0</v>
      </c>
      <c r="AD420" s="471" t="b">
        <f ca="1">T420</f>
        <v>0</v>
      </c>
      <c r="AE420" s="471" t="b">
        <f>AND(R420,NOT(W420))</f>
        <v>0</v>
      </c>
      <c r="AP420" s="311" t="str">
        <f>SUBSTITUTE(SUBSTITUTE(SUBSTITUTE("dch"&amp;$B420&amp;$C420&amp;$D420&amp;$E420&amp;$F420,".","_"),"(","_"),")","")</f>
        <v>dch703_7_3_5_a</v>
      </c>
      <c r="AQ420" s="311">
        <f>W420</f>
        <v>0</v>
      </c>
      <c r="AR420" s="311" t="str">
        <f>SUBSTITUTE(SUBSTITUTE(SUBSTITUTE("dnt"&amp;$B420&amp;$C420&amp;$D420&amp;$E420&amp;$F420,".","_"),"(","_"),")","")</f>
        <v>dnt703_7_3_5_a</v>
      </c>
      <c r="AS420" s="311">
        <f>X420</f>
        <v>0</v>
      </c>
    </row>
    <row r="421" spans="2:45" x14ac:dyDescent="0.3">
      <c r="B421" s="938" t="s">
        <v>1157</v>
      </c>
      <c r="C421" s="93"/>
      <c r="D421" s="142" t="s">
        <v>291</v>
      </c>
      <c r="E421" s="21" t="s">
        <v>121</v>
      </c>
      <c r="F421" s="21"/>
      <c r="G421" s="21"/>
      <c r="H421" s="1084"/>
      <c r="I421" s="4"/>
      <c r="J421" s="178"/>
      <c r="K421" s="178"/>
      <c r="L421" s="1329"/>
      <c r="M421" s="522"/>
      <c r="N421" s="4"/>
      <c r="O421" s="154"/>
      <c r="P421"/>
      <c r="Q421"/>
      <c r="R421"/>
      <c r="S421"/>
      <c r="T421"/>
      <c r="U421"/>
      <c r="V421"/>
      <c r="W421"/>
      <c r="X421" s="1303"/>
    </row>
    <row r="422" spans="2:45" x14ac:dyDescent="0.3">
      <c r="B422" s="938" t="s">
        <v>1157</v>
      </c>
      <c r="C422" s="93"/>
      <c r="D422" s="142" t="s">
        <v>291</v>
      </c>
      <c r="E422" s="21" t="s">
        <v>122</v>
      </c>
      <c r="F422" s="21"/>
      <c r="G422" s="21"/>
      <c r="H422" s="1084"/>
      <c r="I422" s="4"/>
      <c r="J422" s="544"/>
      <c r="K422" s="614" t="s">
        <v>122</v>
      </c>
      <c r="L422" s="1305" t="s">
        <v>1172</v>
      </c>
      <c r="M422" s="522"/>
      <c r="N422" s="4"/>
      <c r="O422" s="154"/>
      <c r="P422" s="97" t="b">
        <v>1</v>
      </c>
      <c r="Q422" s="97" t="b">
        <v>1</v>
      </c>
      <c r="R422" s="471" t="b">
        <v>0</v>
      </c>
      <c r="S422" s="471" t="b">
        <f ca="1">(S13=2)</f>
        <v>0</v>
      </c>
      <c r="T422" s="97" t="b">
        <f ca="1">AND(NOT(S422),W422=TRUE)</f>
        <v>0</v>
      </c>
      <c r="U422"/>
      <c r="V422"/>
      <c r="W422" s="25"/>
      <c r="X422" s="1303"/>
      <c r="AC422" s="471" t="b">
        <f ca="1">OR(AD422:AE422)</f>
        <v>0</v>
      </c>
      <c r="AD422" s="471" t="b">
        <f ca="1">T422</f>
        <v>0</v>
      </c>
      <c r="AE422" s="471" t="b">
        <f>AND(R422,NOT(W422))</f>
        <v>0</v>
      </c>
      <c r="AP422" s="311" t="str">
        <f>SUBSTITUTE(SUBSTITUTE(SUBSTITUTE("dch"&amp;$B422&amp;$C422&amp;$D422&amp;$E422&amp;$F422,".","_"),"(","_"),")","")</f>
        <v>dch703_7_3_5_b</v>
      </c>
      <c r="AQ422" s="311">
        <f>W422</f>
        <v>0</v>
      </c>
      <c r="AR422" s="311" t="str">
        <f>SUBSTITUTE(SUBSTITUTE(SUBSTITUTE("dnt"&amp;$B422&amp;$C422&amp;$D422&amp;$E422&amp;$F422,".","_"),"(","_"),")","")</f>
        <v>dnt703_7_3_5_b</v>
      </c>
      <c r="AS422" s="311">
        <f>X422</f>
        <v>0</v>
      </c>
    </row>
    <row r="423" spans="2:45" x14ac:dyDescent="0.3">
      <c r="B423" s="938" t="s">
        <v>1157</v>
      </c>
      <c r="C423" s="93"/>
      <c r="D423" s="142" t="s">
        <v>291</v>
      </c>
      <c r="E423" s="21" t="s">
        <v>122</v>
      </c>
      <c r="F423" s="21"/>
      <c r="G423" s="21"/>
      <c r="H423" s="1084"/>
      <c r="I423" s="4"/>
      <c r="J423" s="545"/>
      <c r="K423" s="545"/>
      <c r="L423" s="1306"/>
      <c r="M423" s="522"/>
      <c r="N423" s="4"/>
      <c r="O423" s="154"/>
      <c r="P423"/>
      <c r="Q423"/>
      <c r="R423"/>
      <c r="S423"/>
      <c r="T423"/>
      <c r="U423"/>
      <c r="V423"/>
      <c r="W423"/>
      <c r="X423" s="1303"/>
    </row>
    <row r="424" spans="2:45" x14ac:dyDescent="0.3">
      <c r="B424" s="938" t="s">
        <v>1157</v>
      </c>
      <c r="C424" s="93"/>
      <c r="D424" s="21" t="s">
        <v>293</v>
      </c>
      <c r="E424" s="21"/>
      <c r="F424" s="21"/>
      <c r="G424" s="21"/>
      <c r="H424" s="1084"/>
      <c r="I424" s="140"/>
      <c r="J424" s="643" t="s">
        <v>293</v>
      </c>
      <c r="K424" s="544"/>
      <c r="L424" s="1305" t="s">
        <v>1173</v>
      </c>
      <c r="M424" s="548"/>
      <c r="N424" s="140"/>
      <c r="O424" s="598"/>
      <c r="P424" s="97" t="b">
        <v>1</v>
      </c>
      <c r="Q424" s="97" t="b">
        <v>1</v>
      </c>
      <c r="R424" s="471" t="b">
        <v>0</v>
      </c>
      <c r="S424" s="471" t="b">
        <f ca="1">(S13=2)</f>
        <v>0</v>
      </c>
      <c r="T424" s="97" t="b">
        <f ca="1">AND(NOT(S424),W424=TRUE)</f>
        <v>0</v>
      </c>
      <c r="U424"/>
      <c r="V424"/>
      <c r="W424" s="25"/>
      <c r="X424" s="1303"/>
      <c r="AC424" s="471" t="b">
        <f ca="1">OR(AD424:AE424)</f>
        <v>0</v>
      </c>
      <c r="AD424" s="471" t="b">
        <f ca="1">T424</f>
        <v>0</v>
      </c>
      <c r="AE424" s="471" t="b">
        <f>AND(R424,NOT(W424))</f>
        <v>0</v>
      </c>
      <c r="AP424" s="311" t="str">
        <f>SUBSTITUTE(SUBSTITUTE(SUBSTITUTE("dch"&amp;$B424&amp;$C424&amp;$D424&amp;$E424&amp;$F424,".","_"),"(","_"),")","")</f>
        <v>dch703_7_3_6</v>
      </c>
      <c r="AQ424" s="311">
        <f>W424</f>
        <v>0</v>
      </c>
      <c r="AR424" s="311" t="str">
        <f>SUBSTITUTE(SUBSTITUTE(SUBSTITUTE("dnt"&amp;$B424&amp;$C424&amp;$D424&amp;$E424&amp;$F424,".","_"),"(","_"),")","")</f>
        <v>dnt703_7_3_6</v>
      </c>
      <c r="AS424" s="311">
        <f>X424</f>
        <v>0</v>
      </c>
    </row>
    <row r="425" spans="2:45" x14ac:dyDescent="0.3">
      <c r="B425" s="938" t="s">
        <v>1157</v>
      </c>
      <c r="C425" s="93"/>
      <c r="D425" s="21" t="s">
        <v>293</v>
      </c>
      <c r="E425" s="21"/>
      <c r="F425" s="21"/>
      <c r="G425" s="21"/>
      <c r="H425" s="1084"/>
      <c r="I425" s="238"/>
      <c r="J425" s="545"/>
      <c r="K425" s="545"/>
      <c r="L425" s="1306"/>
      <c r="M425" s="549"/>
      <c r="N425" s="238"/>
      <c r="O425" s="599"/>
      <c r="P425"/>
      <c r="Q425"/>
      <c r="R425"/>
      <c r="S425"/>
      <c r="T425"/>
      <c r="U425"/>
      <c r="V425"/>
      <c r="W425"/>
      <c r="X425" s="1303"/>
    </row>
    <row r="426" spans="2:45" x14ac:dyDescent="0.3">
      <c r="B426" s="938" t="s">
        <v>1174</v>
      </c>
      <c r="C426" s="93"/>
      <c r="D426" s="21"/>
      <c r="E426" s="21"/>
      <c r="F426" s="21"/>
      <c r="G426" s="21"/>
      <c r="H426" s="1084"/>
      <c r="I426" s="68" t="s">
        <v>1174</v>
      </c>
      <c r="J426" s="178"/>
      <c r="K426" s="178"/>
      <c r="L426" s="1377" t="s">
        <v>1175</v>
      </c>
      <c r="M426" s="1335">
        <v>4</v>
      </c>
      <c r="N426" s="4"/>
      <c r="O426" s="1310">
        <f ca="1">M426*S426*W426</f>
        <v>0</v>
      </c>
      <c r="P426" s="97" t="b">
        <v>1</v>
      </c>
      <c r="Q426" s="97" t="b">
        <v>1</v>
      </c>
      <c r="R426" s="471" t="b">
        <v>0</v>
      </c>
      <c r="S426" s="471" t="b">
        <f ca="1">AND(S13=2,W369=TRUE,NOT(BI16="Tropical"))</f>
        <v>0</v>
      </c>
      <c r="T426" s="97" t="b">
        <f ca="1">AND(NOT(S426),W426=TRUE)</f>
        <v>0</v>
      </c>
      <c r="U426"/>
      <c r="V426"/>
      <c r="W426" s="25"/>
      <c r="X426"/>
      <c r="AC426" s="471" t="b">
        <f ca="1">OR(AD426:AE426)</f>
        <v>0</v>
      </c>
      <c r="AD426" s="471" t="b">
        <f ca="1">T426</f>
        <v>0</v>
      </c>
      <c r="AE426" s="471" t="b">
        <f>AND(R426,NOT(W426))</f>
        <v>0</v>
      </c>
      <c r="AL426" s="311" t="str">
        <f>SUBSTITUTE(SUBSTITUTE(SUBSTITUTE("dpa"&amp;$B426&amp;$C426&amp;$D426&amp;$E426&amp;$F426,".","_"),"(","_"),")","")</f>
        <v>dpa703_7_4</v>
      </c>
      <c r="AM426" s="311">
        <f>M426</f>
        <v>4</v>
      </c>
      <c r="AN426" s="311" t="str">
        <f>SUBSTITUTE(SUBSTITUTE(SUBSTITUTE("dpc"&amp;$B426&amp;$C426&amp;$D426&amp;$E426&amp;$F426,".","_"),"(","_"),")","")</f>
        <v>dpc703_7_4</v>
      </c>
      <c r="AO426" s="311">
        <f ca="1">O426</f>
        <v>0</v>
      </c>
      <c r="AP426" s="311" t="str">
        <f>SUBSTITUTE(SUBSTITUTE(SUBSTITUTE("dch"&amp;$B426&amp;$C426&amp;$D426&amp;$E426&amp;$F426,".","_"),"(","_"),")","")</f>
        <v>dch703_7_4</v>
      </c>
      <c r="AQ426" s="311">
        <f>W426</f>
        <v>0</v>
      </c>
    </row>
    <row r="427" spans="2:45" x14ac:dyDescent="0.3">
      <c r="B427" s="938" t="s">
        <v>1174</v>
      </c>
      <c r="C427" s="93"/>
      <c r="D427" s="21"/>
      <c r="E427" s="21"/>
      <c r="F427" s="21"/>
      <c r="G427" s="21"/>
      <c r="H427" s="1084"/>
      <c r="I427" s="4"/>
      <c r="J427" s="178"/>
      <c r="K427" s="178"/>
      <c r="L427" s="1377"/>
      <c r="M427" s="1335"/>
      <c r="N427" s="4"/>
      <c r="O427" s="1310"/>
      <c r="P427"/>
      <c r="Q427"/>
      <c r="R427"/>
      <c r="S427"/>
      <c r="T427"/>
      <c r="U427"/>
      <c r="V427"/>
      <c r="W427"/>
      <c r="X427"/>
    </row>
    <row r="428" spans="2:45" x14ac:dyDescent="0.3">
      <c r="B428" s="938" t="s">
        <v>1174</v>
      </c>
      <c r="C428" s="93"/>
      <c r="D428" s="21"/>
      <c r="E428" s="21"/>
      <c r="F428" s="21"/>
      <c r="G428" s="21"/>
      <c r="H428" s="1084"/>
      <c r="I428" s="4"/>
      <c r="J428" s="178"/>
      <c r="K428" s="178"/>
      <c r="L428" s="178" t="s">
        <v>1176</v>
      </c>
      <c r="M428" s="522"/>
      <c r="N428" s="4"/>
      <c r="O428" s="154"/>
      <c r="P428"/>
      <c r="Q428"/>
      <c r="R428"/>
      <c r="S428"/>
      <c r="T428"/>
      <c r="U428"/>
      <c r="V428"/>
      <c r="W428"/>
      <c r="X428"/>
    </row>
    <row r="429" spans="2:45" x14ac:dyDescent="0.3">
      <c r="B429" s="938" t="s">
        <v>1174</v>
      </c>
      <c r="C429" s="93"/>
      <c r="D429" s="21" t="s">
        <v>271</v>
      </c>
      <c r="E429" s="21"/>
      <c r="F429" s="21"/>
      <c r="G429" s="21"/>
      <c r="H429" s="1084"/>
      <c r="I429" s="4"/>
      <c r="J429" s="643" t="s">
        <v>271</v>
      </c>
      <c r="K429" s="544"/>
      <c r="L429" s="1305" t="s">
        <v>1177</v>
      </c>
      <c r="M429" s="522"/>
      <c r="N429" s="4"/>
      <c r="O429" s="154"/>
      <c r="P429"/>
      <c r="Q429"/>
      <c r="R429"/>
      <c r="S429"/>
      <c r="T429"/>
      <c r="U429"/>
      <c r="V429"/>
      <c r="W429"/>
      <c r="X429" s="1303"/>
      <c r="AR429" s="311" t="str">
        <f>SUBSTITUTE(SUBSTITUTE(SUBSTITUTE("dnt"&amp;$B429&amp;$C429&amp;$D429&amp;$E429&amp;$F429,".","_"),"(","_"),")","")</f>
        <v>dnt703_7_4_1</v>
      </c>
      <c r="AS429" s="311">
        <f>X429</f>
        <v>0</v>
      </c>
    </row>
    <row r="430" spans="2:45" x14ac:dyDescent="0.3">
      <c r="B430" s="938" t="s">
        <v>1174</v>
      </c>
      <c r="C430" s="93"/>
      <c r="D430" s="21" t="s">
        <v>271</v>
      </c>
      <c r="E430" s="21"/>
      <c r="F430" s="21"/>
      <c r="G430" s="21"/>
      <c r="H430" s="1084"/>
      <c r="I430" s="4"/>
      <c r="J430" s="545"/>
      <c r="K430" s="545"/>
      <c r="L430" s="1306"/>
      <c r="M430" s="522"/>
      <c r="N430" s="4"/>
      <c r="O430" s="154"/>
      <c r="P430"/>
      <c r="Q430"/>
      <c r="R430"/>
      <c r="S430"/>
      <c r="T430"/>
      <c r="U430"/>
      <c r="V430"/>
      <c r="W430"/>
      <c r="X430" s="1303"/>
    </row>
    <row r="431" spans="2:45" x14ac:dyDescent="0.3">
      <c r="B431" s="938" t="s">
        <v>1174</v>
      </c>
      <c r="C431" s="93"/>
      <c r="D431" s="21" t="s">
        <v>273</v>
      </c>
      <c r="E431" s="21"/>
      <c r="F431" s="21"/>
      <c r="G431" s="21"/>
      <c r="H431" s="1084"/>
      <c r="I431" s="4"/>
      <c r="J431" s="264" t="s">
        <v>273</v>
      </c>
      <c r="K431" s="178"/>
      <c r="L431" s="1367" t="s">
        <v>1178</v>
      </c>
      <c r="M431" s="522"/>
      <c r="N431" s="4"/>
      <c r="O431" s="154"/>
      <c r="P431"/>
      <c r="Q431"/>
      <c r="R431"/>
      <c r="S431"/>
      <c r="T431"/>
      <c r="U431"/>
      <c r="V431"/>
      <c r="W431"/>
      <c r="X431"/>
    </row>
    <row r="432" spans="2:45" x14ac:dyDescent="0.3">
      <c r="B432" s="938" t="s">
        <v>1174</v>
      </c>
      <c r="C432" s="93"/>
      <c r="D432" s="21" t="s">
        <v>273</v>
      </c>
      <c r="E432" s="21"/>
      <c r="F432" s="21"/>
      <c r="G432" s="21"/>
      <c r="H432" s="1084"/>
      <c r="I432" s="4"/>
      <c r="J432" s="178"/>
      <c r="K432" s="178"/>
      <c r="L432" s="1367"/>
      <c r="M432" s="522"/>
      <c r="N432" s="4"/>
      <c r="O432" s="154"/>
      <c r="P432"/>
      <c r="Q432"/>
      <c r="R432"/>
      <c r="S432"/>
      <c r="T432"/>
      <c r="U432"/>
      <c r="V432"/>
      <c r="W432"/>
      <c r="X432"/>
    </row>
    <row r="433" spans="2:45" x14ac:dyDescent="0.3">
      <c r="B433" s="938" t="s">
        <v>1174</v>
      </c>
      <c r="C433" s="93"/>
      <c r="D433" s="21" t="s">
        <v>273</v>
      </c>
      <c r="E433" s="21" t="s">
        <v>121</v>
      </c>
      <c r="F433" s="21"/>
      <c r="G433" s="21"/>
      <c r="H433" s="1084"/>
      <c r="I433" s="4"/>
      <c r="J433" s="178"/>
      <c r="K433" s="614" t="s">
        <v>121</v>
      </c>
      <c r="L433" s="1305" t="s">
        <v>1179</v>
      </c>
      <c r="M433" s="522"/>
      <c r="N433" s="4"/>
      <c r="O433" s="154"/>
      <c r="P433"/>
      <c r="Q433"/>
      <c r="R433"/>
      <c r="S433"/>
      <c r="T433"/>
      <c r="U433"/>
      <c r="V433"/>
      <c r="W433"/>
      <c r="X433" s="1303"/>
      <c r="AR433" s="311" t="str">
        <f>SUBSTITUTE(SUBSTITUTE(SUBSTITUTE("dnt"&amp;$B433&amp;$C433&amp;$D433&amp;$E433&amp;$F433,".","_"),"(","_"),")","")</f>
        <v>dnt703_7_4_2_a</v>
      </c>
      <c r="AS433" s="311">
        <f>X433</f>
        <v>0</v>
      </c>
    </row>
    <row r="434" spans="2:45" x14ac:dyDescent="0.3">
      <c r="B434" s="938" t="s">
        <v>1174</v>
      </c>
      <c r="C434" s="93"/>
      <c r="D434" s="21" t="s">
        <v>273</v>
      </c>
      <c r="E434" s="21" t="s">
        <v>121</v>
      </c>
      <c r="F434" s="21"/>
      <c r="G434" s="21"/>
      <c r="H434" s="1084"/>
      <c r="I434" s="4"/>
      <c r="J434" s="178"/>
      <c r="K434" s="544"/>
      <c r="L434" s="1305"/>
      <c r="M434" s="522"/>
      <c r="N434" s="4"/>
      <c r="O434" s="154"/>
      <c r="P434"/>
      <c r="Q434"/>
      <c r="R434"/>
      <c r="S434"/>
      <c r="T434"/>
      <c r="U434"/>
      <c r="V434"/>
      <c r="W434"/>
      <c r="X434" s="1303"/>
    </row>
    <row r="435" spans="2:45" x14ac:dyDescent="0.3">
      <c r="B435" s="938" t="s">
        <v>1174</v>
      </c>
      <c r="C435" s="93"/>
      <c r="D435" s="21" t="s">
        <v>273</v>
      </c>
      <c r="E435" s="21" t="s">
        <v>121</v>
      </c>
      <c r="F435" s="21"/>
      <c r="G435" s="21"/>
      <c r="H435" s="1084"/>
      <c r="I435" s="4"/>
      <c r="J435" s="178"/>
      <c r="K435" s="545"/>
      <c r="L435" s="1306"/>
      <c r="M435" s="522"/>
      <c r="N435" s="4"/>
      <c r="O435" s="154"/>
      <c r="P435"/>
      <c r="Q435"/>
      <c r="R435"/>
      <c r="S435"/>
      <c r="T435"/>
      <c r="U435"/>
      <c r="V435"/>
      <c r="W435"/>
      <c r="X435" s="1303"/>
    </row>
    <row r="436" spans="2:45" x14ac:dyDescent="0.3">
      <c r="B436" s="938" t="s">
        <v>1174</v>
      </c>
      <c r="C436" s="93"/>
      <c r="D436" s="21" t="s">
        <v>273</v>
      </c>
      <c r="E436" s="21" t="s">
        <v>122</v>
      </c>
      <c r="F436" s="21"/>
      <c r="G436" s="21"/>
      <c r="H436" s="1084"/>
      <c r="I436" s="4"/>
      <c r="J436" s="178"/>
      <c r="K436" s="260" t="s">
        <v>122</v>
      </c>
      <c r="L436" s="1329" t="s">
        <v>1180</v>
      </c>
      <c r="M436" s="522"/>
      <c r="N436" s="4"/>
      <c r="O436" s="154"/>
      <c r="P436"/>
      <c r="Q436"/>
      <c r="R436"/>
      <c r="S436"/>
      <c r="T436"/>
      <c r="U436"/>
      <c r="V436"/>
      <c r="W436"/>
      <c r="X436" s="1303"/>
      <c r="AR436" s="311" t="str">
        <f>SUBSTITUTE(SUBSTITUTE(SUBSTITUTE("dnt"&amp;$B436&amp;$C436&amp;$D436&amp;$E436&amp;$F436,".","_"),"(","_"),")","")</f>
        <v>dnt703_7_4_2_b</v>
      </c>
      <c r="AS436" s="311">
        <f>X436</f>
        <v>0</v>
      </c>
    </row>
    <row r="437" spans="2:45" x14ac:dyDescent="0.3">
      <c r="B437" s="938" t="s">
        <v>1174</v>
      </c>
      <c r="C437" s="93"/>
      <c r="D437" s="21" t="s">
        <v>273</v>
      </c>
      <c r="E437" s="21" t="s">
        <v>122</v>
      </c>
      <c r="F437" s="21"/>
      <c r="G437" s="21"/>
      <c r="H437" s="1084"/>
      <c r="I437" s="4"/>
      <c r="J437" s="178"/>
      <c r="K437" s="178"/>
      <c r="L437" s="1329"/>
      <c r="M437" s="522"/>
      <c r="N437" s="4"/>
      <c r="O437" s="154"/>
      <c r="P437"/>
      <c r="Q437"/>
      <c r="R437"/>
      <c r="S437"/>
      <c r="T437"/>
      <c r="U437"/>
      <c r="V437"/>
      <c r="W437"/>
      <c r="X437" s="1303"/>
    </row>
    <row r="438" spans="2:45" x14ac:dyDescent="0.3">
      <c r="B438" s="938" t="s">
        <v>1174</v>
      </c>
      <c r="C438" s="93"/>
      <c r="D438" s="21" t="s">
        <v>273</v>
      </c>
      <c r="E438" s="21" t="s">
        <v>122</v>
      </c>
      <c r="F438" s="21" t="s">
        <v>985</v>
      </c>
      <c r="G438" s="21"/>
      <c r="H438" s="1084"/>
      <c r="I438" s="4"/>
      <c r="J438" s="178"/>
      <c r="K438" s="181" t="s">
        <v>985</v>
      </c>
      <c r="L438" s="1329" t="s">
        <v>1181</v>
      </c>
      <c r="M438" s="522"/>
      <c r="N438" s="4"/>
      <c r="O438" s="154"/>
      <c r="P438"/>
      <c r="Q438"/>
      <c r="R438"/>
      <c r="S438"/>
      <c r="T438"/>
      <c r="U438"/>
      <c r="V438"/>
      <c r="W438"/>
      <c r="X438" s="1303"/>
    </row>
    <row r="439" spans="2:45" x14ac:dyDescent="0.3">
      <c r="B439" s="938" t="s">
        <v>1174</v>
      </c>
      <c r="C439" s="93"/>
      <c r="D439" s="21" t="s">
        <v>273</v>
      </c>
      <c r="E439" s="21" t="s">
        <v>122</v>
      </c>
      <c r="F439" s="21" t="s">
        <v>985</v>
      </c>
      <c r="G439" s="21"/>
      <c r="H439" s="1084"/>
      <c r="I439" s="4"/>
      <c r="J439" s="178"/>
      <c r="K439" s="266"/>
      <c r="L439" s="1329"/>
      <c r="M439" s="522"/>
      <c r="N439" s="4"/>
      <c r="O439" s="154"/>
      <c r="P439"/>
      <c r="Q439"/>
      <c r="R439"/>
      <c r="S439"/>
      <c r="T439"/>
      <c r="U439"/>
      <c r="V439"/>
      <c r="W439"/>
      <c r="X439" s="1303"/>
    </row>
    <row r="440" spans="2:45" x14ac:dyDescent="0.3">
      <c r="B440" s="938" t="s">
        <v>1174</v>
      </c>
      <c r="C440" s="93"/>
      <c r="D440" s="21" t="s">
        <v>273</v>
      </c>
      <c r="E440" s="21" t="s">
        <v>122</v>
      </c>
      <c r="F440" s="21" t="s">
        <v>1182</v>
      </c>
      <c r="G440" s="21"/>
      <c r="H440" s="1084"/>
      <c r="I440" s="4"/>
      <c r="J440" s="178"/>
      <c r="K440" s="181" t="s">
        <v>1182</v>
      </c>
      <c r="L440" s="1329" t="s">
        <v>1183</v>
      </c>
      <c r="M440" s="522"/>
      <c r="N440" s="4"/>
      <c r="O440" s="154"/>
      <c r="P440"/>
      <c r="Q440"/>
      <c r="R440"/>
      <c r="S440"/>
      <c r="T440"/>
      <c r="U440"/>
      <c r="V440"/>
      <c r="W440"/>
      <c r="X440" s="1303"/>
    </row>
    <row r="441" spans="2:45" x14ac:dyDescent="0.3">
      <c r="B441" s="938" t="s">
        <v>1174</v>
      </c>
      <c r="C441" s="93"/>
      <c r="D441" s="21" t="s">
        <v>273</v>
      </c>
      <c r="E441" s="21" t="s">
        <v>122</v>
      </c>
      <c r="F441" s="21" t="s">
        <v>1182</v>
      </c>
      <c r="G441" s="21"/>
      <c r="H441" s="1084"/>
      <c r="I441" s="4"/>
      <c r="J441" s="178"/>
      <c r="K441" s="266"/>
      <c r="L441" s="1329"/>
      <c r="M441" s="522"/>
      <c r="N441" s="4"/>
      <c r="O441" s="154"/>
      <c r="P441"/>
      <c r="Q441"/>
      <c r="R441"/>
      <c r="S441"/>
      <c r="T441"/>
      <c r="U441"/>
      <c r="V441"/>
      <c r="W441"/>
      <c r="X441" s="1303"/>
    </row>
    <row r="442" spans="2:45" x14ac:dyDescent="0.3">
      <c r="B442" s="938" t="s">
        <v>1174</v>
      </c>
      <c r="C442" s="93"/>
      <c r="D442" s="21" t="s">
        <v>273</v>
      </c>
      <c r="E442" s="21" t="s">
        <v>122</v>
      </c>
      <c r="F442" s="21" t="s">
        <v>1184</v>
      </c>
      <c r="G442" s="21"/>
      <c r="H442" s="1084"/>
      <c r="I442" s="4"/>
      <c r="J442" s="178"/>
      <c r="K442" s="553" t="s">
        <v>1184</v>
      </c>
      <c r="L442" s="1305" t="s">
        <v>1185</v>
      </c>
      <c r="M442" s="522"/>
      <c r="N442" s="4"/>
      <c r="O442" s="154"/>
      <c r="P442"/>
      <c r="Q442"/>
      <c r="R442"/>
      <c r="S442"/>
      <c r="T442"/>
      <c r="U442"/>
      <c r="V442"/>
      <c r="W442"/>
      <c r="X442" s="1303"/>
    </row>
    <row r="443" spans="2:45" x14ac:dyDescent="0.3">
      <c r="B443" s="938" t="s">
        <v>1174</v>
      </c>
      <c r="C443" s="93"/>
      <c r="D443" s="21" t="s">
        <v>273</v>
      </c>
      <c r="E443" s="21" t="s">
        <v>122</v>
      </c>
      <c r="F443" s="21" t="s">
        <v>1184</v>
      </c>
      <c r="G443" s="21"/>
      <c r="H443" s="1084"/>
      <c r="I443" s="4"/>
      <c r="J443" s="178"/>
      <c r="K443" s="545"/>
      <c r="L443" s="1306"/>
      <c r="M443" s="522"/>
      <c r="N443" s="4"/>
      <c r="O443" s="154"/>
      <c r="P443"/>
      <c r="Q443"/>
      <c r="R443"/>
      <c r="S443"/>
      <c r="T443"/>
      <c r="U443"/>
      <c r="V443"/>
      <c r="W443"/>
      <c r="X443" s="1303"/>
    </row>
    <row r="444" spans="2:45" x14ac:dyDescent="0.3">
      <c r="B444" s="938" t="s">
        <v>1174</v>
      </c>
      <c r="C444" s="93"/>
      <c r="D444" s="21" t="s">
        <v>273</v>
      </c>
      <c r="E444" s="21" t="s">
        <v>123</v>
      </c>
      <c r="F444" s="21"/>
      <c r="G444" s="21"/>
      <c r="H444" s="1084"/>
      <c r="I444" s="4"/>
      <c r="J444" s="544"/>
      <c r="K444" s="614" t="s">
        <v>123</v>
      </c>
      <c r="L444" s="1305" t="s">
        <v>1186</v>
      </c>
      <c r="M444" s="522"/>
      <c r="N444" s="4"/>
      <c r="O444" s="154"/>
      <c r="P444"/>
      <c r="Q444"/>
      <c r="R444"/>
      <c r="S444"/>
      <c r="T444"/>
      <c r="U444"/>
      <c r="V444"/>
      <c r="W444"/>
      <c r="X444" s="1303"/>
      <c r="AR444" s="311" t="str">
        <f>SUBSTITUTE(SUBSTITUTE(SUBSTITUTE("dnt"&amp;$B444&amp;$C444&amp;$D444&amp;$E444&amp;$F444,".","_"),"(","_"),")","")</f>
        <v>dnt703_7_4_2_c</v>
      </c>
      <c r="AS444" s="311">
        <f>X444</f>
        <v>0</v>
      </c>
    </row>
    <row r="445" spans="2:45" x14ac:dyDescent="0.3">
      <c r="B445" s="938" t="s">
        <v>1174</v>
      </c>
      <c r="C445" s="93"/>
      <c r="D445" s="21" t="s">
        <v>273</v>
      </c>
      <c r="E445" s="21" t="s">
        <v>123</v>
      </c>
      <c r="F445" s="21"/>
      <c r="G445" s="21"/>
      <c r="H445" s="1084"/>
      <c r="I445" s="4"/>
      <c r="J445" s="544"/>
      <c r="K445" s="544"/>
      <c r="L445" s="1305"/>
      <c r="M445" s="522"/>
      <c r="N445" s="4"/>
      <c r="O445" s="154"/>
      <c r="P445"/>
      <c r="Q445"/>
      <c r="R445"/>
      <c r="S445"/>
      <c r="T445"/>
      <c r="U445"/>
      <c r="V445"/>
      <c r="W445"/>
      <c r="X445" s="1303"/>
    </row>
    <row r="446" spans="2:45" x14ac:dyDescent="0.3">
      <c r="B446" s="938" t="s">
        <v>1174</v>
      </c>
      <c r="C446" s="93"/>
      <c r="D446" s="21" t="s">
        <v>273</v>
      </c>
      <c r="E446" s="21" t="s">
        <v>123</v>
      </c>
      <c r="F446" s="21"/>
      <c r="G446" s="21"/>
      <c r="H446" s="1084"/>
      <c r="I446" s="4"/>
      <c r="J446" s="545"/>
      <c r="K446" s="545"/>
      <c r="L446" s="1306"/>
      <c r="M446" s="522"/>
      <c r="N446" s="4"/>
      <c r="O446" s="154"/>
      <c r="P446"/>
      <c r="Q446"/>
      <c r="R446"/>
      <c r="S446"/>
      <c r="T446"/>
      <c r="U446"/>
      <c r="V446"/>
      <c r="W446"/>
      <c r="X446" s="1303"/>
    </row>
    <row r="447" spans="2:45" x14ac:dyDescent="0.3">
      <c r="B447" s="938" t="s">
        <v>1174</v>
      </c>
      <c r="C447" s="93"/>
      <c r="D447" s="21" t="s">
        <v>275</v>
      </c>
      <c r="E447" s="21"/>
      <c r="F447" s="21"/>
      <c r="G447" s="21"/>
      <c r="H447" s="1084"/>
      <c r="I447" s="4"/>
      <c r="J447" s="264" t="s">
        <v>275</v>
      </c>
      <c r="K447" s="178"/>
      <c r="L447" s="1329" t="s">
        <v>1187</v>
      </c>
      <c r="M447" s="522"/>
      <c r="N447" s="4"/>
      <c r="O447" s="154"/>
      <c r="P447"/>
      <c r="Q447"/>
      <c r="R447"/>
      <c r="S447"/>
      <c r="T447"/>
      <c r="U447"/>
      <c r="V447"/>
      <c r="W447"/>
      <c r="X447" s="1303"/>
      <c r="AR447" s="311" t="str">
        <f>SUBSTITUTE(SUBSTITUTE(SUBSTITUTE("dnt"&amp;$B447&amp;$C447&amp;$D447&amp;$E447&amp;$F447,".","_"),"(","_"),")","")</f>
        <v>dnt703_7_4_3</v>
      </c>
      <c r="AS447" s="311">
        <f>X447</f>
        <v>0</v>
      </c>
    </row>
    <row r="448" spans="2:45" x14ac:dyDescent="0.3">
      <c r="B448" s="938" t="s">
        <v>1174</v>
      </c>
      <c r="C448" s="93"/>
      <c r="D448" s="21" t="s">
        <v>275</v>
      </c>
      <c r="E448" s="21"/>
      <c r="F448" s="21"/>
      <c r="G448" s="21"/>
      <c r="H448" s="1084"/>
      <c r="I448" s="4"/>
      <c r="J448" s="178"/>
      <c r="K448" s="178"/>
      <c r="L448" s="1329"/>
      <c r="M448" s="522"/>
      <c r="N448" s="4"/>
      <c r="O448" s="154"/>
      <c r="P448"/>
      <c r="Q448"/>
      <c r="R448"/>
      <c r="S448"/>
      <c r="T448"/>
      <c r="U448"/>
      <c r="V448"/>
      <c r="W448"/>
      <c r="X448" s="1303"/>
    </row>
    <row r="449" spans="1:45" ht="18" x14ac:dyDescent="0.35">
      <c r="B449" s="938">
        <v>704</v>
      </c>
      <c r="C449" s="93"/>
      <c r="D449" s="21"/>
      <c r="E449" s="21"/>
      <c r="F449" s="21"/>
      <c r="G449" s="21"/>
      <c r="H449" s="1084"/>
      <c r="I449" s="14" t="s">
        <v>1188</v>
      </c>
      <c r="J449" s="87"/>
      <c r="K449" s="87"/>
      <c r="L449" s="87"/>
      <c r="M449" s="484"/>
      <c r="N449" s="604"/>
      <c r="O449" s="594"/>
      <c r="P449" s="23"/>
      <c r="Q449" s="23"/>
      <c r="R449" s="23"/>
      <c r="S449" s="23"/>
      <c r="T449" s="23"/>
      <c r="U449" s="23"/>
      <c r="V449" s="23"/>
      <c r="W449" s="23"/>
      <c r="X449" s="23"/>
    </row>
    <row r="450" spans="1:45" x14ac:dyDescent="0.3">
      <c r="B450" s="938">
        <v>704.1</v>
      </c>
      <c r="C450" s="93"/>
      <c r="D450" s="21"/>
      <c r="E450" s="21"/>
      <c r="F450" s="21"/>
      <c r="G450" s="21"/>
      <c r="H450" s="1084"/>
      <c r="I450" s="141">
        <v>704.1</v>
      </c>
      <c r="J450" s="544"/>
      <c r="K450" s="544"/>
      <c r="L450" s="1313" t="s">
        <v>1189</v>
      </c>
      <c r="M450" s="548"/>
      <c r="N450" s="4"/>
      <c r="O450" s="1310">
        <f>ROUNDDOWN(IFERROR(IF(AND(W454*100*2+30&gt;=30,NOT(ISBLANK(W454))),W454*100*2+30,0),0),0)</f>
        <v>0</v>
      </c>
      <c r="P450"/>
      <c r="Q450"/>
      <c r="R450"/>
      <c r="S450"/>
      <c r="T450"/>
      <c r="U450"/>
      <c r="V450"/>
      <c r="W450"/>
      <c r="X450" s="1303"/>
      <c r="AN450" s="311" t="str">
        <f>SUBSTITUTE(SUBSTITUTE(SUBSTITUTE("dpc"&amp;$B450&amp;$C450&amp;$D450&amp;$E450&amp;$F450,".","_"),"(","_"),")","")</f>
        <v>dpc704_1</v>
      </c>
      <c r="AO450" s="311">
        <f>O450</f>
        <v>0</v>
      </c>
      <c r="AR450" s="311" t="str">
        <f>SUBSTITUTE(SUBSTITUTE(SUBSTITUTE("dnt"&amp;$B450&amp;$C450&amp;$D450&amp;$E450&amp;$F450,".","_"),"(","_"),")","")</f>
        <v>dnt704_1</v>
      </c>
      <c r="AS450" s="311">
        <f>X450</f>
        <v>0</v>
      </c>
    </row>
    <row r="451" spans="1:45" x14ac:dyDescent="0.3">
      <c r="B451" s="938">
        <v>704.1</v>
      </c>
      <c r="C451" s="93"/>
      <c r="D451" s="21"/>
      <c r="E451" s="21"/>
      <c r="F451" s="21"/>
      <c r="G451" s="21"/>
      <c r="H451" s="1084"/>
      <c r="I451" s="140"/>
      <c r="J451" s="544"/>
      <c r="K451" s="544"/>
      <c r="L451" s="1313"/>
      <c r="M451" s="548"/>
      <c r="N451" s="4"/>
      <c r="O451" s="1310"/>
      <c r="P451"/>
      <c r="Q451"/>
      <c r="R451"/>
      <c r="S451"/>
      <c r="T451"/>
      <c r="U451"/>
      <c r="V451"/>
      <c r="W451"/>
      <c r="X451" s="1303"/>
    </row>
    <row r="452" spans="1:45" x14ac:dyDescent="0.3">
      <c r="B452" s="938">
        <v>704.1</v>
      </c>
      <c r="C452" s="93"/>
      <c r="D452" s="21"/>
      <c r="E452" s="21"/>
      <c r="F452" s="21"/>
      <c r="G452" s="21"/>
      <c r="H452" s="1084"/>
      <c r="I452" s="140"/>
      <c r="J452" s="544"/>
      <c r="K452" s="544"/>
      <c r="L452" s="1313"/>
      <c r="M452" s="548"/>
      <c r="N452" s="4"/>
      <c r="O452" s="1310"/>
      <c r="P452"/>
      <c r="Q452"/>
      <c r="R452"/>
      <c r="S452"/>
      <c r="T452"/>
      <c r="U452"/>
      <c r="V452"/>
      <c r="W452" s="1242" t="s">
        <v>3867</v>
      </c>
      <c r="X452" s="1303"/>
    </row>
    <row r="453" spans="1:45" x14ac:dyDescent="0.3">
      <c r="B453" s="938">
        <v>704.1</v>
      </c>
      <c r="C453" s="93"/>
      <c r="D453" s="21"/>
      <c r="E453" s="21"/>
      <c r="F453" s="21"/>
      <c r="G453" s="21"/>
      <c r="H453" s="1084"/>
      <c r="I453" s="238"/>
      <c r="J453" s="545"/>
      <c r="K453" s="545"/>
      <c r="L453" s="1350"/>
      <c r="M453" s="548"/>
      <c r="N453" s="4"/>
      <c r="O453" s="1310"/>
      <c r="P453"/>
      <c r="Q453"/>
      <c r="R453"/>
      <c r="S453"/>
      <c r="T453"/>
      <c r="U453"/>
      <c r="V453"/>
      <c r="W453" s="1242"/>
      <c r="X453" s="1303"/>
    </row>
    <row r="454" spans="1:45" x14ac:dyDescent="0.3">
      <c r="B454" s="938">
        <v>704.2</v>
      </c>
      <c r="C454" s="93"/>
      <c r="D454" s="21"/>
      <c r="E454" s="21"/>
      <c r="F454" s="21"/>
      <c r="G454" s="21"/>
      <c r="H454" s="1084"/>
      <c r="I454" s="66">
        <v>704.2</v>
      </c>
      <c r="J454" s="178"/>
      <c r="K454" s="178"/>
      <c r="L454" s="1292" t="s">
        <v>1190</v>
      </c>
      <c r="M454" s="548"/>
      <c r="N454" s="4"/>
      <c r="O454" s="1310"/>
      <c r="P454" s="97" t="b">
        <v>0</v>
      </c>
      <c r="Q454" s="97" t="b">
        <v>1</v>
      </c>
      <c r="R454" s="145" t="b">
        <f ca="1">S454</f>
        <v>0</v>
      </c>
      <c r="S454" s="150" t="b">
        <f ca="1">(S13=3)</f>
        <v>0</v>
      </c>
      <c r="T454" s="97" t="b">
        <f ca="1">AND(NOT(S454),LEN(W454)&gt;0)</f>
        <v>0</v>
      </c>
      <c r="U454"/>
      <c r="V454"/>
      <c r="W454" s="407"/>
      <c r="X454" s="1303"/>
      <c r="AC454" s="511" t="b">
        <f ca="1">OR(AD454:AE454)</f>
        <v>0</v>
      </c>
      <c r="AD454" s="511" t="b">
        <f ca="1">T454</f>
        <v>0</v>
      </c>
      <c r="AE454" s="511" t="b">
        <f ca="1">AND(R454,OR(W454="Not Met",W454=""))</f>
        <v>0</v>
      </c>
      <c r="AP454" s="311" t="str">
        <f>SUBSTITUTE(SUBSTITUTE(SUBSTITUTE("dch"&amp;$B454&amp;$C454&amp;$D454&amp;$E454&amp;$F454,".","_"),"(","_"),")","")</f>
        <v>dch704_2</v>
      </c>
      <c r="AQ454" s="311">
        <f>W454</f>
        <v>0</v>
      </c>
    </row>
    <row r="455" spans="1:45" x14ac:dyDescent="0.3">
      <c r="B455" s="938">
        <v>704.2</v>
      </c>
      <c r="C455" s="93"/>
      <c r="D455" s="21"/>
      <c r="E455" s="21"/>
      <c r="F455" s="21"/>
      <c r="G455" s="21"/>
      <c r="H455" s="1084"/>
      <c r="I455" s="4"/>
      <c r="J455" s="178"/>
      <c r="K455" s="178"/>
      <c r="L455" s="1292"/>
      <c r="M455" s="522"/>
      <c r="N455" s="4"/>
      <c r="O455" s="1310"/>
      <c r="P455"/>
      <c r="Q455"/>
      <c r="R455"/>
      <c r="S455"/>
      <c r="T455"/>
      <c r="U455"/>
      <c r="V455"/>
      <c r="W455"/>
      <c r="X455" s="1303"/>
    </row>
    <row r="456" spans="1:45" x14ac:dyDescent="0.3">
      <c r="B456" s="938">
        <v>704.2</v>
      </c>
      <c r="C456" s="93"/>
      <c r="D456" s="21"/>
      <c r="E456" s="21"/>
      <c r="F456" s="21"/>
      <c r="G456" s="21"/>
      <c r="H456" s="1084"/>
      <c r="I456" s="4"/>
      <c r="J456" s="178"/>
      <c r="K456" s="178"/>
      <c r="L456" s="1292"/>
      <c r="M456" s="522"/>
      <c r="N456" s="4"/>
      <c r="O456" s="1310"/>
      <c r="P456"/>
      <c r="Q456"/>
      <c r="R456"/>
      <c r="S456"/>
      <c r="T456"/>
      <c r="U456"/>
      <c r="V456"/>
      <c r="W456"/>
      <c r="X456" s="1303"/>
    </row>
    <row r="457" spans="1:45" s="464" customFormat="1" x14ac:dyDescent="0.3">
      <c r="A457" s="18"/>
      <c r="B457" s="938">
        <v>704.2</v>
      </c>
      <c r="C457" s="93"/>
      <c r="D457" s="21"/>
      <c r="E457" s="21"/>
      <c r="F457" s="21"/>
      <c r="G457" s="21"/>
      <c r="H457" s="1084"/>
      <c r="I457" s="4"/>
      <c r="J457" s="467"/>
      <c r="K457" s="467"/>
      <c r="L457" s="465" t="s">
        <v>3868</v>
      </c>
      <c r="M457" s="522"/>
      <c r="N457" s="4"/>
      <c r="O457" s="1310"/>
      <c r="X457" s="1303"/>
      <c r="Y457" s="1107"/>
      <c r="AA457" s="1110"/>
    </row>
    <row r="458" spans="1:45" ht="18" x14ac:dyDescent="0.35">
      <c r="B458" s="938">
        <v>705</v>
      </c>
      <c r="C458" s="93"/>
      <c r="D458" s="21"/>
      <c r="E458" s="21"/>
      <c r="F458" s="21"/>
      <c r="G458" s="21"/>
      <c r="H458" s="1084"/>
      <c r="I458" s="14" t="s">
        <v>1191</v>
      </c>
      <c r="J458" s="87"/>
      <c r="K458" s="87"/>
      <c r="L458" s="87"/>
      <c r="M458" s="484"/>
      <c r="N458" s="604"/>
      <c r="O458" s="594"/>
      <c r="P458" s="23"/>
      <c r="Q458" s="23"/>
      <c r="R458" s="23"/>
      <c r="S458" s="23"/>
      <c r="T458" s="23"/>
      <c r="U458" s="23"/>
      <c r="V458" s="23"/>
      <c r="W458" s="23"/>
      <c r="X458" s="23"/>
    </row>
    <row r="459" spans="1:45" x14ac:dyDescent="0.3">
      <c r="B459" s="938">
        <v>705.2</v>
      </c>
      <c r="C459" s="93"/>
      <c r="D459" s="21"/>
      <c r="E459" s="21"/>
      <c r="F459" s="21"/>
      <c r="G459" s="21"/>
      <c r="H459" s="1084"/>
      <c r="I459" s="66">
        <v>705.2</v>
      </c>
      <c r="J459" s="178"/>
      <c r="K459" s="178"/>
      <c r="L459" s="184" t="s">
        <v>1192</v>
      </c>
      <c r="M459" s="522"/>
      <c r="N459" s="4"/>
      <c r="O459" s="154"/>
      <c r="P459"/>
      <c r="Q459"/>
      <c r="R459"/>
      <c r="S459"/>
      <c r="T459"/>
      <c r="U459"/>
      <c r="V459"/>
      <c r="W459"/>
      <c r="X459"/>
    </row>
    <row r="460" spans="1:45" x14ac:dyDescent="0.3">
      <c r="B460" s="938" t="s">
        <v>1193</v>
      </c>
      <c r="C460" s="93"/>
      <c r="D460" s="21"/>
      <c r="E460" s="21"/>
      <c r="F460" s="21"/>
      <c r="G460" s="21"/>
      <c r="H460" s="1084"/>
      <c r="I460" s="68" t="s">
        <v>1193</v>
      </c>
      <c r="J460" s="178"/>
      <c r="K460" s="178"/>
      <c r="L460" s="184" t="s">
        <v>1194</v>
      </c>
      <c r="M460" s="522"/>
      <c r="N460" s="4"/>
      <c r="O460" s="154"/>
      <c r="P460"/>
      <c r="Q460"/>
      <c r="R460"/>
      <c r="S460"/>
      <c r="T460"/>
      <c r="U460"/>
      <c r="V460"/>
      <c r="W460"/>
      <c r="X460"/>
    </row>
    <row r="461" spans="1:45" x14ac:dyDescent="0.3">
      <c r="B461" s="938" t="s">
        <v>1193</v>
      </c>
      <c r="C461" s="93"/>
      <c r="D461" s="21"/>
      <c r="E461" s="21"/>
      <c r="F461" s="21"/>
      <c r="G461" s="21"/>
      <c r="H461" s="1084"/>
      <c r="I461" s="68"/>
      <c r="J461" s="178"/>
      <c r="K461" s="178"/>
      <c r="L461" s="1404" t="s">
        <v>1195</v>
      </c>
      <c r="M461" s="522"/>
      <c r="N461" s="4"/>
      <c r="O461" s="154"/>
      <c r="P461"/>
      <c r="Q461"/>
      <c r="R461"/>
      <c r="S461"/>
      <c r="T461"/>
      <c r="U461"/>
      <c r="V461"/>
      <c r="W461"/>
      <c r="X461"/>
    </row>
    <row r="462" spans="1:45" x14ac:dyDescent="0.3">
      <c r="B462" s="938" t="s">
        <v>1193</v>
      </c>
      <c r="C462" s="93"/>
      <c r="D462" s="21"/>
      <c r="E462" s="21"/>
      <c r="F462" s="21"/>
      <c r="G462" s="21"/>
      <c r="H462" s="1084"/>
      <c r="I462" s="68"/>
      <c r="J462" s="178"/>
      <c r="K462" s="178"/>
      <c r="L462" s="1404"/>
      <c r="M462" s="522"/>
      <c r="N462" s="4"/>
      <c r="O462" s="154"/>
      <c r="P462"/>
      <c r="Q462"/>
      <c r="R462"/>
      <c r="S462"/>
      <c r="T462"/>
      <c r="U462" s="97"/>
      <c r="V462"/>
      <c r="W462"/>
      <c r="X462"/>
    </row>
    <row r="463" spans="1:45" x14ac:dyDescent="0.3">
      <c r="B463" s="938" t="s">
        <v>1196</v>
      </c>
      <c r="C463" s="93"/>
      <c r="D463" s="21"/>
      <c r="E463" s="21"/>
      <c r="F463" s="21"/>
      <c r="G463" s="21"/>
      <c r="H463" s="1084"/>
      <c r="I463" s="68" t="s">
        <v>1196</v>
      </c>
      <c r="J463" s="178"/>
      <c r="K463" s="178"/>
      <c r="L463" s="1292" t="s">
        <v>1197</v>
      </c>
      <c r="M463" s="522"/>
      <c r="N463" s="4"/>
      <c r="O463" s="1310">
        <f ca="1">IFERROR(INDEX({1,2},MATCH(W463,INDIRECT(U463),0)),0)*S463</f>
        <v>0</v>
      </c>
      <c r="P463" s="97" t="b">
        <v>0</v>
      </c>
      <c r="Q463" s="97" t="b">
        <v>1</v>
      </c>
      <c r="R463" s="464" t="b">
        <v>0</v>
      </c>
      <c r="S463" s="464" t="b">
        <v>1</v>
      </c>
      <c r="T463" s="97" t="b">
        <v>0</v>
      </c>
      <c r="U463" s="97" t="str">
        <f>SUBSTITUTE(SUBSTITUTE(SUBSTITUTE("dd"&amp;B463&amp;C463&amp;D463&amp;E463&amp;F463,".","_"),"(","_"),")","")</f>
        <v>dd705_2_1_1</v>
      </c>
      <c r="V463"/>
      <c r="W463" s="12"/>
      <c r="X463" s="1303"/>
      <c r="AC463" s="511" t="b">
        <f>OR(AD463:AE463)</f>
        <v>0</v>
      </c>
      <c r="AD463" s="511" t="b">
        <f>T463</f>
        <v>0</v>
      </c>
      <c r="AE463" s="511" t="b">
        <f>AND(R463,OR(W463="Not Met",W463=""))</f>
        <v>0</v>
      </c>
      <c r="AN463" s="311" t="str">
        <f>SUBSTITUTE(SUBSTITUTE(SUBSTITUTE("dpc"&amp;$B463&amp;$C463&amp;$D463&amp;$E463&amp;$F463,".","_"),"(","_"),")","")</f>
        <v>dpc705_2_1_1</v>
      </c>
      <c r="AO463" s="311">
        <f ca="1">O463</f>
        <v>0</v>
      </c>
      <c r="AP463" s="311" t="str">
        <f>SUBSTITUTE(SUBSTITUTE(SUBSTITUTE("dch"&amp;$B463&amp;$C463&amp;$D463&amp;$E463&amp;$F463,".","_"),"(","_"),")","")</f>
        <v>dch705_2_1_1</v>
      </c>
      <c r="AQ463" s="311">
        <f>W463</f>
        <v>0</v>
      </c>
      <c r="AR463" s="311" t="str">
        <f>SUBSTITUTE(SUBSTITUTE(SUBSTITUTE("dnt"&amp;$B463&amp;$C463&amp;$D463&amp;$E463&amp;$F463,".","_"),"(","_"),")","")</f>
        <v>dnt705_2_1_1</v>
      </c>
      <c r="AS463" s="311">
        <f>X463</f>
        <v>0</v>
      </c>
    </row>
    <row r="464" spans="1:45" x14ac:dyDescent="0.3">
      <c r="B464" s="938" t="s">
        <v>1196</v>
      </c>
      <c r="C464" s="93"/>
      <c r="D464" s="21"/>
      <c r="E464" s="21"/>
      <c r="F464" s="21"/>
      <c r="G464" s="21"/>
      <c r="H464" s="1084"/>
      <c r="I464" s="4"/>
      <c r="J464" s="178"/>
      <c r="K464" s="178"/>
      <c r="L464" s="1292"/>
      <c r="M464" s="522"/>
      <c r="N464" s="4"/>
      <c r="O464" s="1310"/>
      <c r="P464"/>
      <c r="Q464"/>
      <c r="R464"/>
      <c r="S464"/>
      <c r="T464"/>
      <c r="U464"/>
      <c r="V464"/>
      <c r="W464"/>
      <c r="X464" s="1303"/>
    </row>
    <row r="465" spans="1:49" x14ac:dyDescent="0.3">
      <c r="B465" s="938" t="s">
        <v>1196</v>
      </c>
      <c r="C465" s="93"/>
      <c r="D465" s="21" t="s">
        <v>271</v>
      </c>
      <c r="E465" s="21"/>
      <c r="F465" s="21"/>
      <c r="G465" s="21"/>
      <c r="H465" s="1084"/>
      <c r="I465" s="4"/>
      <c r="J465" s="644" t="s">
        <v>271</v>
      </c>
      <c r="K465" s="545"/>
      <c r="L465" s="545" t="s">
        <v>1198</v>
      </c>
      <c r="M465" s="549">
        <v>1</v>
      </c>
      <c r="N465" s="4"/>
      <c r="O465" s="154"/>
      <c r="P465"/>
      <c r="Q465"/>
      <c r="R465" s="145"/>
      <c r="S465" s="145"/>
      <c r="T465" s="145"/>
      <c r="U465"/>
      <c r="V465"/>
      <c r="W465"/>
      <c r="X465" s="1303"/>
      <c r="AL465" s="311" t="str">
        <f t="shared" ref="AL465:AL467" si="45">SUBSTITUTE(SUBSTITUTE(SUBSTITUTE("dpa"&amp;$B465&amp;$C465&amp;$D465&amp;$E465&amp;$F465,".","_"),"(","_"),")","")</f>
        <v>dpa705_2_1_1_1</v>
      </c>
      <c r="AM465" s="311">
        <f>M465</f>
        <v>1</v>
      </c>
    </row>
    <row r="466" spans="1:49" x14ac:dyDescent="0.3">
      <c r="B466" s="938" t="s">
        <v>1196</v>
      </c>
      <c r="C466" s="93"/>
      <c r="D466" s="21" t="s">
        <v>273</v>
      </c>
      <c r="E466" s="21"/>
      <c r="F466" s="21"/>
      <c r="G466" s="21"/>
      <c r="H466" s="1084"/>
      <c r="I466" s="238"/>
      <c r="J466" s="644" t="s">
        <v>273</v>
      </c>
      <c r="K466" s="545"/>
      <c r="L466" s="545" t="s">
        <v>1199</v>
      </c>
      <c r="M466" s="549">
        <v>2</v>
      </c>
      <c r="N466" s="4"/>
      <c r="O466" s="154"/>
      <c r="P466"/>
      <c r="Q466"/>
      <c r="R466" s="145"/>
      <c r="S466" s="145"/>
      <c r="T466" s="145"/>
      <c r="U466"/>
      <c r="V466"/>
      <c r="W466"/>
      <c r="X466" s="1303"/>
      <c r="AL466" s="311" t="str">
        <f t="shared" si="45"/>
        <v>dpa705_2_1_1_2</v>
      </c>
      <c r="AM466" s="311">
        <f>M466</f>
        <v>2</v>
      </c>
    </row>
    <row r="467" spans="1:49" x14ac:dyDescent="0.3">
      <c r="B467" s="938" t="s">
        <v>1200</v>
      </c>
      <c r="C467" s="93"/>
      <c r="D467" s="21"/>
      <c r="E467" s="21"/>
      <c r="F467" s="21"/>
      <c r="G467" s="21"/>
      <c r="H467" s="1084"/>
      <c r="I467" s="606" t="s">
        <v>1200</v>
      </c>
      <c r="J467" s="643"/>
      <c r="K467" s="544"/>
      <c r="L467" s="1313" t="s">
        <v>1201</v>
      </c>
      <c r="M467" s="1318">
        <v>1</v>
      </c>
      <c r="N467" s="140"/>
      <c r="O467" s="1308">
        <f>M467*S467*W467</f>
        <v>0</v>
      </c>
      <c r="P467" s="97" t="b">
        <v>0</v>
      </c>
      <c r="Q467" s="97" t="b">
        <v>1</v>
      </c>
      <c r="R467" s="145" t="b">
        <v>0</v>
      </c>
      <c r="S467" s="477" t="b">
        <v>1</v>
      </c>
      <c r="T467" s="97" t="b">
        <v>0</v>
      </c>
      <c r="U467"/>
      <c r="V467"/>
      <c r="W467" s="25"/>
      <c r="X467" s="1303"/>
      <c r="AC467" s="511" t="b">
        <f>OR(AD467:AE467)</f>
        <v>0</v>
      </c>
      <c r="AD467" s="511" t="b">
        <f>T467</f>
        <v>0</v>
      </c>
      <c r="AE467" s="511" t="b">
        <f>AND(R467,NOT(W467))</f>
        <v>0</v>
      </c>
      <c r="AL467" s="311" t="str">
        <f t="shared" si="45"/>
        <v>dpa705_2_1_2</v>
      </c>
      <c r="AM467" s="311">
        <f>M467</f>
        <v>1</v>
      </c>
      <c r="AN467" s="311" t="str">
        <f>SUBSTITUTE(SUBSTITUTE(SUBSTITUTE("dpc"&amp;$B467&amp;$C467&amp;$D467&amp;$E467&amp;$F467,".","_"),"(","_"),")","")</f>
        <v>dpc705_2_1_2</v>
      </c>
      <c r="AO467" s="311">
        <f>O467</f>
        <v>0</v>
      </c>
      <c r="AP467" s="311" t="str">
        <f>SUBSTITUTE(SUBSTITUTE(SUBSTITUTE("dch"&amp;$B467&amp;$C467&amp;$D467&amp;$E467&amp;$F467,".","_"),"(","_"),")","")</f>
        <v>dch705_2_1_2</v>
      </c>
      <c r="AQ467" s="311">
        <f>W467</f>
        <v>0</v>
      </c>
      <c r="AR467" s="311" t="str">
        <f>SUBSTITUTE(SUBSTITUTE(SUBSTITUTE("dnt"&amp;$B467&amp;$C467&amp;$D467&amp;$E467&amp;$F467,".","_"),"(","_"),")","")</f>
        <v>dnt705_2_1_2</v>
      </c>
      <c r="AS467" s="311">
        <f>X467</f>
        <v>0</v>
      </c>
    </row>
    <row r="468" spans="1:49" x14ac:dyDescent="0.3">
      <c r="B468" s="938" t="s">
        <v>1200</v>
      </c>
      <c r="C468" s="93"/>
      <c r="D468" s="21"/>
      <c r="E468" s="21"/>
      <c r="F468" s="21"/>
      <c r="G468" s="21"/>
      <c r="H468" s="1084"/>
      <c r="I468" s="238"/>
      <c r="J468" s="545"/>
      <c r="K468" s="545"/>
      <c r="L468" s="1350"/>
      <c r="M468" s="1319"/>
      <c r="N468" s="238"/>
      <c r="O468" s="1309"/>
      <c r="P468"/>
      <c r="Q468"/>
      <c r="R468"/>
      <c r="S468"/>
      <c r="T468"/>
      <c r="U468"/>
      <c r="V468"/>
      <c r="W468"/>
      <c r="X468" s="1303"/>
    </row>
    <row r="469" spans="1:49" x14ac:dyDescent="0.3">
      <c r="B469" s="938" t="s">
        <v>1202</v>
      </c>
      <c r="C469" s="93"/>
      <c r="D469" s="21"/>
      <c r="E469" s="21"/>
      <c r="F469" s="21"/>
      <c r="G469" s="21"/>
      <c r="H469" s="1084"/>
      <c r="I469" s="68" t="s">
        <v>1202</v>
      </c>
      <c r="J469" s="178"/>
      <c r="K469" s="178"/>
      <c r="L469" s="184" t="s">
        <v>1203</v>
      </c>
      <c r="M469" s="522"/>
      <c r="N469" s="4"/>
      <c r="O469" s="154"/>
      <c r="P469"/>
      <c r="Q469"/>
      <c r="R469"/>
      <c r="S469"/>
      <c r="T469"/>
      <c r="U469"/>
      <c r="V469"/>
      <c r="W469"/>
      <c r="X469"/>
    </row>
    <row r="470" spans="1:49" x14ac:dyDescent="0.3">
      <c r="B470" s="938" t="s">
        <v>1202</v>
      </c>
      <c r="C470" s="93"/>
      <c r="D470" s="142" t="s">
        <v>271</v>
      </c>
      <c r="E470" s="21"/>
      <c r="F470" s="21"/>
      <c r="G470" s="21"/>
      <c r="H470" s="1084"/>
      <c r="I470" s="4"/>
      <c r="J470" s="264" t="s">
        <v>271</v>
      </c>
      <c r="K470" s="178"/>
      <c r="L470" s="1329" t="s">
        <v>1204</v>
      </c>
      <c r="M470" s="522"/>
      <c r="N470" s="4"/>
      <c r="O470" s="1310">
        <f ca="1">IFERROR(INDEX({1,2},MATCH(W470,INDIRECT(U470),0)),0)*S470</f>
        <v>0</v>
      </c>
      <c r="P470" s="97" t="b">
        <v>0</v>
      </c>
      <c r="Q470" s="97" t="b">
        <v>1</v>
      </c>
      <c r="R470" s="145" t="b">
        <v>0</v>
      </c>
      <c r="S470" s="464" t="b">
        <f ca="1">IF($AY$19=INDEX(INDIRECT("ddSingleOrMulti"),2),TRUE,FALSE)</f>
        <v>0</v>
      </c>
      <c r="T470" s="97" t="b">
        <f ca="1">AND(NOT(S470),LEN(W470)&gt;0)</f>
        <v>0</v>
      </c>
      <c r="U470" s="97" t="str">
        <f>SUBSTITUTE(SUBSTITUTE(SUBSTITUTE("dd"&amp;B470&amp;C470&amp;D470&amp;E470&amp;F470,".","_"),"(","_"),")","")</f>
        <v>dd705_2_1_3_1</v>
      </c>
      <c r="V470"/>
      <c r="W470" s="12"/>
      <c r="X470" s="1303"/>
      <c r="AC470" s="511" t="b">
        <f ca="1">OR(AD470:AE470)</f>
        <v>0</v>
      </c>
      <c r="AD470" s="511" t="b">
        <f ca="1">T470</f>
        <v>0</v>
      </c>
      <c r="AE470" s="511" t="b">
        <f>AND(R470,OR(W470="Not Met",W470=""))</f>
        <v>0</v>
      </c>
      <c r="AN470" s="311" t="str">
        <f>SUBSTITUTE(SUBSTITUTE(SUBSTITUTE("dpc"&amp;$B470&amp;$C470&amp;$D470&amp;$E470&amp;$F470,".","_"),"(","_"),")","")</f>
        <v>dpc705_2_1_3_1</v>
      </c>
      <c r="AO470" s="311">
        <f ca="1">O470</f>
        <v>0</v>
      </c>
      <c r="AP470" s="311" t="str">
        <f>SUBSTITUTE(SUBSTITUTE(SUBSTITUTE("dch"&amp;$B470&amp;$C470&amp;$D470&amp;$E470&amp;$F470,".","_"),"(","_"),")","")</f>
        <v>dch705_2_1_3_1</v>
      </c>
      <c r="AQ470" s="311">
        <f>W470</f>
        <v>0</v>
      </c>
      <c r="AR470" s="311" t="str">
        <f>SUBSTITUTE(SUBSTITUTE(SUBSTITUTE("dnt"&amp;$B470&amp;$C470&amp;$D470&amp;$E470&amp;$F470,".","_"),"(","_"),")","")</f>
        <v>dnt705_2_1_3_1</v>
      </c>
      <c r="AS470" s="311">
        <f>X470</f>
        <v>0</v>
      </c>
    </row>
    <row r="471" spans="1:49" x14ac:dyDescent="0.3">
      <c r="B471" s="938" t="s">
        <v>1202</v>
      </c>
      <c r="C471" s="93"/>
      <c r="D471" s="142" t="s">
        <v>271</v>
      </c>
      <c r="E471" s="21"/>
      <c r="F471" s="21"/>
      <c r="G471" s="21"/>
      <c r="H471" s="1084"/>
      <c r="I471" s="4"/>
      <c r="J471" s="178"/>
      <c r="K471" s="178"/>
      <c r="L471" s="1329"/>
      <c r="M471" s="522"/>
      <c r="N471" s="4"/>
      <c r="O471" s="1310"/>
      <c r="P471"/>
      <c r="Q471"/>
      <c r="R471"/>
      <c r="S471"/>
      <c r="T471"/>
      <c r="U471"/>
      <c r="V471"/>
      <c r="W471"/>
      <c r="X471" s="1303"/>
    </row>
    <row r="472" spans="1:49" x14ac:dyDescent="0.3">
      <c r="B472" s="938" t="s">
        <v>1202</v>
      </c>
      <c r="C472" s="93"/>
      <c r="D472" s="142" t="s">
        <v>271</v>
      </c>
      <c r="E472" s="21" t="s">
        <v>121</v>
      </c>
      <c r="F472" s="21"/>
      <c r="G472" s="21"/>
      <c r="H472" s="1084"/>
      <c r="I472" s="4"/>
      <c r="J472" s="178"/>
      <c r="K472" s="260" t="s">
        <v>121</v>
      </c>
      <c r="L472" s="178" t="s">
        <v>1198</v>
      </c>
      <c r="M472" s="522">
        <v>1</v>
      </c>
      <c r="N472" s="4"/>
      <c r="O472" s="154"/>
      <c r="P472"/>
      <c r="Q472"/>
      <c r="R472" s="145"/>
      <c r="S472" s="145"/>
      <c r="T472" s="145"/>
      <c r="U472"/>
      <c r="V472"/>
      <c r="W472"/>
      <c r="X472" s="1303"/>
      <c r="AL472" s="311" t="str">
        <f t="shared" ref="AL472:AL473" si="46">SUBSTITUTE(SUBSTITUTE(SUBSTITUTE("dpa"&amp;$B472&amp;$C472&amp;$D472&amp;$E472&amp;$F472,".","_"),"(","_"),")","")</f>
        <v>dpa705_2_1_3_1_a</v>
      </c>
      <c r="AM472" s="311">
        <f>M472</f>
        <v>1</v>
      </c>
    </row>
    <row r="473" spans="1:49" x14ac:dyDescent="0.3">
      <c r="B473" s="938" t="s">
        <v>1202</v>
      </c>
      <c r="C473" s="93"/>
      <c r="D473" s="142" t="s">
        <v>271</v>
      </c>
      <c r="E473" s="21" t="s">
        <v>122</v>
      </c>
      <c r="F473" s="21"/>
      <c r="G473" s="21"/>
      <c r="H473" s="1084"/>
      <c r="I473" s="4"/>
      <c r="J473" s="545"/>
      <c r="K473" s="626" t="s">
        <v>122</v>
      </c>
      <c r="L473" s="545" t="s">
        <v>1199</v>
      </c>
      <c r="M473" s="549">
        <v>2</v>
      </c>
      <c r="N473" s="4"/>
      <c r="O473" s="154"/>
      <c r="P473"/>
      <c r="Q473"/>
      <c r="R473" s="145"/>
      <c r="S473" s="145"/>
      <c r="T473" s="145"/>
      <c r="U473"/>
      <c r="V473"/>
      <c r="W473"/>
      <c r="X473" s="1303"/>
      <c r="AL473" s="311" t="str">
        <f t="shared" si="46"/>
        <v>dpa705_2_1_3_1_b</v>
      </c>
      <c r="AM473" s="311">
        <f>M473</f>
        <v>2</v>
      </c>
    </row>
    <row r="474" spans="1:49" x14ac:dyDescent="0.3">
      <c r="B474" s="938" t="s">
        <v>1202</v>
      </c>
      <c r="C474" s="93"/>
      <c r="D474" s="142" t="s">
        <v>273</v>
      </c>
      <c r="E474" s="21"/>
      <c r="F474" s="21"/>
      <c r="G474" s="21"/>
      <c r="H474" s="1084"/>
      <c r="I474" s="4"/>
      <c r="J474" s="264" t="s">
        <v>273</v>
      </c>
      <c r="K474" s="178"/>
      <c r="L474" s="1329" t="s">
        <v>1205</v>
      </c>
      <c r="M474" s="522"/>
      <c r="N474" s="4"/>
      <c r="O474" s="1310">
        <f ca="1">IFERROR(INDEX({2,3},MATCH(W474,INDIRECT(U474),0)),0)*S474</f>
        <v>0</v>
      </c>
      <c r="P474" s="97" t="b">
        <v>0</v>
      </c>
      <c r="Q474" s="97" t="b">
        <v>1</v>
      </c>
      <c r="R474" s="145" t="b">
        <v>0</v>
      </c>
      <c r="S474" s="464" t="b">
        <f ca="1">IF($AY$19=INDEX(INDIRECT("ddSingleOrMulti"),2),TRUE,FALSE)</f>
        <v>0</v>
      </c>
      <c r="T474" s="97" t="b">
        <f ca="1">AND(NOT(S474),LEN(W474)&gt;0)</f>
        <v>0</v>
      </c>
      <c r="U474" s="97" t="str">
        <f>SUBSTITUTE(SUBSTITUTE(SUBSTITUTE("dd"&amp;B474&amp;C474&amp;D474&amp;E474&amp;F474,".","_"),"(","_"),")","")</f>
        <v>dd705_2_1_3_2</v>
      </c>
      <c r="V474"/>
      <c r="W474" s="12"/>
      <c r="X474" s="1303"/>
      <c r="AC474" s="511" t="b">
        <f ca="1">OR(AD474:AE474)</f>
        <v>0</v>
      </c>
      <c r="AD474" s="511" t="b">
        <f ca="1">T474</f>
        <v>0</v>
      </c>
      <c r="AE474" s="511" t="b">
        <f>AND(R474,OR(W474="Not Met",W474=""))</f>
        <v>0</v>
      </c>
      <c r="AN474" s="311" t="str">
        <f>SUBSTITUTE(SUBSTITUTE(SUBSTITUTE("dpc"&amp;$B474&amp;$C474&amp;$D474&amp;$E474&amp;$F474,".","_"),"(","_"),")","")</f>
        <v>dpc705_2_1_3_2</v>
      </c>
      <c r="AO474" s="311">
        <f ca="1">O474</f>
        <v>0</v>
      </c>
      <c r="AP474" s="311" t="str">
        <f>SUBSTITUTE(SUBSTITUTE(SUBSTITUTE("dch"&amp;$B474&amp;$C474&amp;$D474&amp;$E474&amp;$F474,".","_"),"(","_"),")","")</f>
        <v>dch705_2_1_3_2</v>
      </c>
      <c r="AQ474" s="311">
        <f>W474</f>
        <v>0</v>
      </c>
      <c r="AR474" s="311" t="str">
        <f>SUBSTITUTE(SUBSTITUTE(SUBSTITUTE("dnt"&amp;$B474&amp;$C474&amp;$D474&amp;$E474&amp;$F474,".","_"),"(","_"),")","")</f>
        <v>dnt705_2_1_3_2</v>
      </c>
      <c r="AS474" s="311">
        <f>X474</f>
        <v>0</v>
      </c>
    </row>
    <row r="475" spans="1:49" s="175" customFormat="1" x14ac:dyDescent="0.3">
      <c r="A475" s="18"/>
      <c r="B475" s="938" t="s">
        <v>1202</v>
      </c>
      <c r="C475" s="93"/>
      <c r="D475" s="142" t="s">
        <v>273</v>
      </c>
      <c r="E475" s="21"/>
      <c r="F475" s="21"/>
      <c r="G475" s="21"/>
      <c r="H475" s="1084"/>
      <c r="I475" s="4"/>
      <c r="J475" s="178"/>
      <c r="K475" s="178"/>
      <c r="L475" s="1329"/>
      <c r="M475" s="522"/>
      <c r="N475" s="4"/>
      <c r="O475" s="1310"/>
      <c r="P475"/>
      <c r="Q475"/>
      <c r="R475"/>
      <c r="S475"/>
      <c r="T475"/>
      <c r="U475"/>
      <c r="V475"/>
      <c r="W475"/>
      <c r="X475" s="1303"/>
      <c r="Y475" s="1107"/>
      <c r="Z475" s="79"/>
      <c r="AA475" s="1110"/>
      <c r="AB475" s="79"/>
      <c r="AC475" s="79"/>
      <c r="AD475" s="79"/>
      <c r="AE475" s="79"/>
      <c r="AF475" s="79"/>
      <c r="AG475" s="79"/>
      <c r="AH475" s="79"/>
      <c r="AI475" s="79"/>
      <c r="AJ475" s="79"/>
      <c r="AK475" s="79"/>
      <c r="AL475" s="79"/>
      <c r="AM475" s="79"/>
      <c r="AN475" s="79"/>
      <c r="AO475" s="79"/>
      <c r="AP475" s="79"/>
      <c r="AQ475" s="79"/>
      <c r="AR475" s="79"/>
      <c r="AS475" s="79"/>
      <c r="AT475" s="79"/>
      <c r="AU475" s="79"/>
      <c r="AV475" s="79"/>
      <c r="AW475" s="79"/>
    </row>
    <row r="476" spans="1:49" x14ac:dyDescent="0.3">
      <c r="B476" s="938" t="s">
        <v>1202</v>
      </c>
      <c r="C476" s="93"/>
      <c r="D476" s="142" t="s">
        <v>273</v>
      </c>
      <c r="E476" s="21"/>
      <c r="F476" s="21"/>
      <c r="G476" s="21"/>
      <c r="H476" s="1084"/>
      <c r="I476" s="4"/>
      <c r="J476" s="178"/>
      <c r="K476" s="178"/>
      <c r="L476" s="1329"/>
      <c r="M476" s="522"/>
      <c r="N476" s="4"/>
      <c r="O476" s="1310"/>
      <c r="P476" s="175"/>
      <c r="Q476" s="175"/>
      <c r="R476" s="175"/>
      <c r="S476" s="175"/>
      <c r="T476" s="175"/>
      <c r="U476" s="175"/>
      <c r="V476" s="175"/>
      <c r="W476" s="175"/>
      <c r="X476" s="1303"/>
      <c r="Z476" s="175"/>
      <c r="AB476" s="175"/>
      <c r="AC476" s="175"/>
      <c r="AD476" s="175"/>
      <c r="AE476" s="175"/>
      <c r="AF476" s="175"/>
      <c r="AG476" s="175"/>
      <c r="AH476" s="175"/>
      <c r="AI476" s="175"/>
      <c r="AJ476" s="175"/>
      <c r="AK476" s="175"/>
      <c r="AL476" s="175"/>
      <c r="AM476" s="175"/>
      <c r="AN476" s="175"/>
      <c r="AO476" s="175"/>
      <c r="AP476" s="175"/>
      <c r="AQ476" s="175"/>
      <c r="AR476" s="175"/>
      <c r="AS476" s="175"/>
      <c r="AT476" s="175"/>
      <c r="AU476" s="175"/>
      <c r="AV476" s="175"/>
      <c r="AW476" s="175"/>
    </row>
    <row r="477" spans="1:49" x14ac:dyDescent="0.3">
      <c r="B477" s="938" t="s">
        <v>1202</v>
      </c>
      <c r="C477" s="93"/>
      <c r="D477" s="142" t="s">
        <v>273</v>
      </c>
      <c r="E477" s="21" t="s">
        <v>121</v>
      </c>
      <c r="F477" s="21"/>
      <c r="G477" s="21"/>
      <c r="H477" s="1084"/>
      <c r="I477" s="140"/>
      <c r="J477" s="544"/>
      <c r="K477" s="614" t="s">
        <v>121</v>
      </c>
      <c r="L477" s="544" t="s">
        <v>1206</v>
      </c>
      <c r="M477" s="548">
        <v>2</v>
      </c>
      <c r="N477" s="4"/>
      <c r="O477" s="154"/>
      <c r="P477"/>
      <c r="Q477"/>
      <c r="R477"/>
      <c r="S477"/>
      <c r="T477"/>
      <c r="U477"/>
      <c r="V477"/>
      <c r="W477"/>
      <c r="X477" s="1303"/>
      <c r="AL477" s="311" t="str">
        <f t="shared" ref="AL477:AL478" si="47">SUBSTITUTE(SUBSTITUTE(SUBSTITUTE("dpa"&amp;$B477&amp;$C477&amp;$D477&amp;$E477&amp;$F477,".","_"),"(","_"),")","")</f>
        <v>dpa705_2_1_3_2_a</v>
      </c>
      <c r="AM477" s="311">
        <f>M477</f>
        <v>2</v>
      </c>
    </row>
    <row r="478" spans="1:49" x14ac:dyDescent="0.3">
      <c r="B478" s="938" t="s">
        <v>1202</v>
      </c>
      <c r="C478" s="93"/>
      <c r="D478" s="142" t="s">
        <v>273</v>
      </c>
      <c r="E478" s="21" t="s">
        <v>122</v>
      </c>
      <c r="F478" s="21"/>
      <c r="G478" s="21"/>
      <c r="H478" s="1084"/>
      <c r="I478" s="238"/>
      <c r="J478" s="545"/>
      <c r="K478" s="626" t="s">
        <v>122</v>
      </c>
      <c r="L478" s="545" t="s">
        <v>1207</v>
      </c>
      <c r="M478" s="549">
        <v>3</v>
      </c>
      <c r="N478" s="4"/>
      <c r="O478" s="599"/>
      <c r="P478"/>
      <c r="Q478"/>
      <c r="R478"/>
      <c r="S478"/>
      <c r="T478"/>
      <c r="U478"/>
      <c r="V478"/>
      <c r="W478"/>
      <c r="X478" s="1303"/>
      <c r="AL478" s="311" t="str">
        <f t="shared" si="47"/>
        <v>dpa705_2_1_3_2_b</v>
      </c>
      <c r="AM478" s="311">
        <f>M478</f>
        <v>3</v>
      </c>
    </row>
    <row r="479" spans="1:49" x14ac:dyDescent="0.3">
      <c r="B479" s="938" t="s">
        <v>1208</v>
      </c>
      <c r="C479" s="93"/>
      <c r="D479" s="21"/>
      <c r="E479" s="21"/>
      <c r="F479" s="21"/>
      <c r="G479" s="21"/>
      <c r="H479" s="1084"/>
      <c r="I479" s="68" t="s">
        <v>1208</v>
      </c>
      <c r="J479" s="178"/>
      <c r="K479" s="178"/>
      <c r="L479" s="1292" t="s">
        <v>1209</v>
      </c>
      <c r="M479" s="522"/>
      <c r="N479" s="4"/>
      <c r="O479" s="1310">
        <f ca="1">IFERROR(INDEX({2,3},MATCH(W479,INDIRECT(U479),0)),0)*S479</f>
        <v>0</v>
      </c>
      <c r="P479" s="97" t="b">
        <v>0</v>
      </c>
      <c r="Q479" s="97" t="b">
        <v>1</v>
      </c>
      <c r="R479" s="145" t="b">
        <v>0</v>
      </c>
      <c r="S479" s="145" t="b">
        <f ca="1">IF($AY$19=INDEX(INDIRECT("ddSingleOrMulti"),2),TRUE,FALSE)</f>
        <v>0</v>
      </c>
      <c r="T479" s="97" t="b">
        <f ca="1">AND(NOT(S479),LEN(W479)&gt;0)</f>
        <v>0</v>
      </c>
      <c r="U479" s="97" t="str">
        <f>SUBSTITUTE(SUBSTITUTE(SUBSTITUTE("dd"&amp;B479&amp;C479&amp;D479&amp;E479&amp;F479,".","_"),"(","_"),")","")</f>
        <v>dd705_2_1_4</v>
      </c>
      <c r="V479"/>
      <c r="W479" s="12"/>
      <c r="X479" s="1303"/>
      <c r="AC479" s="511" t="b">
        <f ca="1">OR(AD479:AE479)</f>
        <v>0</v>
      </c>
      <c r="AD479" s="511" t="b">
        <f ca="1">T479</f>
        <v>0</v>
      </c>
      <c r="AE479" s="511" t="b">
        <f>AND(R479,OR(W479="Not Met",W479=""))</f>
        <v>0</v>
      </c>
      <c r="AN479" s="311" t="str">
        <f>SUBSTITUTE(SUBSTITUTE(SUBSTITUTE("dpc"&amp;$B479&amp;$C479&amp;$D479&amp;$E479&amp;$F479,".","_"),"(","_"),")","")</f>
        <v>dpc705_2_1_4</v>
      </c>
      <c r="AO479" s="311">
        <f ca="1">O479</f>
        <v>0</v>
      </c>
      <c r="AP479" s="311" t="str">
        <f>SUBSTITUTE(SUBSTITUTE(SUBSTITUTE("dch"&amp;$B479&amp;$C479&amp;$D479&amp;$E479&amp;$F479,".","_"),"(","_"),")","")</f>
        <v>dch705_2_1_4</v>
      </c>
      <c r="AQ479" s="311">
        <f>W479</f>
        <v>0</v>
      </c>
      <c r="AR479" s="311" t="str">
        <f>SUBSTITUTE(SUBSTITUTE(SUBSTITUTE("dnt"&amp;$B479&amp;$C479&amp;$D479&amp;$E479&amp;$F479,".","_"),"(","_"),")","")</f>
        <v>dnt705_2_1_4</v>
      </c>
      <c r="AS479" s="311">
        <f>X479</f>
        <v>0</v>
      </c>
    </row>
    <row r="480" spans="1:49" x14ac:dyDescent="0.3">
      <c r="B480" s="938" t="s">
        <v>1208</v>
      </c>
      <c r="C480" s="93"/>
      <c r="D480" s="21"/>
      <c r="E480" s="21"/>
      <c r="F480" s="21"/>
      <c r="G480" s="21"/>
      <c r="H480" s="1084"/>
      <c r="I480" s="4"/>
      <c r="J480" s="178"/>
      <c r="K480" s="178"/>
      <c r="L480" s="1292"/>
      <c r="M480" s="522"/>
      <c r="N480" s="4"/>
      <c r="O480" s="1310"/>
      <c r="P480"/>
      <c r="Q480"/>
      <c r="R480"/>
      <c r="S480"/>
      <c r="T480"/>
      <c r="U480"/>
      <c r="V480"/>
      <c r="W480"/>
      <c r="X480" s="1303"/>
    </row>
    <row r="481" spans="2:45" x14ac:dyDescent="0.3">
      <c r="B481" s="938" t="s">
        <v>1208</v>
      </c>
      <c r="C481" s="93"/>
      <c r="D481" s="21"/>
      <c r="E481" s="21"/>
      <c r="F481" s="21"/>
      <c r="G481" s="21"/>
      <c r="H481" s="1084"/>
      <c r="I481" s="4"/>
      <c r="J481" s="178"/>
      <c r="K481" s="178"/>
      <c r="L481" s="1292"/>
      <c r="M481" s="522"/>
      <c r="N481" s="4"/>
      <c r="O481" s="1310"/>
      <c r="P481"/>
      <c r="Q481"/>
      <c r="R481"/>
      <c r="S481"/>
      <c r="T481"/>
      <c r="U481"/>
      <c r="V481"/>
      <c r="W481"/>
      <c r="X481" s="1303"/>
    </row>
    <row r="482" spans="2:45" x14ac:dyDescent="0.3">
      <c r="B482" s="938" t="s">
        <v>1208</v>
      </c>
      <c r="C482" s="93"/>
      <c r="D482" s="142" t="s">
        <v>271</v>
      </c>
      <c r="E482" s="21"/>
      <c r="F482" s="21"/>
      <c r="G482" s="21"/>
      <c r="H482" s="1084"/>
      <c r="I482" s="4"/>
      <c r="J482" s="644" t="s">
        <v>271</v>
      </c>
      <c r="K482" s="545"/>
      <c r="L482" s="545" t="s">
        <v>1206</v>
      </c>
      <c r="M482" s="522">
        <v>2</v>
      </c>
      <c r="N482" s="4"/>
      <c r="O482" s="154"/>
      <c r="P482"/>
      <c r="Q482"/>
      <c r="R482"/>
      <c r="S482"/>
      <c r="T482"/>
      <c r="U482"/>
      <c r="V482"/>
      <c r="W482"/>
      <c r="X482" s="1303"/>
      <c r="AL482" s="311" t="str">
        <f t="shared" ref="AL482:AL484" si="48">SUBSTITUTE(SUBSTITUTE(SUBSTITUTE("dpa"&amp;$B482&amp;$C482&amp;$D482&amp;$E482&amp;$F482,".","_"),"(","_"),")","")</f>
        <v>dpa705_2_1_4_1</v>
      </c>
      <c r="AM482" s="311">
        <f>M482</f>
        <v>2</v>
      </c>
    </row>
    <row r="483" spans="2:45" x14ac:dyDescent="0.3">
      <c r="B483" s="938" t="s">
        <v>1208</v>
      </c>
      <c r="C483" s="93"/>
      <c r="D483" s="142" t="s">
        <v>273</v>
      </c>
      <c r="E483" s="21"/>
      <c r="F483" s="21"/>
      <c r="G483" s="21"/>
      <c r="H483" s="1084"/>
      <c r="I483" s="238"/>
      <c r="J483" s="644" t="s">
        <v>273</v>
      </c>
      <c r="K483" s="545"/>
      <c r="L483" s="545" t="s">
        <v>1210</v>
      </c>
      <c r="M483" s="549">
        <v>3</v>
      </c>
      <c r="N483" s="238"/>
      <c r="O483" s="599"/>
      <c r="P483"/>
      <c r="Q483"/>
      <c r="R483"/>
      <c r="S483"/>
      <c r="T483"/>
      <c r="U483"/>
      <c r="V483"/>
      <c r="W483"/>
      <c r="X483" s="1303"/>
      <c r="AL483" s="311" t="str">
        <f t="shared" si="48"/>
        <v>dpa705_2_1_4_2</v>
      </c>
      <c r="AM483" s="311">
        <f>M483</f>
        <v>3</v>
      </c>
    </row>
    <row r="484" spans="2:45" x14ac:dyDescent="0.3">
      <c r="B484" s="938" t="s">
        <v>1211</v>
      </c>
      <c r="C484" s="93"/>
      <c r="D484" s="21"/>
      <c r="E484" s="21"/>
      <c r="F484" s="21"/>
      <c r="G484" s="21"/>
      <c r="H484" s="1084"/>
      <c r="I484" s="630" t="s">
        <v>1211</v>
      </c>
      <c r="J484" s="557"/>
      <c r="K484" s="557"/>
      <c r="L484" s="1364" t="s">
        <v>1212</v>
      </c>
      <c r="M484" s="1323">
        <v>2</v>
      </c>
      <c r="N484" s="216"/>
      <c r="O484" s="1324">
        <f>M484*S484*W484</f>
        <v>0</v>
      </c>
      <c r="P484" s="97" t="b">
        <v>1</v>
      </c>
      <c r="Q484" s="97" t="b">
        <v>1</v>
      </c>
      <c r="R484" s="145" t="b">
        <v>0</v>
      </c>
      <c r="S484" s="477" t="b">
        <v>1</v>
      </c>
      <c r="T484" s="97" t="b">
        <v>0</v>
      </c>
      <c r="U484"/>
      <c r="V484"/>
      <c r="W484" s="25"/>
      <c r="X484" s="1303"/>
      <c r="AC484" s="511" t="b">
        <f>OR(AD484:AE484)</f>
        <v>0</v>
      </c>
      <c r="AD484" s="511" t="b">
        <f>T484</f>
        <v>0</v>
      </c>
      <c r="AE484" s="511" t="b">
        <f>AND(R484,NOT(W484))</f>
        <v>0</v>
      </c>
      <c r="AL484" s="311" t="str">
        <f t="shared" si="48"/>
        <v>dpa705_2_2</v>
      </c>
      <c r="AM484" s="311">
        <f>M484</f>
        <v>2</v>
      </c>
      <c r="AN484" s="311" t="str">
        <f>SUBSTITUTE(SUBSTITUTE(SUBSTITUTE("dpc"&amp;$B484&amp;$C484&amp;$D484&amp;$E484&amp;$F484,".","_"),"(","_"),")","")</f>
        <v>dpc705_2_2</v>
      </c>
      <c r="AO484" s="311">
        <f>O484</f>
        <v>0</v>
      </c>
      <c r="AP484" s="311" t="str">
        <f>SUBSTITUTE(SUBSTITUTE(SUBSTITUTE("dch"&amp;$B484&amp;$C484&amp;$D484&amp;$E484&amp;$F484,".","_"),"(","_"),")","")</f>
        <v>dch705_2_2</v>
      </c>
      <c r="AQ484" s="311">
        <f>W484</f>
        <v>0</v>
      </c>
      <c r="AR484" s="311" t="str">
        <f>SUBSTITUTE(SUBSTITUTE(SUBSTITUTE("dnt"&amp;$B484&amp;$C484&amp;$D484&amp;$E484&amp;$F484,".","_"),"(","_"),")","")</f>
        <v>dnt705_2_2</v>
      </c>
      <c r="AS484" s="311">
        <f>X484</f>
        <v>0</v>
      </c>
    </row>
    <row r="485" spans="2:45" x14ac:dyDescent="0.3">
      <c r="B485" s="938" t="s">
        <v>1211</v>
      </c>
      <c r="C485" s="93"/>
      <c r="D485" s="21"/>
      <c r="E485" s="21"/>
      <c r="F485" s="21"/>
      <c r="G485" s="21"/>
      <c r="H485" s="1084"/>
      <c r="I485" s="140"/>
      <c r="J485" s="544"/>
      <c r="K485" s="544"/>
      <c r="L485" s="1313"/>
      <c r="M485" s="1318"/>
      <c r="N485" s="140"/>
      <c r="O485" s="1308"/>
      <c r="P485"/>
      <c r="Q485"/>
      <c r="R485"/>
      <c r="S485"/>
      <c r="T485"/>
      <c r="U485"/>
      <c r="V485"/>
      <c r="W485"/>
      <c r="X485" s="1303"/>
    </row>
    <row r="486" spans="2:45" x14ac:dyDescent="0.3">
      <c r="B486" s="938" t="s">
        <v>1211</v>
      </c>
      <c r="C486" s="93"/>
      <c r="D486" s="21"/>
      <c r="E486" s="21"/>
      <c r="F486" s="21"/>
      <c r="G486" s="21"/>
      <c r="H486" s="1084"/>
      <c r="I486" s="238"/>
      <c r="J486" s="545"/>
      <c r="K486" s="545"/>
      <c r="L486" s="560" t="s">
        <v>1101</v>
      </c>
      <c r="M486" s="549"/>
      <c r="N486" s="238"/>
      <c r="O486" s="599"/>
      <c r="P486"/>
      <c r="Q486"/>
      <c r="R486"/>
      <c r="S486"/>
      <c r="T486"/>
      <c r="U486"/>
      <c r="V486"/>
      <c r="W486"/>
      <c r="X486" s="1303"/>
    </row>
    <row r="487" spans="2:45" x14ac:dyDescent="0.3">
      <c r="B487" s="938" t="s">
        <v>1213</v>
      </c>
      <c r="C487" s="93"/>
      <c r="D487" s="21"/>
      <c r="E487" s="21"/>
      <c r="F487" s="21"/>
      <c r="G487" s="21"/>
      <c r="H487" s="1084"/>
      <c r="I487" s="630" t="s">
        <v>1213</v>
      </c>
      <c r="J487" s="557"/>
      <c r="K487" s="557"/>
      <c r="L487" s="1364" t="s">
        <v>1214</v>
      </c>
      <c r="M487" s="1323">
        <v>1</v>
      </c>
      <c r="N487" s="216"/>
      <c r="O487" s="1324">
        <f>M487*S487*W487</f>
        <v>0</v>
      </c>
      <c r="P487" s="97" t="b">
        <v>0</v>
      </c>
      <c r="Q487" s="97" t="b">
        <v>1</v>
      </c>
      <c r="R487" s="145" t="b">
        <v>0</v>
      </c>
      <c r="S487" s="477" t="b">
        <v>1</v>
      </c>
      <c r="T487" s="97" t="b">
        <v>0</v>
      </c>
      <c r="U487"/>
      <c r="V487"/>
      <c r="W487" s="25"/>
      <c r="X487" s="1303"/>
      <c r="AC487" s="511" t="b">
        <f>OR(AD487:AE487)</f>
        <v>0</v>
      </c>
      <c r="AD487" s="511" t="b">
        <f>T487</f>
        <v>0</v>
      </c>
      <c r="AE487" s="511" t="b">
        <f>AND(R487,NOT(W487))</f>
        <v>0</v>
      </c>
      <c r="AL487" s="311" t="str">
        <f>SUBSTITUTE(SUBSTITUTE(SUBSTITUTE("dpa"&amp;$B487&amp;$C487&amp;$D487&amp;$E487&amp;$F487,".","_"),"(","_"),")","")</f>
        <v>dpa705_2_3</v>
      </c>
      <c r="AM487" s="311">
        <f>M487</f>
        <v>1</v>
      </c>
      <c r="AN487" s="311" t="str">
        <f>SUBSTITUTE(SUBSTITUTE(SUBSTITUTE("dpc"&amp;$B487&amp;$C487&amp;$D487&amp;$E487&amp;$F487,".","_"),"(","_"),")","")</f>
        <v>dpc705_2_3</v>
      </c>
      <c r="AO487" s="311">
        <f>O487</f>
        <v>0</v>
      </c>
      <c r="AP487" s="311" t="str">
        <f>SUBSTITUTE(SUBSTITUTE(SUBSTITUTE("dch"&amp;$B487&amp;$C487&amp;$D487&amp;$E487&amp;$F487,".","_"),"(","_"),")","")</f>
        <v>dch705_2_3</v>
      </c>
      <c r="AQ487" s="311">
        <f>W487</f>
        <v>0</v>
      </c>
      <c r="AR487" s="311" t="str">
        <f>SUBSTITUTE(SUBSTITUTE(SUBSTITUTE("dnt"&amp;$B487&amp;$C487&amp;$D487&amp;$E487&amp;$F487,".","_"),"(","_"),")","")</f>
        <v>dnt705_2_3</v>
      </c>
      <c r="AS487" s="311">
        <f>X487</f>
        <v>0</v>
      </c>
    </row>
    <row r="488" spans="2:45" x14ac:dyDescent="0.3">
      <c r="B488" s="938" t="s">
        <v>1213</v>
      </c>
      <c r="C488" s="93"/>
      <c r="D488" s="21"/>
      <c r="E488" s="21"/>
      <c r="F488" s="21"/>
      <c r="G488" s="21"/>
      <c r="H488" s="1084"/>
      <c r="I488" s="238"/>
      <c r="J488" s="545"/>
      <c r="K488" s="545"/>
      <c r="L488" s="1350"/>
      <c r="M488" s="1319"/>
      <c r="N488" s="238"/>
      <c r="O488" s="1309"/>
      <c r="P488"/>
      <c r="Q488"/>
      <c r="R488"/>
      <c r="S488"/>
      <c r="T488"/>
      <c r="U488"/>
      <c r="V488"/>
      <c r="W488"/>
      <c r="X488" s="1303"/>
    </row>
    <row r="489" spans="2:45" x14ac:dyDescent="0.3">
      <c r="B489" s="938" t="s">
        <v>1215</v>
      </c>
      <c r="C489" s="93"/>
      <c r="D489" s="21"/>
      <c r="E489" s="21"/>
      <c r="F489" s="21"/>
      <c r="G489" s="21"/>
      <c r="H489" s="1084"/>
      <c r="I489" s="606" t="s">
        <v>1215</v>
      </c>
      <c r="J489" s="544"/>
      <c r="K489" s="544"/>
      <c r="L489" s="1313" t="s">
        <v>1216</v>
      </c>
      <c r="M489" s="1318">
        <v>1</v>
      </c>
      <c r="N489" s="140"/>
      <c r="O489" s="1308">
        <f>IFERROR(IF(AND(NOT(ISBLANK(W490)),(W490/W491)&lt;(1/400)),1,0),0)</f>
        <v>0</v>
      </c>
      <c r="P489" s="97"/>
      <c r="Q489" s="97"/>
      <c r="R489" s="168"/>
      <c r="S489" s="97"/>
      <c r="T489" s="97"/>
      <c r="U489" s="97"/>
      <c r="V489" s="97"/>
      <c r="W489" s="97" t="s">
        <v>3884</v>
      </c>
      <c r="X489" s="1295"/>
      <c r="AL489" s="311" t="str">
        <f>SUBSTITUTE(SUBSTITUTE(SUBSTITUTE("dpa"&amp;$B489&amp;$C489&amp;$D489&amp;$E489&amp;$F489,".","_"),"(","_"),")","")</f>
        <v>dpa705_2_4</v>
      </c>
      <c r="AM489" s="311">
        <f>M489</f>
        <v>1</v>
      </c>
      <c r="AN489" s="311" t="str">
        <f>SUBSTITUTE(SUBSTITUTE(SUBSTITUTE("dpc"&amp;$B489&amp;$C489&amp;$D489&amp;$E489&amp;$F489,".","_"),"(","_"),")","")</f>
        <v>dpc705_2_4</v>
      </c>
      <c r="AO489" s="311">
        <f>O489</f>
        <v>0</v>
      </c>
      <c r="AR489" s="311" t="str">
        <f>SUBSTITUTE(SUBSTITUTE(SUBSTITUTE("dnt"&amp;$B489&amp;$C489&amp;$D489&amp;$E489&amp;$F489,".","_"),"(","_"),")","")</f>
        <v>dnt705_2_4</v>
      </c>
      <c r="AS489" s="311">
        <f>X489</f>
        <v>0</v>
      </c>
    </row>
    <row r="490" spans="2:45" x14ac:dyDescent="0.3">
      <c r="B490" s="938" t="s">
        <v>1215</v>
      </c>
      <c r="C490" s="93"/>
      <c r="D490" s="21"/>
      <c r="E490" s="21"/>
      <c r="F490" s="21"/>
      <c r="G490" s="21"/>
      <c r="H490" s="1084"/>
      <c r="I490" s="140"/>
      <c r="J490" s="544"/>
      <c r="K490" s="544"/>
      <c r="L490" s="1313"/>
      <c r="M490" s="1318"/>
      <c r="N490" s="140"/>
      <c r="O490" s="1308"/>
      <c r="P490" s="97" t="b">
        <v>0</v>
      </c>
      <c r="Q490" s="97" t="b">
        <v>1</v>
      </c>
      <c r="R490" s="97" t="b">
        <v>0</v>
      </c>
      <c r="S490" s="97" t="b">
        <f>OR(W124="Met",W124="N/A")</f>
        <v>0</v>
      </c>
      <c r="T490" s="97" t="b">
        <f>OR(AND(NOT(S490),LEN(W490)&gt;0),AND(W490&gt;0,W124="N/A"))</f>
        <v>0</v>
      </c>
      <c r="U490" s="97"/>
      <c r="V490" s="97"/>
      <c r="W490" s="473"/>
      <c r="X490" s="1295"/>
      <c r="AC490" s="511" t="b">
        <f>OR(AD490:AE490)</f>
        <v>0</v>
      </c>
      <c r="AD490" s="511" t="b">
        <f>T490</f>
        <v>0</v>
      </c>
      <c r="AE490" s="511" t="b">
        <f>AND(R490,OR(W490="Not Met",W490=""))</f>
        <v>0</v>
      </c>
      <c r="AP490" s="311" t="str">
        <f>SUBSTITUTE(SUBSTITUTE(SUBSTITUTE("dch"&amp;$B490&amp;$C490&amp;$D490&amp;$E490&amp;$F490,".","_"),"(","_"),")","")</f>
        <v>dch705_2_4</v>
      </c>
      <c r="AQ490" s="311">
        <f>W490</f>
        <v>0</v>
      </c>
    </row>
    <row r="491" spans="2:45" ht="15" thickBot="1" x14ac:dyDescent="0.35">
      <c r="B491" s="938" t="s">
        <v>1215</v>
      </c>
      <c r="C491" s="93"/>
      <c r="D491" s="21"/>
      <c r="E491" s="21"/>
      <c r="F491" s="21"/>
      <c r="G491" s="21"/>
      <c r="H491" s="1084"/>
      <c r="I491" s="270"/>
      <c r="J491" s="558"/>
      <c r="K491" s="558"/>
      <c r="L491" s="1332"/>
      <c r="M491" s="1334"/>
      <c r="N491" s="270"/>
      <c r="O491" s="1315"/>
      <c r="P491" s="104"/>
      <c r="Q491" s="104"/>
      <c r="R491" s="104"/>
      <c r="S491" s="104"/>
      <c r="T491" s="104"/>
      <c r="U491" s="104"/>
      <c r="V491" s="104"/>
      <c r="W491" s="645">
        <f>AY24</f>
        <v>2650</v>
      </c>
      <c r="X491" s="1296"/>
    </row>
    <row r="492" spans="2:45" ht="15.6" thickTop="1" thickBot="1" x14ac:dyDescent="0.35">
      <c r="B492" s="938">
        <v>705.3</v>
      </c>
      <c r="C492" s="93"/>
      <c r="D492" s="21"/>
      <c r="E492" s="21"/>
      <c r="F492" s="21"/>
      <c r="G492" s="21"/>
      <c r="H492" s="1084"/>
      <c r="I492" s="455">
        <v>705.3</v>
      </c>
      <c r="J492" s="617"/>
      <c r="K492" s="617"/>
      <c r="L492" s="457" t="s">
        <v>1217</v>
      </c>
      <c r="M492" s="458">
        <v>1</v>
      </c>
      <c r="N492" s="456"/>
      <c r="O492" s="603">
        <f>M492*S492*W492</f>
        <v>0</v>
      </c>
      <c r="P492" s="97" t="b">
        <v>0</v>
      </c>
      <c r="Q492" s="97" t="b">
        <v>1</v>
      </c>
      <c r="R492" s="125" t="b">
        <v>0</v>
      </c>
      <c r="S492" s="125" t="b">
        <v>1</v>
      </c>
      <c r="T492" s="125" t="b">
        <v>0</v>
      </c>
      <c r="U492" s="125"/>
      <c r="V492" s="125"/>
      <c r="W492" s="128"/>
      <c r="X492" s="139"/>
      <c r="AC492" s="511" t="b">
        <f>OR(AD492:AE492)</f>
        <v>0</v>
      </c>
      <c r="AD492" s="511" t="b">
        <f>T492</f>
        <v>0</v>
      </c>
      <c r="AE492" s="511" t="b">
        <f>AND(R492,NOT(W492))</f>
        <v>0</v>
      </c>
      <c r="AL492" s="311" t="str">
        <f t="shared" ref="AL492:AL493" si="49">SUBSTITUTE(SUBSTITUTE(SUBSTITUTE("dpa"&amp;$B492&amp;$C492&amp;$D492&amp;$E492&amp;$F492,".","_"),"(","_"),")","")</f>
        <v>dpa705_3</v>
      </c>
      <c r="AM492" s="311">
        <f>M492</f>
        <v>1</v>
      </c>
      <c r="AN492" s="311" t="str">
        <f t="shared" ref="AN492:AN493" si="50">SUBSTITUTE(SUBSTITUTE(SUBSTITUTE("dpc"&amp;$B492&amp;$C492&amp;$D492&amp;$E492&amp;$F492,".","_"),"(","_"),")","")</f>
        <v>dpc705_3</v>
      </c>
      <c r="AO492" s="311">
        <f>O492</f>
        <v>0</v>
      </c>
      <c r="AP492" s="311" t="str">
        <f t="shared" ref="AP492:AP493" si="51">SUBSTITUTE(SUBSTITUTE(SUBSTITUTE("dch"&amp;$B492&amp;$C492&amp;$D492&amp;$E492&amp;$F492,".","_"),"(","_"),")","")</f>
        <v>dch705_3</v>
      </c>
      <c r="AQ492" s="311">
        <f>W492</f>
        <v>0</v>
      </c>
      <c r="AR492" s="311" t="str">
        <f t="shared" ref="AR492:AR493" si="52">SUBSTITUTE(SUBSTITUTE(SUBSTITUTE("dnt"&amp;$B492&amp;$C492&amp;$D492&amp;$E492&amp;$F492,".","_"),"(","_"),")","")</f>
        <v>dnt705_3</v>
      </c>
      <c r="AS492" s="311">
        <f>X492</f>
        <v>0</v>
      </c>
    </row>
    <row r="493" spans="2:45" ht="15" thickTop="1" x14ac:dyDescent="0.3">
      <c r="B493" s="938">
        <v>705.4</v>
      </c>
      <c r="C493" s="93"/>
      <c r="D493" s="21"/>
      <c r="E493" s="21"/>
      <c r="F493" s="21"/>
      <c r="G493" s="21"/>
      <c r="H493" s="1084"/>
      <c r="I493" s="200">
        <v>705.4</v>
      </c>
      <c r="J493" s="616"/>
      <c r="K493" s="616"/>
      <c r="L493" s="1331" t="s">
        <v>1218</v>
      </c>
      <c r="M493" s="1343">
        <v>2</v>
      </c>
      <c r="N493" s="201"/>
      <c r="O493" s="1336">
        <f>M493*S493*W493</f>
        <v>0</v>
      </c>
      <c r="P493" s="97" t="b">
        <v>1</v>
      </c>
      <c r="Q493" s="97" t="b">
        <v>1</v>
      </c>
      <c r="R493" s="110" t="b">
        <v>0</v>
      </c>
      <c r="S493" s="110" t="b">
        <v>1</v>
      </c>
      <c r="T493" s="110" t="b">
        <v>0</v>
      </c>
      <c r="U493" s="110"/>
      <c r="V493" s="110"/>
      <c r="W493" s="459"/>
      <c r="X493" s="1327"/>
      <c r="AC493" s="511" t="b">
        <f>OR(AD493:AE493)</f>
        <v>0</v>
      </c>
      <c r="AD493" s="511" t="b">
        <f>T493</f>
        <v>0</v>
      </c>
      <c r="AE493" s="511" t="b">
        <f>AND(R493,NOT(W493))</f>
        <v>0</v>
      </c>
      <c r="AL493" s="311" t="str">
        <f t="shared" si="49"/>
        <v>dpa705_4</v>
      </c>
      <c r="AM493" s="311">
        <f>M493</f>
        <v>2</v>
      </c>
      <c r="AN493" s="311" t="str">
        <f t="shared" si="50"/>
        <v>dpc705_4</v>
      </c>
      <c r="AO493" s="311">
        <f>O493</f>
        <v>0</v>
      </c>
      <c r="AP493" s="311" t="str">
        <f t="shared" si="51"/>
        <v>dch705_4</v>
      </c>
      <c r="AQ493" s="311">
        <f>W493</f>
        <v>0</v>
      </c>
      <c r="AR493" s="311" t="str">
        <f t="shared" si="52"/>
        <v>dnt705_4</v>
      </c>
      <c r="AS493" s="311">
        <f>X493</f>
        <v>0</v>
      </c>
    </row>
    <row r="494" spans="2:45" x14ac:dyDescent="0.3">
      <c r="B494" s="938">
        <v>705.4</v>
      </c>
      <c r="C494" s="93"/>
      <c r="D494" s="21"/>
      <c r="E494" s="21"/>
      <c r="F494" s="21"/>
      <c r="G494" s="21"/>
      <c r="H494" s="1084"/>
      <c r="I494" s="140"/>
      <c r="J494" s="544"/>
      <c r="K494" s="544"/>
      <c r="L494" s="1313"/>
      <c r="M494" s="1318"/>
      <c r="N494" s="140"/>
      <c r="O494" s="1308"/>
      <c r="P494" s="97"/>
      <c r="Q494" s="97"/>
      <c r="R494" s="97"/>
      <c r="S494" s="97"/>
      <c r="T494" s="97"/>
      <c r="U494" s="97"/>
      <c r="V494" s="97"/>
      <c r="W494" s="97"/>
      <c r="X494" s="1295"/>
    </row>
    <row r="495" spans="2:45" ht="15" thickBot="1" x14ac:dyDescent="0.35">
      <c r="B495" s="938">
        <v>705.4</v>
      </c>
      <c r="C495" s="93"/>
      <c r="D495" s="21"/>
      <c r="E495" s="21"/>
      <c r="F495" s="21"/>
      <c r="G495" s="21"/>
      <c r="H495" s="1084"/>
      <c r="I495" s="270"/>
      <c r="J495" s="558"/>
      <c r="K495" s="558"/>
      <c r="L495" s="1332"/>
      <c r="M495" s="1334"/>
      <c r="N495" s="270"/>
      <c r="O495" s="1315"/>
      <c r="P495" s="104"/>
      <c r="Q495" s="104"/>
      <c r="R495" s="104"/>
      <c r="S495" s="104"/>
      <c r="T495" s="104"/>
      <c r="U495" s="104"/>
      <c r="V495" s="104"/>
      <c r="W495" s="104"/>
      <c r="X495" s="1296"/>
    </row>
    <row r="496" spans="2:45" ht="15" thickTop="1" x14ac:dyDescent="0.3">
      <c r="B496" s="938">
        <v>705.5</v>
      </c>
      <c r="C496" s="93"/>
      <c r="D496" s="21"/>
      <c r="E496" s="21"/>
      <c r="F496" s="21"/>
      <c r="G496" s="21"/>
      <c r="H496" s="1084"/>
      <c r="I496" s="66">
        <v>705.5</v>
      </c>
      <c r="J496" s="178"/>
      <c r="K496" s="178"/>
      <c r="L496" s="184" t="s">
        <v>1219</v>
      </c>
      <c r="M496" s="522"/>
      <c r="N496" s="4"/>
      <c r="O496" s="154"/>
      <c r="P496"/>
      <c r="Q496"/>
      <c r="R496"/>
      <c r="S496"/>
      <c r="T496"/>
      <c r="U496"/>
      <c r="V496"/>
      <c r="W496"/>
      <c r="X496"/>
    </row>
    <row r="497" spans="1:49" x14ac:dyDescent="0.3">
      <c r="B497" s="938" t="s">
        <v>1220</v>
      </c>
      <c r="C497" s="93"/>
      <c r="D497" s="21"/>
      <c r="E497" s="21"/>
      <c r="F497" s="21"/>
      <c r="G497" s="21"/>
      <c r="H497" s="1084"/>
      <c r="I497" s="606" t="s">
        <v>1220</v>
      </c>
      <c r="J497" s="544"/>
      <c r="K497" s="544"/>
      <c r="L497" s="1313" t="s">
        <v>1221</v>
      </c>
      <c r="M497" s="1318">
        <v>1</v>
      </c>
      <c r="N497" s="140"/>
      <c r="O497" s="1308">
        <f>M497*S497*W497</f>
        <v>0</v>
      </c>
      <c r="P497" s="97" t="b">
        <v>1</v>
      </c>
      <c r="Q497" s="97" t="b">
        <v>1</v>
      </c>
      <c r="R497" s="145" t="b">
        <v>0</v>
      </c>
      <c r="S497" s="477" t="b">
        <v>1</v>
      </c>
      <c r="T497" s="97" t="b">
        <v>0</v>
      </c>
      <c r="U497"/>
      <c r="V497"/>
      <c r="W497" s="25"/>
      <c r="X497" s="1303"/>
      <c r="AC497" s="511" t="b">
        <f>OR(AD497:AE497)</f>
        <v>0</v>
      </c>
      <c r="AD497" s="511" t="b">
        <f>T497</f>
        <v>0</v>
      </c>
      <c r="AE497" s="511" t="b">
        <f>AND(R497,NOT(W497))</f>
        <v>0</v>
      </c>
      <c r="AL497" s="311" t="str">
        <f>SUBSTITUTE(SUBSTITUTE(SUBSTITUTE("dpa"&amp;$B497&amp;$C497&amp;$D497&amp;$E497&amp;$F497,".","_"),"(","_"),")","")</f>
        <v>dpa705_5_1</v>
      </c>
      <c r="AM497" s="311">
        <f>M497</f>
        <v>1</v>
      </c>
      <c r="AN497" s="311" t="str">
        <f>SUBSTITUTE(SUBSTITUTE(SUBSTITUTE("dpc"&amp;$B497&amp;$C497&amp;$D497&amp;$E497&amp;$F497,".","_"),"(","_"),")","")</f>
        <v>dpc705_5_1</v>
      </c>
      <c r="AO497" s="311">
        <f>O497</f>
        <v>0</v>
      </c>
      <c r="AP497" s="311" t="str">
        <f>SUBSTITUTE(SUBSTITUTE(SUBSTITUTE("dch"&amp;$B497&amp;$C497&amp;$D497&amp;$E497&amp;$F497,".","_"),"(","_"),")","")</f>
        <v>dch705_5_1</v>
      </c>
      <c r="AQ497" s="311">
        <f>W497</f>
        <v>0</v>
      </c>
      <c r="AR497" s="311" t="str">
        <f>SUBSTITUTE(SUBSTITUTE(SUBSTITUTE("dnt"&amp;$B497&amp;$C497&amp;$D497&amp;$E497&amp;$F497,".","_"),"(","_"),")","")</f>
        <v>dnt705_5_1</v>
      </c>
      <c r="AS497" s="311">
        <f>X497</f>
        <v>0</v>
      </c>
    </row>
    <row r="498" spans="1:49" x14ac:dyDescent="0.3">
      <c r="B498" s="938" t="s">
        <v>1220</v>
      </c>
      <c r="C498" s="93"/>
      <c r="D498" s="21"/>
      <c r="E498" s="21"/>
      <c r="F498" s="21"/>
      <c r="G498" s="21"/>
      <c r="H498" s="1084"/>
      <c r="I498" s="140"/>
      <c r="J498" s="544"/>
      <c r="K498" s="544"/>
      <c r="L498" s="1313"/>
      <c r="M498" s="1318"/>
      <c r="N498" s="140"/>
      <c r="O498" s="1308"/>
      <c r="P498"/>
      <c r="Q498"/>
      <c r="R498"/>
      <c r="S498"/>
      <c r="T498"/>
      <c r="U498"/>
      <c r="V498"/>
      <c r="W498"/>
      <c r="X498" s="1303"/>
    </row>
    <row r="499" spans="1:49" s="145" customFormat="1" x14ac:dyDescent="0.3">
      <c r="A499" s="18"/>
      <c r="B499" s="938" t="s">
        <v>1220</v>
      </c>
      <c r="C499" s="93"/>
      <c r="D499" s="21"/>
      <c r="E499" s="21"/>
      <c r="F499" s="21"/>
      <c r="G499" s="21"/>
      <c r="H499" s="1084"/>
      <c r="I499" s="140"/>
      <c r="J499" s="544"/>
      <c r="K499" s="544"/>
      <c r="L499" s="1313"/>
      <c r="M499" s="1318"/>
      <c r="N499" s="140"/>
      <c r="O499" s="1308"/>
      <c r="P499"/>
      <c r="Q499"/>
      <c r="R499"/>
      <c r="S499"/>
      <c r="T499"/>
      <c r="U499"/>
      <c r="V499"/>
      <c r="W499"/>
      <c r="X499" s="1303"/>
      <c r="Y499" s="1107"/>
      <c r="Z499" s="79"/>
      <c r="AA499" s="1110"/>
      <c r="AB499" s="79"/>
      <c r="AC499" s="79"/>
      <c r="AD499" s="79"/>
      <c r="AE499" s="79"/>
      <c r="AF499" s="79"/>
      <c r="AG499" s="79"/>
      <c r="AH499" s="79"/>
      <c r="AI499" s="79"/>
      <c r="AJ499" s="79"/>
      <c r="AK499" s="79"/>
      <c r="AL499" s="79"/>
      <c r="AM499" s="79"/>
      <c r="AN499" s="79"/>
      <c r="AO499" s="79"/>
      <c r="AP499" s="79"/>
      <c r="AQ499" s="79"/>
      <c r="AR499" s="79"/>
      <c r="AS499" s="79"/>
      <c r="AT499" s="79"/>
      <c r="AU499" s="79"/>
      <c r="AV499" s="79"/>
      <c r="AW499" s="79"/>
    </row>
    <row r="500" spans="1:49" x14ac:dyDescent="0.3">
      <c r="B500" s="938" t="s">
        <v>1220</v>
      </c>
      <c r="C500" s="93"/>
      <c r="D500" s="21"/>
      <c r="E500" s="21"/>
      <c r="F500" s="21"/>
      <c r="G500" s="21"/>
      <c r="H500" s="1084"/>
      <c r="I500" s="140"/>
      <c r="J500" s="544"/>
      <c r="K500" s="544"/>
      <c r="L500" s="1313"/>
      <c r="M500" s="1318"/>
      <c r="N500" s="140"/>
      <c r="O500" s="1308"/>
      <c r="P500"/>
      <c r="Q500"/>
      <c r="R500"/>
      <c r="S500"/>
      <c r="T500"/>
      <c r="U500"/>
      <c r="V500"/>
      <c r="W500"/>
      <c r="X500" s="1303"/>
      <c r="Z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row>
    <row r="501" spans="1:49" x14ac:dyDescent="0.3">
      <c r="B501" s="938" t="s">
        <v>1220</v>
      </c>
      <c r="C501" s="93"/>
      <c r="D501" s="21"/>
      <c r="E501" s="21"/>
      <c r="F501" s="21"/>
      <c r="G501" s="21"/>
      <c r="H501" s="1084"/>
      <c r="I501" s="238"/>
      <c r="J501" s="545"/>
      <c r="K501" s="545"/>
      <c r="L501" s="1350"/>
      <c r="M501" s="1319"/>
      <c r="N501" s="238"/>
      <c r="O501" s="1309"/>
      <c r="P501" s="145"/>
      <c r="Q501" s="145"/>
      <c r="R501" s="145"/>
      <c r="S501" s="145"/>
      <c r="T501" s="145"/>
      <c r="U501" s="145"/>
      <c r="V501" s="145"/>
      <c r="W501" s="145"/>
      <c r="X501" s="1303"/>
    </row>
    <row r="502" spans="1:49" x14ac:dyDescent="0.3">
      <c r="B502" s="938" t="s">
        <v>1222</v>
      </c>
      <c r="C502" s="93"/>
      <c r="D502" s="21"/>
      <c r="E502" s="21"/>
      <c r="F502" s="21"/>
      <c r="G502" s="21"/>
      <c r="H502" s="1084"/>
      <c r="I502" s="68" t="s">
        <v>1222</v>
      </c>
      <c r="J502" s="178"/>
      <c r="K502" s="178"/>
      <c r="L502" s="1292" t="s">
        <v>1223</v>
      </c>
      <c r="M502" s="1335">
        <v>3</v>
      </c>
      <c r="N502" s="4"/>
      <c r="O502" s="1310">
        <f>M502*S502*W502</f>
        <v>0</v>
      </c>
      <c r="P502" s="97" t="b">
        <v>0</v>
      </c>
      <c r="Q502" s="97" t="b">
        <v>1</v>
      </c>
      <c r="R502" s="145" t="b">
        <v>0</v>
      </c>
      <c r="S502" s="477" t="b">
        <v>1</v>
      </c>
      <c r="T502" s="97" t="b">
        <v>0</v>
      </c>
      <c r="U502"/>
      <c r="V502"/>
      <c r="W502" s="25"/>
      <c r="X502" s="1303"/>
      <c r="AC502" s="511" t="b">
        <f>OR(AD502:AE502)</f>
        <v>0</v>
      </c>
      <c r="AD502" s="511" t="b">
        <f>T502</f>
        <v>0</v>
      </c>
      <c r="AE502" s="511" t="b">
        <f>AND(R502,NOT(W502))</f>
        <v>0</v>
      </c>
      <c r="AL502" s="311" t="str">
        <f>SUBSTITUTE(SUBSTITUTE(SUBSTITUTE("dpa"&amp;$B502&amp;$C502&amp;$D502&amp;$E502&amp;$F502,".","_"),"(","_"),")","")</f>
        <v>dpa705_5_2</v>
      </c>
      <c r="AM502" s="311">
        <f>M502</f>
        <v>3</v>
      </c>
      <c r="AN502" s="311" t="str">
        <f>SUBSTITUTE(SUBSTITUTE(SUBSTITUTE("dpc"&amp;$B502&amp;$C502&amp;$D502&amp;$E502&amp;$F502,".","_"),"(","_"),")","")</f>
        <v>dpc705_5_2</v>
      </c>
      <c r="AO502" s="311">
        <f>O502</f>
        <v>0</v>
      </c>
      <c r="AP502" s="311" t="str">
        <f>SUBSTITUTE(SUBSTITUTE(SUBSTITUTE("dch"&amp;$B502&amp;$C502&amp;$D502&amp;$E502&amp;$F502,".","_"),"(","_"),")","")</f>
        <v>dch705_5_2</v>
      </c>
      <c r="AQ502" s="311">
        <f>W502</f>
        <v>0</v>
      </c>
      <c r="AR502" s="311" t="str">
        <f>SUBSTITUTE(SUBSTITUTE(SUBSTITUTE("dnt"&amp;$B502&amp;$C502&amp;$D502&amp;$E502&amp;$F502,".","_"),"(","_"),")","")</f>
        <v>dnt705_5_2</v>
      </c>
      <c r="AS502" s="311">
        <f>X502</f>
        <v>0</v>
      </c>
    </row>
    <row r="503" spans="1:49" x14ac:dyDescent="0.3">
      <c r="B503" s="938" t="s">
        <v>1222</v>
      </c>
      <c r="C503" s="93"/>
      <c r="D503" s="21"/>
      <c r="E503" s="21"/>
      <c r="F503" s="21"/>
      <c r="G503" s="21"/>
      <c r="H503" s="1084"/>
      <c r="I503" s="4"/>
      <c r="J503" s="178"/>
      <c r="K503" s="178"/>
      <c r="L503" s="1292"/>
      <c r="M503" s="1335"/>
      <c r="N503" s="4"/>
      <c r="O503" s="1310"/>
      <c r="P503"/>
      <c r="Q503"/>
      <c r="R503"/>
      <c r="S503"/>
      <c r="T503"/>
      <c r="U503"/>
      <c r="V503"/>
      <c r="W503"/>
      <c r="X503" s="1303"/>
    </row>
    <row r="504" spans="1:49" x14ac:dyDescent="0.3">
      <c r="B504" s="938" t="s">
        <v>1222</v>
      </c>
      <c r="C504" s="93"/>
      <c r="D504" s="21" t="s">
        <v>271</v>
      </c>
      <c r="E504" s="21"/>
      <c r="F504" s="21"/>
      <c r="G504" s="21"/>
      <c r="H504" s="1084"/>
      <c r="I504" s="4"/>
      <c r="J504" s="264" t="s">
        <v>271</v>
      </c>
      <c r="K504" s="178"/>
      <c r="L504" s="178" t="s">
        <v>1224</v>
      </c>
      <c r="M504" s="522"/>
      <c r="N504" s="4"/>
      <c r="O504" s="154"/>
      <c r="P504"/>
      <c r="Q504"/>
      <c r="R504"/>
      <c r="S504"/>
      <c r="T504"/>
      <c r="U504"/>
      <c r="V504"/>
      <c r="W504"/>
      <c r="X504" s="512"/>
      <c r="AR504" s="311" t="str">
        <f t="shared" ref="AR504:AR509" si="53">SUBSTITUTE(SUBSTITUTE(SUBSTITUTE("dnt"&amp;$B504&amp;$C504&amp;$D504&amp;$E504&amp;$F504,".","_"),"(","_"),")","")</f>
        <v>dnt705_5_2_1</v>
      </c>
      <c r="AS504" s="311">
        <f t="shared" ref="AS504:AS509" si="54">X504</f>
        <v>0</v>
      </c>
    </row>
    <row r="505" spans="1:49" x14ac:dyDescent="0.3">
      <c r="B505" s="938" t="s">
        <v>1222</v>
      </c>
      <c r="C505" s="93"/>
      <c r="D505" s="21" t="s">
        <v>273</v>
      </c>
      <c r="E505" s="21"/>
      <c r="F505" s="21"/>
      <c r="G505" s="21"/>
      <c r="H505" s="1084"/>
      <c r="I505" s="4"/>
      <c r="J505" s="644" t="s">
        <v>273</v>
      </c>
      <c r="K505" s="545"/>
      <c r="L505" s="545" t="s">
        <v>1225</v>
      </c>
      <c r="M505" s="522"/>
      <c r="N505" s="4"/>
      <c r="O505" s="154"/>
      <c r="X505" s="512"/>
      <c r="AR505" s="311" t="str">
        <f t="shared" si="53"/>
        <v>dnt705_5_2_2</v>
      </c>
      <c r="AS505" s="311">
        <f t="shared" si="54"/>
        <v>0</v>
      </c>
    </row>
    <row r="506" spans="1:49" x14ac:dyDescent="0.3">
      <c r="B506" s="938" t="s">
        <v>1222</v>
      </c>
      <c r="C506" s="93"/>
      <c r="D506" s="21" t="s">
        <v>275</v>
      </c>
      <c r="E506" s="21"/>
      <c r="F506" s="21"/>
      <c r="G506" s="21"/>
      <c r="H506" s="1084"/>
      <c r="I506" s="4"/>
      <c r="J506" s="656" t="s">
        <v>275</v>
      </c>
      <c r="K506" s="365"/>
      <c r="L506" s="365" t="s">
        <v>1226</v>
      </c>
      <c r="M506" s="522"/>
      <c r="N506" s="4"/>
      <c r="O506" s="154"/>
      <c r="X506" s="512"/>
      <c r="AR506" s="311" t="str">
        <f t="shared" si="53"/>
        <v>dnt705_5_2_3</v>
      </c>
      <c r="AS506" s="311">
        <f t="shared" si="54"/>
        <v>0</v>
      </c>
    </row>
    <row r="507" spans="1:49" x14ac:dyDescent="0.3">
      <c r="B507" s="938" t="s">
        <v>1222</v>
      </c>
      <c r="C507" s="93"/>
      <c r="D507" s="21" t="s">
        <v>285</v>
      </c>
      <c r="E507" s="21"/>
      <c r="F507" s="21"/>
      <c r="G507" s="21"/>
      <c r="H507" s="1084"/>
      <c r="I507" s="140"/>
      <c r="J507" s="656" t="s">
        <v>285</v>
      </c>
      <c r="K507" s="365"/>
      <c r="L507" s="365" t="s">
        <v>1227</v>
      </c>
      <c r="M507" s="548"/>
      <c r="N507" s="140"/>
      <c r="O507" s="598"/>
      <c r="P507" s="97"/>
      <c r="Q507" s="97"/>
      <c r="R507" s="97"/>
      <c r="S507" s="97"/>
      <c r="T507" s="97"/>
      <c r="U507" s="97"/>
      <c r="V507" s="97"/>
      <c r="W507" s="97"/>
      <c r="X507" s="537"/>
      <c r="AR507" s="311" t="str">
        <f t="shared" si="53"/>
        <v>dnt705_5_2_4</v>
      </c>
      <c r="AS507" s="311">
        <f t="shared" si="54"/>
        <v>0</v>
      </c>
    </row>
    <row r="508" spans="1:49" x14ac:dyDescent="0.3">
      <c r="B508" s="938" t="s">
        <v>1222</v>
      </c>
      <c r="C508" s="93"/>
      <c r="D508" s="21" t="s">
        <v>291</v>
      </c>
      <c r="E508" s="21"/>
      <c r="F508" s="21"/>
      <c r="G508" s="21"/>
      <c r="H508" s="1084"/>
      <c r="I508" s="140"/>
      <c r="J508" s="656" t="s">
        <v>291</v>
      </c>
      <c r="K508" s="365"/>
      <c r="L508" s="365" t="s">
        <v>1228</v>
      </c>
      <c r="M508" s="548"/>
      <c r="N508" s="140"/>
      <c r="O508" s="598"/>
      <c r="P508" s="97"/>
      <c r="Q508" s="97"/>
      <c r="R508" s="97"/>
      <c r="S508" s="97"/>
      <c r="T508" s="97"/>
      <c r="U508" s="97"/>
      <c r="V508" s="97"/>
      <c r="W508" s="97"/>
      <c r="X508" s="537"/>
      <c r="AR508" s="311" t="str">
        <f t="shared" si="53"/>
        <v>dnt705_5_2_5</v>
      </c>
      <c r="AS508" s="311">
        <f t="shared" si="54"/>
        <v>0</v>
      </c>
    </row>
    <row r="509" spans="1:49" ht="15" thickBot="1" x14ac:dyDescent="0.35">
      <c r="B509" s="938" t="s">
        <v>1222</v>
      </c>
      <c r="C509" s="93"/>
      <c r="D509" s="21" t="s">
        <v>293</v>
      </c>
      <c r="E509" s="21"/>
      <c r="F509" s="21"/>
      <c r="G509" s="21"/>
      <c r="H509" s="1084"/>
      <c r="I509" s="270"/>
      <c r="J509" s="646" t="s">
        <v>293</v>
      </c>
      <c r="K509" s="558"/>
      <c r="L509" s="558" t="s">
        <v>1229</v>
      </c>
      <c r="M509" s="556"/>
      <c r="N509" s="270"/>
      <c r="O509" s="600"/>
      <c r="P509" s="104"/>
      <c r="Q509" s="104"/>
      <c r="R509" s="104"/>
      <c r="S509" s="104"/>
      <c r="T509" s="104"/>
      <c r="U509" s="104"/>
      <c r="V509" s="104"/>
      <c r="W509" s="104"/>
      <c r="X509" s="538"/>
      <c r="AR509" s="311" t="str">
        <f t="shared" si="53"/>
        <v>dnt705_5_2_6</v>
      </c>
      <c r="AS509" s="311">
        <f t="shared" si="54"/>
        <v>0</v>
      </c>
    </row>
    <row r="510" spans="1:49" ht="15" thickTop="1" x14ac:dyDescent="0.3">
      <c r="B510" s="938">
        <v>705.6</v>
      </c>
      <c r="C510" s="93"/>
      <c r="D510" s="21"/>
      <c r="E510" s="21"/>
      <c r="F510" s="21"/>
      <c r="G510" s="21"/>
      <c r="H510" s="1084"/>
      <c r="I510" s="67">
        <v>705.6</v>
      </c>
      <c r="J510" s="178"/>
      <c r="K510" s="178"/>
      <c r="L510" s="184" t="s">
        <v>1230</v>
      </c>
      <c r="M510" s="522"/>
      <c r="N510" s="4"/>
      <c r="O510" s="154"/>
    </row>
    <row r="511" spans="1:49" x14ac:dyDescent="0.3">
      <c r="B511" s="938" t="s">
        <v>1231</v>
      </c>
      <c r="C511" s="93"/>
      <c r="D511" s="21"/>
      <c r="E511" s="21"/>
      <c r="F511" s="21"/>
      <c r="G511" s="21"/>
      <c r="H511" s="1084"/>
      <c r="I511" s="606" t="s">
        <v>1231</v>
      </c>
      <c r="J511" s="544"/>
      <c r="K511" s="544"/>
      <c r="L511" s="1313" t="s">
        <v>1232</v>
      </c>
      <c r="M511" s="1318">
        <v>3</v>
      </c>
      <c r="N511" s="140"/>
      <c r="O511" s="1308">
        <f>M511*S511</f>
        <v>3</v>
      </c>
      <c r="P511" s="97" t="b">
        <v>1</v>
      </c>
      <c r="Q511" s="97" t="b">
        <v>1</v>
      </c>
      <c r="R511" s="97" t="b">
        <v>0</v>
      </c>
      <c r="S511" s="97" t="b">
        <f>LEN(W12)&gt;0</f>
        <v>1</v>
      </c>
      <c r="T511" s="97" t="b">
        <v>0</v>
      </c>
      <c r="U511" s="97"/>
      <c r="V511" s="97"/>
      <c r="W511" s="1417" t="s">
        <v>3871</v>
      </c>
      <c r="X511" s="1295"/>
      <c r="AL511" s="311" t="str">
        <f>SUBSTITUTE(SUBSTITUTE(SUBSTITUTE("dpa"&amp;$B511&amp;$C511&amp;$D511&amp;$E511&amp;$F511,".","_"),"(","_"),")","")</f>
        <v>dpa705_6_1</v>
      </c>
      <c r="AM511" s="311">
        <f>M511</f>
        <v>3</v>
      </c>
      <c r="AN511" s="311" t="str">
        <f>SUBSTITUTE(SUBSTITUTE(SUBSTITUTE("dpc"&amp;$B511&amp;$C511&amp;$D511&amp;$E511&amp;$F511,".","_"),"(","_"),")","")</f>
        <v>dpc705_6_1</v>
      </c>
      <c r="AO511" s="311">
        <f>O511</f>
        <v>3</v>
      </c>
      <c r="AR511" s="311" t="str">
        <f>SUBSTITUTE(SUBSTITUTE(SUBSTITUTE("dnt"&amp;$B511&amp;$C511&amp;$D511&amp;$E511&amp;$F511,".","_"),"(","_"),")","")</f>
        <v>dnt705_6_1</v>
      </c>
      <c r="AS511" s="311">
        <f>X511</f>
        <v>0</v>
      </c>
    </row>
    <row r="512" spans="1:49" x14ac:dyDescent="0.3">
      <c r="B512" s="938" t="s">
        <v>1231</v>
      </c>
      <c r="C512" s="93"/>
      <c r="D512" s="21"/>
      <c r="E512" s="21"/>
      <c r="F512" s="21"/>
      <c r="G512" s="21"/>
      <c r="H512" s="1084"/>
      <c r="I512" s="140"/>
      <c r="J512" s="544"/>
      <c r="K512" s="544"/>
      <c r="L512" s="1313"/>
      <c r="M512" s="1318"/>
      <c r="N512" s="140"/>
      <c r="O512" s="1308"/>
      <c r="P512" s="97"/>
      <c r="Q512" s="97"/>
      <c r="R512" s="97"/>
      <c r="S512" s="97"/>
      <c r="T512" s="97"/>
      <c r="U512" s="97"/>
      <c r="V512" s="97"/>
      <c r="W512" s="1417"/>
      <c r="X512" s="1295"/>
    </row>
    <row r="513" spans="1:45" x14ac:dyDescent="0.3">
      <c r="B513" s="938" t="s">
        <v>1231</v>
      </c>
      <c r="C513" s="93"/>
      <c r="D513" s="21"/>
      <c r="E513" s="21"/>
      <c r="F513" s="21"/>
      <c r="G513" s="21"/>
      <c r="H513" s="1084"/>
      <c r="I513" s="140"/>
      <c r="J513" s="544"/>
      <c r="K513" s="544"/>
      <c r="L513" s="1313"/>
      <c r="M513" s="1318"/>
      <c r="N513" s="140"/>
      <c r="O513" s="1308"/>
      <c r="P513" s="97"/>
      <c r="Q513" s="97"/>
      <c r="R513" s="97"/>
      <c r="S513" s="97"/>
      <c r="T513" s="97"/>
      <c r="U513" s="97"/>
      <c r="V513" s="97"/>
      <c r="W513" s="1417"/>
      <c r="X513" s="1295"/>
    </row>
    <row r="514" spans="1:45" x14ac:dyDescent="0.3">
      <c r="B514" s="938" t="s">
        <v>1231</v>
      </c>
      <c r="C514" s="93"/>
      <c r="D514" s="21"/>
      <c r="E514" s="21"/>
      <c r="F514" s="21"/>
      <c r="G514" s="21"/>
      <c r="H514" s="1084"/>
      <c r="I514" s="140"/>
      <c r="J514" s="544"/>
      <c r="K514" s="544"/>
      <c r="L514" s="1313"/>
      <c r="M514" s="1318"/>
      <c r="N514" s="140"/>
      <c r="O514" s="1308"/>
      <c r="P514" s="97"/>
      <c r="Q514" s="97"/>
      <c r="R514" s="97"/>
      <c r="S514" s="97"/>
      <c r="T514" s="97"/>
      <c r="U514" s="97"/>
      <c r="V514" s="97"/>
      <c r="W514" s="1417"/>
      <c r="X514" s="1295"/>
    </row>
    <row r="515" spans="1:45" x14ac:dyDescent="0.3">
      <c r="B515" s="938" t="s">
        <v>1231</v>
      </c>
      <c r="C515" s="93"/>
      <c r="D515" s="21"/>
      <c r="E515" s="21"/>
      <c r="F515" s="21"/>
      <c r="G515" s="21"/>
      <c r="H515" s="1084"/>
      <c r="I515" s="140"/>
      <c r="J515" s="544"/>
      <c r="K515" s="544"/>
      <c r="L515" s="1313"/>
      <c r="M515" s="1318"/>
      <c r="N515" s="140"/>
      <c r="O515" s="1308"/>
      <c r="P515" s="97"/>
      <c r="Q515" s="97"/>
      <c r="R515" s="97"/>
      <c r="S515" s="97"/>
      <c r="T515" s="97"/>
      <c r="U515" s="97"/>
      <c r="V515" s="97"/>
      <c r="W515" s="1417"/>
      <c r="X515" s="1295"/>
    </row>
    <row r="516" spans="1:45" x14ac:dyDescent="0.3">
      <c r="B516" s="938" t="s">
        <v>1231</v>
      </c>
      <c r="C516" s="93"/>
      <c r="D516" s="21"/>
      <c r="E516" s="21"/>
      <c r="F516" s="21"/>
      <c r="G516" s="21"/>
      <c r="H516" s="1084"/>
      <c r="I516" s="238"/>
      <c r="J516" s="545"/>
      <c r="K516" s="545"/>
      <c r="L516" s="1350"/>
      <c r="M516" s="1319"/>
      <c r="N516" s="238"/>
      <c r="O516" s="1309"/>
      <c r="P516" s="196"/>
      <c r="Q516" s="196"/>
      <c r="R516" s="196"/>
      <c r="S516" s="196"/>
      <c r="T516" s="196"/>
      <c r="U516" s="196"/>
      <c r="V516" s="196"/>
      <c r="W516" s="1418"/>
      <c r="X516" s="1295"/>
    </row>
    <row r="517" spans="1:45" s="464" customFormat="1" x14ac:dyDescent="0.3">
      <c r="A517" s="18"/>
      <c r="B517" s="938" t="s">
        <v>3869</v>
      </c>
      <c r="C517" s="93"/>
      <c r="D517" s="21"/>
      <c r="E517" s="21"/>
      <c r="F517" s="21"/>
      <c r="G517" s="21"/>
      <c r="H517" s="1084"/>
      <c r="I517" s="68" t="s">
        <v>3869</v>
      </c>
      <c r="J517" s="467"/>
      <c r="K517" s="467"/>
      <c r="L517" s="468" t="s">
        <v>3870</v>
      </c>
      <c r="M517" s="522"/>
      <c r="N517" s="4"/>
      <c r="O517" s="154"/>
      <c r="Y517" s="1107"/>
      <c r="AA517" s="1110"/>
    </row>
    <row r="518" spans="1:45" x14ac:dyDescent="0.3">
      <c r="B518" s="93" t="s">
        <v>1234</v>
      </c>
      <c r="C518" s="93"/>
      <c r="D518" s="21"/>
      <c r="E518" s="21"/>
      <c r="F518" s="21"/>
      <c r="G518" s="21"/>
      <c r="H518" s="1084"/>
      <c r="I518" s="68" t="s">
        <v>1234</v>
      </c>
      <c r="J518" s="178"/>
      <c r="K518" s="178"/>
      <c r="L518" s="1292" t="s">
        <v>1235</v>
      </c>
      <c r="M518" s="522"/>
      <c r="N518" s="4"/>
      <c r="O518" s="154"/>
    </row>
    <row r="519" spans="1:45" x14ac:dyDescent="0.3">
      <c r="B519" s="93" t="s">
        <v>1234</v>
      </c>
      <c r="C519" s="93"/>
      <c r="D519" s="21"/>
      <c r="E519" s="21"/>
      <c r="F519" s="21"/>
      <c r="G519" s="21"/>
      <c r="H519" s="1084"/>
      <c r="I519" s="4"/>
      <c r="J519" s="178"/>
      <c r="K519" s="178"/>
      <c r="L519" s="1292"/>
      <c r="M519" s="522"/>
      <c r="N519" s="4"/>
      <c r="O519" s="154"/>
    </row>
    <row r="520" spans="1:45" x14ac:dyDescent="0.3">
      <c r="B520" s="93" t="s">
        <v>1234</v>
      </c>
      <c r="C520" s="93"/>
      <c r="D520" s="21"/>
      <c r="E520" s="21"/>
      <c r="F520" s="21"/>
      <c r="G520" s="21"/>
      <c r="H520" s="1084"/>
      <c r="I520" s="4"/>
      <c r="J520" s="178"/>
      <c r="K520" s="178"/>
      <c r="L520" s="1292"/>
      <c r="M520" s="522"/>
      <c r="N520" s="4"/>
      <c r="O520" s="154"/>
    </row>
    <row r="521" spans="1:45" x14ac:dyDescent="0.3">
      <c r="B521" s="93" t="s">
        <v>1234</v>
      </c>
      <c r="C521" s="93"/>
      <c r="D521" s="21"/>
      <c r="E521" s="21"/>
      <c r="F521" s="21"/>
      <c r="G521" s="21"/>
      <c r="H521" s="1084"/>
      <c r="I521" s="4"/>
      <c r="J521" s="178"/>
      <c r="K521" s="178"/>
      <c r="L521" s="1365" t="s">
        <v>1233</v>
      </c>
      <c r="M521" s="522"/>
      <c r="N521" s="4"/>
      <c r="O521" s="154"/>
    </row>
    <row r="522" spans="1:45" x14ac:dyDescent="0.3">
      <c r="B522" s="93" t="s">
        <v>1234</v>
      </c>
      <c r="C522" s="93"/>
      <c r="D522" s="21"/>
      <c r="E522" s="21"/>
      <c r="F522" s="21"/>
      <c r="G522" s="21"/>
      <c r="H522" s="1084"/>
      <c r="I522" s="4"/>
      <c r="J522" s="178"/>
      <c r="K522" s="178"/>
      <c r="L522" s="1365"/>
      <c r="M522" s="522"/>
      <c r="N522" s="4"/>
      <c r="O522" s="154"/>
    </row>
    <row r="523" spans="1:45" s="464" customFormat="1" x14ac:dyDescent="0.3">
      <c r="A523" s="18"/>
      <c r="B523" s="93" t="s">
        <v>1234</v>
      </c>
      <c r="C523" s="93"/>
      <c r="D523" s="21"/>
      <c r="E523" s="21"/>
      <c r="F523" s="21"/>
      <c r="G523" s="21"/>
      <c r="H523" s="1084"/>
      <c r="I523" s="4"/>
      <c r="J523" s="467"/>
      <c r="K523" s="467"/>
      <c r="L523" s="466" t="s">
        <v>3872</v>
      </c>
      <c r="M523" s="522"/>
      <c r="N523" s="4"/>
      <c r="O523" s="154"/>
      <c r="W523" s="488" t="s">
        <v>4030</v>
      </c>
      <c r="Y523" s="1107"/>
      <c r="AA523" s="1110"/>
    </row>
    <row r="524" spans="1:45" x14ac:dyDescent="0.3">
      <c r="B524" s="93" t="s">
        <v>1234</v>
      </c>
      <c r="C524" s="93"/>
      <c r="D524" s="21" t="s">
        <v>271</v>
      </c>
      <c r="E524" s="21"/>
      <c r="F524" s="21"/>
      <c r="G524" s="21"/>
      <c r="H524" s="1084"/>
      <c r="I524" s="4"/>
      <c r="J524" s="644" t="s">
        <v>271</v>
      </c>
      <c r="K524" s="545"/>
      <c r="L524" s="545" t="s">
        <v>1236</v>
      </c>
      <c r="M524" s="549">
        <v>3</v>
      </c>
      <c r="N524" s="238"/>
      <c r="O524" s="599">
        <f>IF(LEN(W524)&gt;0,M524,0)</f>
        <v>0</v>
      </c>
      <c r="P524" s="97" t="b">
        <v>0</v>
      </c>
      <c r="Q524" s="97" t="b">
        <v>1</v>
      </c>
      <c r="R524" s="145" t="b">
        <v>0</v>
      </c>
      <c r="S524" s="145" t="b">
        <f ca="1">OR(S54,AND(OR(AND(BF16=2,BG16="Dry"),BI16="Tropical"),S54,O188&gt;0))</f>
        <v>0</v>
      </c>
      <c r="T524" s="97" t="b">
        <f ca="1">AND(NOT(S524),LEN(W524)&gt;0)</f>
        <v>0</v>
      </c>
      <c r="W524" s="478"/>
      <c r="X524" s="512"/>
      <c r="AC524" s="488" t="b">
        <f ca="1">OR(AD524:AE524)</f>
        <v>0</v>
      </c>
      <c r="AD524" s="488" t="b">
        <f ca="1">T524</f>
        <v>0</v>
      </c>
      <c r="AL524" s="311" t="str">
        <f t="shared" ref="AL524:AL525" si="55">SUBSTITUTE(SUBSTITUTE(SUBSTITUTE("dpa"&amp;$B524&amp;$C524&amp;$D524&amp;$E524&amp;$F524,".","_"),"(","_"),")","")</f>
        <v>dpa705_6_2_1_1</v>
      </c>
      <c r="AM524" s="311">
        <f>M524</f>
        <v>3</v>
      </c>
      <c r="AN524" s="311" t="str">
        <f t="shared" ref="AN524:AN525" si="56">SUBSTITUTE(SUBSTITUTE(SUBSTITUTE("dpc"&amp;$B524&amp;$C524&amp;$D524&amp;$E524&amp;$F524,".","_"),"(","_"),")","")</f>
        <v>dpc705_6_2_1_1</v>
      </c>
      <c r="AO524" s="311">
        <f>O524</f>
        <v>0</v>
      </c>
      <c r="AP524" s="311" t="str">
        <f t="shared" ref="AP524:AP525" si="57">SUBSTITUTE(SUBSTITUTE(SUBSTITUTE("dch"&amp;$B524&amp;$C524&amp;$D524&amp;$E524&amp;$F524,".","_"),"(","_"),")","")</f>
        <v>dch705_6_2_1_1</v>
      </c>
      <c r="AQ524" s="311">
        <f>W524</f>
        <v>0</v>
      </c>
      <c r="AR524" s="311" t="str">
        <f t="shared" ref="AR524:AR525" si="58">SUBSTITUTE(SUBSTITUTE(SUBSTITUTE("dnt"&amp;$B524&amp;$C524&amp;$D524&amp;$E524&amp;$F524,".","_"),"(","_"),")","")</f>
        <v>dnt705_6_2_1_1</v>
      </c>
      <c r="AS524" s="311">
        <f>X524</f>
        <v>0</v>
      </c>
    </row>
    <row r="525" spans="1:45" x14ac:dyDescent="0.3">
      <c r="B525" s="93" t="s">
        <v>1234</v>
      </c>
      <c r="C525" s="93"/>
      <c r="D525" s="21" t="s">
        <v>273</v>
      </c>
      <c r="E525" s="21"/>
      <c r="F525" s="21"/>
      <c r="G525" s="21"/>
      <c r="H525" s="1084"/>
      <c r="I525" s="4"/>
      <c r="J525" s="264" t="s">
        <v>273</v>
      </c>
      <c r="K525" s="178"/>
      <c r="L525" s="178" t="s">
        <v>1237</v>
      </c>
      <c r="M525" s="522">
        <v>5</v>
      </c>
      <c r="N525" s="4"/>
      <c r="O525" s="154">
        <f>M525*S525*W525</f>
        <v>0</v>
      </c>
      <c r="P525" s="97" t="b">
        <v>0</v>
      </c>
      <c r="Q525" s="97" t="b">
        <v>1</v>
      </c>
      <c r="R525" s="145" t="b">
        <v>0</v>
      </c>
      <c r="S525" s="488" t="b">
        <f>O524&gt;0</f>
        <v>0</v>
      </c>
      <c r="T525" s="97" t="b">
        <f>AND(NOT(S525),W525=TRUE)</f>
        <v>0</v>
      </c>
      <c r="W525" s="25"/>
      <c r="X525" s="1337"/>
      <c r="AC525" s="470" t="b">
        <f>OR(AD525:AE525)</f>
        <v>0</v>
      </c>
      <c r="AD525" s="470" t="b">
        <f>T525</f>
        <v>0</v>
      </c>
      <c r="AE525" s="470" t="b">
        <f>AND(W525=TRUE,LEN(X525)=0)</f>
        <v>0</v>
      </c>
      <c r="AL525" s="311" t="str">
        <f t="shared" si="55"/>
        <v>dpa705_6_2_1_2</v>
      </c>
      <c r="AM525" s="311">
        <f>M525</f>
        <v>5</v>
      </c>
      <c r="AN525" s="311" t="str">
        <f t="shared" si="56"/>
        <v>dpc705_6_2_1_2</v>
      </c>
      <c r="AO525" s="311">
        <f>O525</f>
        <v>0</v>
      </c>
      <c r="AP525" s="311" t="str">
        <f t="shared" si="57"/>
        <v>dch705_6_2_1_2</v>
      </c>
      <c r="AQ525" s="311">
        <f>W525</f>
        <v>0</v>
      </c>
      <c r="AR525" s="311" t="str">
        <f t="shared" si="58"/>
        <v>dnt705_6_2_1_2</v>
      </c>
      <c r="AS525" s="311">
        <f>X525</f>
        <v>0</v>
      </c>
    </row>
    <row r="526" spans="1:45" s="464" customFormat="1" x14ac:dyDescent="0.3">
      <c r="A526" s="18"/>
      <c r="B526" s="93" t="s">
        <v>1234</v>
      </c>
      <c r="C526" s="93"/>
      <c r="D526" s="21" t="s">
        <v>273</v>
      </c>
      <c r="E526" s="21"/>
      <c r="F526" s="21"/>
      <c r="G526" s="21"/>
      <c r="H526" s="1084"/>
      <c r="I526" s="140"/>
      <c r="J526" s="643"/>
      <c r="K526" s="544"/>
      <c r="L526" s="1394" t="s">
        <v>3873</v>
      </c>
      <c r="M526" s="522"/>
      <c r="N526" s="4"/>
      <c r="O526" s="154"/>
      <c r="W526"/>
      <c r="X526" s="1312"/>
      <c r="Y526" s="1107"/>
      <c r="AA526" s="1110"/>
    </row>
    <row r="527" spans="1:45" s="464" customFormat="1" x14ac:dyDescent="0.3">
      <c r="A527" s="18"/>
      <c r="B527" s="93" t="s">
        <v>1234</v>
      </c>
      <c r="C527" s="93"/>
      <c r="D527" s="21" t="s">
        <v>273</v>
      </c>
      <c r="E527" s="21"/>
      <c r="F527" s="21"/>
      <c r="G527" s="21"/>
      <c r="H527" s="1084"/>
      <c r="I527" s="238"/>
      <c r="J527" s="644"/>
      <c r="K527" s="545"/>
      <c r="L527" s="1396"/>
      <c r="M527" s="522"/>
      <c r="N527" s="4"/>
      <c r="O527" s="154"/>
      <c r="X527" s="1304"/>
      <c r="Y527" s="1107"/>
      <c r="AA527" s="1110"/>
    </row>
    <row r="528" spans="1:45" x14ac:dyDescent="0.3">
      <c r="B528" s="938" t="s">
        <v>1238</v>
      </c>
      <c r="C528" s="93"/>
      <c r="D528" s="21"/>
      <c r="E528" s="21"/>
      <c r="F528" s="21"/>
      <c r="G528" s="21"/>
      <c r="H528" s="1084"/>
      <c r="I528" s="68" t="s">
        <v>1238</v>
      </c>
      <c r="J528" s="178"/>
      <c r="K528" s="178"/>
      <c r="L528" s="1292" t="s">
        <v>1239</v>
      </c>
      <c r="M528" s="1335">
        <v>5</v>
      </c>
      <c r="N528" s="4"/>
      <c r="O528" s="1310">
        <f>M528*S528*W528</f>
        <v>0</v>
      </c>
      <c r="P528" s="97" t="b">
        <v>0</v>
      </c>
      <c r="Q528" s="97" t="b">
        <v>1</v>
      </c>
      <c r="R528" s="145" t="b">
        <v>0</v>
      </c>
      <c r="S528" s="477" t="b">
        <v>1</v>
      </c>
      <c r="T528" s="97" t="b">
        <v>0</v>
      </c>
      <c r="W528" s="25"/>
      <c r="X528" s="1303"/>
      <c r="AC528" s="470" t="b">
        <f>OR(AD528:AE528)</f>
        <v>0</v>
      </c>
      <c r="AD528" s="470" t="b">
        <v>0</v>
      </c>
      <c r="AE528" s="470" t="b">
        <f>AND(W528=TRUE,LEN(X528)=0)</f>
        <v>0</v>
      </c>
      <c r="AL528" s="311" t="str">
        <f>SUBSTITUTE(SUBSTITUTE(SUBSTITUTE("dpa"&amp;$B528&amp;$C528&amp;$D528&amp;$E528&amp;$F528,".","_"),"(","_"),")","")</f>
        <v>dpa705_6_2_2</v>
      </c>
      <c r="AM528" s="311">
        <f>M528</f>
        <v>5</v>
      </c>
      <c r="AN528" s="311" t="str">
        <f>SUBSTITUTE(SUBSTITUTE(SUBSTITUTE("dpc"&amp;$B528&amp;$C528&amp;$D528&amp;$E528&amp;$F528,".","_"),"(","_"),")","")</f>
        <v>dpc705_6_2_2</v>
      </c>
      <c r="AO528" s="311">
        <f>O528</f>
        <v>0</v>
      </c>
      <c r="AP528" s="311" t="str">
        <f>SUBSTITUTE(SUBSTITUTE(SUBSTITUTE("dch"&amp;$B528&amp;$C528&amp;$D528&amp;$E528&amp;$F528,".","_"),"(","_"),")","")</f>
        <v>dch705_6_2_2</v>
      </c>
      <c r="AQ528" s="311">
        <f>W528</f>
        <v>0</v>
      </c>
      <c r="AR528" s="311" t="str">
        <f>SUBSTITUTE(SUBSTITUTE(SUBSTITUTE("dnt"&amp;$B528&amp;$C528&amp;$D528&amp;$E528&amp;$F528,".","_"),"(","_"),")","")</f>
        <v>dnt705_6_2_2</v>
      </c>
      <c r="AS528" s="311">
        <f>X528</f>
        <v>0</v>
      </c>
    </row>
    <row r="529" spans="1:45" x14ac:dyDescent="0.3">
      <c r="B529" s="938" t="s">
        <v>1238</v>
      </c>
      <c r="C529" s="93"/>
      <c r="D529" s="21"/>
      <c r="E529" s="21"/>
      <c r="F529" s="21"/>
      <c r="G529" s="21"/>
      <c r="H529" s="1084"/>
      <c r="I529" s="4"/>
      <c r="J529" s="178"/>
      <c r="K529" s="178"/>
      <c r="L529" s="1292"/>
      <c r="M529" s="1335"/>
      <c r="N529" s="4"/>
      <c r="O529" s="1310"/>
      <c r="X529" s="1303"/>
    </row>
    <row r="530" spans="1:45" x14ac:dyDescent="0.3">
      <c r="B530" s="938" t="s">
        <v>1238</v>
      </c>
      <c r="C530" s="93"/>
      <c r="D530" s="21"/>
      <c r="E530" s="21"/>
      <c r="F530" s="21"/>
      <c r="G530" s="21"/>
      <c r="H530" s="1084"/>
      <c r="I530" s="4"/>
      <c r="J530" s="178"/>
      <c r="K530" s="178"/>
      <c r="L530" s="1292"/>
      <c r="M530" s="1335"/>
      <c r="N530" s="4"/>
      <c r="O530" s="1310"/>
      <c r="X530" s="1303"/>
    </row>
    <row r="531" spans="1:45" x14ac:dyDescent="0.3">
      <c r="B531" s="938" t="s">
        <v>1238</v>
      </c>
      <c r="C531" s="93"/>
      <c r="D531" s="21" t="s">
        <v>271</v>
      </c>
      <c r="E531" s="21"/>
      <c r="F531" s="21"/>
      <c r="G531" s="21"/>
      <c r="H531" s="1084"/>
      <c r="I531" s="4"/>
      <c r="J531" s="643" t="s">
        <v>271</v>
      </c>
      <c r="K531" s="544"/>
      <c r="L531" s="1305" t="s">
        <v>1240</v>
      </c>
      <c r="M531" s="522"/>
      <c r="N531" s="4"/>
      <c r="O531" s="154"/>
      <c r="X531" s="1303"/>
    </row>
    <row r="532" spans="1:45" x14ac:dyDescent="0.3">
      <c r="B532" s="938" t="s">
        <v>1238</v>
      </c>
      <c r="C532" s="93"/>
      <c r="D532" s="21" t="s">
        <v>271</v>
      </c>
      <c r="E532" s="21"/>
      <c r="F532" s="21"/>
      <c r="G532" s="21"/>
      <c r="H532" s="1084"/>
      <c r="I532" s="4"/>
      <c r="J532" s="644"/>
      <c r="K532" s="545"/>
      <c r="L532" s="1306"/>
      <c r="M532" s="522"/>
      <c r="N532" s="4"/>
      <c r="O532" s="154"/>
      <c r="X532" s="1303"/>
    </row>
    <row r="533" spans="1:45" x14ac:dyDescent="0.3">
      <c r="B533" s="938" t="s">
        <v>1238</v>
      </c>
      <c r="C533" s="93"/>
      <c r="D533" s="21" t="s">
        <v>273</v>
      </c>
      <c r="E533" s="21"/>
      <c r="F533" s="21"/>
      <c r="G533" s="21"/>
      <c r="H533" s="1084"/>
      <c r="I533" s="4"/>
      <c r="J533" s="264" t="s">
        <v>273</v>
      </c>
      <c r="K533" s="178"/>
      <c r="L533" s="178" t="s">
        <v>1241</v>
      </c>
      <c r="M533" s="522"/>
      <c r="N533" s="4"/>
      <c r="O533" s="154"/>
      <c r="U533" s="97"/>
      <c r="X533" s="1303"/>
    </row>
    <row r="534" spans="1:45" s="470" customFormat="1" x14ac:dyDescent="0.3">
      <c r="A534" s="18"/>
      <c r="B534" s="938" t="s">
        <v>1238</v>
      </c>
      <c r="C534" s="93"/>
      <c r="D534" s="21"/>
      <c r="E534" s="21"/>
      <c r="F534" s="21"/>
      <c r="G534" s="21"/>
      <c r="H534" s="1084"/>
      <c r="I534" s="140"/>
      <c r="J534" s="643"/>
      <c r="K534" s="544"/>
      <c r="L534" s="1394" t="s">
        <v>3874</v>
      </c>
      <c r="M534" s="522"/>
      <c r="N534" s="4"/>
      <c r="O534" s="154"/>
      <c r="X534" s="1303"/>
      <c r="Y534" s="1107"/>
      <c r="AA534" s="1110"/>
    </row>
    <row r="535" spans="1:45" s="470" customFormat="1" x14ac:dyDescent="0.3">
      <c r="A535" s="18"/>
      <c r="B535" s="938" t="s">
        <v>1238</v>
      </c>
      <c r="C535" s="93"/>
      <c r="D535" s="21"/>
      <c r="E535" s="21"/>
      <c r="F535" s="21"/>
      <c r="G535" s="21"/>
      <c r="H535" s="1084"/>
      <c r="I535" s="238"/>
      <c r="J535" s="644"/>
      <c r="K535" s="545"/>
      <c r="L535" s="1396"/>
      <c r="M535" s="522"/>
      <c r="N535" s="4"/>
      <c r="O535" s="154"/>
      <c r="X535" s="1303"/>
      <c r="Y535" s="1107"/>
      <c r="AA535" s="1110"/>
    </row>
    <row r="536" spans="1:45" x14ac:dyDescent="0.3">
      <c r="B536" s="938" t="s">
        <v>1242</v>
      </c>
      <c r="C536" s="93"/>
      <c r="D536" s="21"/>
      <c r="E536" s="21"/>
      <c r="F536" s="21"/>
      <c r="G536" s="21"/>
      <c r="H536" s="1084"/>
      <c r="I536" s="68" t="s">
        <v>1242</v>
      </c>
      <c r="J536" s="178"/>
      <c r="K536" s="178"/>
      <c r="L536" s="184" t="s">
        <v>1243</v>
      </c>
      <c r="M536" s="522"/>
      <c r="N536" s="4"/>
      <c r="O536" s="1310">
        <f ca="1">IFERROR(INDEX({3,5},MATCH(W536,INDIRECT(U536),0)),0)*S536</f>
        <v>0</v>
      </c>
      <c r="P536" s="97" t="b">
        <v>0</v>
      </c>
      <c r="Q536" s="97" t="b">
        <v>1</v>
      </c>
      <c r="R536" s="145" t="b">
        <v>0</v>
      </c>
      <c r="S536" s="472" t="b">
        <f>AND(OR(AY36&lt;&gt;INDEX(ddHDucts,2),AY40&lt;&gt;INDEX(ddCDucts,2)),LEN(W313)=0)</f>
        <v>1</v>
      </c>
      <c r="T536" s="97" t="b">
        <f>AND(NOT(S536),LEN(W536)&gt;0)</f>
        <v>0</v>
      </c>
      <c r="U536" s="97" t="str">
        <f>SUBSTITUTE(SUBSTITUTE(SUBSTITUTE("dd"&amp;B536&amp;C536&amp;D536&amp;E536&amp;F536,".","_"),"(","_"),")","")</f>
        <v>dd705_6_2_3</v>
      </c>
      <c r="W536" s="12"/>
      <c r="X536" s="1303"/>
      <c r="AC536" s="511" t="b">
        <f>OR(AD536:AE536)</f>
        <v>0</v>
      </c>
      <c r="AD536" s="511" t="b">
        <f>T536</f>
        <v>0</v>
      </c>
      <c r="AE536" s="511" t="b">
        <f>AND(R536,OR(W536="Not Met",W536=""))</f>
        <v>0</v>
      </c>
      <c r="AN536" s="311" t="str">
        <f>SUBSTITUTE(SUBSTITUTE(SUBSTITUTE("dpc"&amp;$B536&amp;$C536&amp;$D536&amp;$E536&amp;$F536,".","_"),"(","_"),")","")</f>
        <v>dpc705_6_2_3</v>
      </c>
      <c r="AO536" s="311">
        <f ca="1">O536</f>
        <v>0</v>
      </c>
      <c r="AP536" s="311" t="str">
        <f>SUBSTITUTE(SUBSTITUTE(SUBSTITUTE("dch"&amp;$B536&amp;$C536&amp;$D536&amp;$E536&amp;$F536,".","_"),"(","_"),")","")</f>
        <v>dch705_6_2_3</v>
      </c>
      <c r="AQ536" s="311">
        <f>W536</f>
        <v>0</v>
      </c>
      <c r="AR536" s="311" t="str">
        <f>SUBSTITUTE(SUBSTITUTE(SUBSTITUTE("dnt"&amp;$B536&amp;$C536&amp;$D536&amp;$E536&amp;$F536,".","_"),"(","_"),")","")</f>
        <v>dnt705_6_2_3</v>
      </c>
      <c r="AS536" s="311">
        <f>X536</f>
        <v>0</v>
      </c>
    </row>
    <row r="537" spans="1:45" x14ac:dyDescent="0.3">
      <c r="B537" s="938" t="s">
        <v>1242</v>
      </c>
      <c r="C537" s="93"/>
      <c r="D537" s="21"/>
      <c r="E537" s="21"/>
      <c r="F537" s="21"/>
      <c r="G537" s="21"/>
      <c r="H537" s="1084"/>
      <c r="I537" s="4"/>
      <c r="J537" s="178"/>
      <c r="K537" s="178"/>
      <c r="L537" s="181" t="s">
        <v>1244</v>
      </c>
      <c r="M537" s="522"/>
      <c r="N537" s="4"/>
      <c r="O537" s="1310"/>
      <c r="X537" s="1303"/>
    </row>
    <row r="538" spans="1:45" s="425" customFormat="1" x14ac:dyDescent="0.3">
      <c r="A538" s="18"/>
      <c r="B538" s="938" t="s">
        <v>1242</v>
      </c>
      <c r="C538" s="93"/>
      <c r="D538" s="21"/>
      <c r="E538" s="21"/>
      <c r="F538" s="21"/>
      <c r="G538" s="21"/>
      <c r="H538" s="1084"/>
      <c r="I538" s="4"/>
      <c r="J538" s="428"/>
      <c r="K538" s="428"/>
      <c r="L538" s="427" t="s">
        <v>3779</v>
      </c>
      <c r="M538" s="522"/>
      <c r="N538" s="4"/>
      <c r="O538" s="1310"/>
      <c r="R538"/>
      <c r="S538"/>
      <c r="T538"/>
      <c r="X538" s="1303"/>
      <c r="Y538" s="1107"/>
      <c r="AA538" s="1110"/>
    </row>
    <row r="539" spans="1:45" s="425" customFormat="1" x14ac:dyDescent="0.3">
      <c r="A539" s="18"/>
      <c r="B539" s="938" t="s">
        <v>1242</v>
      </c>
      <c r="C539" s="93"/>
      <c r="D539" s="21" t="s">
        <v>271</v>
      </c>
      <c r="E539" s="21"/>
      <c r="F539" s="21"/>
      <c r="G539" s="21"/>
      <c r="H539" s="1084"/>
      <c r="I539" s="4"/>
      <c r="J539" s="644" t="s">
        <v>271</v>
      </c>
      <c r="K539" s="545"/>
      <c r="L539" s="545" t="s">
        <v>3780</v>
      </c>
      <c r="M539" s="549">
        <v>3</v>
      </c>
      <c r="N539" s="4"/>
      <c r="O539" s="154"/>
      <c r="R539"/>
      <c r="S539"/>
      <c r="T539"/>
      <c r="X539" s="1303"/>
      <c r="Y539" s="1107"/>
      <c r="AA539" s="1110"/>
      <c r="AL539" s="311" t="str">
        <f t="shared" ref="AL539:AL540" si="59">SUBSTITUTE(SUBSTITUTE(SUBSTITUTE("dpa"&amp;$B539&amp;$C539&amp;$D539&amp;$E539&amp;$F539,".","_"),"(","_"),")","")</f>
        <v>dpa705_6_2_3_1</v>
      </c>
      <c r="AM539" s="311">
        <f>M539</f>
        <v>3</v>
      </c>
    </row>
    <row r="540" spans="1:45" s="425" customFormat="1" x14ac:dyDescent="0.3">
      <c r="A540" s="18"/>
      <c r="B540" s="938" t="s">
        <v>1242</v>
      </c>
      <c r="C540" s="93"/>
      <c r="D540" s="21" t="s">
        <v>273</v>
      </c>
      <c r="E540" s="21"/>
      <c r="F540" s="21"/>
      <c r="G540" s="21"/>
      <c r="H540" s="1084"/>
      <c r="I540" s="140"/>
      <c r="J540" s="643" t="s">
        <v>273</v>
      </c>
      <c r="K540" s="544"/>
      <c r="L540" s="1305" t="s">
        <v>3781</v>
      </c>
      <c r="M540" s="1318">
        <v>5</v>
      </c>
      <c r="N540" s="4"/>
      <c r="O540" s="154"/>
      <c r="X540" s="1303"/>
      <c r="Y540" s="1107"/>
      <c r="AA540" s="1110"/>
      <c r="AL540" s="311" t="str">
        <f t="shared" si="59"/>
        <v>dpa705_6_2_3_2</v>
      </c>
      <c r="AM540" s="311">
        <f>M540</f>
        <v>5</v>
      </c>
    </row>
    <row r="541" spans="1:45" s="425" customFormat="1" x14ac:dyDescent="0.3">
      <c r="A541" s="18"/>
      <c r="B541" s="938" t="s">
        <v>1242</v>
      </c>
      <c r="C541" s="93"/>
      <c r="D541" s="21"/>
      <c r="E541" s="21"/>
      <c r="F541" s="21"/>
      <c r="G541" s="21"/>
      <c r="H541" s="1084"/>
      <c r="I541" s="238"/>
      <c r="J541" s="196"/>
      <c r="K541" s="545"/>
      <c r="L541" s="1306"/>
      <c r="M541" s="1319"/>
      <c r="N541" s="4"/>
      <c r="O541" s="599"/>
      <c r="X541" s="1303"/>
      <c r="Y541" s="1107"/>
      <c r="AA541" s="1110"/>
    </row>
    <row r="542" spans="1:45" s="425" customFormat="1" x14ac:dyDescent="0.3">
      <c r="A542" s="18"/>
      <c r="B542" s="938" t="s">
        <v>3778</v>
      </c>
      <c r="C542" s="93"/>
      <c r="D542" s="21"/>
      <c r="E542" s="21"/>
      <c r="F542" s="21"/>
      <c r="G542" s="21"/>
      <c r="H542" s="1084"/>
      <c r="I542" s="68" t="s">
        <v>3778</v>
      </c>
      <c r="J542" s="428"/>
      <c r="K542" s="428"/>
      <c r="L542" s="1389" t="s">
        <v>3782</v>
      </c>
      <c r="M542" s="1335">
        <v>1</v>
      </c>
      <c r="N542" s="4"/>
      <c r="O542" s="1310">
        <f>M542*S542*W542*NOT(W544)</f>
        <v>0</v>
      </c>
      <c r="P542" s="97" t="b">
        <v>1</v>
      </c>
      <c r="Q542" s="97" t="b">
        <v>0</v>
      </c>
      <c r="R542" s="425" t="b">
        <v>0</v>
      </c>
      <c r="S542" s="477" t="b">
        <v>1</v>
      </c>
      <c r="T542" s="97" t="b">
        <v>0</v>
      </c>
      <c r="W542" s="25"/>
      <c r="Y542" s="1107"/>
      <c r="AA542" s="1110"/>
      <c r="AC542" s="511" t="b">
        <f>OR(AD542:AE542)</f>
        <v>0</v>
      </c>
      <c r="AD542" s="511" t="b">
        <f>T542</f>
        <v>0</v>
      </c>
      <c r="AE542" s="511" t="b">
        <f>AND(R542,NOT(W542))</f>
        <v>0</v>
      </c>
      <c r="AL542" s="311" t="str">
        <f>SUBSTITUTE(SUBSTITUTE(SUBSTITUTE("dpa"&amp;$B542&amp;$C542&amp;$D542&amp;$E542&amp;$F542,".","_"),"(","_"),")","")</f>
        <v>dpa705_6_3</v>
      </c>
      <c r="AM542" s="311">
        <f>M542</f>
        <v>1</v>
      </c>
      <c r="AN542" s="311" t="str">
        <f>SUBSTITUTE(SUBSTITUTE(SUBSTITUTE("dpc"&amp;$B542&amp;$C542&amp;$D542&amp;$E542&amp;$F542,".","_"),"(","_"),")","")</f>
        <v>dpc705_6_3</v>
      </c>
      <c r="AO542" s="311">
        <f>O542</f>
        <v>0</v>
      </c>
      <c r="AP542" s="311" t="str">
        <f>SUBSTITUTE(SUBSTITUTE(SUBSTITUTE("dch"&amp;$B542&amp;$C542&amp;$D542&amp;$E542&amp;$F542,".","_"),"(","_"),")","")</f>
        <v>dch705_6_3</v>
      </c>
      <c r="AQ542" s="311">
        <f>W542</f>
        <v>0</v>
      </c>
    </row>
    <row r="543" spans="1:45" s="425" customFormat="1" x14ac:dyDescent="0.3">
      <c r="A543" s="18"/>
      <c r="B543" s="938" t="s">
        <v>3778</v>
      </c>
      <c r="C543" s="93"/>
      <c r="D543" s="21"/>
      <c r="E543" s="21"/>
      <c r="F543" s="21"/>
      <c r="G543" s="21"/>
      <c r="H543" s="1084"/>
      <c r="I543" s="4"/>
      <c r="J543" s="428"/>
      <c r="K543" s="428"/>
      <c r="L543" s="1389"/>
      <c r="M543" s="1335"/>
      <c r="N543" s="4"/>
      <c r="O543" s="1310"/>
      <c r="W543" s="425" t="s">
        <v>4712</v>
      </c>
      <c r="Y543" s="1107"/>
      <c r="AA543" s="1110"/>
      <c r="AP543" s="311"/>
      <c r="AQ543" s="311"/>
    </row>
    <row r="544" spans="1:45" s="425" customFormat="1" x14ac:dyDescent="0.3">
      <c r="A544" s="18"/>
      <c r="B544" s="938" t="s">
        <v>3778</v>
      </c>
      <c r="C544" s="93"/>
      <c r="D544" s="21" t="s">
        <v>271</v>
      </c>
      <c r="E544" s="21"/>
      <c r="F544" s="21"/>
      <c r="G544" s="21"/>
      <c r="H544" s="1084"/>
      <c r="I544" s="4"/>
      <c r="J544" s="428"/>
      <c r="K544" s="428"/>
      <c r="L544" s="427" t="s">
        <v>1244</v>
      </c>
      <c r="M544" s="522"/>
      <c r="N544" s="4"/>
      <c r="O544" s="154"/>
      <c r="P544" s="97" t="b">
        <v>1</v>
      </c>
      <c r="Q544" s="97" t="b">
        <v>0</v>
      </c>
      <c r="R544" s="1104" t="b">
        <v>0</v>
      </c>
      <c r="S544" s="1104" t="b">
        <v>1</v>
      </c>
      <c r="T544" s="97" t="b">
        <v>0</v>
      </c>
      <c r="W544" s="25"/>
      <c r="Y544" s="1107"/>
      <c r="AA544" s="1110"/>
      <c r="AC544" s="1104" t="b">
        <f>OR(AD544:AE544)</f>
        <v>0</v>
      </c>
      <c r="AD544" s="1104" t="b">
        <f>T544</f>
        <v>0</v>
      </c>
      <c r="AE544" s="1104" t="b">
        <f>AND(R544,NOT(W544))</f>
        <v>0</v>
      </c>
      <c r="AP544" s="311" t="str">
        <f>SUBSTITUTE(SUBSTITUTE(SUBSTITUTE("dch"&amp;$B544&amp;$C544&amp;$D544&amp;$E544&amp;$F544,".","_"),"(","_"),")","")</f>
        <v>dch705_6_3_1</v>
      </c>
      <c r="AQ544" s="311">
        <f>W544</f>
        <v>0</v>
      </c>
    </row>
    <row r="545" spans="1:49" x14ac:dyDescent="0.3">
      <c r="B545" s="938" t="s">
        <v>3778</v>
      </c>
      <c r="C545" s="93"/>
      <c r="D545" s="21"/>
      <c r="E545" s="21" t="s">
        <v>121</v>
      </c>
      <c r="F545" s="21"/>
      <c r="G545" s="21"/>
      <c r="H545" s="1084"/>
      <c r="I545" s="4"/>
      <c r="J545" s="178"/>
      <c r="K545" s="260" t="s">
        <v>121</v>
      </c>
      <c r="L545" s="178" t="s">
        <v>1245</v>
      </c>
      <c r="M545" s="522"/>
      <c r="N545" s="4"/>
      <c r="O545" s="154"/>
      <c r="X545" s="512"/>
      <c r="AR545" s="311" t="str">
        <f t="shared" ref="AR545:AR551" si="60">SUBSTITUTE(SUBSTITUTE(SUBSTITUTE("dnt"&amp;$B545&amp;$C545&amp;$D545&amp;$E545&amp;$F545,".","_"),"(","_"),")","")</f>
        <v>dnt705_6_3_a</v>
      </c>
      <c r="AS545" s="311">
        <f t="shared" ref="AS545:AS551" si="61">X545</f>
        <v>0</v>
      </c>
    </row>
    <row r="546" spans="1:49" x14ac:dyDescent="0.3">
      <c r="B546" s="938" t="s">
        <v>3778</v>
      </c>
      <c r="C546" s="93"/>
      <c r="D546" s="21"/>
      <c r="E546" s="21" t="s">
        <v>122</v>
      </c>
      <c r="F546" s="21"/>
      <c r="G546" s="21"/>
      <c r="H546" s="1084"/>
      <c r="I546" s="4"/>
      <c r="J546" s="178"/>
      <c r="K546" s="260" t="s">
        <v>122</v>
      </c>
      <c r="L546" s="178" t="s">
        <v>1246</v>
      </c>
      <c r="M546" s="522"/>
      <c r="N546" s="4"/>
      <c r="O546" s="154"/>
      <c r="X546" s="512"/>
      <c r="AR546" s="311" t="str">
        <f t="shared" si="60"/>
        <v>dnt705_6_3_b</v>
      </c>
      <c r="AS546" s="311">
        <f t="shared" si="61"/>
        <v>0</v>
      </c>
    </row>
    <row r="547" spans="1:49" x14ac:dyDescent="0.3">
      <c r="B547" s="938" t="s">
        <v>3778</v>
      </c>
      <c r="C547" s="93"/>
      <c r="D547" s="21"/>
      <c r="E547" s="26" t="s">
        <v>123</v>
      </c>
      <c r="F547" s="26"/>
      <c r="G547" s="26"/>
      <c r="H547" s="1085"/>
      <c r="I547" s="4"/>
      <c r="J547" s="178"/>
      <c r="K547" s="261" t="s">
        <v>123</v>
      </c>
      <c r="L547" s="178" t="s">
        <v>1247</v>
      </c>
      <c r="M547" s="522"/>
      <c r="N547" s="4"/>
      <c r="O547" s="154"/>
      <c r="X547" s="512"/>
      <c r="AR547" s="311" t="str">
        <f t="shared" si="60"/>
        <v>dnt705_6_3_c</v>
      </c>
      <c r="AS547" s="311">
        <f t="shared" si="61"/>
        <v>0</v>
      </c>
    </row>
    <row r="548" spans="1:49" x14ac:dyDescent="0.3">
      <c r="B548" s="938" t="s">
        <v>3778</v>
      </c>
      <c r="C548" s="93"/>
      <c r="D548" s="21"/>
      <c r="E548" s="21" t="s">
        <v>423</v>
      </c>
      <c r="F548" s="21"/>
      <c r="G548" s="21"/>
      <c r="H548" s="1084"/>
      <c r="I548" s="4"/>
      <c r="J548" s="178"/>
      <c r="K548" s="184" t="s">
        <v>423</v>
      </c>
      <c r="L548" s="178" t="s">
        <v>1248</v>
      </c>
      <c r="M548" s="522"/>
      <c r="N548" s="4"/>
      <c r="O548" s="154"/>
      <c r="X548" s="512"/>
      <c r="AR548" s="311" t="str">
        <f t="shared" si="60"/>
        <v>dnt705_6_3_d</v>
      </c>
      <c r="AS548" s="311">
        <f t="shared" si="61"/>
        <v>0</v>
      </c>
    </row>
    <row r="549" spans="1:49" x14ac:dyDescent="0.3">
      <c r="B549" s="938" t="s">
        <v>3778</v>
      </c>
      <c r="C549" s="93"/>
      <c r="D549" s="21"/>
      <c r="E549" s="21" t="s">
        <v>578</v>
      </c>
      <c r="F549" s="21"/>
      <c r="G549" s="21"/>
      <c r="H549" s="1084"/>
      <c r="I549" s="4"/>
      <c r="J549" s="178"/>
      <c r="K549" s="184" t="s">
        <v>578</v>
      </c>
      <c r="L549" s="178" t="s">
        <v>1249</v>
      </c>
      <c r="M549" s="522"/>
      <c r="N549" s="4"/>
      <c r="O549" s="154"/>
      <c r="X549" s="512"/>
      <c r="AR549" s="311" t="str">
        <f t="shared" si="60"/>
        <v>dnt705_6_3_e</v>
      </c>
      <c r="AS549" s="311">
        <f t="shared" si="61"/>
        <v>0</v>
      </c>
    </row>
    <row r="550" spans="1:49" x14ac:dyDescent="0.3">
      <c r="B550" s="938" t="s">
        <v>3778</v>
      </c>
      <c r="C550" s="93"/>
      <c r="D550" s="21"/>
      <c r="E550" s="26" t="s">
        <v>645</v>
      </c>
      <c r="F550" s="26"/>
      <c r="G550" s="26"/>
      <c r="H550" s="1085"/>
      <c r="I550" s="4"/>
      <c r="J550" s="178"/>
      <c r="K550" s="261" t="s">
        <v>645</v>
      </c>
      <c r="L550" s="178" t="s">
        <v>1250</v>
      </c>
      <c r="M550" s="522"/>
      <c r="N550" s="4"/>
      <c r="O550" s="154"/>
      <c r="X550" s="512"/>
      <c r="AR550" s="311" t="str">
        <f t="shared" si="60"/>
        <v>dnt705_6_3_f</v>
      </c>
      <c r="AS550" s="311">
        <f t="shared" si="61"/>
        <v>0</v>
      </c>
    </row>
    <row r="551" spans="1:49" s="175" customFormat="1" x14ac:dyDescent="0.3">
      <c r="A551" s="18"/>
      <c r="B551" s="938" t="s">
        <v>3778</v>
      </c>
      <c r="C551" s="93"/>
      <c r="D551" s="21"/>
      <c r="E551" s="21" t="s">
        <v>647</v>
      </c>
      <c r="F551" s="21"/>
      <c r="G551" s="21"/>
      <c r="H551" s="1084"/>
      <c r="I551" s="140"/>
      <c r="J551" s="544"/>
      <c r="K551" s="369" t="s">
        <v>647</v>
      </c>
      <c r="L551" s="1293" t="s">
        <v>1251</v>
      </c>
      <c r="M551" s="522"/>
      <c r="N551" s="4"/>
      <c r="O551" s="154"/>
      <c r="P551" s="79"/>
      <c r="Q551" s="79"/>
      <c r="R551" s="79"/>
      <c r="S551" s="79"/>
      <c r="T551" s="79"/>
      <c r="U551" s="79"/>
      <c r="V551" s="79"/>
      <c r="W551" s="79"/>
      <c r="X551" s="1303"/>
      <c r="Y551" s="1107"/>
      <c r="Z551" s="79"/>
      <c r="AA551" s="1110"/>
      <c r="AB551" s="79"/>
      <c r="AC551" s="79"/>
      <c r="AD551" s="79"/>
      <c r="AE551" s="79"/>
      <c r="AF551" s="79"/>
      <c r="AG551" s="79"/>
      <c r="AH551" s="79"/>
      <c r="AI551" s="79"/>
      <c r="AJ551" s="79"/>
      <c r="AK551" s="79"/>
      <c r="AL551" s="79"/>
      <c r="AM551" s="79"/>
      <c r="AN551" s="79"/>
      <c r="AO551" s="79"/>
      <c r="AP551" s="79"/>
      <c r="AQ551" s="79"/>
      <c r="AR551" s="311" t="str">
        <f t="shared" si="60"/>
        <v>dnt705_6_3_g</v>
      </c>
      <c r="AS551" s="311">
        <f t="shared" si="61"/>
        <v>0</v>
      </c>
      <c r="AT551" s="79"/>
      <c r="AU551" s="79"/>
      <c r="AV551" s="79"/>
      <c r="AW551" s="79"/>
    </row>
    <row r="552" spans="1:49" x14ac:dyDescent="0.3">
      <c r="B552" s="938" t="s">
        <v>3778</v>
      </c>
      <c r="C552" s="93"/>
      <c r="D552" s="21"/>
      <c r="E552" s="21" t="s">
        <v>647</v>
      </c>
      <c r="F552" s="21"/>
      <c r="G552" s="21"/>
      <c r="H552" s="1084"/>
      <c r="I552" s="238"/>
      <c r="J552" s="545"/>
      <c r="K552" s="629"/>
      <c r="L552" s="1294"/>
      <c r="M552" s="522"/>
      <c r="N552" s="4"/>
      <c r="O552" s="154"/>
      <c r="P552" s="175"/>
      <c r="Q552" s="175"/>
      <c r="R552" s="175"/>
      <c r="S552" s="175"/>
      <c r="T552" s="175"/>
      <c r="U552" s="175"/>
      <c r="V552" s="175"/>
      <c r="W552" s="175"/>
      <c r="X552" s="1303"/>
      <c r="Z552" s="175"/>
      <c r="AB552" s="175"/>
      <c r="AC552" s="175"/>
      <c r="AD552" s="175"/>
      <c r="AE552" s="175"/>
      <c r="AF552" s="175"/>
      <c r="AG552" s="175"/>
      <c r="AH552" s="175"/>
      <c r="AI552" s="175"/>
      <c r="AJ552" s="175"/>
      <c r="AK552" s="175"/>
      <c r="AL552" s="175"/>
      <c r="AM552" s="175"/>
      <c r="AN552" s="175"/>
      <c r="AO552" s="175"/>
      <c r="AP552" s="175"/>
      <c r="AQ552" s="175"/>
      <c r="AR552" s="175"/>
      <c r="AS552" s="175"/>
      <c r="AT552" s="175"/>
      <c r="AU552" s="175"/>
      <c r="AV552" s="175"/>
      <c r="AW552" s="175"/>
    </row>
    <row r="553" spans="1:49" x14ac:dyDescent="0.3">
      <c r="B553" s="938" t="s">
        <v>1252</v>
      </c>
      <c r="C553" s="93"/>
      <c r="D553" s="21"/>
      <c r="E553" s="21"/>
      <c r="F553" s="21"/>
      <c r="G553" s="21"/>
      <c r="H553" s="1084"/>
      <c r="I553" s="68" t="s">
        <v>1252</v>
      </c>
      <c r="J553" s="178"/>
      <c r="K553" s="178"/>
      <c r="L553" s="265" t="s">
        <v>1253</v>
      </c>
      <c r="M553" s="522"/>
      <c r="N553" s="4"/>
      <c r="O553" s="154"/>
    </row>
    <row r="554" spans="1:49" s="175" customFormat="1" x14ac:dyDescent="0.3">
      <c r="A554" s="18"/>
      <c r="B554" s="938" t="s">
        <v>1254</v>
      </c>
      <c r="C554" s="93"/>
      <c r="D554" s="21"/>
      <c r="E554" s="21"/>
      <c r="F554" s="21"/>
      <c r="G554" s="21"/>
      <c r="H554" s="1084"/>
      <c r="I554" s="606" t="s">
        <v>1254</v>
      </c>
      <c r="J554" s="544"/>
      <c r="K554" s="544"/>
      <c r="L554" s="1402" t="s">
        <v>1255</v>
      </c>
      <c r="M554" s="1318">
        <v>1</v>
      </c>
      <c r="N554" s="140"/>
      <c r="O554" s="1308">
        <f ca="1">M554*S554*W554</f>
        <v>0</v>
      </c>
      <c r="P554" s="97" t="b">
        <v>1</v>
      </c>
      <c r="Q554" s="97" t="b">
        <v>1</v>
      </c>
      <c r="R554" s="97" t="b">
        <v>0</v>
      </c>
      <c r="S554" s="97" t="b">
        <f ca="1">IF($AY$19=INDEX(INDIRECT("ddSingleOrMulti"),1),TRUE,FALSE)</f>
        <v>1</v>
      </c>
      <c r="T554" s="97" t="b">
        <f ca="1">AND(NOT(S554),W554=TRUE)</f>
        <v>0</v>
      </c>
      <c r="U554" s="97"/>
      <c r="V554" s="97"/>
      <c r="W554" s="452"/>
      <c r="X554" s="1303"/>
      <c r="Y554" s="1107"/>
      <c r="Z554" s="79"/>
      <c r="AA554" s="1110"/>
      <c r="AB554" s="79"/>
      <c r="AC554" s="471" t="b">
        <f ca="1">OR(AD554:AE554)</f>
        <v>0</v>
      </c>
      <c r="AD554" s="471" t="b">
        <f ca="1">T554</f>
        <v>0</v>
      </c>
      <c r="AE554" s="79"/>
      <c r="AF554" s="79"/>
      <c r="AG554" s="79"/>
      <c r="AH554" s="79"/>
      <c r="AI554" s="79"/>
      <c r="AJ554" s="79"/>
      <c r="AK554" s="79"/>
      <c r="AL554" s="311" t="str">
        <f>SUBSTITUTE(SUBSTITUTE(SUBSTITUTE("dpa"&amp;$B554&amp;$C554&amp;$D554&amp;$E554&amp;$F554,".","_"),"(","_"),")","")</f>
        <v>dpa705_6_4_1</v>
      </c>
      <c r="AM554" s="311">
        <f>M554</f>
        <v>1</v>
      </c>
      <c r="AN554" s="311" t="str">
        <f>SUBSTITUTE(SUBSTITUTE(SUBSTITUTE("dpc"&amp;$B554&amp;$C554&amp;$D554&amp;$E554&amp;$F554,".","_"),"(","_"),")","")</f>
        <v>dpc705_6_4_1</v>
      </c>
      <c r="AO554" s="311">
        <f ca="1">O554</f>
        <v>0</v>
      </c>
      <c r="AP554" s="311" t="str">
        <f>SUBSTITUTE(SUBSTITUTE(SUBSTITUTE("dch"&amp;$B554&amp;$C554&amp;$D554&amp;$E554&amp;$F554,".","_"),"(","_"),")","")</f>
        <v>dch705_6_4_1</v>
      </c>
      <c r="AQ554" s="311">
        <f>W554</f>
        <v>0</v>
      </c>
      <c r="AR554" s="311" t="str">
        <f>SUBSTITUTE(SUBSTITUTE(SUBSTITUTE("dnt"&amp;$B554&amp;$C554&amp;$D554&amp;$E554&amp;$F554,".","_"),"(","_"),")","")</f>
        <v>dnt705_6_4_1</v>
      </c>
      <c r="AS554" s="311">
        <f>X554</f>
        <v>0</v>
      </c>
      <c r="AT554" s="79"/>
      <c r="AU554" s="79"/>
      <c r="AV554" s="79"/>
      <c r="AW554" s="79"/>
    </row>
    <row r="555" spans="1:49" x14ac:dyDescent="0.3">
      <c r="B555" s="938" t="s">
        <v>1254</v>
      </c>
      <c r="C555" s="93"/>
      <c r="D555" s="21"/>
      <c r="E555" s="21"/>
      <c r="F555" s="21"/>
      <c r="G555" s="21"/>
      <c r="H555" s="1084"/>
      <c r="I555" s="631"/>
      <c r="J555" s="545"/>
      <c r="K555" s="545"/>
      <c r="L555" s="1403"/>
      <c r="M555" s="1319"/>
      <c r="N555" s="238"/>
      <c r="O555" s="1309"/>
      <c r="P555" s="196"/>
      <c r="Q555" s="196"/>
      <c r="R555" s="196"/>
      <c r="S555" s="196"/>
      <c r="T555" s="196"/>
      <c r="U555" s="196"/>
      <c r="V555" s="196"/>
      <c r="W555" s="636"/>
      <c r="X555" s="1303"/>
      <c r="Z555" s="175"/>
      <c r="AB555" s="175"/>
      <c r="AC555" s="175"/>
      <c r="AD555" s="175"/>
      <c r="AE555" s="175"/>
      <c r="AF555" s="175"/>
      <c r="AG555" s="175"/>
      <c r="AH555" s="175"/>
      <c r="AI555" s="175"/>
      <c r="AJ555" s="175"/>
      <c r="AK555" s="175"/>
      <c r="AL555" s="175"/>
      <c r="AM555" s="175"/>
      <c r="AN555" s="175"/>
      <c r="AO555" s="175"/>
      <c r="AP555" s="175"/>
      <c r="AQ555" s="175"/>
      <c r="AR555" s="175"/>
      <c r="AS555" s="175"/>
      <c r="AT555" s="175"/>
      <c r="AU555" s="175"/>
      <c r="AV555" s="175"/>
      <c r="AW555" s="175"/>
    </row>
    <row r="556" spans="1:49" x14ac:dyDescent="0.3">
      <c r="B556" s="938" t="s">
        <v>1256</v>
      </c>
      <c r="C556" s="93"/>
      <c r="D556" s="21"/>
      <c r="E556" s="21"/>
      <c r="F556" s="21"/>
      <c r="G556" s="21"/>
      <c r="H556" s="1084"/>
      <c r="I556" s="606" t="s">
        <v>1256</v>
      </c>
      <c r="J556" s="544"/>
      <c r="K556" s="544"/>
      <c r="L556" s="1397" t="s">
        <v>1257</v>
      </c>
      <c r="M556" s="1318">
        <v>2</v>
      </c>
      <c r="N556" s="140"/>
      <c r="O556" s="1308">
        <f ca="1">M556*S556*W556</f>
        <v>0</v>
      </c>
      <c r="P556" s="97" t="b">
        <v>1</v>
      </c>
      <c r="Q556" s="97" t="b">
        <v>1</v>
      </c>
      <c r="R556" s="97" t="b">
        <v>0</v>
      </c>
      <c r="S556" s="97" t="b">
        <f ca="1">IF($AY$19=INDEX(INDIRECT("ddSingleOrMulti"),2),TRUE,FALSE)</f>
        <v>0</v>
      </c>
      <c r="T556" s="97" t="b">
        <f ca="1">AND(NOT(S556),W556=TRUE)</f>
        <v>0</v>
      </c>
      <c r="U556" s="97"/>
      <c r="V556" s="97"/>
      <c r="W556" s="127"/>
      <c r="X556" s="1295"/>
      <c r="AC556" s="471" t="b">
        <f ca="1">OR(AD556:AE556)</f>
        <v>0</v>
      </c>
      <c r="AD556" s="471" t="b">
        <f ca="1">T556</f>
        <v>0</v>
      </c>
      <c r="AL556" s="311" t="str">
        <f>SUBSTITUTE(SUBSTITUTE(SUBSTITUTE("dpa"&amp;$B556&amp;$C556&amp;$D556&amp;$E556&amp;$F556,".","_"),"(","_"),")","")</f>
        <v>dpa705_6_4_2</v>
      </c>
      <c r="AM556" s="311">
        <f>M556</f>
        <v>2</v>
      </c>
      <c r="AN556" s="311" t="str">
        <f>SUBSTITUTE(SUBSTITUTE(SUBSTITUTE("dpc"&amp;$B556&amp;$C556&amp;$D556&amp;$E556&amp;$F556,".","_"),"(","_"),")","")</f>
        <v>dpc705_6_4_2</v>
      </c>
      <c r="AO556" s="311">
        <f ca="1">O556</f>
        <v>0</v>
      </c>
      <c r="AP556" s="311" t="str">
        <f>SUBSTITUTE(SUBSTITUTE(SUBSTITUTE("dch"&amp;$B556&amp;$C556&amp;$D556&amp;$E556&amp;$F556,".","_"),"(","_"),")","")</f>
        <v>dch705_6_4_2</v>
      </c>
      <c r="AQ556" s="311">
        <f>W556</f>
        <v>0</v>
      </c>
      <c r="AR556" s="311" t="str">
        <f>SUBSTITUTE(SUBSTITUTE(SUBSTITUTE("dnt"&amp;$B556&amp;$C556&amp;$D556&amp;$E556&amp;$F556,".","_"),"(","_"),")","")</f>
        <v>dnt705_6_4_2</v>
      </c>
      <c r="AS556" s="311">
        <f>X556</f>
        <v>0</v>
      </c>
    </row>
    <row r="557" spans="1:49" ht="15" thickBot="1" x14ac:dyDescent="0.35">
      <c r="B557" s="938" t="s">
        <v>1256</v>
      </c>
      <c r="C557" s="93"/>
      <c r="D557" s="21"/>
      <c r="E557" s="21"/>
      <c r="F557" s="21"/>
      <c r="G557" s="21"/>
      <c r="H557" s="1084"/>
      <c r="I557" s="270"/>
      <c r="J557" s="558"/>
      <c r="K557" s="558"/>
      <c r="L557" s="1398"/>
      <c r="M557" s="1334"/>
      <c r="N557" s="270"/>
      <c r="O557" s="1315"/>
      <c r="P557" s="104"/>
      <c r="Q557" s="104"/>
      <c r="R557" s="104"/>
      <c r="S557" s="104"/>
      <c r="T557" s="104"/>
      <c r="U557" s="104"/>
      <c r="V557" s="104"/>
      <c r="W557" s="104"/>
      <c r="X557" s="1296"/>
    </row>
    <row r="558" spans="1:49" ht="15" thickTop="1" x14ac:dyDescent="0.3">
      <c r="B558" s="938">
        <v>705.7</v>
      </c>
      <c r="C558" s="93"/>
      <c r="D558" s="21"/>
      <c r="E558" s="21"/>
      <c r="F558" s="21"/>
      <c r="G558" s="21"/>
      <c r="H558" s="1084"/>
      <c r="I558" s="66">
        <v>705.7</v>
      </c>
      <c r="J558" s="178"/>
      <c r="K558" s="178"/>
      <c r="L558" s="1401" t="s">
        <v>1258</v>
      </c>
      <c r="M558" s="1335">
        <v>1</v>
      </c>
      <c r="N558" s="4"/>
      <c r="O558" s="1310">
        <f ca="1">M558*S558*W558</f>
        <v>0</v>
      </c>
      <c r="P558" s="97" t="b">
        <v>0</v>
      </c>
      <c r="Q558" s="97" t="b">
        <v>1</v>
      </c>
      <c r="R558" s="145" t="b">
        <v>0</v>
      </c>
      <c r="S558" s="471" t="b">
        <f ca="1">IF($AY$19=INDEX(INDIRECT("ddSingleOrMulti"),2),TRUE,FALSE)</f>
        <v>0</v>
      </c>
      <c r="T558" s="97" t="b">
        <f ca="1">AND(NOT(S558),W558=TRUE)</f>
        <v>0</v>
      </c>
      <c r="W558" s="127"/>
      <c r="X558" s="1304"/>
      <c r="AC558" s="471" t="b">
        <f ca="1">OR(AD558:AE558)</f>
        <v>0</v>
      </c>
      <c r="AD558" s="471" t="b">
        <f ca="1">T558</f>
        <v>0</v>
      </c>
      <c r="AL558" s="311" t="str">
        <f>SUBSTITUTE(SUBSTITUTE(SUBSTITUTE("dpa"&amp;$B558&amp;$C558&amp;$D558&amp;$E558&amp;$F558,".","_"),"(","_"),")","")</f>
        <v>dpa705_7</v>
      </c>
      <c r="AM558" s="311">
        <f>M558</f>
        <v>1</v>
      </c>
      <c r="AN558" s="311" t="str">
        <f>SUBSTITUTE(SUBSTITUTE(SUBSTITUTE("dpc"&amp;$B558&amp;$C558&amp;$D558&amp;$E558&amp;$F558,".","_"),"(","_"),")","")</f>
        <v>dpc705_7</v>
      </c>
      <c r="AO558" s="311">
        <f ca="1">O558</f>
        <v>0</v>
      </c>
      <c r="AP558" s="311" t="str">
        <f>SUBSTITUTE(SUBSTITUTE(SUBSTITUTE("dch"&amp;$B558&amp;$C558&amp;$D558&amp;$E558&amp;$F558,".","_"),"(","_"),")","")</f>
        <v>dch705_7</v>
      </c>
      <c r="AQ558" s="311">
        <f>W558</f>
        <v>0</v>
      </c>
      <c r="AR558" s="311" t="str">
        <f>SUBSTITUTE(SUBSTITUTE(SUBSTITUTE("dnt"&amp;$B558&amp;$C558&amp;$D558&amp;$E558&amp;$F558,".","_"),"(","_"),")","")</f>
        <v>dnt705_7</v>
      </c>
      <c r="AS558" s="311">
        <f>X558</f>
        <v>0</v>
      </c>
    </row>
    <row r="559" spans="1:49" x14ac:dyDescent="0.3">
      <c r="B559" s="938">
        <v>705.7</v>
      </c>
      <c r="C559" s="93"/>
      <c r="D559" s="21"/>
      <c r="E559" s="21"/>
      <c r="F559" s="21"/>
      <c r="G559" s="21"/>
      <c r="H559" s="1084"/>
      <c r="I559" s="4"/>
      <c r="J559" s="178"/>
      <c r="K559" s="178"/>
      <c r="L559" s="1401"/>
      <c r="M559" s="1335"/>
      <c r="N559" s="4"/>
      <c r="O559" s="1310"/>
      <c r="X559" s="1303"/>
    </row>
    <row r="560" spans="1:49" x14ac:dyDescent="0.3">
      <c r="B560" s="938">
        <v>705.7</v>
      </c>
      <c r="C560" s="93"/>
      <c r="D560" s="21"/>
      <c r="E560" s="21"/>
      <c r="F560" s="21"/>
      <c r="G560" s="21"/>
      <c r="H560" s="1084"/>
      <c r="I560" s="4"/>
      <c r="J560" s="178"/>
      <c r="K560" s="178"/>
      <c r="L560" s="1401"/>
      <c r="M560" s="1335"/>
      <c r="N560" s="4"/>
      <c r="O560" s="1310"/>
      <c r="X560" s="1303"/>
    </row>
    <row r="561" spans="1:49" x14ac:dyDescent="0.3">
      <c r="B561" s="938">
        <v>705.7</v>
      </c>
      <c r="C561" s="93"/>
      <c r="D561" s="21"/>
      <c r="E561" s="21"/>
      <c r="F561" s="21"/>
      <c r="G561" s="21"/>
      <c r="H561" s="1084"/>
      <c r="I561" s="4"/>
      <c r="J561" s="178"/>
      <c r="K561" s="178"/>
      <c r="L561" s="1401"/>
      <c r="M561" s="1335"/>
      <c r="N561" s="4"/>
      <c r="O561" s="1310"/>
      <c r="X561" s="1303"/>
    </row>
    <row r="562" spans="1:49" ht="18" x14ac:dyDescent="0.35">
      <c r="B562" s="938">
        <v>706</v>
      </c>
      <c r="C562" s="93"/>
      <c r="D562" s="21"/>
      <c r="E562" s="21"/>
      <c r="F562" s="21"/>
      <c r="G562" s="21"/>
      <c r="H562" s="1084"/>
      <c r="I562" s="14" t="s">
        <v>1259</v>
      </c>
      <c r="J562" s="87"/>
      <c r="K562" s="87"/>
      <c r="L562" s="87"/>
      <c r="M562" s="484"/>
      <c r="N562" s="604"/>
      <c r="O562" s="594"/>
      <c r="P562" s="23"/>
      <c r="Q562" s="23"/>
      <c r="R562" s="23"/>
      <c r="S562" s="23"/>
      <c r="T562" s="23"/>
      <c r="U562" s="23"/>
      <c r="V562" s="23"/>
      <c r="W562" s="23"/>
      <c r="X562" s="23"/>
    </row>
    <row r="563" spans="1:49" x14ac:dyDescent="0.3">
      <c r="B563" s="938">
        <v>706.1</v>
      </c>
      <c r="C563" s="93"/>
      <c r="D563" s="21"/>
      <c r="E563" s="21"/>
      <c r="F563" s="21"/>
      <c r="G563" s="21"/>
      <c r="H563" s="1084"/>
      <c r="I563" s="66">
        <v>706.1</v>
      </c>
      <c r="J563" s="178"/>
      <c r="K563" s="178"/>
      <c r="L563" s="1292" t="s">
        <v>1260</v>
      </c>
      <c r="M563" s="1335" t="s">
        <v>878</v>
      </c>
      <c r="N563" s="4"/>
      <c r="O563" s="1310">
        <f>MIN(3,(M565*S565*W565+M566*S566*W566+M567*S567*W567+M568*S568*W568+M570*S570*W570))</f>
        <v>0</v>
      </c>
      <c r="AL563" s="311" t="str">
        <f>SUBSTITUTE(SUBSTITUTE(SUBSTITUTE("dpa"&amp;$B563&amp;$C563&amp;$D563&amp;$E563&amp;$F563,".","_"),"(","_"),")","")</f>
        <v>dpa706_1</v>
      </c>
      <c r="AM563" s="311" t="str">
        <f>M563</f>
        <v>3 Max</v>
      </c>
      <c r="AN563" s="311" t="str">
        <f>SUBSTITUTE(SUBSTITUTE(SUBSTITUTE("dpc"&amp;$B563&amp;$C563&amp;$D563&amp;$E563&amp;$F563,".","_"),"(","_"),")","")</f>
        <v>dpc706_1</v>
      </c>
      <c r="AO563" s="311">
        <f>O563</f>
        <v>0</v>
      </c>
    </row>
    <row r="564" spans="1:49" x14ac:dyDescent="0.3">
      <c r="B564" s="938">
        <v>706.1</v>
      </c>
      <c r="C564" s="93"/>
      <c r="D564" s="21"/>
      <c r="E564" s="21"/>
      <c r="F564" s="21"/>
      <c r="G564" s="21"/>
      <c r="H564" s="1084"/>
      <c r="I564" s="4"/>
      <c r="J564" s="178"/>
      <c r="K564" s="178"/>
      <c r="L564" s="1292"/>
      <c r="M564" s="1335"/>
      <c r="N564" s="4"/>
      <c r="O564" s="1310"/>
    </row>
    <row r="565" spans="1:49" x14ac:dyDescent="0.3">
      <c r="B565" s="938">
        <v>706.1</v>
      </c>
      <c r="C565" s="93"/>
      <c r="D565" s="21" t="s">
        <v>271</v>
      </c>
      <c r="E565" s="21"/>
      <c r="F565" s="21"/>
      <c r="G565" s="21"/>
      <c r="H565" s="1084"/>
      <c r="I565" s="4"/>
      <c r="J565" s="644" t="s">
        <v>271</v>
      </c>
      <c r="K565" s="545"/>
      <c r="L565" s="545" t="s">
        <v>1261</v>
      </c>
      <c r="M565" s="549">
        <v>1</v>
      </c>
      <c r="N565" s="4"/>
      <c r="O565" s="154"/>
      <c r="Q565" s="97" t="b">
        <v>1</v>
      </c>
      <c r="R565" s="145" t="b">
        <v>0</v>
      </c>
      <c r="S565" s="477" t="b">
        <v>1</v>
      </c>
      <c r="T565" s="97" t="b">
        <v>0</v>
      </c>
      <c r="W565" s="25"/>
      <c r="X565" s="512"/>
      <c r="AC565" s="463" t="b">
        <f>OR(AD565:AE565)</f>
        <v>0</v>
      </c>
      <c r="AD565" s="463" t="b">
        <f>T565</f>
        <v>0</v>
      </c>
      <c r="AE565" s="463" t="b">
        <f>AND(R565,NOT(W565))</f>
        <v>0</v>
      </c>
      <c r="AL565" s="311" t="str">
        <f t="shared" ref="AL565:AL568" si="62">SUBSTITUTE(SUBSTITUTE(SUBSTITUTE("dpa"&amp;$B565&amp;$C565&amp;$D565&amp;$E565&amp;$F565,".","_"),"(","_"),")","")</f>
        <v>dpa706_1_1</v>
      </c>
      <c r="AM565" s="311">
        <f>M565</f>
        <v>1</v>
      </c>
      <c r="AP565" s="311" t="str">
        <f t="shared" ref="AP565:AP568" si="63">SUBSTITUTE(SUBSTITUTE(SUBSTITUTE("dch"&amp;$B565&amp;$C565&amp;$D565&amp;$E565&amp;$F565,".","_"),"(","_"),")","")</f>
        <v>dch706_1_1</v>
      </c>
      <c r="AQ565" s="311">
        <f>W565</f>
        <v>0</v>
      </c>
      <c r="AR565" s="311" t="str">
        <f t="shared" ref="AR565:AR568" si="64">SUBSTITUTE(SUBSTITUTE(SUBSTITUTE("dnt"&amp;$B565&amp;$C565&amp;$D565&amp;$E565&amp;$F565,".","_"),"(","_"),")","")</f>
        <v>dnt706_1_1</v>
      </c>
      <c r="AS565" s="311">
        <f>X565</f>
        <v>0</v>
      </c>
    </row>
    <row r="566" spans="1:49" x14ac:dyDescent="0.3">
      <c r="B566" s="938">
        <v>706.1</v>
      </c>
      <c r="C566" s="93"/>
      <c r="D566" s="21" t="s">
        <v>273</v>
      </c>
      <c r="E566" s="21"/>
      <c r="F566" s="21"/>
      <c r="G566" s="21"/>
      <c r="H566" s="1084"/>
      <c r="I566" s="4"/>
      <c r="J566" s="656" t="s">
        <v>273</v>
      </c>
      <c r="K566" s="365"/>
      <c r="L566" s="365" t="s">
        <v>1262</v>
      </c>
      <c r="M566" s="571">
        <v>1</v>
      </c>
      <c r="N566" s="4"/>
      <c r="O566" s="154"/>
      <c r="Q566" s="97" t="b">
        <v>1</v>
      </c>
      <c r="R566" s="145" t="b">
        <v>0</v>
      </c>
      <c r="S566" s="477" t="b">
        <v>1</v>
      </c>
      <c r="T566" s="97" t="b">
        <v>0</v>
      </c>
      <c r="W566" s="25"/>
      <c r="X566" s="512"/>
      <c r="AC566" s="463" t="b">
        <f>OR(AD566:AE566)</f>
        <v>0</v>
      </c>
      <c r="AD566" s="463" t="b">
        <f>T566</f>
        <v>0</v>
      </c>
      <c r="AE566" s="463" t="b">
        <f>AND(R566,NOT(W566))</f>
        <v>0</v>
      </c>
      <c r="AL566" s="311" t="str">
        <f t="shared" si="62"/>
        <v>dpa706_1_2</v>
      </c>
      <c r="AM566" s="311">
        <f>M566</f>
        <v>1</v>
      </c>
      <c r="AP566" s="311" t="str">
        <f t="shared" si="63"/>
        <v>dch706_1_2</v>
      </c>
      <c r="AQ566" s="311">
        <f>W566</f>
        <v>0</v>
      </c>
      <c r="AR566" s="311" t="str">
        <f t="shared" si="64"/>
        <v>dnt706_1_2</v>
      </c>
      <c r="AS566" s="311">
        <f>X566</f>
        <v>0</v>
      </c>
    </row>
    <row r="567" spans="1:49" x14ac:dyDescent="0.3">
      <c r="B567" s="938">
        <v>706.1</v>
      </c>
      <c r="C567" s="93"/>
      <c r="D567" s="21" t="s">
        <v>275</v>
      </c>
      <c r="E567" s="21"/>
      <c r="F567" s="21"/>
      <c r="G567" s="21"/>
      <c r="H567" s="1084"/>
      <c r="I567" s="4"/>
      <c r="J567" s="656" t="s">
        <v>275</v>
      </c>
      <c r="K567" s="365"/>
      <c r="L567" s="365" t="s">
        <v>1263</v>
      </c>
      <c r="M567" s="571">
        <v>3</v>
      </c>
      <c r="N567" s="4"/>
      <c r="O567" s="154"/>
      <c r="Q567" s="97" t="b">
        <v>1</v>
      </c>
      <c r="R567" s="145" t="b">
        <v>0</v>
      </c>
      <c r="S567" s="477" t="b">
        <v>1</v>
      </c>
      <c r="T567" s="97" t="b">
        <v>0</v>
      </c>
      <c r="W567" s="25"/>
      <c r="X567" s="512"/>
      <c r="AC567" s="463" t="b">
        <f>OR(AD567:AE567)</f>
        <v>0</v>
      </c>
      <c r="AD567" s="463" t="b">
        <f>T567</f>
        <v>0</v>
      </c>
      <c r="AE567" s="463" t="b">
        <f>AND(R567,NOT(W567))</f>
        <v>0</v>
      </c>
      <c r="AL567" s="311" t="str">
        <f t="shared" si="62"/>
        <v>dpa706_1_3</v>
      </c>
      <c r="AM567" s="311">
        <f>M567</f>
        <v>3</v>
      </c>
      <c r="AP567" s="311" t="str">
        <f t="shared" si="63"/>
        <v>dch706_1_3</v>
      </c>
      <c r="AQ567" s="311">
        <f>W567</f>
        <v>0</v>
      </c>
      <c r="AR567" s="311" t="str">
        <f t="shared" si="64"/>
        <v>dnt706_1_3</v>
      </c>
      <c r="AS567" s="311">
        <f>X567</f>
        <v>0</v>
      </c>
    </row>
    <row r="568" spans="1:49" s="175" customFormat="1" x14ac:dyDescent="0.3">
      <c r="A568" s="18"/>
      <c r="B568" s="938">
        <v>706.1</v>
      </c>
      <c r="C568" s="93"/>
      <c r="D568" s="21" t="s">
        <v>285</v>
      </c>
      <c r="E568" s="21"/>
      <c r="F568" s="21"/>
      <c r="G568" s="21"/>
      <c r="H568" s="1084"/>
      <c r="I568" s="4"/>
      <c r="J568" s="657" t="s">
        <v>285</v>
      </c>
      <c r="K568" s="557"/>
      <c r="L568" s="1355" t="s">
        <v>1264</v>
      </c>
      <c r="M568" s="1323">
        <v>1</v>
      </c>
      <c r="N568" s="4"/>
      <c r="O568" s="154"/>
      <c r="P568" s="79"/>
      <c r="Q568" s="97" t="b">
        <v>1</v>
      </c>
      <c r="R568" s="145" t="b">
        <v>0</v>
      </c>
      <c r="S568" s="477" t="b">
        <v>1</v>
      </c>
      <c r="T568" s="97" t="b">
        <v>0</v>
      </c>
      <c r="U568" s="79"/>
      <c r="V568" s="79"/>
      <c r="W568" s="25"/>
      <c r="X568" s="1303"/>
      <c r="Y568" s="1107"/>
      <c r="Z568" s="79"/>
      <c r="AA568" s="1110"/>
      <c r="AB568" s="79"/>
      <c r="AC568" s="463" t="b">
        <f>OR(AD568:AE568)</f>
        <v>0</v>
      </c>
      <c r="AD568" s="463" t="b">
        <f>T568</f>
        <v>0</v>
      </c>
      <c r="AE568" s="463" t="b">
        <f>AND(R568,NOT(W568))</f>
        <v>0</v>
      </c>
      <c r="AF568" s="79"/>
      <c r="AG568" s="79"/>
      <c r="AH568" s="79"/>
      <c r="AI568" s="79"/>
      <c r="AJ568" s="79"/>
      <c r="AK568" s="79"/>
      <c r="AL568" s="311" t="str">
        <f t="shared" si="62"/>
        <v>dpa706_1_4</v>
      </c>
      <c r="AM568" s="311">
        <f>M568</f>
        <v>1</v>
      </c>
      <c r="AN568" s="79"/>
      <c r="AO568" s="79"/>
      <c r="AP568" s="311" t="str">
        <f t="shared" si="63"/>
        <v>dch706_1_4</v>
      </c>
      <c r="AQ568" s="311">
        <f>W568</f>
        <v>0</v>
      </c>
      <c r="AR568" s="311" t="str">
        <f t="shared" si="64"/>
        <v>dnt706_1_4</v>
      </c>
      <c r="AS568" s="311">
        <f>X568</f>
        <v>0</v>
      </c>
      <c r="AT568" s="79"/>
      <c r="AU568" s="79"/>
      <c r="AV568" s="79"/>
      <c r="AW568" s="79"/>
    </row>
    <row r="569" spans="1:49" x14ac:dyDescent="0.3">
      <c r="B569" s="938">
        <v>706.1</v>
      </c>
      <c r="C569" s="93"/>
      <c r="D569" s="21" t="s">
        <v>285</v>
      </c>
      <c r="E569" s="21"/>
      <c r="F569" s="21"/>
      <c r="G569" s="21"/>
      <c r="H569" s="1084"/>
      <c r="I569" s="4"/>
      <c r="J569" s="644"/>
      <c r="K569" s="545"/>
      <c r="L569" s="1294"/>
      <c r="M569" s="1319"/>
      <c r="N569" s="4"/>
      <c r="O569" s="154"/>
      <c r="P569" s="175"/>
      <c r="Q569" s="175"/>
      <c r="R569" s="175"/>
      <c r="S569" s="175"/>
      <c r="T569" s="175"/>
      <c r="U569" s="175"/>
      <c r="V569" s="175"/>
      <c r="W569" s="175"/>
      <c r="X569" s="1303"/>
      <c r="Z569" s="175"/>
      <c r="AB569" s="175"/>
      <c r="AC569" s="175"/>
      <c r="AD569" s="175"/>
      <c r="AE569" s="175"/>
      <c r="AF569" s="175"/>
      <c r="AG569" s="175"/>
      <c r="AH569" s="175"/>
      <c r="AI569" s="175"/>
      <c r="AJ569" s="175"/>
      <c r="AK569" s="175"/>
      <c r="AL569" s="175"/>
      <c r="AM569" s="175"/>
      <c r="AN569" s="175"/>
      <c r="AO569" s="175"/>
      <c r="AP569" s="175"/>
      <c r="AQ569" s="175"/>
      <c r="AR569" s="175"/>
      <c r="AS569" s="175"/>
      <c r="AT569" s="175"/>
      <c r="AU569" s="175"/>
      <c r="AV569" s="175"/>
      <c r="AW569" s="175"/>
    </row>
    <row r="570" spans="1:49" ht="15" thickBot="1" x14ac:dyDescent="0.35">
      <c r="B570" s="938">
        <v>706.1</v>
      </c>
      <c r="C570" s="93"/>
      <c r="D570" s="21" t="s">
        <v>291</v>
      </c>
      <c r="E570" s="21"/>
      <c r="F570" s="21"/>
      <c r="G570" s="21"/>
      <c r="H570" s="1084"/>
      <c r="I570" s="270"/>
      <c r="J570" s="646" t="s">
        <v>291</v>
      </c>
      <c r="K570" s="558"/>
      <c r="L570" s="558" t="s">
        <v>1265</v>
      </c>
      <c r="M570" s="556">
        <v>1</v>
      </c>
      <c r="N570" s="270"/>
      <c r="O570" s="600"/>
      <c r="P570" s="97" t="b">
        <v>0</v>
      </c>
      <c r="Q570" s="97" t="b">
        <v>1</v>
      </c>
      <c r="R570" s="104" t="b">
        <v>0</v>
      </c>
      <c r="S570" s="104" t="b">
        <v>1</v>
      </c>
      <c r="T570" s="104" t="b">
        <v>0</v>
      </c>
      <c r="U570" s="104"/>
      <c r="V570" s="104"/>
      <c r="W570" s="105"/>
      <c r="X570" s="538"/>
      <c r="AC570" s="463" t="b">
        <f>OR(AD570:AE570)</f>
        <v>0</v>
      </c>
      <c r="AD570" s="463" t="b">
        <f>T570</f>
        <v>0</v>
      </c>
      <c r="AE570" s="463" t="b">
        <f>AND(R570,NOT(W570))</f>
        <v>0</v>
      </c>
      <c r="AL570" s="311" t="str">
        <f>SUBSTITUTE(SUBSTITUTE(SUBSTITUTE("dpa"&amp;$B570&amp;$C570&amp;$D570&amp;$E570&amp;$F570,".","_"),"(","_"),")","")</f>
        <v>dpa706_1_5</v>
      </c>
      <c r="AM570" s="311">
        <f>M570</f>
        <v>1</v>
      </c>
      <c r="AP570" s="311" t="str">
        <f>SUBSTITUTE(SUBSTITUTE(SUBSTITUTE("dch"&amp;$B570&amp;$C570&amp;$D570&amp;$E570&amp;$F570,".","_"),"(","_"),")","")</f>
        <v>dch706_1_5</v>
      </c>
      <c r="AQ570" s="311">
        <f>W570</f>
        <v>0</v>
      </c>
      <c r="AR570" s="311" t="str">
        <f>SUBSTITUTE(SUBSTITUTE(SUBSTITUTE("dnt"&amp;$B570&amp;$C570&amp;$D570&amp;$E570&amp;$F570,".","_"),"(","_"),")","")</f>
        <v>dnt706_1_5</v>
      </c>
      <c r="AS570" s="311">
        <f>X570</f>
        <v>0</v>
      </c>
    </row>
    <row r="571" spans="1:49" s="175" customFormat="1" ht="15" thickTop="1" x14ac:dyDescent="0.3">
      <c r="A571" s="18"/>
      <c r="B571" s="938">
        <v>706.2</v>
      </c>
      <c r="C571" s="93"/>
      <c r="D571" s="21"/>
      <c r="E571" s="21"/>
      <c r="F571" s="21"/>
      <c r="G571" s="21"/>
      <c r="H571" s="1084"/>
      <c r="I571" s="66">
        <v>706.2</v>
      </c>
      <c r="J571" s="178"/>
      <c r="K571" s="178"/>
      <c r="L571" s="1389" t="s">
        <v>1266</v>
      </c>
      <c r="M571" s="522"/>
      <c r="N571" s="4"/>
      <c r="O571" s="154"/>
      <c r="P571" s="79"/>
      <c r="Q571" s="79"/>
      <c r="R571" s="79"/>
      <c r="S571" s="79"/>
      <c r="T571" s="79"/>
      <c r="U571" s="79"/>
      <c r="V571" s="79"/>
      <c r="W571" s="79"/>
      <c r="X571" s="79"/>
      <c r="Y571" s="1107"/>
      <c r="Z571" s="79"/>
      <c r="AA571" s="1110"/>
      <c r="AB571" s="79"/>
      <c r="AC571" s="79"/>
      <c r="AD571" s="79"/>
      <c r="AE571" s="79"/>
      <c r="AF571" s="79"/>
      <c r="AG571" s="79"/>
      <c r="AH571" s="79"/>
      <c r="AI571" s="79"/>
      <c r="AJ571" s="79"/>
      <c r="AK571" s="79"/>
      <c r="AL571" s="79"/>
      <c r="AM571" s="79"/>
      <c r="AN571" s="79"/>
      <c r="AO571" s="79"/>
      <c r="AP571" s="79"/>
      <c r="AQ571" s="79"/>
      <c r="AR571" s="79"/>
      <c r="AS571" s="79"/>
      <c r="AT571" s="79"/>
      <c r="AU571" s="79"/>
      <c r="AV571" s="79"/>
      <c r="AW571" s="79"/>
    </row>
    <row r="572" spans="1:49" x14ac:dyDescent="0.3">
      <c r="B572" s="938">
        <v>706.2</v>
      </c>
      <c r="C572" s="93"/>
      <c r="D572" s="21"/>
      <c r="E572" s="21"/>
      <c r="F572" s="21"/>
      <c r="G572" s="21"/>
      <c r="H572" s="1084"/>
      <c r="I572" s="66"/>
      <c r="J572" s="178"/>
      <c r="K572" s="178"/>
      <c r="L572" s="1389"/>
      <c r="M572" s="522"/>
      <c r="N572" s="4"/>
      <c r="O572" s="154"/>
      <c r="P572" s="175"/>
      <c r="Q572" s="175"/>
      <c r="R572" s="175"/>
      <c r="S572" s="175"/>
      <c r="T572" s="175"/>
      <c r="U572" s="175"/>
      <c r="V572" s="175"/>
      <c r="W572" s="175"/>
      <c r="X572" s="175"/>
      <c r="Z572" s="175"/>
      <c r="AB572" s="175"/>
      <c r="AC572" s="175"/>
      <c r="AD572" s="175"/>
      <c r="AE572" s="175"/>
      <c r="AF572" s="175"/>
      <c r="AG572" s="175"/>
      <c r="AH572" s="175"/>
      <c r="AI572" s="175"/>
      <c r="AJ572" s="175"/>
      <c r="AK572" s="175"/>
      <c r="AL572" s="175"/>
      <c r="AM572" s="175"/>
      <c r="AN572" s="175"/>
      <c r="AO572" s="175"/>
      <c r="AP572" s="175"/>
      <c r="AQ572" s="175"/>
      <c r="AR572" s="175"/>
      <c r="AS572" s="175"/>
      <c r="AT572" s="175"/>
      <c r="AU572" s="175"/>
      <c r="AV572" s="175"/>
      <c r="AW572" s="175"/>
    </row>
    <row r="573" spans="1:49" x14ac:dyDescent="0.3">
      <c r="B573" s="938">
        <v>706.2</v>
      </c>
      <c r="C573" s="93"/>
      <c r="D573" s="21" t="s">
        <v>271</v>
      </c>
      <c r="E573" s="21"/>
      <c r="F573" s="21"/>
      <c r="G573" s="21"/>
      <c r="H573" s="1084"/>
      <c r="I573" s="4"/>
      <c r="J573" s="643" t="s">
        <v>271</v>
      </c>
      <c r="K573" s="544"/>
      <c r="L573" s="1305" t="s">
        <v>1267</v>
      </c>
      <c r="M573" s="1335">
        <v>1</v>
      </c>
      <c r="N573" s="4"/>
      <c r="O573" s="1310">
        <f>M573*S573*W573</f>
        <v>0</v>
      </c>
      <c r="P573" s="97" t="b">
        <v>0</v>
      </c>
      <c r="Q573" s="97" t="b">
        <v>1</v>
      </c>
      <c r="R573" s="145" t="b">
        <v>0</v>
      </c>
      <c r="S573" s="477" t="b">
        <v>1</v>
      </c>
      <c r="T573" s="97" t="b">
        <v>0</v>
      </c>
      <c r="W573" s="25"/>
      <c r="X573" s="1303"/>
      <c r="AC573" s="463" t="b">
        <f>OR(AD573:AE573)</f>
        <v>0</v>
      </c>
      <c r="AD573" s="463" t="b">
        <f>T573</f>
        <v>0</v>
      </c>
      <c r="AE573" s="463" t="b">
        <f>AND(R573,NOT(W573))</f>
        <v>0</v>
      </c>
      <c r="AL573" s="311" t="str">
        <f>SUBSTITUTE(SUBSTITUTE(SUBSTITUTE("dpa"&amp;$B573&amp;$C573&amp;$D573&amp;$E573&amp;$F573,".","_"),"(","_"),")","")</f>
        <v>dpa706_2_1</v>
      </c>
      <c r="AM573" s="311">
        <f>M573</f>
        <v>1</v>
      </c>
      <c r="AN573" s="311" t="str">
        <f>SUBSTITUTE(SUBSTITUTE(SUBSTITUTE("dpc"&amp;$B573&amp;$C573&amp;$D573&amp;$E573&amp;$F573,".","_"),"(","_"),")","")</f>
        <v>dpc706_2_1</v>
      </c>
      <c r="AO573" s="311">
        <f>O573</f>
        <v>0</v>
      </c>
      <c r="AP573" s="311" t="str">
        <f>SUBSTITUTE(SUBSTITUTE(SUBSTITUTE("dch"&amp;$B573&amp;$C573&amp;$D573&amp;$E573&amp;$F573,".","_"),"(","_"),")","")</f>
        <v>dch706_2_1</v>
      </c>
      <c r="AQ573" s="311">
        <f>W573</f>
        <v>0</v>
      </c>
      <c r="AR573" s="311" t="str">
        <f>SUBSTITUTE(SUBSTITUTE(SUBSTITUTE("dnt"&amp;$B573&amp;$C573&amp;$D573&amp;$E573&amp;$F573,".","_"),"(","_"),")","")</f>
        <v>dnt706_2_1</v>
      </c>
      <c r="AS573" s="311">
        <f>X573</f>
        <v>0</v>
      </c>
    </row>
    <row r="574" spans="1:49" x14ac:dyDescent="0.3">
      <c r="B574" s="938">
        <v>706.2</v>
      </c>
      <c r="C574" s="93"/>
      <c r="D574" s="21" t="s">
        <v>271</v>
      </c>
      <c r="E574" s="21"/>
      <c r="F574" s="21"/>
      <c r="G574" s="21"/>
      <c r="H574" s="1084"/>
      <c r="I574" s="4"/>
      <c r="J574" s="544"/>
      <c r="K574" s="544"/>
      <c r="L574" s="1305"/>
      <c r="M574" s="1335"/>
      <c r="N574" s="4"/>
      <c r="O574" s="1310"/>
      <c r="X574" s="1303"/>
    </row>
    <row r="575" spans="1:49" x14ac:dyDescent="0.3">
      <c r="B575" s="938">
        <v>706.2</v>
      </c>
      <c r="C575" s="93"/>
      <c r="D575" s="21" t="s">
        <v>271</v>
      </c>
      <c r="E575" s="21"/>
      <c r="F575" s="21"/>
      <c r="G575" s="21"/>
      <c r="H575" s="1084"/>
      <c r="I575" s="4"/>
      <c r="J575" s="545"/>
      <c r="K575" s="545"/>
      <c r="L575" s="1306"/>
      <c r="M575" s="1335"/>
      <c r="N575" s="4"/>
      <c r="O575" s="1310"/>
      <c r="X575" s="1303"/>
    </row>
    <row r="576" spans="1:49" x14ac:dyDescent="0.3">
      <c r="B576" s="938">
        <v>706.2</v>
      </c>
      <c r="C576" s="93"/>
      <c r="D576" s="21" t="s">
        <v>273</v>
      </c>
      <c r="E576" s="21"/>
      <c r="F576" s="21"/>
      <c r="G576" s="21"/>
      <c r="H576" s="1084"/>
      <c r="I576" s="140"/>
      <c r="J576" s="643" t="s">
        <v>273</v>
      </c>
      <c r="K576" s="544"/>
      <c r="L576" s="1305" t="s">
        <v>1268</v>
      </c>
      <c r="M576" s="548"/>
      <c r="N576" s="140"/>
      <c r="O576" s="1308">
        <f ca="1">IFERROR(INDEX({1,2},MATCH(W576,INDIRECT(U576),0)),0)</f>
        <v>0</v>
      </c>
      <c r="P576" s="97" t="b">
        <v>0</v>
      </c>
      <c r="Q576" s="97" t="b">
        <v>1</v>
      </c>
      <c r="R576" s="97" t="b">
        <v>0</v>
      </c>
      <c r="S576" s="97" t="b">
        <v>1</v>
      </c>
      <c r="T576" s="97" t="b">
        <v>0</v>
      </c>
      <c r="U576" s="97" t="str">
        <f>SUBSTITUTE(SUBSTITUTE(SUBSTITUTE("dd"&amp;B576&amp;C576&amp;D576&amp;E576&amp;F576,".","_"),"(","_"),")","")</f>
        <v>dd706_2_2</v>
      </c>
      <c r="V576" s="97"/>
      <c r="W576" s="114"/>
      <c r="X576" s="1295"/>
      <c r="AC576" s="511" t="b">
        <f>OR(AD576:AE576)</f>
        <v>0</v>
      </c>
      <c r="AD576" s="511" t="b">
        <f>T576</f>
        <v>0</v>
      </c>
      <c r="AE576" s="511" t="b">
        <f>AND(R576,OR(W576="Not Met",W576=""))</f>
        <v>0</v>
      </c>
      <c r="AN576" s="311" t="str">
        <f>SUBSTITUTE(SUBSTITUTE(SUBSTITUTE("dpc"&amp;$B576&amp;$C576&amp;$D576&amp;$E576&amp;$F576,".","_"),"(","_"),")","")</f>
        <v>dpc706_2_2</v>
      </c>
      <c r="AO576" s="311">
        <f ca="1">O576</f>
        <v>0</v>
      </c>
      <c r="AP576" s="311" t="str">
        <f>SUBSTITUTE(SUBSTITUTE(SUBSTITUTE("dch"&amp;$B576&amp;$C576&amp;$D576&amp;$E576&amp;$F576,".","_"),"(","_"),")","")</f>
        <v>dch706_2_2</v>
      </c>
      <c r="AQ576" s="311">
        <f>W576</f>
        <v>0</v>
      </c>
      <c r="AR576" s="311" t="str">
        <f>SUBSTITUTE(SUBSTITUTE(SUBSTITUTE("dnt"&amp;$B576&amp;$C576&amp;$D576&amp;$E576&amp;$F576,".","_"),"(","_"),")","")</f>
        <v>dnt706_2_2</v>
      </c>
      <c r="AS576" s="311">
        <f>X576</f>
        <v>0</v>
      </c>
    </row>
    <row r="577" spans="1:49" x14ac:dyDescent="0.3">
      <c r="B577" s="938">
        <v>706.2</v>
      </c>
      <c r="C577" s="93"/>
      <c r="D577" s="21" t="s">
        <v>273</v>
      </c>
      <c r="E577" s="21"/>
      <c r="F577" s="21"/>
      <c r="G577" s="21"/>
      <c r="H577" s="1084"/>
      <c r="I577" s="140"/>
      <c r="J577" s="544"/>
      <c r="K577" s="544"/>
      <c r="L577" s="1305"/>
      <c r="M577" s="548"/>
      <c r="N577" s="140"/>
      <c r="O577" s="1308"/>
      <c r="P577" s="97"/>
      <c r="Q577" s="97"/>
      <c r="R577" s="97"/>
      <c r="S577" s="97"/>
      <c r="T577" s="97"/>
      <c r="U577" s="97"/>
      <c r="V577" s="97"/>
      <c r="W577" s="97"/>
      <c r="X577" s="1295"/>
    </row>
    <row r="578" spans="1:49" s="358" customFormat="1" x14ac:dyDescent="0.3">
      <c r="A578" s="18"/>
      <c r="B578" s="938">
        <v>706.2</v>
      </c>
      <c r="C578" s="93"/>
      <c r="D578" s="21" t="s">
        <v>273</v>
      </c>
      <c r="E578" s="21"/>
      <c r="F578" s="21"/>
      <c r="G578" s="21"/>
      <c r="H578" s="1084"/>
      <c r="I578" s="140"/>
      <c r="J578" s="544"/>
      <c r="K578" s="544"/>
      <c r="L578" s="1305"/>
      <c r="M578" s="548"/>
      <c r="N578" s="140"/>
      <c r="O578" s="1308"/>
      <c r="P578" s="97"/>
      <c r="Q578" s="97"/>
      <c r="R578" s="97"/>
      <c r="S578" s="97"/>
      <c r="T578" s="97"/>
      <c r="U578" s="97"/>
      <c r="V578" s="97"/>
      <c r="W578" s="97"/>
      <c r="X578" s="1295"/>
      <c r="Y578" s="1107"/>
      <c r="AA578" s="1110"/>
    </row>
    <row r="579" spans="1:49" x14ac:dyDescent="0.3">
      <c r="B579" s="938">
        <v>706.2</v>
      </c>
      <c r="C579" s="93"/>
      <c r="D579" s="21" t="s">
        <v>273</v>
      </c>
      <c r="E579" s="21" t="s">
        <v>121</v>
      </c>
      <c r="F579" s="21"/>
      <c r="G579" s="21"/>
      <c r="H579" s="1084"/>
      <c r="I579" s="140"/>
      <c r="J579" s="544"/>
      <c r="K579" s="614" t="s">
        <v>121</v>
      </c>
      <c r="L579" s="1305" t="s">
        <v>1269</v>
      </c>
      <c r="M579" s="1318">
        <v>1</v>
      </c>
      <c r="N579" s="140"/>
      <c r="O579" s="598"/>
      <c r="P579" s="97"/>
      <c r="Q579" s="97"/>
      <c r="R579" s="97"/>
      <c r="S579" s="97"/>
      <c r="T579" s="97"/>
      <c r="U579" s="97"/>
      <c r="V579" s="97"/>
      <c r="W579" s="97"/>
      <c r="X579" s="1295"/>
      <c r="AL579" s="311" t="str">
        <f>SUBSTITUTE(SUBSTITUTE(SUBSTITUTE("dpa"&amp;$B579&amp;$C579&amp;$D579&amp;$E579&amp;$F579,".","_"),"(","_"),")","")</f>
        <v>dpa706_2_2_a</v>
      </c>
      <c r="AM579" s="311">
        <f>M579</f>
        <v>1</v>
      </c>
    </row>
    <row r="580" spans="1:49" x14ac:dyDescent="0.3">
      <c r="B580" s="938">
        <v>706.2</v>
      </c>
      <c r="C580" s="93"/>
      <c r="D580" s="21" t="s">
        <v>273</v>
      </c>
      <c r="E580" s="21" t="s">
        <v>121</v>
      </c>
      <c r="F580" s="21"/>
      <c r="G580" s="21"/>
      <c r="H580" s="1084"/>
      <c r="I580" s="140"/>
      <c r="J580" s="544"/>
      <c r="K580" s="626"/>
      <c r="L580" s="1306"/>
      <c r="M580" s="1319"/>
      <c r="N580" s="140"/>
      <c r="O580" s="598"/>
      <c r="P580" s="97"/>
      <c r="Q580" s="97"/>
      <c r="R580" s="97"/>
      <c r="S580" s="97"/>
      <c r="T580" s="97"/>
      <c r="U580" s="97"/>
      <c r="V580" s="97"/>
      <c r="W580" s="97"/>
      <c r="X580" s="1295"/>
    </row>
    <row r="581" spans="1:49" x14ac:dyDescent="0.3">
      <c r="B581" s="938">
        <v>706.2</v>
      </c>
      <c r="C581" s="93"/>
      <c r="D581" s="21" t="s">
        <v>273</v>
      </c>
      <c r="E581" s="21" t="s">
        <v>122</v>
      </c>
      <c r="F581" s="21"/>
      <c r="G581" s="21"/>
      <c r="H581" s="1084"/>
      <c r="I581" s="140"/>
      <c r="J581" s="544"/>
      <c r="K581" s="614" t="s">
        <v>122</v>
      </c>
      <c r="L581" s="1305" t="s">
        <v>1270</v>
      </c>
      <c r="M581" s="1318">
        <v>2</v>
      </c>
      <c r="N581" s="140"/>
      <c r="O581" s="598"/>
      <c r="P581" s="97"/>
      <c r="Q581" s="97"/>
      <c r="R581" s="97"/>
      <c r="S581" s="97"/>
      <c r="T581" s="97"/>
      <c r="U581" s="97"/>
      <c r="V581" s="97"/>
      <c r="W581" s="97"/>
      <c r="X581" s="1295"/>
      <c r="AL581" s="311" t="str">
        <f>SUBSTITUTE(SUBSTITUTE(SUBSTITUTE("dpa"&amp;$B581&amp;$C581&amp;$D581&amp;$E581&amp;$F581,".","_"),"(","_"),")","")</f>
        <v>dpa706_2_2_b</v>
      </c>
      <c r="AM581" s="311">
        <f>M581</f>
        <v>2</v>
      </c>
    </row>
    <row r="582" spans="1:49" ht="15" thickBot="1" x14ac:dyDescent="0.35">
      <c r="B582" s="938">
        <v>706.2</v>
      </c>
      <c r="C582" s="93"/>
      <c r="D582" s="21" t="s">
        <v>273</v>
      </c>
      <c r="E582" s="21" t="s">
        <v>122</v>
      </c>
      <c r="F582" s="21"/>
      <c r="G582" s="21"/>
      <c r="H582" s="1084"/>
      <c r="I582" s="270"/>
      <c r="J582" s="558"/>
      <c r="K582" s="558"/>
      <c r="L582" s="1330"/>
      <c r="M582" s="1334"/>
      <c r="N582" s="270"/>
      <c r="O582" s="600"/>
      <c r="P582" s="104"/>
      <c r="Q582" s="104"/>
      <c r="R582" s="104"/>
      <c r="S582" s="104"/>
      <c r="T582" s="104"/>
      <c r="U582" s="104"/>
      <c r="V582" s="104"/>
      <c r="W582" s="104"/>
      <c r="X582" s="1296"/>
    </row>
    <row r="583" spans="1:49" s="175" customFormat="1" ht="15" thickTop="1" x14ac:dyDescent="0.3">
      <c r="A583" s="18"/>
      <c r="B583" s="938">
        <v>706.3</v>
      </c>
      <c r="C583" s="93"/>
      <c r="D583" s="21"/>
      <c r="E583" s="21"/>
      <c r="F583" s="21"/>
      <c r="G583" s="21"/>
      <c r="H583" s="1084"/>
      <c r="I583" s="66">
        <v>706.3</v>
      </c>
      <c r="J583" s="178"/>
      <c r="K583" s="178"/>
      <c r="L583" s="1389" t="s">
        <v>1271</v>
      </c>
      <c r="M583" s="522"/>
      <c r="N583" s="4"/>
      <c r="O583" s="1310">
        <f>IFERROR(INDEX({0,1,2},MATCH((1*S591*W591+1*S592*W592+1*S593*W593+1*S594*W594+1*S595*W595+1*S596*W596+2*S597*W597+2*S598*W598),{0,3,6},1)),0)</f>
        <v>0</v>
      </c>
      <c r="P583" s="79"/>
      <c r="Q583" s="79"/>
      <c r="R583" s="145"/>
      <c r="S583" s="145"/>
      <c r="T583" s="145"/>
      <c r="U583" s="79"/>
      <c r="V583" s="79"/>
      <c r="W583" s="79"/>
      <c r="X583" s="1304"/>
      <c r="Y583" s="1107"/>
      <c r="Z583" s="79"/>
      <c r="AA583" s="1110"/>
      <c r="AB583" s="79"/>
      <c r="AC583" s="79"/>
      <c r="AD583" s="79"/>
      <c r="AE583" s="79"/>
      <c r="AF583" s="79"/>
      <c r="AG583" s="79"/>
      <c r="AH583" s="79"/>
      <c r="AI583" s="79"/>
      <c r="AJ583" s="79"/>
      <c r="AK583" s="79"/>
      <c r="AL583" s="79"/>
      <c r="AM583" s="79"/>
      <c r="AN583" s="311" t="str">
        <f>SUBSTITUTE(SUBSTITUTE(SUBSTITUTE("dpc"&amp;$B583&amp;$C583&amp;$D583&amp;$E583&amp;$F583,".","_"),"(","_"),")","")</f>
        <v>dpc706_3</v>
      </c>
      <c r="AO583" s="311">
        <f>O583</f>
        <v>0</v>
      </c>
      <c r="AP583" s="79"/>
      <c r="AQ583" s="79"/>
      <c r="AR583" s="311" t="str">
        <f>SUBSTITUTE(SUBSTITUTE(SUBSTITUTE("dnt"&amp;$B583&amp;$C583&amp;$D583&amp;$E583&amp;$F583,".","_"),"(","_"),")","")</f>
        <v>dnt706_3</v>
      </c>
      <c r="AS583" s="311">
        <f>X583</f>
        <v>0</v>
      </c>
      <c r="AT583" s="79"/>
      <c r="AU583" s="79"/>
      <c r="AV583" s="79"/>
      <c r="AW583" s="79"/>
    </row>
    <row r="584" spans="1:49" x14ac:dyDescent="0.3">
      <c r="B584" s="938">
        <v>706.3</v>
      </c>
      <c r="C584" s="93"/>
      <c r="D584" s="21"/>
      <c r="E584" s="21"/>
      <c r="F584" s="21"/>
      <c r="G584" s="21"/>
      <c r="H584" s="1084"/>
      <c r="I584" s="66"/>
      <c r="J584" s="178"/>
      <c r="K584" s="178"/>
      <c r="L584" s="1389"/>
      <c r="M584" s="522"/>
      <c r="N584" s="4"/>
      <c r="O584" s="1310"/>
      <c r="P584" s="175"/>
      <c r="Q584" s="175"/>
      <c r="R584" s="175"/>
      <c r="S584" s="175"/>
      <c r="T584" s="175"/>
      <c r="U584" s="175"/>
      <c r="V584" s="175"/>
      <c r="W584" s="175"/>
      <c r="X584" s="1303"/>
      <c r="Z584" s="175"/>
      <c r="AB584" s="175"/>
      <c r="AC584" s="175"/>
      <c r="AD584" s="175"/>
      <c r="AE584" s="175"/>
      <c r="AF584" s="175"/>
      <c r="AG584" s="175"/>
      <c r="AH584" s="175"/>
      <c r="AI584" s="175"/>
      <c r="AJ584" s="175"/>
      <c r="AK584" s="175"/>
      <c r="AL584" s="175"/>
      <c r="AM584" s="175"/>
      <c r="AN584" s="175"/>
      <c r="AO584" s="175"/>
      <c r="AP584" s="175"/>
      <c r="AQ584" s="175"/>
      <c r="AR584" s="175"/>
      <c r="AS584" s="175"/>
      <c r="AT584" s="175"/>
      <c r="AU584" s="175"/>
      <c r="AV584" s="175"/>
      <c r="AW584" s="175"/>
    </row>
    <row r="585" spans="1:49" x14ac:dyDescent="0.3">
      <c r="B585" s="938">
        <v>706.3</v>
      </c>
      <c r="C585" s="93"/>
      <c r="D585" s="21"/>
      <c r="E585" s="21" t="s">
        <v>121</v>
      </c>
      <c r="F585" s="21"/>
      <c r="G585" s="21"/>
      <c r="H585" s="1084"/>
      <c r="I585" s="4"/>
      <c r="J585" s="178"/>
      <c r="K585" s="178"/>
      <c r="L585" s="266" t="s">
        <v>1272</v>
      </c>
      <c r="M585" s="522">
        <v>1</v>
      </c>
      <c r="N585" s="4"/>
      <c r="O585" s="154"/>
      <c r="X585" s="1303"/>
      <c r="AL585" s="311" t="str">
        <f t="shared" ref="AL585:AL586" si="65">SUBSTITUTE(SUBSTITUTE(SUBSTITUTE("dpa"&amp;$B585&amp;$C585&amp;$D585&amp;$E585&amp;$F585,".","_"),"(","_"),")","")</f>
        <v>dpa706_3_a</v>
      </c>
      <c r="AM585" s="311">
        <f>M585</f>
        <v>1</v>
      </c>
    </row>
    <row r="586" spans="1:49" ht="15" customHeight="1" x14ac:dyDescent="0.3">
      <c r="B586" s="938">
        <v>706.3</v>
      </c>
      <c r="C586" s="93"/>
      <c r="D586" s="21"/>
      <c r="E586" s="21" t="s">
        <v>122</v>
      </c>
      <c r="F586" s="21"/>
      <c r="G586" s="21"/>
      <c r="H586" s="1084"/>
      <c r="I586" s="4"/>
      <c r="J586" s="178"/>
      <c r="K586" s="178"/>
      <c r="L586" s="266" t="s">
        <v>1273</v>
      </c>
      <c r="M586" s="522">
        <v>2</v>
      </c>
      <c r="N586" s="4"/>
      <c r="O586" s="154"/>
      <c r="X586" s="1303"/>
      <c r="AL586" s="311" t="str">
        <f t="shared" si="65"/>
        <v>dpa706_3_b</v>
      </c>
      <c r="AM586" s="311">
        <f>M586</f>
        <v>2</v>
      </c>
    </row>
    <row r="587" spans="1:49" s="175" customFormat="1" ht="15" customHeight="1" x14ac:dyDescent="0.3">
      <c r="A587" s="18"/>
      <c r="B587" s="938">
        <v>706.3</v>
      </c>
      <c r="C587" s="93"/>
      <c r="D587" s="21"/>
      <c r="E587" s="21"/>
      <c r="F587" s="21"/>
      <c r="G587" s="21"/>
      <c r="H587" s="1084"/>
      <c r="I587" s="4"/>
      <c r="J587" s="79"/>
      <c r="K587" s="267"/>
      <c r="L587" s="1365" t="s">
        <v>1274</v>
      </c>
      <c r="M587" s="522"/>
      <c r="N587" s="4"/>
      <c r="O587" s="154"/>
      <c r="P587" s="79"/>
      <c r="Q587" s="79"/>
      <c r="R587" s="79"/>
      <c r="S587" s="79"/>
      <c r="T587" s="79"/>
      <c r="U587" s="79"/>
      <c r="V587" s="79"/>
      <c r="W587" s="79"/>
      <c r="X587" s="1303"/>
      <c r="Y587" s="1107"/>
      <c r="Z587" s="79"/>
      <c r="AA587" s="1110"/>
      <c r="AB587" s="79"/>
      <c r="AC587" s="79"/>
      <c r="AD587" s="79"/>
      <c r="AE587" s="79"/>
      <c r="AF587" s="79"/>
      <c r="AG587" s="79"/>
      <c r="AH587" s="79"/>
      <c r="AI587" s="79"/>
      <c r="AJ587" s="79"/>
      <c r="AK587" s="79"/>
      <c r="AL587" s="79"/>
      <c r="AM587" s="79"/>
      <c r="AN587" s="79"/>
      <c r="AO587" s="79"/>
      <c r="AP587" s="79"/>
      <c r="AQ587" s="79"/>
      <c r="AR587" s="79"/>
      <c r="AS587" s="79"/>
      <c r="AT587" s="79"/>
      <c r="AU587" s="79"/>
      <c r="AV587" s="79"/>
      <c r="AW587" s="79"/>
    </row>
    <row r="588" spans="1:49" ht="15" customHeight="1" x14ac:dyDescent="0.3">
      <c r="B588" s="938">
        <v>706.3</v>
      </c>
      <c r="C588" s="93"/>
      <c r="D588" s="21"/>
      <c r="E588" s="21"/>
      <c r="F588" s="21"/>
      <c r="G588" s="21"/>
      <c r="H588" s="1084"/>
      <c r="I588" s="4"/>
      <c r="J588" s="175"/>
      <c r="K588" s="267"/>
      <c r="L588" s="1365"/>
      <c r="M588" s="522"/>
      <c r="N588" s="4"/>
      <c r="O588" s="154"/>
      <c r="P588" s="175"/>
      <c r="Q588" s="175"/>
      <c r="R588" s="175"/>
      <c r="S588" s="175"/>
      <c r="T588" s="175"/>
      <c r="U588" s="175"/>
      <c r="V588" s="175"/>
      <c r="W588" s="175"/>
      <c r="X588" s="1303"/>
      <c r="Z588" s="175"/>
      <c r="AB588" s="175"/>
      <c r="AC588" s="175"/>
      <c r="AD588" s="175"/>
      <c r="AE588" s="175"/>
      <c r="AF588" s="175"/>
      <c r="AG588" s="175"/>
      <c r="AH588" s="175"/>
      <c r="AI588" s="175"/>
      <c r="AJ588" s="175"/>
      <c r="AK588" s="175"/>
      <c r="AL588" s="175"/>
      <c r="AM588" s="175"/>
      <c r="AN588" s="175"/>
      <c r="AO588" s="175"/>
      <c r="AP588" s="175"/>
      <c r="AQ588" s="175"/>
      <c r="AR588" s="175"/>
      <c r="AS588" s="175"/>
      <c r="AT588" s="175"/>
      <c r="AU588" s="175"/>
      <c r="AV588" s="175"/>
      <c r="AW588" s="175"/>
    </row>
    <row r="589" spans="1:49" s="175" customFormat="1" ht="15" customHeight="1" x14ac:dyDescent="0.3">
      <c r="A589" s="18"/>
      <c r="B589" s="938">
        <v>706.3</v>
      </c>
      <c r="C589" s="93"/>
      <c r="D589" s="21"/>
      <c r="E589" s="21"/>
      <c r="F589" s="21"/>
      <c r="G589" s="21"/>
      <c r="H589" s="1084"/>
      <c r="I589" s="4"/>
      <c r="J589" s="178"/>
      <c r="K589" s="79"/>
      <c r="L589" s="1365" t="s">
        <v>1275</v>
      </c>
      <c r="M589" s="522"/>
      <c r="N589" s="4"/>
      <c r="O589" s="154"/>
      <c r="P589" s="79"/>
      <c r="Q589" s="79"/>
      <c r="R589" s="79"/>
      <c r="S589" s="79"/>
      <c r="T589" s="79"/>
      <c r="U589" s="79"/>
      <c r="V589" s="79"/>
      <c r="W589" s="79"/>
      <c r="X589" s="1303"/>
      <c r="Y589" s="1107"/>
      <c r="Z589" s="79"/>
      <c r="AA589" s="1110"/>
      <c r="AB589" s="79"/>
      <c r="AC589" s="79"/>
      <c r="AD589" s="79"/>
      <c r="AE589" s="79"/>
      <c r="AF589" s="79"/>
      <c r="AG589" s="79"/>
      <c r="AH589" s="79"/>
      <c r="AI589" s="79"/>
      <c r="AJ589" s="79"/>
      <c r="AK589" s="79"/>
      <c r="AL589" s="79"/>
      <c r="AM589" s="79"/>
      <c r="AN589" s="79"/>
      <c r="AO589" s="79"/>
      <c r="AP589" s="79"/>
      <c r="AQ589" s="79"/>
      <c r="AR589" s="79"/>
      <c r="AS589" s="79"/>
      <c r="AT589" s="79"/>
      <c r="AU589" s="79"/>
      <c r="AV589" s="79"/>
      <c r="AW589" s="79"/>
    </row>
    <row r="590" spans="1:49" x14ac:dyDescent="0.3">
      <c r="B590" s="938">
        <v>706.3</v>
      </c>
      <c r="C590" s="93"/>
      <c r="D590" s="21"/>
      <c r="E590" s="21"/>
      <c r="F590" s="21"/>
      <c r="G590" s="21"/>
      <c r="H590" s="1084"/>
      <c r="I590" s="4"/>
      <c r="J590" s="178"/>
      <c r="K590" s="175"/>
      <c r="L590" s="1365"/>
      <c r="M590" s="522"/>
      <c r="N590" s="4"/>
      <c r="O590" s="154"/>
      <c r="P590" s="175"/>
      <c r="Q590" s="175"/>
      <c r="R590" s="175"/>
      <c r="S590" s="175"/>
      <c r="T590" s="175"/>
      <c r="U590" s="175"/>
      <c r="V590" s="175"/>
      <c r="W590" s="175"/>
      <c r="X590" s="1303"/>
      <c r="Z590" s="175"/>
      <c r="AB590" s="175"/>
      <c r="AC590" s="175"/>
      <c r="AD590" s="175"/>
      <c r="AE590" s="175"/>
      <c r="AF590" s="175"/>
      <c r="AG590" s="175"/>
      <c r="AH590" s="175"/>
      <c r="AI590" s="175"/>
      <c r="AJ590" s="175"/>
      <c r="AK590" s="175"/>
      <c r="AL590" s="175"/>
      <c r="AM590" s="175"/>
      <c r="AN590" s="175"/>
      <c r="AO590" s="175"/>
      <c r="AP590" s="175"/>
      <c r="AQ590" s="175"/>
      <c r="AR590" s="175"/>
      <c r="AS590" s="175"/>
      <c r="AT590" s="175"/>
      <c r="AU590" s="175"/>
      <c r="AV590" s="175"/>
      <c r="AW590" s="175"/>
    </row>
    <row r="591" spans="1:49" x14ac:dyDescent="0.3">
      <c r="B591" s="938">
        <v>706.3</v>
      </c>
      <c r="C591" s="93"/>
      <c r="D591" s="21" t="s">
        <v>271</v>
      </c>
      <c r="E591" s="21"/>
      <c r="F591" s="21"/>
      <c r="G591" s="21"/>
      <c r="H591" s="1084"/>
      <c r="I591" s="4"/>
      <c r="J591" s="644" t="s">
        <v>271</v>
      </c>
      <c r="K591" s="545"/>
      <c r="L591" s="545" t="s">
        <v>1138</v>
      </c>
      <c r="M591" s="522"/>
      <c r="N591" s="4"/>
      <c r="O591" s="154"/>
      <c r="P591" s="97" t="b">
        <v>0</v>
      </c>
      <c r="Q591" s="97" t="b">
        <v>1</v>
      </c>
      <c r="R591" s="145" t="b">
        <v>0</v>
      </c>
      <c r="S591" s="463" t="b">
        <f>IFERROR(NOT(OR(W620:W621,W627)),TRUE)</f>
        <v>1</v>
      </c>
      <c r="T591" s="97" t="b">
        <f t="shared" ref="T591:T598" si="66">AND(NOT(S591),W591=TRUE)</f>
        <v>0</v>
      </c>
      <c r="W591" s="25"/>
      <c r="X591" s="512"/>
      <c r="AC591" s="463" t="b">
        <f t="shared" ref="AC591:AC598" si="67">OR(AD591:AE591)</f>
        <v>0</v>
      </c>
      <c r="AD591" s="463" t="b">
        <f t="shared" ref="AD591:AD598" si="68">T591</f>
        <v>0</v>
      </c>
      <c r="AE591" s="463" t="b">
        <f t="shared" ref="AE591:AE598" si="69">AND(R591,NOT(W591))</f>
        <v>0</v>
      </c>
      <c r="AP591" s="311" t="str">
        <f t="shared" ref="AP591:AP598" si="70">SUBSTITUTE(SUBSTITUTE(SUBSTITUTE("dch"&amp;$B591&amp;$C591&amp;$D591&amp;$E591&amp;$F591,".","_"),"(","_"),")","")</f>
        <v>dch706_3_1</v>
      </c>
      <c r="AQ591" s="311">
        <f t="shared" ref="AQ591:AQ598" si="71">W591</f>
        <v>0</v>
      </c>
      <c r="AR591" s="311" t="str">
        <f t="shared" ref="AR591:AR598" si="72">SUBSTITUTE(SUBSTITUTE(SUBSTITUTE("dnt"&amp;$B591&amp;$C591&amp;$D591&amp;$E591&amp;$F591,".","_"),"(","_"),")","")</f>
        <v>dnt706_3_1</v>
      </c>
      <c r="AS591" s="311">
        <f t="shared" ref="AS591:AS598" si="73">X591</f>
        <v>0</v>
      </c>
    </row>
    <row r="592" spans="1:49" x14ac:dyDescent="0.3">
      <c r="B592" s="938">
        <v>706.3</v>
      </c>
      <c r="C592" s="93"/>
      <c r="D592" s="21" t="s">
        <v>273</v>
      </c>
      <c r="E592" s="21"/>
      <c r="F592" s="21"/>
      <c r="G592" s="21"/>
      <c r="H592" s="1084"/>
      <c r="I592" s="4"/>
      <c r="J592" s="656" t="s">
        <v>273</v>
      </c>
      <c r="K592" s="365"/>
      <c r="L592" s="365" t="s">
        <v>1276</v>
      </c>
      <c r="M592" s="522"/>
      <c r="N592" s="4"/>
      <c r="O592" s="154"/>
      <c r="P592" s="97" t="b">
        <v>0</v>
      </c>
      <c r="Q592" s="97" t="b">
        <v>1</v>
      </c>
      <c r="R592" s="145" t="b">
        <v>0</v>
      </c>
      <c r="S592" s="463" t="b">
        <f>IFERROR(NOT(OR(W620:W621,W627)),TRUE)</f>
        <v>1</v>
      </c>
      <c r="T592" s="97" t="b">
        <f t="shared" si="66"/>
        <v>0</v>
      </c>
      <c r="W592" s="25"/>
      <c r="X592" s="512"/>
      <c r="AC592" s="463" t="b">
        <f t="shared" si="67"/>
        <v>0</v>
      </c>
      <c r="AD592" s="463" t="b">
        <f t="shared" si="68"/>
        <v>0</v>
      </c>
      <c r="AE592" s="463" t="b">
        <f t="shared" si="69"/>
        <v>0</v>
      </c>
      <c r="AP592" s="311" t="str">
        <f t="shared" si="70"/>
        <v>dch706_3_2</v>
      </c>
      <c r="AQ592" s="311">
        <f t="shared" si="71"/>
        <v>0</v>
      </c>
      <c r="AR592" s="311" t="str">
        <f t="shared" si="72"/>
        <v>dnt706_3_2</v>
      </c>
      <c r="AS592" s="311">
        <f t="shared" si="73"/>
        <v>0</v>
      </c>
    </row>
    <row r="593" spans="2:45" x14ac:dyDescent="0.3">
      <c r="B593" s="938">
        <v>706.3</v>
      </c>
      <c r="C593" s="93"/>
      <c r="D593" s="21" t="s">
        <v>275</v>
      </c>
      <c r="E593" s="21"/>
      <c r="F593" s="21"/>
      <c r="G593" s="21"/>
      <c r="H593" s="1084"/>
      <c r="I593" s="4"/>
      <c r="J593" s="656" t="s">
        <v>275</v>
      </c>
      <c r="K593" s="365"/>
      <c r="L593" s="365" t="s">
        <v>1139</v>
      </c>
      <c r="M593" s="522"/>
      <c r="N593" s="4"/>
      <c r="O593" s="154"/>
      <c r="P593" s="97" t="b">
        <v>0</v>
      </c>
      <c r="Q593" s="97" t="b">
        <v>1</v>
      </c>
      <c r="R593" s="145" t="b">
        <v>0</v>
      </c>
      <c r="S593" s="463" t="b">
        <f>IFERROR(NOT(OR(W620:W621,W627)),TRUE)</f>
        <v>1</v>
      </c>
      <c r="T593" s="97" t="b">
        <f t="shared" si="66"/>
        <v>0</v>
      </c>
      <c r="W593" s="25"/>
      <c r="X593" s="512"/>
      <c r="AC593" s="463" t="b">
        <f t="shared" si="67"/>
        <v>0</v>
      </c>
      <c r="AD593" s="463" t="b">
        <f t="shared" si="68"/>
        <v>0</v>
      </c>
      <c r="AE593" s="463" t="b">
        <f t="shared" si="69"/>
        <v>0</v>
      </c>
      <c r="AP593" s="311" t="str">
        <f t="shared" si="70"/>
        <v>dch706_3_3</v>
      </c>
      <c r="AQ593" s="311">
        <f t="shared" si="71"/>
        <v>0</v>
      </c>
      <c r="AR593" s="311" t="str">
        <f t="shared" si="72"/>
        <v>dnt706_3_3</v>
      </c>
      <c r="AS593" s="311">
        <f t="shared" si="73"/>
        <v>0</v>
      </c>
    </row>
    <row r="594" spans="2:45" x14ac:dyDescent="0.3">
      <c r="B594" s="938">
        <v>706.3</v>
      </c>
      <c r="C594" s="93"/>
      <c r="D594" s="21" t="s">
        <v>285</v>
      </c>
      <c r="E594" s="21"/>
      <c r="F594" s="21"/>
      <c r="G594" s="21"/>
      <c r="H594" s="1084"/>
      <c r="I594" s="4"/>
      <c r="J594" s="656" t="s">
        <v>285</v>
      </c>
      <c r="K594" s="365"/>
      <c r="L594" s="365" t="s">
        <v>1277</v>
      </c>
      <c r="M594" s="522"/>
      <c r="N594" s="4"/>
      <c r="O594" s="154"/>
      <c r="P594" s="97" t="b">
        <v>0</v>
      </c>
      <c r="Q594" s="97" t="b">
        <v>1</v>
      </c>
      <c r="R594" s="145" t="b">
        <v>0</v>
      </c>
      <c r="S594" s="463" t="b">
        <f>IFERROR(NOT(OR(W620:W621,W627)),TRUE)</f>
        <v>1</v>
      </c>
      <c r="T594" s="97" t="b">
        <f t="shared" si="66"/>
        <v>0</v>
      </c>
      <c r="W594" s="25"/>
      <c r="X594" s="512"/>
      <c r="AC594" s="463" t="b">
        <f t="shared" si="67"/>
        <v>0</v>
      </c>
      <c r="AD594" s="463" t="b">
        <f t="shared" si="68"/>
        <v>0</v>
      </c>
      <c r="AE594" s="463" t="b">
        <f t="shared" si="69"/>
        <v>0</v>
      </c>
      <c r="AP594" s="311" t="str">
        <f t="shared" si="70"/>
        <v>dch706_3_4</v>
      </c>
      <c r="AQ594" s="311">
        <f t="shared" si="71"/>
        <v>0</v>
      </c>
      <c r="AR594" s="311" t="str">
        <f t="shared" si="72"/>
        <v>dnt706_3_4</v>
      </c>
      <c r="AS594" s="311">
        <f t="shared" si="73"/>
        <v>0</v>
      </c>
    </row>
    <row r="595" spans="2:45" x14ac:dyDescent="0.3">
      <c r="B595" s="938">
        <v>706.3</v>
      </c>
      <c r="C595" s="93"/>
      <c r="D595" s="21" t="s">
        <v>291</v>
      </c>
      <c r="E595" s="21"/>
      <c r="F595" s="21"/>
      <c r="G595" s="21"/>
      <c r="H595" s="1084"/>
      <c r="I595" s="4"/>
      <c r="J595" s="656" t="s">
        <v>291</v>
      </c>
      <c r="K595" s="365"/>
      <c r="L595" s="365" t="s">
        <v>1278</v>
      </c>
      <c r="M595" s="522"/>
      <c r="N595" s="4"/>
      <c r="O595" s="154"/>
      <c r="P595" s="97" t="b">
        <v>0</v>
      </c>
      <c r="Q595" s="97" t="b">
        <v>1</v>
      </c>
      <c r="R595" s="145" t="b">
        <v>0</v>
      </c>
      <c r="S595" s="463" t="b">
        <f>IFERROR(NOT(OR(W620:W621,W627)),TRUE)</f>
        <v>1</v>
      </c>
      <c r="T595" s="97" t="b">
        <f t="shared" si="66"/>
        <v>0</v>
      </c>
      <c r="W595" s="25"/>
      <c r="X595" s="512"/>
      <c r="AC595" s="463" t="b">
        <f t="shared" si="67"/>
        <v>0</v>
      </c>
      <c r="AD595" s="463" t="b">
        <f t="shared" si="68"/>
        <v>0</v>
      </c>
      <c r="AE595" s="463" t="b">
        <f t="shared" si="69"/>
        <v>0</v>
      </c>
      <c r="AP595" s="311" t="str">
        <f t="shared" si="70"/>
        <v>dch706_3_5</v>
      </c>
      <c r="AQ595" s="311">
        <f t="shared" si="71"/>
        <v>0</v>
      </c>
      <c r="AR595" s="311" t="str">
        <f t="shared" si="72"/>
        <v>dnt706_3_5</v>
      </c>
      <c r="AS595" s="311">
        <f t="shared" si="73"/>
        <v>0</v>
      </c>
    </row>
    <row r="596" spans="2:45" x14ac:dyDescent="0.3">
      <c r="B596" s="938">
        <v>706.3</v>
      </c>
      <c r="C596" s="93"/>
      <c r="D596" s="21" t="s">
        <v>293</v>
      </c>
      <c r="E596" s="21"/>
      <c r="F596" s="21"/>
      <c r="G596" s="21"/>
      <c r="H596" s="1084"/>
      <c r="I596" s="4"/>
      <c r="J596" s="656" t="s">
        <v>293</v>
      </c>
      <c r="K596" s="365"/>
      <c r="L596" s="365" t="s">
        <v>1279</v>
      </c>
      <c r="M596" s="522"/>
      <c r="N596" s="4"/>
      <c r="O596" s="154"/>
      <c r="P596" s="97" t="b">
        <v>0</v>
      </c>
      <c r="Q596" s="97" t="b">
        <v>1</v>
      </c>
      <c r="R596" s="145" t="b">
        <v>0</v>
      </c>
      <c r="S596" s="463" t="b">
        <f>IFERROR(NOT(OR(W620:W621,W627)),TRUE)</f>
        <v>1</v>
      </c>
      <c r="T596" s="97" t="b">
        <f t="shared" si="66"/>
        <v>0</v>
      </c>
      <c r="W596" s="25"/>
      <c r="X596" s="512"/>
      <c r="AC596" s="463" t="b">
        <f t="shared" si="67"/>
        <v>0</v>
      </c>
      <c r="AD596" s="463" t="b">
        <f t="shared" si="68"/>
        <v>0</v>
      </c>
      <c r="AE596" s="463" t="b">
        <f t="shared" si="69"/>
        <v>0</v>
      </c>
      <c r="AP596" s="311" t="str">
        <f t="shared" si="70"/>
        <v>dch706_3_6</v>
      </c>
      <c r="AQ596" s="311">
        <f t="shared" si="71"/>
        <v>0</v>
      </c>
      <c r="AR596" s="311" t="str">
        <f t="shared" si="72"/>
        <v>dnt706_3_6</v>
      </c>
      <c r="AS596" s="311">
        <f t="shared" si="73"/>
        <v>0</v>
      </c>
    </row>
    <row r="597" spans="2:45" x14ac:dyDescent="0.3">
      <c r="B597" s="938">
        <v>706.3</v>
      </c>
      <c r="C597" s="93"/>
      <c r="D597" s="21" t="s">
        <v>405</v>
      </c>
      <c r="E597" s="21"/>
      <c r="F597" s="21"/>
      <c r="G597" s="21"/>
      <c r="H597" s="1084"/>
      <c r="I597" s="4"/>
      <c r="J597" s="656" t="s">
        <v>405</v>
      </c>
      <c r="K597" s="365"/>
      <c r="L597" s="365" t="s">
        <v>1280</v>
      </c>
      <c r="M597" s="522"/>
      <c r="N597" s="4"/>
      <c r="O597" s="154"/>
      <c r="P597" s="97" t="b">
        <v>0</v>
      </c>
      <c r="Q597" s="97" t="b">
        <v>1</v>
      </c>
      <c r="R597" s="145" t="b">
        <v>0</v>
      </c>
      <c r="S597" s="463" t="b">
        <f>IFERROR(NOT(OR(W620:W621,W627)),TRUE)</f>
        <v>1</v>
      </c>
      <c r="T597" s="97" t="b">
        <f t="shared" si="66"/>
        <v>0</v>
      </c>
      <c r="W597" s="25"/>
      <c r="X597" s="512"/>
      <c r="AC597" s="463" t="b">
        <f t="shared" si="67"/>
        <v>0</v>
      </c>
      <c r="AD597" s="463" t="b">
        <f t="shared" si="68"/>
        <v>0</v>
      </c>
      <c r="AE597" s="463" t="b">
        <f t="shared" si="69"/>
        <v>0</v>
      </c>
      <c r="AP597" s="311" t="str">
        <f t="shared" si="70"/>
        <v>dch706_3_7</v>
      </c>
      <c r="AQ597" s="311">
        <f t="shared" si="71"/>
        <v>0</v>
      </c>
      <c r="AR597" s="311" t="str">
        <f t="shared" si="72"/>
        <v>dnt706_3_7</v>
      </c>
      <c r="AS597" s="311">
        <f t="shared" si="73"/>
        <v>0</v>
      </c>
    </row>
    <row r="598" spans="2:45" ht="15" thickBot="1" x14ac:dyDescent="0.35">
      <c r="B598" s="938">
        <v>706.3</v>
      </c>
      <c r="C598" s="93"/>
      <c r="D598" s="21" t="s">
        <v>456</v>
      </c>
      <c r="E598" s="21"/>
      <c r="F598" s="21"/>
      <c r="G598" s="21"/>
      <c r="H598" s="1084"/>
      <c r="I598" s="270"/>
      <c r="J598" s="646" t="s">
        <v>456</v>
      </c>
      <c r="K598" s="558"/>
      <c r="L598" s="558" t="s">
        <v>1281</v>
      </c>
      <c r="M598" s="556"/>
      <c r="N598" s="270"/>
      <c r="O598" s="600"/>
      <c r="P598" s="97" t="b">
        <v>0</v>
      </c>
      <c r="Q598" s="97" t="b">
        <v>1</v>
      </c>
      <c r="R598" s="104" t="b">
        <v>0</v>
      </c>
      <c r="S598" s="104" t="b">
        <f>IFERROR(NOT(OR(W620:W621,W627)),TRUE)</f>
        <v>1</v>
      </c>
      <c r="T598" s="104" t="b">
        <f t="shared" si="66"/>
        <v>0</v>
      </c>
      <c r="U598" s="104"/>
      <c r="V598" s="104"/>
      <c r="W598" s="105"/>
      <c r="X598" s="538"/>
      <c r="AC598" s="463" t="b">
        <f t="shared" si="67"/>
        <v>0</v>
      </c>
      <c r="AD598" s="463" t="b">
        <f t="shared" si="68"/>
        <v>0</v>
      </c>
      <c r="AE598" s="463" t="b">
        <f t="shared" si="69"/>
        <v>0</v>
      </c>
      <c r="AP598" s="311" t="str">
        <f t="shared" si="70"/>
        <v>dch706_3_8</v>
      </c>
      <c r="AQ598" s="311">
        <f t="shared" si="71"/>
        <v>0</v>
      </c>
      <c r="AR598" s="311" t="str">
        <f t="shared" si="72"/>
        <v>dnt706_3_8</v>
      </c>
      <c r="AS598" s="311">
        <f t="shared" si="73"/>
        <v>0</v>
      </c>
    </row>
    <row r="599" spans="2:45" ht="15" thickTop="1" x14ac:dyDescent="0.3">
      <c r="B599" s="938">
        <v>706.4</v>
      </c>
      <c r="C599" s="93"/>
      <c r="D599" s="21"/>
      <c r="E599" s="21"/>
      <c r="F599" s="21"/>
      <c r="G599" s="21"/>
      <c r="H599" s="1084"/>
      <c r="I599" s="66">
        <v>706.4</v>
      </c>
      <c r="J599" s="178"/>
      <c r="K599" s="178"/>
      <c r="L599" s="184" t="s">
        <v>1282</v>
      </c>
      <c r="M599" s="522"/>
      <c r="N599" s="4"/>
      <c r="O599" s="154"/>
    </row>
    <row r="600" spans="2:45" x14ac:dyDescent="0.3">
      <c r="B600" s="938" t="s">
        <v>1283</v>
      </c>
      <c r="C600" s="93"/>
      <c r="D600" s="21"/>
      <c r="E600" s="21"/>
      <c r="F600" s="21"/>
      <c r="G600" s="21"/>
      <c r="H600" s="1084"/>
      <c r="I600" s="66" t="s">
        <v>1283</v>
      </c>
      <c r="J600" s="178"/>
      <c r="K600" s="178"/>
      <c r="L600" s="184" t="s">
        <v>1284</v>
      </c>
      <c r="M600" s="522"/>
      <c r="N600" s="4"/>
      <c r="O600" s="154"/>
    </row>
    <row r="601" spans="2:45" x14ac:dyDescent="0.3">
      <c r="B601" s="938" t="s">
        <v>1283</v>
      </c>
      <c r="C601" s="93"/>
      <c r="D601" s="21" t="s">
        <v>271</v>
      </c>
      <c r="E601" s="21"/>
      <c r="F601" s="21"/>
      <c r="G601" s="21"/>
      <c r="H601" s="1084"/>
      <c r="I601" s="4"/>
      <c r="J601" s="643" t="s">
        <v>271</v>
      </c>
      <c r="K601" s="544"/>
      <c r="L601" s="1305" t="s">
        <v>1285</v>
      </c>
      <c r="M601" s="1318">
        <v>1</v>
      </c>
      <c r="N601" s="140"/>
      <c r="O601" s="1308">
        <f>M601*S601*W601</f>
        <v>0</v>
      </c>
      <c r="P601" s="97" t="b">
        <v>1</v>
      </c>
      <c r="Q601" s="97" t="b">
        <v>1</v>
      </c>
      <c r="R601" s="145" t="b">
        <v>0</v>
      </c>
      <c r="S601" s="477" t="b">
        <v>1</v>
      </c>
      <c r="T601" s="97" t="b">
        <v>0</v>
      </c>
      <c r="W601" s="25"/>
      <c r="X601" s="1303"/>
      <c r="AC601" s="463" t="b">
        <f>OR(AD601:AE601)</f>
        <v>0</v>
      </c>
      <c r="AD601" s="463" t="b">
        <f>T601</f>
        <v>0</v>
      </c>
      <c r="AE601" s="463" t="b">
        <f>AND(R601,NOT(W601))</f>
        <v>0</v>
      </c>
      <c r="AL601" s="311" t="str">
        <f>SUBSTITUTE(SUBSTITUTE(SUBSTITUTE("dpa"&amp;$B601&amp;$C601&amp;$D601&amp;$E601&amp;$F601,".","_"),"(","_"),")","")</f>
        <v>dpa706_4_1_1</v>
      </c>
      <c r="AM601" s="311">
        <f>M601</f>
        <v>1</v>
      </c>
      <c r="AN601" s="311" t="str">
        <f>SUBSTITUTE(SUBSTITUTE(SUBSTITUTE("dpc"&amp;$B601&amp;$C601&amp;$D601&amp;$E601&amp;$F601,".","_"),"(","_"),")","")</f>
        <v>dpc706_4_1_1</v>
      </c>
      <c r="AO601" s="311">
        <f>O601</f>
        <v>0</v>
      </c>
      <c r="AP601" s="311" t="str">
        <f>SUBSTITUTE(SUBSTITUTE(SUBSTITUTE("dch"&amp;$B601&amp;$C601&amp;$D601&amp;$E601&amp;$F601,".","_"),"(","_"),")","")</f>
        <v>dch706_4_1_1</v>
      </c>
      <c r="AQ601" s="311">
        <f>W601</f>
        <v>0</v>
      </c>
      <c r="AR601" s="311" t="str">
        <f>SUBSTITUTE(SUBSTITUTE(SUBSTITUTE("dnt"&amp;$B601&amp;$C601&amp;$D601&amp;$E601&amp;$F601,".","_"),"(","_"),")","")</f>
        <v>dnt706_4_1_1</v>
      </c>
      <c r="AS601" s="311">
        <f>X601</f>
        <v>0</v>
      </c>
    </row>
    <row r="602" spans="2:45" x14ac:dyDescent="0.3">
      <c r="B602" s="938" t="s">
        <v>1283</v>
      </c>
      <c r="C602" s="93"/>
      <c r="D602" s="21" t="s">
        <v>271</v>
      </c>
      <c r="E602" s="21"/>
      <c r="F602" s="21"/>
      <c r="G602" s="21"/>
      <c r="H602" s="1084"/>
      <c r="I602" s="4"/>
      <c r="J602" s="644"/>
      <c r="K602" s="545"/>
      <c r="L602" s="1306"/>
      <c r="M602" s="1319"/>
      <c r="N602" s="238"/>
      <c r="O602" s="1309"/>
      <c r="X602" s="1303"/>
    </row>
    <row r="603" spans="2:45" x14ac:dyDescent="0.3">
      <c r="B603" s="938" t="s">
        <v>1283</v>
      </c>
      <c r="C603" s="93"/>
      <c r="D603" s="21" t="s">
        <v>273</v>
      </c>
      <c r="E603" s="21"/>
      <c r="F603" s="21"/>
      <c r="G603" s="21"/>
      <c r="H603" s="1084"/>
      <c r="I603" s="140"/>
      <c r="J603" s="643" t="s">
        <v>273</v>
      </c>
      <c r="K603" s="544"/>
      <c r="L603" s="1305" t="s">
        <v>1286</v>
      </c>
      <c r="M603" s="1318">
        <v>3</v>
      </c>
      <c r="N603" s="140"/>
      <c r="O603" s="1308">
        <f>M603*S603*W603</f>
        <v>0</v>
      </c>
      <c r="P603" s="97" t="b">
        <v>1</v>
      </c>
      <c r="Q603" s="97" t="b">
        <v>1</v>
      </c>
      <c r="R603" s="97" t="b">
        <v>0</v>
      </c>
      <c r="S603" s="97" t="b">
        <v>1</v>
      </c>
      <c r="T603" s="97" t="b">
        <v>0</v>
      </c>
      <c r="U603" s="97"/>
      <c r="V603" s="97"/>
      <c r="W603" s="452"/>
      <c r="X603" s="1295"/>
      <c r="AC603" s="463" t="b">
        <f>OR(AD603:AE603)</f>
        <v>0</v>
      </c>
      <c r="AD603" s="463" t="b">
        <f>T603</f>
        <v>0</v>
      </c>
      <c r="AE603" s="463" t="b">
        <f>AND(R603,NOT(W603))</f>
        <v>0</v>
      </c>
      <c r="AL603" s="311" t="str">
        <f>SUBSTITUTE(SUBSTITUTE(SUBSTITUTE("dpa"&amp;$B603&amp;$C603&amp;$D603&amp;$E603&amp;$F603,".","_"),"(","_"),")","")</f>
        <v>dpa706_4_1_2</v>
      </c>
      <c r="AM603" s="311">
        <f>M603</f>
        <v>3</v>
      </c>
      <c r="AN603" s="311" t="str">
        <f>SUBSTITUTE(SUBSTITUTE(SUBSTITUTE("dpc"&amp;$B603&amp;$C603&amp;$D603&amp;$E603&amp;$F603,".","_"),"(","_"),")","")</f>
        <v>dpc706_4_1_2</v>
      </c>
      <c r="AO603" s="311">
        <f>O603</f>
        <v>0</v>
      </c>
      <c r="AP603" s="311" t="str">
        <f>SUBSTITUTE(SUBSTITUTE(SUBSTITUTE("dch"&amp;$B603&amp;$C603&amp;$D603&amp;$E603&amp;$F603,".","_"),"(","_"),")","")</f>
        <v>dch706_4_1_2</v>
      </c>
      <c r="AQ603" s="311">
        <f>W603</f>
        <v>0</v>
      </c>
      <c r="AR603" s="311" t="str">
        <f>SUBSTITUTE(SUBSTITUTE(SUBSTITUTE("dnt"&amp;$B603&amp;$C603&amp;$D603&amp;$E603&amp;$F603,".","_"),"(","_"),")","")</f>
        <v>dnt706_4_1_2</v>
      </c>
      <c r="AS603" s="311">
        <f>X603</f>
        <v>0</v>
      </c>
    </row>
    <row r="604" spans="2:45" x14ac:dyDescent="0.3">
      <c r="B604" s="938" t="s">
        <v>1283</v>
      </c>
      <c r="C604" s="93"/>
      <c r="D604" s="21" t="s">
        <v>273</v>
      </c>
      <c r="E604" s="21"/>
      <c r="F604" s="21"/>
      <c r="G604" s="21"/>
      <c r="H604" s="1084"/>
      <c r="I604" s="238"/>
      <c r="J604" s="545"/>
      <c r="K604" s="545"/>
      <c r="L604" s="1306"/>
      <c r="M604" s="1319"/>
      <c r="N604" s="238"/>
      <c r="O604" s="1309"/>
      <c r="P604" s="196"/>
      <c r="Q604" s="196"/>
      <c r="R604" s="196"/>
      <c r="S604" s="196"/>
      <c r="T604" s="196"/>
      <c r="U604" s="196"/>
      <c r="V604" s="196"/>
      <c r="W604" s="196"/>
      <c r="X604" s="1295"/>
    </row>
    <row r="605" spans="2:45" x14ac:dyDescent="0.3">
      <c r="B605" s="938" t="s">
        <v>1287</v>
      </c>
      <c r="C605" s="93"/>
      <c r="D605" s="21"/>
      <c r="E605" s="21"/>
      <c r="F605" s="21"/>
      <c r="G605" s="21"/>
      <c r="H605" s="1084"/>
      <c r="I605" s="215" t="s">
        <v>1287</v>
      </c>
      <c r="J605" s="557"/>
      <c r="K605" s="557"/>
      <c r="L605" s="1364" t="s">
        <v>1288</v>
      </c>
      <c r="M605" s="1323">
        <v>1</v>
      </c>
      <c r="N605" s="216"/>
      <c r="O605" s="1324">
        <f>M605*S605*W605</f>
        <v>0</v>
      </c>
      <c r="P605" s="97" t="b">
        <v>1</v>
      </c>
      <c r="Q605" s="97" t="b">
        <v>1</v>
      </c>
      <c r="R605" s="218" t="b">
        <v>0</v>
      </c>
      <c r="S605" s="218" t="b">
        <v>1</v>
      </c>
      <c r="T605" s="218" t="b">
        <v>0</v>
      </c>
      <c r="U605" s="218"/>
      <c r="V605" s="218"/>
      <c r="W605" s="452"/>
      <c r="X605" s="1295"/>
      <c r="AC605" s="463" t="b">
        <f>OR(AD605:AE605)</f>
        <v>0</v>
      </c>
      <c r="AD605" s="463" t="b">
        <f>T605</f>
        <v>0</v>
      </c>
      <c r="AE605" s="463" t="b">
        <f>AND(R605,NOT(W605))</f>
        <v>0</v>
      </c>
      <c r="AL605" s="311" t="str">
        <f>SUBSTITUTE(SUBSTITUTE(SUBSTITUTE("dpa"&amp;$B605&amp;$C605&amp;$D605&amp;$E605&amp;$F605,".","_"),"(","_"),")","")</f>
        <v>dpa706_4_2</v>
      </c>
      <c r="AM605" s="311">
        <f>M605</f>
        <v>1</v>
      </c>
      <c r="AN605" s="311" t="str">
        <f>SUBSTITUTE(SUBSTITUTE(SUBSTITUTE("dpc"&amp;$B605&amp;$C605&amp;$D605&amp;$E605&amp;$F605,".","_"),"(","_"),")","")</f>
        <v>dpc706_4_2</v>
      </c>
      <c r="AO605" s="311">
        <f>O605</f>
        <v>0</v>
      </c>
      <c r="AP605" s="311" t="str">
        <f>SUBSTITUTE(SUBSTITUTE(SUBSTITUTE("dch"&amp;$B605&amp;$C605&amp;$D605&amp;$E605&amp;$F605,".","_"),"(","_"),")","")</f>
        <v>dch706_4_2</v>
      </c>
      <c r="AQ605" s="311">
        <f>W605</f>
        <v>0</v>
      </c>
      <c r="AR605" s="311" t="str">
        <f>SUBSTITUTE(SUBSTITUTE(SUBSTITUTE("dnt"&amp;$B605&amp;$C605&amp;$D605&amp;$E605&amp;$F605,".","_"),"(","_"),")","")</f>
        <v>dnt706_4_2</v>
      </c>
      <c r="AS605" s="311">
        <f>X605</f>
        <v>0</v>
      </c>
    </row>
    <row r="606" spans="2:45" ht="15" thickBot="1" x14ac:dyDescent="0.35">
      <c r="B606" s="938" t="s">
        <v>1287</v>
      </c>
      <c r="C606" s="93"/>
      <c r="D606" s="21"/>
      <c r="E606" s="21"/>
      <c r="F606" s="21"/>
      <c r="G606" s="21"/>
      <c r="H606" s="1084"/>
      <c r="I606" s="270"/>
      <c r="J606" s="558"/>
      <c r="K606" s="558"/>
      <c r="L606" s="1332"/>
      <c r="M606" s="1334"/>
      <c r="N606" s="270"/>
      <c r="O606" s="1315"/>
      <c r="P606" s="104"/>
      <c r="Q606" s="104"/>
      <c r="R606" s="104"/>
      <c r="S606" s="104"/>
      <c r="T606" s="104"/>
      <c r="U606" s="104"/>
      <c r="V606" s="104"/>
      <c r="W606" s="104"/>
      <c r="X606" s="1296"/>
    </row>
    <row r="607" spans="2:45" ht="15" thickTop="1" x14ac:dyDescent="0.3">
      <c r="B607" s="938">
        <v>706.5</v>
      </c>
      <c r="C607" s="93"/>
      <c r="D607" s="21"/>
      <c r="E607" s="21"/>
      <c r="F607" s="21"/>
      <c r="G607" s="21"/>
      <c r="H607" s="1084"/>
      <c r="I607" s="200">
        <v>706.5</v>
      </c>
      <c r="J607" s="616"/>
      <c r="K607" s="616"/>
      <c r="L607" s="1331" t="s">
        <v>1289</v>
      </c>
      <c r="M607" s="1359" t="s">
        <v>3634</v>
      </c>
      <c r="N607" s="201"/>
      <c r="O607" s="1336">
        <f ca="1">IFERROR(ROUNDDOWN(2*W608/S609,0),0)</f>
        <v>0</v>
      </c>
      <c r="P607" s="110"/>
      <c r="Q607" s="110"/>
      <c r="R607" s="110"/>
      <c r="S607" s="110"/>
      <c r="T607" s="110"/>
      <c r="U607" s="110"/>
      <c r="V607" s="110"/>
      <c r="W607" s="110" t="str">
        <f ca="1">"kW per "&amp;IF($AY$19=INDEX(INDIRECT("ddSingleOrMulti"),1),"1 unit:",$AY$20&amp;" units:")</f>
        <v>kW per 1 unit:</v>
      </c>
      <c r="X607" s="1327"/>
      <c r="AL607" s="311" t="str">
        <f>SUBSTITUTE(SUBSTITUTE(SUBSTITUTE("dpa"&amp;$B607&amp;$C607&amp;$D607&amp;$E607&amp;$F607,".","_"),"(","_"),")","")</f>
        <v>dpa706_5</v>
      </c>
      <c r="AM607" s="311" t="str">
        <f>M607</f>
        <v>2 points per kW Divided by number of dwelling units</v>
      </c>
      <c r="AN607" s="311" t="str">
        <f>SUBSTITUTE(SUBSTITUTE(SUBSTITUTE("dpc"&amp;$B607&amp;$C607&amp;$D607&amp;$E607&amp;$F607,".","_"),"(","_"),")","")</f>
        <v>dpc706_5</v>
      </c>
      <c r="AO607" s="311">
        <f ca="1">O607</f>
        <v>0</v>
      </c>
      <c r="AP607" s="311"/>
      <c r="AQ607" s="311"/>
      <c r="AR607" s="311" t="str">
        <f>SUBSTITUTE(SUBSTITUTE(SUBSTITUTE("dnt"&amp;$B607&amp;$C607&amp;$D607&amp;$E607&amp;$F607,".","_"),"(","_"),")","")</f>
        <v>dnt706_5</v>
      </c>
      <c r="AS607" s="311">
        <f>X607</f>
        <v>0</v>
      </c>
    </row>
    <row r="608" spans="2:45" x14ac:dyDescent="0.3">
      <c r="B608" s="938">
        <v>706.5</v>
      </c>
      <c r="C608" s="93"/>
      <c r="D608" s="21"/>
      <c r="E608" s="21"/>
      <c r="F608" s="21"/>
      <c r="G608" s="21"/>
      <c r="H608" s="1084"/>
      <c r="I608" s="140"/>
      <c r="J608" s="544"/>
      <c r="K608" s="544"/>
      <c r="L608" s="1313"/>
      <c r="M608" s="1360"/>
      <c r="N608" s="140"/>
      <c r="O608" s="1308"/>
      <c r="P608" s="97" t="b">
        <v>0</v>
      </c>
      <c r="Q608" s="97" t="b">
        <v>1</v>
      </c>
      <c r="R608" s="97" t="b">
        <v>0</v>
      </c>
      <c r="S608" s="97" t="b">
        <v>1</v>
      </c>
      <c r="T608" s="97" t="b">
        <v>0</v>
      </c>
      <c r="U608" s="97"/>
      <c r="V608" s="97"/>
      <c r="W608" s="469"/>
      <c r="X608" s="1295"/>
      <c r="AC608" s="511" t="b">
        <f>OR(AD608:AE608)</f>
        <v>0</v>
      </c>
      <c r="AD608" s="511" t="b">
        <f>T608</f>
        <v>0</v>
      </c>
      <c r="AE608" s="511" t="b">
        <f>AND(R608,OR(W608="Not Met",W608=""))</f>
        <v>0</v>
      </c>
      <c r="AP608" s="311" t="str">
        <f>SUBSTITUTE(SUBSTITUTE(SUBSTITUTE("dch"&amp;$B608&amp;$C608&amp;$D608&amp;$E608&amp;$F608,".","_"),"(","_"),")","")</f>
        <v>dch706_5</v>
      </c>
      <c r="AQ608" s="311">
        <f>W608</f>
        <v>0</v>
      </c>
    </row>
    <row r="609" spans="2:45" x14ac:dyDescent="0.3">
      <c r="B609" s="938">
        <v>706.5</v>
      </c>
      <c r="C609" s="93"/>
      <c r="D609" s="21"/>
      <c r="E609" s="21"/>
      <c r="F609" s="21"/>
      <c r="G609" s="21"/>
      <c r="H609" s="1084"/>
      <c r="I609" s="140"/>
      <c r="J609" s="544"/>
      <c r="K609" s="544"/>
      <c r="L609" s="1313"/>
      <c r="M609" s="1360"/>
      <c r="N609" s="140"/>
      <c r="O609" s="1308"/>
      <c r="P609" s="97"/>
      <c r="Q609" s="97"/>
      <c r="R609" s="97"/>
      <c r="S609" s="221">
        <f ca="1">IF($AY$19=INDEX(INDIRECT("ddSingleOrMulti"),1),1,$AY$20)</f>
        <v>1</v>
      </c>
      <c r="T609" s="97"/>
      <c r="U609" s="97"/>
      <c r="V609" s="97"/>
      <c r="W609" s="97"/>
      <c r="X609" s="1295"/>
    </row>
    <row r="610" spans="2:45" x14ac:dyDescent="0.3">
      <c r="B610" s="938">
        <v>706.5</v>
      </c>
      <c r="C610" s="93"/>
      <c r="D610" s="21"/>
      <c r="E610" s="21"/>
      <c r="F610" s="21"/>
      <c r="G610" s="21"/>
      <c r="H610" s="1084"/>
      <c r="I610" s="140"/>
      <c r="J610" s="544"/>
      <c r="K610" s="544"/>
      <c r="L610" s="1313"/>
      <c r="M610" s="1360"/>
      <c r="N610" s="140"/>
      <c r="O610" s="1308"/>
      <c r="P610" s="97"/>
      <c r="Q610" s="97"/>
      <c r="R610" s="97"/>
      <c r="S610" s="97"/>
      <c r="T610" s="97"/>
      <c r="U610" s="97"/>
      <c r="V610" s="97"/>
      <c r="W610" s="97"/>
      <c r="X610" s="1295"/>
    </row>
    <row r="611" spans="2:45" x14ac:dyDescent="0.3">
      <c r="B611" s="938">
        <v>706.5</v>
      </c>
      <c r="C611" s="93"/>
      <c r="D611" s="21"/>
      <c r="E611" s="21"/>
      <c r="F611" s="21"/>
      <c r="G611" s="21"/>
      <c r="H611" s="1084"/>
      <c r="I611" s="140"/>
      <c r="J611" s="544"/>
      <c r="K611" s="544"/>
      <c r="L611" s="1368" t="s">
        <v>1290</v>
      </c>
      <c r="M611" s="548"/>
      <c r="N611" s="140"/>
      <c r="O611" s="598"/>
      <c r="P611" s="97"/>
      <c r="Q611" s="97"/>
      <c r="R611" s="97"/>
      <c r="S611" s="97"/>
      <c r="T611" s="97"/>
      <c r="U611" s="97"/>
      <c r="V611" s="97"/>
      <c r="W611" s="97"/>
      <c r="X611" s="1295"/>
    </row>
    <row r="612" spans="2:45" x14ac:dyDescent="0.3">
      <c r="B612" s="938">
        <v>706.5</v>
      </c>
      <c r="C612" s="93"/>
      <c r="D612" s="21"/>
      <c r="E612" s="21"/>
      <c r="F612" s="21"/>
      <c r="G612" s="21"/>
      <c r="H612" s="1084"/>
      <c r="I612" s="140"/>
      <c r="J612" s="544"/>
      <c r="K612" s="544"/>
      <c r="L612" s="1368"/>
      <c r="M612" s="548"/>
      <c r="N612" s="140"/>
      <c r="O612" s="598"/>
      <c r="P612" s="97"/>
      <c r="Q612" s="97"/>
      <c r="R612" s="97"/>
      <c r="S612" s="97"/>
      <c r="T612" s="97"/>
      <c r="U612" s="97"/>
      <c r="V612" s="97"/>
      <c r="W612" s="97"/>
      <c r="X612" s="1295"/>
    </row>
    <row r="613" spans="2:45" x14ac:dyDescent="0.3">
      <c r="B613" s="938">
        <v>706.5</v>
      </c>
      <c r="C613" s="93"/>
      <c r="D613" s="21"/>
      <c r="E613" s="21"/>
      <c r="F613" s="21"/>
      <c r="G613" s="21"/>
      <c r="H613" s="1084"/>
      <c r="I613" s="140"/>
      <c r="J613" s="544"/>
      <c r="K613" s="544"/>
      <c r="L613" s="1368"/>
      <c r="M613" s="548"/>
      <c r="N613" s="140"/>
      <c r="O613" s="598"/>
      <c r="P613" s="97"/>
      <c r="Q613" s="97"/>
      <c r="R613" s="97"/>
      <c r="S613" s="97"/>
      <c r="T613" s="97"/>
      <c r="U613" s="97"/>
      <c r="V613" s="97"/>
      <c r="W613" s="97"/>
      <c r="X613" s="1295"/>
    </row>
    <row r="614" spans="2:45" ht="15" customHeight="1" x14ac:dyDescent="0.3">
      <c r="B614" s="938">
        <v>706.5</v>
      </c>
      <c r="C614" s="93"/>
      <c r="D614" s="21"/>
      <c r="E614" s="21"/>
      <c r="F614" s="21"/>
      <c r="G614" s="21"/>
      <c r="H614" s="1084"/>
      <c r="I614" s="140"/>
      <c r="J614" s="544"/>
      <c r="K614" s="544"/>
      <c r="L614" s="1368" t="s">
        <v>1291</v>
      </c>
      <c r="M614" s="548"/>
      <c r="N614" s="140"/>
      <c r="O614" s="598"/>
      <c r="P614" s="97"/>
      <c r="Q614" s="97"/>
      <c r="R614" s="97"/>
      <c r="S614" s="97"/>
      <c r="T614" s="97"/>
      <c r="U614" s="97"/>
      <c r="V614" s="97"/>
      <c r="W614" s="97"/>
      <c r="X614" s="1295"/>
    </row>
    <row r="615" spans="2:45" ht="15" thickBot="1" x14ac:dyDescent="0.35">
      <c r="B615" s="938">
        <v>706.5</v>
      </c>
      <c r="C615" s="93"/>
      <c r="D615" s="21"/>
      <c r="E615" s="21"/>
      <c r="F615" s="21"/>
      <c r="G615" s="21"/>
      <c r="H615" s="1084"/>
      <c r="I615" s="270"/>
      <c r="J615" s="558"/>
      <c r="K615" s="558"/>
      <c r="L615" s="1400"/>
      <c r="M615" s="556"/>
      <c r="N615" s="270"/>
      <c r="O615" s="600"/>
      <c r="P615" s="104"/>
      <c r="Q615" s="104"/>
      <c r="R615" s="104"/>
      <c r="S615" s="104"/>
      <c r="T615" s="104"/>
      <c r="U615" s="104"/>
      <c r="V615" s="104"/>
      <c r="W615" s="104"/>
      <c r="X615" s="1296"/>
    </row>
    <row r="616" spans="2:45" ht="15" thickTop="1" x14ac:dyDescent="0.3">
      <c r="B616" s="938">
        <v>706.6</v>
      </c>
      <c r="C616" s="93"/>
      <c r="D616" s="21"/>
      <c r="E616" s="21"/>
      <c r="F616" s="21"/>
      <c r="G616" s="21"/>
      <c r="H616" s="1084"/>
      <c r="I616" s="200">
        <v>706.6</v>
      </c>
      <c r="J616" s="616"/>
      <c r="K616" s="616"/>
      <c r="L616" s="1331" t="s">
        <v>1292</v>
      </c>
      <c r="M616" s="1343">
        <v>2</v>
      </c>
      <c r="N616" s="201"/>
      <c r="O616" s="1336">
        <f ca="1">M616*S616*W616</f>
        <v>0</v>
      </c>
      <c r="P616" s="97" t="b">
        <v>1</v>
      </c>
      <c r="Q616" s="97" t="b">
        <v>1</v>
      </c>
      <c r="R616" s="110" t="b">
        <v>0</v>
      </c>
      <c r="S616" s="110" t="b">
        <f ca="1">$AY$19=INDEX(INDIRECT("ddSingleOrMulti"),2)</f>
        <v>0</v>
      </c>
      <c r="T616" s="110" t="b">
        <f ca="1">AND(NOT(S616),W616=TRUE)</f>
        <v>0</v>
      </c>
      <c r="U616" s="110"/>
      <c r="V616" s="110"/>
      <c r="W616" s="459"/>
      <c r="X616" s="1327"/>
      <c r="AC616" s="463" t="b">
        <f ca="1">OR(AD616:AE616)</f>
        <v>0</v>
      </c>
      <c r="AD616" s="463" t="b">
        <f ca="1">T616</f>
        <v>0</v>
      </c>
      <c r="AE616" s="463" t="b">
        <f>AND(R616,NOT(W616))</f>
        <v>0</v>
      </c>
      <c r="AL616" s="311" t="str">
        <f>SUBSTITUTE(SUBSTITUTE(SUBSTITUTE("dpa"&amp;$B616&amp;$C616&amp;$D616&amp;$E616&amp;$F616,".","_"),"(","_"),")","")</f>
        <v>dpa706_6</v>
      </c>
      <c r="AM616" s="311">
        <f>M616</f>
        <v>2</v>
      </c>
      <c r="AN616" s="311" t="str">
        <f>SUBSTITUTE(SUBSTITUTE(SUBSTITUTE("dpc"&amp;$B616&amp;$C616&amp;$D616&amp;$E616&amp;$F616,".","_"),"(","_"),")","")</f>
        <v>dpc706_6</v>
      </c>
      <c r="AO616" s="311">
        <f ca="1">O616</f>
        <v>0</v>
      </c>
      <c r="AP616" s="311" t="str">
        <f>SUBSTITUTE(SUBSTITUTE(SUBSTITUTE("dch"&amp;$B616&amp;$C616&amp;$D616&amp;$E616&amp;$F616,".","_"),"(","_"),")","")</f>
        <v>dch706_6</v>
      </c>
      <c r="AQ616" s="311">
        <f>W616</f>
        <v>0</v>
      </c>
      <c r="AR616" s="311" t="str">
        <f>SUBSTITUTE(SUBSTITUTE(SUBSTITUTE("dnt"&amp;$B616&amp;$C616&amp;$D616&amp;$E616&amp;$F616,".","_"),"(","_"),")","")</f>
        <v>dnt706_6</v>
      </c>
      <c r="AS616" s="311">
        <f>X616</f>
        <v>0</v>
      </c>
    </row>
    <row r="617" spans="2:45" ht="15" thickBot="1" x14ac:dyDescent="0.35">
      <c r="B617" s="938">
        <v>706.6</v>
      </c>
      <c r="C617" s="93"/>
      <c r="D617" s="21"/>
      <c r="E617" s="21"/>
      <c r="F617" s="21"/>
      <c r="G617" s="21"/>
      <c r="H617" s="1084"/>
      <c r="I617" s="270"/>
      <c r="J617" s="558"/>
      <c r="K617" s="558"/>
      <c r="L617" s="1332"/>
      <c r="M617" s="1334"/>
      <c r="N617" s="270"/>
      <c r="O617" s="1315"/>
      <c r="P617" s="104"/>
      <c r="Q617" s="104"/>
      <c r="R617" s="104"/>
      <c r="S617" s="104"/>
      <c r="T617" s="104"/>
      <c r="U617" s="104"/>
      <c r="V617" s="104"/>
      <c r="W617" s="104"/>
      <c r="X617" s="1296"/>
    </row>
    <row r="618" spans="2:45" ht="15" thickTop="1" x14ac:dyDescent="0.3">
      <c r="B618" s="938">
        <v>706.7</v>
      </c>
      <c r="C618" s="93"/>
      <c r="D618" s="21"/>
      <c r="E618" s="21"/>
      <c r="F618" s="21"/>
      <c r="G618" s="21"/>
      <c r="H618" s="1084"/>
      <c r="I618" s="66">
        <v>706.7</v>
      </c>
      <c r="J618" s="178"/>
      <c r="K618" s="178"/>
      <c r="L618" s="1292" t="s">
        <v>1293</v>
      </c>
      <c r="M618" s="522"/>
      <c r="N618" s="4"/>
      <c r="O618" s="154"/>
    </row>
    <row r="619" spans="2:45" x14ac:dyDescent="0.3">
      <c r="B619" s="938">
        <v>706.7</v>
      </c>
      <c r="C619" s="93"/>
      <c r="D619" s="21"/>
      <c r="E619" s="21"/>
      <c r="F619" s="21"/>
      <c r="G619" s="21"/>
      <c r="H619" s="1084"/>
      <c r="I619" s="4"/>
      <c r="J619" s="178"/>
      <c r="K619" s="178"/>
      <c r="L619" s="1292"/>
      <c r="M619" s="522"/>
      <c r="N619" s="4"/>
      <c r="O619" s="154"/>
    </row>
    <row r="620" spans="2:45" x14ac:dyDescent="0.3">
      <c r="B620" s="938">
        <v>706.7</v>
      </c>
      <c r="C620" s="93"/>
      <c r="D620" s="21" t="s">
        <v>271</v>
      </c>
      <c r="E620" s="21"/>
      <c r="F620" s="21"/>
      <c r="G620" s="21"/>
      <c r="H620" s="1084"/>
      <c r="I620" s="4"/>
      <c r="J620" s="644" t="s">
        <v>271</v>
      </c>
      <c r="K620" s="545"/>
      <c r="L620" s="545" t="s">
        <v>1294</v>
      </c>
      <c r="M620" s="549">
        <v>1</v>
      </c>
      <c r="N620" s="238"/>
      <c r="O620" s="599">
        <f>M620*S620*W620</f>
        <v>0</v>
      </c>
      <c r="P620" s="97" t="b">
        <v>0</v>
      </c>
      <c r="Q620" s="97" t="b">
        <v>1</v>
      </c>
      <c r="R620" s="145" t="b">
        <v>0</v>
      </c>
      <c r="S620" s="145" t="b">
        <f>IFERROR(NOT(OR(W591:W598,W627)),TRUE)</f>
        <v>1</v>
      </c>
      <c r="T620" s="97" t="b">
        <f>AND(NOT(S620),W620=TRUE)</f>
        <v>0</v>
      </c>
      <c r="W620" s="25"/>
      <c r="X620" s="512"/>
      <c r="AC620" s="463" t="b">
        <f>OR(AD620:AE620)</f>
        <v>0</v>
      </c>
      <c r="AD620" s="463" t="b">
        <f>T620</f>
        <v>0</v>
      </c>
      <c r="AE620" s="463" t="b">
        <f>AND(R620,NOT(W620))</f>
        <v>0</v>
      </c>
      <c r="AL620" s="311" t="str">
        <f t="shared" ref="AL620:AL621" si="74">SUBSTITUTE(SUBSTITUTE(SUBSTITUTE("dpa"&amp;$B620&amp;$C620&amp;$D620&amp;$E620&amp;$F620,".","_"),"(","_"),")","")</f>
        <v>dpa706_7_1</v>
      </c>
      <c r="AM620" s="311">
        <f>M620</f>
        <v>1</v>
      </c>
      <c r="AN620" s="311" t="str">
        <f>SUBSTITUTE(SUBSTITUTE(SUBSTITUTE("dpc"&amp;$B620&amp;$C620&amp;$D620&amp;$E620&amp;$F620,".","_"),"(","_"),")","")</f>
        <v>dpc706_7_1</v>
      </c>
      <c r="AO620" s="311">
        <f>O620</f>
        <v>0</v>
      </c>
      <c r="AP620" s="311" t="str">
        <f t="shared" ref="AP620:AP621" si="75">SUBSTITUTE(SUBSTITUTE(SUBSTITUTE("dch"&amp;$B620&amp;$C620&amp;$D620&amp;$E620&amp;$F620,".","_"),"(","_"),")","")</f>
        <v>dch706_7_1</v>
      </c>
      <c r="AQ620" s="311">
        <f>W620</f>
        <v>0</v>
      </c>
      <c r="AR620" s="311" t="str">
        <f t="shared" ref="AR620:AR621" si="76">SUBSTITUTE(SUBSTITUTE(SUBSTITUTE("dnt"&amp;$B620&amp;$C620&amp;$D620&amp;$E620&amp;$F620,".","_"),"(","_"),")","")</f>
        <v>dnt706_7_1</v>
      </c>
      <c r="AS620" s="311">
        <f>X620</f>
        <v>0</v>
      </c>
    </row>
    <row r="621" spans="2:45" x14ac:dyDescent="0.3">
      <c r="B621" s="938">
        <v>706.7</v>
      </c>
      <c r="C621" s="93"/>
      <c r="D621" s="21" t="s">
        <v>273</v>
      </c>
      <c r="E621" s="21"/>
      <c r="F621" s="21"/>
      <c r="G621" s="21"/>
      <c r="H621" s="1084"/>
      <c r="I621" s="140"/>
      <c r="J621" s="643" t="s">
        <v>273</v>
      </c>
      <c r="K621" s="544"/>
      <c r="L621" s="544" t="s">
        <v>1295</v>
      </c>
      <c r="M621" s="548">
        <v>1</v>
      </c>
      <c r="N621" s="140"/>
      <c r="O621" s="598">
        <f>M621*S621*W621</f>
        <v>0</v>
      </c>
      <c r="P621" s="97" t="b">
        <v>0</v>
      </c>
      <c r="Q621" s="97" t="b">
        <v>1</v>
      </c>
      <c r="R621" s="97" t="b">
        <v>0</v>
      </c>
      <c r="S621" s="97" t="b">
        <f>IFERROR(NOT(OR(W591:W598,W627)),TRUE)</f>
        <v>1</v>
      </c>
      <c r="T621" s="97" t="b">
        <f>AND(NOT(S621),W621=TRUE)</f>
        <v>0</v>
      </c>
      <c r="U621" s="97"/>
      <c r="V621" s="97"/>
      <c r="W621" s="452"/>
      <c r="X621" s="1295"/>
      <c r="AC621" s="463" t="b">
        <f>OR(AD621:AE621)</f>
        <v>0</v>
      </c>
      <c r="AD621" s="463" t="b">
        <f>T621</f>
        <v>0</v>
      </c>
      <c r="AE621" s="463" t="b">
        <f>AND(R621,NOT(W621))</f>
        <v>0</v>
      </c>
      <c r="AL621" s="311" t="str">
        <f t="shared" si="74"/>
        <v>dpa706_7_2</v>
      </c>
      <c r="AM621" s="311">
        <f>M621</f>
        <v>1</v>
      </c>
      <c r="AN621" s="311" t="str">
        <f>SUBSTITUTE(SUBSTITUTE(SUBSTITUTE("dpc"&amp;$B621&amp;$C621&amp;$D621&amp;$E621&amp;$F621,".","_"),"(","_"),")","")</f>
        <v>dpc706_7_2</v>
      </c>
      <c r="AO621" s="311">
        <f>O621</f>
        <v>0</v>
      </c>
      <c r="AP621" s="311" t="str">
        <f t="shared" si="75"/>
        <v>dch706_7_2</v>
      </c>
      <c r="AQ621" s="311">
        <f>W621</f>
        <v>0</v>
      </c>
      <c r="AR621" s="311" t="str">
        <f t="shared" si="76"/>
        <v>dnt706_7_2</v>
      </c>
      <c r="AS621" s="311">
        <f>X621</f>
        <v>0</v>
      </c>
    </row>
    <row r="622" spans="2:45" x14ac:dyDescent="0.3">
      <c r="B622" s="938">
        <v>706.7</v>
      </c>
      <c r="C622" s="93"/>
      <c r="D622" s="21"/>
      <c r="E622" s="21"/>
      <c r="F622" s="21"/>
      <c r="G622" s="21"/>
      <c r="H622" s="1084"/>
      <c r="I622" s="140"/>
      <c r="J622" s="544"/>
      <c r="K622" s="544"/>
      <c r="L622" s="1313" t="s">
        <v>1296</v>
      </c>
      <c r="M622" s="548"/>
      <c r="N622" s="140"/>
      <c r="O622" s="598"/>
      <c r="P622" s="97"/>
      <c r="Q622" s="97"/>
      <c r="R622" s="97"/>
      <c r="S622" s="97"/>
      <c r="T622" s="97"/>
      <c r="U622" s="97"/>
      <c r="V622" s="97"/>
      <c r="W622" s="97"/>
      <c r="X622" s="1295"/>
    </row>
    <row r="623" spans="2:45" ht="15" thickBot="1" x14ac:dyDescent="0.35">
      <c r="B623" s="938">
        <v>706.7</v>
      </c>
      <c r="C623" s="93"/>
      <c r="D623" s="21"/>
      <c r="E623" s="21"/>
      <c r="F623" s="21"/>
      <c r="G623" s="21"/>
      <c r="H623" s="1084"/>
      <c r="I623" s="270"/>
      <c r="J623" s="558"/>
      <c r="K623" s="558"/>
      <c r="L623" s="1332"/>
      <c r="M623" s="556"/>
      <c r="N623" s="270"/>
      <c r="O623" s="600"/>
      <c r="P623" s="104"/>
      <c r="Q623" s="104"/>
      <c r="R623" s="104"/>
      <c r="S623" s="104"/>
      <c r="T623" s="104"/>
      <c r="U623" s="104"/>
      <c r="V623" s="104"/>
      <c r="W623" s="104"/>
      <c r="X623" s="1296"/>
    </row>
    <row r="624" spans="2:45" ht="15" thickTop="1" x14ac:dyDescent="0.3">
      <c r="B624" s="938">
        <v>706.8</v>
      </c>
      <c r="C624" s="93"/>
      <c r="D624" s="21"/>
      <c r="E624" s="21"/>
      <c r="F624" s="21"/>
      <c r="G624" s="21"/>
      <c r="H624" s="1084"/>
      <c r="I624" s="200">
        <v>706.8</v>
      </c>
      <c r="J624" s="616"/>
      <c r="K624" s="616"/>
      <c r="L624" s="1331" t="s">
        <v>1297</v>
      </c>
      <c r="M624" s="1343">
        <v>2</v>
      </c>
      <c r="N624" s="201"/>
      <c r="O624" s="1336">
        <f>M624*S624*W624</f>
        <v>0</v>
      </c>
      <c r="P624" s="97" t="b">
        <v>1</v>
      </c>
      <c r="Q624" s="97" t="b">
        <v>1</v>
      </c>
      <c r="R624" s="110" t="b">
        <v>0</v>
      </c>
      <c r="S624" s="110" t="b">
        <v>1</v>
      </c>
      <c r="T624" s="110" t="b">
        <v>0</v>
      </c>
      <c r="U624" s="110"/>
      <c r="V624" s="110"/>
      <c r="W624" s="459"/>
      <c r="X624" s="1327"/>
      <c r="AC624" s="463" t="b">
        <f>OR(AD624:AE624)</f>
        <v>0</v>
      </c>
      <c r="AD624" s="463" t="b">
        <f>T624</f>
        <v>0</v>
      </c>
      <c r="AE624" s="463" t="b">
        <f>AND(R624,NOT(W624))</f>
        <v>0</v>
      </c>
      <c r="AL624" s="311" t="str">
        <f>SUBSTITUTE(SUBSTITUTE(SUBSTITUTE("dpa"&amp;$B624&amp;$C624&amp;$D624&amp;$E624&amp;$F624,".","_"),"(","_"),")","")</f>
        <v>dpa706_8</v>
      </c>
      <c r="AM624" s="311">
        <f>M624</f>
        <v>2</v>
      </c>
      <c r="AN624" s="311" t="str">
        <f>SUBSTITUTE(SUBSTITUTE(SUBSTITUTE("dpc"&amp;$B624&amp;$C624&amp;$D624&amp;$E624&amp;$F624,".","_"),"(","_"),")","")</f>
        <v>dpc706_8</v>
      </c>
      <c r="AO624" s="311">
        <f>O624</f>
        <v>0</v>
      </c>
      <c r="AP624" s="311" t="str">
        <f>SUBSTITUTE(SUBSTITUTE(SUBSTITUTE("dch"&amp;$B624&amp;$C624&amp;$D624&amp;$E624&amp;$F624,".","_"),"(","_"),")","")</f>
        <v>dch706_8</v>
      </c>
      <c r="AQ624" s="311">
        <f>W624</f>
        <v>0</v>
      </c>
      <c r="AR624" s="311" t="str">
        <f>SUBSTITUTE(SUBSTITUTE(SUBSTITUTE("dnt"&amp;$B624&amp;$C624&amp;$D624&amp;$E624&amp;$F624,".","_"),"(","_"),")","")</f>
        <v>dnt706_8</v>
      </c>
      <c r="AS624" s="311">
        <f>X624</f>
        <v>0</v>
      </c>
    </row>
    <row r="625" spans="1:49" x14ac:dyDescent="0.3">
      <c r="B625" s="938">
        <v>706.8</v>
      </c>
      <c r="C625" s="93"/>
      <c r="D625" s="21"/>
      <c r="E625" s="21"/>
      <c r="F625" s="21"/>
      <c r="G625" s="21"/>
      <c r="H625" s="1084"/>
      <c r="I625" s="140"/>
      <c r="J625" s="544"/>
      <c r="K625" s="544"/>
      <c r="L625" s="1313"/>
      <c r="M625" s="1318"/>
      <c r="N625" s="140"/>
      <c r="O625" s="1308"/>
      <c r="P625" s="97"/>
      <c r="Q625" s="97"/>
      <c r="R625" s="97"/>
      <c r="S625" s="97"/>
      <c r="T625" s="97"/>
      <c r="U625" s="97"/>
      <c r="V625" s="97"/>
      <c r="W625" s="97"/>
      <c r="X625" s="1295"/>
    </row>
    <row r="626" spans="1:49" ht="15" thickBot="1" x14ac:dyDescent="0.35">
      <c r="B626" s="938">
        <v>706.8</v>
      </c>
      <c r="C626" s="93"/>
      <c r="D626" s="21"/>
      <c r="E626" s="21"/>
      <c r="F626" s="21"/>
      <c r="G626" s="21"/>
      <c r="H626" s="1084"/>
      <c r="I626" s="270"/>
      <c r="J626" s="558"/>
      <c r="K626" s="558"/>
      <c r="L626" s="1332"/>
      <c r="M626" s="1334"/>
      <c r="N626" s="270"/>
      <c r="O626" s="1315"/>
      <c r="P626" s="104"/>
      <c r="Q626" s="104"/>
      <c r="R626" s="104"/>
      <c r="S626" s="104"/>
      <c r="T626" s="104"/>
      <c r="U626" s="104"/>
      <c r="V626" s="104"/>
      <c r="W626" s="104"/>
      <c r="X626" s="1296"/>
    </row>
    <row r="627" spans="1:49" s="145" customFormat="1" ht="15" thickTop="1" x14ac:dyDescent="0.3">
      <c r="A627" s="18"/>
      <c r="B627" s="938">
        <v>706.9</v>
      </c>
      <c r="C627" s="93"/>
      <c r="D627" s="21"/>
      <c r="E627" s="21"/>
      <c r="F627" s="21"/>
      <c r="G627" s="21"/>
      <c r="H627" s="1084"/>
      <c r="I627" s="66">
        <v>706.9</v>
      </c>
      <c r="J627" s="178"/>
      <c r="K627" s="178"/>
      <c r="L627" s="1292" t="s">
        <v>1298</v>
      </c>
      <c r="M627" s="1335">
        <v>1</v>
      </c>
      <c r="N627" s="4"/>
      <c r="O627" s="1310">
        <f>M627*S627*W627</f>
        <v>0</v>
      </c>
      <c r="P627" s="97" t="b">
        <v>0</v>
      </c>
      <c r="Q627" s="97" t="b">
        <v>1</v>
      </c>
      <c r="R627" s="145" t="b">
        <v>0</v>
      </c>
      <c r="S627" s="463" t="b">
        <f>IFERROR(NOT(OR(W591:W598,W620:W621)),TRUE)</f>
        <v>1</v>
      </c>
      <c r="T627" s="97" t="b">
        <f>AND(NOT(S627),W627=TRUE)</f>
        <v>0</v>
      </c>
      <c r="U627" s="79"/>
      <c r="V627" s="79"/>
      <c r="W627" s="127"/>
      <c r="X627" s="1304"/>
      <c r="Y627" s="1107"/>
      <c r="Z627" s="79"/>
      <c r="AA627" s="1110"/>
      <c r="AB627" s="79"/>
      <c r="AC627" s="463" t="b">
        <f>OR(AD627:AE627)</f>
        <v>0</v>
      </c>
      <c r="AD627" s="463" t="b">
        <f>T627</f>
        <v>0</v>
      </c>
      <c r="AE627" s="463" t="b">
        <f>AND(R627,NOT(W627))</f>
        <v>0</v>
      </c>
      <c r="AF627" s="79"/>
      <c r="AG627" s="79"/>
      <c r="AH627" s="79"/>
      <c r="AI627" s="79"/>
      <c r="AJ627" s="79"/>
      <c r="AK627" s="79"/>
      <c r="AL627" s="311" t="str">
        <f>SUBSTITUTE(SUBSTITUTE(SUBSTITUTE("dpa"&amp;$B627&amp;$C627&amp;$D627&amp;$E627&amp;$F627,".","_"),"(","_"),")","")</f>
        <v>dpa706_9</v>
      </c>
      <c r="AM627" s="311">
        <f>M627</f>
        <v>1</v>
      </c>
      <c r="AN627" s="311" t="str">
        <f>SUBSTITUTE(SUBSTITUTE(SUBSTITUTE("dpc"&amp;$B627&amp;$C627&amp;$D627&amp;$E627&amp;$F627,".","_"),"(","_"),")","")</f>
        <v>dpc706_9</v>
      </c>
      <c r="AO627" s="311">
        <f>O627</f>
        <v>0</v>
      </c>
      <c r="AP627" s="311" t="str">
        <f>SUBSTITUTE(SUBSTITUTE(SUBSTITUTE("dch"&amp;$B627&amp;$C627&amp;$D627&amp;$E627&amp;$F627,".","_"),"(","_"),")","")</f>
        <v>dch706_9</v>
      </c>
      <c r="AQ627" s="311">
        <f>W627</f>
        <v>0</v>
      </c>
      <c r="AR627" s="311" t="str">
        <f>SUBSTITUTE(SUBSTITUTE(SUBSTITUTE("dnt"&amp;$B627&amp;$C627&amp;$D627&amp;$E627&amp;$F627,".","_"),"(","_"),")","")</f>
        <v>dnt706_9</v>
      </c>
      <c r="AS627" s="311">
        <f>X627</f>
        <v>0</v>
      </c>
      <c r="AT627" s="79"/>
      <c r="AU627" s="79"/>
      <c r="AV627" s="79"/>
      <c r="AW627" s="79"/>
    </row>
    <row r="628" spans="1:49" x14ac:dyDescent="0.3">
      <c r="B628" s="938">
        <v>706.9</v>
      </c>
      <c r="C628" s="93"/>
      <c r="D628" s="21"/>
      <c r="E628" s="21"/>
      <c r="F628" s="21"/>
      <c r="G628" s="21"/>
      <c r="H628" s="1084"/>
      <c r="I628" s="4"/>
      <c r="J628" s="178"/>
      <c r="K628" s="178"/>
      <c r="L628" s="1292"/>
      <c r="M628" s="1335"/>
      <c r="N628" s="4"/>
      <c r="O628" s="1310"/>
      <c r="X628" s="1303"/>
      <c r="Z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row>
    <row r="629" spans="1:49" x14ac:dyDescent="0.3">
      <c r="B629" s="938">
        <v>706.9</v>
      </c>
      <c r="C629" s="93"/>
      <c r="D629" s="21"/>
      <c r="E629" s="21"/>
      <c r="F629" s="21"/>
      <c r="G629" s="21"/>
      <c r="H629" s="1084"/>
      <c r="I629" s="4"/>
      <c r="J629" s="178"/>
      <c r="K629" s="178"/>
      <c r="L629" s="1292"/>
      <c r="M629" s="1335"/>
      <c r="N629" s="4"/>
      <c r="O629" s="1310"/>
      <c r="P629" s="145"/>
      <c r="Q629" s="145"/>
      <c r="R629" s="145"/>
      <c r="S629" s="145"/>
      <c r="T629" s="145"/>
      <c r="U629" s="145"/>
      <c r="V629" s="145"/>
      <c r="W629" s="145"/>
      <c r="X629" s="1303"/>
    </row>
    <row r="630" spans="1:49" x14ac:dyDescent="0.3">
      <c r="B630" s="938">
        <v>706.9</v>
      </c>
      <c r="C630" s="93"/>
      <c r="D630" s="21"/>
      <c r="E630" s="21"/>
      <c r="F630" s="21"/>
      <c r="G630" s="21"/>
      <c r="H630" s="1084"/>
      <c r="I630" s="4"/>
      <c r="J630" s="178"/>
      <c r="K630" s="178"/>
      <c r="L630" s="1292" t="s">
        <v>1299</v>
      </c>
      <c r="M630" s="154"/>
      <c r="X630" s="1303"/>
    </row>
    <row r="631" spans="1:49" ht="15" thickBot="1" x14ac:dyDescent="0.35">
      <c r="B631" s="938">
        <v>706.9</v>
      </c>
      <c r="C631" s="93"/>
      <c r="D631" s="21"/>
      <c r="E631" s="21"/>
      <c r="F631" s="21"/>
      <c r="G631" s="21"/>
      <c r="H631" s="1084"/>
      <c r="I631" s="4"/>
      <c r="J631" s="178"/>
      <c r="K631" s="178"/>
      <c r="L631" s="1292"/>
      <c r="M631" s="154"/>
      <c r="X631" s="1303"/>
    </row>
    <row r="632" spans="1:49" ht="15.6" thickTop="1" thickBot="1" x14ac:dyDescent="0.35">
      <c r="I632" s="225" t="s">
        <v>3875</v>
      </c>
      <c r="J632" s="226"/>
      <c r="K632" s="226"/>
      <c r="L632" s="226"/>
      <c r="M632" s="227"/>
      <c r="N632" s="226"/>
      <c r="O632" s="228"/>
      <c r="P632" s="226"/>
      <c r="Q632" s="226"/>
      <c r="R632" s="226"/>
      <c r="S632" s="226"/>
      <c r="T632" s="226"/>
      <c r="U632" s="226"/>
      <c r="V632" s="226"/>
      <c r="W632" s="226"/>
      <c r="X632" s="326" t="s">
        <v>3876</v>
      </c>
    </row>
    <row r="633" spans="1:49" ht="15" thickTop="1" x14ac:dyDescent="0.3"/>
  </sheetData>
  <sheetProtection algorithmName="SHA-512" hashValue="QQizATKZ4idNo6+7B1dFi5unzs+S/mLC1fCbWp5KZiJIufwqvkgq94gAfQVdjB5wgZ53WsIELJObuSEILbVyFw==" saltValue="bEOWxUlwkQ80I8qvqInRgQ==" spinCount="100000" sheet="1" objects="1" scenarios="1" selectLockedCells="1"/>
  <mergeCells count="412">
    <mergeCell ref="X556:X557"/>
    <mergeCell ref="O369:O370"/>
    <mergeCell ref="W511:W516"/>
    <mergeCell ref="X525:X527"/>
    <mergeCell ref="M554:M555"/>
    <mergeCell ref="M556:M557"/>
    <mergeCell ref="X528:X535"/>
    <mergeCell ref="O297:O298"/>
    <mergeCell ref="O426:O427"/>
    <mergeCell ref="M357:M358"/>
    <mergeCell ref="M359:M360"/>
    <mergeCell ref="M361:M362"/>
    <mergeCell ref="O357:O358"/>
    <mergeCell ref="O359:O360"/>
    <mergeCell ref="O361:O362"/>
    <mergeCell ref="M303:M304"/>
    <mergeCell ref="M305:M306"/>
    <mergeCell ref="O313:O317"/>
    <mergeCell ref="O305:O306"/>
    <mergeCell ref="O303:O304"/>
    <mergeCell ref="O346:O348"/>
    <mergeCell ref="M341:M342"/>
    <mergeCell ref="O341:O342"/>
    <mergeCell ref="O329:O330"/>
    <mergeCell ref="M558:M561"/>
    <mergeCell ref="O493:O495"/>
    <mergeCell ref="O497:O501"/>
    <mergeCell ref="O502:O503"/>
    <mergeCell ref="O511:O516"/>
    <mergeCell ref="M540:M541"/>
    <mergeCell ref="M542:M543"/>
    <mergeCell ref="O542:O543"/>
    <mergeCell ref="O554:O555"/>
    <mergeCell ref="O556:O557"/>
    <mergeCell ref="O558:O561"/>
    <mergeCell ref="M493:M495"/>
    <mergeCell ref="O536:O538"/>
    <mergeCell ref="M528:M530"/>
    <mergeCell ref="O528:O530"/>
    <mergeCell ref="M497:M501"/>
    <mergeCell ref="M502:M503"/>
    <mergeCell ref="M511:M516"/>
    <mergeCell ref="O183:O184"/>
    <mergeCell ref="M144:M148"/>
    <mergeCell ref="O185:O187"/>
    <mergeCell ref="O188:O190"/>
    <mergeCell ref="L185:L187"/>
    <mergeCell ref="L188:L190"/>
    <mergeCell ref="O144:O148"/>
    <mergeCell ref="M157:M158"/>
    <mergeCell ref="L166:L169"/>
    <mergeCell ref="L183:L184"/>
    <mergeCell ref="M183:M184"/>
    <mergeCell ref="M185:M187"/>
    <mergeCell ref="M188:M190"/>
    <mergeCell ref="L157:L158"/>
    <mergeCell ref="M207:M211"/>
    <mergeCell ref="M237:M241"/>
    <mergeCell ref="O207:O211"/>
    <mergeCell ref="O237:O241"/>
    <mergeCell ref="M277:M278"/>
    <mergeCell ref="M297:M298"/>
    <mergeCell ref="M280:M283"/>
    <mergeCell ref="O280:O283"/>
    <mergeCell ref="O284:O286"/>
    <mergeCell ref="X14:X15"/>
    <mergeCell ref="X16:X18"/>
    <mergeCell ref="X19:X21"/>
    <mergeCell ref="X22:X29"/>
    <mergeCell ref="X32:X34"/>
    <mergeCell ref="L32:L33"/>
    <mergeCell ref="L86:L87"/>
    <mergeCell ref="L144:L148"/>
    <mergeCell ref="L46:L48"/>
    <mergeCell ref="L40:L44"/>
    <mergeCell ref="L53:L56"/>
    <mergeCell ref="L50:L51"/>
    <mergeCell ref="L72:L76"/>
    <mergeCell ref="L69:L71"/>
    <mergeCell ref="L81:L82"/>
    <mergeCell ref="L132:L133"/>
    <mergeCell ref="M37:M39"/>
    <mergeCell ref="L37:L39"/>
    <mergeCell ref="L100:L101"/>
    <mergeCell ref="L102:L104"/>
    <mergeCell ref="L96:L99"/>
    <mergeCell ref="L140:L143"/>
    <mergeCell ref="L93:L94"/>
    <mergeCell ref="M140:M143"/>
    <mergeCell ref="L118:L123"/>
    <mergeCell ref="M118:M123"/>
    <mergeCell ref="L438:L439"/>
    <mergeCell ref="L440:L441"/>
    <mergeCell ref="L479:L481"/>
    <mergeCell ref="L484:L485"/>
    <mergeCell ref="L487:L488"/>
    <mergeCell ref="L497:L501"/>
    <mergeCell ref="L397:L398"/>
    <mergeCell ref="L405:L406"/>
    <mergeCell ref="L137:L138"/>
    <mergeCell ref="L150:L152"/>
    <mergeCell ref="L153:L154"/>
    <mergeCell ref="L409:L410"/>
    <mergeCell ref="L411:L412"/>
    <mergeCell ref="L382:L383"/>
    <mergeCell ref="L415:L416"/>
    <mergeCell ref="L417:L419"/>
    <mergeCell ref="L277:L278"/>
    <mergeCell ref="L215:L222"/>
    <mergeCell ref="L309:L310"/>
    <mergeCell ref="L399:L400"/>
    <mergeCell ref="L369:L370"/>
    <mergeCell ref="L379:L380"/>
    <mergeCell ref="L385:L386"/>
    <mergeCell ref="L387:L388"/>
    <mergeCell ref="M607:M610"/>
    <mergeCell ref="W144:W145"/>
    <mergeCell ref="W452:W453"/>
    <mergeCell ref="O450:O457"/>
    <mergeCell ref="M467:M468"/>
    <mergeCell ref="M487:M488"/>
    <mergeCell ref="M489:M491"/>
    <mergeCell ref="O463:O464"/>
    <mergeCell ref="O467:O468"/>
    <mergeCell ref="O470:O471"/>
    <mergeCell ref="O484:O485"/>
    <mergeCell ref="O487:O488"/>
    <mergeCell ref="O489:O491"/>
    <mergeCell ref="M484:M485"/>
    <mergeCell ref="M369:M370"/>
    <mergeCell ref="O397:O398"/>
    <mergeCell ref="O399:O400"/>
    <mergeCell ref="O176:O181"/>
    <mergeCell ref="M426:M427"/>
    <mergeCell ref="M397:M398"/>
    <mergeCell ref="W171:W172"/>
    <mergeCell ref="O277:O278"/>
    <mergeCell ref="L130:L131"/>
    <mergeCell ref="M50:M51"/>
    <mergeCell ref="L105:L106"/>
    <mergeCell ref="L115:L117"/>
    <mergeCell ref="L124:L129"/>
    <mergeCell ref="L627:L629"/>
    <mergeCell ref="X4:X5"/>
    <mergeCell ref="Q6:Q7"/>
    <mergeCell ref="X6:X7"/>
    <mergeCell ref="R6:R7"/>
    <mergeCell ref="S6:S7"/>
    <mergeCell ref="T6:T7"/>
    <mergeCell ref="L173:L174"/>
    <mergeCell ref="M173:M174"/>
    <mergeCell ref="L176:L181"/>
    <mergeCell ref="M176:M181"/>
    <mergeCell ref="L192:L197"/>
    <mergeCell ref="M192:M197"/>
    <mergeCell ref="L199:L206"/>
    <mergeCell ref="L207:L211"/>
    <mergeCell ref="L170:L171"/>
    <mergeCell ref="M170:M171"/>
    <mergeCell ref="L78:L79"/>
    <mergeCell ref="I4:L4"/>
    <mergeCell ref="I5:L5"/>
    <mergeCell ref="M6:M7"/>
    <mergeCell ref="N6:N7"/>
    <mergeCell ref="P6:P7"/>
    <mergeCell ref="L109:L111"/>
    <mergeCell ref="L112:L114"/>
    <mergeCell ref="L88:L89"/>
    <mergeCell ref="M53:M56"/>
    <mergeCell ref="L6:L7"/>
    <mergeCell ref="M40:M44"/>
    <mergeCell ref="M46:M48"/>
    <mergeCell ref="L461:L462"/>
    <mergeCell ref="L528:L530"/>
    <mergeCell ref="L431:L432"/>
    <mergeCell ref="L433:L435"/>
    <mergeCell ref="L422:L423"/>
    <mergeCell ref="L424:L425"/>
    <mergeCell ref="L403:L404"/>
    <mergeCell ref="I1:L1"/>
    <mergeCell ref="M1:W5"/>
    <mergeCell ref="I2:L2"/>
    <mergeCell ref="I3:L3"/>
    <mergeCell ref="U6:U7"/>
    <mergeCell ref="V6:V7"/>
    <mergeCell ref="W6:W7"/>
    <mergeCell ref="L30:L31"/>
    <mergeCell ref="M30:M31"/>
    <mergeCell ref="O22:O29"/>
    <mergeCell ref="L10:L13"/>
    <mergeCell ref="L14:L15"/>
    <mergeCell ref="L19:L21"/>
    <mergeCell ref="L22:L29"/>
    <mergeCell ref="L16:L18"/>
    <mergeCell ref="M14:M21"/>
    <mergeCell ref="I6:K7"/>
    <mergeCell ref="L493:L495"/>
    <mergeCell ref="L502:L503"/>
    <mergeCell ref="L511:L516"/>
    <mergeCell ref="L474:L476"/>
    <mergeCell ref="L442:L443"/>
    <mergeCell ref="L463:L464"/>
    <mergeCell ref="L467:L468"/>
    <mergeCell ref="L630:L631"/>
    <mergeCell ref="L232:L233"/>
    <mergeCell ref="L616:L617"/>
    <mergeCell ref="L618:L619"/>
    <mergeCell ref="L622:L623"/>
    <mergeCell ref="L624:L626"/>
    <mergeCell ref="L605:L606"/>
    <mergeCell ref="L607:L610"/>
    <mergeCell ref="L611:L613"/>
    <mergeCell ref="L614:L615"/>
    <mergeCell ref="L581:L582"/>
    <mergeCell ref="L601:L602"/>
    <mergeCell ref="L603:L604"/>
    <mergeCell ref="L558:L561"/>
    <mergeCell ref="L563:L564"/>
    <mergeCell ref="L454:L456"/>
    <mergeCell ref="L554:L555"/>
    <mergeCell ref="L420:L421"/>
    <mergeCell ref="L392:L396"/>
    <mergeCell ref="L160:L165"/>
    <mergeCell ref="L224:L231"/>
    <mergeCell ref="L237:L241"/>
    <mergeCell ref="L260:L262"/>
    <mergeCell ref="L269:L271"/>
    <mergeCell ref="L556:L557"/>
    <mergeCell ref="L489:L491"/>
    <mergeCell ref="L450:L453"/>
    <mergeCell ref="L540:L541"/>
    <mergeCell ref="L542:L543"/>
    <mergeCell ref="L426:L427"/>
    <mergeCell ref="L429:L430"/>
    <mergeCell ref="L551:L552"/>
    <mergeCell ref="L444:L446"/>
    <mergeCell ref="L447:L448"/>
    <mergeCell ref="L531:L532"/>
    <mergeCell ref="L436:L437"/>
    <mergeCell ref="L534:L535"/>
    <mergeCell ref="L521:L522"/>
    <mergeCell ref="L518:L520"/>
    <mergeCell ref="L526:L527"/>
    <mergeCell ref="L470:L471"/>
    <mergeCell ref="L341:L342"/>
    <mergeCell ref="L355:L356"/>
    <mergeCell ref="L373:L374"/>
    <mergeCell ref="L375:L376"/>
    <mergeCell ref="L377:L378"/>
    <mergeCell ref="L346:L348"/>
    <mergeCell ref="L357:L358"/>
    <mergeCell ref="L359:L360"/>
    <mergeCell ref="L280:L282"/>
    <mergeCell ref="L284:L286"/>
    <mergeCell ref="L292:L295"/>
    <mergeCell ref="L297:L298"/>
    <mergeCell ref="L361:L362"/>
    <mergeCell ref="L300:L301"/>
    <mergeCell ref="L313:L317"/>
    <mergeCell ref="L329:L330"/>
    <mergeCell ref="L371:L372"/>
    <mergeCell ref="M627:M629"/>
    <mergeCell ref="O616:O617"/>
    <mergeCell ref="O624:O626"/>
    <mergeCell ref="O627:O629"/>
    <mergeCell ref="M563:M564"/>
    <mergeCell ref="M568:M569"/>
    <mergeCell ref="O563:O564"/>
    <mergeCell ref="M579:M580"/>
    <mergeCell ref="M581:M582"/>
    <mergeCell ref="O576:O578"/>
    <mergeCell ref="O583:O584"/>
    <mergeCell ref="M601:M602"/>
    <mergeCell ref="M603:M604"/>
    <mergeCell ref="M605:M606"/>
    <mergeCell ref="O605:O606"/>
    <mergeCell ref="O603:O604"/>
    <mergeCell ref="O601:O602"/>
    <mergeCell ref="O607:O610"/>
    <mergeCell ref="M616:M617"/>
    <mergeCell ref="O573:O575"/>
    <mergeCell ref="L573:L575"/>
    <mergeCell ref="L579:L580"/>
    <mergeCell ref="L576:L578"/>
    <mergeCell ref="L571:L572"/>
    <mergeCell ref="L583:L584"/>
    <mergeCell ref="L587:L588"/>
    <mergeCell ref="L589:L590"/>
    <mergeCell ref="L568:L569"/>
    <mergeCell ref="M624:M626"/>
    <mergeCell ref="M573:M575"/>
    <mergeCell ref="X144:X149"/>
    <mergeCell ref="X150:X152"/>
    <mergeCell ref="X157:X169"/>
    <mergeCell ref="X37:X39"/>
    <mergeCell ref="X40:X44"/>
    <mergeCell ref="X46:X48"/>
    <mergeCell ref="X50:X51"/>
    <mergeCell ref="X53:X56"/>
    <mergeCell ref="X88:X90"/>
    <mergeCell ref="X78:X79"/>
    <mergeCell ref="X81:X82"/>
    <mergeCell ref="X86:X87"/>
    <mergeCell ref="X132:X133"/>
    <mergeCell ref="X140:X143"/>
    <mergeCell ref="X72:X74"/>
    <mergeCell ref="X75:X76"/>
    <mergeCell ref="M130:M131"/>
    <mergeCell ref="M124:M129"/>
    <mergeCell ref="M69:M71"/>
    <mergeCell ref="X105:X106"/>
    <mergeCell ref="X109:X111"/>
    <mergeCell ref="X112:X114"/>
    <mergeCell ref="X115:X117"/>
    <mergeCell ref="X118:X123"/>
    <mergeCell ref="X124:X129"/>
    <mergeCell ref="X93:X94"/>
    <mergeCell ref="X96:X99"/>
    <mergeCell ref="X100:X101"/>
    <mergeCell ref="X102:X104"/>
    <mergeCell ref="X188:X190"/>
    <mergeCell ref="X192:X198"/>
    <mergeCell ref="X199:X206"/>
    <mergeCell ref="X207:X214"/>
    <mergeCell ref="X215:X222"/>
    <mergeCell ref="X224:X229"/>
    <mergeCell ref="X230:X236"/>
    <mergeCell ref="X237:X241"/>
    <mergeCell ref="X153:X154"/>
    <mergeCell ref="X170:X172"/>
    <mergeCell ref="X173:X174"/>
    <mergeCell ref="X176:X182"/>
    <mergeCell ref="X183:X184"/>
    <mergeCell ref="X185:X187"/>
    <mergeCell ref="X243:X248"/>
    <mergeCell ref="X249:X251"/>
    <mergeCell ref="X252:X256"/>
    <mergeCell ref="X257:X259"/>
    <mergeCell ref="X263:X267"/>
    <mergeCell ref="X272:X276"/>
    <mergeCell ref="X277:X278"/>
    <mergeCell ref="X280:X283"/>
    <mergeCell ref="X284:X289"/>
    <mergeCell ref="X290:X296"/>
    <mergeCell ref="X297:X301"/>
    <mergeCell ref="X303:X304"/>
    <mergeCell ref="X305:X306"/>
    <mergeCell ref="X309:X310"/>
    <mergeCell ref="X311:X312"/>
    <mergeCell ref="X313:X321"/>
    <mergeCell ref="X323:X340"/>
    <mergeCell ref="X341:X342"/>
    <mergeCell ref="X343:X344"/>
    <mergeCell ref="X346:X353"/>
    <mergeCell ref="X357:X358"/>
    <mergeCell ref="X359:X360"/>
    <mergeCell ref="X361:X362"/>
    <mergeCell ref="X371:X372"/>
    <mergeCell ref="X373:X374"/>
    <mergeCell ref="X375:X376"/>
    <mergeCell ref="X377:X378"/>
    <mergeCell ref="X379:X380"/>
    <mergeCell ref="X382:X383"/>
    <mergeCell ref="X385:X386"/>
    <mergeCell ref="X387:X389"/>
    <mergeCell ref="X392:X396"/>
    <mergeCell ref="X397:X398"/>
    <mergeCell ref="X405:X406"/>
    <mergeCell ref="X409:X410"/>
    <mergeCell ref="X411:X413"/>
    <mergeCell ref="X415:X416"/>
    <mergeCell ref="X420:X421"/>
    <mergeCell ref="X422:X423"/>
    <mergeCell ref="X424:X425"/>
    <mergeCell ref="X429:X430"/>
    <mergeCell ref="X433:X435"/>
    <mergeCell ref="X436:X443"/>
    <mergeCell ref="X444:X446"/>
    <mergeCell ref="X447:X448"/>
    <mergeCell ref="X450:X457"/>
    <mergeCell ref="X463:X466"/>
    <mergeCell ref="X467:X468"/>
    <mergeCell ref="X470:X473"/>
    <mergeCell ref="X474:X478"/>
    <mergeCell ref="O474:O476"/>
    <mergeCell ref="O479:O481"/>
    <mergeCell ref="X479:X483"/>
    <mergeCell ref="X484:X486"/>
    <mergeCell ref="H1:H7"/>
    <mergeCell ref="X616:X617"/>
    <mergeCell ref="X621:X623"/>
    <mergeCell ref="X624:X626"/>
    <mergeCell ref="X627:X631"/>
    <mergeCell ref="X366:X367"/>
    <mergeCell ref="X558:X561"/>
    <mergeCell ref="X568:X569"/>
    <mergeCell ref="X573:X575"/>
    <mergeCell ref="X576:X582"/>
    <mergeCell ref="X583:X590"/>
    <mergeCell ref="X601:X602"/>
    <mergeCell ref="X603:X604"/>
    <mergeCell ref="X605:X606"/>
    <mergeCell ref="X607:X615"/>
    <mergeCell ref="X487:X488"/>
    <mergeCell ref="X489:X491"/>
    <mergeCell ref="X493:X495"/>
    <mergeCell ref="X497:X501"/>
    <mergeCell ref="X502:X503"/>
    <mergeCell ref="X511:X516"/>
    <mergeCell ref="X536:X541"/>
    <mergeCell ref="X551:X552"/>
    <mergeCell ref="X554:X555"/>
  </mergeCells>
  <conditionalFormatting sqref="X2">
    <cfRule type="expression" dxfId="3465" priority="575">
      <formula>$AG$3</formula>
    </cfRule>
  </conditionalFormatting>
  <conditionalFormatting sqref="X3">
    <cfRule type="expression" dxfId="3464" priority="576">
      <formula>$AI$3</formula>
    </cfRule>
  </conditionalFormatting>
  <conditionalFormatting sqref="W12">
    <cfRule type="expression" dxfId="3463" priority="566">
      <formula>OR($T$12 = TRUE, AND(LEN(TRIM($W$12))&gt;0, $S$12 = FALSE))</formula>
    </cfRule>
    <cfRule type="expression" dxfId="3462" priority="567">
      <formula>$S$12 = FALSE</formula>
    </cfRule>
    <cfRule type="expression" dxfId="3461" priority="568">
      <formula>AND(IF($R$12,$W$12,TRUE),LEN(TRIM($W$12))&gt;0)</formula>
    </cfRule>
    <cfRule type="expression" dxfId="3460" priority="569">
      <formula>AND($R$12,$S$12)</formula>
    </cfRule>
  </conditionalFormatting>
  <conditionalFormatting sqref="W23">
    <cfRule type="expression" dxfId="3459" priority="561">
      <formula>OR($T$23 = TRUE, AND(LEN(TRIM($W$23))&gt;0, $S$23 = FALSE))</formula>
    </cfRule>
    <cfRule type="expression" dxfId="3458" priority="562">
      <formula>$S$23 = FALSE</formula>
    </cfRule>
    <cfRule type="expression" dxfId="3457" priority="563">
      <formula>AND(IF($R$23,$W$23,TRUE),LEN(TRIM($W$23))&gt;0)</formula>
    </cfRule>
    <cfRule type="expression" dxfId="3456" priority="564">
      <formula>AND($R$23,$S$23)</formula>
    </cfRule>
  </conditionalFormatting>
  <conditionalFormatting sqref="M14">
    <cfRule type="expression" dxfId="3455" priority="2997">
      <formula>NOT(AE14)</formula>
    </cfRule>
  </conditionalFormatting>
  <conditionalFormatting sqref="M30">
    <cfRule type="expression" dxfId="3454" priority="3000">
      <formula>S13=1</formula>
    </cfRule>
  </conditionalFormatting>
  <conditionalFormatting sqref="W32">
    <cfRule type="expression" dxfId="3453" priority="552">
      <formula>OR($T$32 = TRUE, AND($W$32 = TRUE, $S$32 = FALSE))</formula>
    </cfRule>
    <cfRule type="expression" dxfId="3452" priority="553">
      <formula>$S$32 = FALSE</formula>
    </cfRule>
    <cfRule type="expression" dxfId="3451" priority="554">
      <formula>AND(IF($R$32,$W$32,TRUE),LEN(TRIM($W$32))&gt;0)</formula>
    </cfRule>
    <cfRule type="expression" dxfId="3450" priority="555">
      <formula>AND($R$32,$S$32)</formula>
    </cfRule>
  </conditionalFormatting>
  <conditionalFormatting sqref="X32:X34">
    <cfRule type="expression" dxfId="3449" priority="551">
      <formula>W32</formula>
    </cfRule>
  </conditionalFormatting>
  <conditionalFormatting sqref="W37">
    <cfRule type="expression" dxfId="3448" priority="547">
      <formula>OR($T$37 = TRUE, AND($W$37 = TRUE, $S$37 = FALSE))</formula>
    </cfRule>
    <cfRule type="expression" dxfId="3447" priority="548">
      <formula>$S$37 = FALSE</formula>
    </cfRule>
    <cfRule type="expression" dxfId="3446" priority="549">
      <formula>AND(IF($R$37,$W$37,TRUE),LEN(TRIM($W$37))&gt;0)</formula>
    </cfRule>
    <cfRule type="expression" dxfId="3445" priority="550">
      <formula>AND($R$37,$S$37)</formula>
    </cfRule>
  </conditionalFormatting>
  <conditionalFormatting sqref="W40">
    <cfRule type="expression" dxfId="3444" priority="543">
      <formula>OR($T$40 = TRUE, AND(LEN(TRIM($W$40))&gt;0, $S$40 = FALSE))</formula>
    </cfRule>
    <cfRule type="expression" dxfId="3443" priority="544">
      <formula>$S$40 = FALSE</formula>
    </cfRule>
    <cfRule type="expression" dxfId="3442" priority="545">
      <formula>AND($W$40&lt;&gt;"Not Met",LEN(TRIM($W$40))&gt;0)</formula>
    </cfRule>
    <cfRule type="expression" dxfId="3441" priority="546">
      <formula>AND($R$40,$S$40)</formula>
    </cfRule>
  </conditionalFormatting>
  <conditionalFormatting sqref="W54">
    <cfRule type="expression" dxfId="3440" priority="539">
      <formula>OR($T$54 = TRUE, AND($W$54 = TRUE, $S$54 = FALSE))</formula>
    </cfRule>
    <cfRule type="expression" dxfId="3439" priority="540">
      <formula>$S$54 = FALSE</formula>
    </cfRule>
    <cfRule type="expression" dxfId="3438" priority="541">
      <formula>AND(IF($R$54,$W$54,TRUE),LEN(TRIM($W$54))&gt;0)</formula>
    </cfRule>
    <cfRule type="expression" dxfId="3437" priority="542">
      <formula>AND($R$54,$S$54)</formula>
    </cfRule>
  </conditionalFormatting>
  <conditionalFormatting sqref="W56">
    <cfRule type="expression" dxfId="3436" priority="535">
      <formula>OR($T$56 = TRUE, AND($W$56 = TRUE, $S$56 = FALSE))</formula>
    </cfRule>
    <cfRule type="expression" dxfId="3435" priority="536">
      <formula>$S$56 = FALSE</formula>
    </cfRule>
    <cfRule type="expression" dxfId="3434" priority="537">
      <formula>AND(IF($R$56,$W$56,TRUE),LEN(TRIM($W$56))&gt;0)</formula>
    </cfRule>
    <cfRule type="expression" dxfId="3433" priority="538">
      <formula>AND($R$56,$S$56)</formula>
    </cfRule>
  </conditionalFormatting>
  <conditionalFormatting sqref="W118">
    <cfRule type="expression" dxfId="3432" priority="531">
      <formula>OR($T$118 = TRUE, AND($W$118 = TRUE, $S$118 = FALSE))</formula>
    </cfRule>
    <cfRule type="expression" dxfId="3431" priority="532">
      <formula>$S$118 = FALSE</formula>
    </cfRule>
    <cfRule type="expression" dxfId="3430" priority="533">
      <formula>AND(IF($R$118,$W$118,TRUE),LEN(TRIM($W$118))&gt;0)</formula>
    </cfRule>
    <cfRule type="expression" dxfId="3429" priority="534">
      <formula>AND($R$118,$S$118)</formula>
    </cfRule>
  </conditionalFormatting>
  <conditionalFormatting sqref="W132">
    <cfRule type="expression" dxfId="3428" priority="527">
      <formula>OR($T$132 = TRUE, AND($W$132 = TRUE, $S$132 = FALSE))</formula>
    </cfRule>
    <cfRule type="expression" dxfId="3427" priority="528">
      <formula>$S$132 = FALSE</formula>
    </cfRule>
    <cfRule type="expression" dxfId="3426" priority="529">
      <formula>AND(IF($R$132,$W$132,TRUE),LEN(TRIM($W$132))&gt;0)</formula>
    </cfRule>
    <cfRule type="expression" dxfId="3425" priority="530">
      <formula>AND($R$132,$S$132)</formula>
    </cfRule>
  </conditionalFormatting>
  <conditionalFormatting sqref="W134">
    <cfRule type="expression" dxfId="3424" priority="523">
      <formula>OR($T$134 = TRUE, AND($W$134 = TRUE, $S$134 = FALSE))</formula>
    </cfRule>
    <cfRule type="expression" dxfId="3423" priority="524">
      <formula>$S$134 = FALSE</formula>
    </cfRule>
    <cfRule type="expression" dxfId="3422" priority="525">
      <formula>AND(IF($R$134,$W$134,TRUE),LEN(TRIM($W$134))&gt;0)</formula>
    </cfRule>
    <cfRule type="expression" dxfId="3421" priority="526">
      <formula>AND($R$134,$S$134)</formula>
    </cfRule>
  </conditionalFormatting>
  <conditionalFormatting sqref="W140">
    <cfRule type="expression" dxfId="3420" priority="518">
      <formula>AND($R$140,$S$140)</formula>
    </cfRule>
  </conditionalFormatting>
  <conditionalFormatting sqref="W140">
    <cfRule type="expression" dxfId="3419" priority="517">
      <formula>AND(IF($R$140,$W$140,TRUE),LEN(TRIM($W$140))&gt;0)</formula>
    </cfRule>
  </conditionalFormatting>
  <conditionalFormatting sqref="W140">
    <cfRule type="expression" dxfId="3418" priority="516">
      <formula>$S$140 = FALSE</formula>
    </cfRule>
  </conditionalFormatting>
  <conditionalFormatting sqref="W140">
    <cfRule type="expression" dxfId="3417" priority="515">
      <formula>OR($T$140 = TRUE, AND($W$140 = TRUE, $S$140 = FALSE))</formula>
    </cfRule>
  </conditionalFormatting>
  <conditionalFormatting sqref="W146">
    <cfRule type="expression" dxfId="3416" priority="514">
      <formula>AND(R146,S146)</formula>
    </cfRule>
  </conditionalFormatting>
  <conditionalFormatting sqref="W146">
    <cfRule type="expression" dxfId="3415" priority="513">
      <formula>NOT(ISBLANK(W146))</formula>
    </cfRule>
  </conditionalFormatting>
  <conditionalFormatting sqref="W146">
    <cfRule type="expression" dxfId="3414" priority="512">
      <formula>S146 = FALSE</formula>
    </cfRule>
  </conditionalFormatting>
  <conditionalFormatting sqref="W146">
    <cfRule type="expression" dxfId="3413" priority="511">
      <formula>OR(T146 = TRUE, AND(W146 = TRUE, S146 = FALSE))</formula>
    </cfRule>
  </conditionalFormatting>
  <conditionalFormatting sqref="W46">
    <cfRule type="expression" dxfId="3412" priority="510">
      <formula>AND($R$46,$S$46)</formula>
    </cfRule>
  </conditionalFormatting>
  <conditionalFormatting sqref="W46">
    <cfRule type="expression" dxfId="3411" priority="509">
      <formula>AND(IF($R$46,$W$46,TRUE),LEN(TRIM($W$46))&gt;0)</formula>
    </cfRule>
  </conditionalFormatting>
  <conditionalFormatting sqref="W46">
    <cfRule type="expression" dxfId="3410" priority="508">
      <formula>$S$46 = FALSE</formula>
    </cfRule>
  </conditionalFormatting>
  <conditionalFormatting sqref="W46">
    <cfRule type="expression" dxfId="3409" priority="507">
      <formula>OR($T$46 = TRUE, AND($W$46 = TRUE, $S$46 = FALSE))</formula>
    </cfRule>
  </conditionalFormatting>
  <conditionalFormatting sqref="W49">
    <cfRule type="expression" dxfId="3408" priority="506">
      <formula>AND($R$49,$S$49)</formula>
    </cfRule>
  </conditionalFormatting>
  <conditionalFormatting sqref="W49">
    <cfRule type="expression" dxfId="3407" priority="505">
      <formula>AND(IF($R$49,$W$49,TRUE),LEN(TRIM($W$49))&gt;0)</formula>
    </cfRule>
  </conditionalFormatting>
  <conditionalFormatting sqref="W49">
    <cfRule type="expression" dxfId="3406" priority="504">
      <formula>$S$49 = FALSE</formula>
    </cfRule>
  </conditionalFormatting>
  <conditionalFormatting sqref="W49">
    <cfRule type="expression" dxfId="3405" priority="503">
      <formula>OR($T$49 = TRUE, AND($W$49 = TRUE, $S$49 = FALSE))</formula>
    </cfRule>
  </conditionalFormatting>
  <conditionalFormatting sqref="W50">
    <cfRule type="expression" dxfId="3404" priority="502">
      <formula>AND($R$50,$S$50)</formula>
    </cfRule>
  </conditionalFormatting>
  <conditionalFormatting sqref="W50">
    <cfRule type="expression" dxfId="3403" priority="501">
      <formula>AND(IF($R$50,$W$50,TRUE),LEN(TRIM($W$50))&gt;0)</formula>
    </cfRule>
  </conditionalFormatting>
  <conditionalFormatting sqref="W50">
    <cfRule type="expression" dxfId="3402" priority="500">
      <formula>$S$50 = FALSE</formula>
    </cfRule>
  </conditionalFormatting>
  <conditionalFormatting sqref="W50">
    <cfRule type="expression" dxfId="3401" priority="499">
      <formula>OR($T$50 = TRUE, AND($W$50 = TRUE, $S$50 = FALSE))</formula>
    </cfRule>
  </conditionalFormatting>
  <conditionalFormatting sqref="W88">
    <cfRule type="expression" dxfId="3400" priority="490">
      <formula>AND($R$88,$S$88)</formula>
    </cfRule>
  </conditionalFormatting>
  <conditionalFormatting sqref="W88">
    <cfRule type="expression" dxfId="3399" priority="489">
      <formula>AND(IF($R$88,$W$88,TRUE),LEN(TRIM($W$88))&gt;0)</formula>
    </cfRule>
  </conditionalFormatting>
  <conditionalFormatting sqref="W88">
    <cfRule type="expression" dxfId="3398" priority="488">
      <formula>$S$88 = FALSE</formula>
    </cfRule>
  </conditionalFormatting>
  <conditionalFormatting sqref="W88">
    <cfRule type="expression" dxfId="3397" priority="487">
      <formula>OR($T$88 = TRUE, AND($W$88 = TRUE, $S$88 = FALSE))</formula>
    </cfRule>
  </conditionalFormatting>
  <conditionalFormatting sqref="W91">
    <cfRule type="expression" dxfId="3396" priority="486">
      <formula>AND($R$91,$S$91)</formula>
    </cfRule>
  </conditionalFormatting>
  <conditionalFormatting sqref="W91">
    <cfRule type="expression" dxfId="3395" priority="485">
      <formula>AND(IF($R$91,$W$91,TRUE),LEN(TRIM($W$91))&gt;0)</formula>
    </cfRule>
  </conditionalFormatting>
  <conditionalFormatting sqref="W91">
    <cfRule type="expression" dxfId="3394" priority="484">
      <formula>$S$91 = FALSE</formula>
    </cfRule>
  </conditionalFormatting>
  <conditionalFormatting sqref="W91">
    <cfRule type="expression" dxfId="3393" priority="483">
      <formula>OR($T$91 = TRUE, AND($W$91 = TRUE, $S$91 = FALSE))</formula>
    </cfRule>
  </conditionalFormatting>
  <conditionalFormatting sqref="W124">
    <cfRule type="expression" dxfId="3392" priority="482">
      <formula>AND($R$124,$S$124)</formula>
    </cfRule>
  </conditionalFormatting>
  <conditionalFormatting sqref="W124">
    <cfRule type="expression" dxfId="3391" priority="481">
      <formula>AND($W$124&lt;&gt;"Not Met",LEN(TRIM($W$124))&gt;0)</formula>
    </cfRule>
  </conditionalFormatting>
  <conditionalFormatting sqref="W124">
    <cfRule type="expression" dxfId="3390" priority="480">
      <formula>$S$124 = FALSE</formula>
    </cfRule>
  </conditionalFormatting>
  <conditionalFormatting sqref="W124">
    <cfRule type="expression" dxfId="3389" priority="479">
      <formula>OR($T$124 = TRUE, AND(LEN(TRIM($W$124))&gt;0, $S$124 = FALSE))</formula>
    </cfRule>
  </conditionalFormatting>
  <conditionalFormatting sqref="W135">
    <cfRule type="expression" dxfId="3388" priority="478">
      <formula>AND($R$135,$S$135)</formula>
    </cfRule>
  </conditionalFormatting>
  <conditionalFormatting sqref="W135">
    <cfRule type="expression" dxfId="3387" priority="477">
      <formula>AND(IF($R$135,$W$135,TRUE),LEN(TRIM($W$135))&gt;0)</formula>
    </cfRule>
  </conditionalFormatting>
  <conditionalFormatting sqref="W135">
    <cfRule type="expression" dxfId="3386" priority="476">
      <formula>$S$135 = FALSE</formula>
    </cfRule>
  </conditionalFormatting>
  <conditionalFormatting sqref="W135">
    <cfRule type="expression" dxfId="3385" priority="475">
      <formula>OR($T$135 = TRUE, AND($W$135 = TRUE, $S$135 = FALSE))</formula>
    </cfRule>
  </conditionalFormatting>
  <conditionalFormatting sqref="W157">
    <cfRule type="expression" dxfId="3384" priority="474">
      <formula>AND($R$157,$S$157)</formula>
    </cfRule>
  </conditionalFormatting>
  <conditionalFormatting sqref="W157">
    <cfRule type="expression" dxfId="3383" priority="473">
      <formula>AND(IF($R$157,$W$157,TRUE),LEN(TRIM($W$157))&gt;0)</formula>
    </cfRule>
  </conditionalFormatting>
  <conditionalFormatting sqref="W157">
    <cfRule type="expression" dxfId="3382" priority="472">
      <formula>$S$157 = FALSE</formula>
    </cfRule>
  </conditionalFormatting>
  <conditionalFormatting sqref="W157">
    <cfRule type="expression" dxfId="3381" priority="471">
      <formula>OR($T$157 = TRUE, AND($W$157 = TRUE, $S$157 = FALSE))</formula>
    </cfRule>
  </conditionalFormatting>
  <conditionalFormatting sqref="W170">
    <cfRule type="expression" dxfId="3380" priority="470">
      <formula>AND($R$170,$S$170)</formula>
    </cfRule>
  </conditionalFormatting>
  <conditionalFormatting sqref="W170">
    <cfRule type="expression" dxfId="3379" priority="469">
      <formula>AND(IF($R$170,$W$170,TRUE),LEN(TRIM($W$170))&gt;0)</formula>
    </cfRule>
  </conditionalFormatting>
  <conditionalFormatting sqref="W170">
    <cfRule type="expression" dxfId="3378" priority="468">
      <formula>$S$170 = FALSE</formula>
    </cfRule>
  </conditionalFormatting>
  <conditionalFormatting sqref="W170">
    <cfRule type="expression" dxfId="3377" priority="467">
      <formula>OR($T$170 = TRUE, AND($W$170 = TRUE, $S$170 = FALSE))</formula>
    </cfRule>
  </conditionalFormatting>
  <conditionalFormatting sqref="W173">
    <cfRule type="expression" dxfId="3376" priority="466">
      <formula>AND($R$173,$S$173)</formula>
    </cfRule>
  </conditionalFormatting>
  <conditionalFormatting sqref="W173">
    <cfRule type="expression" dxfId="3375" priority="465">
      <formula>AND(IF($R$173,$W$173,TRUE),LEN(TRIM($W$173))&gt;0)</formula>
    </cfRule>
  </conditionalFormatting>
  <conditionalFormatting sqref="W173">
    <cfRule type="expression" dxfId="3374" priority="464">
      <formula>$S$173 = FALSE</formula>
    </cfRule>
  </conditionalFormatting>
  <conditionalFormatting sqref="W173">
    <cfRule type="expression" dxfId="3373" priority="463">
      <formula>OR($T$173 = TRUE, AND($W$173 = TRUE, $S$173 = FALSE))</formula>
    </cfRule>
  </conditionalFormatting>
  <conditionalFormatting sqref="W176">
    <cfRule type="expression" dxfId="3372" priority="462">
      <formula>AND($R$176,$S$176)</formula>
    </cfRule>
  </conditionalFormatting>
  <conditionalFormatting sqref="W176">
    <cfRule type="expression" dxfId="3371" priority="461">
      <formula>AND(IF($R$176,$W$176,TRUE),LEN(TRIM($W$176))&gt;0)</formula>
    </cfRule>
  </conditionalFormatting>
  <conditionalFormatting sqref="W176">
    <cfRule type="expression" dxfId="3370" priority="460">
      <formula>$S$176 = FALSE</formula>
    </cfRule>
  </conditionalFormatting>
  <conditionalFormatting sqref="W176">
    <cfRule type="expression" dxfId="3369" priority="459">
      <formula>OR($T$176 = TRUE, AND($W$176 = TRUE, $S$176 = FALSE))</formula>
    </cfRule>
  </conditionalFormatting>
  <conditionalFormatting sqref="W178">
    <cfRule type="expression" dxfId="3368" priority="458">
      <formula>AND(R178,S178)</formula>
    </cfRule>
  </conditionalFormatting>
  <conditionalFormatting sqref="W178">
    <cfRule type="expression" dxfId="3367" priority="457">
      <formula>NOT(ISBLANK(W178))</formula>
    </cfRule>
  </conditionalFormatting>
  <conditionalFormatting sqref="W178">
    <cfRule type="expression" dxfId="3366" priority="456">
      <formula>S178 = FALSE</formula>
    </cfRule>
  </conditionalFormatting>
  <conditionalFormatting sqref="W178">
    <cfRule type="expression" dxfId="3365" priority="455">
      <formula>OR(T178 = TRUE, AND(W178 = TRUE, S178 = FALSE))</formula>
    </cfRule>
  </conditionalFormatting>
  <conditionalFormatting sqref="W184">
    <cfRule type="expression" dxfId="3364" priority="454">
      <formula>AND(R184,S184)</formula>
    </cfRule>
  </conditionalFormatting>
  <conditionalFormatting sqref="W184">
    <cfRule type="expression" dxfId="3363" priority="453">
      <formula>NOT(ISBLANK(W184))</formula>
    </cfRule>
  </conditionalFormatting>
  <conditionalFormatting sqref="W184">
    <cfRule type="expression" dxfId="3362" priority="452">
      <formula>S184 = FALSE</formula>
    </cfRule>
  </conditionalFormatting>
  <conditionalFormatting sqref="W184">
    <cfRule type="expression" dxfId="3361" priority="451">
      <formula>OR(T184 = TRUE, AND(W184 = TRUE, S184 = FALSE))</formula>
    </cfRule>
  </conditionalFormatting>
  <conditionalFormatting sqref="W185">
    <cfRule type="expression" dxfId="3360" priority="450">
      <formula>AND($R$185,$S$185)</formula>
    </cfRule>
  </conditionalFormatting>
  <conditionalFormatting sqref="W185">
    <cfRule type="expression" dxfId="3359" priority="449">
      <formula>AND(IF($R$185,$W$185,TRUE),LEN(TRIM($W$185))&gt;0)</formula>
    </cfRule>
  </conditionalFormatting>
  <conditionalFormatting sqref="W185">
    <cfRule type="expression" dxfId="3358" priority="448">
      <formula>$S$185 = FALSE</formula>
    </cfRule>
  </conditionalFormatting>
  <conditionalFormatting sqref="W185">
    <cfRule type="expression" dxfId="3357" priority="447">
      <formula>OR($T$185 = TRUE, AND($W$185 = TRUE, $S$185 = FALSE))</formula>
    </cfRule>
  </conditionalFormatting>
  <conditionalFormatting sqref="W565">
    <cfRule type="expression" dxfId="3356" priority="446">
      <formula>AND($R$565,$S$565)</formula>
    </cfRule>
  </conditionalFormatting>
  <conditionalFormatting sqref="W565">
    <cfRule type="expression" dxfId="3355" priority="445">
      <formula>AND(IF($R$565,$W$565,TRUE),LEN(TRIM($W$565))&gt;0)</formula>
    </cfRule>
  </conditionalFormatting>
  <conditionalFormatting sqref="W565">
    <cfRule type="expression" dxfId="3354" priority="444">
      <formula>$S$565 = FALSE</formula>
    </cfRule>
  </conditionalFormatting>
  <conditionalFormatting sqref="W565">
    <cfRule type="expression" dxfId="3353" priority="443">
      <formula>OR($T$565 = TRUE, AND($W$565 = TRUE, $S$565 = FALSE))</formula>
    </cfRule>
  </conditionalFormatting>
  <conditionalFormatting sqref="W566">
    <cfRule type="expression" dxfId="3352" priority="442">
      <formula>AND($R$566,$S$566)</formula>
    </cfRule>
  </conditionalFormatting>
  <conditionalFormatting sqref="W566">
    <cfRule type="expression" dxfId="3351" priority="441">
      <formula>AND(IF($R$566,$W$566,TRUE),LEN(TRIM($W$566))&gt;0)</formula>
    </cfRule>
  </conditionalFormatting>
  <conditionalFormatting sqref="W566">
    <cfRule type="expression" dxfId="3350" priority="440">
      <formula>$S$566 = FALSE</formula>
    </cfRule>
  </conditionalFormatting>
  <conditionalFormatting sqref="W566">
    <cfRule type="expression" dxfId="3349" priority="439">
      <formula>OR($T$566 = TRUE, AND($W$566 = TRUE, $S$566 = FALSE))</formula>
    </cfRule>
  </conditionalFormatting>
  <conditionalFormatting sqref="W567">
    <cfRule type="expression" dxfId="3348" priority="438">
      <formula>AND($R$567,$S$567)</formula>
    </cfRule>
  </conditionalFormatting>
  <conditionalFormatting sqref="W567">
    <cfRule type="expression" dxfId="3347" priority="437">
      <formula>AND(IF($R$567,$W$567,TRUE),LEN(TRIM($W$567))&gt;0)</formula>
    </cfRule>
  </conditionalFormatting>
  <conditionalFormatting sqref="W567">
    <cfRule type="expression" dxfId="3346" priority="436">
      <formula>$S$567 = FALSE</formula>
    </cfRule>
  </conditionalFormatting>
  <conditionalFormatting sqref="W567">
    <cfRule type="expression" dxfId="3345" priority="435">
      <formula>OR($T$567 = TRUE, AND($W$567 = TRUE, $S$567 = FALSE))</formula>
    </cfRule>
  </conditionalFormatting>
  <conditionalFormatting sqref="W568">
    <cfRule type="expression" dxfId="3344" priority="434">
      <formula>AND($R$568,$S$568)</formula>
    </cfRule>
  </conditionalFormatting>
  <conditionalFormatting sqref="W568">
    <cfRule type="expression" dxfId="3343" priority="433">
      <formula>AND(IF($R$568,$W$568,TRUE),LEN(TRIM($W$568))&gt;0)</formula>
    </cfRule>
  </conditionalFormatting>
  <conditionalFormatting sqref="W568">
    <cfRule type="expression" dxfId="3342" priority="432">
      <formula>$S$568 = FALSE</formula>
    </cfRule>
  </conditionalFormatting>
  <conditionalFormatting sqref="W568">
    <cfRule type="expression" dxfId="3341" priority="431">
      <formula>OR($T$568 = TRUE, AND($W$568 = TRUE, $S$568 = FALSE))</formula>
    </cfRule>
  </conditionalFormatting>
  <conditionalFormatting sqref="W570">
    <cfRule type="expression" dxfId="3340" priority="430">
      <formula>AND($R$570,$S$570)</formula>
    </cfRule>
  </conditionalFormatting>
  <conditionalFormatting sqref="W570">
    <cfRule type="expression" dxfId="3339" priority="429">
      <formula>AND(IF($R$570,$W$570,TRUE),LEN(TRIM($W$570))&gt;0)</formula>
    </cfRule>
  </conditionalFormatting>
  <conditionalFormatting sqref="W570">
    <cfRule type="expression" dxfId="3338" priority="428">
      <formula>$S$570 = FALSE</formula>
    </cfRule>
  </conditionalFormatting>
  <conditionalFormatting sqref="W570">
    <cfRule type="expression" dxfId="3337" priority="427">
      <formula>OR($T$570 = TRUE, AND($W$570 = TRUE, $S$570 = FALSE))</formula>
    </cfRule>
  </conditionalFormatting>
  <conditionalFormatting sqref="W573">
    <cfRule type="expression" dxfId="3336" priority="426">
      <formula>AND($R$573,$S$573)</formula>
    </cfRule>
  </conditionalFormatting>
  <conditionalFormatting sqref="W573">
    <cfRule type="expression" dxfId="3335" priority="425">
      <formula>AND(IF($R$573,$W$573,TRUE),LEN(TRIM($W$573))&gt;0)</formula>
    </cfRule>
  </conditionalFormatting>
  <conditionalFormatting sqref="W573">
    <cfRule type="expression" dxfId="3334" priority="424">
      <formula>$S$573 = FALSE</formula>
    </cfRule>
  </conditionalFormatting>
  <conditionalFormatting sqref="W573">
    <cfRule type="expression" dxfId="3333" priority="423">
      <formula>OR($T$573 = TRUE, AND($W$573 = TRUE, $S$573 = FALSE))</formula>
    </cfRule>
  </conditionalFormatting>
  <conditionalFormatting sqref="W576">
    <cfRule type="expression" dxfId="3332" priority="422">
      <formula>AND($R$576,$S$576)</formula>
    </cfRule>
  </conditionalFormatting>
  <conditionalFormatting sqref="W576">
    <cfRule type="expression" dxfId="3331" priority="421">
      <formula>AND($W$576&lt;&gt;"Not Met",LEN(TRIM($W$576))&gt;0)</formula>
    </cfRule>
  </conditionalFormatting>
  <conditionalFormatting sqref="W576">
    <cfRule type="expression" dxfId="3330" priority="420">
      <formula>$S$576 = FALSE</formula>
    </cfRule>
  </conditionalFormatting>
  <conditionalFormatting sqref="W576">
    <cfRule type="expression" dxfId="3329" priority="419">
      <formula>OR($T$576 = TRUE, AND(LEN(TRIM($W$576))&gt;0, $S$576 = FALSE))</formula>
    </cfRule>
  </conditionalFormatting>
  <conditionalFormatting sqref="W591">
    <cfRule type="expression" dxfId="3328" priority="418">
      <formula>AND($R$591,$S$591)</formula>
    </cfRule>
  </conditionalFormatting>
  <conditionalFormatting sqref="W591">
    <cfRule type="expression" dxfId="3327" priority="417">
      <formula>AND(IF($R$591,$W$591,TRUE),LEN(TRIM($W$591))&gt;0)</formula>
    </cfRule>
  </conditionalFormatting>
  <conditionalFormatting sqref="W591">
    <cfRule type="expression" dxfId="3326" priority="416">
      <formula>$S$591 = FALSE</formula>
    </cfRule>
  </conditionalFormatting>
  <conditionalFormatting sqref="W591">
    <cfRule type="expression" dxfId="3325" priority="415">
      <formula>OR($T$591 = TRUE, AND($W$591 = TRUE, $S$591 = FALSE))</formula>
    </cfRule>
  </conditionalFormatting>
  <conditionalFormatting sqref="W592">
    <cfRule type="expression" dxfId="3324" priority="414">
      <formula>AND($R$592,$S$592)</formula>
    </cfRule>
  </conditionalFormatting>
  <conditionalFormatting sqref="W592">
    <cfRule type="expression" dxfId="3323" priority="413">
      <formula>AND(IF($R$592,$W$592,TRUE),LEN(TRIM($W$592))&gt;0)</formula>
    </cfRule>
  </conditionalFormatting>
  <conditionalFormatting sqref="W592">
    <cfRule type="expression" dxfId="3322" priority="412">
      <formula>$S$592 = FALSE</formula>
    </cfRule>
  </conditionalFormatting>
  <conditionalFormatting sqref="W592">
    <cfRule type="expression" dxfId="3321" priority="411">
      <formula>OR($T$592 = TRUE, AND($W$592 = TRUE, $S$592 = FALSE))</formula>
    </cfRule>
  </conditionalFormatting>
  <conditionalFormatting sqref="W593">
    <cfRule type="expression" dxfId="3320" priority="410">
      <formula>AND($R$593,$S$593)</formula>
    </cfRule>
  </conditionalFormatting>
  <conditionalFormatting sqref="W593">
    <cfRule type="expression" dxfId="3319" priority="409">
      <formula>AND(IF($R$593,$W$593,TRUE),LEN(TRIM($W$593))&gt;0)</formula>
    </cfRule>
  </conditionalFormatting>
  <conditionalFormatting sqref="W593">
    <cfRule type="expression" dxfId="3318" priority="408">
      <formula>$S$593 = FALSE</formula>
    </cfRule>
  </conditionalFormatting>
  <conditionalFormatting sqref="W593">
    <cfRule type="expression" dxfId="3317" priority="407">
      <formula>OR($T$593 = TRUE, AND($W$593 = TRUE, $S$593 = FALSE))</formula>
    </cfRule>
  </conditionalFormatting>
  <conditionalFormatting sqref="W594">
    <cfRule type="expression" dxfId="3316" priority="406">
      <formula>AND($R$594,$S$594)</formula>
    </cfRule>
  </conditionalFormatting>
  <conditionalFormatting sqref="W594">
    <cfRule type="expression" dxfId="3315" priority="405">
      <formula>AND(IF($R$594,$W$594,TRUE),LEN(TRIM($W$594))&gt;0)</formula>
    </cfRule>
  </conditionalFormatting>
  <conditionalFormatting sqref="W594">
    <cfRule type="expression" dxfId="3314" priority="404">
      <formula>$S$594 = FALSE</formula>
    </cfRule>
  </conditionalFormatting>
  <conditionalFormatting sqref="W594">
    <cfRule type="expression" dxfId="3313" priority="403">
      <formula>OR($T$594 = TRUE, AND($W$594 = TRUE, $S$594 = FALSE))</formula>
    </cfRule>
  </conditionalFormatting>
  <conditionalFormatting sqref="W595">
    <cfRule type="expression" dxfId="3312" priority="402">
      <formula>AND($R$595,$S$595)</formula>
    </cfRule>
  </conditionalFormatting>
  <conditionalFormatting sqref="W595">
    <cfRule type="expression" dxfId="3311" priority="401">
      <formula>AND(IF($R$595,$W$595,TRUE),LEN(TRIM($W$595))&gt;0)</formula>
    </cfRule>
  </conditionalFormatting>
  <conditionalFormatting sqref="W595">
    <cfRule type="expression" dxfId="3310" priority="400">
      <formula>$S$595 = FALSE</formula>
    </cfRule>
  </conditionalFormatting>
  <conditionalFormatting sqref="W595">
    <cfRule type="expression" dxfId="3309" priority="399">
      <formula>OR($T$595 = TRUE, AND($W$595 = TRUE, $S$595 = FALSE))</formula>
    </cfRule>
  </conditionalFormatting>
  <conditionalFormatting sqref="W596">
    <cfRule type="expression" dxfId="3308" priority="398">
      <formula>AND($R$596,$S$596)</formula>
    </cfRule>
  </conditionalFormatting>
  <conditionalFormatting sqref="W596">
    <cfRule type="expression" dxfId="3307" priority="397">
      <formula>AND(IF($R$596,$W$596,TRUE),LEN(TRIM($W$596))&gt;0)</formula>
    </cfRule>
  </conditionalFormatting>
  <conditionalFormatting sqref="W596">
    <cfRule type="expression" dxfId="3306" priority="396">
      <formula>$S$596 = FALSE</formula>
    </cfRule>
  </conditionalFormatting>
  <conditionalFormatting sqref="W596">
    <cfRule type="expression" dxfId="3305" priority="395">
      <formula>OR($T$596 = TRUE, AND($W$596 = TRUE, $S$596 = FALSE))</formula>
    </cfRule>
  </conditionalFormatting>
  <conditionalFormatting sqref="W597">
    <cfRule type="expression" dxfId="3304" priority="394">
      <formula>AND($R$597,$S$597)</formula>
    </cfRule>
  </conditionalFormatting>
  <conditionalFormatting sqref="W597">
    <cfRule type="expression" dxfId="3303" priority="393">
      <formula>AND(IF($R$597,$W$597,TRUE),LEN(TRIM($W$597))&gt;0)</formula>
    </cfRule>
  </conditionalFormatting>
  <conditionalFormatting sqref="W597">
    <cfRule type="expression" dxfId="3302" priority="392">
      <formula>$S$597 = FALSE</formula>
    </cfRule>
  </conditionalFormatting>
  <conditionalFormatting sqref="W597">
    <cfRule type="expression" dxfId="3301" priority="391">
      <formula>OR($T$597 = TRUE, AND($W$597 = TRUE, $S$597 = FALSE))</formula>
    </cfRule>
  </conditionalFormatting>
  <conditionalFormatting sqref="W598">
    <cfRule type="expression" dxfId="3300" priority="390">
      <formula>AND($R$598,$S$598)</formula>
    </cfRule>
  </conditionalFormatting>
  <conditionalFormatting sqref="W598">
    <cfRule type="expression" dxfId="3299" priority="389">
      <formula>AND(IF($R$598,$W$598,TRUE),LEN(TRIM($W$598))&gt;0)</formula>
    </cfRule>
  </conditionalFormatting>
  <conditionalFormatting sqref="W598">
    <cfRule type="expression" dxfId="3298" priority="388">
      <formula>$S$598 = FALSE</formula>
    </cfRule>
  </conditionalFormatting>
  <conditionalFormatting sqref="W598">
    <cfRule type="expression" dxfId="3297" priority="387">
      <formula>OR($T$598 = TRUE, AND($W$598 = TRUE, $S$598 = FALSE))</formula>
    </cfRule>
  </conditionalFormatting>
  <conditionalFormatting sqref="W601">
    <cfRule type="expression" dxfId="3296" priority="386">
      <formula>AND($R$601,$S$601)</formula>
    </cfRule>
  </conditionalFormatting>
  <conditionalFormatting sqref="W601">
    <cfRule type="expression" dxfId="3295" priority="385">
      <formula>AND(IF($R$601,$W$601,TRUE),LEN(TRIM($W$601))&gt;0)</formula>
    </cfRule>
  </conditionalFormatting>
  <conditionalFormatting sqref="W601">
    <cfRule type="expression" dxfId="3294" priority="384">
      <formula>$S$601 = FALSE</formula>
    </cfRule>
  </conditionalFormatting>
  <conditionalFormatting sqref="W601">
    <cfRule type="expression" dxfId="3293" priority="383">
      <formula>OR($T$601 = TRUE, AND($W$601 = TRUE, $S$601 = FALSE))</formula>
    </cfRule>
  </conditionalFormatting>
  <conditionalFormatting sqref="W603">
    <cfRule type="expression" dxfId="3292" priority="382">
      <formula>AND($R$603,$S$603)</formula>
    </cfRule>
  </conditionalFormatting>
  <conditionalFormatting sqref="W603">
    <cfRule type="expression" dxfId="3291" priority="381">
      <formula>AND(IF($R$603,$W$603,TRUE),LEN(TRIM($W$603))&gt;0)</formula>
    </cfRule>
  </conditionalFormatting>
  <conditionalFormatting sqref="W603">
    <cfRule type="expression" dxfId="3290" priority="380">
      <formula>$S$603 = FALSE</formula>
    </cfRule>
  </conditionalFormatting>
  <conditionalFormatting sqref="W603">
    <cfRule type="expression" dxfId="3289" priority="379">
      <formula>OR($T$603 = TRUE, AND($W$603 = TRUE, $S$603 = FALSE))</formula>
    </cfRule>
  </conditionalFormatting>
  <conditionalFormatting sqref="W605">
    <cfRule type="expression" dxfId="3288" priority="378">
      <formula>AND($R$605,$S$605)</formula>
    </cfRule>
  </conditionalFormatting>
  <conditionalFormatting sqref="W605">
    <cfRule type="expression" dxfId="3287" priority="377">
      <formula>AND(IF($R$605,$W$605,TRUE),LEN(TRIM($W$605))&gt;0)</formula>
    </cfRule>
  </conditionalFormatting>
  <conditionalFormatting sqref="W605">
    <cfRule type="expression" dxfId="3286" priority="376">
      <formula>$S$605 = FALSE</formula>
    </cfRule>
  </conditionalFormatting>
  <conditionalFormatting sqref="W605">
    <cfRule type="expression" dxfId="3285" priority="375">
      <formula>OR($T$605 = TRUE, AND($W$605 = TRUE, $S$605 = FALSE))</formula>
    </cfRule>
  </conditionalFormatting>
  <conditionalFormatting sqref="W608">
    <cfRule type="expression" dxfId="3284" priority="374">
      <formula>AND(R608,S608)</formula>
    </cfRule>
  </conditionalFormatting>
  <conditionalFormatting sqref="W608">
    <cfRule type="expression" dxfId="3283" priority="373">
      <formula>AND(S608,LEN(TRIM(W608))&gt;0)</formula>
    </cfRule>
  </conditionalFormatting>
  <conditionalFormatting sqref="W608">
    <cfRule type="expression" dxfId="3282" priority="372">
      <formula>S608 = FALSE</formula>
    </cfRule>
  </conditionalFormatting>
  <conditionalFormatting sqref="W608">
    <cfRule type="expression" dxfId="3281" priority="371">
      <formula>OR(T608 = TRUE, AND(W608 &gt; 0, S608 = FALSE))</formula>
    </cfRule>
  </conditionalFormatting>
  <conditionalFormatting sqref="W616">
    <cfRule type="expression" dxfId="3280" priority="370">
      <formula>AND($R$616,$S$616)</formula>
    </cfRule>
  </conditionalFormatting>
  <conditionalFormatting sqref="W616">
    <cfRule type="expression" dxfId="3279" priority="369">
      <formula>AND(IF($R$616,$W$616,TRUE),LEN(TRIM($W$616))&gt;0)</formula>
    </cfRule>
  </conditionalFormatting>
  <conditionalFormatting sqref="W616">
    <cfRule type="expression" dxfId="3278" priority="368">
      <formula>$S$616 = FALSE</formula>
    </cfRule>
  </conditionalFormatting>
  <conditionalFormatting sqref="W616">
    <cfRule type="expression" dxfId="3277" priority="367">
      <formula>OR($T$616 = TRUE, AND($W$616 = TRUE, $S$616 = FALSE))</formula>
    </cfRule>
  </conditionalFormatting>
  <conditionalFormatting sqref="W624">
    <cfRule type="expression" dxfId="3276" priority="366">
      <formula>AND($R$624,$S$624)</formula>
    </cfRule>
  </conditionalFormatting>
  <conditionalFormatting sqref="W624">
    <cfRule type="expression" dxfId="3275" priority="365">
      <formula>AND(IF($R$624,$W$624,TRUE),LEN(TRIM($W$624))&gt;0)</formula>
    </cfRule>
  </conditionalFormatting>
  <conditionalFormatting sqref="W624">
    <cfRule type="expression" dxfId="3274" priority="364">
      <formula>$S$624 = FALSE</formula>
    </cfRule>
  </conditionalFormatting>
  <conditionalFormatting sqref="W624">
    <cfRule type="expression" dxfId="3273" priority="363">
      <formula>OR($T$624 = TRUE, AND($W$624 = TRUE, $S$624 = FALSE))</formula>
    </cfRule>
  </conditionalFormatting>
  <conditionalFormatting sqref="W620">
    <cfRule type="expression" dxfId="3272" priority="354">
      <formula>AND($R$620,$S$620)</formula>
    </cfRule>
  </conditionalFormatting>
  <conditionalFormatting sqref="W620">
    <cfRule type="expression" dxfId="3271" priority="353">
      <formula>AND(IF($R$620,$W$620,TRUE),LEN(TRIM($W$620))&gt;0)</formula>
    </cfRule>
  </conditionalFormatting>
  <conditionalFormatting sqref="W620">
    <cfRule type="expression" dxfId="3270" priority="352">
      <formula>$S$620 = FALSE</formula>
    </cfRule>
  </conditionalFormatting>
  <conditionalFormatting sqref="W620">
    <cfRule type="expression" dxfId="3269" priority="351">
      <formula>OR($T$620 = TRUE, AND($W$620 = TRUE, $S$620 = FALSE))</formula>
    </cfRule>
  </conditionalFormatting>
  <conditionalFormatting sqref="W621">
    <cfRule type="expression" dxfId="3268" priority="350">
      <formula>AND($R$621,$S$621)</formula>
    </cfRule>
  </conditionalFormatting>
  <conditionalFormatting sqref="W621">
    <cfRule type="expression" dxfId="3267" priority="349">
      <formula>AND(IF($R$621,$W$621,TRUE),LEN(TRIM($W$621))&gt;0)</formula>
    </cfRule>
  </conditionalFormatting>
  <conditionalFormatting sqref="W621">
    <cfRule type="expression" dxfId="3266" priority="348">
      <formula>$S$621 = FALSE</formula>
    </cfRule>
  </conditionalFormatting>
  <conditionalFormatting sqref="W621">
    <cfRule type="expression" dxfId="3265" priority="347">
      <formula>OR($T$621 = TRUE, AND($W$621 = TRUE, $S$621 = FALSE))</formula>
    </cfRule>
  </conditionalFormatting>
  <conditionalFormatting sqref="W627">
    <cfRule type="expression" dxfId="3264" priority="346">
      <formula>AND($R$627,$S$627)</formula>
    </cfRule>
  </conditionalFormatting>
  <conditionalFormatting sqref="W627">
    <cfRule type="expression" dxfId="3263" priority="345">
      <formula>AND(IF($R$627,$W$627,TRUE),LEN(TRIM($W$627))&gt;0)</formula>
    </cfRule>
  </conditionalFormatting>
  <conditionalFormatting sqref="W627">
    <cfRule type="expression" dxfId="3262" priority="344">
      <formula>$S$627 = FALSE</formula>
    </cfRule>
  </conditionalFormatting>
  <conditionalFormatting sqref="W627">
    <cfRule type="expression" dxfId="3261" priority="343">
      <formula>OR($T$627 = TRUE, AND($W$627 = TRUE, $S$627 = FALSE))</formula>
    </cfRule>
  </conditionalFormatting>
  <conditionalFormatting sqref="W454">
    <cfRule type="expression" dxfId="3260" priority="342">
      <formula>AND(R454,S454)</formula>
    </cfRule>
  </conditionalFormatting>
  <conditionalFormatting sqref="W454">
    <cfRule type="expression" dxfId="3259" priority="341">
      <formula>AND(IF(S454,W454,TRUE),LEN(TRIM(W454))&gt;0)</formula>
    </cfRule>
  </conditionalFormatting>
  <conditionalFormatting sqref="W454">
    <cfRule type="expression" dxfId="3258" priority="340">
      <formula>S454 = FALSE</formula>
    </cfRule>
  </conditionalFormatting>
  <conditionalFormatting sqref="W454">
    <cfRule type="expression" dxfId="3257" priority="339">
      <formula>OR(T454 = TRUE, AND(W454 = TRUE, S454 = FALSE))</formula>
    </cfRule>
  </conditionalFormatting>
  <conditionalFormatting sqref="W467">
    <cfRule type="expression" dxfId="3256" priority="338">
      <formula>AND($R$467,$S$467)</formula>
    </cfRule>
  </conditionalFormatting>
  <conditionalFormatting sqref="W467">
    <cfRule type="expression" dxfId="3255" priority="337">
      <formula>AND(IF($R$467,$W$467,TRUE),LEN(TRIM($W$467))&gt;0)</formula>
    </cfRule>
  </conditionalFormatting>
  <conditionalFormatting sqref="W467">
    <cfRule type="expression" dxfId="3254" priority="336">
      <formula>$S$467 = FALSE</formula>
    </cfRule>
  </conditionalFormatting>
  <conditionalFormatting sqref="W467">
    <cfRule type="expression" dxfId="3253" priority="335">
      <formula>OR($T$467 = TRUE, AND($W$467 = TRUE, $S$467 = FALSE))</formula>
    </cfRule>
  </conditionalFormatting>
  <conditionalFormatting sqref="W463">
    <cfRule type="expression" dxfId="3252" priority="334">
      <formula>AND($R$463,$S$463)</formula>
    </cfRule>
  </conditionalFormatting>
  <conditionalFormatting sqref="W463">
    <cfRule type="expression" dxfId="3251" priority="333">
      <formula>AND($W$463&lt;&gt;"Not Met",LEN(TRIM($W$463))&gt;0)</formula>
    </cfRule>
  </conditionalFormatting>
  <conditionalFormatting sqref="W463">
    <cfRule type="expression" dxfId="3250" priority="332">
      <formula>$S$463 = FALSE</formula>
    </cfRule>
  </conditionalFormatting>
  <conditionalFormatting sqref="W463">
    <cfRule type="expression" dxfId="3249" priority="331">
      <formula>OR($T$463 = TRUE, AND(LEN(TRIM($W$463))&gt;0, $S$463 = FALSE))</formula>
    </cfRule>
  </conditionalFormatting>
  <conditionalFormatting sqref="W470">
    <cfRule type="expression" dxfId="3248" priority="330">
      <formula>AND($R$470,$S$470)</formula>
    </cfRule>
  </conditionalFormatting>
  <conditionalFormatting sqref="W470">
    <cfRule type="expression" dxfId="3247" priority="329">
      <formula>AND($W$470&lt;&gt;"Not Met",LEN(TRIM($W$470))&gt;0)</formula>
    </cfRule>
  </conditionalFormatting>
  <conditionalFormatting sqref="W470">
    <cfRule type="expression" dxfId="3246" priority="328">
      <formula>$S$470 = FALSE</formula>
    </cfRule>
  </conditionalFormatting>
  <conditionalFormatting sqref="W470">
    <cfRule type="expression" dxfId="3245" priority="327">
      <formula>OR($T$470 = TRUE, AND(LEN(TRIM($W$470))&gt;0, $S$470 = FALSE))</formula>
    </cfRule>
  </conditionalFormatting>
  <conditionalFormatting sqref="W474">
    <cfRule type="expression" dxfId="3244" priority="326">
      <formula>AND($R$474,$S$474)</formula>
    </cfRule>
  </conditionalFormatting>
  <conditionalFormatting sqref="W474">
    <cfRule type="expression" dxfId="3243" priority="325">
      <formula>AND($W$474&lt;&gt;"Not Met",LEN(TRIM($W$474))&gt;0)</formula>
    </cfRule>
  </conditionalFormatting>
  <conditionalFormatting sqref="W474">
    <cfRule type="expression" dxfId="3242" priority="324">
      <formula>$S$474 = FALSE</formula>
    </cfRule>
  </conditionalFormatting>
  <conditionalFormatting sqref="W474">
    <cfRule type="expression" dxfId="3241" priority="323">
      <formula>OR($T$474 = TRUE, AND(LEN(TRIM($W$474))&gt;0, $S$474 = FALSE))</formula>
    </cfRule>
  </conditionalFormatting>
  <conditionalFormatting sqref="W479">
    <cfRule type="expression" dxfId="3240" priority="322">
      <formula>AND($R$479,$S$479)</formula>
    </cfRule>
  </conditionalFormatting>
  <conditionalFormatting sqref="W479">
    <cfRule type="expression" dxfId="3239" priority="321">
      <formula>AND($W$479&lt;&gt;"Not Met",LEN(TRIM($W$479))&gt;0)</formula>
    </cfRule>
  </conditionalFormatting>
  <conditionalFormatting sqref="W479">
    <cfRule type="expression" dxfId="3238" priority="320">
      <formula>$S$479 = FALSE</formula>
    </cfRule>
  </conditionalFormatting>
  <conditionalFormatting sqref="W479">
    <cfRule type="expression" dxfId="3237" priority="319">
      <formula>OR($T$479 = TRUE, AND(LEN(TRIM($W$479))&gt;0, $S$479 = FALSE))</formula>
    </cfRule>
  </conditionalFormatting>
  <conditionalFormatting sqref="W484">
    <cfRule type="expression" dxfId="3236" priority="318">
      <formula>AND($R$484,$S$484)</formula>
    </cfRule>
  </conditionalFormatting>
  <conditionalFormatting sqref="W484">
    <cfRule type="expression" dxfId="3235" priority="317">
      <formula>AND(IF($R$484,$W$484,TRUE),LEN(TRIM($W$484))&gt;0)</formula>
    </cfRule>
  </conditionalFormatting>
  <conditionalFormatting sqref="W484">
    <cfRule type="expression" dxfId="3234" priority="316">
      <formula>$S$484 = FALSE</formula>
    </cfRule>
  </conditionalFormatting>
  <conditionalFormatting sqref="W484">
    <cfRule type="expression" dxfId="3233" priority="315">
      <formula>OR($T$484 = TRUE, AND($W$484 = TRUE, $S$484 = FALSE))</formula>
    </cfRule>
  </conditionalFormatting>
  <conditionalFormatting sqref="W487">
    <cfRule type="expression" dxfId="3232" priority="314">
      <formula>AND($R$487,$S$487)</formula>
    </cfRule>
  </conditionalFormatting>
  <conditionalFormatting sqref="W487">
    <cfRule type="expression" dxfId="3231" priority="313">
      <formula>AND(IF($R$487,$W$487,TRUE),LEN(TRIM($W$487))&gt;0)</formula>
    </cfRule>
  </conditionalFormatting>
  <conditionalFormatting sqref="W487">
    <cfRule type="expression" dxfId="3230" priority="312">
      <formula>$S$487 = FALSE</formula>
    </cfRule>
  </conditionalFormatting>
  <conditionalFormatting sqref="W487">
    <cfRule type="expression" dxfId="3229" priority="311">
      <formula>OR($T$487 = TRUE, AND($W$487 = TRUE, $S$487 = FALSE))</formula>
    </cfRule>
  </conditionalFormatting>
  <conditionalFormatting sqref="W492">
    <cfRule type="expression" dxfId="3228" priority="310">
      <formula>AND($R$492,$S$492)</formula>
    </cfRule>
  </conditionalFormatting>
  <conditionalFormatting sqref="W492">
    <cfRule type="expression" dxfId="3227" priority="309">
      <formula>AND(IF($R$492,$W$492,TRUE),LEN(TRIM($W$492))&gt;0)</formula>
    </cfRule>
  </conditionalFormatting>
  <conditionalFormatting sqref="W492">
    <cfRule type="expression" dxfId="3226" priority="308">
      <formula>$S$492 = FALSE</formula>
    </cfRule>
  </conditionalFormatting>
  <conditionalFormatting sqref="W492">
    <cfRule type="expression" dxfId="3225" priority="307">
      <formula>OR($T$492 = TRUE, AND($W$492 = TRUE, $S$492 = FALSE))</formula>
    </cfRule>
  </conditionalFormatting>
  <conditionalFormatting sqref="W493">
    <cfRule type="expression" dxfId="3224" priority="306">
      <formula>AND($R$493,$S$493)</formula>
    </cfRule>
  </conditionalFormatting>
  <conditionalFormatting sqref="W493">
    <cfRule type="expression" dxfId="3223" priority="305">
      <formula>AND(IF($R$493,$W$493,TRUE),LEN(TRIM($W$493))&gt;0)</formula>
    </cfRule>
  </conditionalFormatting>
  <conditionalFormatting sqref="W493">
    <cfRule type="expression" dxfId="3222" priority="304">
      <formula>$S$493 = FALSE</formula>
    </cfRule>
  </conditionalFormatting>
  <conditionalFormatting sqref="W493">
    <cfRule type="expression" dxfId="3221" priority="303">
      <formula>OR($T$493 = TRUE, AND($W$493 = TRUE, $S$493 = FALSE))</formula>
    </cfRule>
  </conditionalFormatting>
  <conditionalFormatting sqref="W497">
    <cfRule type="expression" dxfId="3220" priority="302">
      <formula>AND($R$497,$S$497)</formula>
    </cfRule>
  </conditionalFormatting>
  <conditionalFormatting sqref="W497">
    <cfRule type="expression" dxfId="3219" priority="301">
      <formula>AND(IF($R$497,$W$497,TRUE),LEN(TRIM($W$497))&gt;0)</formula>
    </cfRule>
  </conditionalFormatting>
  <conditionalFormatting sqref="W497">
    <cfRule type="expression" dxfId="3218" priority="300">
      <formula>$S$497 = FALSE</formula>
    </cfRule>
  </conditionalFormatting>
  <conditionalFormatting sqref="W497">
    <cfRule type="expression" dxfId="3217" priority="299">
      <formula>OR($T$497 = TRUE, AND($W$497 = TRUE, $S$497 = FALSE))</formula>
    </cfRule>
  </conditionalFormatting>
  <conditionalFormatting sqref="W502">
    <cfRule type="expression" dxfId="3216" priority="298">
      <formula>AND($R$502,$S$502)</formula>
    </cfRule>
  </conditionalFormatting>
  <conditionalFormatting sqref="W502">
    <cfRule type="expression" dxfId="3215" priority="297">
      <formula>AND(IF($R$502,$W$502,TRUE),LEN(TRIM($W$502))&gt;0)</formula>
    </cfRule>
  </conditionalFormatting>
  <conditionalFormatting sqref="W502">
    <cfRule type="expression" dxfId="3214" priority="296">
      <formula>$S$502 = FALSE</formula>
    </cfRule>
  </conditionalFormatting>
  <conditionalFormatting sqref="W502">
    <cfRule type="expression" dxfId="3213" priority="295">
      <formula>OR($T$502 = TRUE, AND($W$502 = TRUE, $S$502 = FALSE))</formula>
    </cfRule>
  </conditionalFormatting>
  <conditionalFormatting sqref="W525">
    <cfRule type="expression" dxfId="3212" priority="290">
      <formula>AND($R$525,$S$525)</formula>
    </cfRule>
  </conditionalFormatting>
  <conditionalFormatting sqref="W525">
    <cfRule type="expression" dxfId="3211" priority="289">
      <formula>AND(IF($R$525,$W$525,TRUE),LEN(TRIM($W$525))&gt;0)</formula>
    </cfRule>
  </conditionalFormatting>
  <conditionalFormatting sqref="W525">
    <cfRule type="expression" dxfId="3210" priority="288">
      <formula>$S$525 = FALSE</formula>
    </cfRule>
  </conditionalFormatting>
  <conditionalFormatting sqref="W525">
    <cfRule type="expression" dxfId="3209" priority="287">
      <formula>OR($T$525 = TRUE, AND($W$525 = TRUE, $S$525 = FALSE))</formula>
    </cfRule>
  </conditionalFormatting>
  <conditionalFormatting sqref="X525">
    <cfRule type="expression" dxfId="3208" priority="286">
      <formula>W525=TRUE</formula>
    </cfRule>
  </conditionalFormatting>
  <conditionalFormatting sqref="W528">
    <cfRule type="expression" dxfId="3207" priority="285">
      <formula>AND($R$528,$S$528)</formula>
    </cfRule>
  </conditionalFormatting>
  <conditionalFormatting sqref="W528">
    <cfRule type="expression" dxfId="3206" priority="284">
      <formula>AND(IF($R$528,$W$528,TRUE),LEN(TRIM($W$528))&gt;0)</formula>
    </cfRule>
  </conditionalFormatting>
  <conditionalFormatting sqref="W528">
    <cfRule type="expression" dxfId="3205" priority="283">
      <formula>$S$528 = FALSE</formula>
    </cfRule>
  </conditionalFormatting>
  <conditionalFormatting sqref="W528">
    <cfRule type="expression" dxfId="3204" priority="282">
      <formula>OR($T$528 = TRUE, AND($W$528 = TRUE, $S$528 = FALSE))</formula>
    </cfRule>
  </conditionalFormatting>
  <conditionalFormatting sqref="X528">
    <cfRule type="expression" dxfId="3203" priority="281">
      <formula>W528=TRUE</formula>
    </cfRule>
  </conditionalFormatting>
  <conditionalFormatting sqref="W542">
    <cfRule type="expression" dxfId="3202" priority="280">
      <formula>AND($R$542,$S$542)</formula>
    </cfRule>
  </conditionalFormatting>
  <conditionalFormatting sqref="W542">
    <cfRule type="expression" dxfId="3201" priority="279">
      <formula>AND(IF($R$542,$W$542,TRUE),LEN(TRIM($W$542))&gt;0)</formula>
    </cfRule>
  </conditionalFormatting>
  <conditionalFormatting sqref="W542">
    <cfRule type="expression" dxfId="3200" priority="278">
      <formula>$S$542 = FALSE</formula>
    </cfRule>
  </conditionalFormatting>
  <conditionalFormatting sqref="W542">
    <cfRule type="expression" dxfId="3199" priority="277">
      <formula>OR($T$542 = TRUE, AND($W$542 = TRUE, $S$542 = FALSE))</formula>
    </cfRule>
  </conditionalFormatting>
  <conditionalFormatting sqref="W554">
    <cfRule type="expression" dxfId="3198" priority="276">
      <formula>AND($R$554,$S$554)</formula>
    </cfRule>
  </conditionalFormatting>
  <conditionalFormatting sqref="W554">
    <cfRule type="expression" dxfId="3197" priority="275">
      <formula>AND(IF($R$554,$W$554,TRUE),LEN(TRIM($W$554))&gt;0)</formula>
    </cfRule>
  </conditionalFormatting>
  <conditionalFormatting sqref="W554">
    <cfRule type="expression" dxfId="3196" priority="274">
      <formula>$S$554 = FALSE</formula>
    </cfRule>
  </conditionalFormatting>
  <conditionalFormatting sqref="W554">
    <cfRule type="expression" dxfId="3195" priority="273">
      <formula>OR($T$554 = TRUE, AND($W$554 = TRUE, $S$554 = FALSE))</formula>
    </cfRule>
  </conditionalFormatting>
  <conditionalFormatting sqref="W556">
    <cfRule type="expression" dxfId="3194" priority="272">
      <formula>AND($R$556,$S$556)</formula>
    </cfRule>
  </conditionalFormatting>
  <conditionalFormatting sqref="W556">
    <cfRule type="expression" dxfId="3193" priority="271">
      <formula>AND(IF($R$556,$W$556,TRUE),LEN(TRIM($W$556))&gt;0)</formula>
    </cfRule>
  </conditionalFormatting>
  <conditionalFormatting sqref="W556">
    <cfRule type="expression" dxfId="3192" priority="270">
      <formula>$S$556 = FALSE</formula>
    </cfRule>
  </conditionalFormatting>
  <conditionalFormatting sqref="W556">
    <cfRule type="expression" dxfId="3191" priority="269">
      <formula>OR($T$556 = TRUE, AND($W$556 = TRUE, $S$556 = FALSE))</formula>
    </cfRule>
  </conditionalFormatting>
  <conditionalFormatting sqref="W558">
    <cfRule type="expression" dxfId="3190" priority="268">
      <formula>AND($R$558,$S$558)</formula>
    </cfRule>
  </conditionalFormatting>
  <conditionalFormatting sqref="W558">
    <cfRule type="expression" dxfId="3189" priority="267">
      <formula>AND(IF($R$558,$W$558,TRUE),LEN(TRIM($W$558))&gt;0)</formula>
    </cfRule>
  </conditionalFormatting>
  <conditionalFormatting sqref="W558">
    <cfRule type="expression" dxfId="3188" priority="266">
      <formula>$S$558 = FALSE</formula>
    </cfRule>
  </conditionalFormatting>
  <conditionalFormatting sqref="W558">
    <cfRule type="expression" dxfId="3187" priority="265">
      <formula>OR($T$558 = TRUE, AND($W$558 = TRUE, $S$558 = FALSE))</formula>
    </cfRule>
  </conditionalFormatting>
  <conditionalFormatting sqref="W369">
    <cfRule type="expression" dxfId="3186" priority="264">
      <formula>AND($R$369,$S$369)</formula>
    </cfRule>
  </conditionalFormatting>
  <conditionalFormatting sqref="W369">
    <cfRule type="expression" dxfId="3185" priority="263">
      <formula>AND(IF($R$369,$W$369,TRUE),LEN(TRIM($W$369))&gt;0)</formula>
    </cfRule>
  </conditionalFormatting>
  <conditionalFormatting sqref="W369">
    <cfRule type="expression" dxfId="3184" priority="262">
      <formula>$S$369 = FALSE</formula>
    </cfRule>
  </conditionalFormatting>
  <conditionalFormatting sqref="W369">
    <cfRule type="expression" dxfId="3183" priority="261">
      <formula>OR($T$369 = TRUE, AND($W$369 = TRUE, $S$369 = FALSE))</formula>
    </cfRule>
  </conditionalFormatting>
  <conditionalFormatting sqref="W364">
    <cfRule type="expression" dxfId="3182" priority="260">
      <formula>AND($R$364,$S$364)</formula>
    </cfRule>
  </conditionalFormatting>
  <conditionalFormatting sqref="W364">
    <cfRule type="expression" dxfId="3181" priority="259">
      <formula>AND(IF($R$364,$W$364,TRUE),LEN(TRIM($W$364))&gt;0)</formula>
    </cfRule>
  </conditionalFormatting>
  <conditionalFormatting sqref="W364">
    <cfRule type="expression" dxfId="3180" priority="258">
      <formula>$S$364 = FALSE</formula>
    </cfRule>
  </conditionalFormatting>
  <conditionalFormatting sqref="W364">
    <cfRule type="expression" dxfId="3179" priority="257">
      <formula>OR($T$364 = TRUE, AND($W$364 = TRUE, $S$364 = FALSE))</formula>
    </cfRule>
  </conditionalFormatting>
  <conditionalFormatting sqref="W365">
    <cfRule type="expression" dxfId="3178" priority="256">
      <formula>AND($R$365,$S$365)</formula>
    </cfRule>
  </conditionalFormatting>
  <conditionalFormatting sqref="W365">
    <cfRule type="expression" dxfId="3177" priority="255">
      <formula>AND(IF($R$365,$W$365,TRUE),LEN(TRIM($W$365))&gt;0)</formula>
    </cfRule>
  </conditionalFormatting>
  <conditionalFormatting sqref="W365">
    <cfRule type="expression" dxfId="3176" priority="254">
      <formula>$S$365 = FALSE</formula>
    </cfRule>
  </conditionalFormatting>
  <conditionalFormatting sqref="W365">
    <cfRule type="expression" dxfId="3175" priority="253">
      <formula>OR($T$365 = TRUE, AND($W$365 = TRUE, $S$365 = FALSE))</formula>
    </cfRule>
  </conditionalFormatting>
  <conditionalFormatting sqref="W366">
    <cfRule type="expression" dxfId="3174" priority="248">
      <formula>AND($R$366,$S$366)</formula>
    </cfRule>
  </conditionalFormatting>
  <conditionalFormatting sqref="W366">
    <cfRule type="expression" dxfId="3173" priority="247">
      <formula>AND(IF($R$366,$W$366,TRUE),LEN(TRIM($W$366))&gt;0)</formula>
    </cfRule>
  </conditionalFormatting>
  <conditionalFormatting sqref="W366">
    <cfRule type="expression" dxfId="3172" priority="246">
      <formula>$S$366 = FALSE</formula>
    </cfRule>
  </conditionalFormatting>
  <conditionalFormatting sqref="W366">
    <cfRule type="expression" dxfId="3171" priority="245">
      <formula>OR($T$366 = TRUE, AND($W$366 = TRUE, $S$366 = FALSE))</formula>
    </cfRule>
  </conditionalFormatting>
  <conditionalFormatting sqref="W397">
    <cfRule type="expression" dxfId="3170" priority="244">
      <formula>AND($R$397,$S$397)</formula>
    </cfRule>
  </conditionalFormatting>
  <conditionalFormatting sqref="W397">
    <cfRule type="expression" dxfId="3169" priority="243">
      <formula>AND(IF($R$397,$W$397,TRUE),LEN(TRIM($W$397))&gt;0)</formula>
    </cfRule>
  </conditionalFormatting>
  <conditionalFormatting sqref="W397">
    <cfRule type="expression" dxfId="3168" priority="242">
      <formula>$S$397 = FALSE</formula>
    </cfRule>
  </conditionalFormatting>
  <conditionalFormatting sqref="W397">
    <cfRule type="expression" dxfId="3167" priority="241">
      <formula>OR($T$397 = TRUE, AND($W$397 = TRUE, $S$397 = FALSE))</formula>
    </cfRule>
  </conditionalFormatting>
  <conditionalFormatting sqref="W405">
    <cfRule type="expression" dxfId="3166" priority="240">
      <formula>AND($R$405,$S$405)</formula>
    </cfRule>
  </conditionalFormatting>
  <conditionalFormatting sqref="W405">
    <cfRule type="expression" dxfId="3165" priority="239">
      <formula>AND(IF($R$405,$W$405,TRUE),LEN(TRIM($W$405))&gt;0)</formula>
    </cfRule>
  </conditionalFormatting>
  <conditionalFormatting sqref="W405">
    <cfRule type="expression" dxfId="3164" priority="238">
      <formula>$S$405 = FALSE</formula>
    </cfRule>
  </conditionalFormatting>
  <conditionalFormatting sqref="W405">
    <cfRule type="expression" dxfId="3163" priority="237">
      <formula>OR($T$405 = TRUE, AND($W$405 = TRUE, $S$405 = FALSE))</formula>
    </cfRule>
  </conditionalFormatting>
  <conditionalFormatting sqref="W407">
    <cfRule type="expression" dxfId="3162" priority="236">
      <formula>AND($R$407,$S$407)</formula>
    </cfRule>
  </conditionalFormatting>
  <conditionalFormatting sqref="W407">
    <cfRule type="expression" dxfId="3161" priority="235">
      <formula>AND(IF($R$407,$W$407,TRUE),LEN(TRIM($W$407))&gt;0)</formula>
    </cfRule>
  </conditionalFormatting>
  <conditionalFormatting sqref="W407">
    <cfRule type="expression" dxfId="3160" priority="234">
      <formula>$S$407 = FALSE</formula>
    </cfRule>
  </conditionalFormatting>
  <conditionalFormatting sqref="W407">
    <cfRule type="expression" dxfId="3159" priority="233">
      <formula>OR($T$407 = TRUE, AND($W$407 = TRUE, $S$407 = FALSE))</formula>
    </cfRule>
  </conditionalFormatting>
  <conditionalFormatting sqref="W408">
    <cfRule type="expression" dxfId="3158" priority="232">
      <formula>AND($R$408,$S$408)</formula>
    </cfRule>
  </conditionalFormatting>
  <conditionalFormatting sqref="W408">
    <cfRule type="expression" dxfId="3157" priority="231">
      <formula>AND(IF($R$408,$W$408,TRUE),LEN(TRIM($W$408))&gt;0)</formula>
    </cfRule>
  </conditionalFormatting>
  <conditionalFormatting sqref="W408">
    <cfRule type="expression" dxfId="3156" priority="230">
      <formula>$S$408 = FALSE</formula>
    </cfRule>
  </conditionalFormatting>
  <conditionalFormatting sqref="W408">
    <cfRule type="expression" dxfId="3155" priority="229">
      <formula>OR($T$408 = TRUE, AND($W$408 = TRUE, $S$408 = FALSE))</formula>
    </cfRule>
  </conditionalFormatting>
  <conditionalFormatting sqref="W409">
    <cfRule type="expression" dxfId="3154" priority="228">
      <formula>AND($R$409,$S$409)</formula>
    </cfRule>
  </conditionalFormatting>
  <conditionalFormatting sqref="W409">
    <cfRule type="expression" dxfId="3153" priority="227">
      <formula>AND(IF($R$409,$W$409,TRUE),LEN(TRIM($W$409))&gt;0)</formula>
    </cfRule>
  </conditionalFormatting>
  <conditionalFormatting sqref="W409">
    <cfRule type="expression" dxfId="3152" priority="226">
      <formula>$S$409 = FALSE</formula>
    </cfRule>
  </conditionalFormatting>
  <conditionalFormatting sqref="W409">
    <cfRule type="expression" dxfId="3151" priority="225">
      <formula>OR($T$409 = TRUE, AND($W$409 = TRUE, $S$409 = FALSE))</formula>
    </cfRule>
  </conditionalFormatting>
  <conditionalFormatting sqref="W411">
    <cfRule type="expression" dxfId="3150" priority="224">
      <formula>AND($R$411,$S$411)</formula>
    </cfRule>
  </conditionalFormatting>
  <conditionalFormatting sqref="W411">
    <cfRule type="expression" dxfId="3149" priority="223">
      <formula>AND(IF($R$411,$W$411,TRUE),LEN(TRIM($W$411))&gt;0)</formula>
    </cfRule>
  </conditionalFormatting>
  <conditionalFormatting sqref="W411">
    <cfRule type="expression" dxfId="3148" priority="222">
      <formula>$S$411 = FALSE</formula>
    </cfRule>
  </conditionalFormatting>
  <conditionalFormatting sqref="W411">
    <cfRule type="expression" dxfId="3147" priority="221">
      <formula>OR($T$411 = TRUE, AND($W$411 = TRUE, $S$411 = FALSE))</formula>
    </cfRule>
  </conditionalFormatting>
  <conditionalFormatting sqref="W414">
    <cfRule type="expression" dxfId="3146" priority="220">
      <formula>AND($R$414,$S$414)</formula>
    </cfRule>
  </conditionalFormatting>
  <conditionalFormatting sqref="W414">
    <cfRule type="expression" dxfId="3145" priority="219">
      <formula>AND(IF($R$414,$W$414,TRUE),LEN(TRIM($W$414))&gt;0)</formula>
    </cfRule>
  </conditionalFormatting>
  <conditionalFormatting sqref="W414">
    <cfRule type="expression" dxfId="3144" priority="218">
      <formula>$S$414 = FALSE</formula>
    </cfRule>
  </conditionalFormatting>
  <conditionalFormatting sqref="W414">
    <cfRule type="expression" dxfId="3143" priority="217">
      <formula>OR($T$414 = TRUE, AND($W$414 = TRUE, $S$414 = FALSE))</formula>
    </cfRule>
  </conditionalFormatting>
  <conditionalFormatting sqref="W415">
    <cfRule type="expression" dxfId="3142" priority="216">
      <formula>AND($R$415,$S$415)</formula>
    </cfRule>
  </conditionalFormatting>
  <conditionalFormatting sqref="W415">
    <cfRule type="expression" dxfId="3141" priority="215">
      <formula>AND(IF($R$415,$W$415,TRUE),LEN(TRIM($W$415))&gt;0)</formula>
    </cfRule>
  </conditionalFormatting>
  <conditionalFormatting sqref="W415">
    <cfRule type="expression" dxfId="3140" priority="214">
      <formula>$S$415 = FALSE</formula>
    </cfRule>
  </conditionalFormatting>
  <conditionalFormatting sqref="W415">
    <cfRule type="expression" dxfId="3139" priority="213">
      <formula>OR($T$415 = TRUE, AND($W$415 = TRUE, $S$415 = FALSE))</formula>
    </cfRule>
  </conditionalFormatting>
  <conditionalFormatting sqref="W420">
    <cfRule type="expression" dxfId="3138" priority="212">
      <formula>AND($R$420,$S$420)</formula>
    </cfRule>
  </conditionalFormatting>
  <conditionalFormatting sqref="W420">
    <cfRule type="expression" dxfId="3137" priority="211">
      <formula>AND(IF($R$420,$W$420,TRUE),LEN(TRIM($W$420))&gt;0)</formula>
    </cfRule>
  </conditionalFormatting>
  <conditionalFormatting sqref="W420">
    <cfRule type="expression" dxfId="3136" priority="210">
      <formula>$S$420 = FALSE</formula>
    </cfRule>
  </conditionalFormatting>
  <conditionalFormatting sqref="W420">
    <cfRule type="expression" dxfId="3135" priority="209">
      <formula>OR($T$420 = TRUE, AND($W$420 = TRUE, $S$420 = FALSE))</formula>
    </cfRule>
  </conditionalFormatting>
  <conditionalFormatting sqref="W422">
    <cfRule type="expression" dxfId="3134" priority="208">
      <formula>AND($R$422,$S$422)</formula>
    </cfRule>
  </conditionalFormatting>
  <conditionalFormatting sqref="W422">
    <cfRule type="expression" dxfId="3133" priority="207">
      <formula>AND(IF($R$422,$W$422,TRUE),LEN(TRIM($W$422))&gt;0)</formula>
    </cfRule>
  </conditionalFormatting>
  <conditionalFormatting sqref="W422">
    <cfRule type="expression" dxfId="3132" priority="206">
      <formula>$S$422 = FALSE</formula>
    </cfRule>
  </conditionalFormatting>
  <conditionalFormatting sqref="W422">
    <cfRule type="expression" dxfId="3131" priority="205">
      <formula>OR($T$422 = TRUE, AND($W$422 = TRUE, $S$422 = FALSE))</formula>
    </cfRule>
  </conditionalFormatting>
  <conditionalFormatting sqref="W424">
    <cfRule type="expression" dxfId="3130" priority="204">
      <formula>AND($R$424,$S$424)</formula>
    </cfRule>
  </conditionalFormatting>
  <conditionalFormatting sqref="W424">
    <cfRule type="expression" dxfId="3129" priority="203">
      <formula>AND(IF($R$424,$W$424,TRUE),LEN(TRIM($W$424))&gt;0)</formula>
    </cfRule>
  </conditionalFormatting>
  <conditionalFormatting sqref="W424">
    <cfRule type="expression" dxfId="3128" priority="202">
      <formula>$S$424 = FALSE</formula>
    </cfRule>
  </conditionalFormatting>
  <conditionalFormatting sqref="W424">
    <cfRule type="expression" dxfId="3127" priority="201">
      <formula>OR($T$424 = TRUE, AND($W$424 = TRUE, $S$424 = FALSE))</formula>
    </cfRule>
  </conditionalFormatting>
  <conditionalFormatting sqref="W426">
    <cfRule type="expression" dxfId="3126" priority="200">
      <formula>AND($R$426,$S$426)</formula>
    </cfRule>
  </conditionalFormatting>
  <conditionalFormatting sqref="W426">
    <cfRule type="expression" dxfId="3125" priority="199">
      <formula>AND(IF($R$426,$W$426,TRUE),LEN(TRIM($W$426))&gt;0)</formula>
    </cfRule>
  </conditionalFormatting>
  <conditionalFormatting sqref="W426">
    <cfRule type="expression" dxfId="3124" priority="198">
      <formula>$S$426 = FALSE</formula>
    </cfRule>
  </conditionalFormatting>
  <conditionalFormatting sqref="W426">
    <cfRule type="expression" dxfId="3123" priority="197">
      <formula>OR($T$426 = TRUE, AND($W$426 = TRUE, $S$426 = FALSE))</formula>
    </cfRule>
  </conditionalFormatting>
  <conditionalFormatting sqref="W357">
    <cfRule type="expression" dxfId="3122" priority="196">
      <formula>AND($R$357,$S$357)</formula>
    </cfRule>
  </conditionalFormatting>
  <conditionalFormatting sqref="W357">
    <cfRule type="expression" dxfId="3121" priority="195">
      <formula>AND(IF($R$357,$W$357,TRUE),LEN(TRIM($W$357))&gt;0)</formula>
    </cfRule>
  </conditionalFormatting>
  <conditionalFormatting sqref="W357">
    <cfRule type="expression" dxfId="3120" priority="194">
      <formula>$S$357 = FALSE</formula>
    </cfRule>
  </conditionalFormatting>
  <conditionalFormatting sqref="W357">
    <cfRule type="expression" dxfId="3119" priority="193">
      <formula>OR($T$357 = TRUE, AND($W$357 = TRUE, $S$357 = FALSE))</formula>
    </cfRule>
  </conditionalFormatting>
  <conditionalFormatting sqref="W359">
    <cfRule type="expression" dxfId="3118" priority="192">
      <formula>AND($R$359,$S$359)</formula>
    </cfRule>
  </conditionalFormatting>
  <conditionalFormatting sqref="W359">
    <cfRule type="expression" dxfId="3117" priority="191">
      <formula>AND(IF($R$359,$W$359,TRUE),LEN(TRIM($W$359))&gt;0)</formula>
    </cfRule>
  </conditionalFormatting>
  <conditionalFormatting sqref="W359">
    <cfRule type="expression" dxfId="3116" priority="190">
      <formula>$S$359 = FALSE</formula>
    </cfRule>
  </conditionalFormatting>
  <conditionalFormatting sqref="W359">
    <cfRule type="expression" dxfId="3115" priority="189">
      <formula>OR($T$359 = TRUE, AND($W$359 = TRUE, $S$359 = FALSE))</formula>
    </cfRule>
  </conditionalFormatting>
  <conditionalFormatting sqref="W361">
    <cfRule type="expression" dxfId="3114" priority="188">
      <formula>AND($R$361,$S$361)</formula>
    </cfRule>
  </conditionalFormatting>
  <conditionalFormatting sqref="W361">
    <cfRule type="expression" dxfId="3113" priority="187">
      <formula>AND(IF($R$361,$W$361,TRUE),LEN(TRIM($W$361))&gt;0)</formula>
    </cfRule>
  </conditionalFormatting>
  <conditionalFormatting sqref="W361">
    <cfRule type="expression" dxfId="3112" priority="186">
      <formula>$S$361 = FALSE</formula>
    </cfRule>
  </conditionalFormatting>
  <conditionalFormatting sqref="W361">
    <cfRule type="expression" dxfId="3111" priority="185">
      <formula>OR($T$361 = TRUE, AND($W$361 = TRUE, $S$361 = FALSE))</formula>
    </cfRule>
  </conditionalFormatting>
  <conditionalFormatting sqref="W490">
    <cfRule type="expression" dxfId="3110" priority="184">
      <formula>AND(R490,S490)</formula>
    </cfRule>
  </conditionalFormatting>
  <conditionalFormatting sqref="W490">
    <cfRule type="expression" dxfId="3109" priority="183">
      <formula>AND(S490,LEN(TRIM(W490))&gt;0)</formula>
    </cfRule>
  </conditionalFormatting>
  <conditionalFormatting sqref="W490">
    <cfRule type="expression" dxfId="3108" priority="182">
      <formula>S490 = FALSE</formula>
    </cfRule>
  </conditionalFormatting>
  <conditionalFormatting sqref="W490">
    <cfRule type="expression" dxfId="3107" priority="181">
      <formula>OR(T490 = TRUE, AND(W490 &gt; 0, S490 = FALSE))</formula>
    </cfRule>
  </conditionalFormatting>
  <conditionalFormatting sqref="W536">
    <cfRule type="expression" dxfId="3106" priority="180">
      <formula>AND($R$536,$S$536)</formula>
    </cfRule>
  </conditionalFormatting>
  <conditionalFormatting sqref="W536">
    <cfRule type="expression" dxfId="3105" priority="179">
      <formula>AND($W$536&lt;&gt;"Not Met",LEN(TRIM($W$536))&gt;0)</formula>
    </cfRule>
  </conditionalFormatting>
  <conditionalFormatting sqref="W536">
    <cfRule type="expression" dxfId="3104" priority="178">
      <formula>$S$536 = FALSE</formula>
    </cfRule>
  </conditionalFormatting>
  <conditionalFormatting sqref="W536">
    <cfRule type="expression" dxfId="3103" priority="177">
      <formula>OR($T$536 = TRUE, AND(LEN(TRIM($W$536))&gt;0, $S$536 = FALSE))</formula>
    </cfRule>
  </conditionalFormatting>
  <conditionalFormatting sqref="W347">
    <cfRule type="expression" dxfId="3102" priority="176">
      <formula>AND(R347,S347)</formula>
    </cfRule>
  </conditionalFormatting>
  <conditionalFormatting sqref="W347">
    <cfRule type="expression" dxfId="3101" priority="175">
      <formula>AND(R347,LEN(TRIM(W347))&gt;0)</formula>
    </cfRule>
  </conditionalFormatting>
  <conditionalFormatting sqref="W347">
    <cfRule type="expression" dxfId="3100" priority="174">
      <formula>S347 = FALSE</formula>
    </cfRule>
  </conditionalFormatting>
  <conditionalFormatting sqref="W347">
    <cfRule type="expression" dxfId="3099" priority="173">
      <formula>OR(T347 = TRUE, AND(W347 &gt; 0, S347 = FALSE))</formula>
    </cfRule>
  </conditionalFormatting>
  <conditionalFormatting sqref="W343">
    <cfRule type="expression" dxfId="3098" priority="172">
      <formula>AND($R$343,$S$343)</formula>
    </cfRule>
  </conditionalFormatting>
  <conditionalFormatting sqref="W343">
    <cfRule type="expression" dxfId="3097" priority="171">
      <formula>AND(IF($R$343,$W$343,TRUE),LEN(TRIM($W$343))&gt;0)</formula>
    </cfRule>
  </conditionalFormatting>
  <conditionalFormatting sqref="W343">
    <cfRule type="expression" dxfId="3096" priority="170">
      <formula>$S$343 = FALSE</formula>
    </cfRule>
  </conditionalFormatting>
  <conditionalFormatting sqref="W343">
    <cfRule type="expression" dxfId="3095" priority="169">
      <formula>OR($T$343 = TRUE, AND($W$343 = TRUE, $S$343 = FALSE))</formula>
    </cfRule>
  </conditionalFormatting>
  <conditionalFormatting sqref="W345">
    <cfRule type="expression" dxfId="3094" priority="168">
      <formula>AND($R$345,$S$345)</formula>
    </cfRule>
  </conditionalFormatting>
  <conditionalFormatting sqref="W345">
    <cfRule type="expression" dxfId="3093" priority="167">
      <formula>AND(IF($R$345,$W$345,TRUE),LEN(TRIM($W$345))&gt;0)</formula>
    </cfRule>
  </conditionalFormatting>
  <conditionalFormatting sqref="W345">
    <cfRule type="expression" dxfId="3092" priority="166">
      <formula>$S$345 = FALSE</formula>
    </cfRule>
  </conditionalFormatting>
  <conditionalFormatting sqref="W345">
    <cfRule type="expression" dxfId="3091" priority="165">
      <formula>OR($T$345 = TRUE, AND($W$345 = TRUE, $S$345 = FALSE))</formula>
    </cfRule>
  </conditionalFormatting>
  <conditionalFormatting sqref="W341">
    <cfRule type="expression" dxfId="3090" priority="164">
      <formula>AND($R$341,$S$341)</formula>
    </cfRule>
  </conditionalFormatting>
  <conditionalFormatting sqref="W341">
    <cfRule type="expression" dxfId="3089" priority="163">
      <formula>AND(IF($R$341,$W$341,TRUE),LEN(TRIM($W$341))&gt;0)</formula>
    </cfRule>
  </conditionalFormatting>
  <conditionalFormatting sqref="W341">
    <cfRule type="expression" dxfId="3088" priority="162">
      <formula>$S$341 = FALSE</formula>
    </cfRule>
  </conditionalFormatting>
  <conditionalFormatting sqref="W341">
    <cfRule type="expression" dxfId="3087" priority="161">
      <formula>OR($T$341 = TRUE, AND($W$341 = TRUE, $S$341 = FALSE))</formula>
    </cfRule>
  </conditionalFormatting>
  <conditionalFormatting sqref="W324">
    <cfRule type="expression" dxfId="3086" priority="160">
      <formula>AND($R$324,$S$324)</formula>
    </cfRule>
  </conditionalFormatting>
  <conditionalFormatting sqref="W324">
    <cfRule type="expression" dxfId="3085" priority="159">
      <formula>AND($W$324&lt;&gt;"Not Met",LEN(TRIM($W$324))&gt;0)</formula>
    </cfRule>
  </conditionalFormatting>
  <conditionalFormatting sqref="W324">
    <cfRule type="expression" dxfId="3084" priority="158">
      <formula>$S$324 = FALSE</formula>
    </cfRule>
  </conditionalFormatting>
  <conditionalFormatting sqref="W324">
    <cfRule type="expression" dxfId="3083" priority="157">
      <formula>OR($T$324 = TRUE, AND(LEN(TRIM($W$324))&gt;0, $S$324 = FALSE))</formula>
    </cfRule>
  </conditionalFormatting>
  <conditionalFormatting sqref="W326">
    <cfRule type="expression" dxfId="3082" priority="156">
      <formula>AND(R326,S326)</formula>
    </cfRule>
  </conditionalFormatting>
  <conditionalFormatting sqref="W326">
    <cfRule type="expression" dxfId="3081" priority="155">
      <formula>AND(S326,LEN(TRIM(W326))&gt;0)</formula>
    </cfRule>
  </conditionalFormatting>
  <conditionalFormatting sqref="W326">
    <cfRule type="expression" dxfId="3080" priority="154">
      <formula>S326 = FALSE</formula>
    </cfRule>
  </conditionalFormatting>
  <conditionalFormatting sqref="W326">
    <cfRule type="expression" dxfId="3079" priority="153">
      <formula>OR(T326 = TRUE, AND(W326 &gt; 0, S326 = FALSE))</formula>
    </cfRule>
  </conditionalFormatting>
  <conditionalFormatting sqref="W303">
    <cfRule type="expression" dxfId="3078" priority="152">
      <formula>AND($R$303,$S$303)</formula>
    </cfRule>
  </conditionalFormatting>
  <conditionalFormatting sqref="W303">
    <cfRule type="expression" dxfId="3077" priority="151">
      <formula>AND(IF($R$303,$W$303,TRUE),LEN(TRIM($W$303))&gt;0)</formula>
    </cfRule>
  </conditionalFormatting>
  <conditionalFormatting sqref="W303">
    <cfRule type="expression" dxfId="3076" priority="150">
      <formula>$S$303 = FALSE</formula>
    </cfRule>
  </conditionalFormatting>
  <conditionalFormatting sqref="W303">
    <cfRule type="expression" dxfId="3075" priority="149">
      <formula>OR($T$303 = TRUE, AND($W$303 = TRUE, $S$303 = FALSE))</formula>
    </cfRule>
  </conditionalFormatting>
  <conditionalFormatting sqref="W305">
    <cfRule type="expression" dxfId="3074" priority="148">
      <formula>AND($R$305,$S$305)</formula>
    </cfRule>
  </conditionalFormatting>
  <conditionalFormatting sqref="W305">
    <cfRule type="expression" dxfId="3073" priority="147">
      <formula>AND(IF($R$305,$W$305,TRUE),LEN(TRIM($W$305))&gt;0)</formula>
    </cfRule>
  </conditionalFormatting>
  <conditionalFormatting sqref="W305">
    <cfRule type="expression" dxfId="3072" priority="146">
      <formula>$S$305 = FALSE</formula>
    </cfRule>
  </conditionalFormatting>
  <conditionalFormatting sqref="W305">
    <cfRule type="expression" dxfId="3071" priority="145">
      <formula>OR($T$305 = TRUE, AND($W$305 = TRUE, $S$305 = FALSE))</formula>
    </cfRule>
  </conditionalFormatting>
  <conditionalFormatting sqref="W308">
    <cfRule type="expression" dxfId="3070" priority="144">
      <formula>AND($R$308,$S$308)</formula>
    </cfRule>
  </conditionalFormatting>
  <conditionalFormatting sqref="W308">
    <cfRule type="expression" dxfId="3069" priority="143">
      <formula>AND(IF($R$308,$W$308,TRUE),LEN(TRIM($W$308))&gt;0)</formula>
    </cfRule>
  </conditionalFormatting>
  <conditionalFormatting sqref="W308">
    <cfRule type="expression" dxfId="3068" priority="142">
      <formula>$S$308 = FALSE</formula>
    </cfRule>
  </conditionalFormatting>
  <conditionalFormatting sqref="W308">
    <cfRule type="expression" dxfId="3067" priority="141">
      <formula>OR($T$308 = TRUE, AND($W$308 = TRUE, $S$308 = FALSE))</formula>
    </cfRule>
  </conditionalFormatting>
  <conditionalFormatting sqref="W309">
    <cfRule type="expression" dxfId="3066" priority="140">
      <formula>AND($R$309,$S$309)</formula>
    </cfRule>
  </conditionalFormatting>
  <conditionalFormatting sqref="W309">
    <cfRule type="expression" dxfId="3065" priority="139">
      <formula>AND(IF($R$309,$W$309,TRUE),LEN(TRIM($W$309))&gt;0)</formula>
    </cfRule>
  </conditionalFormatting>
  <conditionalFormatting sqref="W309">
    <cfRule type="expression" dxfId="3064" priority="138">
      <formula>$S$309 = FALSE</formula>
    </cfRule>
  </conditionalFormatting>
  <conditionalFormatting sqref="W309">
    <cfRule type="expression" dxfId="3063" priority="137">
      <formula>OR($T$309 = TRUE, AND($W$309 = TRUE, $S$309 = FALSE))</formula>
    </cfRule>
  </conditionalFormatting>
  <conditionalFormatting sqref="W311">
    <cfRule type="expression" dxfId="3062" priority="136">
      <formula>AND($R$311,$S$311)</formula>
    </cfRule>
  </conditionalFormatting>
  <conditionalFormatting sqref="W311">
    <cfRule type="expression" dxfId="3061" priority="135">
      <formula>AND(IF($R$311,$W$311,TRUE),LEN(TRIM($W$311))&gt;0)</formula>
    </cfRule>
  </conditionalFormatting>
  <conditionalFormatting sqref="W311">
    <cfRule type="expression" dxfId="3060" priority="134">
      <formula>$S$311 = FALSE</formula>
    </cfRule>
  </conditionalFormatting>
  <conditionalFormatting sqref="W311">
    <cfRule type="expression" dxfId="3059" priority="133">
      <formula>OR($T$311 = TRUE, AND($W$311 = TRUE, $S$311 = FALSE))</formula>
    </cfRule>
  </conditionalFormatting>
  <conditionalFormatting sqref="W313">
    <cfRule type="expression" dxfId="3058" priority="132">
      <formula>AND($R$313,$S$313)</formula>
    </cfRule>
  </conditionalFormatting>
  <conditionalFormatting sqref="W313">
    <cfRule type="expression" dxfId="3057" priority="131">
      <formula>AND($W$313&lt;&gt;"Not Met",LEN(TRIM($W$313))&gt;0)</formula>
    </cfRule>
  </conditionalFormatting>
  <conditionalFormatting sqref="W313">
    <cfRule type="expression" dxfId="3056" priority="130">
      <formula>$S$313 = FALSE</formula>
    </cfRule>
  </conditionalFormatting>
  <conditionalFormatting sqref="W313">
    <cfRule type="expression" dxfId="3055" priority="129">
      <formula>OR($T$313 = TRUE, AND(LEN(TRIM($W$313))&gt;0, $S$313 = FALSE))</formula>
    </cfRule>
  </conditionalFormatting>
  <conditionalFormatting sqref="W72">
    <cfRule type="expression" dxfId="3054" priority="128">
      <formula>AND(R72,S72)</formula>
    </cfRule>
  </conditionalFormatting>
  <conditionalFormatting sqref="W72">
    <cfRule type="expression" dxfId="3053" priority="127">
      <formula>NOT(ISBLANK(W72))</formula>
    </cfRule>
  </conditionalFormatting>
  <conditionalFormatting sqref="W72">
    <cfRule type="expression" dxfId="3052" priority="126">
      <formula>S72 = FALSE</formula>
    </cfRule>
  </conditionalFormatting>
  <conditionalFormatting sqref="W72">
    <cfRule type="expression" dxfId="3051" priority="125">
      <formula>OR(T72 = TRUE, AND(W72 = TRUE, S72 = FALSE))</formula>
    </cfRule>
  </conditionalFormatting>
  <conditionalFormatting sqref="W524">
    <cfRule type="expression" dxfId="3050" priority="124">
      <formula>AND(R524,S524)</formula>
    </cfRule>
  </conditionalFormatting>
  <conditionalFormatting sqref="W524">
    <cfRule type="expression" dxfId="3049" priority="123">
      <formula>NOT(ISBLANK(W524))</formula>
    </cfRule>
  </conditionalFormatting>
  <conditionalFormatting sqref="W524">
    <cfRule type="expression" dxfId="3048" priority="122">
      <formula>S524 = FALSE</formula>
    </cfRule>
  </conditionalFormatting>
  <conditionalFormatting sqref="W524">
    <cfRule type="expression" dxfId="3047" priority="121">
      <formula>OR(T524 = TRUE, AND(W524 = TRUE, S524 = FALSE))</formula>
    </cfRule>
  </conditionalFormatting>
  <conditionalFormatting sqref="W225">
    <cfRule type="expression" dxfId="3046" priority="120">
      <formula>AND($R$225,$S$225)</formula>
    </cfRule>
  </conditionalFormatting>
  <conditionalFormatting sqref="W225">
    <cfRule type="expression" dxfId="3045" priority="119">
      <formula>AND($W$225&lt;&gt;"Not Met",LEN(TRIM($W$225))&gt;0)</formula>
    </cfRule>
  </conditionalFormatting>
  <conditionalFormatting sqref="W225">
    <cfRule type="expression" dxfId="3044" priority="118">
      <formula>$S$225 = FALSE</formula>
    </cfRule>
  </conditionalFormatting>
  <conditionalFormatting sqref="W225">
    <cfRule type="expression" dxfId="3043" priority="117">
      <formula>OR($T$225 = TRUE, AND(LEN(TRIM($W$225))&gt;0, $S$225 = FALSE))</formula>
    </cfRule>
  </conditionalFormatting>
  <conditionalFormatting sqref="W231">
    <cfRule type="expression" dxfId="3042" priority="115">
      <formula>AND($W$231&lt;&gt;"Not Met",LEN(TRIM($W$231))&gt;0)</formula>
    </cfRule>
  </conditionalFormatting>
  <conditionalFormatting sqref="W297">
    <cfRule type="expression" dxfId="3041" priority="112">
      <formula>AND($R$297,$S$297)</formula>
    </cfRule>
  </conditionalFormatting>
  <conditionalFormatting sqref="W297">
    <cfRule type="expression" dxfId="3040" priority="111">
      <formula>AND(IF($R$297,$W$297,TRUE),LEN(TRIM($W$297))&gt;0)</formula>
    </cfRule>
  </conditionalFormatting>
  <conditionalFormatting sqref="W297">
    <cfRule type="expression" dxfId="3039" priority="110">
      <formula>$S$297 = FALSE</formula>
    </cfRule>
  </conditionalFormatting>
  <conditionalFormatting sqref="W297">
    <cfRule type="expression" dxfId="3038" priority="109">
      <formula>OR($T$297 = TRUE, AND($W$297 = TRUE, $S$297 = FALSE))</formula>
    </cfRule>
  </conditionalFormatting>
  <conditionalFormatting sqref="W192">
    <cfRule type="expression" dxfId="3037" priority="105">
      <formula>OR($T$192 = TRUE, AND($W$192 = TRUE, $S$192 = FALSE))</formula>
    </cfRule>
    <cfRule type="expression" dxfId="3036" priority="106">
      <formula>$S$192 = FALSE</formula>
    </cfRule>
    <cfRule type="expression" dxfId="3035" priority="107">
      <formula>AND(IF($R$192,$W$192,TRUE),LEN(TRIM($W$192))&gt;0)</formula>
    </cfRule>
    <cfRule type="expression" dxfId="3034" priority="108">
      <formula>AND($R$192,$S$192)</formula>
    </cfRule>
  </conditionalFormatting>
  <conditionalFormatting sqref="W199">
    <cfRule type="expression" dxfId="3033" priority="97">
      <formula>OR($T$199 = TRUE, AND(LEN(TRIM($W$199))&gt;0, $S$199 = FALSE))</formula>
    </cfRule>
    <cfRule type="expression" dxfId="3032" priority="98">
      <formula>$S$199 = FALSE</formula>
    </cfRule>
    <cfRule type="expression" dxfId="3031" priority="99">
      <formula>AND($W$199&lt;&gt;"Not Met",LEN(TRIM($W$199))&gt;0)</formula>
    </cfRule>
    <cfRule type="expression" dxfId="3030" priority="100">
      <formula>AND($R$199,$S$199)</formula>
    </cfRule>
  </conditionalFormatting>
  <conditionalFormatting sqref="W207">
    <cfRule type="expression" dxfId="3029" priority="93">
      <formula>OR($T$207 = TRUE, AND(LEN(TRIM($W$207))&gt;0, $S$207 = FALSE))</formula>
    </cfRule>
    <cfRule type="expression" dxfId="3028" priority="94">
      <formula>$S$207 = FALSE</formula>
    </cfRule>
    <cfRule type="expression" dxfId="3027" priority="95">
      <formula>AND($W$207&lt;&gt;"Not Met",LEN(TRIM($W$207))&gt;0)</formula>
    </cfRule>
    <cfRule type="expression" dxfId="3026" priority="96">
      <formula>AND($R$207,$S$207)</formula>
    </cfRule>
  </conditionalFormatting>
  <conditionalFormatting sqref="W215">
    <cfRule type="expression" dxfId="3025" priority="89">
      <formula>OR($T$215 = TRUE, AND(LEN(TRIM($W$215))&gt;0, $S$215 = FALSE))</formula>
    </cfRule>
    <cfRule type="expression" dxfId="3024" priority="90">
      <formula>$S$215 = FALSE</formula>
    </cfRule>
    <cfRule type="expression" dxfId="3023" priority="91">
      <formula>AND($W$215&lt;&gt;"Not Met",LEN(TRIM($W$215))&gt;0)</formula>
    </cfRule>
    <cfRule type="expression" dxfId="3022" priority="92">
      <formula>AND($R$215,$S$215)</formula>
    </cfRule>
  </conditionalFormatting>
  <conditionalFormatting sqref="W237">
    <cfRule type="expression" dxfId="3021" priority="85">
      <formula>OR($T$237 = TRUE, AND($W$237 = TRUE, $S$237 = FALSE))</formula>
    </cfRule>
    <cfRule type="expression" dxfId="3020" priority="86">
      <formula>$S$237 = FALSE</formula>
    </cfRule>
    <cfRule type="expression" dxfId="3019" priority="87">
      <formula>AND(IF($R$237,$W$237,TRUE),LEN(TRIM($W$237))&gt;0)</formula>
    </cfRule>
    <cfRule type="expression" dxfId="3018" priority="88">
      <formula>AND($R$237,$S$237)</formula>
    </cfRule>
  </conditionalFormatting>
  <conditionalFormatting sqref="W244">
    <cfRule type="expression" dxfId="3017" priority="84">
      <formula>AND(R244,S244)</formula>
    </cfRule>
  </conditionalFormatting>
  <conditionalFormatting sqref="W244">
    <cfRule type="expression" dxfId="3016" priority="83">
      <formula>NOT(ISBLANK(W244))</formula>
    </cfRule>
  </conditionalFormatting>
  <conditionalFormatting sqref="W244">
    <cfRule type="expression" dxfId="3015" priority="82">
      <formula>S244 = FALSE</formula>
    </cfRule>
  </conditionalFormatting>
  <conditionalFormatting sqref="W244">
    <cfRule type="expression" dxfId="3014" priority="81">
      <formula>OR(T244 = TRUE, AND(W244 = TRUE, S244 = FALSE))</formula>
    </cfRule>
  </conditionalFormatting>
  <conditionalFormatting sqref="W250">
    <cfRule type="expression" dxfId="3013" priority="68">
      <formula>AND(R250,S250)</formula>
    </cfRule>
  </conditionalFormatting>
  <conditionalFormatting sqref="W250">
    <cfRule type="expression" dxfId="3012" priority="67">
      <formula>NOT(ISBLANK(W250))</formula>
    </cfRule>
  </conditionalFormatting>
  <conditionalFormatting sqref="W250">
    <cfRule type="expression" dxfId="3011" priority="66">
      <formula>S250 = FALSE</formula>
    </cfRule>
  </conditionalFormatting>
  <conditionalFormatting sqref="W250">
    <cfRule type="expression" dxfId="3010" priority="65">
      <formula>OR(T250 = TRUE, AND(W250 = TRUE, S250 = FALSE))</formula>
    </cfRule>
  </conditionalFormatting>
  <conditionalFormatting sqref="W253">
    <cfRule type="expression" dxfId="3009" priority="64">
      <formula>AND(R253,S253)</formula>
    </cfRule>
  </conditionalFormatting>
  <conditionalFormatting sqref="W253">
    <cfRule type="expression" dxfId="3008" priority="63">
      <formula>NOT(ISBLANK(W253))</formula>
    </cfRule>
  </conditionalFormatting>
  <conditionalFormatting sqref="W253">
    <cfRule type="expression" dxfId="3007" priority="62">
      <formula>S253 = FALSE</formula>
    </cfRule>
  </conditionalFormatting>
  <conditionalFormatting sqref="W253">
    <cfRule type="expression" dxfId="3006" priority="61">
      <formula>OR(T253 = TRUE, AND(W253 = TRUE, S253 = FALSE))</formula>
    </cfRule>
  </conditionalFormatting>
  <conditionalFormatting sqref="W258">
    <cfRule type="expression" dxfId="3005" priority="60">
      <formula>AND(R258,S258)</formula>
    </cfRule>
  </conditionalFormatting>
  <conditionalFormatting sqref="W258">
    <cfRule type="expression" dxfId="3004" priority="59">
      <formula>NOT(ISBLANK(W258))</formula>
    </cfRule>
  </conditionalFormatting>
  <conditionalFormatting sqref="W258">
    <cfRule type="expression" dxfId="3003" priority="58">
      <formula>S258 = FALSE</formula>
    </cfRule>
  </conditionalFormatting>
  <conditionalFormatting sqref="W258">
    <cfRule type="expression" dxfId="3002" priority="57">
      <formula>OR(T258 = TRUE, AND(W258 = TRUE, S258 = FALSE))</formula>
    </cfRule>
  </conditionalFormatting>
  <conditionalFormatting sqref="W264">
    <cfRule type="expression" dxfId="3001" priority="56">
      <formula>AND(R264,S264)</formula>
    </cfRule>
  </conditionalFormatting>
  <conditionalFormatting sqref="W264">
    <cfRule type="expression" dxfId="3000" priority="55">
      <formula>NOT(ISBLANK(W264))</formula>
    </cfRule>
  </conditionalFormatting>
  <conditionalFormatting sqref="W264">
    <cfRule type="expression" dxfId="2999" priority="54">
      <formula>S264 = FALSE</formula>
    </cfRule>
  </conditionalFormatting>
  <conditionalFormatting sqref="W264">
    <cfRule type="expression" dxfId="2998" priority="53">
      <formula>OR(T264 = TRUE, AND(W264 = TRUE, S264 = FALSE))</formula>
    </cfRule>
  </conditionalFormatting>
  <conditionalFormatting sqref="W268">
    <cfRule type="expression" dxfId="2997" priority="52">
      <formula>AND(R268,S268)</formula>
    </cfRule>
  </conditionalFormatting>
  <conditionalFormatting sqref="W268">
    <cfRule type="expression" dxfId="2996" priority="51">
      <formula>NOT(ISBLANK(W268))</formula>
    </cfRule>
  </conditionalFormatting>
  <conditionalFormatting sqref="W268">
    <cfRule type="expression" dxfId="2995" priority="50">
      <formula>S268 = FALSE</formula>
    </cfRule>
  </conditionalFormatting>
  <conditionalFormatting sqref="W268">
    <cfRule type="expression" dxfId="2994" priority="49">
      <formula>OR(T268 = TRUE, AND(W268 = TRUE, S268 = FALSE))</formula>
    </cfRule>
  </conditionalFormatting>
  <conditionalFormatting sqref="W273">
    <cfRule type="expression" dxfId="2993" priority="48">
      <formula>AND(R273,S273)</formula>
    </cfRule>
  </conditionalFormatting>
  <conditionalFormatting sqref="W273">
    <cfRule type="expression" dxfId="2992" priority="47">
      <formula>NOT(ISBLANK(W273))</formula>
    </cfRule>
  </conditionalFormatting>
  <conditionalFormatting sqref="W273">
    <cfRule type="expression" dxfId="2991" priority="46">
      <formula>S273 = FALSE</formula>
    </cfRule>
  </conditionalFormatting>
  <conditionalFormatting sqref="W273">
    <cfRule type="expression" dxfId="2990" priority="45">
      <formula>OR(T273 = TRUE, AND(W273 = TRUE, S273 = FALSE))</formula>
    </cfRule>
  </conditionalFormatting>
  <conditionalFormatting sqref="W279">
    <cfRule type="expression" dxfId="2989" priority="44">
      <formula>AND(R279,S279)</formula>
    </cfRule>
  </conditionalFormatting>
  <conditionalFormatting sqref="W279">
    <cfRule type="expression" dxfId="2988" priority="43">
      <formula>NOT(ISBLANK(W279))</formula>
    </cfRule>
  </conditionalFormatting>
  <conditionalFormatting sqref="W279">
    <cfRule type="expression" dxfId="2987" priority="42">
      <formula>S279 = FALSE</formula>
    </cfRule>
  </conditionalFormatting>
  <conditionalFormatting sqref="W279">
    <cfRule type="expression" dxfId="2986" priority="41">
      <formula>OR(T279 = TRUE, AND(W279 = TRUE, S279 = FALSE))</formula>
    </cfRule>
  </conditionalFormatting>
  <conditionalFormatting sqref="W277">
    <cfRule type="expression" dxfId="2985" priority="40">
      <formula>AND($R$277,$S$277)</formula>
    </cfRule>
  </conditionalFormatting>
  <conditionalFormatting sqref="W277">
    <cfRule type="expression" dxfId="2984" priority="39">
      <formula>AND(IF($R$277,$W$277,TRUE),LEN(TRIM($W$277))&gt;0)</formula>
    </cfRule>
  </conditionalFormatting>
  <conditionalFormatting sqref="W277">
    <cfRule type="expression" dxfId="2983" priority="38">
      <formula>$S$277 = FALSE</formula>
    </cfRule>
  </conditionalFormatting>
  <conditionalFormatting sqref="W277">
    <cfRule type="expression" dxfId="2982" priority="37">
      <formula>OR($T$277 = TRUE, AND($W$277 = TRUE, $S$277 = FALSE))</formula>
    </cfRule>
  </conditionalFormatting>
  <conditionalFormatting sqref="W280">
    <cfRule type="expression" dxfId="2981" priority="36">
      <formula>AND($R$280,$S$280)</formula>
    </cfRule>
  </conditionalFormatting>
  <conditionalFormatting sqref="W280">
    <cfRule type="expression" dxfId="2980" priority="35">
      <formula>AND(IF($R$280,$W$280,TRUE),LEN(TRIM($W$280))&gt;0)</formula>
    </cfRule>
  </conditionalFormatting>
  <conditionalFormatting sqref="W280">
    <cfRule type="expression" dxfId="2979" priority="34">
      <formula>$S$280 = FALSE</formula>
    </cfRule>
  </conditionalFormatting>
  <conditionalFormatting sqref="W280">
    <cfRule type="expression" dxfId="2978" priority="33">
      <formula>OR($T$280 = TRUE, AND($W$280 = TRUE, $S$280 = FALSE))</formula>
    </cfRule>
  </conditionalFormatting>
  <conditionalFormatting sqref="W285">
    <cfRule type="expression" dxfId="2977" priority="32">
      <formula>AND(R285,S285)</formula>
    </cfRule>
  </conditionalFormatting>
  <conditionalFormatting sqref="W285">
    <cfRule type="expression" dxfId="2976" priority="31">
      <formula>NOT(ISBLANK(W285))</formula>
    </cfRule>
  </conditionalFormatting>
  <conditionalFormatting sqref="W285">
    <cfRule type="expression" dxfId="2975" priority="30">
      <formula>S285 = FALSE</formula>
    </cfRule>
  </conditionalFormatting>
  <conditionalFormatting sqref="W285">
    <cfRule type="expression" dxfId="2974" priority="29">
      <formula>OR(T285 = TRUE, AND(W285 = TRUE, S285 = FALSE))</formula>
    </cfRule>
  </conditionalFormatting>
  <conditionalFormatting sqref="W290">
    <cfRule type="expression" dxfId="2973" priority="28">
      <formula>AND($R$290,$S$290)</formula>
    </cfRule>
  </conditionalFormatting>
  <conditionalFormatting sqref="W290">
    <cfRule type="expression" dxfId="2972" priority="27">
      <formula>AND(IF($R$290,$W$290,TRUE),LEN(TRIM($W$290))&gt;0)</formula>
    </cfRule>
  </conditionalFormatting>
  <conditionalFormatting sqref="W290">
    <cfRule type="expression" dxfId="2971" priority="26">
      <formula>$S$290 = FALSE</formula>
    </cfRule>
  </conditionalFormatting>
  <conditionalFormatting sqref="W290">
    <cfRule type="expression" dxfId="2970" priority="25">
      <formula>OR($T$290 = TRUE, AND($W$290 = TRUE, $S$290 = FALSE))</formula>
    </cfRule>
  </conditionalFormatting>
  <conditionalFormatting sqref="W292">
    <cfRule type="expression" dxfId="2969" priority="24">
      <formula>AND(R292,S292)</formula>
    </cfRule>
  </conditionalFormatting>
  <conditionalFormatting sqref="W292">
    <cfRule type="expression" dxfId="2968" priority="23">
      <formula>NOT(ISBLANK(W292))</formula>
    </cfRule>
  </conditionalFormatting>
  <conditionalFormatting sqref="W292">
    <cfRule type="expression" dxfId="2967" priority="22">
      <formula>S292 = FALSE</formula>
    </cfRule>
  </conditionalFormatting>
  <conditionalFormatting sqref="W292">
    <cfRule type="expression" dxfId="2966" priority="21">
      <formula>OR(T292 = TRUE, AND(W292 = TRUE, S292 = FALSE))</formula>
    </cfRule>
  </conditionalFormatting>
  <conditionalFormatting sqref="X224:X229">
    <cfRule type="expression" dxfId="2965" priority="20">
      <formula>W225=INDEX(INDIRECT(U225),1)</formula>
    </cfRule>
  </conditionalFormatting>
  <conditionalFormatting sqref="W231">
    <cfRule type="expression" dxfId="2964" priority="3001">
      <formula>AND($R$231,$S$231)</formula>
    </cfRule>
  </conditionalFormatting>
  <conditionalFormatting sqref="W231">
    <cfRule type="expression" dxfId="2963" priority="3002">
      <formula>$S$231 = FALSE</formula>
    </cfRule>
  </conditionalFormatting>
  <conditionalFormatting sqref="W231">
    <cfRule type="expression" dxfId="2962" priority="3003">
      <formula>OR($T$231 = TRUE, AND(LEN(TRIM($W$231))&gt;0, $S$231 = FALSE))</formula>
    </cfRule>
  </conditionalFormatting>
  <conditionalFormatting sqref="X230:X236">
    <cfRule type="expression" dxfId="2961" priority="19">
      <formula>W231=INDEX(INDIRECT(U231),1)</formula>
    </cfRule>
  </conditionalFormatting>
  <conditionalFormatting sqref="I1">
    <cfRule type="expression" dxfId="2960" priority="15">
      <formula>$AG$1="Gold"</formula>
    </cfRule>
    <cfRule type="expression" dxfId="2959" priority="16">
      <formula>$AG$1="Silver"</formula>
    </cfRule>
    <cfRule type="expression" dxfId="2958" priority="17">
      <formula>$AG$1="Bronze"</formula>
    </cfRule>
    <cfRule type="expression" dxfId="2957" priority="18">
      <formula>$AG$1="Emerald"</formula>
    </cfRule>
  </conditionalFormatting>
  <conditionalFormatting sqref="X1">
    <cfRule type="expression" dxfId="2956" priority="14">
      <formula>startError</formula>
    </cfRule>
  </conditionalFormatting>
  <conditionalFormatting sqref="W75">
    <cfRule type="expression" dxfId="2955" priority="13">
      <formula>AND(R75,S75)</formula>
    </cfRule>
  </conditionalFormatting>
  <conditionalFormatting sqref="W75">
    <cfRule type="expression" dxfId="2954" priority="12">
      <formula>NOT(ISBLANK(W75))</formula>
    </cfRule>
  </conditionalFormatting>
  <conditionalFormatting sqref="W75">
    <cfRule type="expression" dxfId="2953" priority="11">
      <formula>S75 = FALSE</formula>
    </cfRule>
  </conditionalFormatting>
  <conditionalFormatting sqref="W75">
    <cfRule type="expression" dxfId="2952" priority="10">
      <formula>OR(T75 = TRUE, AND(W75 = TRUE, S75 = FALSE))</formula>
    </cfRule>
  </conditionalFormatting>
  <conditionalFormatting sqref="W544">
    <cfRule type="expression" dxfId="2951" priority="9">
      <formula>AND($R$544,$S$544)</formula>
    </cfRule>
  </conditionalFormatting>
  <conditionalFormatting sqref="W544">
    <cfRule type="expression" dxfId="2950" priority="8">
      <formula>AND(IF($R$544,$W$544,TRUE),LEN(TRIM($W$544))&gt;0)</formula>
    </cfRule>
  </conditionalFormatting>
  <conditionalFormatting sqref="W544">
    <cfRule type="expression" dxfId="2949" priority="7">
      <formula>$S$544 = FALSE</formula>
    </cfRule>
  </conditionalFormatting>
  <conditionalFormatting sqref="W544">
    <cfRule type="expression" dxfId="2948" priority="6">
      <formula>OR($T$544 = TRUE, AND($W$544 = TRUE, $S$544 = FALSE))</formula>
    </cfRule>
  </conditionalFormatting>
  <conditionalFormatting sqref="W171:W172">
    <cfRule type="expression" dxfId="2947" priority="1">
      <formula xml:space="preserve"> AND(S13 = 2,T171 =FALSE)</formula>
    </cfRule>
    <cfRule type="expression" dxfId="2946" priority="4">
      <formula>$T$171 = TRUE</formula>
    </cfRule>
  </conditionalFormatting>
  <dataValidations xWindow="1349" yWindow="897" count="32">
    <dataValidation type="list" allowBlank="1" showInputMessage="1" showErrorMessage="1" error="Please use the dropdown." sqref="W12" xr:uid="{00000000-0002-0000-0500-000000000000}">
      <formula1>INDIRECT($U$12)</formula1>
    </dataValidation>
    <dataValidation type="list" allowBlank="1" showInputMessage="1" showErrorMessage="1" error="Please use the dropdown." sqref="W23" xr:uid="{00000000-0002-0000-0500-000001000000}">
      <formula1>INDIRECT($U$23)</formula1>
    </dataValidation>
    <dataValidation type="list" allowBlank="1" showDropDown="1" showInputMessage="1" showErrorMessage="1" error="Use Checkbox" prompt="Use Checkbox" sqref="W32 W37 W56 W54 W118 W140 W49:W50 W132 W46 W173 W170 W157 W134:W135 W91 W88 W176 W185 W573 W570 W565:W568 W605 W603 W601 W591:W598 W627 W620:W621 W624 W616 W502 W497 W492:W493 W487 W484 W467 W303 W528 W369 W558 W556 W554 W542 W426 W424 W422 W420 W414:W415 W411 W407:W409 W405 W397 W364:W366 W361 W359 W357 W345 W343 W341 W311 W308:W309 W305 W525 W297 W192 W237 W280 W277 W290 W544" xr:uid="{00000000-0002-0000-0500-000002000000}">
      <formula1>TorF</formula1>
    </dataValidation>
    <dataValidation type="list" allowBlank="1" showInputMessage="1" showErrorMessage="1" error="Please use the dropdown." sqref="W40" xr:uid="{00000000-0002-0000-0500-000003000000}">
      <formula1>INDIRECT($U$40)</formula1>
    </dataValidation>
    <dataValidation type="decimal" allowBlank="1" showDropDown="1" showInputMessage="1" showErrorMessage="1" error="Enter a percentage" prompt="Enter a percentage" sqref="W146 W178 W454" xr:uid="{00000000-0002-0000-0500-000004000000}">
      <formula1>0</formula1>
      <formula2>1</formula2>
    </dataValidation>
    <dataValidation type="list" allowBlank="1" showInputMessage="1" showErrorMessage="1" error="Please use the dropdown." sqref="W124" xr:uid="{00000000-0002-0000-0500-000005000000}">
      <formula1>INDIRECT($U$124)</formula1>
    </dataValidation>
    <dataValidation type="decimal" allowBlank="1" showDropDown="1" showInputMessage="1" showErrorMessage="1" error="Enter a nuber of inches" prompt="Enter a number of inches" sqref="W184" xr:uid="{00000000-0002-0000-0500-000006000000}">
      <formula1>0</formula1>
      <formula2>36</formula2>
    </dataValidation>
    <dataValidation type="list" allowBlank="1" showInputMessage="1" showErrorMessage="1" error="Please use the dropdown." sqref="W576" xr:uid="{00000000-0002-0000-0500-000007000000}">
      <formula1>INDIRECT($U$576)</formula1>
    </dataValidation>
    <dataValidation type="whole" allowBlank="1" showDropDown="1" showInputMessage="1" showErrorMessage="1" error="Enter a whole number" prompt="Enter number of kW" sqref="W608" xr:uid="{00000000-0002-0000-0500-000008000000}">
      <formula1>0</formula1>
      <formula2>10000000000</formula2>
    </dataValidation>
    <dataValidation type="list" allowBlank="1" showInputMessage="1" showErrorMessage="1" error="Please use the dropdown." sqref="W463" xr:uid="{00000000-0002-0000-0500-000009000000}">
      <formula1>INDIRECT($U$463)</formula1>
    </dataValidation>
    <dataValidation type="list" allowBlank="1" showInputMessage="1" showErrorMessage="1" error="Please use the dropdown." sqref="W470" xr:uid="{00000000-0002-0000-0500-00000A000000}">
      <formula1>INDIRECT($U$470)</formula1>
    </dataValidation>
    <dataValidation type="list" allowBlank="1" showInputMessage="1" showErrorMessage="1" error="Please use the dropdown." sqref="W474" xr:uid="{00000000-0002-0000-0500-00000B000000}">
      <formula1>INDIRECT($U$474)</formula1>
    </dataValidation>
    <dataValidation type="list" allowBlank="1" showInputMessage="1" showErrorMessage="1" error="Please use the dropdown." sqref="W479" xr:uid="{00000000-0002-0000-0500-00000C000000}">
      <formula1>INDIRECT($U$479)</formula1>
    </dataValidation>
    <dataValidation type="whole" allowBlank="1" showDropDown="1" showInputMessage="1" showErrorMessage="1" error="Enter a whole number" prompt="Enter number of recessed luminaires penetrating the thermal envelope" sqref="W490" xr:uid="{00000000-0002-0000-0500-00000D000000}">
      <formula1>0</formula1>
      <formula2>100</formula2>
    </dataValidation>
    <dataValidation type="list" allowBlank="1" showInputMessage="1" showErrorMessage="1" error="Please use the dropdown." sqref="W536" xr:uid="{00000000-0002-0000-0500-00000E000000}">
      <formula1>INDIRECT($U$536)</formula1>
    </dataValidation>
    <dataValidation type="decimal" allowBlank="1" showDropDown="1" showInputMessage="1" showErrorMessage="1" error="Enter a number" prompt="Enter SEF" sqref="W347" xr:uid="{00000000-0002-0000-0500-00000F000000}">
      <formula1>0</formula1>
      <formula2>5</formula2>
    </dataValidation>
    <dataValidation type="list" allowBlank="1" showInputMessage="1" showErrorMessage="1" error="Please use the dropdown." sqref="W324" xr:uid="{00000000-0002-0000-0500-000010000000}">
      <formula1>INDIRECT($U$324)</formula1>
    </dataValidation>
    <dataValidation type="decimal" allowBlank="1" showDropDown="1" showInputMessage="1" showErrorMessage="1" error="Enter a number" prompt="Enter Energy Factor or Thermal Efficiency" sqref="W326" xr:uid="{00000000-0002-0000-0500-000011000000}">
      <formula1>0</formula1>
      <formula2>3</formula2>
    </dataValidation>
    <dataValidation type="list" allowBlank="1" showInputMessage="1" showErrorMessage="1" error="Please use the dropdown." sqref="W313" xr:uid="{00000000-0002-0000-0500-000012000000}">
      <formula1>INDIRECT($U$313)</formula1>
    </dataValidation>
    <dataValidation type="decimal" allowBlank="1" showDropDown="1" showInputMessage="1" showErrorMessage="1" prompt="Enter the ACH50" sqref="W72 W524" xr:uid="{00000000-0002-0000-0500-000013000000}">
      <formula1>0</formula1>
      <formula2>50</formula2>
    </dataValidation>
    <dataValidation type="list" allowBlank="1" showInputMessage="1" showErrorMessage="1" error="Please use the dropdown." sqref="W225" xr:uid="{00000000-0002-0000-0500-000014000000}">
      <formula1>INDIRECT($U$225)</formula1>
    </dataValidation>
    <dataValidation type="list" allowBlank="1" showInputMessage="1" showErrorMessage="1" error="Please use the dropdown." sqref="W199" xr:uid="{00000000-0002-0000-0500-000015000000}">
      <formula1>INDIRECT($U$199)</formula1>
    </dataValidation>
    <dataValidation type="list" allowBlank="1" showInputMessage="1" showErrorMessage="1" error="Please use the dropdown." sqref="W207" xr:uid="{00000000-0002-0000-0500-000016000000}">
      <formula1>INDIRECT($U$207)</formula1>
    </dataValidation>
    <dataValidation type="list" allowBlank="1" showInputMessage="1" showErrorMessage="1" error="Please use the dropdown." sqref="W215" xr:uid="{00000000-0002-0000-0500-000017000000}">
      <formula1>INDIRECT($U$215)</formula1>
    </dataValidation>
    <dataValidation type="decimal" allowBlank="1" showDropDown="1" showInputMessage="1" showErrorMessage="1" prompt="Enter the AFUE" sqref="W244 W250 W253 W258" xr:uid="{00000000-0002-0000-0500-000018000000}">
      <formula1>0</formula1>
      <formula2>1</formula2>
    </dataValidation>
    <dataValidation type="decimal" allowBlank="1" showDropDown="1" showInputMessage="1" showErrorMessage="1" prompt="Enter the HSPF" sqref="W264" xr:uid="{00000000-0002-0000-0500-000019000000}">
      <formula1>0</formula1>
      <formula2>100</formula2>
    </dataValidation>
    <dataValidation type="decimal" allowBlank="1" showDropDown="1" showInputMessage="1" showErrorMessage="1" prompt="Enter the COP" sqref="W268 W279" xr:uid="{00000000-0002-0000-0500-00001A000000}">
      <formula1>0</formula1>
      <formula2>100</formula2>
    </dataValidation>
    <dataValidation type="decimal" allowBlank="1" showDropDown="1" showInputMessage="1" showErrorMessage="1" prompt="Enter the SEER" sqref="W273" xr:uid="{00000000-0002-0000-0500-00001B000000}">
      <formula1>0</formula1>
      <formula2>100</formula2>
    </dataValidation>
    <dataValidation type="decimal" allowBlank="1" showDropDown="1" showInputMessage="1" showErrorMessage="1" prompt="Enter the EER" sqref="W285" xr:uid="{00000000-0002-0000-0500-00001C000000}">
      <formula1>0</formula1>
      <formula2>100</formula2>
    </dataValidation>
    <dataValidation type="whole" allowBlank="1" showDropDown="1" showInputMessage="1" showErrorMessage="1" prompt="Enter number of fans" sqref="W292" xr:uid="{00000000-0002-0000-0500-00001D000000}">
      <formula1>0</formula1>
      <formula2>100</formula2>
    </dataValidation>
    <dataValidation type="list" allowBlank="1" showInputMessage="1" showErrorMessage="1" error="Please use the dropdown." sqref="W231" xr:uid="{00000000-0002-0000-0500-00001E000000}">
      <formula1>INDIRECT($U$231)</formula1>
    </dataValidation>
    <dataValidation type="decimal" allowBlank="1" showDropDown="1" showInputMessage="1" showErrorMessage="1" prompt="Enter the ELR50" sqref="W75" xr:uid="{00000000-0002-0000-0500-00001F000000}">
      <formula1>0</formula1>
      <formula2>1</formula2>
    </dataValidation>
  </dataValidations>
  <hyperlinks>
    <hyperlink ref="L90" location="'Table 701.4.3.2(2)'!A1" display="See Table 701.4.3.2(2)" xr:uid="{00000000-0004-0000-0500-000000000000}"/>
    <hyperlink ref="L182" location="'Table 703.2.1(a)'!A1" display="See Table 703.2.1(a)" xr:uid="{00000000-0004-0000-0500-000001000000}"/>
    <hyperlink ref="M176:M181" location="'Table 703.2.1(b)'!A1" display="Per Table 703.2.1(b)" xr:uid="{00000000-0004-0000-0500-000002000000}"/>
    <hyperlink ref="X632" location="'Ch8'!A1" display="CLICK TO PROCEED TO CHAPTER 8 &gt;&gt;" xr:uid="{00000000-0004-0000-0500-000003000000}"/>
    <hyperlink ref="L389" location="'Table 703.7.1(7)'!A1" display="See Table 703.7.1(7)" xr:uid="{00000000-0004-0000-0500-000004000000}"/>
    <hyperlink ref="M183:M184" location="'Table 703.2.2'!A1" display="Per Table 703.2.2" xr:uid="{00000000-0004-0000-0500-000005000000}"/>
    <hyperlink ref="M188:M190" location="'Table 703.2.4'!A1" display="Per Table 703.2.4" xr:uid="{00000000-0004-0000-0500-000006000000}"/>
    <hyperlink ref="L198" location="'Table 703.2.5.1'!A1" display="See Table 703.2.5.1" xr:uid="{00000000-0004-0000-0500-000007000000}"/>
    <hyperlink ref="M207:M211" location="'Tables 703.2.5.2(a), (b) &amp; (c)'!A1" display="'Tables 703.2.5.2(a), (b) &amp; (c)'!A1" xr:uid="{00000000-0004-0000-0500-000008000000}"/>
  </hyperlinks>
  <pageMargins left="0.7" right="0.7" top="0.75" bottom="0.75" header="0.3" footer="0.3"/>
  <pageSetup scale="61" fitToHeight="0" orientation="landscape" r:id="rId1"/>
  <rowBreaks count="15" manualBreakCount="15">
    <brk id="51" max="16383" man="1"/>
    <brk id="90" max="16383" man="1"/>
    <brk id="135" max="16383" man="1"/>
    <brk id="154" max="16383" man="1"/>
    <brk id="190" max="16383" man="1"/>
    <brk id="222" max="16383" man="1"/>
    <brk id="268" max="16383" man="1"/>
    <brk id="301" max="16383" man="1"/>
    <brk id="353" max="16383" man="1"/>
    <brk id="396" max="16383" man="1"/>
    <brk id="448" max="16383" man="1"/>
    <brk id="457" max="16383" man="1"/>
    <brk id="509" max="16383" man="1"/>
    <brk id="561" max="16383" man="1"/>
    <brk id="60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3" r:id="rId4" name="Check Box 3">
              <controlPr locked="0" defaultSize="0" autoFill="0" autoLine="0" autoPict="0">
                <anchor moveWithCells="1" sizeWithCells="1">
                  <from>
                    <xdr:col>22</xdr:col>
                    <xdr:colOff>0</xdr:colOff>
                    <xdr:row>31</xdr:row>
                    <xdr:rowOff>0</xdr:rowOff>
                  </from>
                  <to>
                    <xdr:col>22</xdr:col>
                    <xdr:colOff>182880</xdr:colOff>
                    <xdr:row>31</xdr:row>
                    <xdr:rowOff>182880</xdr:rowOff>
                  </to>
                </anchor>
              </controlPr>
            </control>
          </mc:Choice>
        </mc:AlternateContent>
        <mc:AlternateContent xmlns:mc="http://schemas.openxmlformats.org/markup-compatibility/2006">
          <mc:Choice Requires="x14">
            <control shapeId="5125" r:id="rId5" name="Check Box 5">
              <controlPr locked="0" defaultSize="0" autoFill="0" autoLine="0" autoPict="0">
                <anchor moveWithCells="1" sizeWithCells="1">
                  <from>
                    <xdr:col>22</xdr:col>
                    <xdr:colOff>0</xdr:colOff>
                    <xdr:row>36</xdr:row>
                    <xdr:rowOff>0</xdr:rowOff>
                  </from>
                  <to>
                    <xdr:col>22</xdr:col>
                    <xdr:colOff>182880</xdr:colOff>
                    <xdr:row>36</xdr:row>
                    <xdr:rowOff>182880</xdr:rowOff>
                  </to>
                </anchor>
              </controlPr>
            </control>
          </mc:Choice>
        </mc:AlternateContent>
        <mc:AlternateContent xmlns:mc="http://schemas.openxmlformats.org/markup-compatibility/2006">
          <mc:Choice Requires="x14">
            <control shapeId="5128" r:id="rId6" name="Check Box 8">
              <controlPr locked="0" defaultSize="0" autoFill="0" autoLine="0" autoPict="0">
                <anchor moveWithCells="1" sizeWithCells="1">
                  <from>
                    <xdr:col>22</xdr:col>
                    <xdr:colOff>0</xdr:colOff>
                    <xdr:row>53</xdr:row>
                    <xdr:rowOff>0</xdr:rowOff>
                  </from>
                  <to>
                    <xdr:col>22</xdr:col>
                    <xdr:colOff>182880</xdr:colOff>
                    <xdr:row>53</xdr:row>
                    <xdr:rowOff>182880</xdr:rowOff>
                  </to>
                </anchor>
              </controlPr>
            </control>
          </mc:Choice>
        </mc:AlternateContent>
        <mc:AlternateContent xmlns:mc="http://schemas.openxmlformats.org/markup-compatibility/2006">
          <mc:Choice Requires="x14">
            <control shapeId="5129" r:id="rId7" name="Check Box 9">
              <controlPr locked="0" defaultSize="0" autoFill="0" autoLine="0" autoPict="0">
                <anchor moveWithCells="1" sizeWithCells="1">
                  <from>
                    <xdr:col>22</xdr:col>
                    <xdr:colOff>0</xdr:colOff>
                    <xdr:row>55</xdr:row>
                    <xdr:rowOff>0</xdr:rowOff>
                  </from>
                  <to>
                    <xdr:col>22</xdr:col>
                    <xdr:colOff>182880</xdr:colOff>
                    <xdr:row>55</xdr:row>
                    <xdr:rowOff>182880</xdr:rowOff>
                  </to>
                </anchor>
              </controlPr>
            </control>
          </mc:Choice>
        </mc:AlternateContent>
        <mc:AlternateContent xmlns:mc="http://schemas.openxmlformats.org/markup-compatibility/2006">
          <mc:Choice Requires="x14">
            <control shapeId="5131" r:id="rId8" name="Check Box 11">
              <controlPr locked="0" defaultSize="0" autoFill="0" autoLine="0" autoPict="0">
                <anchor moveWithCells="1" sizeWithCells="1">
                  <from>
                    <xdr:col>22</xdr:col>
                    <xdr:colOff>0</xdr:colOff>
                    <xdr:row>117</xdr:row>
                    <xdr:rowOff>0</xdr:rowOff>
                  </from>
                  <to>
                    <xdr:col>22</xdr:col>
                    <xdr:colOff>182880</xdr:colOff>
                    <xdr:row>117</xdr:row>
                    <xdr:rowOff>182880</xdr:rowOff>
                  </to>
                </anchor>
              </controlPr>
            </control>
          </mc:Choice>
        </mc:AlternateContent>
        <mc:AlternateContent xmlns:mc="http://schemas.openxmlformats.org/markup-compatibility/2006">
          <mc:Choice Requires="x14">
            <control shapeId="5132" r:id="rId9" name="Check Box 12">
              <controlPr locked="0" defaultSize="0" autoFill="0" autoLine="0" autoPict="0">
                <anchor moveWithCells="1" sizeWithCells="1">
                  <from>
                    <xdr:col>22</xdr:col>
                    <xdr:colOff>0</xdr:colOff>
                    <xdr:row>131</xdr:row>
                    <xdr:rowOff>0</xdr:rowOff>
                  </from>
                  <to>
                    <xdr:col>22</xdr:col>
                    <xdr:colOff>182880</xdr:colOff>
                    <xdr:row>131</xdr:row>
                    <xdr:rowOff>182880</xdr:rowOff>
                  </to>
                </anchor>
              </controlPr>
            </control>
          </mc:Choice>
        </mc:AlternateContent>
        <mc:AlternateContent xmlns:mc="http://schemas.openxmlformats.org/markup-compatibility/2006">
          <mc:Choice Requires="x14">
            <control shapeId="5133" r:id="rId10" name="Check Box 13">
              <controlPr locked="0" defaultSize="0" autoFill="0" autoLine="0" autoPict="0">
                <anchor moveWithCells="1" sizeWithCells="1">
                  <from>
                    <xdr:col>22</xdr:col>
                    <xdr:colOff>0</xdr:colOff>
                    <xdr:row>133</xdr:row>
                    <xdr:rowOff>0</xdr:rowOff>
                  </from>
                  <to>
                    <xdr:col>22</xdr:col>
                    <xdr:colOff>182880</xdr:colOff>
                    <xdr:row>133</xdr:row>
                    <xdr:rowOff>182880</xdr:rowOff>
                  </to>
                </anchor>
              </controlPr>
            </control>
          </mc:Choice>
        </mc:AlternateContent>
        <mc:AlternateContent xmlns:mc="http://schemas.openxmlformats.org/markup-compatibility/2006">
          <mc:Choice Requires="x14">
            <control shapeId="5135" r:id="rId11" name="Check Box 15">
              <controlPr locked="0" defaultSize="0" autoFill="0" autoLine="0" autoPict="0">
                <anchor moveWithCells="1" sizeWithCells="1">
                  <from>
                    <xdr:col>22</xdr:col>
                    <xdr:colOff>0</xdr:colOff>
                    <xdr:row>139</xdr:row>
                    <xdr:rowOff>0</xdr:rowOff>
                  </from>
                  <to>
                    <xdr:col>22</xdr:col>
                    <xdr:colOff>182880</xdr:colOff>
                    <xdr:row>139</xdr:row>
                    <xdr:rowOff>182880</xdr:rowOff>
                  </to>
                </anchor>
              </controlPr>
            </control>
          </mc:Choice>
        </mc:AlternateContent>
        <mc:AlternateContent xmlns:mc="http://schemas.openxmlformats.org/markup-compatibility/2006">
          <mc:Choice Requires="x14">
            <control shapeId="5137" r:id="rId12" name="Check Box 17">
              <controlPr locked="0" defaultSize="0" autoFill="0" autoLine="0" autoPict="0">
                <anchor moveWithCells="1" sizeWithCells="1">
                  <from>
                    <xdr:col>22</xdr:col>
                    <xdr:colOff>0</xdr:colOff>
                    <xdr:row>45</xdr:row>
                    <xdr:rowOff>0</xdr:rowOff>
                  </from>
                  <to>
                    <xdr:col>22</xdr:col>
                    <xdr:colOff>182880</xdr:colOff>
                    <xdr:row>45</xdr:row>
                    <xdr:rowOff>182880</xdr:rowOff>
                  </to>
                </anchor>
              </controlPr>
            </control>
          </mc:Choice>
        </mc:AlternateContent>
        <mc:AlternateContent xmlns:mc="http://schemas.openxmlformats.org/markup-compatibility/2006">
          <mc:Choice Requires="x14">
            <control shapeId="5138" r:id="rId13" name="Check Box 18">
              <controlPr locked="0" defaultSize="0" autoFill="0" autoLine="0" autoPict="0">
                <anchor moveWithCells="1" sizeWithCells="1">
                  <from>
                    <xdr:col>22</xdr:col>
                    <xdr:colOff>0</xdr:colOff>
                    <xdr:row>48</xdr:row>
                    <xdr:rowOff>0</xdr:rowOff>
                  </from>
                  <to>
                    <xdr:col>22</xdr:col>
                    <xdr:colOff>182880</xdr:colOff>
                    <xdr:row>48</xdr:row>
                    <xdr:rowOff>182880</xdr:rowOff>
                  </to>
                </anchor>
              </controlPr>
            </control>
          </mc:Choice>
        </mc:AlternateContent>
        <mc:AlternateContent xmlns:mc="http://schemas.openxmlformats.org/markup-compatibility/2006">
          <mc:Choice Requires="x14">
            <control shapeId="5139" r:id="rId14" name="Check Box 19">
              <controlPr locked="0" defaultSize="0" autoFill="0" autoLine="0" autoPict="0">
                <anchor moveWithCells="1" sizeWithCells="1">
                  <from>
                    <xdr:col>22</xdr:col>
                    <xdr:colOff>0</xdr:colOff>
                    <xdr:row>49</xdr:row>
                    <xdr:rowOff>0</xdr:rowOff>
                  </from>
                  <to>
                    <xdr:col>22</xdr:col>
                    <xdr:colOff>182880</xdr:colOff>
                    <xdr:row>49</xdr:row>
                    <xdr:rowOff>182880</xdr:rowOff>
                  </to>
                </anchor>
              </controlPr>
            </control>
          </mc:Choice>
        </mc:AlternateContent>
        <mc:AlternateContent xmlns:mc="http://schemas.openxmlformats.org/markup-compatibility/2006">
          <mc:Choice Requires="x14">
            <control shapeId="5146" r:id="rId15" name="Check Box 26">
              <controlPr locked="0" defaultSize="0" autoFill="0" autoLine="0" autoPict="0">
                <anchor moveWithCells="1" sizeWithCells="1">
                  <from>
                    <xdr:col>22</xdr:col>
                    <xdr:colOff>0</xdr:colOff>
                    <xdr:row>87</xdr:row>
                    <xdr:rowOff>0</xdr:rowOff>
                  </from>
                  <to>
                    <xdr:col>22</xdr:col>
                    <xdr:colOff>182880</xdr:colOff>
                    <xdr:row>87</xdr:row>
                    <xdr:rowOff>182880</xdr:rowOff>
                  </to>
                </anchor>
              </controlPr>
            </control>
          </mc:Choice>
        </mc:AlternateContent>
        <mc:AlternateContent xmlns:mc="http://schemas.openxmlformats.org/markup-compatibility/2006">
          <mc:Choice Requires="x14">
            <control shapeId="5148" r:id="rId16" name="Check Box 28">
              <controlPr locked="0" defaultSize="0" autoFill="0" autoLine="0" autoPict="0">
                <anchor moveWithCells="1" sizeWithCells="1">
                  <from>
                    <xdr:col>22</xdr:col>
                    <xdr:colOff>0</xdr:colOff>
                    <xdr:row>90</xdr:row>
                    <xdr:rowOff>0</xdr:rowOff>
                  </from>
                  <to>
                    <xdr:col>22</xdr:col>
                    <xdr:colOff>182880</xdr:colOff>
                    <xdr:row>90</xdr:row>
                    <xdr:rowOff>182880</xdr:rowOff>
                  </to>
                </anchor>
              </controlPr>
            </control>
          </mc:Choice>
        </mc:AlternateContent>
        <mc:AlternateContent xmlns:mc="http://schemas.openxmlformats.org/markup-compatibility/2006">
          <mc:Choice Requires="x14">
            <control shapeId="5150" r:id="rId17" name="Check Box 30">
              <controlPr locked="0" defaultSize="0" autoFill="0" autoLine="0" autoPict="0">
                <anchor moveWithCells="1" sizeWithCells="1">
                  <from>
                    <xdr:col>22</xdr:col>
                    <xdr:colOff>0</xdr:colOff>
                    <xdr:row>134</xdr:row>
                    <xdr:rowOff>0</xdr:rowOff>
                  </from>
                  <to>
                    <xdr:col>22</xdr:col>
                    <xdr:colOff>182880</xdr:colOff>
                    <xdr:row>134</xdr:row>
                    <xdr:rowOff>182880</xdr:rowOff>
                  </to>
                </anchor>
              </controlPr>
            </control>
          </mc:Choice>
        </mc:AlternateContent>
        <mc:AlternateContent xmlns:mc="http://schemas.openxmlformats.org/markup-compatibility/2006">
          <mc:Choice Requires="x14">
            <control shapeId="5152" r:id="rId18" name="Check Box 32">
              <controlPr locked="0" defaultSize="0" autoFill="0" autoLine="0" autoPict="0">
                <anchor moveWithCells="1" sizeWithCells="1">
                  <from>
                    <xdr:col>22</xdr:col>
                    <xdr:colOff>0</xdr:colOff>
                    <xdr:row>156</xdr:row>
                    <xdr:rowOff>0</xdr:rowOff>
                  </from>
                  <to>
                    <xdr:col>22</xdr:col>
                    <xdr:colOff>182880</xdr:colOff>
                    <xdr:row>156</xdr:row>
                    <xdr:rowOff>182880</xdr:rowOff>
                  </to>
                </anchor>
              </controlPr>
            </control>
          </mc:Choice>
        </mc:AlternateContent>
        <mc:AlternateContent xmlns:mc="http://schemas.openxmlformats.org/markup-compatibility/2006">
          <mc:Choice Requires="x14">
            <control shapeId="5153" r:id="rId19" name="Check Box 33">
              <controlPr locked="0" defaultSize="0" autoFill="0" autoLine="0" autoPict="0">
                <anchor moveWithCells="1" sizeWithCells="1">
                  <from>
                    <xdr:col>22</xdr:col>
                    <xdr:colOff>0</xdr:colOff>
                    <xdr:row>169</xdr:row>
                    <xdr:rowOff>0</xdr:rowOff>
                  </from>
                  <to>
                    <xdr:col>22</xdr:col>
                    <xdr:colOff>182880</xdr:colOff>
                    <xdr:row>169</xdr:row>
                    <xdr:rowOff>182880</xdr:rowOff>
                  </to>
                </anchor>
              </controlPr>
            </control>
          </mc:Choice>
        </mc:AlternateContent>
        <mc:AlternateContent xmlns:mc="http://schemas.openxmlformats.org/markup-compatibility/2006">
          <mc:Choice Requires="x14">
            <control shapeId="5154" r:id="rId20" name="Check Box 34">
              <controlPr locked="0" defaultSize="0" autoFill="0" autoLine="0" autoPict="0">
                <anchor moveWithCells="1" sizeWithCells="1">
                  <from>
                    <xdr:col>22</xdr:col>
                    <xdr:colOff>0</xdr:colOff>
                    <xdr:row>172</xdr:row>
                    <xdr:rowOff>0</xdr:rowOff>
                  </from>
                  <to>
                    <xdr:col>22</xdr:col>
                    <xdr:colOff>182880</xdr:colOff>
                    <xdr:row>172</xdr:row>
                    <xdr:rowOff>182880</xdr:rowOff>
                  </to>
                </anchor>
              </controlPr>
            </control>
          </mc:Choice>
        </mc:AlternateContent>
        <mc:AlternateContent xmlns:mc="http://schemas.openxmlformats.org/markup-compatibility/2006">
          <mc:Choice Requires="x14">
            <control shapeId="5156" r:id="rId21" name="Check Box 36">
              <controlPr locked="0" defaultSize="0" autoFill="0" autoLine="0" autoPict="0">
                <anchor moveWithCells="1" sizeWithCells="1">
                  <from>
                    <xdr:col>22</xdr:col>
                    <xdr:colOff>0</xdr:colOff>
                    <xdr:row>175</xdr:row>
                    <xdr:rowOff>0</xdr:rowOff>
                  </from>
                  <to>
                    <xdr:col>22</xdr:col>
                    <xdr:colOff>182880</xdr:colOff>
                    <xdr:row>175</xdr:row>
                    <xdr:rowOff>182880</xdr:rowOff>
                  </to>
                </anchor>
              </controlPr>
            </control>
          </mc:Choice>
        </mc:AlternateContent>
        <mc:AlternateContent xmlns:mc="http://schemas.openxmlformats.org/markup-compatibility/2006">
          <mc:Choice Requires="x14">
            <control shapeId="5158" r:id="rId22" name="Check Box 38">
              <controlPr locked="0" defaultSize="0" autoFill="0" autoLine="0" autoPict="0">
                <anchor moveWithCells="1" sizeWithCells="1">
                  <from>
                    <xdr:col>22</xdr:col>
                    <xdr:colOff>0</xdr:colOff>
                    <xdr:row>184</xdr:row>
                    <xdr:rowOff>0</xdr:rowOff>
                  </from>
                  <to>
                    <xdr:col>22</xdr:col>
                    <xdr:colOff>182880</xdr:colOff>
                    <xdr:row>184</xdr:row>
                    <xdr:rowOff>182880</xdr:rowOff>
                  </to>
                </anchor>
              </controlPr>
            </control>
          </mc:Choice>
        </mc:AlternateContent>
        <mc:AlternateContent xmlns:mc="http://schemas.openxmlformats.org/markup-compatibility/2006">
          <mc:Choice Requires="x14">
            <control shapeId="5161" r:id="rId23" name="Check Box 41">
              <controlPr locked="0" defaultSize="0" autoFill="0" autoLine="0" autoPict="0">
                <anchor moveWithCells="1" sizeWithCells="1">
                  <from>
                    <xdr:col>22</xdr:col>
                    <xdr:colOff>0</xdr:colOff>
                    <xdr:row>564</xdr:row>
                    <xdr:rowOff>0</xdr:rowOff>
                  </from>
                  <to>
                    <xdr:col>22</xdr:col>
                    <xdr:colOff>182880</xdr:colOff>
                    <xdr:row>564</xdr:row>
                    <xdr:rowOff>182880</xdr:rowOff>
                  </to>
                </anchor>
              </controlPr>
            </control>
          </mc:Choice>
        </mc:AlternateContent>
        <mc:AlternateContent xmlns:mc="http://schemas.openxmlformats.org/markup-compatibility/2006">
          <mc:Choice Requires="x14">
            <control shapeId="5162" r:id="rId24" name="Check Box 42">
              <controlPr locked="0" defaultSize="0" autoFill="0" autoLine="0" autoPict="0">
                <anchor moveWithCells="1" sizeWithCells="1">
                  <from>
                    <xdr:col>22</xdr:col>
                    <xdr:colOff>0</xdr:colOff>
                    <xdr:row>565</xdr:row>
                    <xdr:rowOff>0</xdr:rowOff>
                  </from>
                  <to>
                    <xdr:col>22</xdr:col>
                    <xdr:colOff>182880</xdr:colOff>
                    <xdr:row>565</xdr:row>
                    <xdr:rowOff>182880</xdr:rowOff>
                  </to>
                </anchor>
              </controlPr>
            </control>
          </mc:Choice>
        </mc:AlternateContent>
        <mc:AlternateContent xmlns:mc="http://schemas.openxmlformats.org/markup-compatibility/2006">
          <mc:Choice Requires="x14">
            <control shapeId="5163" r:id="rId25" name="Check Box 43">
              <controlPr locked="0" defaultSize="0" autoFill="0" autoLine="0" autoPict="0">
                <anchor moveWithCells="1" sizeWithCells="1">
                  <from>
                    <xdr:col>22</xdr:col>
                    <xdr:colOff>0</xdr:colOff>
                    <xdr:row>566</xdr:row>
                    <xdr:rowOff>0</xdr:rowOff>
                  </from>
                  <to>
                    <xdr:col>22</xdr:col>
                    <xdr:colOff>182880</xdr:colOff>
                    <xdr:row>566</xdr:row>
                    <xdr:rowOff>182880</xdr:rowOff>
                  </to>
                </anchor>
              </controlPr>
            </control>
          </mc:Choice>
        </mc:AlternateContent>
        <mc:AlternateContent xmlns:mc="http://schemas.openxmlformats.org/markup-compatibility/2006">
          <mc:Choice Requires="x14">
            <control shapeId="5164" r:id="rId26" name="Check Box 44">
              <controlPr locked="0" defaultSize="0" autoFill="0" autoLine="0" autoPict="0">
                <anchor moveWithCells="1" sizeWithCells="1">
                  <from>
                    <xdr:col>22</xdr:col>
                    <xdr:colOff>0</xdr:colOff>
                    <xdr:row>567</xdr:row>
                    <xdr:rowOff>0</xdr:rowOff>
                  </from>
                  <to>
                    <xdr:col>22</xdr:col>
                    <xdr:colOff>182880</xdr:colOff>
                    <xdr:row>567</xdr:row>
                    <xdr:rowOff>182880</xdr:rowOff>
                  </to>
                </anchor>
              </controlPr>
            </control>
          </mc:Choice>
        </mc:AlternateContent>
        <mc:AlternateContent xmlns:mc="http://schemas.openxmlformats.org/markup-compatibility/2006">
          <mc:Choice Requires="x14">
            <control shapeId="5165" r:id="rId27" name="Check Box 45">
              <controlPr locked="0" defaultSize="0" autoFill="0" autoLine="0" autoPict="0">
                <anchor moveWithCells="1" sizeWithCells="1">
                  <from>
                    <xdr:col>22</xdr:col>
                    <xdr:colOff>0</xdr:colOff>
                    <xdr:row>569</xdr:row>
                    <xdr:rowOff>0</xdr:rowOff>
                  </from>
                  <to>
                    <xdr:col>22</xdr:col>
                    <xdr:colOff>182880</xdr:colOff>
                    <xdr:row>569</xdr:row>
                    <xdr:rowOff>182880</xdr:rowOff>
                  </to>
                </anchor>
              </controlPr>
            </control>
          </mc:Choice>
        </mc:AlternateContent>
        <mc:AlternateContent xmlns:mc="http://schemas.openxmlformats.org/markup-compatibility/2006">
          <mc:Choice Requires="x14">
            <control shapeId="5166" r:id="rId28" name="Check Box 46">
              <controlPr locked="0" defaultSize="0" autoFill="0" autoLine="0" autoPict="0">
                <anchor moveWithCells="1" sizeWithCells="1">
                  <from>
                    <xdr:col>22</xdr:col>
                    <xdr:colOff>0</xdr:colOff>
                    <xdr:row>572</xdr:row>
                    <xdr:rowOff>0</xdr:rowOff>
                  </from>
                  <to>
                    <xdr:col>22</xdr:col>
                    <xdr:colOff>182880</xdr:colOff>
                    <xdr:row>572</xdr:row>
                    <xdr:rowOff>182880</xdr:rowOff>
                  </to>
                </anchor>
              </controlPr>
            </control>
          </mc:Choice>
        </mc:AlternateContent>
        <mc:AlternateContent xmlns:mc="http://schemas.openxmlformats.org/markup-compatibility/2006">
          <mc:Choice Requires="x14">
            <control shapeId="5168" r:id="rId29" name="Check Box 48">
              <controlPr locked="0" defaultSize="0" autoFill="0" autoLine="0" autoPict="0">
                <anchor moveWithCells="1" sizeWithCells="1">
                  <from>
                    <xdr:col>22</xdr:col>
                    <xdr:colOff>0</xdr:colOff>
                    <xdr:row>590</xdr:row>
                    <xdr:rowOff>0</xdr:rowOff>
                  </from>
                  <to>
                    <xdr:col>22</xdr:col>
                    <xdr:colOff>182880</xdr:colOff>
                    <xdr:row>590</xdr:row>
                    <xdr:rowOff>182880</xdr:rowOff>
                  </to>
                </anchor>
              </controlPr>
            </control>
          </mc:Choice>
        </mc:AlternateContent>
        <mc:AlternateContent xmlns:mc="http://schemas.openxmlformats.org/markup-compatibility/2006">
          <mc:Choice Requires="x14">
            <control shapeId="5169" r:id="rId30" name="Check Box 49">
              <controlPr locked="0" defaultSize="0" autoFill="0" autoLine="0" autoPict="0">
                <anchor moveWithCells="1" sizeWithCells="1">
                  <from>
                    <xdr:col>22</xdr:col>
                    <xdr:colOff>0</xdr:colOff>
                    <xdr:row>591</xdr:row>
                    <xdr:rowOff>0</xdr:rowOff>
                  </from>
                  <to>
                    <xdr:col>22</xdr:col>
                    <xdr:colOff>182880</xdr:colOff>
                    <xdr:row>591</xdr:row>
                    <xdr:rowOff>182880</xdr:rowOff>
                  </to>
                </anchor>
              </controlPr>
            </control>
          </mc:Choice>
        </mc:AlternateContent>
        <mc:AlternateContent xmlns:mc="http://schemas.openxmlformats.org/markup-compatibility/2006">
          <mc:Choice Requires="x14">
            <control shapeId="5170" r:id="rId31" name="Check Box 50">
              <controlPr locked="0" defaultSize="0" autoFill="0" autoLine="0" autoPict="0">
                <anchor moveWithCells="1" sizeWithCells="1">
                  <from>
                    <xdr:col>22</xdr:col>
                    <xdr:colOff>0</xdr:colOff>
                    <xdr:row>592</xdr:row>
                    <xdr:rowOff>0</xdr:rowOff>
                  </from>
                  <to>
                    <xdr:col>22</xdr:col>
                    <xdr:colOff>182880</xdr:colOff>
                    <xdr:row>592</xdr:row>
                    <xdr:rowOff>182880</xdr:rowOff>
                  </to>
                </anchor>
              </controlPr>
            </control>
          </mc:Choice>
        </mc:AlternateContent>
        <mc:AlternateContent xmlns:mc="http://schemas.openxmlformats.org/markup-compatibility/2006">
          <mc:Choice Requires="x14">
            <control shapeId="5171" r:id="rId32" name="Check Box 51">
              <controlPr locked="0" defaultSize="0" autoFill="0" autoLine="0" autoPict="0">
                <anchor moveWithCells="1" sizeWithCells="1">
                  <from>
                    <xdr:col>22</xdr:col>
                    <xdr:colOff>0</xdr:colOff>
                    <xdr:row>593</xdr:row>
                    <xdr:rowOff>0</xdr:rowOff>
                  </from>
                  <to>
                    <xdr:col>22</xdr:col>
                    <xdr:colOff>182880</xdr:colOff>
                    <xdr:row>593</xdr:row>
                    <xdr:rowOff>182880</xdr:rowOff>
                  </to>
                </anchor>
              </controlPr>
            </control>
          </mc:Choice>
        </mc:AlternateContent>
        <mc:AlternateContent xmlns:mc="http://schemas.openxmlformats.org/markup-compatibility/2006">
          <mc:Choice Requires="x14">
            <control shapeId="5172" r:id="rId33" name="Check Box 52">
              <controlPr locked="0" defaultSize="0" autoFill="0" autoLine="0" autoPict="0">
                <anchor moveWithCells="1" sizeWithCells="1">
                  <from>
                    <xdr:col>22</xdr:col>
                    <xdr:colOff>0</xdr:colOff>
                    <xdr:row>594</xdr:row>
                    <xdr:rowOff>0</xdr:rowOff>
                  </from>
                  <to>
                    <xdr:col>22</xdr:col>
                    <xdr:colOff>182880</xdr:colOff>
                    <xdr:row>594</xdr:row>
                    <xdr:rowOff>182880</xdr:rowOff>
                  </to>
                </anchor>
              </controlPr>
            </control>
          </mc:Choice>
        </mc:AlternateContent>
        <mc:AlternateContent xmlns:mc="http://schemas.openxmlformats.org/markup-compatibility/2006">
          <mc:Choice Requires="x14">
            <control shapeId="5173" r:id="rId34" name="Check Box 53">
              <controlPr locked="0" defaultSize="0" autoFill="0" autoLine="0" autoPict="0">
                <anchor moveWithCells="1" sizeWithCells="1">
                  <from>
                    <xdr:col>22</xdr:col>
                    <xdr:colOff>0</xdr:colOff>
                    <xdr:row>595</xdr:row>
                    <xdr:rowOff>0</xdr:rowOff>
                  </from>
                  <to>
                    <xdr:col>22</xdr:col>
                    <xdr:colOff>182880</xdr:colOff>
                    <xdr:row>595</xdr:row>
                    <xdr:rowOff>182880</xdr:rowOff>
                  </to>
                </anchor>
              </controlPr>
            </control>
          </mc:Choice>
        </mc:AlternateContent>
        <mc:AlternateContent xmlns:mc="http://schemas.openxmlformats.org/markup-compatibility/2006">
          <mc:Choice Requires="x14">
            <control shapeId="5174" r:id="rId35" name="Check Box 54">
              <controlPr locked="0" defaultSize="0" autoFill="0" autoLine="0" autoPict="0">
                <anchor moveWithCells="1" sizeWithCells="1">
                  <from>
                    <xdr:col>22</xdr:col>
                    <xdr:colOff>0</xdr:colOff>
                    <xdr:row>596</xdr:row>
                    <xdr:rowOff>0</xdr:rowOff>
                  </from>
                  <to>
                    <xdr:col>22</xdr:col>
                    <xdr:colOff>182880</xdr:colOff>
                    <xdr:row>596</xdr:row>
                    <xdr:rowOff>182880</xdr:rowOff>
                  </to>
                </anchor>
              </controlPr>
            </control>
          </mc:Choice>
        </mc:AlternateContent>
        <mc:AlternateContent xmlns:mc="http://schemas.openxmlformats.org/markup-compatibility/2006">
          <mc:Choice Requires="x14">
            <control shapeId="5175" r:id="rId36" name="Check Box 55">
              <controlPr locked="0" defaultSize="0" autoFill="0" autoLine="0" autoPict="0">
                <anchor moveWithCells="1" sizeWithCells="1">
                  <from>
                    <xdr:col>22</xdr:col>
                    <xdr:colOff>0</xdr:colOff>
                    <xdr:row>597</xdr:row>
                    <xdr:rowOff>0</xdr:rowOff>
                  </from>
                  <to>
                    <xdr:col>22</xdr:col>
                    <xdr:colOff>182880</xdr:colOff>
                    <xdr:row>597</xdr:row>
                    <xdr:rowOff>182880</xdr:rowOff>
                  </to>
                </anchor>
              </controlPr>
            </control>
          </mc:Choice>
        </mc:AlternateContent>
        <mc:AlternateContent xmlns:mc="http://schemas.openxmlformats.org/markup-compatibility/2006">
          <mc:Choice Requires="x14">
            <control shapeId="5177" r:id="rId37" name="Check Box 57">
              <controlPr locked="0" defaultSize="0" autoFill="0" autoLine="0" autoPict="0">
                <anchor moveWithCells="1" sizeWithCells="1">
                  <from>
                    <xdr:col>22</xdr:col>
                    <xdr:colOff>0</xdr:colOff>
                    <xdr:row>600</xdr:row>
                    <xdr:rowOff>0</xdr:rowOff>
                  </from>
                  <to>
                    <xdr:col>22</xdr:col>
                    <xdr:colOff>182880</xdr:colOff>
                    <xdr:row>600</xdr:row>
                    <xdr:rowOff>182880</xdr:rowOff>
                  </to>
                </anchor>
              </controlPr>
            </control>
          </mc:Choice>
        </mc:AlternateContent>
        <mc:AlternateContent xmlns:mc="http://schemas.openxmlformats.org/markup-compatibility/2006">
          <mc:Choice Requires="x14">
            <control shapeId="5178" r:id="rId38" name="Check Box 58">
              <controlPr locked="0" defaultSize="0" autoFill="0" autoLine="0" autoPict="0">
                <anchor moveWithCells="1" sizeWithCells="1">
                  <from>
                    <xdr:col>22</xdr:col>
                    <xdr:colOff>0</xdr:colOff>
                    <xdr:row>602</xdr:row>
                    <xdr:rowOff>0</xdr:rowOff>
                  </from>
                  <to>
                    <xdr:col>22</xdr:col>
                    <xdr:colOff>182880</xdr:colOff>
                    <xdr:row>602</xdr:row>
                    <xdr:rowOff>182880</xdr:rowOff>
                  </to>
                </anchor>
              </controlPr>
            </control>
          </mc:Choice>
        </mc:AlternateContent>
        <mc:AlternateContent xmlns:mc="http://schemas.openxmlformats.org/markup-compatibility/2006">
          <mc:Choice Requires="x14">
            <control shapeId="5179" r:id="rId39" name="Check Box 59">
              <controlPr locked="0" defaultSize="0" autoFill="0" autoLine="0" autoPict="0">
                <anchor moveWithCells="1" sizeWithCells="1">
                  <from>
                    <xdr:col>22</xdr:col>
                    <xdr:colOff>0</xdr:colOff>
                    <xdr:row>604</xdr:row>
                    <xdr:rowOff>0</xdr:rowOff>
                  </from>
                  <to>
                    <xdr:col>22</xdr:col>
                    <xdr:colOff>182880</xdr:colOff>
                    <xdr:row>604</xdr:row>
                    <xdr:rowOff>182880</xdr:rowOff>
                  </to>
                </anchor>
              </controlPr>
            </control>
          </mc:Choice>
        </mc:AlternateContent>
        <mc:AlternateContent xmlns:mc="http://schemas.openxmlformats.org/markup-compatibility/2006">
          <mc:Choice Requires="x14">
            <control shapeId="5181" r:id="rId40" name="Check Box 61">
              <controlPr locked="0" defaultSize="0" autoFill="0" autoLine="0" autoPict="0">
                <anchor moveWithCells="1" sizeWithCells="1">
                  <from>
                    <xdr:col>22</xdr:col>
                    <xdr:colOff>0</xdr:colOff>
                    <xdr:row>615</xdr:row>
                    <xdr:rowOff>0</xdr:rowOff>
                  </from>
                  <to>
                    <xdr:col>22</xdr:col>
                    <xdr:colOff>182880</xdr:colOff>
                    <xdr:row>615</xdr:row>
                    <xdr:rowOff>182880</xdr:rowOff>
                  </to>
                </anchor>
              </controlPr>
            </control>
          </mc:Choice>
        </mc:AlternateContent>
        <mc:AlternateContent xmlns:mc="http://schemas.openxmlformats.org/markup-compatibility/2006">
          <mc:Choice Requires="x14">
            <control shapeId="5182" r:id="rId41" name="Check Box 62">
              <controlPr locked="0" defaultSize="0" autoFill="0" autoLine="0" autoPict="0">
                <anchor moveWithCells="1" sizeWithCells="1">
                  <from>
                    <xdr:col>22</xdr:col>
                    <xdr:colOff>0</xdr:colOff>
                    <xdr:row>623</xdr:row>
                    <xdr:rowOff>0</xdr:rowOff>
                  </from>
                  <to>
                    <xdr:col>22</xdr:col>
                    <xdr:colOff>182880</xdr:colOff>
                    <xdr:row>623</xdr:row>
                    <xdr:rowOff>182880</xdr:rowOff>
                  </to>
                </anchor>
              </controlPr>
            </control>
          </mc:Choice>
        </mc:AlternateContent>
        <mc:AlternateContent xmlns:mc="http://schemas.openxmlformats.org/markup-compatibility/2006">
          <mc:Choice Requires="x14">
            <control shapeId="5185" r:id="rId42" name="Check Box 65">
              <controlPr locked="0" defaultSize="0" autoFill="0" autoLine="0" autoPict="0">
                <anchor moveWithCells="1" sizeWithCells="1">
                  <from>
                    <xdr:col>22</xdr:col>
                    <xdr:colOff>0</xdr:colOff>
                    <xdr:row>619</xdr:row>
                    <xdr:rowOff>0</xdr:rowOff>
                  </from>
                  <to>
                    <xdr:col>22</xdr:col>
                    <xdr:colOff>182880</xdr:colOff>
                    <xdr:row>619</xdr:row>
                    <xdr:rowOff>182880</xdr:rowOff>
                  </to>
                </anchor>
              </controlPr>
            </control>
          </mc:Choice>
        </mc:AlternateContent>
        <mc:AlternateContent xmlns:mc="http://schemas.openxmlformats.org/markup-compatibility/2006">
          <mc:Choice Requires="x14">
            <control shapeId="5186" r:id="rId43" name="Check Box 66">
              <controlPr locked="0" defaultSize="0" autoFill="0" autoLine="0" autoPict="0">
                <anchor moveWithCells="1" sizeWithCells="1">
                  <from>
                    <xdr:col>22</xdr:col>
                    <xdr:colOff>0</xdr:colOff>
                    <xdr:row>620</xdr:row>
                    <xdr:rowOff>0</xdr:rowOff>
                  </from>
                  <to>
                    <xdr:col>22</xdr:col>
                    <xdr:colOff>182880</xdr:colOff>
                    <xdr:row>620</xdr:row>
                    <xdr:rowOff>182880</xdr:rowOff>
                  </to>
                </anchor>
              </controlPr>
            </control>
          </mc:Choice>
        </mc:AlternateContent>
        <mc:AlternateContent xmlns:mc="http://schemas.openxmlformats.org/markup-compatibility/2006">
          <mc:Choice Requires="x14">
            <control shapeId="5187" r:id="rId44" name="Check Box 67">
              <controlPr locked="0" defaultSize="0" autoFill="0" autoLine="0" autoPict="0">
                <anchor moveWithCells="1" sizeWithCells="1">
                  <from>
                    <xdr:col>22</xdr:col>
                    <xdr:colOff>0</xdr:colOff>
                    <xdr:row>626</xdr:row>
                    <xdr:rowOff>0</xdr:rowOff>
                  </from>
                  <to>
                    <xdr:col>22</xdr:col>
                    <xdr:colOff>182880</xdr:colOff>
                    <xdr:row>626</xdr:row>
                    <xdr:rowOff>182880</xdr:rowOff>
                  </to>
                </anchor>
              </controlPr>
            </control>
          </mc:Choice>
        </mc:AlternateContent>
        <mc:AlternateContent xmlns:mc="http://schemas.openxmlformats.org/markup-compatibility/2006">
          <mc:Choice Requires="x14">
            <control shapeId="5190" r:id="rId45" name="Check Box 70">
              <controlPr locked="0" defaultSize="0" autoFill="0" autoLine="0" autoPict="0">
                <anchor moveWithCells="1" sizeWithCells="1">
                  <from>
                    <xdr:col>22</xdr:col>
                    <xdr:colOff>0</xdr:colOff>
                    <xdr:row>466</xdr:row>
                    <xdr:rowOff>0</xdr:rowOff>
                  </from>
                  <to>
                    <xdr:col>22</xdr:col>
                    <xdr:colOff>182880</xdr:colOff>
                    <xdr:row>466</xdr:row>
                    <xdr:rowOff>182880</xdr:rowOff>
                  </to>
                </anchor>
              </controlPr>
            </control>
          </mc:Choice>
        </mc:AlternateContent>
        <mc:AlternateContent xmlns:mc="http://schemas.openxmlformats.org/markup-compatibility/2006">
          <mc:Choice Requires="x14">
            <control shapeId="5192" r:id="rId46" name="Check Box 72">
              <controlPr locked="0" defaultSize="0" autoFill="0" autoLine="0" autoPict="0">
                <anchor moveWithCells="1" sizeWithCells="1">
                  <from>
                    <xdr:col>22</xdr:col>
                    <xdr:colOff>0</xdr:colOff>
                    <xdr:row>483</xdr:row>
                    <xdr:rowOff>0</xdr:rowOff>
                  </from>
                  <to>
                    <xdr:col>22</xdr:col>
                    <xdr:colOff>182880</xdr:colOff>
                    <xdr:row>483</xdr:row>
                    <xdr:rowOff>182880</xdr:rowOff>
                  </to>
                </anchor>
              </controlPr>
            </control>
          </mc:Choice>
        </mc:AlternateContent>
        <mc:AlternateContent xmlns:mc="http://schemas.openxmlformats.org/markup-compatibility/2006">
          <mc:Choice Requires="x14">
            <control shapeId="5193" r:id="rId47" name="Check Box 73">
              <controlPr locked="0" defaultSize="0" autoFill="0" autoLine="0" autoPict="0">
                <anchor moveWithCells="1" sizeWithCells="1">
                  <from>
                    <xdr:col>22</xdr:col>
                    <xdr:colOff>0</xdr:colOff>
                    <xdr:row>486</xdr:row>
                    <xdr:rowOff>0</xdr:rowOff>
                  </from>
                  <to>
                    <xdr:col>22</xdr:col>
                    <xdr:colOff>182880</xdr:colOff>
                    <xdr:row>486</xdr:row>
                    <xdr:rowOff>182880</xdr:rowOff>
                  </to>
                </anchor>
              </controlPr>
            </control>
          </mc:Choice>
        </mc:AlternateContent>
        <mc:AlternateContent xmlns:mc="http://schemas.openxmlformats.org/markup-compatibility/2006">
          <mc:Choice Requires="x14">
            <control shapeId="5195" r:id="rId48" name="Check Box 75">
              <controlPr locked="0" defaultSize="0" autoFill="0" autoLine="0" autoPict="0">
                <anchor moveWithCells="1" sizeWithCells="1">
                  <from>
                    <xdr:col>22</xdr:col>
                    <xdr:colOff>0</xdr:colOff>
                    <xdr:row>491</xdr:row>
                    <xdr:rowOff>0</xdr:rowOff>
                  </from>
                  <to>
                    <xdr:col>22</xdr:col>
                    <xdr:colOff>182880</xdr:colOff>
                    <xdr:row>491</xdr:row>
                    <xdr:rowOff>182880</xdr:rowOff>
                  </to>
                </anchor>
              </controlPr>
            </control>
          </mc:Choice>
        </mc:AlternateContent>
        <mc:AlternateContent xmlns:mc="http://schemas.openxmlformats.org/markup-compatibility/2006">
          <mc:Choice Requires="x14">
            <control shapeId="5196" r:id="rId49" name="Check Box 76">
              <controlPr locked="0" defaultSize="0" autoFill="0" autoLine="0" autoPict="0">
                <anchor moveWithCells="1" sizeWithCells="1">
                  <from>
                    <xdr:col>22</xdr:col>
                    <xdr:colOff>0</xdr:colOff>
                    <xdr:row>492</xdr:row>
                    <xdr:rowOff>0</xdr:rowOff>
                  </from>
                  <to>
                    <xdr:col>22</xdr:col>
                    <xdr:colOff>182880</xdr:colOff>
                    <xdr:row>492</xdr:row>
                    <xdr:rowOff>182880</xdr:rowOff>
                  </to>
                </anchor>
              </controlPr>
            </control>
          </mc:Choice>
        </mc:AlternateContent>
        <mc:AlternateContent xmlns:mc="http://schemas.openxmlformats.org/markup-compatibility/2006">
          <mc:Choice Requires="x14">
            <control shapeId="5197" r:id="rId50" name="Check Box 77">
              <controlPr locked="0" defaultSize="0" autoFill="0" autoLine="0" autoPict="0">
                <anchor moveWithCells="1" sizeWithCells="1">
                  <from>
                    <xdr:col>22</xdr:col>
                    <xdr:colOff>0</xdr:colOff>
                    <xdr:row>496</xdr:row>
                    <xdr:rowOff>0</xdr:rowOff>
                  </from>
                  <to>
                    <xdr:col>22</xdr:col>
                    <xdr:colOff>182880</xdr:colOff>
                    <xdr:row>496</xdr:row>
                    <xdr:rowOff>182880</xdr:rowOff>
                  </to>
                </anchor>
              </controlPr>
            </control>
          </mc:Choice>
        </mc:AlternateContent>
        <mc:AlternateContent xmlns:mc="http://schemas.openxmlformats.org/markup-compatibility/2006">
          <mc:Choice Requires="x14">
            <control shapeId="5198" r:id="rId51" name="Check Box 78">
              <controlPr locked="0" defaultSize="0" autoFill="0" autoLine="0" autoPict="0">
                <anchor moveWithCells="1" sizeWithCells="1">
                  <from>
                    <xdr:col>22</xdr:col>
                    <xdr:colOff>0</xdr:colOff>
                    <xdr:row>501</xdr:row>
                    <xdr:rowOff>0</xdr:rowOff>
                  </from>
                  <to>
                    <xdr:col>22</xdr:col>
                    <xdr:colOff>182880</xdr:colOff>
                    <xdr:row>501</xdr:row>
                    <xdr:rowOff>182880</xdr:rowOff>
                  </to>
                </anchor>
              </controlPr>
            </control>
          </mc:Choice>
        </mc:AlternateContent>
        <mc:AlternateContent xmlns:mc="http://schemas.openxmlformats.org/markup-compatibility/2006">
          <mc:Choice Requires="x14">
            <control shapeId="5201" r:id="rId52" name="Check Box 81">
              <controlPr locked="0" defaultSize="0" autoFill="0" autoLine="0" autoPict="0">
                <anchor moveWithCells="1" sizeWithCells="1">
                  <from>
                    <xdr:col>22</xdr:col>
                    <xdr:colOff>0</xdr:colOff>
                    <xdr:row>524</xdr:row>
                    <xdr:rowOff>0</xdr:rowOff>
                  </from>
                  <to>
                    <xdr:col>22</xdr:col>
                    <xdr:colOff>182880</xdr:colOff>
                    <xdr:row>524</xdr:row>
                    <xdr:rowOff>182880</xdr:rowOff>
                  </to>
                </anchor>
              </controlPr>
            </control>
          </mc:Choice>
        </mc:AlternateContent>
        <mc:AlternateContent xmlns:mc="http://schemas.openxmlformats.org/markup-compatibility/2006">
          <mc:Choice Requires="x14">
            <control shapeId="5203" r:id="rId53" name="Check Box 83">
              <controlPr locked="0" defaultSize="0" autoFill="0" autoLine="0" autoPict="0">
                <anchor moveWithCells="1" sizeWithCells="1">
                  <from>
                    <xdr:col>22</xdr:col>
                    <xdr:colOff>0</xdr:colOff>
                    <xdr:row>527</xdr:row>
                    <xdr:rowOff>0</xdr:rowOff>
                  </from>
                  <to>
                    <xdr:col>22</xdr:col>
                    <xdr:colOff>182880</xdr:colOff>
                    <xdr:row>527</xdr:row>
                    <xdr:rowOff>182880</xdr:rowOff>
                  </to>
                </anchor>
              </controlPr>
            </control>
          </mc:Choice>
        </mc:AlternateContent>
        <mc:AlternateContent xmlns:mc="http://schemas.openxmlformats.org/markup-compatibility/2006">
          <mc:Choice Requires="x14">
            <control shapeId="5205" r:id="rId54" name="Check Box 85">
              <controlPr locked="0" defaultSize="0" autoFill="0" autoLine="0" autoPict="0">
                <anchor moveWithCells="1" sizeWithCells="1">
                  <from>
                    <xdr:col>22</xdr:col>
                    <xdr:colOff>0</xdr:colOff>
                    <xdr:row>541</xdr:row>
                    <xdr:rowOff>0</xdr:rowOff>
                  </from>
                  <to>
                    <xdr:col>22</xdr:col>
                    <xdr:colOff>182880</xdr:colOff>
                    <xdr:row>541</xdr:row>
                    <xdr:rowOff>182880</xdr:rowOff>
                  </to>
                </anchor>
              </controlPr>
            </control>
          </mc:Choice>
        </mc:AlternateContent>
        <mc:AlternateContent xmlns:mc="http://schemas.openxmlformats.org/markup-compatibility/2006">
          <mc:Choice Requires="x14">
            <control shapeId="5206" r:id="rId55" name="Check Box 86">
              <controlPr locked="0" defaultSize="0" autoFill="0" autoLine="0" autoPict="0">
                <anchor moveWithCells="1" sizeWithCells="1">
                  <from>
                    <xdr:col>22</xdr:col>
                    <xdr:colOff>0</xdr:colOff>
                    <xdr:row>553</xdr:row>
                    <xdr:rowOff>0</xdr:rowOff>
                  </from>
                  <to>
                    <xdr:col>22</xdr:col>
                    <xdr:colOff>182880</xdr:colOff>
                    <xdr:row>553</xdr:row>
                    <xdr:rowOff>182880</xdr:rowOff>
                  </to>
                </anchor>
              </controlPr>
            </control>
          </mc:Choice>
        </mc:AlternateContent>
        <mc:AlternateContent xmlns:mc="http://schemas.openxmlformats.org/markup-compatibility/2006">
          <mc:Choice Requires="x14">
            <control shapeId="5207" r:id="rId56" name="Check Box 87">
              <controlPr locked="0" defaultSize="0" autoFill="0" autoLine="0" autoPict="0">
                <anchor moveWithCells="1" sizeWithCells="1">
                  <from>
                    <xdr:col>22</xdr:col>
                    <xdr:colOff>0</xdr:colOff>
                    <xdr:row>555</xdr:row>
                    <xdr:rowOff>0</xdr:rowOff>
                  </from>
                  <to>
                    <xdr:col>22</xdr:col>
                    <xdr:colOff>182880</xdr:colOff>
                    <xdr:row>555</xdr:row>
                    <xdr:rowOff>182880</xdr:rowOff>
                  </to>
                </anchor>
              </controlPr>
            </control>
          </mc:Choice>
        </mc:AlternateContent>
        <mc:AlternateContent xmlns:mc="http://schemas.openxmlformats.org/markup-compatibility/2006">
          <mc:Choice Requires="x14">
            <control shapeId="5208" r:id="rId57" name="Check Box 88">
              <controlPr locked="0" defaultSize="0" autoFill="0" autoLine="0" autoPict="0">
                <anchor moveWithCells="1" sizeWithCells="1">
                  <from>
                    <xdr:col>22</xdr:col>
                    <xdr:colOff>0</xdr:colOff>
                    <xdr:row>557</xdr:row>
                    <xdr:rowOff>0</xdr:rowOff>
                  </from>
                  <to>
                    <xdr:col>22</xdr:col>
                    <xdr:colOff>182880</xdr:colOff>
                    <xdr:row>557</xdr:row>
                    <xdr:rowOff>182880</xdr:rowOff>
                  </to>
                </anchor>
              </controlPr>
            </control>
          </mc:Choice>
        </mc:AlternateContent>
        <mc:AlternateContent xmlns:mc="http://schemas.openxmlformats.org/markup-compatibility/2006">
          <mc:Choice Requires="x14">
            <control shapeId="5210" r:id="rId58" name="Check Box 90">
              <controlPr locked="0" defaultSize="0" autoFill="0" autoLine="0" autoPict="0">
                <anchor moveWithCells="1" sizeWithCells="1">
                  <from>
                    <xdr:col>22</xdr:col>
                    <xdr:colOff>0</xdr:colOff>
                    <xdr:row>368</xdr:row>
                    <xdr:rowOff>0</xdr:rowOff>
                  </from>
                  <to>
                    <xdr:col>22</xdr:col>
                    <xdr:colOff>182880</xdr:colOff>
                    <xdr:row>368</xdr:row>
                    <xdr:rowOff>182880</xdr:rowOff>
                  </to>
                </anchor>
              </controlPr>
            </control>
          </mc:Choice>
        </mc:AlternateContent>
        <mc:AlternateContent xmlns:mc="http://schemas.openxmlformats.org/markup-compatibility/2006">
          <mc:Choice Requires="x14">
            <control shapeId="5211" r:id="rId59" name="Check Box 91">
              <controlPr locked="0" defaultSize="0" autoFill="0" autoLine="0" autoPict="0">
                <anchor moveWithCells="1" sizeWithCells="1">
                  <from>
                    <xdr:col>22</xdr:col>
                    <xdr:colOff>0</xdr:colOff>
                    <xdr:row>363</xdr:row>
                    <xdr:rowOff>0</xdr:rowOff>
                  </from>
                  <to>
                    <xdr:col>22</xdr:col>
                    <xdr:colOff>182880</xdr:colOff>
                    <xdr:row>363</xdr:row>
                    <xdr:rowOff>182880</xdr:rowOff>
                  </to>
                </anchor>
              </controlPr>
            </control>
          </mc:Choice>
        </mc:AlternateContent>
        <mc:AlternateContent xmlns:mc="http://schemas.openxmlformats.org/markup-compatibility/2006">
          <mc:Choice Requires="x14">
            <control shapeId="5212" r:id="rId60" name="Check Box 92">
              <controlPr locked="0" defaultSize="0" autoFill="0" autoLine="0" autoPict="0">
                <anchor moveWithCells="1" sizeWithCells="1">
                  <from>
                    <xdr:col>22</xdr:col>
                    <xdr:colOff>0</xdr:colOff>
                    <xdr:row>364</xdr:row>
                    <xdr:rowOff>0</xdr:rowOff>
                  </from>
                  <to>
                    <xdr:col>22</xdr:col>
                    <xdr:colOff>182880</xdr:colOff>
                    <xdr:row>364</xdr:row>
                    <xdr:rowOff>182880</xdr:rowOff>
                  </to>
                </anchor>
              </controlPr>
            </control>
          </mc:Choice>
        </mc:AlternateContent>
        <mc:AlternateContent xmlns:mc="http://schemas.openxmlformats.org/markup-compatibility/2006">
          <mc:Choice Requires="x14">
            <control shapeId="5213" r:id="rId61" name="Check Box 93">
              <controlPr locked="0" defaultSize="0" autoFill="0" autoLine="0" autoPict="0">
                <anchor moveWithCells="1" sizeWithCells="1">
                  <from>
                    <xdr:col>22</xdr:col>
                    <xdr:colOff>0</xdr:colOff>
                    <xdr:row>365</xdr:row>
                    <xdr:rowOff>0</xdr:rowOff>
                  </from>
                  <to>
                    <xdr:col>22</xdr:col>
                    <xdr:colOff>182880</xdr:colOff>
                    <xdr:row>365</xdr:row>
                    <xdr:rowOff>182880</xdr:rowOff>
                  </to>
                </anchor>
              </controlPr>
            </control>
          </mc:Choice>
        </mc:AlternateContent>
        <mc:AlternateContent xmlns:mc="http://schemas.openxmlformats.org/markup-compatibility/2006">
          <mc:Choice Requires="x14">
            <control shapeId="5214" r:id="rId62" name="Check Box 94">
              <controlPr locked="0" defaultSize="0" autoFill="0" autoLine="0" autoPict="0">
                <anchor moveWithCells="1" sizeWithCells="1">
                  <from>
                    <xdr:col>22</xdr:col>
                    <xdr:colOff>0</xdr:colOff>
                    <xdr:row>396</xdr:row>
                    <xdr:rowOff>0</xdr:rowOff>
                  </from>
                  <to>
                    <xdr:col>22</xdr:col>
                    <xdr:colOff>182880</xdr:colOff>
                    <xdr:row>396</xdr:row>
                    <xdr:rowOff>182880</xdr:rowOff>
                  </to>
                </anchor>
              </controlPr>
            </control>
          </mc:Choice>
        </mc:AlternateContent>
        <mc:AlternateContent xmlns:mc="http://schemas.openxmlformats.org/markup-compatibility/2006">
          <mc:Choice Requires="x14">
            <control shapeId="5216" r:id="rId63" name="Check Box 96">
              <controlPr locked="0" defaultSize="0" autoFill="0" autoLine="0" autoPict="0">
                <anchor moveWithCells="1" sizeWithCells="1">
                  <from>
                    <xdr:col>22</xdr:col>
                    <xdr:colOff>0</xdr:colOff>
                    <xdr:row>404</xdr:row>
                    <xdr:rowOff>0</xdr:rowOff>
                  </from>
                  <to>
                    <xdr:col>22</xdr:col>
                    <xdr:colOff>182880</xdr:colOff>
                    <xdr:row>404</xdr:row>
                    <xdr:rowOff>182880</xdr:rowOff>
                  </to>
                </anchor>
              </controlPr>
            </control>
          </mc:Choice>
        </mc:AlternateContent>
        <mc:AlternateContent xmlns:mc="http://schemas.openxmlformats.org/markup-compatibility/2006">
          <mc:Choice Requires="x14">
            <control shapeId="5217" r:id="rId64" name="Check Box 97">
              <controlPr locked="0" defaultSize="0" autoFill="0" autoLine="0" autoPict="0">
                <anchor moveWithCells="1" sizeWithCells="1">
                  <from>
                    <xdr:col>22</xdr:col>
                    <xdr:colOff>0</xdr:colOff>
                    <xdr:row>406</xdr:row>
                    <xdr:rowOff>0</xdr:rowOff>
                  </from>
                  <to>
                    <xdr:col>22</xdr:col>
                    <xdr:colOff>182880</xdr:colOff>
                    <xdr:row>406</xdr:row>
                    <xdr:rowOff>182880</xdr:rowOff>
                  </to>
                </anchor>
              </controlPr>
            </control>
          </mc:Choice>
        </mc:AlternateContent>
        <mc:AlternateContent xmlns:mc="http://schemas.openxmlformats.org/markup-compatibility/2006">
          <mc:Choice Requires="x14">
            <control shapeId="5218" r:id="rId65" name="Check Box 98">
              <controlPr locked="0" defaultSize="0" autoFill="0" autoLine="0" autoPict="0">
                <anchor moveWithCells="1" sizeWithCells="1">
                  <from>
                    <xdr:col>22</xdr:col>
                    <xdr:colOff>0</xdr:colOff>
                    <xdr:row>407</xdr:row>
                    <xdr:rowOff>0</xdr:rowOff>
                  </from>
                  <to>
                    <xdr:col>22</xdr:col>
                    <xdr:colOff>182880</xdr:colOff>
                    <xdr:row>407</xdr:row>
                    <xdr:rowOff>182880</xdr:rowOff>
                  </to>
                </anchor>
              </controlPr>
            </control>
          </mc:Choice>
        </mc:AlternateContent>
        <mc:AlternateContent xmlns:mc="http://schemas.openxmlformats.org/markup-compatibility/2006">
          <mc:Choice Requires="x14">
            <control shapeId="5219" r:id="rId66" name="Check Box 99">
              <controlPr locked="0" defaultSize="0" autoFill="0" autoLine="0" autoPict="0">
                <anchor moveWithCells="1" sizeWithCells="1">
                  <from>
                    <xdr:col>22</xdr:col>
                    <xdr:colOff>0</xdr:colOff>
                    <xdr:row>408</xdr:row>
                    <xdr:rowOff>0</xdr:rowOff>
                  </from>
                  <to>
                    <xdr:col>22</xdr:col>
                    <xdr:colOff>182880</xdr:colOff>
                    <xdr:row>408</xdr:row>
                    <xdr:rowOff>182880</xdr:rowOff>
                  </to>
                </anchor>
              </controlPr>
            </control>
          </mc:Choice>
        </mc:AlternateContent>
        <mc:AlternateContent xmlns:mc="http://schemas.openxmlformats.org/markup-compatibility/2006">
          <mc:Choice Requires="x14">
            <control shapeId="5220" r:id="rId67" name="Check Box 100">
              <controlPr locked="0" defaultSize="0" autoFill="0" autoLine="0" autoPict="0">
                <anchor moveWithCells="1" sizeWithCells="1">
                  <from>
                    <xdr:col>22</xdr:col>
                    <xdr:colOff>0</xdr:colOff>
                    <xdr:row>410</xdr:row>
                    <xdr:rowOff>0</xdr:rowOff>
                  </from>
                  <to>
                    <xdr:col>22</xdr:col>
                    <xdr:colOff>182880</xdr:colOff>
                    <xdr:row>410</xdr:row>
                    <xdr:rowOff>182880</xdr:rowOff>
                  </to>
                </anchor>
              </controlPr>
            </control>
          </mc:Choice>
        </mc:AlternateContent>
        <mc:AlternateContent xmlns:mc="http://schemas.openxmlformats.org/markup-compatibility/2006">
          <mc:Choice Requires="x14">
            <control shapeId="5221" r:id="rId68" name="Check Box 101">
              <controlPr locked="0" defaultSize="0" autoFill="0" autoLine="0" autoPict="0">
                <anchor moveWithCells="1" sizeWithCells="1">
                  <from>
                    <xdr:col>22</xdr:col>
                    <xdr:colOff>0</xdr:colOff>
                    <xdr:row>413</xdr:row>
                    <xdr:rowOff>0</xdr:rowOff>
                  </from>
                  <to>
                    <xdr:col>22</xdr:col>
                    <xdr:colOff>182880</xdr:colOff>
                    <xdr:row>413</xdr:row>
                    <xdr:rowOff>182880</xdr:rowOff>
                  </to>
                </anchor>
              </controlPr>
            </control>
          </mc:Choice>
        </mc:AlternateContent>
        <mc:AlternateContent xmlns:mc="http://schemas.openxmlformats.org/markup-compatibility/2006">
          <mc:Choice Requires="x14">
            <control shapeId="5222" r:id="rId69" name="Check Box 102">
              <controlPr locked="0" defaultSize="0" autoFill="0" autoLine="0" autoPict="0">
                <anchor moveWithCells="1" sizeWithCells="1">
                  <from>
                    <xdr:col>22</xdr:col>
                    <xdr:colOff>0</xdr:colOff>
                    <xdr:row>414</xdr:row>
                    <xdr:rowOff>0</xdr:rowOff>
                  </from>
                  <to>
                    <xdr:col>22</xdr:col>
                    <xdr:colOff>182880</xdr:colOff>
                    <xdr:row>414</xdr:row>
                    <xdr:rowOff>182880</xdr:rowOff>
                  </to>
                </anchor>
              </controlPr>
            </control>
          </mc:Choice>
        </mc:AlternateContent>
        <mc:AlternateContent xmlns:mc="http://schemas.openxmlformats.org/markup-compatibility/2006">
          <mc:Choice Requires="x14">
            <control shapeId="5223" r:id="rId70" name="Check Box 103">
              <controlPr locked="0" defaultSize="0" autoFill="0" autoLine="0" autoPict="0">
                <anchor moveWithCells="1" sizeWithCells="1">
                  <from>
                    <xdr:col>22</xdr:col>
                    <xdr:colOff>0</xdr:colOff>
                    <xdr:row>419</xdr:row>
                    <xdr:rowOff>0</xdr:rowOff>
                  </from>
                  <to>
                    <xdr:col>22</xdr:col>
                    <xdr:colOff>182880</xdr:colOff>
                    <xdr:row>419</xdr:row>
                    <xdr:rowOff>182880</xdr:rowOff>
                  </to>
                </anchor>
              </controlPr>
            </control>
          </mc:Choice>
        </mc:AlternateContent>
        <mc:AlternateContent xmlns:mc="http://schemas.openxmlformats.org/markup-compatibility/2006">
          <mc:Choice Requires="x14">
            <control shapeId="5224" r:id="rId71" name="Check Box 104">
              <controlPr locked="0" defaultSize="0" autoFill="0" autoLine="0" autoPict="0">
                <anchor moveWithCells="1" sizeWithCells="1">
                  <from>
                    <xdr:col>22</xdr:col>
                    <xdr:colOff>0</xdr:colOff>
                    <xdr:row>421</xdr:row>
                    <xdr:rowOff>0</xdr:rowOff>
                  </from>
                  <to>
                    <xdr:col>22</xdr:col>
                    <xdr:colOff>182880</xdr:colOff>
                    <xdr:row>421</xdr:row>
                    <xdr:rowOff>182880</xdr:rowOff>
                  </to>
                </anchor>
              </controlPr>
            </control>
          </mc:Choice>
        </mc:AlternateContent>
        <mc:AlternateContent xmlns:mc="http://schemas.openxmlformats.org/markup-compatibility/2006">
          <mc:Choice Requires="x14">
            <control shapeId="5225" r:id="rId72" name="Check Box 105">
              <controlPr locked="0" defaultSize="0" autoFill="0" autoLine="0" autoPict="0">
                <anchor moveWithCells="1" sizeWithCells="1">
                  <from>
                    <xdr:col>22</xdr:col>
                    <xdr:colOff>0</xdr:colOff>
                    <xdr:row>423</xdr:row>
                    <xdr:rowOff>0</xdr:rowOff>
                  </from>
                  <to>
                    <xdr:col>22</xdr:col>
                    <xdr:colOff>182880</xdr:colOff>
                    <xdr:row>423</xdr:row>
                    <xdr:rowOff>182880</xdr:rowOff>
                  </to>
                </anchor>
              </controlPr>
            </control>
          </mc:Choice>
        </mc:AlternateContent>
        <mc:AlternateContent xmlns:mc="http://schemas.openxmlformats.org/markup-compatibility/2006">
          <mc:Choice Requires="x14">
            <control shapeId="5226" r:id="rId73" name="Check Box 106">
              <controlPr locked="0" defaultSize="0" autoFill="0" autoLine="0" autoPict="0">
                <anchor moveWithCells="1" sizeWithCells="1">
                  <from>
                    <xdr:col>22</xdr:col>
                    <xdr:colOff>0</xdr:colOff>
                    <xdr:row>425</xdr:row>
                    <xdr:rowOff>0</xdr:rowOff>
                  </from>
                  <to>
                    <xdr:col>22</xdr:col>
                    <xdr:colOff>182880</xdr:colOff>
                    <xdr:row>425</xdr:row>
                    <xdr:rowOff>182880</xdr:rowOff>
                  </to>
                </anchor>
              </controlPr>
            </control>
          </mc:Choice>
        </mc:AlternateContent>
        <mc:AlternateContent xmlns:mc="http://schemas.openxmlformats.org/markup-compatibility/2006">
          <mc:Choice Requires="x14">
            <control shapeId="5228" r:id="rId74" name="Check Box 108">
              <controlPr locked="0" defaultSize="0" autoFill="0" autoLine="0" autoPict="0">
                <anchor moveWithCells="1" sizeWithCells="1">
                  <from>
                    <xdr:col>22</xdr:col>
                    <xdr:colOff>0</xdr:colOff>
                    <xdr:row>356</xdr:row>
                    <xdr:rowOff>0</xdr:rowOff>
                  </from>
                  <to>
                    <xdr:col>22</xdr:col>
                    <xdr:colOff>182880</xdr:colOff>
                    <xdr:row>356</xdr:row>
                    <xdr:rowOff>182880</xdr:rowOff>
                  </to>
                </anchor>
              </controlPr>
            </control>
          </mc:Choice>
        </mc:AlternateContent>
        <mc:AlternateContent xmlns:mc="http://schemas.openxmlformats.org/markup-compatibility/2006">
          <mc:Choice Requires="x14">
            <control shapeId="5229" r:id="rId75" name="Check Box 109">
              <controlPr locked="0" defaultSize="0" autoFill="0" autoLine="0" autoPict="0">
                <anchor moveWithCells="1" sizeWithCells="1">
                  <from>
                    <xdr:col>22</xdr:col>
                    <xdr:colOff>0</xdr:colOff>
                    <xdr:row>358</xdr:row>
                    <xdr:rowOff>0</xdr:rowOff>
                  </from>
                  <to>
                    <xdr:col>22</xdr:col>
                    <xdr:colOff>182880</xdr:colOff>
                    <xdr:row>358</xdr:row>
                    <xdr:rowOff>182880</xdr:rowOff>
                  </to>
                </anchor>
              </controlPr>
            </control>
          </mc:Choice>
        </mc:AlternateContent>
        <mc:AlternateContent xmlns:mc="http://schemas.openxmlformats.org/markup-compatibility/2006">
          <mc:Choice Requires="x14">
            <control shapeId="5230" r:id="rId76" name="Check Box 110">
              <controlPr locked="0" defaultSize="0" autoFill="0" autoLine="0" autoPict="0">
                <anchor moveWithCells="1" sizeWithCells="1">
                  <from>
                    <xdr:col>22</xdr:col>
                    <xdr:colOff>0</xdr:colOff>
                    <xdr:row>360</xdr:row>
                    <xdr:rowOff>0</xdr:rowOff>
                  </from>
                  <to>
                    <xdr:col>22</xdr:col>
                    <xdr:colOff>182880</xdr:colOff>
                    <xdr:row>360</xdr:row>
                    <xdr:rowOff>182880</xdr:rowOff>
                  </to>
                </anchor>
              </controlPr>
            </control>
          </mc:Choice>
        </mc:AlternateContent>
        <mc:AlternateContent xmlns:mc="http://schemas.openxmlformats.org/markup-compatibility/2006">
          <mc:Choice Requires="x14">
            <control shapeId="5232" r:id="rId77" name="Check Box 112">
              <controlPr locked="0" defaultSize="0" autoFill="0" autoLine="0" autoPict="0">
                <anchor moveWithCells="1" sizeWithCells="1">
                  <from>
                    <xdr:col>22</xdr:col>
                    <xdr:colOff>0</xdr:colOff>
                    <xdr:row>342</xdr:row>
                    <xdr:rowOff>0</xdr:rowOff>
                  </from>
                  <to>
                    <xdr:col>22</xdr:col>
                    <xdr:colOff>182880</xdr:colOff>
                    <xdr:row>342</xdr:row>
                    <xdr:rowOff>182880</xdr:rowOff>
                  </to>
                </anchor>
              </controlPr>
            </control>
          </mc:Choice>
        </mc:AlternateContent>
        <mc:AlternateContent xmlns:mc="http://schemas.openxmlformats.org/markup-compatibility/2006">
          <mc:Choice Requires="x14">
            <control shapeId="5233" r:id="rId78" name="Check Box 113">
              <controlPr locked="0" defaultSize="0" autoFill="0" autoLine="0" autoPict="0">
                <anchor moveWithCells="1" sizeWithCells="1">
                  <from>
                    <xdr:col>22</xdr:col>
                    <xdr:colOff>0</xdr:colOff>
                    <xdr:row>344</xdr:row>
                    <xdr:rowOff>0</xdr:rowOff>
                  </from>
                  <to>
                    <xdr:col>22</xdr:col>
                    <xdr:colOff>182880</xdr:colOff>
                    <xdr:row>344</xdr:row>
                    <xdr:rowOff>182880</xdr:rowOff>
                  </to>
                </anchor>
              </controlPr>
            </control>
          </mc:Choice>
        </mc:AlternateContent>
        <mc:AlternateContent xmlns:mc="http://schemas.openxmlformats.org/markup-compatibility/2006">
          <mc:Choice Requires="x14">
            <control shapeId="5234" r:id="rId79" name="Check Box 114">
              <controlPr locked="0" defaultSize="0" autoFill="0" autoLine="0" autoPict="0">
                <anchor moveWithCells="1" sizeWithCells="1">
                  <from>
                    <xdr:col>22</xdr:col>
                    <xdr:colOff>0</xdr:colOff>
                    <xdr:row>340</xdr:row>
                    <xdr:rowOff>0</xdr:rowOff>
                  </from>
                  <to>
                    <xdr:col>22</xdr:col>
                    <xdr:colOff>182880</xdr:colOff>
                    <xdr:row>340</xdr:row>
                    <xdr:rowOff>182880</xdr:rowOff>
                  </to>
                </anchor>
              </controlPr>
            </control>
          </mc:Choice>
        </mc:AlternateContent>
        <mc:AlternateContent xmlns:mc="http://schemas.openxmlformats.org/markup-compatibility/2006">
          <mc:Choice Requires="x14">
            <control shapeId="5240" r:id="rId80" name="Check Box 120">
              <controlPr locked="0" defaultSize="0" autoFill="0" autoLine="0" autoPict="0">
                <anchor moveWithCells="1" sizeWithCells="1">
                  <from>
                    <xdr:col>22</xdr:col>
                    <xdr:colOff>0</xdr:colOff>
                    <xdr:row>302</xdr:row>
                    <xdr:rowOff>0</xdr:rowOff>
                  </from>
                  <to>
                    <xdr:col>22</xdr:col>
                    <xdr:colOff>182880</xdr:colOff>
                    <xdr:row>302</xdr:row>
                    <xdr:rowOff>182880</xdr:rowOff>
                  </to>
                </anchor>
              </controlPr>
            </control>
          </mc:Choice>
        </mc:AlternateContent>
        <mc:AlternateContent xmlns:mc="http://schemas.openxmlformats.org/markup-compatibility/2006">
          <mc:Choice Requires="x14">
            <control shapeId="5241" r:id="rId81" name="Check Box 121">
              <controlPr locked="0" defaultSize="0" autoFill="0" autoLine="0" autoPict="0">
                <anchor moveWithCells="1" sizeWithCells="1">
                  <from>
                    <xdr:col>22</xdr:col>
                    <xdr:colOff>0</xdr:colOff>
                    <xdr:row>304</xdr:row>
                    <xdr:rowOff>0</xdr:rowOff>
                  </from>
                  <to>
                    <xdr:col>22</xdr:col>
                    <xdr:colOff>182880</xdr:colOff>
                    <xdr:row>304</xdr:row>
                    <xdr:rowOff>182880</xdr:rowOff>
                  </to>
                </anchor>
              </controlPr>
            </control>
          </mc:Choice>
        </mc:AlternateContent>
        <mc:AlternateContent xmlns:mc="http://schemas.openxmlformats.org/markup-compatibility/2006">
          <mc:Choice Requires="x14">
            <control shapeId="5242" r:id="rId82" name="Check Box 122">
              <controlPr locked="0" defaultSize="0" autoFill="0" autoLine="0" autoPict="0">
                <anchor moveWithCells="1" sizeWithCells="1">
                  <from>
                    <xdr:col>22</xdr:col>
                    <xdr:colOff>0</xdr:colOff>
                    <xdr:row>307</xdr:row>
                    <xdr:rowOff>0</xdr:rowOff>
                  </from>
                  <to>
                    <xdr:col>22</xdr:col>
                    <xdr:colOff>182880</xdr:colOff>
                    <xdr:row>307</xdr:row>
                    <xdr:rowOff>182880</xdr:rowOff>
                  </to>
                </anchor>
              </controlPr>
            </control>
          </mc:Choice>
        </mc:AlternateContent>
        <mc:AlternateContent xmlns:mc="http://schemas.openxmlformats.org/markup-compatibility/2006">
          <mc:Choice Requires="x14">
            <control shapeId="5243" r:id="rId83" name="Check Box 123">
              <controlPr locked="0" defaultSize="0" autoFill="0" autoLine="0" autoPict="0">
                <anchor moveWithCells="1" sizeWithCells="1">
                  <from>
                    <xdr:col>22</xdr:col>
                    <xdr:colOff>0</xdr:colOff>
                    <xdr:row>308</xdr:row>
                    <xdr:rowOff>0</xdr:rowOff>
                  </from>
                  <to>
                    <xdr:col>22</xdr:col>
                    <xdr:colOff>182880</xdr:colOff>
                    <xdr:row>308</xdr:row>
                    <xdr:rowOff>182880</xdr:rowOff>
                  </to>
                </anchor>
              </controlPr>
            </control>
          </mc:Choice>
        </mc:AlternateContent>
        <mc:AlternateContent xmlns:mc="http://schemas.openxmlformats.org/markup-compatibility/2006">
          <mc:Choice Requires="x14">
            <control shapeId="5244" r:id="rId84" name="Check Box 124">
              <controlPr locked="0" defaultSize="0" autoFill="0" autoLine="0" autoPict="0">
                <anchor moveWithCells="1" sizeWithCells="1">
                  <from>
                    <xdr:col>22</xdr:col>
                    <xdr:colOff>0</xdr:colOff>
                    <xdr:row>310</xdr:row>
                    <xdr:rowOff>0</xdr:rowOff>
                  </from>
                  <to>
                    <xdr:col>22</xdr:col>
                    <xdr:colOff>182880</xdr:colOff>
                    <xdr:row>310</xdr:row>
                    <xdr:rowOff>182880</xdr:rowOff>
                  </to>
                </anchor>
              </controlPr>
            </control>
          </mc:Choice>
        </mc:AlternateContent>
        <mc:AlternateContent xmlns:mc="http://schemas.openxmlformats.org/markup-compatibility/2006">
          <mc:Choice Requires="x14">
            <control shapeId="5246" r:id="rId85" name="Check Box 126">
              <controlPr locked="0" defaultSize="0" autoFill="0" autoLine="0" autoPict="0">
                <anchor moveWithCells="1" sizeWithCells="1">
                  <from>
                    <xdr:col>22</xdr:col>
                    <xdr:colOff>0</xdr:colOff>
                    <xdr:row>296</xdr:row>
                    <xdr:rowOff>0</xdr:rowOff>
                  </from>
                  <to>
                    <xdr:col>22</xdr:col>
                    <xdr:colOff>182880</xdr:colOff>
                    <xdr:row>296</xdr:row>
                    <xdr:rowOff>182880</xdr:rowOff>
                  </to>
                </anchor>
              </controlPr>
            </control>
          </mc:Choice>
        </mc:AlternateContent>
        <mc:AlternateContent xmlns:mc="http://schemas.openxmlformats.org/markup-compatibility/2006">
          <mc:Choice Requires="x14">
            <control shapeId="5250" r:id="rId86" name="Check Box 130">
              <controlPr locked="0" defaultSize="0" autoFill="0" autoLine="0" autoPict="0">
                <anchor moveWithCells="1" sizeWithCells="1">
                  <from>
                    <xdr:col>22</xdr:col>
                    <xdr:colOff>0</xdr:colOff>
                    <xdr:row>191</xdr:row>
                    <xdr:rowOff>0</xdr:rowOff>
                  </from>
                  <to>
                    <xdr:col>22</xdr:col>
                    <xdr:colOff>182880</xdr:colOff>
                    <xdr:row>191</xdr:row>
                    <xdr:rowOff>182880</xdr:rowOff>
                  </to>
                </anchor>
              </controlPr>
            </control>
          </mc:Choice>
        </mc:AlternateContent>
        <mc:AlternateContent xmlns:mc="http://schemas.openxmlformats.org/markup-compatibility/2006">
          <mc:Choice Requires="x14">
            <control shapeId="5254" r:id="rId87" name="Check Box 134">
              <controlPr locked="0" defaultSize="0" autoFill="0" autoLine="0" autoPict="0">
                <anchor moveWithCells="1" sizeWithCells="1">
                  <from>
                    <xdr:col>22</xdr:col>
                    <xdr:colOff>0</xdr:colOff>
                    <xdr:row>236</xdr:row>
                    <xdr:rowOff>0</xdr:rowOff>
                  </from>
                  <to>
                    <xdr:col>22</xdr:col>
                    <xdr:colOff>182880</xdr:colOff>
                    <xdr:row>236</xdr:row>
                    <xdr:rowOff>182880</xdr:rowOff>
                  </to>
                </anchor>
              </controlPr>
            </control>
          </mc:Choice>
        </mc:AlternateContent>
        <mc:AlternateContent xmlns:mc="http://schemas.openxmlformats.org/markup-compatibility/2006">
          <mc:Choice Requires="x14">
            <control shapeId="5257" r:id="rId88" name="Check Box 137">
              <controlPr locked="0" defaultSize="0" autoFill="0" autoLine="0" autoPict="0">
                <anchor moveWithCells="1" sizeWithCells="1">
                  <from>
                    <xdr:col>22</xdr:col>
                    <xdr:colOff>0</xdr:colOff>
                    <xdr:row>276</xdr:row>
                    <xdr:rowOff>0</xdr:rowOff>
                  </from>
                  <to>
                    <xdr:col>22</xdr:col>
                    <xdr:colOff>182880</xdr:colOff>
                    <xdr:row>276</xdr:row>
                    <xdr:rowOff>182880</xdr:rowOff>
                  </to>
                </anchor>
              </controlPr>
            </control>
          </mc:Choice>
        </mc:AlternateContent>
        <mc:AlternateContent xmlns:mc="http://schemas.openxmlformats.org/markup-compatibility/2006">
          <mc:Choice Requires="x14">
            <control shapeId="5259" r:id="rId89" name="Check Box 139">
              <controlPr locked="0" defaultSize="0" autoFill="0" autoLine="0" autoPict="0">
                <anchor moveWithCells="1" sizeWithCells="1">
                  <from>
                    <xdr:col>22</xdr:col>
                    <xdr:colOff>0</xdr:colOff>
                    <xdr:row>279</xdr:row>
                    <xdr:rowOff>0</xdr:rowOff>
                  </from>
                  <to>
                    <xdr:col>22</xdr:col>
                    <xdr:colOff>182880</xdr:colOff>
                    <xdr:row>279</xdr:row>
                    <xdr:rowOff>182880</xdr:rowOff>
                  </to>
                </anchor>
              </controlPr>
            </control>
          </mc:Choice>
        </mc:AlternateContent>
        <mc:AlternateContent xmlns:mc="http://schemas.openxmlformats.org/markup-compatibility/2006">
          <mc:Choice Requires="x14">
            <control shapeId="5261" r:id="rId90" name="Check Box 141">
              <controlPr locked="0" defaultSize="0" autoFill="0" autoLine="0" autoPict="0">
                <anchor moveWithCells="1" sizeWithCells="1">
                  <from>
                    <xdr:col>22</xdr:col>
                    <xdr:colOff>0</xdr:colOff>
                    <xdr:row>289</xdr:row>
                    <xdr:rowOff>0</xdr:rowOff>
                  </from>
                  <to>
                    <xdr:col>22</xdr:col>
                    <xdr:colOff>182880</xdr:colOff>
                    <xdr:row>289</xdr:row>
                    <xdr:rowOff>182880</xdr:rowOff>
                  </to>
                </anchor>
              </controlPr>
            </control>
          </mc:Choice>
        </mc:AlternateContent>
        <mc:AlternateContent xmlns:mc="http://schemas.openxmlformats.org/markup-compatibility/2006">
          <mc:Choice Requires="x14">
            <control shapeId="5263" r:id="rId91" name="Check Box 143">
              <controlPr locked="0" defaultSize="0" autoFill="0" autoLine="0" autoPict="0">
                <anchor moveWithCells="1" sizeWithCells="1">
                  <from>
                    <xdr:col>22</xdr:col>
                    <xdr:colOff>0</xdr:colOff>
                    <xdr:row>543</xdr:row>
                    <xdr:rowOff>0</xdr:rowOff>
                  </from>
                  <to>
                    <xdr:col>22</xdr:col>
                    <xdr:colOff>182880</xdr:colOff>
                    <xdr:row>543</xdr:row>
                    <xdr:rowOff>182880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pageSetUpPr fitToPage="1"/>
  </sheetPr>
  <dimension ref="A1:BI171"/>
  <sheetViews>
    <sheetView showGridLines="0" topLeftCell="H1" zoomScaleNormal="100" zoomScaleSheetLayoutView="70" zoomScalePageLayoutView="61" workbookViewId="0">
      <selection activeCell="H9" sqref="H9"/>
    </sheetView>
  </sheetViews>
  <sheetFormatPr defaultColWidth="9.109375" defaultRowHeight="14.4" x14ac:dyDescent="0.3"/>
  <cols>
    <col min="1" max="1" width="9.109375" style="18" hidden="1" customWidth="1"/>
    <col min="2" max="2" width="7.33203125" style="18" hidden="1" customWidth="1"/>
    <col min="3" max="7" width="3.88671875" style="18" hidden="1" customWidth="1"/>
    <col min="8" max="8" width="3.88671875" style="18" customWidth="1"/>
    <col min="9" max="9" width="10.44140625" style="79" customWidth="1"/>
    <col min="10" max="11" width="3.88671875" style="79" customWidth="1"/>
    <col min="12" max="12" width="71.6640625" style="79" customWidth="1"/>
    <col min="13" max="13" width="13.5546875" style="69" customWidth="1"/>
    <col min="14" max="14" width="7.6640625" style="79" hidden="1" customWidth="1"/>
    <col min="15" max="15" width="7.6640625" style="146" customWidth="1"/>
    <col min="16" max="21" width="8.88671875" style="79" hidden="1" customWidth="1"/>
    <col min="22" max="22" width="3" style="79" hidden="1" customWidth="1"/>
    <col min="23" max="23" width="21.44140625" style="79" customWidth="1"/>
    <col min="24" max="24" width="69" style="79" customWidth="1"/>
    <col min="25" max="25" width="34.88671875" style="1107" hidden="1" customWidth="1"/>
    <col min="26" max="26" width="34.88671875" style="79" hidden="1" customWidth="1"/>
    <col min="27" max="27" width="9.109375" style="1110" hidden="1" customWidth="1"/>
    <col min="28" max="37" width="9.109375" style="79" hidden="1" customWidth="1"/>
    <col min="38" max="38" width="16.44140625" style="79" hidden="1" customWidth="1"/>
    <col min="39" max="39" width="4.6640625" style="79" hidden="1" customWidth="1"/>
    <col min="40" max="40" width="14.33203125" style="79" hidden="1" customWidth="1"/>
    <col min="41" max="41" width="5.5546875" style="79" hidden="1" customWidth="1"/>
    <col min="42" max="42" width="14.33203125" style="79" hidden="1" customWidth="1"/>
    <col min="43" max="43" width="6.109375" style="79" hidden="1" customWidth="1"/>
    <col min="44" max="44" width="14.109375" style="79" hidden="1" customWidth="1"/>
    <col min="45" max="45" width="4.109375" style="79" hidden="1" customWidth="1"/>
    <col min="46" max="61" width="9.109375" style="79" hidden="1" customWidth="1"/>
    <col min="62" max="16384" width="9.109375" style="79"/>
  </cols>
  <sheetData>
    <row r="1" spans="1:61" x14ac:dyDescent="0.3">
      <c r="H1" s="1316" t="s">
        <v>4691</v>
      </c>
      <c r="I1" s="1285" t="str">
        <f ca="1">IF(OR(AG3,AI3),"Errors on page, no Level reached","Current Chapter level: "&amp;AG1&amp;"                                            Total Points: "&amp;AG2)</f>
        <v>Current Chapter level: Silver                                            Total Points: 49</v>
      </c>
      <c r="J1" s="1285"/>
      <c r="K1" s="1285"/>
      <c r="L1" s="1285"/>
      <c r="M1" s="1317"/>
      <c r="N1" s="1317"/>
      <c r="O1" s="1317"/>
      <c r="P1" s="1317"/>
      <c r="Q1" s="1317"/>
      <c r="R1" s="1317"/>
      <c r="S1" s="1317"/>
      <c r="T1" s="1317"/>
      <c r="U1" s="1317"/>
      <c r="V1" s="1317"/>
      <c r="W1" s="1317"/>
      <c r="X1" s="1190" t="s">
        <v>4651</v>
      </c>
      <c r="AF1" s="78" t="s">
        <v>818</v>
      </c>
      <c r="AG1" s="417" t="str">
        <f ca="1">IF(OR(AG3,AI3),"None",Ch8Level)</f>
        <v>Silver</v>
      </c>
    </row>
    <row r="2" spans="1:61" x14ac:dyDescent="0.3">
      <c r="H2" s="1316"/>
      <c r="I2" s="1286" t="str">
        <f ca="1">"Points away from:  Bronze: "&amp;MAX(Points!C18-Ch8Points,0)&amp;",  Silver: "&amp;IF(Points!N11&lt;2,"N/A",MAX(Points!D18-Ch8Points,0))&amp;",  Gold: "&amp;IF(Points!N11&lt;3,"N/A",MAX(Points!E18-Ch8Points,0))&amp;",  Emerald: "&amp;IF(Points!N11&lt;4,"N/A",MAX(Points!F18-Ch8Points,0))</f>
        <v>Points away from:  Bronze: 0,  Silver: 0,  Gold: 18,  Emerald: 43</v>
      </c>
      <c r="J2" s="1286"/>
      <c r="K2" s="1286"/>
      <c r="L2" s="1286"/>
      <c r="M2" s="1317"/>
      <c r="N2" s="1317"/>
      <c r="O2" s="1317"/>
      <c r="P2" s="1317"/>
      <c r="Q2" s="1317"/>
      <c r="R2" s="1317"/>
      <c r="S2" s="1317"/>
      <c r="T2" s="1317"/>
      <c r="U2" s="1317"/>
      <c r="V2" s="1317"/>
      <c r="W2" s="1317"/>
      <c r="X2" s="1190" t="s">
        <v>3731</v>
      </c>
      <c r="AF2" s="78" t="s">
        <v>819</v>
      </c>
      <c r="AG2" s="79">
        <f ca="1">INDIRECT(AF2)</f>
        <v>49</v>
      </c>
      <c r="AH2" s="79" t="s">
        <v>822</v>
      </c>
      <c r="AI2" s="79">
        <f ca="1">INDIRECT(AH2)</f>
        <v>18</v>
      </c>
      <c r="AJ2"/>
      <c r="AK2"/>
    </row>
    <row r="3" spans="1:61" x14ac:dyDescent="0.3">
      <c r="H3" s="1316"/>
      <c r="I3" s="1286" t="str">
        <f ca="1">"Add'l pts earned above:  Bronze: "&amp; MAX(0,Ch8Points-Points!C18) &amp;",  Silver: " &amp;IF(Points!N11&lt;2,"N/A",MAX(0,Ch8Points-Points!D18)) &amp;",  Gold: " &amp; IF(Points!N11&lt;3,"N/A",MAX(0,Ch8Points-Points!E18)) &amp;",  Emerald: " &amp; IF(Points!N11&lt;4,"N/A",MAX(0,Ch8Points-Points!F18))</f>
        <v>Add'l pts earned above:  Bronze: 24,  Silver: 10,  Gold: 0,  Emerald: 0</v>
      </c>
      <c r="J3" s="1286"/>
      <c r="K3" s="1286"/>
      <c r="L3" s="1286"/>
      <c r="M3" s="1317"/>
      <c r="N3" s="1317"/>
      <c r="O3" s="1317"/>
      <c r="P3" s="1317"/>
      <c r="Q3" s="1317"/>
      <c r="R3" s="1317"/>
      <c r="S3" s="1317"/>
      <c r="T3" s="1317"/>
      <c r="U3" s="1317"/>
      <c r="V3" s="1317"/>
      <c r="W3" s="1317"/>
      <c r="X3" s="1190" t="s">
        <v>3730</v>
      </c>
      <c r="AF3" s="78" t="s">
        <v>820</v>
      </c>
      <c r="AG3" s="79" t="b">
        <f>OR(AE:AE)</f>
        <v>0</v>
      </c>
      <c r="AH3" s="78" t="s">
        <v>821</v>
      </c>
      <c r="AI3" s="79" t="b">
        <f ca="1">OR(AD:AD)</f>
        <v>0</v>
      </c>
    </row>
    <row r="4" spans="1:61" x14ac:dyDescent="0.3">
      <c r="H4" s="1316"/>
      <c r="I4" s="1297" t="str">
        <f ca="1">"Total Chapter Points needed for:  Bronze: "&amp;Points!C18&amp;",  Silver: "&amp;IF(Points!N11&lt;2,"N/A",Points!D18)&amp;",  Gold: "&amp;IF(Points!N11&lt;3,"N/A",Points!E18)&amp;",  Emerald: "&amp;IF(Points!N11&lt;4,"N/A",Points!F18)</f>
        <v>Total Chapter Points needed for:  Bronze: 25,  Silver: 39,  Gold: 67,  Emerald: 92</v>
      </c>
      <c r="J4" s="1298"/>
      <c r="K4" s="1298"/>
      <c r="L4" s="1299"/>
      <c r="M4" s="1317"/>
      <c r="N4" s="1317"/>
      <c r="O4" s="1317"/>
      <c r="P4" s="1317"/>
      <c r="Q4" s="1317"/>
      <c r="R4" s="1317"/>
      <c r="S4" s="1317"/>
      <c r="T4" s="1317"/>
      <c r="U4" s="1317"/>
      <c r="V4" s="1317"/>
      <c r="W4" s="1317"/>
      <c r="X4" s="1231" t="s">
        <v>4722</v>
      </c>
      <c r="AF4" s="78"/>
      <c r="AH4" s="78"/>
    </row>
    <row r="5" spans="1:61" x14ac:dyDescent="0.3">
      <c r="H5" s="1316"/>
      <c r="I5" s="1300" t="str">
        <f>"Revision Date:  "&amp;TEXT('Info &amp; Intro'!E7,"m/d/yyyy")</f>
        <v>Revision Date:  7/11/2019</v>
      </c>
      <c r="J5" s="1301"/>
      <c r="K5" s="1301"/>
      <c r="L5" s="1302"/>
      <c r="M5" s="1317"/>
      <c r="N5" s="1317"/>
      <c r="O5" s="1317"/>
      <c r="P5" s="1317"/>
      <c r="Q5" s="1317"/>
      <c r="R5" s="1317"/>
      <c r="S5" s="1317"/>
      <c r="T5" s="1317"/>
      <c r="U5" s="1317"/>
      <c r="V5" s="1317"/>
      <c r="W5" s="1317"/>
      <c r="X5" s="1231"/>
      <c r="AF5" s="78"/>
      <c r="AH5" s="78"/>
    </row>
    <row r="6" spans="1:61" x14ac:dyDescent="0.3">
      <c r="H6" s="1316"/>
      <c r="I6" s="1339" t="s">
        <v>261</v>
      </c>
      <c r="J6" s="1340"/>
      <c r="K6" s="1341"/>
      <c r="L6" s="1321" t="s">
        <v>1312</v>
      </c>
      <c r="M6" s="1321" t="s">
        <v>262</v>
      </c>
      <c r="N6" s="1321"/>
      <c r="O6" s="35" t="s">
        <v>338</v>
      </c>
      <c r="P6" s="1321" t="s">
        <v>4719</v>
      </c>
      <c r="Q6" s="1321" t="s">
        <v>329</v>
      </c>
      <c r="R6" s="1321" t="s">
        <v>263</v>
      </c>
      <c r="S6" s="1321" t="s">
        <v>264</v>
      </c>
      <c r="T6" s="1321" t="s">
        <v>0</v>
      </c>
      <c r="U6" s="1321" t="s">
        <v>4720</v>
      </c>
      <c r="V6" s="1321"/>
      <c r="W6" s="1321" t="s">
        <v>265</v>
      </c>
      <c r="X6" s="1287" t="s">
        <v>1</v>
      </c>
      <c r="AC6" s="77" t="s">
        <v>327</v>
      </c>
      <c r="AD6" s="77" t="s">
        <v>0</v>
      </c>
      <c r="AE6" s="77" t="s">
        <v>326</v>
      </c>
    </row>
    <row r="7" spans="1:61" x14ac:dyDescent="0.3">
      <c r="H7" s="1316"/>
      <c r="I7" s="1339"/>
      <c r="J7" s="1340"/>
      <c r="K7" s="1341"/>
      <c r="L7" s="1322"/>
      <c r="M7" s="1322"/>
      <c r="N7" s="1322"/>
      <c r="O7" s="35" t="s">
        <v>339</v>
      </c>
      <c r="P7" s="1322"/>
      <c r="Q7" s="1322"/>
      <c r="R7" s="1322"/>
      <c r="S7" s="1322"/>
      <c r="T7" s="1322"/>
      <c r="U7" s="1322"/>
      <c r="V7" s="1322"/>
      <c r="W7" s="1322"/>
      <c r="X7" s="1288"/>
      <c r="AC7" s="77" t="s">
        <v>327</v>
      </c>
      <c r="AD7" s="77" t="s">
        <v>0</v>
      </c>
      <c r="AE7" s="77" t="s">
        <v>326</v>
      </c>
    </row>
    <row r="8" spans="1:61" s="1077" customFormat="1" hidden="1" x14ac:dyDescent="0.3">
      <c r="A8" s="18"/>
      <c r="B8" s="18"/>
      <c r="C8" s="18"/>
      <c r="D8" s="18"/>
      <c r="E8" s="18"/>
      <c r="F8" s="18"/>
      <c r="G8" s="18"/>
      <c r="H8" s="18"/>
      <c r="I8" s="1079"/>
      <c r="J8" s="1079"/>
      <c r="K8" s="1079"/>
      <c r="L8" s="1078"/>
      <c r="M8" s="1078"/>
      <c r="N8" s="1078"/>
      <c r="O8" s="35"/>
      <c r="P8" s="1078"/>
      <c r="Q8" s="1078"/>
      <c r="R8" s="1078"/>
      <c r="S8" s="1078"/>
      <c r="T8" s="1078"/>
      <c r="U8" s="1078"/>
      <c r="V8" s="1078"/>
      <c r="W8" s="1078"/>
      <c r="X8" s="1079"/>
      <c r="Y8" s="1107"/>
      <c r="AA8" s="1110"/>
      <c r="AC8" s="1076"/>
      <c r="AD8" s="1076"/>
      <c r="AE8" s="1076"/>
    </row>
    <row r="9" spans="1:61" ht="18" x14ac:dyDescent="0.35">
      <c r="A9" s="18" t="s">
        <v>260</v>
      </c>
      <c r="B9" s="18" t="s">
        <v>260</v>
      </c>
      <c r="C9" s="18" t="s">
        <v>260</v>
      </c>
      <c r="D9" s="18" t="s">
        <v>260</v>
      </c>
      <c r="E9" s="18" t="s">
        <v>260</v>
      </c>
      <c r="F9" s="18" t="s">
        <v>260</v>
      </c>
      <c r="G9" s="18" t="s">
        <v>260</v>
      </c>
      <c r="H9" s="1086"/>
      <c r="I9" s="22" t="s">
        <v>844</v>
      </c>
      <c r="J9" s="22"/>
      <c r="K9" s="22"/>
      <c r="L9" s="23"/>
      <c r="M9" s="24"/>
      <c r="N9" s="79" t="s">
        <v>260</v>
      </c>
      <c r="O9" s="24"/>
      <c r="P9" s="79" t="s">
        <v>260</v>
      </c>
      <c r="Q9" s="79" t="s">
        <v>260</v>
      </c>
      <c r="R9" s="79" t="s">
        <v>260</v>
      </c>
      <c r="S9" s="79" t="s">
        <v>260</v>
      </c>
      <c r="T9" s="79" t="s">
        <v>260</v>
      </c>
      <c r="U9" s="79" t="s">
        <v>260</v>
      </c>
      <c r="V9" s="79" t="s">
        <v>260</v>
      </c>
      <c r="W9" s="23"/>
      <c r="X9" s="23"/>
      <c r="Y9" s="1106" t="s">
        <v>260</v>
      </c>
      <c r="Z9" s="76" t="s">
        <v>260</v>
      </c>
      <c r="AA9" s="1108" t="s">
        <v>260</v>
      </c>
      <c r="AB9" s="1075" t="s">
        <v>260</v>
      </c>
      <c r="AC9" s="76" t="s">
        <v>260</v>
      </c>
      <c r="AD9" s="76" t="s">
        <v>260</v>
      </c>
      <c r="AE9" s="76" t="s">
        <v>260</v>
      </c>
      <c r="AF9" s="76" t="s">
        <v>260</v>
      </c>
      <c r="AG9" s="76" t="s">
        <v>260</v>
      </c>
      <c r="AH9" s="76" t="s">
        <v>260</v>
      </c>
      <c r="AI9" s="76" t="s">
        <v>260</v>
      </c>
      <c r="AJ9" s="76" t="s">
        <v>260</v>
      </c>
      <c r="AK9" s="76" t="s">
        <v>260</v>
      </c>
      <c r="AL9" s="76" t="s">
        <v>260</v>
      </c>
      <c r="AM9" s="76" t="s">
        <v>260</v>
      </c>
      <c r="AN9" s="76" t="s">
        <v>260</v>
      </c>
      <c r="AO9" s="76" t="s">
        <v>260</v>
      </c>
      <c r="AP9" s="76" t="s">
        <v>260</v>
      </c>
      <c r="AQ9" s="76" t="s">
        <v>260</v>
      </c>
      <c r="AR9" s="76" t="s">
        <v>260</v>
      </c>
      <c r="AS9" s="76" t="s">
        <v>260</v>
      </c>
      <c r="AT9" s="76" t="s">
        <v>260</v>
      </c>
      <c r="AU9" s="76" t="s">
        <v>260</v>
      </c>
      <c r="AV9" s="76" t="s">
        <v>260</v>
      </c>
      <c r="AW9" s="76" t="s">
        <v>260</v>
      </c>
      <c r="AX9" s="76" t="s">
        <v>260</v>
      </c>
      <c r="AY9" s="76" t="s">
        <v>260</v>
      </c>
      <c r="AZ9" s="76" t="s">
        <v>260</v>
      </c>
      <c r="BA9" s="76" t="s">
        <v>260</v>
      </c>
      <c r="BB9" s="76" t="s">
        <v>260</v>
      </c>
      <c r="BC9" s="76" t="s">
        <v>260</v>
      </c>
      <c r="BD9" s="76" t="s">
        <v>260</v>
      </c>
      <c r="BE9" s="76" t="s">
        <v>260</v>
      </c>
      <c r="BF9" s="76" t="s">
        <v>260</v>
      </c>
      <c r="BG9" s="76" t="s">
        <v>260</v>
      </c>
      <c r="BH9" s="76" t="s">
        <v>260</v>
      </c>
      <c r="BI9" s="1097" t="s">
        <v>260</v>
      </c>
    </row>
    <row r="10" spans="1:61" ht="15" thickBot="1" x14ac:dyDescent="0.35">
      <c r="B10" s="938">
        <v>801</v>
      </c>
      <c r="C10" s="21"/>
      <c r="D10" s="21"/>
      <c r="E10" s="21"/>
      <c r="F10" s="21"/>
      <c r="G10" s="21"/>
      <c r="H10" s="1084"/>
      <c r="I10" s="450" t="s">
        <v>845</v>
      </c>
      <c r="J10" s="270"/>
      <c r="K10" s="270"/>
      <c r="L10" s="451" t="s">
        <v>846</v>
      </c>
      <c r="M10" s="449"/>
      <c r="N10" s="104"/>
      <c r="O10" s="445"/>
      <c r="P10" s="104"/>
      <c r="Q10" s="104"/>
      <c r="R10" s="104"/>
      <c r="S10" s="104"/>
      <c r="T10" s="104"/>
      <c r="U10" s="104"/>
      <c r="V10" s="104"/>
      <c r="W10" s="104"/>
      <c r="X10" s="104"/>
      <c r="BI10" s="1101"/>
    </row>
    <row r="11" spans="1:61" ht="15" thickTop="1" x14ac:dyDescent="0.3">
      <c r="B11" s="938">
        <v>801.1</v>
      </c>
      <c r="C11" s="21"/>
      <c r="D11" s="21"/>
      <c r="E11" s="21"/>
      <c r="F11" s="21"/>
      <c r="G11" s="21"/>
      <c r="H11" s="1084"/>
      <c r="I11" s="66">
        <v>801.1</v>
      </c>
      <c r="J11" s="4"/>
      <c r="K11" s="4"/>
      <c r="L11" s="1292" t="s">
        <v>847</v>
      </c>
      <c r="M11" s="522"/>
      <c r="N11" s="4"/>
      <c r="O11" s="1310">
        <f ca="1">IFERROR(INDEX({11,17,29,35,39,9},MATCH(W12,INDIRECT(U12),0)),0)*S12*NOT(T12)</f>
        <v>0</v>
      </c>
      <c r="AN11" s="311" t="str">
        <f>SUBSTITUTE(SUBSTITUTE(SUBSTITUTE("dpc"&amp;$B11&amp;$C11&amp;$D11&amp;$E11&amp;$F11,".","_"),"(","_"),")","")</f>
        <v>dpc801_1</v>
      </c>
      <c r="AO11" s="311">
        <f ca="1">O11</f>
        <v>0</v>
      </c>
      <c r="AX11" s="78" t="str">
        <f>'Overview (Design)'!A8</f>
        <v>Builder Name:</v>
      </c>
      <c r="AY11" s="79" t="str">
        <f>'Overview (Design)'!G8</f>
        <v>ZERH Builder</v>
      </c>
      <c r="BI11" s="1101"/>
    </row>
    <row r="12" spans="1:61" x14ac:dyDescent="0.3">
      <c r="B12" s="938">
        <v>801.1</v>
      </c>
      <c r="C12" s="21"/>
      <c r="D12" s="21"/>
      <c r="E12" s="21"/>
      <c r="F12" s="21"/>
      <c r="G12" s="21"/>
      <c r="H12" s="1084"/>
      <c r="I12" s="66"/>
      <c r="J12" s="4"/>
      <c r="K12" s="4"/>
      <c r="L12" s="1292"/>
      <c r="M12" s="522"/>
      <c r="N12" s="4"/>
      <c r="O12" s="1310"/>
      <c r="P12" s="789" t="b">
        <v>1</v>
      </c>
      <c r="Q12" s="79" t="b">
        <v>1</v>
      </c>
      <c r="R12" s="145" t="b">
        <v>0</v>
      </c>
      <c r="S12" s="145" t="b">
        <f>AND(S14,S15=TRUE)</f>
        <v>0</v>
      </c>
      <c r="T12" s="97" t="b">
        <f ca="1">OR(IF(AND(NOT(S12),LEN(W12)&gt;0),TRUE,FALSE),AND(W12=INDEX(INDIRECT(U12),6),NOT(AY19=INDEX(ddSingleOrMulti,2))))</f>
        <v>0</v>
      </c>
      <c r="U12" s="97" t="str">
        <f>SUBSTITUTE(SUBSTITUTE(SUBSTITUTE("dd"&amp;B12&amp;C12&amp;D12&amp;E12&amp;F12,".","_"),"(","_"),")","")</f>
        <v>dd801_1</v>
      </c>
      <c r="W12" s="12"/>
      <c r="AC12" s="441" t="b">
        <f ca="1">OR(AD12:AE12)</f>
        <v>0</v>
      </c>
      <c r="AD12" s="441" t="b">
        <f ca="1">T12</f>
        <v>0</v>
      </c>
      <c r="AE12" s="441" t="b">
        <f>AND(R12,OR(W12="Not Met",W12=""))</f>
        <v>0</v>
      </c>
      <c r="AL12" s="311"/>
      <c r="AM12" s="311"/>
      <c r="AN12" s="311"/>
      <c r="AO12" s="311"/>
      <c r="AP12" s="311" t="str">
        <f>SUBSTITUTE(SUBSTITUTE(SUBSTITUTE("dch"&amp;$B12&amp;$C12&amp;$D12&amp;$E12&amp;$F12,".","_"),"(","_"),")","")</f>
        <v>dch801_1</v>
      </c>
      <c r="AQ12" s="311">
        <f>W12</f>
        <v>0</v>
      </c>
      <c r="AR12" s="311"/>
      <c r="AS12" s="311"/>
      <c r="AX12" s="78" t="str">
        <f>'Overview (Design)'!A9</f>
        <v>Physical Address of Home:</v>
      </c>
      <c r="AY12" s="79" t="str">
        <f>'Overview (Design)'!G9</f>
        <v>123 Main Sts</v>
      </c>
      <c r="BI12" s="1101"/>
    </row>
    <row r="13" spans="1:61" x14ac:dyDescent="0.3">
      <c r="B13" s="938">
        <v>801.1</v>
      </c>
      <c r="C13" s="21"/>
      <c r="D13" s="21"/>
      <c r="E13" s="21"/>
      <c r="F13" s="21"/>
      <c r="G13" s="21"/>
      <c r="H13" s="1084"/>
      <c r="I13" s="66"/>
      <c r="J13" s="4"/>
      <c r="K13" s="4"/>
      <c r="L13" s="1292"/>
      <c r="M13" s="522"/>
      <c r="N13" s="4"/>
      <c r="O13" s="1310"/>
      <c r="AX13" s="78" t="str">
        <f>'Overview (Design)'!A10</f>
        <v>Community/Lot #:</v>
      </c>
      <c r="AY13" s="79" t="str">
        <f>'Overview (Design)'!G10</f>
        <v>Lot 123</v>
      </c>
      <c r="BI13" s="1101"/>
    </row>
    <row r="14" spans="1:61" x14ac:dyDescent="0.3">
      <c r="B14" s="938">
        <v>801.1</v>
      </c>
      <c r="C14" s="21"/>
      <c r="D14" s="21"/>
      <c r="E14" s="21"/>
      <c r="F14" s="21"/>
      <c r="G14" s="21"/>
      <c r="H14" s="1084"/>
      <c r="I14" s="66"/>
      <c r="J14" s="4"/>
      <c r="K14" s="4"/>
      <c r="L14" s="1292"/>
      <c r="M14" s="522"/>
      <c r="N14" s="4"/>
      <c r="O14" s="1310"/>
      <c r="S14" s="1" t="b">
        <f>'Ch7'!S542</f>
        <v>1</v>
      </c>
      <c r="AX14" s="78" t="str">
        <f>'Overview (Design)'!A11</f>
        <v>City:</v>
      </c>
      <c r="AY14" s="79" t="str">
        <f>'Overview (Design)'!G11</f>
        <v>Durham</v>
      </c>
      <c r="BI14" s="1101"/>
    </row>
    <row r="15" spans="1:61" x14ac:dyDescent="0.3">
      <c r="B15" s="938">
        <v>801.1</v>
      </c>
      <c r="C15" s="21"/>
      <c r="D15" s="21"/>
      <c r="E15" s="21"/>
      <c r="F15" s="21"/>
      <c r="G15" s="21"/>
      <c r="H15" s="1084"/>
      <c r="I15" s="66"/>
      <c r="J15" s="4"/>
      <c r="K15" s="4"/>
      <c r="L15" s="1292"/>
      <c r="M15" s="522"/>
      <c r="N15" s="4"/>
      <c r="O15" s="1310"/>
      <c r="S15" s="1">
        <f>'Ch7'!W542</f>
        <v>0</v>
      </c>
      <c r="AX15" s="78" t="str">
        <f>'Overview (Design)'!A12</f>
        <v>State:</v>
      </c>
      <c r="AY15" s="79" t="str">
        <f>'Overview (Design)'!G12</f>
        <v>North Carolina</v>
      </c>
      <c r="BC15" s="79" t="str">
        <f>'Overview (Design)'!K12</f>
        <v>State</v>
      </c>
      <c r="BD15" s="79" t="str">
        <f>'Overview (Design)'!L12</f>
        <v>County</v>
      </c>
      <c r="BE15" s="79" t="str">
        <f>'Overview (Design)'!M12</f>
        <v>Radon</v>
      </c>
      <c r="BF15" s="79" t="str">
        <f>'Overview (Design)'!N12</f>
        <v>Climate</v>
      </c>
      <c r="BG15" s="79" t="str">
        <f>'Overview (Design)'!O12</f>
        <v>Moist</v>
      </c>
      <c r="BH15" s="79" t="str">
        <f>'Overview (Design)'!P12</f>
        <v>WarmHumid</v>
      </c>
      <c r="BI15" s="1101" t="str">
        <f>'Overview (Design)'!Q12</f>
        <v>Tropical</v>
      </c>
    </row>
    <row r="16" spans="1:61" x14ac:dyDescent="0.3">
      <c r="B16" s="938">
        <v>801.1</v>
      </c>
      <c r="C16" s="21"/>
      <c r="D16" s="21"/>
      <c r="E16" s="21"/>
      <c r="F16" s="21"/>
      <c r="G16" s="21"/>
      <c r="H16" s="1084"/>
      <c r="I16" s="66"/>
      <c r="J16" s="4"/>
      <c r="K16" s="4"/>
      <c r="L16" s="1431" t="s">
        <v>848</v>
      </c>
      <c r="M16" s="522"/>
      <c r="N16" s="4"/>
      <c r="O16" s="154"/>
      <c r="AX16" s="78" t="str">
        <f>'Overview (Design)'!A13</f>
        <v>County:</v>
      </c>
      <c r="AY16" s="79" t="str">
        <f>'Overview (Design)'!G13</f>
        <v xml:space="preserve">Chatham  </v>
      </c>
      <c r="BC16" s="79" t="str">
        <f>'Overview (Design)'!K13</f>
        <v>North Carolina</v>
      </c>
      <c r="BD16" s="79" t="str">
        <f>'Overview (Design)'!L13</f>
        <v xml:space="preserve">Chatham  </v>
      </c>
      <c r="BE16" s="79">
        <f>'Overview (Design)'!M13</f>
        <v>3</v>
      </c>
      <c r="BF16" s="79">
        <f>'Overview (Design)'!N13</f>
        <v>4</v>
      </c>
      <c r="BG16" s="79" t="str">
        <f>'Overview (Design)'!O13</f>
        <v>Moist</v>
      </c>
      <c r="BH16" s="79" t="str">
        <f>'Overview (Design)'!P13</f>
        <v xml:space="preserve"> </v>
      </c>
      <c r="BI16" s="1101" t="str">
        <f>'Overview (Design)'!Q13</f>
        <v xml:space="preserve"> </v>
      </c>
    </row>
    <row r="17" spans="2:51" x14ac:dyDescent="0.3">
      <c r="B17" s="938">
        <v>801.1</v>
      </c>
      <c r="C17" s="21"/>
      <c r="D17" s="21"/>
      <c r="E17" s="21"/>
      <c r="F17" s="21"/>
      <c r="G17" s="21"/>
      <c r="H17" s="1084"/>
      <c r="I17" s="66"/>
      <c r="J17" s="4"/>
      <c r="K17" s="4"/>
      <c r="L17" s="1431"/>
      <c r="M17" s="522"/>
      <c r="N17" s="4"/>
      <c r="O17" s="154"/>
      <c r="AX17" s="78" t="str">
        <f>'Overview (Design)'!A14</f>
        <v>Zip:</v>
      </c>
      <c r="AY17" s="79" t="str">
        <f>'Overview (Design)'!G14</f>
        <v>27703</v>
      </c>
    </row>
    <row r="18" spans="2:51" x14ac:dyDescent="0.3">
      <c r="B18" s="938">
        <v>801.1</v>
      </c>
      <c r="C18" s="21"/>
      <c r="D18" s="21"/>
      <c r="E18" s="21"/>
      <c r="F18" s="21"/>
      <c r="G18" s="21"/>
      <c r="H18" s="1084"/>
      <c r="I18" s="66"/>
      <c r="J18" s="4"/>
      <c r="K18" s="4"/>
      <c r="L18" s="1431"/>
      <c r="M18" s="522"/>
      <c r="N18" s="4"/>
      <c r="O18" s="154"/>
      <c r="AX18" s="78"/>
    </row>
    <row r="19" spans="2:51" ht="15" customHeight="1" x14ac:dyDescent="0.3">
      <c r="B19" s="938">
        <v>801.1</v>
      </c>
      <c r="C19" s="21"/>
      <c r="D19" s="21"/>
      <c r="E19" s="21"/>
      <c r="F19" s="21"/>
      <c r="G19" s="21"/>
      <c r="H19" s="1084"/>
      <c r="I19" s="66"/>
      <c r="J19" s="4"/>
      <c r="K19" s="4"/>
      <c r="L19" s="1431" t="s">
        <v>849</v>
      </c>
      <c r="M19" s="522"/>
      <c r="N19" s="4"/>
      <c r="O19" s="154"/>
      <c r="AX19" s="78" t="str">
        <f>'Overview (Design)'!A16</f>
        <v>Single-Family or Multifamily:</v>
      </c>
      <c r="AY19" s="79" t="str">
        <f>'Overview (Design)'!G16</f>
        <v>Single-Family</v>
      </c>
    </row>
    <row r="20" spans="2:51" x14ac:dyDescent="0.3">
      <c r="B20" s="938">
        <v>801.1</v>
      </c>
      <c r="C20" s="21"/>
      <c r="D20" s="21"/>
      <c r="E20" s="21"/>
      <c r="F20" s="21"/>
      <c r="G20" s="21"/>
      <c r="H20" s="1084"/>
      <c r="I20" s="66"/>
      <c r="J20" s="4"/>
      <c r="K20" s="4"/>
      <c r="L20" s="1431"/>
      <c r="M20" s="522"/>
      <c r="N20" s="4"/>
      <c r="O20" s="154"/>
      <c r="AX20" s="78" t="str">
        <f>'Overview (Design)'!A17</f>
        <v>Number of Units:</v>
      </c>
      <c r="AY20" s="79">
        <f>'Overview (Design)'!G17</f>
        <v>0</v>
      </c>
    </row>
    <row r="21" spans="2:51" x14ac:dyDescent="0.3">
      <c r="B21" s="938">
        <v>801.1</v>
      </c>
      <c r="C21" s="21"/>
      <c r="D21" s="21"/>
      <c r="E21" s="21"/>
      <c r="F21" s="21"/>
      <c r="G21" s="21"/>
      <c r="H21" s="1084"/>
      <c r="I21" s="66"/>
      <c r="J21" s="4"/>
      <c r="K21" s="4"/>
      <c r="L21" s="1431"/>
      <c r="M21" s="522"/>
      <c r="N21" s="4"/>
      <c r="O21" s="154"/>
      <c r="AX21" s="78" t="str">
        <f>'Overview (Design)'!A18</f>
        <v>Project Name:</v>
      </c>
      <c r="AY21" s="79">
        <f>'Overview (Design)'!G18</f>
        <v>0</v>
      </c>
    </row>
    <row r="22" spans="2:51" x14ac:dyDescent="0.3">
      <c r="B22" s="938">
        <v>801.1</v>
      </c>
      <c r="C22" s="21"/>
      <c r="D22" s="21"/>
      <c r="E22" s="21"/>
      <c r="F22" s="21"/>
      <c r="G22" s="21"/>
      <c r="H22" s="1084"/>
      <c r="I22" s="66"/>
      <c r="J22" s="4"/>
      <c r="K22" s="4"/>
      <c r="L22" s="426" t="s">
        <v>850</v>
      </c>
      <c r="M22" s="522"/>
      <c r="N22" s="4"/>
      <c r="O22" s="154"/>
      <c r="AX22" s="78"/>
    </row>
    <row r="23" spans="2:51" x14ac:dyDescent="0.3">
      <c r="B23" s="938">
        <v>801.1</v>
      </c>
      <c r="C23" s="21"/>
      <c r="D23" s="21"/>
      <c r="E23" s="21"/>
      <c r="F23" s="21"/>
      <c r="G23" s="21"/>
      <c r="H23" s="1084"/>
      <c r="I23" s="66"/>
      <c r="J23" s="4"/>
      <c r="K23" s="4"/>
      <c r="L23" s="530" t="s">
        <v>3783</v>
      </c>
      <c r="M23" s="522"/>
      <c r="N23" s="4"/>
      <c r="O23" s="154"/>
      <c r="P23" s="429"/>
      <c r="Q23" s="429"/>
      <c r="R23" s="429"/>
      <c r="S23" s="429"/>
      <c r="T23" s="429"/>
      <c r="U23" s="429"/>
      <c r="V23" s="429"/>
      <c r="W23" s="429"/>
      <c r="X23" s="429"/>
      <c r="Z23" s="429"/>
      <c r="AB23" s="429"/>
      <c r="AC23" s="429"/>
      <c r="AD23" s="429"/>
      <c r="AE23" s="429"/>
      <c r="AF23" s="429"/>
      <c r="AG23" s="429"/>
      <c r="AH23" s="429"/>
      <c r="AI23" s="429"/>
      <c r="AJ23" s="429"/>
      <c r="AK23" s="429"/>
      <c r="AL23" s="429"/>
      <c r="AM23" s="429"/>
      <c r="AN23" s="429"/>
      <c r="AO23" s="429"/>
      <c r="AP23" s="429"/>
      <c r="AQ23" s="429"/>
      <c r="AR23" s="429"/>
      <c r="AS23" s="429"/>
      <c r="AT23" s="429"/>
      <c r="AU23" s="429"/>
      <c r="AX23" s="78" t="str">
        <f>'Overview (Design)'!A20</f>
        <v>Above grade plane finished floor area:</v>
      </c>
      <c r="AY23" s="79">
        <f>'Overview (Design)'!G20</f>
        <v>2650</v>
      </c>
    </row>
    <row r="24" spans="2:51" x14ac:dyDescent="0.3">
      <c r="B24" s="938">
        <v>801.1</v>
      </c>
      <c r="C24" s="21"/>
      <c r="D24" s="21"/>
      <c r="E24" s="21"/>
      <c r="F24" s="21"/>
      <c r="G24" s="21"/>
      <c r="H24" s="1084"/>
      <c r="I24" s="66"/>
      <c r="J24" s="4"/>
      <c r="K24" s="4"/>
      <c r="L24" s="530" t="s">
        <v>3784</v>
      </c>
      <c r="M24" s="522"/>
      <c r="N24" s="4"/>
      <c r="O24" s="154"/>
      <c r="P24" s="429"/>
      <c r="Q24" s="429"/>
      <c r="R24" s="429"/>
      <c r="S24" s="429"/>
      <c r="T24" s="429"/>
      <c r="U24" s="429"/>
      <c r="V24" s="429"/>
      <c r="W24" s="429"/>
      <c r="X24" s="429"/>
      <c r="Z24" s="429"/>
      <c r="AB24" s="429"/>
      <c r="AC24" s="429"/>
      <c r="AD24" s="429"/>
      <c r="AE24" s="429"/>
      <c r="AF24" s="429"/>
      <c r="AG24" s="429"/>
      <c r="AH24" s="429"/>
      <c r="AI24" s="429"/>
      <c r="AJ24" s="429"/>
      <c r="AK24" s="429"/>
      <c r="AL24" s="429"/>
      <c r="AM24" s="429"/>
      <c r="AN24" s="429"/>
      <c r="AO24" s="429"/>
      <c r="AP24" s="429"/>
      <c r="AQ24" s="429"/>
      <c r="AR24" s="429"/>
      <c r="AS24" s="429"/>
      <c r="AT24" s="429"/>
      <c r="AU24" s="429"/>
      <c r="AX24" s="78" t="str">
        <f>'Overview (Design)'!A21</f>
        <v>Total conditioned floor area:</v>
      </c>
      <c r="AY24" s="79">
        <f>'Overview (Design)'!G21</f>
        <v>2650</v>
      </c>
    </row>
    <row r="25" spans="2:51" x14ac:dyDescent="0.3">
      <c r="B25" s="938">
        <v>801.1</v>
      </c>
      <c r="C25" s="21"/>
      <c r="D25" s="21"/>
      <c r="E25" s="21" t="s">
        <v>271</v>
      </c>
      <c r="F25" s="21"/>
      <c r="G25" s="21"/>
      <c r="H25" s="1084"/>
      <c r="I25" s="66"/>
      <c r="J25" s="203" t="s">
        <v>271</v>
      </c>
      <c r="K25" s="140"/>
      <c r="L25" s="1305" t="s">
        <v>851</v>
      </c>
      <c r="M25" s="1318">
        <v>11</v>
      </c>
      <c r="N25" s="4"/>
      <c r="O25" s="154"/>
      <c r="X25" s="1303"/>
      <c r="AL25" s="311" t="str">
        <f>SUBSTITUTE(SUBSTITUTE(SUBSTITUTE("dpa"&amp;$B25&amp;$C25&amp;$D25&amp;$E25&amp;$F25,".","_"),"(","_"),")","")</f>
        <v>dpa801_1_1</v>
      </c>
      <c r="AM25" s="311">
        <f>M25</f>
        <v>11</v>
      </c>
      <c r="AR25" s="311" t="str">
        <f>SUBSTITUTE(SUBSTITUTE(SUBSTITUTE("dnt"&amp;$B25&amp;$C25&amp;$D25&amp;$E25&amp;$F25,".","_"),"(","_"),")","")</f>
        <v>dnt801_1_1</v>
      </c>
      <c r="AS25" s="311">
        <f>X25</f>
        <v>0</v>
      </c>
      <c r="AX25" s="535" t="str">
        <f>'Overview (Design)'!A22</f>
        <v>Stories above grade:</v>
      </c>
      <c r="AY25" s="536">
        <f>'Overview (Design)'!G22</f>
        <v>2</v>
      </c>
    </row>
    <row r="26" spans="2:51" x14ac:dyDescent="0.3">
      <c r="B26" s="938">
        <v>801.1</v>
      </c>
      <c r="C26" s="21"/>
      <c r="D26" s="21"/>
      <c r="E26" s="21" t="s">
        <v>271</v>
      </c>
      <c r="F26" s="21"/>
      <c r="G26" s="21"/>
      <c r="H26" s="1084"/>
      <c r="I26" s="66"/>
      <c r="J26" s="231"/>
      <c r="K26" s="238"/>
      <c r="L26" s="1306"/>
      <c r="M26" s="1319"/>
      <c r="N26" s="4"/>
      <c r="O26" s="154"/>
      <c r="X26" s="1303"/>
    </row>
    <row r="27" spans="2:51" x14ac:dyDescent="0.3">
      <c r="B27" s="938">
        <v>801.1</v>
      </c>
      <c r="C27" s="21"/>
      <c r="D27" s="21"/>
      <c r="E27" s="21" t="s">
        <v>273</v>
      </c>
      <c r="F27" s="21"/>
      <c r="G27" s="21"/>
      <c r="H27" s="1084"/>
      <c r="I27" s="66"/>
      <c r="J27" s="203" t="s">
        <v>273</v>
      </c>
      <c r="K27" s="140"/>
      <c r="L27" s="1305" t="s">
        <v>852</v>
      </c>
      <c r="M27" s="1318">
        <v>17</v>
      </c>
      <c r="N27" s="4"/>
      <c r="O27" s="154"/>
      <c r="X27" s="1303"/>
      <c r="AL27" s="311" t="str">
        <f>SUBSTITUTE(SUBSTITUTE(SUBSTITUTE("dpa"&amp;$B27&amp;$C27&amp;$D27&amp;$E27&amp;$F27,".","_"),"(","_"),")","")</f>
        <v>dpa801_1_2</v>
      </c>
      <c r="AM27" s="311">
        <f>M27</f>
        <v>17</v>
      </c>
      <c r="AX27" s="78" t="str">
        <f>'Overview (Design)'!A24</f>
        <v xml:space="preserve">Project Description (optional): </v>
      </c>
      <c r="AY27" s="79">
        <f>'Overview (Design)'!G24</f>
        <v>0</v>
      </c>
    </row>
    <row r="28" spans="2:51" x14ac:dyDescent="0.3">
      <c r="B28" s="938">
        <v>801.1</v>
      </c>
      <c r="C28" s="21"/>
      <c r="D28" s="21"/>
      <c r="E28" s="21" t="s">
        <v>273</v>
      </c>
      <c r="F28" s="21"/>
      <c r="G28" s="21"/>
      <c r="H28" s="1084"/>
      <c r="I28" s="66"/>
      <c r="J28" s="231"/>
      <c r="K28" s="238"/>
      <c r="L28" s="1306"/>
      <c r="M28" s="1319"/>
      <c r="N28" s="4"/>
      <c r="O28" s="154"/>
      <c r="X28" s="1303"/>
    </row>
    <row r="29" spans="2:51" x14ac:dyDescent="0.3">
      <c r="B29" s="938">
        <v>801.1</v>
      </c>
      <c r="C29" s="21"/>
      <c r="D29" s="21"/>
      <c r="E29" s="21" t="s">
        <v>275</v>
      </c>
      <c r="F29" s="21"/>
      <c r="G29" s="21"/>
      <c r="H29" s="1084"/>
      <c r="I29" s="66"/>
      <c r="J29" s="203" t="s">
        <v>275</v>
      </c>
      <c r="K29" s="140"/>
      <c r="L29" s="1305" t="s">
        <v>853</v>
      </c>
      <c r="M29" s="1318">
        <v>29</v>
      </c>
      <c r="N29" s="4"/>
      <c r="O29" s="154"/>
      <c r="X29" s="1303"/>
      <c r="AL29" s="311" t="str">
        <f>SUBSTITUTE(SUBSTITUTE(SUBSTITUTE("dpa"&amp;$B29&amp;$C29&amp;$D29&amp;$E29&amp;$F29,".","_"),"(","_"),")","")</f>
        <v>dpa801_1_3</v>
      </c>
      <c r="AM29" s="311">
        <f>M29</f>
        <v>29</v>
      </c>
      <c r="AX29" s="78" t="str">
        <f>'Overview (Design)'!A26</f>
        <v>HERS Index (if available):</v>
      </c>
      <c r="AY29" s="79">
        <f>'Overview (Design)'!G26</f>
        <v>0</v>
      </c>
    </row>
    <row r="30" spans="2:51" x14ac:dyDescent="0.3">
      <c r="B30" s="938">
        <v>801.1</v>
      </c>
      <c r="C30" s="21"/>
      <c r="D30" s="21"/>
      <c r="E30" s="21" t="s">
        <v>275</v>
      </c>
      <c r="F30" s="21"/>
      <c r="G30" s="21"/>
      <c r="H30" s="1084"/>
      <c r="I30" s="66"/>
      <c r="J30" s="231"/>
      <c r="K30" s="238"/>
      <c r="L30" s="1306"/>
      <c r="M30" s="1319"/>
      <c r="N30" s="4"/>
      <c r="O30" s="154"/>
      <c r="X30" s="1303"/>
      <c r="AX30" s="78" t="str">
        <f>'Overview (Design)'!A27</f>
        <v>Foundation Type:</v>
      </c>
      <c r="AY30" s="79" t="str">
        <f>'Overview (Design)'!G27</f>
        <v>Conditioned crawlspace</v>
      </c>
    </row>
    <row r="31" spans="2:51" x14ac:dyDescent="0.3">
      <c r="B31" s="938">
        <v>801.1</v>
      </c>
      <c r="C31" s="21"/>
      <c r="D31" s="21"/>
      <c r="E31" s="21" t="s">
        <v>285</v>
      </c>
      <c r="F31" s="21"/>
      <c r="G31" s="21"/>
      <c r="H31" s="1084"/>
      <c r="I31" s="66"/>
      <c r="J31" s="27" t="s">
        <v>285</v>
      </c>
      <c r="K31" s="4"/>
      <c r="L31" s="1329" t="s">
        <v>854</v>
      </c>
      <c r="M31" s="1335">
        <v>35</v>
      </c>
      <c r="N31" s="4"/>
      <c r="O31" s="154"/>
      <c r="X31" s="1303"/>
      <c r="AL31" s="311" t="str">
        <f>SUBSTITUTE(SUBSTITUTE(SUBSTITUTE("dpa"&amp;$B31&amp;$C31&amp;$D31&amp;$E31&amp;$F31,".","_"),"(","_"),")","")</f>
        <v>dpa801_1_4</v>
      </c>
      <c r="AM31" s="311">
        <f>M31</f>
        <v>35</v>
      </c>
      <c r="AX31" s="535"/>
      <c r="AY31" s="536"/>
    </row>
    <row r="32" spans="2:51" x14ac:dyDescent="0.3">
      <c r="B32" s="938">
        <v>801.1</v>
      </c>
      <c r="C32" s="21"/>
      <c r="D32" s="21"/>
      <c r="E32" s="21" t="s">
        <v>285</v>
      </c>
      <c r="F32" s="21"/>
      <c r="G32" s="21"/>
      <c r="H32" s="1084"/>
      <c r="I32" s="66"/>
      <c r="J32" s="4"/>
      <c r="K32" s="4"/>
      <c r="L32" s="1329"/>
      <c r="M32" s="1335"/>
      <c r="N32" s="4"/>
      <c r="O32" s="154"/>
      <c r="X32" s="1303"/>
      <c r="AX32" s="78" t="str">
        <f>'Overview (Design)'!A29</f>
        <v>Type of Heating System (main system):</v>
      </c>
      <c r="AY32" s="79" t="str">
        <f>'Overview (Design)'!G29</f>
        <v>Furnace</v>
      </c>
    </row>
    <row r="33" spans="1:51" x14ac:dyDescent="0.3">
      <c r="B33" s="938">
        <v>801.1</v>
      </c>
      <c r="C33" s="21"/>
      <c r="D33" s="21"/>
      <c r="E33" s="21" t="s">
        <v>285</v>
      </c>
      <c r="F33" s="21"/>
      <c r="G33" s="21"/>
      <c r="H33" s="1084"/>
      <c r="I33" s="66"/>
      <c r="J33" s="4"/>
      <c r="K33" s="4"/>
      <c r="L33" s="1329"/>
      <c r="M33" s="1335"/>
      <c r="N33" s="4"/>
      <c r="O33" s="154"/>
      <c r="X33" s="1303"/>
      <c r="AX33" s="78" t="str">
        <f>'Overview (Design)'!A30</f>
        <v>Type of Heating System (system 2):</v>
      </c>
      <c r="AY33" s="79">
        <f>'Overview (Design)'!G30</f>
        <v>0</v>
      </c>
    </row>
    <row r="34" spans="1:51" x14ac:dyDescent="0.3">
      <c r="B34" s="938">
        <v>801.1</v>
      </c>
      <c r="C34" s="21"/>
      <c r="D34" s="21"/>
      <c r="E34" s="21" t="s">
        <v>285</v>
      </c>
      <c r="F34" s="21" t="s">
        <v>121</v>
      </c>
      <c r="G34" s="21"/>
      <c r="H34" s="1084"/>
      <c r="I34" s="4"/>
      <c r="J34" s="140"/>
      <c r="K34" s="203" t="s">
        <v>121</v>
      </c>
      <c r="L34" s="1305" t="s">
        <v>855</v>
      </c>
      <c r="M34" s="1318" t="s">
        <v>856</v>
      </c>
      <c r="N34" s="4"/>
      <c r="O34" s="154"/>
      <c r="X34" s="1303"/>
      <c r="AL34" s="311" t="str">
        <f>SUBSTITUTE(SUBSTITUTE(SUBSTITUTE("dpa"&amp;$B34&amp;$C34&amp;$D34&amp;$E34&amp;$F34,".","_"),"(","_"),")","")</f>
        <v>dpa801_1_4_a</v>
      </c>
      <c r="AM34" s="311" t="str">
        <f>M34</f>
        <v>4 Additional</v>
      </c>
      <c r="AX34" s="78" t="str">
        <f>'Overview (Design)'!A31</f>
        <v>Type of Heating System (system 3):</v>
      </c>
      <c r="AY34" s="79">
        <f>'Overview (Design)'!G31</f>
        <v>0</v>
      </c>
    </row>
    <row r="35" spans="1:51" x14ac:dyDescent="0.3">
      <c r="B35" s="938">
        <v>801.1</v>
      </c>
      <c r="C35" s="21"/>
      <c r="D35" s="21"/>
      <c r="E35" s="21" t="s">
        <v>285</v>
      </c>
      <c r="F35" s="21" t="s">
        <v>121</v>
      </c>
      <c r="G35" s="21"/>
      <c r="H35" s="1084"/>
      <c r="I35" s="66"/>
      <c r="J35" s="238"/>
      <c r="K35" s="238"/>
      <c r="L35" s="1306"/>
      <c r="M35" s="1319"/>
      <c r="N35" s="4"/>
      <c r="O35" s="154"/>
      <c r="X35" s="1303"/>
      <c r="AX35" s="78" t="str">
        <f>'Overview (Design)'!A32</f>
        <v>Heating Fuel:</v>
      </c>
      <c r="AY35" s="79">
        <f>'Overview (Design)'!G32</f>
        <v>0</v>
      </c>
    </row>
    <row r="36" spans="1:51" x14ac:dyDescent="0.3">
      <c r="B36" s="938">
        <v>801.1</v>
      </c>
      <c r="C36" s="21"/>
      <c r="D36" s="21"/>
      <c r="E36" s="21" t="s">
        <v>291</v>
      </c>
      <c r="F36" s="21"/>
      <c r="G36" s="21"/>
      <c r="H36" s="1084"/>
      <c r="I36" s="66"/>
      <c r="J36" s="203" t="s">
        <v>291</v>
      </c>
      <c r="K36" s="140"/>
      <c r="L36" s="1305" t="s">
        <v>857</v>
      </c>
      <c r="M36" s="1318">
        <v>9</v>
      </c>
      <c r="N36" s="140"/>
      <c r="O36" s="269"/>
      <c r="R36" s="145"/>
      <c r="S36" s="145"/>
      <c r="T36" s="145"/>
      <c r="X36" s="1303"/>
      <c r="AL36" s="311" t="str">
        <f>SUBSTITUTE(SUBSTITUTE(SUBSTITUTE("dpa"&amp;$B36&amp;$C36&amp;$D36&amp;$E36&amp;$F36,".","_"),"(","_"),")","")</f>
        <v>dpa801_1_5</v>
      </c>
      <c r="AM36" s="311">
        <f>M36</f>
        <v>9</v>
      </c>
      <c r="AR36" s="311" t="str">
        <f>SUBSTITUTE(SUBSTITUTE(SUBSTITUTE("dnt"&amp;$B36&amp;$C36&amp;$D36&amp;$E36&amp;$F36,".","_"),"(","_"),")","")</f>
        <v>dnt801_1_5</v>
      </c>
      <c r="AS36" s="311">
        <f>X36</f>
        <v>0</v>
      </c>
      <c r="AX36" s="535" t="str">
        <f>'Overview (Design)'!A33</f>
        <v>Heating Ducts:</v>
      </c>
      <c r="AY36" s="536" t="str">
        <f>'Overview (Design)'!G33</f>
        <v>Ducted</v>
      </c>
    </row>
    <row r="37" spans="1:51" x14ac:dyDescent="0.3">
      <c r="B37" s="938">
        <v>801.1</v>
      </c>
      <c r="C37" s="21"/>
      <c r="D37" s="21"/>
      <c r="E37" s="21" t="s">
        <v>291</v>
      </c>
      <c r="F37" s="21"/>
      <c r="G37" s="21"/>
      <c r="H37" s="1084"/>
      <c r="I37" s="66"/>
      <c r="J37" s="140"/>
      <c r="K37" s="140"/>
      <c r="L37" s="1305"/>
      <c r="M37" s="1318"/>
      <c r="N37" s="140"/>
      <c r="O37" s="269"/>
      <c r="X37" s="1303"/>
      <c r="AX37" s="535" t="str">
        <f>'Overview (Design)'!A34</f>
        <v>Type of Cooling System (main system):</v>
      </c>
      <c r="AY37" s="536" t="str">
        <f>'Overview (Design)'!G34</f>
        <v>Electric Air Conditiner</v>
      </c>
    </row>
    <row r="38" spans="1:51" s="145" customFormat="1" x14ac:dyDescent="0.3">
      <c r="A38" s="18"/>
      <c r="B38" s="938">
        <v>801.1</v>
      </c>
      <c r="C38" s="21"/>
      <c r="D38" s="21"/>
      <c r="E38" s="21" t="s">
        <v>291</v>
      </c>
      <c r="F38" s="21"/>
      <c r="G38" s="21"/>
      <c r="H38" s="1084"/>
      <c r="I38" s="66"/>
      <c r="J38" s="140"/>
      <c r="K38" s="140"/>
      <c r="L38" s="1305"/>
      <c r="M38" s="1318"/>
      <c r="N38" s="140"/>
      <c r="O38" s="269"/>
      <c r="P38" s="79"/>
      <c r="Q38" s="79"/>
      <c r="R38" s="79"/>
      <c r="S38" s="79"/>
      <c r="T38" s="79"/>
      <c r="U38" s="79"/>
      <c r="V38" s="79"/>
      <c r="W38" s="79"/>
      <c r="X38" s="1303"/>
      <c r="Y38" s="1107"/>
      <c r="Z38" s="79"/>
      <c r="AA38" s="1110"/>
      <c r="AB38" s="79"/>
      <c r="AC38" s="79"/>
      <c r="AD38" s="79"/>
      <c r="AE38" s="79"/>
      <c r="AF38" s="79"/>
      <c r="AG38" s="79"/>
      <c r="AH38" s="79"/>
      <c r="AI38" s="79"/>
      <c r="AJ38" s="79"/>
      <c r="AK38" s="79"/>
      <c r="AL38" s="79"/>
      <c r="AM38" s="79"/>
      <c r="AN38" s="79"/>
      <c r="AO38" s="79"/>
      <c r="AP38" s="79"/>
      <c r="AQ38" s="79"/>
      <c r="AR38" s="79"/>
      <c r="AS38" s="79"/>
      <c r="AT38" s="79"/>
      <c r="AU38" s="79"/>
      <c r="AX38" s="535" t="str">
        <f>'Overview (Design)'!A35</f>
        <v>Type of Cooling System (system 2):</v>
      </c>
      <c r="AY38" s="536">
        <f>'Overview (Design)'!G35</f>
        <v>0</v>
      </c>
    </row>
    <row r="39" spans="1:51" x14ac:dyDescent="0.3">
      <c r="B39" s="938">
        <v>801.1</v>
      </c>
      <c r="C39" s="21"/>
      <c r="D39" s="21"/>
      <c r="E39" s="21" t="s">
        <v>291</v>
      </c>
      <c r="F39" s="21"/>
      <c r="G39" s="21"/>
      <c r="H39" s="1084"/>
      <c r="I39" s="66"/>
      <c r="J39" s="140"/>
      <c r="K39" s="140"/>
      <c r="L39" s="1305"/>
      <c r="M39" s="1318"/>
      <c r="N39" s="140"/>
      <c r="O39" s="269"/>
      <c r="X39" s="1303"/>
      <c r="AX39" s="535" t="str">
        <f>'Overview (Design)'!A36</f>
        <v>Type of Cooling System (system 3):</v>
      </c>
      <c r="AY39" s="536">
        <f>'Overview (Design)'!G36</f>
        <v>0</v>
      </c>
    </row>
    <row r="40" spans="1:51" x14ac:dyDescent="0.3">
      <c r="B40" s="938">
        <v>801.1</v>
      </c>
      <c r="C40" s="21"/>
      <c r="D40" s="21"/>
      <c r="E40" s="21" t="s">
        <v>291</v>
      </c>
      <c r="F40" s="21"/>
      <c r="G40" s="21"/>
      <c r="H40" s="1084"/>
      <c r="I40" s="66"/>
      <c r="J40" s="238"/>
      <c r="K40" s="238"/>
      <c r="L40" s="1306"/>
      <c r="M40" s="1319"/>
      <c r="N40" s="238"/>
      <c r="O40" s="597"/>
      <c r="P40" s="145"/>
      <c r="Q40" s="145"/>
      <c r="R40" s="145"/>
      <c r="S40" s="145"/>
      <c r="T40" s="145"/>
      <c r="U40" s="145"/>
      <c r="V40" s="145"/>
      <c r="W40" s="145"/>
      <c r="X40" s="1303"/>
      <c r="Z40" s="145"/>
      <c r="AB40" s="145"/>
      <c r="AC40" s="145"/>
      <c r="AD40" s="145"/>
      <c r="AE40" s="145"/>
      <c r="AF40" s="145"/>
      <c r="AG40" s="145"/>
      <c r="AH40" s="145"/>
      <c r="AI40" s="145"/>
      <c r="AJ40" s="145"/>
      <c r="AK40" s="145"/>
      <c r="AL40" s="145"/>
      <c r="AM40" s="145"/>
      <c r="AN40" s="145"/>
      <c r="AO40" s="145"/>
      <c r="AP40" s="145"/>
      <c r="AQ40" s="145"/>
      <c r="AR40" s="145"/>
      <c r="AS40" s="145"/>
      <c r="AT40" s="145"/>
      <c r="AU40" s="145"/>
      <c r="AX40" s="535" t="str">
        <f>'Overview (Design)'!A37</f>
        <v>Cooling Ducts:</v>
      </c>
      <c r="AY40" s="536" t="str">
        <f>'Overview (Design)'!G37</f>
        <v>Ducted</v>
      </c>
    </row>
    <row r="41" spans="1:51" x14ac:dyDescent="0.3">
      <c r="B41" s="938">
        <v>801.1</v>
      </c>
      <c r="C41" s="21"/>
      <c r="D41" s="21"/>
      <c r="E41" s="21" t="s">
        <v>293</v>
      </c>
      <c r="F41" s="21"/>
      <c r="G41" s="21"/>
      <c r="H41" s="1084"/>
      <c r="I41" s="141"/>
      <c r="J41" s="203" t="s">
        <v>293</v>
      </c>
      <c r="K41" s="140"/>
      <c r="L41" s="1305" t="s">
        <v>858</v>
      </c>
      <c r="M41" s="1318" t="s">
        <v>856</v>
      </c>
      <c r="N41" s="140"/>
      <c r="O41" s="1308">
        <f>4*S41*W41</f>
        <v>0</v>
      </c>
      <c r="P41" s="789" t="b">
        <v>1</v>
      </c>
      <c r="Q41" s="789" t="b">
        <v>1</v>
      </c>
      <c r="R41" s="97" t="b">
        <v>0</v>
      </c>
      <c r="S41" s="97" t="b">
        <f>AND(S12,NOT(W12=""))</f>
        <v>0</v>
      </c>
      <c r="T41" s="97" t="b">
        <f>IF(AND(NOT(S41),W41=TRUE),TRUE,FALSE)</f>
        <v>0</v>
      </c>
      <c r="U41" s="97"/>
      <c r="V41" s="97"/>
      <c r="W41" s="452"/>
      <c r="X41" s="1295"/>
      <c r="AC41" s="441" t="b">
        <f>OR(AD41:AE41)</f>
        <v>0</v>
      </c>
      <c r="AD41" s="441" t="b">
        <f>T41</f>
        <v>0</v>
      </c>
      <c r="AE41" s="441" t="b">
        <v>0</v>
      </c>
      <c r="AL41" s="311" t="str">
        <f>SUBSTITUTE(SUBSTITUTE(SUBSTITUTE("dpa"&amp;$B41&amp;$C41&amp;$D41&amp;$E41&amp;$F41,".","_"),"(","_"),")","")</f>
        <v>dpa801_1_6</v>
      </c>
      <c r="AM41" s="311" t="str">
        <f>M41</f>
        <v>4 Additional</v>
      </c>
      <c r="AN41" s="311" t="str">
        <f>SUBSTITUTE(SUBSTITUTE(SUBSTITUTE("dpc"&amp;$B41&amp;$C41&amp;$D41&amp;$E41&amp;$F41,".","_"),"(","_"),")","")</f>
        <v>dpc801_1_6</v>
      </c>
      <c r="AO41" s="311">
        <f>O41</f>
        <v>0</v>
      </c>
      <c r="AP41" s="311" t="str">
        <f>SUBSTITUTE(SUBSTITUTE(SUBSTITUTE("dch"&amp;$B41&amp;$C41&amp;$D41&amp;$E41&amp;$F41,".","_"),"(","_"),")","")</f>
        <v>dch801_1_6</v>
      </c>
      <c r="AQ41" s="311">
        <f>W41</f>
        <v>0</v>
      </c>
      <c r="AR41" s="311" t="str">
        <f>SUBSTITUTE(SUBSTITUTE(SUBSTITUTE("dnt"&amp;$B41&amp;$C41&amp;$D41&amp;$E41&amp;$F41,".","_"),"(","_"),")","")</f>
        <v>dnt801_1_6</v>
      </c>
      <c r="AS41" s="311">
        <f>X41</f>
        <v>0</v>
      </c>
      <c r="AX41" s="535">
        <f>'Overview (Design)'!A38</f>
        <v>0</v>
      </c>
      <c r="AY41" s="536">
        <f>'Overview (Design)'!G38</f>
        <v>0</v>
      </c>
    </row>
    <row r="42" spans="1:51" x14ac:dyDescent="0.3">
      <c r="B42" s="938">
        <v>801.1</v>
      </c>
      <c r="C42" s="21"/>
      <c r="D42" s="21"/>
      <c r="E42" s="21" t="s">
        <v>293</v>
      </c>
      <c r="F42" s="21"/>
      <c r="G42" s="21"/>
      <c r="H42" s="1084"/>
      <c r="I42" s="141"/>
      <c r="J42" s="140"/>
      <c r="K42" s="140"/>
      <c r="L42" s="1305"/>
      <c r="M42" s="1318"/>
      <c r="N42" s="140"/>
      <c r="O42" s="1308"/>
      <c r="P42" s="97"/>
      <c r="Q42" s="97"/>
      <c r="R42" s="97"/>
      <c r="S42" s="97"/>
      <c r="T42" s="97"/>
      <c r="U42" s="97"/>
      <c r="V42" s="97"/>
      <c r="W42" s="97"/>
      <c r="X42" s="1295"/>
      <c r="AX42" s="535" t="str">
        <f>'Overview (Design)'!A39</f>
        <v>Maximum window and door SHGC:</v>
      </c>
      <c r="AY42" s="536">
        <f>'Overview (Design)'!G39</f>
        <v>0.22</v>
      </c>
    </row>
    <row r="43" spans="1:51" ht="15" thickBot="1" x14ac:dyDescent="0.35">
      <c r="B43" s="938">
        <v>801.1</v>
      </c>
      <c r="C43" s="21"/>
      <c r="D43" s="21"/>
      <c r="E43" s="21" t="s">
        <v>293</v>
      </c>
      <c r="F43" s="21"/>
      <c r="G43" s="21"/>
      <c r="H43" s="1084"/>
      <c r="I43" s="212"/>
      <c r="J43" s="270"/>
      <c r="K43" s="270"/>
      <c r="L43" s="1330"/>
      <c r="M43" s="1334"/>
      <c r="N43" s="270"/>
      <c r="O43" s="1315"/>
      <c r="P43" s="104"/>
      <c r="Q43" s="104"/>
      <c r="R43" s="104"/>
      <c r="S43" s="104"/>
      <c r="T43" s="104"/>
      <c r="U43" s="104"/>
      <c r="V43" s="104"/>
      <c r="W43" s="104"/>
      <c r="X43" s="1296"/>
      <c r="AX43" s="535" t="str">
        <f>'Overview (Design)'!A40</f>
        <v>Maximum skylight SHGC:</v>
      </c>
      <c r="AY43" s="536">
        <f>'Overview (Design)'!G40</f>
        <v>0</v>
      </c>
    </row>
    <row r="44" spans="1:51" ht="15" thickTop="1" x14ac:dyDescent="0.3">
      <c r="B44" s="938">
        <v>801.2</v>
      </c>
      <c r="C44" s="21"/>
      <c r="D44" s="21"/>
      <c r="E44" s="21"/>
      <c r="F44" s="21"/>
      <c r="G44" s="21"/>
      <c r="H44" s="1084"/>
      <c r="I44" s="66">
        <v>801.2</v>
      </c>
      <c r="J44" s="4"/>
      <c r="K44" s="4"/>
      <c r="L44" s="1292" t="s">
        <v>859</v>
      </c>
      <c r="M44" s="522"/>
      <c r="N44" s="4"/>
      <c r="O44" s="154"/>
      <c r="AX44" s="535" t="str">
        <f>'Overview (Design)'!A41</f>
        <v>Maximum window and door U-value:</v>
      </c>
      <c r="AY44" s="536">
        <f>'Overview (Design)'!G41</f>
        <v>0.32</v>
      </c>
    </row>
    <row r="45" spans="1:51" x14ac:dyDescent="0.3">
      <c r="B45" s="938">
        <v>801.2</v>
      </c>
      <c r="C45" s="21"/>
      <c r="D45" s="21"/>
      <c r="E45" s="21"/>
      <c r="F45" s="21"/>
      <c r="G45" s="21"/>
      <c r="H45" s="1084"/>
      <c r="I45" s="66"/>
      <c r="J45" s="4"/>
      <c r="K45" s="4"/>
      <c r="L45" s="1292"/>
      <c r="M45" s="522"/>
      <c r="N45" s="4"/>
      <c r="O45" s="154"/>
      <c r="AX45" s="535" t="str">
        <f>'Overview (Design)'!A42</f>
        <v>Maximum skylight U-value:</v>
      </c>
      <c r="AY45" s="536">
        <f>'Overview (Design)'!G42</f>
        <v>0</v>
      </c>
    </row>
    <row r="46" spans="1:51" x14ac:dyDescent="0.3">
      <c r="B46" s="938">
        <v>801.2</v>
      </c>
      <c r="C46" s="21"/>
      <c r="D46" s="21"/>
      <c r="E46" s="21" t="s">
        <v>271</v>
      </c>
      <c r="F46" s="21"/>
      <c r="G46" s="21"/>
      <c r="H46" s="1084"/>
      <c r="I46" s="66"/>
      <c r="J46" s="231" t="s">
        <v>271</v>
      </c>
      <c r="K46" s="238"/>
      <c r="L46" s="447" t="s">
        <v>860</v>
      </c>
      <c r="M46" s="520">
        <v>2</v>
      </c>
      <c r="N46" s="238"/>
      <c r="O46" s="597">
        <f>2*S46*W46</f>
        <v>2</v>
      </c>
      <c r="P46" s="97" t="b">
        <v>0</v>
      </c>
      <c r="Q46" s="789" t="b">
        <v>1</v>
      </c>
      <c r="R46" s="145" t="b">
        <v>0</v>
      </c>
      <c r="S46" s="145" t="b">
        <v>1</v>
      </c>
      <c r="T46" s="97" t="b">
        <f>IF(AND(NOT(S46),W46=TRUE),TRUE,FALSE)</f>
        <v>0</v>
      </c>
      <c r="W46" s="25" t="b">
        <v>1</v>
      </c>
      <c r="X46" s="442" t="s">
        <v>4798</v>
      </c>
      <c r="AC46" s="441" t="b">
        <f>OR(AD46:AE46)</f>
        <v>0</v>
      </c>
      <c r="AD46" s="441" t="b">
        <f>T46</f>
        <v>0</v>
      </c>
      <c r="AE46" s="441" t="b">
        <v>0</v>
      </c>
      <c r="AL46" s="311" t="str">
        <f t="shared" ref="AL46:AL48" si="0">SUBSTITUTE(SUBSTITUTE(SUBSTITUTE("dpa"&amp;$B46&amp;$C46&amp;$D46&amp;$E46&amp;$F46,".","_"),"(","_"),")","")</f>
        <v>dpa801_2_1</v>
      </c>
      <c r="AM46" s="311">
        <f>M46</f>
        <v>2</v>
      </c>
      <c r="AN46" s="311" t="str">
        <f t="shared" ref="AN46:AN47" si="1">SUBSTITUTE(SUBSTITUTE(SUBSTITUTE("dpc"&amp;$B46&amp;$C46&amp;$D46&amp;$E46&amp;$F46,".","_"),"(","_"),")","")</f>
        <v>dpc801_2_1</v>
      </c>
      <c r="AO46" s="311">
        <f>O46</f>
        <v>2</v>
      </c>
      <c r="AP46" s="311" t="str">
        <f t="shared" ref="AP46:AP47" si="2">SUBSTITUTE(SUBSTITUTE(SUBSTITUTE("dch"&amp;$B46&amp;$C46&amp;$D46&amp;$E46&amp;$F46,".","_"),"(","_"),")","")</f>
        <v>dch801_2_1</v>
      </c>
      <c r="AQ46" s="311" t="b">
        <f>W46</f>
        <v>1</v>
      </c>
      <c r="AR46" s="311" t="str">
        <f>SUBSTITUTE(SUBSTITUTE(SUBSTITUTE("dnt"&amp;$B46&amp;$C46&amp;$D46&amp;$E46&amp;$F46,".","_"),"(","_"),")","")</f>
        <v>dnt801_2_1</v>
      </c>
      <c r="AS46" s="311" t="str">
        <f>X46</f>
        <v>ZERH Requirement - Exhibit 1 Efficient Appliances</v>
      </c>
      <c r="AX46" s="78" t="str">
        <f>'Overview (Design)'!A43</f>
        <v>Renewable Energy:</v>
      </c>
      <c r="AY46" s="79">
        <f>'Overview (Design)'!G43</f>
        <v>0</v>
      </c>
    </row>
    <row r="47" spans="1:51" ht="15" customHeight="1" x14ac:dyDescent="0.3">
      <c r="B47" s="938">
        <v>801.2</v>
      </c>
      <c r="C47" s="21"/>
      <c r="D47" s="21"/>
      <c r="E47" s="21" t="s">
        <v>273</v>
      </c>
      <c r="F47" s="21"/>
      <c r="G47" s="21"/>
      <c r="H47" s="1084"/>
      <c r="I47" s="141"/>
      <c r="J47" s="231" t="s">
        <v>273</v>
      </c>
      <c r="K47" s="238"/>
      <c r="L47" s="447" t="s">
        <v>861</v>
      </c>
      <c r="M47" s="520">
        <v>13</v>
      </c>
      <c r="N47" s="140"/>
      <c r="O47" s="1308">
        <f ca="1">IFERROR(INDEX({13,24},MATCH(W47,INDIRECT(U47),0)),0)</f>
        <v>13</v>
      </c>
      <c r="P47" s="97" t="b">
        <v>0</v>
      </c>
      <c r="Q47" s="789" t="b">
        <v>1</v>
      </c>
      <c r="R47" s="97" t="b">
        <v>0</v>
      </c>
      <c r="S47" s="97" t="b">
        <v>1</v>
      </c>
      <c r="T47" s="97" t="b">
        <f>IF(AND(NOT(S47),LEN(W47)&gt;0),TRUE,FALSE)</f>
        <v>0</v>
      </c>
      <c r="U47" s="97" t="str">
        <f>SUBSTITUTE(SUBSTITUTE(SUBSTITUTE("dd"&amp;B47&amp;C47&amp;D47&amp;E47&amp;F47,".","_"),"(","_"),")","")</f>
        <v>dd801_2_2</v>
      </c>
      <c r="V47" s="97"/>
      <c r="W47" s="453" t="s">
        <v>273</v>
      </c>
      <c r="X47" s="1295" t="s">
        <v>4798</v>
      </c>
      <c r="AC47" s="441" t="b">
        <f>OR(AD47:AE47)</f>
        <v>0</v>
      </c>
      <c r="AD47" s="441" t="b">
        <f>T47</f>
        <v>0</v>
      </c>
      <c r="AE47" s="441" t="b">
        <f>AND(R47,OR(W47="Not Met",W47=""))</f>
        <v>0</v>
      </c>
      <c r="AL47" s="311" t="str">
        <f t="shared" si="0"/>
        <v>dpa801_2_2</v>
      </c>
      <c r="AM47" s="311">
        <f>M47</f>
        <v>13</v>
      </c>
      <c r="AN47" s="311" t="str">
        <f t="shared" si="1"/>
        <v>dpc801_2_2</v>
      </c>
      <c r="AO47" s="311">
        <f ca="1">O47</f>
        <v>13</v>
      </c>
      <c r="AP47" s="311" t="str">
        <f t="shared" si="2"/>
        <v>dch801_2_2</v>
      </c>
      <c r="AQ47" s="311" t="str">
        <f>W47</f>
        <v>(2)</v>
      </c>
      <c r="AR47" s="311" t="str">
        <f>SUBSTITUTE(SUBSTITUTE(SUBSTITUTE("dnt"&amp;$B47&amp;$C47&amp;$D47&amp;$E47&amp;$F47,".","_"),"(","_"),")","")</f>
        <v>dnt801_2_2</v>
      </c>
      <c r="AS47" s="311" t="str">
        <f>X47</f>
        <v>ZERH Requirement - Exhibit 1 Efficient Appliances</v>
      </c>
      <c r="AX47" s="78" t="str">
        <f>'Overview (Design)'!A44</f>
        <v>Thermal Envelope Insulation:</v>
      </c>
      <c r="AY47" s="79">
        <f>'Overview (Design)'!G44</f>
        <v>0</v>
      </c>
    </row>
    <row r="48" spans="1:51" x14ac:dyDescent="0.3">
      <c r="B48" s="938">
        <v>801.2</v>
      </c>
      <c r="C48" s="21"/>
      <c r="D48" s="21"/>
      <c r="E48" s="21" t="s">
        <v>275</v>
      </c>
      <c r="F48" s="21"/>
      <c r="G48" s="21"/>
      <c r="H48" s="1084"/>
      <c r="I48" s="141"/>
      <c r="J48" s="203" t="s">
        <v>275</v>
      </c>
      <c r="K48" s="140"/>
      <c r="L48" s="446" t="s">
        <v>862</v>
      </c>
      <c r="M48" s="518">
        <v>24</v>
      </c>
      <c r="N48" s="140"/>
      <c r="O48" s="1308"/>
      <c r="P48" s="97"/>
      <c r="Q48" s="97"/>
      <c r="R48" s="97"/>
      <c r="S48" s="97"/>
      <c r="T48" s="97"/>
      <c r="U48" s="97"/>
      <c r="V48" s="97"/>
      <c r="W48" s="97"/>
      <c r="X48" s="1295"/>
      <c r="AL48" s="311" t="str">
        <f t="shared" si="0"/>
        <v>dpa801_2_3</v>
      </c>
      <c r="AM48" s="311">
        <f>M48</f>
        <v>24</v>
      </c>
      <c r="AX48" s="78" t="str">
        <f>'Overview (Design)'!A45</f>
        <v>Attic Type:</v>
      </c>
      <c r="AY48" s="79" t="str">
        <f>'Overview (Design)'!G45</f>
        <v>Vented</v>
      </c>
    </row>
    <row r="49" spans="2:51" ht="15" customHeight="1" x14ac:dyDescent="0.3">
      <c r="B49" s="938">
        <v>801.2</v>
      </c>
      <c r="C49" s="21"/>
      <c r="D49" s="21"/>
      <c r="E49" s="21"/>
      <c r="F49" s="21"/>
      <c r="G49" s="21"/>
      <c r="H49" s="1084"/>
      <c r="I49" s="141"/>
      <c r="J49" s="203"/>
      <c r="K49" s="140"/>
      <c r="L49" s="1432" t="s">
        <v>3828</v>
      </c>
      <c r="M49" s="518"/>
      <c r="N49" s="140"/>
      <c r="O49" s="269"/>
      <c r="P49" s="97"/>
      <c r="Q49" s="97"/>
      <c r="R49" s="97"/>
      <c r="S49" s="97"/>
      <c r="T49" s="97"/>
      <c r="U49" s="97"/>
      <c r="V49" s="97"/>
      <c r="W49" s="97"/>
      <c r="X49" s="1295"/>
      <c r="Z49" s="429"/>
      <c r="AB49" s="429"/>
      <c r="AC49" s="429"/>
      <c r="AD49" s="429"/>
      <c r="AE49" s="429"/>
      <c r="AF49" s="429"/>
      <c r="AG49" s="429"/>
      <c r="AH49" s="429"/>
      <c r="AI49" s="429"/>
      <c r="AJ49" s="429"/>
      <c r="AK49" s="429"/>
      <c r="AL49" s="429"/>
      <c r="AM49" s="429"/>
      <c r="AN49" s="429"/>
      <c r="AO49" s="429"/>
      <c r="AP49" s="429"/>
      <c r="AQ49" s="429"/>
      <c r="AR49" s="429"/>
      <c r="AS49" s="429"/>
      <c r="AT49" s="429"/>
      <c r="AU49" s="429"/>
      <c r="AX49" s="78" t="str">
        <f>'Overview (Design)'!A46</f>
        <v>Attached Garage:</v>
      </c>
      <c r="AY49" s="79" t="str">
        <f>'Overview (Design)'!G46</f>
        <v>Yes</v>
      </c>
    </row>
    <row r="50" spans="2:51" x14ac:dyDescent="0.3">
      <c r="B50" s="938">
        <v>801.2</v>
      </c>
      <c r="C50" s="21"/>
      <c r="D50" s="21"/>
      <c r="E50" s="21"/>
      <c r="F50" s="21"/>
      <c r="G50" s="21"/>
      <c r="H50" s="1084"/>
      <c r="I50" s="141"/>
      <c r="J50" s="203"/>
      <c r="K50" s="140"/>
      <c r="L50" s="1433"/>
      <c r="M50" s="518"/>
      <c r="N50" s="140"/>
      <c r="O50" s="269"/>
      <c r="P50" s="97"/>
      <c r="Q50" s="97"/>
      <c r="R50" s="97"/>
      <c r="S50" s="97"/>
      <c r="T50" s="97"/>
      <c r="U50" s="97"/>
      <c r="V50" s="97"/>
      <c r="W50" s="97"/>
      <c r="X50" s="1295"/>
      <c r="Z50" s="429"/>
      <c r="AB50" s="429"/>
      <c r="AC50" s="429"/>
      <c r="AD50" s="429"/>
      <c r="AE50" s="429"/>
      <c r="AF50" s="429"/>
      <c r="AG50" s="429"/>
      <c r="AH50" s="429"/>
      <c r="AI50" s="429"/>
      <c r="AJ50" s="429"/>
      <c r="AK50" s="429"/>
      <c r="AL50" s="429"/>
      <c r="AM50" s="429"/>
      <c r="AN50" s="429"/>
      <c r="AO50" s="429"/>
      <c r="AP50" s="429"/>
      <c r="AQ50" s="429"/>
      <c r="AR50" s="429"/>
      <c r="AS50" s="429"/>
      <c r="AT50" s="429"/>
      <c r="AU50" s="429"/>
      <c r="AX50" s="78" t="str">
        <f>'Overview (Design)'!A47</f>
        <v>Recessed Lighting:</v>
      </c>
      <c r="AY50" s="79">
        <f>'Overview (Design)'!G47</f>
        <v>0</v>
      </c>
    </row>
    <row r="51" spans="2:51" ht="15" customHeight="1" x14ac:dyDescent="0.3">
      <c r="B51" s="938">
        <v>801.2</v>
      </c>
      <c r="C51" s="21"/>
      <c r="D51" s="21"/>
      <c r="E51" s="21"/>
      <c r="F51" s="21"/>
      <c r="G51" s="21"/>
      <c r="H51" s="1084"/>
      <c r="I51" s="141"/>
      <c r="J51" s="97"/>
      <c r="K51" s="97"/>
      <c r="L51" s="1394" t="s">
        <v>3829</v>
      </c>
      <c r="M51" s="608"/>
      <c r="N51" s="140"/>
      <c r="O51" s="269"/>
      <c r="P51" s="97"/>
      <c r="Q51" s="97"/>
      <c r="R51" s="97"/>
      <c r="S51" s="97"/>
      <c r="T51" s="97"/>
      <c r="U51" s="97"/>
      <c r="V51" s="97"/>
      <c r="W51" s="97"/>
      <c r="X51" s="1295"/>
      <c r="AX51" s="144"/>
      <c r="AY51" s="145"/>
    </row>
    <row r="52" spans="2:51" ht="15" thickBot="1" x14ac:dyDescent="0.35">
      <c r="B52" s="938">
        <v>801.2</v>
      </c>
      <c r="C52" s="21"/>
      <c r="D52" s="21"/>
      <c r="E52" s="21"/>
      <c r="F52" s="21"/>
      <c r="G52" s="21"/>
      <c r="H52" s="1084"/>
      <c r="I52" s="212"/>
      <c r="J52" s="104"/>
      <c r="K52" s="104"/>
      <c r="L52" s="1395"/>
      <c r="M52" s="607"/>
      <c r="N52" s="270"/>
      <c r="O52" s="271"/>
      <c r="P52" s="104"/>
      <c r="Q52" s="104"/>
      <c r="R52" s="104"/>
      <c r="S52" s="104"/>
      <c r="T52" s="104"/>
      <c r="U52" s="104"/>
      <c r="V52" s="104"/>
      <c r="W52" s="104"/>
      <c r="X52" s="1296"/>
      <c r="AX52" s="78" t="str">
        <f>'Overview (Design)'!A49</f>
        <v>Special Design Features:</v>
      </c>
      <c r="AY52" s="79">
        <f>'Overview (Design)'!G49</f>
        <v>0</v>
      </c>
    </row>
    <row r="53" spans="2:51" ht="15" thickTop="1" x14ac:dyDescent="0.3">
      <c r="B53" s="938">
        <v>801.3</v>
      </c>
      <c r="C53" s="21"/>
      <c r="D53" s="21"/>
      <c r="E53" s="21"/>
      <c r="F53" s="21"/>
      <c r="G53" s="21"/>
      <c r="H53" s="1084"/>
      <c r="I53" s="66">
        <v>801.3</v>
      </c>
      <c r="J53" s="4"/>
      <c r="K53" s="4"/>
      <c r="L53" s="184" t="s">
        <v>863</v>
      </c>
      <c r="M53" s="585"/>
      <c r="N53" s="4"/>
      <c r="O53" s="154"/>
      <c r="W53" s="79" t="s">
        <v>3830</v>
      </c>
      <c r="AX53" s="78" t="str">
        <f>'Overview (Design)'!A50</f>
        <v>Passive Solar:</v>
      </c>
      <c r="AY53" s="79" t="str">
        <f>'Overview (Design)'!G50</f>
        <v>No</v>
      </c>
    </row>
    <row r="54" spans="2:51" x14ac:dyDescent="0.3">
      <c r="B54" s="938">
        <v>801.3</v>
      </c>
      <c r="C54" s="21"/>
      <c r="D54" s="21"/>
      <c r="E54" s="21" t="s">
        <v>271</v>
      </c>
      <c r="F54" s="21"/>
      <c r="G54" s="21"/>
      <c r="H54" s="1084"/>
      <c r="I54" s="66"/>
      <c r="J54" s="27" t="s">
        <v>271</v>
      </c>
      <c r="K54" s="4"/>
      <c r="L54" s="1329" t="s">
        <v>865</v>
      </c>
      <c r="M54" s="1387" t="s">
        <v>864</v>
      </c>
      <c r="N54" s="4"/>
      <c r="O54" s="1310">
        <f ca="1">IFERROR(INDEX({4,5,6,7},MATCH(W54,INDIRECT(U54),0)),0)*S54</f>
        <v>0</v>
      </c>
      <c r="P54" s="97" t="b">
        <v>0</v>
      </c>
      <c r="Q54" s="789" t="b">
        <v>1</v>
      </c>
      <c r="R54" s="145" t="b">
        <v>0</v>
      </c>
      <c r="S54" s="145" t="b">
        <v>1</v>
      </c>
      <c r="T54" s="97" t="b">
        <f>IF(AND(NOT(S54),LEN(W54)&gt;0),TRUE,FALSE)</f>
        <v>0</v>
      </c>
      <c r="U54" s="97" t="str">
        <f>SUBSTITUTE(SUBSTITUTE(SUBSTITUTE("dd"&amp;B54&amp;C54&amp;D54&amp;E54&amp;F54,".","_"),"(","_"),")","")</f>
        <v>dd801_3_1</v>
      </c>
      <c r="W54" s="439"/>
      <c r="X54" s="1303"/>
      <c r="AC54" s="441" t="b">
        <f>OR(AD54:AE54)</f>
        <v>0</v>
      </c>
      <c r="AD54" s="441" t="b">
        <f>T54</f>
        <v>0</v>
      </c>
      <c r="AE54" s="441" t="b">
        <f>AND(R54,OR(W54="Not Met",W54=""))</f>
        <v>0</v>
      </c>
      <c r="AL54" s="311" t="str">
        <f>SUBSTITUTE(SUBSTITUTE(SUBSTITUTE("dpa"&amp;$B54&amp;$C54&amp;$D54&amp;$E54&amp;$F54,".","_"),"(","_"),")","")</f>
        <v>dpa801_3_1</v>
      </c>
      <c r="AM54" s="311" t="str">
        <f>M54</f>
        <v xml:space="preserve">4 for first compartment </v>
      </c>
      <c r="AN54" s="311" t="str">
        <f>SUBSTITUTE(SUBSTITUTE(SUBSTITUTE("dpc"&amp;$B54&amp;$C54&amp;$D54&amp;$E54&amp;$F54,".","_"),"(","_"),")","")</f>
        <v>dpc801_3_1</v>
      </c>
      <c r="AO54" s="311">
        <f ca="1">O54</f>
        <v>0</v>
      </c>
      <c r="AP54" s="311" t="str">
        <f>SUBSTITUTE(SUBSTITUTE(SUBSTITUTE("dch"&amp;$B54&amp;$C54&amp;$D54&amp;$E54&amp;$F54,".","_"),"(","_"),")","")</f>
        <v>dch801_3_1</v>
      </c>
      <c r="AQ54" s="311">
        <f>W54</f>
        <v>0</v>
      </c>
      <c r="AR54" s="311" t="str">
        <f>SUBSTITUTE(SUBSTITUTE(SUBSTITUTE("dnt"&amp;$B54&amp;$C54&amp;$D54&amp;$E54&amp;$F54,".","_"),"(","_"),")","")</f>
        <v>dnt801_3_1</v>
      </c>
      <c r="AS54" s="311">
        <f>X54</f>
        <v>0</v>
      </c>
      <c r="AX54" s="78" t="str">
        <f>'Overview (Design)'!A51</f>
        <v>Mass Walls:</v>
      </c>
      <c r="AY54" s="79" t="str">
        <f>'Overview (Design)'!G51</f>
        <v>No</v>
      </c>
    </row>
    <row r="55" spans="2:51" x14ac:dyDescent="0.3">
      <c r="B55" s="938">
        <v>801.3</v>
      </c>
      <c r="C55" s="21"/>
      <c r="D55" s="21"/>
      <c r="E55" s="21" t="s">
        <v>271</v>
      </c>
      <c r="F55" s="21"/>
      <c r="G55" s="21"/>
      <c r="H55" s="1084"/>
      <c r="I55" s="66"/>
      <c r="J55" s="4"/>
      <c r="K55" s="4"/>
      <c r="L55" s="1329"/>
      <c r="M55" s="1387"/>
      <c r="N55" s="4"/>
      <c r="O55" s="1310"/>
      <c r="X55" s="1303"/>
      <c r="AX55" s="78" t="str">
        <f>'Overview (Design)'!A52</f>
        <v>Ductless:</v>
      </c>
      <c r="AY55" s="79" t="str">
        <f>'Overview (Design)'!G52</f>
        <v>No</v>
      </c>
    </row>
    <row r="56" spans="2:51" x14ac:dyDescent="0.3">
      <c r="B56" s="938">
        <v>801.3</v>
      </c>
      <c r="C56" s="21"/>
      <c r="D56" s="21"/>
      <c r="E56" s="21" t="s">
        <v>271</v>
      </c>
      <c r="F56" s="21"/>
      <c r="G56" s="21"/>
      <c r="H56" s="1084"/>
      <c r="I56" s="66"/>
      <c r="J56" s="4"/>
      <c r="K56" s="4"/>
      <c r="L56" s="1329"/>
      <c r="M56" s="1387" t="s">
        <v>866</v>
      </c>
      <c r="N56" s="4"/>
      <c r="O56" s="1310"/>
      <c r="X56" s="1303"/>
      <c r="AX56" s="78" t="str">
        <f>'Overview (Design)'!A53</f>
        <v>Radiant/Hydronic:</v>
      </c>
      <c r="AY56" s="79" t="str">
        <f>'Overview (Design)'!G53</f>
        <v>No</v>
      </c>
    </row>
    <row r="57" spans="2:51" x14ac:dyDescent="0.3">
      <c r="B57" s="938">
        <v>801.3</v>
      </c>
      <c r="C57" s="21"/>
      <c r="D57" s="21"/>
      <c r="E57" s="21" t="s">
        <v>271</v>
      </c>
      <c r="F57" s="21"/>
      <c r="G57" s="21"/>
      <c r="H57" s="1084"/>
      <c r="I57" s="66"/>
      <c r="J57" s="4"/>
      <c r="K57" s="4"/>
      <c r="L57" s="1329"/>
      <c r="M57" s="1387"/>
      <c r="N57" s="4"/>
      <c r="O57" s="1310"/>
      <c r="X57" s="1303"/>
      <c r="AX57" s="78" t="str">
        <f>'Overview (Design)'!A54</f>
        <v>Tankless Water Heater:</v>
      </c>
      <c r="AY57" s="79" t="str">
        <f>'Overview (Design)'!G54</f>
        <v>No</v>
      </c>
    </row>
    <row r="58" spans="2:51" x14ac:dyDescent="0.3">
      <c r="B58" s="938">
        <v>801.3</v>
      </c>
      <c r="C58" s="21"/>
      <c r="D58" s="21"/>
      <c r="E58" s="21" t="s">
        <v>271</v>
      </c>
      <c r="F58" s="21"/>
      <c r="G58" s="21"/>
      <c r="H58" s="1084"/>
      <c r="I58" s="66"/>
      <c r="J58" s="4"/>
      <c r="K58" s="4"/>
      <c r="L58" s="1329"/>
      <c r="M58" s="1387"/>
      <c r="N58" s="4"/>
      <c r="O58" s="1310"/>
      <c r="X58" s="1303"/>
      <c r="AX58" s="78" t="str">
        <f>'Overview (Design)'!A55</f>
        <v>Composting Toilet:</v>
      </c>
      <c r="AY58" s="79" t="str">
        <f>'Overview (Design)'!G55</f>
        <v>No</v>
      </c>
    </row>
    <row r="59" spans="2:51" x14ac:dyDescent="0.3">
      <c r="B59" s="938">
        <v>801.3</v>
      </c>
      <c r="C59" s="21"/>
      <c r="D59" s="21"/>
      <c r="E59" s="21" t="s">
        <v>271</v>
      </c>
      <c r="F59" s="21"/>
      <c r="G59" s="21"/>
      <c r="H59" s="1084"/>
      <c r="I59" s="66"/>
      <c r="J59" s="4"/>
      <c r="K59" s="4"/>
      <c r="L59" s="1329"/>
      <c r="M59" s="1387"/>
      <c r="N59" s="4"/>
      <c r="O59" s="1310"/>
      <c r="X59" s="1303"/>
      <c r="AX59" s="78"/>
    </row>
    <row r="60" spans="2:51" x14ac:dyDescent="0.3">
      <c r="B60" s="938">
        <v>801.3</v>
      </c>
      <c r="C60" s="21"/>
      <c r="D60" s="21"/>
      <c r="E60" s="21" t="s">
        <v>271</v>
      </c>
      <c r="F60" s="21"/>
      <c r="G60" s="21"/>
      <c r="H60" s="1084"/>
      <c r="I60" s="66"/>
      <c r="J60" s="140"/>
      <c r="K60" s="140"/>
      <c r="L60" s="1368" t="s">
        <v>867</v>
      </c>
      <c r="M60" s="1318" t="s">
        <v>868</v>
      </c>
      <c r="N60" s="140"/>
      <c r="O60" s="269"/>
      <c r="X60" s="1303"/>
      <c r="AL60" s="311"/>
      <c r="AM60" s="311"/>
      <c r="AX60" s="78" t="str">
        <f>'Overview (Design)'!A57</f>
        <v>Local Energy Code:</v>
      </c>
      <c r="AY60" s="79" t="str">
        <f>'Overview (Design)'!G57</f>
        <v>Other</v>
      </c>
    </row>
    <row r="61" spans="2:51" x14ac:dyDescent="0.3">
      <c r="B61" s="938">
        <v>801.3</v>
      </c>
      <c r="C61" s="21"/>
      <c r="D61" s="21"/>
      <c r="E61" s="21" t="s">
        <v>271</v>
      </c>
      <c r="F61" s="21"/>
      <c r="G61" s="21"/>
      <c r="H61" s="1084"/>
      <c r="I61" s="66"/>
      <c r="J61" s="140"/>
      <c r="K61" s="140"/>
      <c r="L61" s="1368"/>
      <c r="M61" s="1318"/>
      <c r="N61" s="140"/>
      <c r="O61" s="269"/>
      <c r="X61" s="1303"/>
      <c r="AX61" s="78" t="str">
        <f>'Overview (Design)'!A58</f>
        <v>Local Building Code:</v>
      </c>
      <c r="AY61" s="79" t="str">
        <f>'Overview (Design)'!G58</f>
        <v>Other</v>
      </c>
    </row>
    <row r="62" spans="2:51" x14ac:dyDescent="0.3">
      <c r="B62" s="938">
        <v>801.3</v>
      </c>
      <c r="C62" s="21"/>
      <c r="D62" s="21"/>
      <c r="E62" s="21" t="s">
        <v>271</v>
      </c>
      <c r="F62" s="21"/>
      <c r="G62" s="21"/>
      <c r="H62" s="1084"/>
      <c r="I62" s="66"/>
      <c r="J62" s="238"/>
      <c r="K62" s="238"/>
      <c r="L62" s="1424"/>
      <c r="M62" s="1319"/>
      <c r="N62" s="238"/>
      <c r="O62" s="597"/>
      <c r="X62" s="1303"/>
    </row>
    <row r="63" spans="2:51" x14ac:dyDescent="0.3">
      <c r="B63" s="938">
        <v>801.3</v>
      </c>
      <c r="C63" s="21"/>
      <c r="D63" s="21"/>
      <c r="E63" s="21" t="s">
        <v>273</v>
      </c>
      <c r="F63" s="21"/>
      <c r="G63" s="21"/>
      <c r="H63" s="1084"/>
      <c r="I63" s="66"/>
      <c r="J63" s="27" t="s">
        <v>273</v>
      </c>
      <c r="K63" s="4"/>
      <c r="L63" s="1329" t="s">
        <v>869</v>
      </c>
      <c r="M63" s="522"/>
      <c r="N63" s="4"/>
      <c r="O63" s="1310">
        <f ca="1">IFERROR(INDEX({6,10,14},MATCH(W63,INDIRECT(U63),0)),0)*S63</f>
        <v>0</v>
      </c>
      <c r="P63" s="97" t="b">
        <v>0</v>
      </c>
      <c r="Q63" s="789" t="b">
        <v>1</v>
      </c>
      <c r="R63" s="145" t="b">
        <v>0</v>
      </c>
      <c r="S63" s="145" t="b">
        <f>LEN(W54)&gt;0</f>
        <v>0</v>
      </c>
      <c r="T63" s="97" t="b">
        <f>IF(AND(NOT(S63),LEN(W63)&gt;0),TRUE,FALSE)</f>
        <v>0</v>
      </c>
      <c r="U63" s="97" t="str">
        <f>SUBSTITUTE(SUBSTITUTE(SUBSTITUTE("dd"&amp;B63&amp;C63&amp;D63&amp;E63&amp;F63,".","_"),"(","_"),")","")</f>
        <v>dd801_3_2</v>
      </c>
      <c r="W63" s="12"/>
      <c r="X63" s="1303"/>
      <c r="AC63" s="441" t="b">
        <f>OR(AD63:AE63)</f>
        <v>0</v>
      </c>
      <c r="AD63" s="441" t="b">
        <f>T63</f>
        <v>0</v>
      </c>
      <c r="AE63" s="441" t="b">
        <f>AND(R63,OR(W63="Not Met",W63=""))</f>
        <v>0</v>
      </c>
      <c r="AN63" s="311" t="str">
        <f>SUBSTITUTE(SUBSTITUTE(SUBSTITUTE("dpc"&amp;$B63&amp;$C63&amp;$D63&amp;$E63&amp;$F63,".","_"),"(","_"),")","")</f>
        <v>dpc801_3_2</v>
      </c>
      <c r="AO63" s="311">
        <f ca="1">O63</f>
        <v>0</v>
      </c>
      <c r="AP63" s="311" t="str">
        <f>SUBSTITUTE(SUBSTITUTE(SUBSTITUTE("dch"&amp;$B63&amp;$C63&amp;$D63&amp;$E63&amp;$F63,".","_"),"(","_"),")","")</f>
        <v>dch801_3_2</v>
      </c>
      <c r="AQ63" s="311">
        <f>W63</f>
        <v>0</v>
      </c>
      <c r="AR63" s="311" t="str">
        <f>SUBSTITUTE(SUBSTITUTE(SUBSTITUTE("dnt"&amp;$B63&amp;$C63&amp;$D63&amp;$E63&amp;$F63,".","_"),"(","_"),")","")</f>
        <v>dnt801_3_2</v>
      </c>
      <c r="AS63" s="311">
        <f>X63</f>
        <v>0</v>
      </c>
    </row>
    <row r="64" spans="2:51" ht="15" customHeight="1" x14ac:dyDescent="0.3">
      <c r="B64" s="938">
        <v>801.3</v>
      </c>
      <c r="C64" s="21"/>
      <c r="D64" s="21"/>
      <c r="E64" s="21" t="s">
        <v>273</v>
      </c>
      <c r="F64" s="21"/>
      <c r="G64" s="21"/>
      <c r="H64" s="1084"/>
      <c r="I64" s="66"/>
      <c r="J64" s="4"/>
      <c r="K64" s="4"/>
      <c r="L64" s="1329"/>
      <c r="M64" s="522"/>
      <c r="N64" s="4"/>
      <c r="O64" s="1310"/>
      <c r="X64" s="1303"/>
    </row>
    <row r="65" spans="1:51" x14ac:dyDescent="0.3">
      <c r="B65" s="938">
        <v>801.3</v>
      </c>
      <c r="C65" s="21"/>
      <c r="D65" s="21"/>
      <c r="E65" s="21" t="s">
        <v>273</v>
      </c>
      <c r="F65" s="21" t="s">
        <v>121</v>
      </c>
      <c r="G65" s="21"/>
      <c r="H65" s="1084"/>
      <c r="I65" s="4"/>
      <c r="J65" s="4"/>
      <c r="K65" s="27" t="s">
        <v>121</v>
      </c>
      <c r="L65" s="178" t="s">
        <v>870</v>
      </c>
      <c r="M65" s="522" t="s">
        <v>871</v>
      </c>
      <c r="N65" s="4"/>
      <c r="O65" s="154"/>
      <c r="X65" s="1303"/>
      <c r="AL65" s="311" t="str">
        <f t="shared" ref="AL65:AL68" si="3">SUBSTITUTE(SUBSTITUTE(SUBSTITUTE("dpa"&amp;$B65&amp;$C65&amp;$D65&amp;$E65&amp;$F65,".","_"),"(","_"),")","")</f>
        <v>dpa801_3_2_a</v>
      </c>
      <c r="AM65" s="311" t="str">
        <f>M65</f>
        <v xml:space="preserve">6 Additional </v>
      </c>
    </row>
    <row r="66" spans="1:51" x14ac:dyDescent="0.3">
      <c r="B66" s="938">
        <v>801.3</v>
      </c>
      <c r="C66" s="21"/>
      <c r="D66" s="21"/>
      <c r="E66" s="21" t="s">
        <v>273</v>
      </c>
      <c r="F66" s="21" t="s">
        <v>122</v>
      </c>
      <c r="G66" s="21"/>
      <c r="H66" s="1084"/>
      <c r="I66" s="4"/>
      <c r="J66" s="4"/>
      <c r="K66" s="27" t="s">
        <v>122</v>
      </c>
      <c r="L66" s="178" t="s">
        <v>872</v>
      </c>
      <c r="M66" s="522" t="s">
        <v>873</v>
      </c>
      <c r="N66" s="4"/>
      <c r="O66" s="154"/>
      <c r="X66" s="1303"/>
      <c r="AL66" s="311" t="str">
        <f t="shared" si="3"/>
        <v>dpa801_3_2_b</v>
      </c>
      <c r="AM66" s="311" t="str">
        <f>M66</f>
        <v xml:space="preserve">10 Additional </v>
      </c>
    </row>
    <row r="67" spans="1:51" x14ac:dyDescent="0.3">
      <c r="B67" s="938">
        <v>801.3</v>
      </c>
      <c r="C67" s="21"/>
      <c r="D67" s="21"/>
      <c r="E67" s="21" t="s">
        <v>273</v>
      </c>
      <c r="F67" s="21" t="s">
        <v>123</v>
      </c>
      <c r="G67" s="21"/>
      <c r="H67" s="1084"/>
      <c r="I67" s="4"/>
      <c r="J67" s="238"/>
      <c r="K67" s="231" t="s">
        <v>123</v>
      </c>
      <c r="L67" s="447" t="s">
        <v>874</v>
      </c>
      <c r="M67" s="520" t="s">
        <v>875</v>
      </c>
      <c r="N67" s="4"/>
      <c r="O67" s="597"/>
      <c r="X67" s="1303"/>
      <c r="AL67" s="311" t="str">
        <f t="shared" si="3"/>
        <v>dpa801_3_2_c</v>
      </c>
      <c r="AM67" s="311" t="str">
        <f>M67</f>
        <v>14 Additional</v>
      </c>
    </row>
    <row r="68" spans="1:51" ht="15" customHeight="1" x14ac:dyDescent="0.3">
      <c r="B68" s="938">
        <v>801.3</v>
      </c>
      <c r="C68" s="21"/>
      <c r="D68" s="21"/>
      <c r="E68" s="21" t="s">
        <v>275</v>
      </c>
      <c r="F68" s="21"/>
      <c r="G68" s="21"/>
      <c r="H68" s="1084"/>
      <c r="I68" s="141"/>
      <c r="J68" s="203" t="s">
        <v>275</v>
      </c>
      <c r="K68" s="140"/>
      <c r="L68" s="446" t="s">
        <v>876</v>
      </c>
      <c r="M68" s="1360" t="s">
        <v>3841</v>
      </c>
      <c r="N68" s="140"/>
      <c r="O68" s="1308">
        <f ca="1">IFERROR(MATCH(W68,INDIRECT(U68),0),0)*S68</f>
        <v>0</v>
      </c>
      <c r="P68" s="97" t="b">
        <v>0</v>
      </c>
      <c r="Q68" s="789" t="b">
        <v>1</v>
      </c>
      <c r="R68" s="97" t="b">
        <v>0</v>
      </c>
      <c r="S68" s="97" t="b">
        <v>1</v>
      </c>
      <c r="T68" s="97" t="b">
        <f>IF(AND(NOT(S68),LEN(W68)&gt;0),TRUE,FALSE)</f>
        <v>0</v>
      </c>
      <c r="U68" s="97" t="str">
        <f>SUBSTITUTE(SUBSTITUTE(SUBSTITUTE("dd"&amp;B68&amp;C68&amp;D68&amp;E68&amp;F68,".","_"),"(","_"),")","")</f>
        <v>dd801_3_3</v>
      </c>
      <c r="V68" s="97"/>
      <c r="W68" s="114"/>
      <c r="X68" s="1295"/>
      <c r="AC68" s="441" t="b">
        <f>OR(AD68:AE68)</f>
        <v>0</v>
      </c>
      <c r="AD68" s="441" t="b">
        <f>T68</f>
        <v>0</v>
      </c>
      <c r="AE68" s="441" t="b">
        <f>AND(R68,OR(W68="Not Met",W68=""))</f>
        <v>0</v>
      </c>
      <c r="AL68" s="311" t="str">
        <f t="shared" si="3"/>
        <v>dpa801_3_3</v>
      </c>
      <c r="AM68" s="311" t="str">
        <f>M68</f>
        <v>1
3 Max</v>
      </c>
      <c r="AN68" s="311" t="str">
        <f>SUBSTITUTE(SUBSTITUTE(SUBSTITUTE("dpc"&amp;$B68&amp;$C68&amp;$D68&amp;$E68&amp;$F68,".","_"),"(","_"),")","")</f>
        <v>dpc801_3_3</v>
      </c>
      <c r="AO68" s="311">
        <f ca="1">O68</f>
        <v>0</v>
      </c>
      <c r="AP68" s="311" t="str">
        <f>SUBSTITUTE(SUBSTITUTE(SUBSTITUTE("dch"&amp;$B68&amp;$C68&amp;$D68&amp;$E68&amp;$F68,".","_"),"(","_"),")","")</f>
        <v>dch801_3_3</v>
      </c>
      <c r="AQ68" s="311">
        <f>W68</f>
        <v>0</v>
      </c>
      <c r="AR68" s="311" t="str">
        <f>SUBSTITUTE(SUBSTITUTE(SUBSTITUTE("dnt"&amp;$B68&amp;$C68&amp;$D68&amp;$E68&amp;$F68,".","_"),"(","_"),")","")</f>
        <v>dnt801_3_3</v>
      </c>
      <c r="AS68" s="311">
        <f>X68</f>
        <v>0</v>
      </c>
    </row>
    <row r="69" spans="1:51" ht="15" thickBot="1" x14ac:dyDescent="0.35">
      <c r="B69" s="938">
        <v>801.3</v>
      </c>
      <c r="C69" s="21"/>
      <c r="D69" s="21"/>
      <c r="E69" s="21" t="s">
        <v>275</v>
      </c>
      <c r="F69" s="21"/>
      <c r="G69" s="21"/>
      <c r="H69" s="1084"/>
      <c r="I69" s="212"/>
      <c r="J69" s="270"/>
      <c r="K69" s="270"/>
      <c r="L69" s="454" t="s">
        <v>877</v>
      </c>
      <c r="M69" s="1421"/>
      <c r="N69" s="270"/>
      <c r="O69" s="1315"/>
      <c r="P69" s="104"/>
      <c r="Q69" s="104"/>
      <c r="R69" s="104"/>
      <c r="S69" s="104"/>
      <c r="T69" s="104"/>
      <c r="U69" s="104"/>
      <c r="V69" s="104"/>
      <c r="W69" s="104"/>
      <c r="X69" s="1296"/>
    </row>
    <row r="70" spans="1:51" ht="15" thickTop="1" x14ac:dyDescent="0.3">
      <c r="B70" s="938">
        <v>801.4</v>
      </c>
      <c r="C70" s="21"/>
      <c r="D70" s="21"/>
      <c r="E70" s="21"/>
      <c r="F70" s="21"/>
      <c r="G70" s="21"/>
      <c r="H70" s="1084"/>
      <c r="I70" s="200">
        <v>801.4</v>
      </c>
      <c r="J70" s="201"/>
      <c r="K70" s="201"/>
      <c r="L70" s="562" t="s">
        <v>879</v>
      </c>
      <c r="M70" s="547"/>
      <c r="N70" s="201"/>
      <c r="O70" s="602"/>
      <c r="P70" s="110"/>
      <c r="Q70" s="110"/>
      <c r="R70" s="110"/>
      <c r="S70" s="110"/>
      <c r="T70" s="110"/>
      <c r="U70" s="110"/>
      <c r="V70" s="110"/>
      <c r="W70" s="110"/>
      <c r="X70" s="110"/>
    </row>
    <row r="71" spans="1:51" x14ac:dyDescent="0.3">
      <c r="B71" s="938" t="s">
        <v>880</v>
      </c>
      <c r="C71" s="21"/>
      <c r="D71" s="21"/>
      <c r="E71" s="21"/>
      <c r="F71" s="21"/>
      <c r="G71" s="21"/>
      <c r="H71" s="1084"/>
      <c r="I71" s="141" t="s">
        <v>880</v>
      </c>
      <c r="J71" s="140"/>
      <c r="K71" s="140"/>
      <c r="L71" s="1313" t="s">
        <v>881</v>
      </c>
      <c r="M71" s="548"/>
      <c r="N71" s="140"/>
      <c r="O71" s="598"/>
      <c r="P71" s="97"/>
      <c r="Q71" s="97"/>
      <c r="R71" s="97"/>
      <c r="S71" s="97"/>
      <c r="T71" s="97"/>
      <c r="U71" s="97"/>
      <c r="V71" s="97"/>
      <c r="W71" s="97"/>
      <c r="X71" s="97"/>
    </row>
    <row r="72" spans="1:51" x14ac:dyDescent="0.3">
      <c r="B72" s="938" t="s">
        <v>880</v>
      </c>
      <c r="C72" s="21"/>
      <c r="D72" s="21"/>
      <c r="E72" s="21"/>
      <c r="F72" s="21"/>
      <c r="G72" s="21"/>
      <c r="H72" s="1084"/>
      <c r="I72" s="141"/>
      <c r="J72" s="140"/>
      <c r="K72" s="140"/>
      <c r="L72" s="1313"/>
      <c r="M72" s="522"/>
      <c r="N72" s="4"/>
      <c r="O72" s="154"/>
    </row>
    <row r="73" spans="1:51" x14ac:dyDescent="0.3">
      <c r="B73" s="938" t="s">
        <v>880</v>
      </c>
      <c r="C73" s="21"/>
      <c r="D73" s="21"/>
      <c r="E73" s="21" t="s">
        <v>271</v>
      </c>
      <c r="F73" s="21"/>
      <c r="G73" s="21"/>
      <c r="H73" s="1084"/>
      <c r="I73" s="66"/>
      <c r="J73" s="203" t="s">
        <v>271</v>
      </c>
      <c r="K73" s="140"/>
      <c r="L73" s="446" t="s">
        <v>882</v>
      </c>
      <c r="M73" s="1360" t="s">
        <v>3841</v>
      </c>
      <c r="N73" s="140"/>
      <c r="O73" s="1308">
        <f ca="1">IFERROR(MATCH(W73,INDIRECT(U73),0),0)*S73</f>
        <v>2</v>
      </c>
      <c r="P73" s="97" t="b">
        <v>0</v>
      </c>
      <c r="Q73" s="789" t="b">
        <v>1</v>
      </c>
      <c r="R73" s="145" t="b">
        <v>0</v>
      </c>
      <c r="S73" s="145" t="b">
        <v>1</v>
      </c>
      <c r="T73" s="97" t="b">
        <f>IF(AND(NOT(S73),LEN(W73)&gt;0),TRUE,FALSE)</f>
        <v>0</v>
      </c>
      <c r="U73" s="97" t="str">
        <f>SUBSTITUTE(SUBSTITUTE(SUBSTITUTE("dd"&amp;B73&amp;C73&amp;D73&amp;E73&amp;F73,".","_"),"(","_"),")","")</f>
        <v>dd801_4_1_1</v>
      </c>
      <c r="W73" s="12" t="s">
        <v>3838</v>
      </c>
      <c r="X73" s="1303"/>
      <c r="AC73" s="441" t="b">
        <f>OR(AD73:AE73)</f>
        <v>0</v>
      </c>
      <c r="AD73" s="441" t="b">
        <f>T73</f>
        <v>0</v>
      </c>
      <c r="AE73" s="441" t="b">
        <f>AND(R73,OR(W73="Not Met",W73=""))</f>
        <v>0</v>
      </c>
      <c r="AL73" s="311" t="str">
        <f>SUBSTITUTE(SUBSTITUTE(SUBSTITUTE("dpa"&amp;$B73&amp;$C73&amp;$D73&amp;$E73&amp;$F73,".","_"),"(","_"),")","")</f>
        <v>dpa801_4_1_1</v>
      </c>
      <c r="AM73" s="311" t="str">
        <f>M73</f>
        <v>1
3 Max</v>
      </c>
      <c r="AN73" s="311" t="str">
        <f>SUBSTITUTE(SUBSTITUTE(SUBSTITUTE("dpc"&amp;$B73&amp;$C73&amp;$D73&amp;$E73&amp;$F73,".","_"),"(","_"),")","")</f>
        <v>dpc801_4_1_1</v>
      </c>
      <c r="AO73" s="311">
        <f ca="1">O73</f>
        <v>2</v>
      </c>
      <c r="AP73" s="311" t="str">
        <f>SUBSTITUTE(SUBSTITUTE(SUBSTITUTE("dch"&amp;$B73&amp;$C73&amp;$D73&amp;$E73&amp;$F73,".","_"),"(","_"),")","")</f>
        <v>dch801_4_1_1</v>
      </c>
      <c r="AQ73" s="311" t="str">
        <f>W73</f>
        <v>2 bathrooms</v>
      </c>
      <c r="AR73" s="311" t="str">
        <f>SUBSTITUTE(SUBSTITUTE(SUBSTITUTE("dnt"&amp;$B73&amp;$C73&amp;$D73&amp;$E73&amp;$F73,".","_"),"(","_"),")","")</f>
        <v>dnt801_4_1_1</v>
      </c>
      <c r="AS73" s="311">
        <f>X73</f>
        <v>0</v>
      </c>
    </row>
    <row r="74" spans="1:51" x14ac:dyDescent="0.3">
      <c r="B74" s="938" t="s">
        <v>880</v>
      </c>
      <c r="C74" s="21"/>
      <c r="D74" s="21"/>
      <c r="E74" s="21" t="s">
        <v>271</v>
      </c>
      <c r="F74" s="21"/>
      <c r="G74" s="21"/>
      <c r="H74" s="1084"/>
      <c r="I74" s="66"/>
      <c r="J74" s="140"/>
      <c r="K74" s="140"/>
      <c r="L74" s="1368" t="s">
        <v>883</v>
      </c>
      <c r="M74" s="1318"/>
      <c r="N74" s="140"/>
      <c r="O74" s="1308"/>
      <c r="X74" s="1303"/>
      <c r="AX74" s="175"/>
      <c r="AY74" s="175"/>
    </row>
    <row r="75" spans="1:51" x14ac:dyDescent="0.3">
      <c r="B75" s="938" t="s">
        <v>880</v>
      </c>
      <c r="C75" s="21"/>
      <c r="D75" s="21"/>
      <c r="E75" s="21" t="s">
        <v>271</v>
      </c>
      <c r="F75" s="21"/>
      <c r="G75" s="21"/>
      <c r="H75" s="1084"/>
      <c r="I75" s="66"/>
      <c r="J75" s="140"/>
      <c r="K75" s="140"/>
      <c r="L75" s="1368"/>
      <c r="M75" s="1318"/>
      <c r="N75" s="140"/>
      <c r="O75" s="1308"/>
      <c r="X75" s="1303"/>
    </row>
    <row r="76" spans="1:51" x14ac:dyDescent="0.3">
      <c r="B76" s="938" t="s">
        <v>880</v>
      </c>
      <c r="C76" s="21"/>
      <c r="D76" s="21"/>
      <c r="E76" s="21" t="s">
        <v>271</v>
      </c>
      <c r="F76" s="21"/>
      <c r="G76" s="21"/>
      <c r="H76" s="1084"/>
      <c r="I76" s="66"/>
      <c r="J76" s="238"/>
      <c r="K76" s="238"/>
      <c r="L76" s="1424"/>
      <c r="M76" s="1319"/>
      <c r="N76" s="238"/>
      <c r="O76" s="1309"/>
      <c r="X76" s="1303"/>
    </row>
    <row r="77" spans="1:51" x14ac:dyDescent="0.3">
      <c r="B77" s="938" t="s">
        <v>880</v>
      </c>
      <c r="C77" s="21"/>
      <c r="D77" s="21"/>
      <c r="E77" s="21" t="s">
        <v>273</v>
      </c>
      <c r="F77" s="21"/>
      <c r="G77" s="21"/>
      <c r="H77" s="1084"/>
      <c r="I77" s="244"/>
      <c r="J77" s="231" t="s">
        <v>273</v>
      </c>
      <c r="K77" s="238"/>
      <c r="L77" s="545" t="s">
        <v>884</v>
      </c>
      <c r="M77" s="572" t="s">
        <v>871</v>
      </c>
      <c r="N77" s="238"/>
      <c r="O77" s="599">
        <f>6*S77*W77</f>
        <v>6</v>
      </c>
      <c r="P77" s="97" t="b">
        <v>0</v>
      </c>
      <c r="Q77" s="789" t="b">
        <v>1</v>
      </c>
      <c r="R77" s="196" t="b">
        <v>0</v>
      </c>
      <c r="S77" s="196" t="b">
        <f>LEN(W73)&gt;0</f>
        <v>1</v>
      </c>
      <c r="T77" s="196" t="b">
        <f>IF(AND(NOT(S77),W77=TRUE),TRUE,FALSE)</f>
        <v>0</v>
      </c>
      <c r="U77" s="196"/>
      <c r="V77" s="196"/>
      <c r="W77" s="452" t="b">
        <v>1</v>
      </c>
      <c r="X77" s="537"/>
      <c r="AC77" s="441" t="b">
        <f>OR(AD77:AE77)</f>
        <v>0</v>
      </c>
      <c r="AD77" s="441" t="b">
        <f>T77</f>
        <v>0</v>
      </c>
      <c r="AE77" s="441" t="b">
        <v>0</v>
      </c>
      <c r="AL77" s="311" t="str">
        <f t="shared" ref="AL77:AL78" si="4">SUBSTITUTE(SUBSTITUTE(SUBSTITUTE("dpa"&amp;$B77&amp;$C77&amp;$D77&amp;$E77&amp;$F77,".","_"),"(","_"),")","")</f>
        <v>dpa801_4_1_2</v>
      </c>
      <c r="AM77" s="311" t="str">
        <f>M77</f>
        <v xml:space="preserve">6 Additional </v>
      </c>
      <c r="AN77" s="311" t="str">
        <f t="shared" ref="AN77:AN78" si="5">SUBSTITUTE(SUBSTITUTE(SUBSTITUTE("dpc"&amp;$B77&amp;$C77&amp;$D77&amp;$E77&amp;$F77,".","_"),"(","_"),")","")</f>
        <v>dpc801_4_1_2</v>
      </c>
      <c r="AO77" s="311">
        <f>O77</f>
        <v>6</v>
      </c>
      <c r="AP77" s="311" t="str">
        <f t="shared" ref="AP77:AP78" si="6">SUBSTITUTE(SUBSTITUTE(SUBSTITUTE("dch"&amp;$B77&amp;$C77&amp;$D77&amp;$E77&amp;$F77,".","_"),"(","_"),")","")</f>
        <v>dch801_4_1_2</v>
      </c>
      <c r="AQ77" s="311" t="b">
        <f>W77</f>
        <v>1</v>
      </c>
      <c r="AR77" s="311" t="str">
        <f>SUBSTITUTE(SUBSTITUTE(SUBSTITUTE("dnt"&amp;$B77&amp;$C77&amp;$D77&amp;$E77&amp;$F77,".","_"),"(","_"),")","")</f>
        <v>dnt801_4_1_2</v>
      </c>
      <c r="AS77" s="311">
        <f>X77</f>
        <v>0</v>
      </c>
      <c r="AX77" s="97"/>
      <c r="AY77" s="97"/>
    </row>
    <row r="78" spans="1:51" s="175" customFormat="1" x14ac:dyDescent="0.3">
      <c r="A78" s="18"/>
      <c r="B78" s="938" t="s">
        <v>885</v>
      </c>
      <c r="C78" s="21"/>
      <c r="D78" s="21"/>
      <c r="E78" s="21"/>
      <c r="F78" s="21"/>
      <c r="G78" s="21"/>
      <c r="H78" s="1084"/>
      <c r="I78" s="141" t="s">
        <v>885</v>
      </c>
      <c r="J78" s="140"/>
      <c r="K78" s="140"/>
      <c r="L78" s="1313" t="s">
        <v>886</v>
      </c>
      <c r="M78" s="1360" t="s">
        <v>3841</v>
      </c>
      <c r="N78" s="140"/>
      <c r="O78" s="1308">
        <f ca="1">IFERROR(MATCH(W78,INDIRECT(U78),0),0)*S78</f>
        <v>0</v>
      </c>
      <c r="P78" s="97" t="b">
        <v>0</v>
      </c>
      <c r="Q78" s="789" t="b">
        <v>1</v>
      </c>
      <c r="R78" s="97" t="b">
        <v>0</v>
      </c>
      <c r="S78" s="97" t="b">
        <v>1</v>
      </c>
      <c r="T78" s="97" t="b">
        <v>0</v>
      </c>
      <c r="U78" s="97" t="str">
        <f>SUBSTITUTE(SUBSTITUTE(SUBSTITUTE("dd"&amp;B78&amp;C78&amp;D78&amp;E78&amp;F78,".","_"),"(","_"),")","")</f>
        <v>dd801_4_2</v>
      </c>
      <c r="V78" s="97"/>
      <c r="W78" s="316"/>
      <c r="X78" s="1304"/>
      <c r="Y78" s="1107"/>
      <c r="Z78" s="79"/>
      <c r="AA78" s="1110"/>
      <c r="AB78" s="79"/>
      <c r="AC78" s="441" t="b">
        <f>OR(AD78:AE78)</f>
        <v>0</v>
      </c>
      <c r="AD78" s="441" t="b">
        <f>T78</f>
        <v>0</v>
      </c>
      <c r="AE78" s="441" t="b">
        <f>AND(R78,OR(W78="Not Met",W78=""))</f>
        <v>0</v>
      </c>
      <c r="AF78" s="79"/>
      <c r="AG78" s="79"/>
      <c r="AH78" s="79"/>
      <c r="AI78" s="79"/>
      <c r="AJ78" s="79"/>
      <c r="AK78" s="79"/>
      <c r="AL78" s="311" t="str">
        <f t="shared" si="4"/>
        <v>dpa801_4_2</v>
      </c>
      <c r="AM78" s="311" t="str">
        <f>M78</f>
        <v>1
3 Max</v>
      </c>
      <c r="AN78" s="311" t="str">
        <f t="shared" si="5"/>
        <v>dpc801_4_2</v>
      </c>
      <c r="AO78" s="311">
        <f ca="1">O78</f>
        <v>0</v>
      </c>
      <c r="AP78" s="311" t="str">
        <f t="shared" si="6"/>
        <v>dch801_4_2</v>
      </c>
      <c r="AQ78" s="311">
        <f>W78</f>
        <v>0</v>
      </c>
      <c r="AR78" s="311" t="str">
        <f>SUBSTITUTE(SUBSTITUTE(SUBSTITUTE("dnt"&amp;$B78&amp;$C78&amp;$D78&amp;$E78&amp;$F78,".","_"),"(","_"),")","")</f>
        <v>dnt801_4_2</v>
      </c>
      <c r="AS78" s="311">
        <f>X78</f>
        <v>0</v>
      </c>
      <c r="AT78" s="79"/>
      <c r="AU78" s="79"/>
      <c r="AX78" s="79"/>
      <c r="AY78" s="79"/>
    </row>
    <row r="79" spans="1:51" x14ac:dyDescent="0.3">
      <c r="B79" s="938" t="s">
        <v>885</v>
      </c>
      <c r="C79" s="21"/>
      <c r="D79" s="21"/>
      <c r="E79" s="21"/>
      <c r="F79" s="21"/>
      <c r="G79" s="21"/>
      <c r="H79" s="1084"/>
      <c r="I79" s="141"/>
      <c r="J79" s="140"/>
      <c r="K79" s="140"/>
      <c r="L79" s="1313"/>
      <c r="M79" s="1360"/>
      <c r="N79" s="140"/>
      <c r="O79" s="1308"/>
      <c r="P79" s="97"/>
      <c r="Q79" s="97"/>
      <c r="R79" s="97"/>
      <c r="S79" s="97"/>
      <c r="T79" s="97"/>
      <c r="U79" s="97"/>
      <c r="V79" s="97"/>
      <c r="W79" s="97"/>
      <c r="X79" s="1295"/>
    </row>
    <row r="80" spans="1:51" ht="15" thickBot="1" x14ac:dyDescent="0.35">
      <c r="B80" s="938" t="s">
        <v>885</v>
      </c>
      <c r="C80" s="21"/>
      <c r="D80" s="21"/>
      <c r="E80" s="21"/>
      <c r="F80" s="21"/>
      <c r="G80" s="21"/>
      <c r="H80" s="1084"/>
      <c r="I80" s="212"/>
      <c r="J80" s="270"/>
      <c r="K80" s="270"/>
      <c r="L80" s="454" t="s">
        <v>887</v>
      </c>
      <c r="M80" s="1421"/>
      <c r="N80" s="270"/>
      <c r="O80" s="1315"/>
      <c r="P80" s="104"/>
      <c r="Q80" s="104"/>
      <c r="R80" s="104"/>
      <c r="S80" s="104"/>
      <c r="T80" s="104"/>
      <c r="U80" s="104"/>
      <c r="V80" s="104"/>
      <c r="W80" s="104"/>
      <c r="X80" s="1296"/>
      <c r="AR80" s="175"/>
      <c r="AS80" s="175"/>
      <c r="AT80" s="175"/>
      <c r="AU80" s="175"/>
    </row>
    <row r="81" spans="1:51" s="97" customFormat="1" ht="15" thickTop="1" x14ac:dyDescent="0.3">
      <c r="A81" s="18"/>
      <c r="B81" s="938">
        <v>801.5</v>
      </c>
      <c r="C81" s="21"/>
      <c r="D81" s="21"/>
      <c r="E81" s="21"/>
      <c r="F81" s="21"/>
      <c r="G81" s="21"/>
      <c r="H81" s="1084"/>
      <c r="I81" s="66">
        <v>801.5</v>
      </c>
      <c r="J81" s="4"/>
      <c r="K81" s="4"/>
      <c r="L81" s="1389" t="s">
        <v>888</v>
      </c>
      <c r="M81" s="522"/>
      <c r="N81" s="4"/>
      <c r="O81" s="154"/>
      <c r="P81" s="79"/>
      <c r="Q81" s="79"/>
      <c r="R81" s="79"/>
      <c r="S81" s="79"/>
      <c r="T81" s="79"/>
      <c r="U81" s="79"/>
      <c r="V81" s="79"/>
      <c r="W81" s="79"/>
      <c r="X81" s="79"/>
      <c r="Y81" s="1107"/>
      <c r="Z81" s="79"/>
      <c r="AA81" s="1110"/>
      <c r="AB81" s="79"/>
      <c r="AC81" s="79"/>
      <c r="AD81" s="79"/>
      <c r="AE81" s="79"/>
      <c r="AF81" s="79"/>
      <c r="AG81" s="79"/>
      <c r="AH81" s="79"/>
      <c r="AI81" s="79"/>
      <c r="AJ81" s="79"/>
      <c r="AK81" s="79"/>
      <c r="AL81" s="79"/>
      <c r="AM81" s="79"/>
      <c r="AN81" s="79"/>
      <c r="AO81" s="79"/>
      <c r="AP81" s="79"/>
      <c r="AQ81" s="79"/>
      <c r="AR81" s="79"/>
      <c r="AS81" s="79"/>
      <c r="AT81" s="79"/>
      <c r="AU81" s="79"/>
      <c r="AX81" s="79"/>
      <c r="AY81" s="79"/>
    </row>
    <row r="82" spans="1:51" x14ac:dyDescent="0.3">
      <c r="B82" s="938">
        <v>801.5</v>
      </c>
      <c r="C82" s="21"/>
      <c r="D82" s="21"/>
      <c r="E82" s="21"/>
      <c r="F82" s="21"/>
      <c r="G82" s="21"/>
      <c r="H82" s="1084"/>
      <c r="I82" s="66"/>
      <c r="J82" s="4"/>
      <c r="K82" s="4"/>
      <c r="L82" s="1389"/>
      <c r="M82" s="522"/>
      <c r="N82" s="4"/>
      <c r="O82" s="154"/>
      <c r="P82" s="175"/>
      <c r="Q82" s="175"/>
      <c r="R82" s="175"/>
      <c r="S82" s="175"/>
      <c r="T82" s="175"/>
      <c r="U82" s="175"/>
      <c r="V82" s="175"/>
      <c r="W82" s="175"/>
      <c r="X82" s="175"/>
      <c r="Z82" s="175"/>
      <c r="AB82" s="175"/>
      <c r="AC82" s="175"/>
      <c r="AD82" s="175"/>
      <c r="AE82" s="175"/>
      <c r="AF82" s="175"/>
      <c r="AG82" s="175"/>
      <c r="AH82" s="175"/>
      <c r="AI82" s="175"/>
      <c r="AJ82" s="175"/>
      <c r="AK82" s="175"/>
      <c r="AL82" s="175"/>
      <c r="AM82" s="175"/>
      <c r="AN82" s="175"/>
      <c r="AO82" s="175"/>
      <c r="AP82" s="175"/>
      <c r="AQ82" s="175"/>
    </row>
    <row r="83" spans="1:51" x14ac:dyDescent="0.3">
      <c r="B83" s="938">
        <v>801.5</v>
      </c>
      <c r="C83" s="21"/>
      <c r="D83" s="21"/>
      <c r="E83" s="21" t="s">
        <v>271</v>
      </c>
      <c r="F83" s="21"/>
      <c r="G83" s="21"/>
      <c r="H83" s="1084"/>
      <c r="I83" s="66"/>
      <c r="J83" s="203" t="s">
        <v>271</v>
      </c>
      <c r="K83" s="140"/>
      <c r="L83" s="1293" t="s">
        <v>889</v>
      </c>
      <c r="M83" s="1425" t="str">
        <f ca="1">IF(O91&gt;0,"Met","Gold/Emerald not available")</f>
        <v>Met</v>
      </c>
      <c r="N83" s="140"/>
      <c r="O83" s="269"/>
      <c r="R83" s="145"/>
      <c r="S83" s="145"/>
      <c r="T83" s="145"/>
      <c r="X83" s="1303"/>
      <c r="AR83" s="311" t="str">
        <f>SUBSTITUTE(SUBSTITUTE(SUBSTITUTE("dnt"&amp;$B83&amp;$C83&amp;$D83&amp;$E83&amp;$F83,".","_"),"(","_"),")","")</f>
        <v>dnt801_5_1</v>
      </c>
      <c r="AS83" s="311">
        <f>X83</f>
        <v>0</v>
      </c>
    </row>
    <row r="84" spans="1:51" x14ac:dyDescent="0.3">
      <c r="A84" s="1064"/>
      <c r="B84" s="938">
        <v>801.5</v>
      </c>
      <c r="C84" s="1065"/>
      <c r="D84" s="1065"/>
      <c r="E84" s="1065"/>
      <c r="F84" s="1065"/>
      <c r="G84" s="1065"/>
      <c r="H84" s="1088"/>
      <c r="I84" s="141"/>
      <c r="J84" s="231"/>
      <c r="K84" s="238"/>
      <c r="L84" s="1294"/>
      <c r="M84" s="1426"/>
      <c r="N84" s="238"/>
      <c r="O84" s="597"/>
      <c r="P84" s="97"/>
      <c r="Q84" s="97"/>
      <c r="R84" s="97"/>
      <c r="S84" s="97"/>
      <c r="T84" s="97"/>
      <c r="U84" s="97"/>
      <c r="V84" s="97"/>
      <c r="W84" s="97"/>
      <c r="X84" s="1303"/>
      <c r="Y84" s="97"/>
      <c r="Z84" s="97"/>
      <c r="AA84" s="97"/>
      <c r="AB84" s="97"/>
      <c r="AC84" s="97"/>
      <c r="AD84" s="97"/>
      <c r="AE84" s="97"/>
      <c r="AF84" s="97"/>
      <c r="AG84" s="97"/>
      <c r="AH84" s="97"/>
      <c r="AI84" s="97"/>
      <c r="AJ84" s="97"/>
      <c r="AK84" s="97"/>
      <c r="AL84" s="97"/>
      <c r="AM84" s="97"/>
      <c r="AN84" s="97"/>
      <c r="AO84" s="97"/>
      <c r="AP84" s="97"/>
      <c r="AQ84" s="97"/>
    </row>
    <row r="85" spans="1:51" x14ac:dyDescent="0.3">
      <c r="B85" s="938">
        <v>801.5</v>
      </c>
      <c r="C85" s="21"/>
      <c r="D85" s="21"/>
      <c r="E85" s="21" t="s">
        <v>273</v>
      </c>
      <c r="F85" s="21"/>
      <c r="G85" s="21"/>
      <c r="H85" s="1084"/>
      <c r="I85" s="66"/>
      <c r="J85" s="27" t="s">
        <v>273</v>
      </c>
      <c r="K85" s="4"/>
      <c r="L85" s="1329" t="s">
        <v>890</v>
      </c>
      <c r="M85" s="1387" t="s">
        <v>3845</v>
      </c>
      <c r="N85" s="4"/>
      <c r="O85" s="1310">
        <f ca="1">IFERROR(2*MATCH(W85,INDIRECT(U85),0),0)*S85</f>
        <v>4</v>
      </c>
      <c r="P85" s="97" t="b">
        <v>0</v>
      </c>
      <c r="Q85" s="789" t="b">
        <v>1</v>
      </c>
      <c r="R85" s="145" t="b">
        <v>0</v>
      </c>
      <c r="S85" s="145" t="b">
        <v>1</v>
      </c>
      <c r="T85" s="97" t="b">
        <f>IF(AND(NOT(S85),LEN(W85)&gt;0),TRUE,FALSE)</f>
        <v>0</v>
      </c>
      <c r="U85" s="97" t="str">
        <f>SUBSTITUTE(SUBSTITUTE(SUBSTITUTE("dd"&amp;B85&amp;C85&amp;D85&amp;E85&amp;F85,".","_"),"(","_"),")","")</f>
        <v>dd801_5_2</v>
      </c>
      <c r="W85" s="12" t="s">
        <v>3843</v>
      </c>
      <c r="X85" s="1303"/>
      <c r="AC85" s="441" t="b">
        <f>OR(AD85:AE85)</f>
        <v>0</v>
      </c>
      <c r="AD85" s="441" t="b">
        <f>T85</f>
        <v>0</v>
      </c>
      <c r="AE85" s="441" t="b">
        <f>AND(R85,OR(W85="Not Met",W85=""))</f>
        <v>0</v>
      </c>
      <c r="AL85" s="311" t="str">
        <f>SUBSTITUTE(SUBSTITUTE(SUBSTITUTE("dpa"&amp;$B85&amp;$C85&amp;$D85&amp;$E85&amp;$F85,".","_"),"(","_"),")","")</f>
        <v>dpa801_5_2</v>
      </c>
      <c r="AM85" s="311" t="str">
        <f>M85</f>
        <v>2 
6 Max</v>
      </c>
      <c r="AN85" s="311" t="str">
        <f>SUBSTITUTE(SUBSTITUTE(SUBSTITUTE("dpc"&amp;$B85&amp;$C85&amp;$D85&amp;$E85&amp;$F85,".","_"),"(","_"),")","")</f>
        <v>dpc801_5_2</v>
      </c>
      <c r="AO85" s="311">
        <f ca="1">O85</f>
        <v>4</v>
      </c>
      <c r="AP85" s="311" t="str">
        <f>SUBSTITUTE(SUBSTITUTE(SUBSTITUTE("dch"&amp;$B85&amp;$C85&amp;$D85&amp;$E85&amp;$F85,".","_"),"(","_"),")","")</f>
        <v>dch801_5_2</v>
      </c>
      <c r="AQ85" s="311" t="str">
        <f>W85</f>
        <v>2 fixtures</v>
      </c>
      <c r="AR85" s="311" t="str">
        <f>SUBSTITUTE(SUBSTITUTE(SUBSTITUTE("dnt"&amp;$B85&amp;$C85&amp;$D85&amp;$E85&amp;$F85,".","_"),"(","_"),")","")</f>
        <v>dnt801_5_2</v>
      </c>
      <c r="AS85" s="311">
        <f>X85</f>
        <v>0</v>
      </c>
    </row>
    <row r="86" spans="1:51" x14ac:dyDescent="0.3">
      <c r="B86" s="938">
        <v>801.5</v>
      </c>
      <c r="C86" s="21"/>
      <c r="D86" s="21"/>
      <c r="E86" s="21" t="s">
        <v>273</v>
      </c>
      <c r="F86" s="21"/>
      <c r="G86" s="21"/>
      <c r="H86" s="1084"/>
      <c r="I86" s="66"/>
      <c r="J86" s="4"/>
      <c r="K86" s="4"/>
      <c r="L86" s="1329"/>
      <c r="M86" s="1387"/>
      <c r="N86" s="4"/>
      <c r="O86" s="1310"/>
      <c r="X86" s="1303"/>
    </row>
    <row r="87" spans="1:51" x14ac:dyDescent="0.3">
      <c r="B87" s="938">
        <v>801.5</v>
      </c>
      <c r="C87" s="21"/>
      <c r="D87" s="21"/>
      <c r="E87" s="21" t="s">
        <v>273</v>
      </c>
      <c r="F87" s="21"/>
      <c r="G87" s="21"/>
      <c r="H87" s="1084"/>
      <c r="I87" s="66"/>
      <c r="J87" s="4"/>
      <c r="K87" s="4"/>
      <c r="L87" s="1329"/>
      <c r="M87" s="1387"/>
      <c r="N87" s="4"/>
      <c r="O87" s="1310"/>
      <c r="X87" s="1303"/>
    </row>
    <row r="88" spans="1:51" x14ac:dyDescent="0.3">
      <c r="B88" s="938">
        <v>801.5</v>
      </c>
      <c r="C88" s="21"/>
      <c r="D88" s="21"/>
      <c r="E88" s="21" t="s">
        <v>273</v>
      </c>
      <c r="F88" s="21"/>
      <c r="G88" s="21"/>
      <c r="H88" s="1084"/>
      <c r="I88" s="66"/>
      <c r="J88" s="140"/>
      <c r="K88" s="140"/>
      <c r="L88" s="1368" t="s">
        <v>891</v>
      </c>
      <c r="M88" s="522"/>
      <c r="N88" s="4"/>
      <c r="O88" s="154"/>
      <c r="X88" s="1303"/>
    </row>
    <row r="89" spans="1:51" x14ac:dyDescent="0.3">
      <c r="B89" s="938">
        <v>801.5</v>
      </c>
      <c r="C89" s="21"/>
      <c r="D89" s="21"/>
      <c r="E89" s="21" t="s">
        <v>273</v>
      </c>
      <c r="F89" s="21"/>
      <c r="G89" s="21"/>
      <c r="H89" s="1084"/>
      <c r="I89" s="66"/>
      <c r="J89" s="140"/>
      <c r="K89" s="140"/>
      <c r="L89" s="1368"/>
      <c r="M89" s="522"/>
      <c r="N89" s="4"/>
      <c r="O89" s="154"/>
      <c r="X89" s="1303"/>
    </row>
    <row r="90" spans="1:51" x14ac:dyDescent="0.3">
      <c r="B90" s="938">
        <v>801.5</v>
      </c>
      <c r="C90" s="21"/>
      <c r="D90" s="21"/>
      <c r="E90" s="21" t="s">
        <v>273</v>
      </c>
      <c r="F90" s="21"/>
      <c r="G90" s="21"/>
      <c r="H90" s="1084"/>
      <c r="I90" s="66"/>
      <c r="J90" s="238"/>
      <c r="K90" s="238"/>
      <c r="L90" s="1424"/>
      <c r="M90" s="520"/>
      <c r="N90" s="4"/>
      <c r="O90" s="597"/>
      <c r="X90" s="1303"/>
    </row>
    <row r="91" spans="1:51" x14ac:dyDescent="0.3">
      <c r="B91" s="938">
        <v>801.5</v>
      </c>
      <c r="C91" s="21"/>
      <c r="D91" s="21"/>
      <c r="E91" s="21" t="s">
        <v>275</v>
      </c>
      <c r="F91" s="21"/>
      <c r="G91" s="21"/>
      <c r="H91" s="1084"/>
      <c r="I91" s="66"/>
      <c r="J91" s="231" t="s">
        <v>275</v>
      </c>
      <c r="K91" s="238"/>
      <c r="L91" s="447" t="s">
        <v>892</v>
      </c>
      <c r="M91" s="461">
        <f ca="1">11-O85</f>
        <v>7</v>
      </c>
      <c r="N91" s="238"/>
      <c r="O91" s="597">
        <f ca="1">M91*W91*S91</f>
        <v>7</v>
      </c>
      <c r="P91" s="97" t="b">
        <v>0</v>
      </c>
      <c r="Q91" s="789" t="b">
        <v>1</v>
      </c>
      <c r="R91" s="145" t="b">
        <v>0</v>
      </c>
      <c r="S91" s="145" t="b">
        <f>LEN(W85)&gt;0</f>
        <v>1</v>
      </c>
      <c r="T91" s="97" t="b">
        <f>IF(AND(NOT(S91),W91=TRUE),TRUE,FALSE)</f>
        <v>0</v>
      </c>
      <c r="W91" s="25" t="b">
        <v>1</v>
      </c>
      <c r="X91" s="442"/>
      <c r="AC91" s="441" t="b">
        <f>OR(AD91:AE91)</f>
        <v>0</v>
      </c>
      <c r="AD91" s="441" t="b">
        <f>T91</f>
        <v>0</v>
      </c>
      <c r="AE91" s="441" t="b">
        <v>0</v>
      </c>
      <c r="AL91" s="311" t="str">
        <f>SUBSTITUTE(SUBSTITUTE(SUBSTITUTE("dpa"&amp;$B91&amp;$C91&amp;$D91&amp;$E91&amp;$F91,".","_"),"(","_"),")","")</f>
        <v>dpa801_5_3</v>
      </c>
      <c r="AM91" s="311">
        <f ca="1">M91</f>
        <v>7</v>
      </c>
      <c r="AN91" s="311" t="str">
        <f>SUBSTITUTE(SUBSTITUTE(SUBSTITUTE("dpc"&amp;$B91&amp;$C91&amp;$D91&amp;$E91&amp;$F91,".","_"),"(","_"),")","")</f>
        <v>dpc801_5_3</v>
      </c>
      <c r="AO91" s="311">
        <f ca="1">O91</f>
        <v>7</v>
      </c>
      <c r="AP91" s="311" t="str">
        <f>SUBSTITUTE(SUBSTITUTE(SUBSTITUTE("dch"&amp;$B91&amp;$C91&amp;$D91&amp;$E91&amp;$F91,".","_"),"(","_"),")","")</f>
        <v>dch801_5_3</v>
      </c>
      <c r="AQ91" s="311" t="b">
        <f>W91</f>
        <v>1</v>
      </c>
      <c r="AR91" s="311" t="str">
        <f>SUBSTITUTE(SUBSTITUTE(SUBSTITUTE("dnt"&amp;$B91&amp;$C91&amp;$D91&amp;$E91&amp;$F91,".","_"),"(","_"),")","")</f>
        <v>dnt801_5_3</v>
      </c>
      <c r="AS91" s="311">
        <f>X91</f>
        <v>0</v>
      </c>
    </row>
    <row r="92" spans="1:51" x14ac:dyDescent="0.3">
      <c r="B92" s="938">
        <v>801.5</v>
      </c>
      <c r="C92" s="21"/>
      <c r="D92" s="21"/>
      <c r="E92" s="21" t="s">
        <v>285</v>
      </c>
      <c r="F92" s="21"/>
      <c r="G92" s="21"/>
      <c r="H92" s="1084"/>
      <c r="I92" s="66"/>
      <c r="J92" s="27" t="s">
        <v>285</v>
      </c>
      <c r="K92" s="4"/>
      <c r="L92" s="1329" t="s">
        <v>893</v>
      </c>
      <c r="M92" s="522"/>
      <c r="N92" s="4"/>
      <c r="O92" s="154"/>
      <c r="R92" s="145"/>
      <c r="S92" s="145"/>
      <c r="T92" s="145"/>
    </row>
    <row r="93" spans="1:51" x14ac:dyDescent="0.3">
      <c r="B93" s="938">
        <v>801.5</v>
      </c>
      <c r="C93" s="21"/>
      <c r="D93" s="21"/>
      <c r="E93" s="21" t="s">
        <v>285</v>
      </c>
      <c r="F93" s="21"/>
      <c r="G93" s="21"/>
      <c r="H93" s="1084"/>
      <c r="I93" s="66"/>
      <c r="J93" s="4"/>
      <c r="K93" s="4"/>
      <c r="L93" s="1329"/>
      <c r="M93" s="522"/>
      <c r="N93" s="4"/>
      <c r="O93" s="154"/>
    </row>
    <row r="94" spans="1:51" x14ac:dyDescent="0.3">
      <c r="B94" s="938">
        <v>801.5</v>
      </c>
      <c r="C94" s="21"/>
      <c r="D94" s="21"/>
      <c r="E94" s="21" t="s">
        <v>285</v>
      </c>
      <c r="F94" s="21" t="s">
        <v>121</v>
      </c>
      <c r="G94" s="21"/>
      <c r="H94" s="1084"/>
      <c r="I94" s="4"/>
      <c r="J94" s="4"/>
      <c r="K94" s="203" t="s">
        <v>121</v>
      </c>
      <c r="L94" s="446" t="s">
        <v>894</v>
      </c>
      <c r="M94" s="1372" t="s">
        <v>3846</v>
      </c>
      <c r="N94" s="140"/>
      <c r="O94" s="1308">
        <f ca="1">IFERROR(MATCH(W94,INDIRECT(U94),0),0)*S94</f>
        <v>0</v>
      </c>
      <c r="P94" s="97" t="b">
        <v>0</v>
      </c>
      <c r="Q94" s="789" t="b">
        <v>1</v>
      </c>
      <c r="R94" s="145" t="b">
        <v>0</v>
      </c>
      <c r="S94" s="145" t="b">
        <f>AND(W91=TRUE,S91)</f>
        <v>1</v>
      </c>
      <c r="T94" s="97" t="b">
        <f>IF(AND(NOT(S94),LEN(W94)&gt;0),TRUE,FALSE)</f>
        <v>0</v>
      </c>
      <c r="U94" s="97" t="str">
        <f>SUBSTITUTE(SUBSTITUTE(SUBSTITUTE("dd"&amp;B94&amp;C94&amp;D94&amp;E94&amp;F94,".","_"),"(","_"),")","")</f>
        <v>dd801_5_4_a</v>
      </c>
      <c r="W94" s="12"/>
      <c r="X94" s="1303"/>
      <c r="AC94" s="441" t="b">
        <f>OR(AD94:AE94)</f>
        <v>0</v>
      </c>
      <c r="AD94" s="441" t="b">
        <f>T94</f>
        <v>0</v>
      </c>
      <c r="AE94" s="441" t="b">
        <f>AND(R94,OR(W94="Not Met",W94=""))</f>
        <v>0</v>
      </c>
      <c r="AL94" s="311" t="str">
        <f>SUBSTITUTE(SUBSTITUTE(SUBSTITUTE("dpa"&amp;$B94&amp;$C94&amp;$D94&amp;$E94&amp;$F94,".","_"),"(","_"),")","")</f>
        <v>dpa801_5_4_a</v>
      </c>
      <c r="AM94" s="311" t="str">
        <f>M94</f>
        <v>1 Additional
3 Max</v>
      </c>
      <c r="AN94" s="311" t="str">
        <f>SUBSTITUTE(SUBSTITUTE(SUBSTITUTE("dpc"&amp;$B94&amp;$C94&amp;$D94&amp;$E94&amp;$F94,".","_"),"(","_"),")","")</f>
        <v>dpc801_5_4_a</v>
      </c>
      <c r="AO94" s="311">
        <f ca="1">O94</f>
        <v>0</v>
      </c>
      <c r="AP94" s="311" t="str">
        <f>SUBSTITUTE(SUBSTITUTE(SUBSTITUTE("dch"&amp;$B94&amp;$C94&amp;$D94&amp;$E94&amp;$F94,".","_"),"(","_"),")","")</f>
        <v>dch801_5_4_a</v>
      </c>
      <c r="AQ94" s="311">
        <f>W94</f>
        <v>0</v>
      </c>
      <c r="AR94" s="311" t="str">
        <f>SUBSTITUTE(SUBSTITUTE(SUBSTITUTE("dnt"&amp;$B94&amp;$C94&amp;$D94&amp;$E94&amp;$F94,".","_"),"(","_"),")","")</f>
        <v>dnt801_5_4_a</v>
      </c>
      <c r="AS94" s="311">
        <f>X94</f>
        <v>0</v>
      </c>
    </row>
    <row r="95" spans="1:51" x14ac:dyDescent="0.3">
      <c r="B95" s="938">
        <v>801.5</v>
      </c>
      <c r="C95" s="21"/>
      <c r="D95" s="21"/>
      <c r="E95" s="21" t="s">
        <v>285</v>
      </c>
      <c r="F95" s="21" t="s">
        <v>121</v>
      </c>
      <c r="G95" s="21"/>
      <c r="H95" s="1084"/>
      <c r="I95" s="4"/>
      <c r="J95" s="4"/>
      <c r="K95" s="140"/>
      <c r="L95" s="1368" t="s">
        <v>896</v>
      </c>
      <c r="M95" s="1422"/>
      <c r="N95" s="140"/>
      <c r="O95" s="1308"/>
      <c r="X95" s="1303"/>
    </row>
    <row r="96" spans="1:51" x14ac:dyDescent="0.3">
      <c r="B96" s="938">
        <v>801.5</v>
      </c>
      <c r="C96" s="21"/>
      <c r="D96" s="21"/>
      <c r="E96" s="21" t="s">
        <v>285</v>
      </c>
      <c r="F96" s="21" t="s">
        <v>121</v>
      </c>
      <c r="G96" s="21"/>
      <c r="H96" s="1084"/>
      <c r="I96" s="4"/>
      <c r="J96" s="4"/>
      <c r="K96" s="140"/>
      <c r="L96" s="1368"/>
      <c r="M96" s="1422"/>
      <c r="N96" s="140"/>
      <c r="O96" s="1308"/>
      <c r="X96" s="1303"/>
    </row>
    <row r="97" spans="1:51" x14ac:dyDescent="0.3">
      <c r="B97" s="938">
        <v>801.5</v>
      </c>
      <c r="C97" s="21"/>
      <c r="D97" s="21"/>
      <c r="E97" s="21" t="s">
        <v>285</v>
      </c>
      <c r="F97" s="21" t="s">
        <v>121</v>
      </c>
      <c r="G97" s="21"/>
      <c r="H97" s="1084"/>
      <c r="I97" s="4"/>
      <c r="J97" s="4"/>
      <c r="K97" s="238"/>
      <c r="L97" s="1424"/>
      <c r="M97" s="1423"/>
      <c r="N97" s="238"/>
      <c r="O97" s="1309"/>
      <c r="X97" s="1303"/>
    </row>
    <row r="98" spans="1:51" x14ac:dyDescent="0.3">
      <c r="B98" s="938">
        <v>801.5</v>
      </c>
      <c r="C98" s="21"/>
      <c r="D98" s="21"/>
      <c r="E98" s="21" t="s">
        <v>285</v>
      </c>
      <c r="F98" s="21" t="s">
        <v>122</v>
      </c>
      <c r="G98" s="21"/>
      <c r="H98" s="1084"/>
      <c r="I98" s="4"/>
      <c r="J98" s="4"/>
      <c r="K98" s="203" t="s">
        <v>122</v>
      </c>
      <c r="L98" s="1305" t="s">
        <v>897</v>
      </c>
      <c r="M98" s="1318" t="s">
        <v>895</v>
      </c>
      <c r="N98" s="140"/>
      <c r="O98" s="1308">
        <f>1*W98*S98</f>
        <v>0</v>
      </c>
      <c r="P98" s="97" t="b">
        <v>0</v>
      </c>
      <c r="Q98" s="789" t="b">
        <v>1</v>
      </c>
      <c r="R98" s="145" t="b">
        <v>0</v>
      </c>
      <c r="S98" s="441" t="b">
        <f>AND(W91=TRUE,S91)</f>
        <v>1</v>
      </c>
      <c r="T98" s="97" t="b">
        <f>IF(AND(NOT(S98),W98=TRUE),TRUE,FALSE)</f>
        <v>0</v>
      </c>
      <c r="W98" s="25"/>
      <c r="X98" s="1303"/>
      <c r="AC98" s="441" t="b">
        <f>OR(AD98:AE98)</f>
        <v>0</v>
      </c>
      <c r="AD98" s="441" t="b">
        <f>T98</f>
        <v>0</v>
      </c>
      <c r="AE98" s="441" t="b">
        <v>0</v>
      </c>
      <c r="AL98" s="311" t="str">
        <f>SUBSTITUTE(SUBSTITUTE(SUBSTITUTE("dpa"&amp;$B98&amp;$C98&amp;$D98&amp;$E98&amp;$F98,".","_"),"(","_"),")","")</f>
        <v>dpa801_5_4_b</v>
      </c>
      <c r="AM98" s="311" t="str">
        <f>M98</f>
        <v>1 Additional</v>
      </c>
      <c r="AN98" s="311" t="str">
        <f>SUBSTITUTE(SUBSTITUTE(SUBSTITUTE("dpc"&amp;$B98&amp;$C98&amp;$D98&amp;$E98&amp;$F98,".","_"),"(","_"),")","")</f>
        <v>dpc801_5_4_b</v>
      </c>
      <c r="AO98" s="311">
        <f>O98</f>
        <v>0</v>
      </c>
      <c r="AP98" s="311" t="str">
        <f>SUBSTITUTE(SUBSTITUTE(SUBSTITUTE("dch"&amp;$B98&amp;$C98&amp;$D98&amp;$E98&amp;$F98,".","_"),"(","_"),")","")</f>
        <v>dch801_5_4_b</v>
      </c>
      <c r="AQ98" s="311">
        <f>W98</f>
        <v>0</v>
      </c>
      <c r="AR98" s="311" t="str">
        <f>SUBSTITUTE(SUBSTITUTE(SUBSTITUTE("dnt"&amp;$B98&amp;$C98&amp;$D98&amp;$E98&amp;$F98,".","_"),"(","_"),")","")</f>
        <v>dnt801_5_4_b</v>
      </c>
      <c r="AS98" s="311">
        <f>X98</f>
        <v>0</v>
      </c>
    </row>
    <row r="99" spans="1:51" x14ac:dyDescent="0.3">
      <c r="B99" s="938">
        <v>801.5</v>
      </c>
      <c r="C99" s="21"/>
      <c r="D99" s="21"/>
      <c r="E99" s="21" t="s">
        <v>285</v>
      </c>
      <c r="F99" s="21" t="s">
        <v>122</v>
      </c>
      <c r="G99" s="21"/>
      <c r="H99" s="1084"/>
      <c r="I99" s="4"/>
      <c r="J99" s="4"/>
      <c r="K99" s="231"/>
      <c r="L99" s="1306"/>
      <c r="M99" s="1319"/>
      <c r="N99" s="238"/>
      <c r="O99" s="1309"/>
      <c r="X99" s="1303"/>
    </row>
    <row r="100" spans="1:51" ht="15" thickBot="1" x14ac:dyDescent="0.35">
      <c r="B100" s="938">
        <v>801.5</v>
      </c>
      <c r="C100" s="21"/>
      <c r="D100" s="21"/>
      <c r="E100" s="21" t="s">
        <v>285</v>
      </c>
      <c r="F100" s="21" t="s">
        <v>123</v>
      </c>
      <c r="G100" s="21"/>
      <c r="H100" s="1084"/>
      <c r="I100" s="270"/>
      <c r="J100" s="270"/>
      <c r="K100" s="213" t="s">
        <v>123</v>
      </c>
      <c r="L100" s="558" t="s">
        <v>898</v>
      </c>
      <c r="M100" s="556" t="s">
        <v>899</v>
      </c>
      <c r="N100" s="270"/>
      <c r="O100" s="600">
        <f>6*S100*W100</f>
        <v>0</v>
      </c>
      <c r="P100" s="97" t="b">
        <v>0</v>
      </c>
      <c r="Q100" s="789" t="b">
        <v>1</v>
      </c>
      <c r="R100" s="104" t="b">
        <v>0</v>
      </c>
      <c r="S100" s="104" t="b">
        <f>AND(W91=TRUE,S91)</f>
        <v>1</v>
      </c>
      <c r="T100" s="104" t="b">
        <f>IF(AND(NOT(S100),W100=TRUE),TRUE,FALSE)</f>
        <v>0</v>
      </c>
      <c r="U100" s="104"/>
      <c r="V100" s="104"/>
      <c r="W100" s="105"/>
      <c r="X100" s="538"/>
      <c r="AC100" s="441" t="b">
        <f>OR(AD100:AE100)</f>
        <v>0</v>
      </c>
      <c r="AD100" s="441" t="b">
        <f>T100</f>
        <v>0</v>
      </c>
      <c r="AE100" s="441" t="b">
        <v>0</v>
      </c>
      <c r="AL100" s="311" t="str">
        <f>SUBSTITUTE(SUBSTITUTE(SUBSTITUTE("dpa"&amp;$B100&amp;$C100&amp;$D100&amp;$E100&amp;$F100,".","_"),"(","_"),")","")</f>
        <v>dpa801_5_4_c</v>
      </c>
      <c r="AM100" s="311" t="str">
        <f>M100</f>
        <v>6 Additional</v>
      </c>
      <c r="AN100" s="311" t="str">
        <f>SUBSTITUTE(SUBSTITUTE(SUBSTITUTE("dpc"&amp;$B100&amp;$C100&amp;$D100&amp;$E100&amp;$F100,".","_"),"(","_"),")","")</f>
        <v>dpc801_5_4_c</v>
      </c>
      <c r="AO100" s="311">
        <f>O100</f>
        <v>0</v>
      </c>
      <c r="AP100" s="311" t="str">
        <f>SUBSTITUTE(SUBSTITUTE(SUBSTITUTE("dch"&amp;$B100&amp;$C100&amp;$D100&amp;$E100&amp;$F100,".","_"),"(","_"),")","")</f>
        <v>dch801_5_4_c</v>
      </c>
      <c r="AQ100" s="311">
        <f>W100</f>
        <v>0</v>
      </c>
      <c r="AR100" s="311" t="str">
        <f>SUBSTITUTE(SUBSTITUTE(SUBSTITUTE("dnt"&amp;$B100&amp;$C100&amp;$D100&amp;$E100&amp;$F100,".","_"),"(","_"),")","")</f>
        <v>dnt801_5_4_c</v>
      </c>
      <c r="AS100" s="311">
        <f>X100</f>
        <v>0</v>
      </c>
    </row>
    <row r="101" spans="1:51" ht="15" thickTop="1" x14ac:dyDescent="0.3">
      <c r="B101" s="938">
        <v>801.6</v>
      </c>
      <c r="C101" s="21"/>
      <c r="D101" s="21"/>
      <c r="E101" s="21"/>
      <c r="F101" s="21"/>
      <c r="G101" s="21"/>
      <c r="H101" s="1084"/>
      <c r="I101" s="141">
        <v>801.6</v>
      </c>
      <c r="J101" s="140"/>
      <c r="K101" s="140"/>
      <c r="L101" s="369" t="s">
        <v>900</v>
      </c>
      <c r="M101" s="548"/>
      <c r="N101" s="140"/>
      <c r="O101" s="598"/>
      <c r="P101" s="97"/>
      <c r="Q101" s="97"/>
      <c r="R101" s="97"/>
      <c r="S101" s="97"/>
      <c r="T101" s="97"/>
      <c r="U101" s="97"/>
      <c r="V101" s="97"/>
      <c r="W101" s="196"/>
      <c r="X101" s="97"/>
    </row>
    <row r="102" spans="1:51" x14ac:dyDescent="0.3">
      <c r="B102" s="938" t="s">
        <v>901</v>
      </c>
      <c r="C102" s="21"/>
      <c r="D102" s="21"/>
      <c r="E102" s="21"/>
      <c r="F102" s="21"/>
      <c r="G102" s="21"/>
      <c r="H102" s="1084"/>
      <c r="I102" s="141" t="s">
        <v>901</v>
      </c>
      <c r="J102" s="140"/>
      <c r="K102" s="140"/>
      <c r="L102" s="1313" t="s">
        <v>902</v>
      </c>
      <c r="M102" s="1318">
        <v>6</v>
      </c>
      <c r="N102" s="140"/>
      <c r="O102" s="1308">
        <f>6*S102*W102</f>
        <v>0</v>
      </c>
      <c r="P102" s="97" t="b">
        <v>0</v>
      </c>
      <c r="Q102" s="789" t="b">
        <v>1</v>
      </c>
      <c r="R102" s="97" t="b">
        <v>0</v>
      </c>
      <c r="S102" s="97" t="b">
        <f>NOT(W119=TRUE)</f>
        <v>0</v>
      </c>
      <c r="T102" s="97" t="b">
        <f>IF(AND(NOT(S102),W102=TRUE),TRUE,FALSE)</f>
        <v>0</v>
      </c>
      <c r="U102" s="97"/>
      <c r="V102" s="97"/>
      <c r="W102" s="127"/>
      <c r="X102" s="1303"/>
      <c r="AC102" s="441" t="b">
        <f>OR(AD102:AE102)</f>
        <v>0</v>
      </c>
      <c r="AD102" s="441" t="b">
        <f>T102</f>
        <v>0</v>
      </c>
      <c r="AE102" s="441" t="b">
        <v>0</v>
      </c>
      <c r="AL102" s="311" t="str">
        <f>SUBSTITUTE(SUBSTITUTE(SUBSTITUTE("dpa"&amp;$B102&amp;$C102&amp;$D102&amp;$E102&amp;$F102,".","_"),"(","_"),")","")</f>
        <v>dpa801_6_1</v>
      </c>
      <c r="AM102" s="311">
        <f>M102</f>
        <v>6</v>
      </c>
      <c r="AN102" s="311" t="str">
        <f>SUBSTITUTE(SUBSTITUTE(SUBSTITUTE("dpc"&amp;$B102&amp;$C102&amp;$D102&amp;$E102&amp;$F102,".","_"),"(","_"),")","")</f>
        <v>dpc801_6_1</v>
      </c>
      <c r="AO102" s="311">
        <f>O102</f>
        <v>0</v>
      </c>
      <c r="AP102" s="311" t="str">
        <f>SUBSTITUTE(SUBSTITUTE(SUBSTITUTE("dch"&amp;$B102&amp;$C102&amp;$D102&amp;$E102&amp;$F102,".","_"),"(","_"),")","")</f>
        <v>dch801_6_1</v>
      </c>
      <c r="AQ102" s="311">
        <f>W102</f>
        <v>0</v>
      </c>
      <c r="AR102" s="311" t="str">
        <f>SUBSTITUTE(SUBSTITUTE(SUBSTITUTE("dnt"&amp;$B102&amp;$C102&amp;$D102&amp;$E102&amp;$F102,".","_"),"(","_"),")","")</f>
        <v>dnt801_6_1</v>
      </c>
      <c r="AS102" s="311">
        <f>X102</f>
        <v>0</v>
      </c>
    </row>
    <row r="103" spans="1:51" x14ac:dyDescent="0.3">
      <c r="B103" s="938" t="s">
        <v>901</v>
      </c>
      <c r="C103" s="21"/>
      <c r="D103" s="21"/>
      <c r="E103" s="21"/>
      <c r="F103" s="21"/>
      <c r="G103" s="21"/>
      <c r="H103" s="1084"/>
      <c r="I103" s="141"/>
      <c r="J103" s="140"/>
      <c r="K103" s="140"/>
      <c r="L103" s="1313"/>
      <c r="M103" s="1318"/>
      <c r="N103" s="140"/>
      <c r="O103" s="1308"/>
      <c r="P103" s="97"/>
      <c r="Q103" s="97"/>
      <c r="R103" s="97"/>
      <c r="S103" s="97"/>
      <c r="T103" s="97"/>
      <c r="U103" s="97"/>
      <c r="V103" s="97"/>
      <c r="W103" s="97"/>
      <c r="X103" s="1303"/>
    </row>
    <row r="104" spans="1:51" x14ac:dyDescent="0.3">
      <c r="B104" s="938" t="s">
        <v>901</v>
      </c>
      <c r="C104" s="21"/>
      <c r="D104" s="21"/>
      <c r="E104" s="21"/>
      <c r="F104" s="21"/>
      <c r="G104" s="21"/>
      <c r="H104" s="1084"/>
      <c r="I104" s="244"/>
      <c r="J104" s="238"/>
      <c r="K104" s="238"/>
      <c r="L104" s="1350"/>
      <c r="M104" s="1319"/>
      <c r="N104" s="238"/>
      <c r="O104" s="1309"/>
      <c r="P104" s="196"/>
      <c r="Q104" s="196"/>
      <c r="R104" s="196"/>
      <c r="S104" s="196"/>
      <c r="T104" s="196"/>
      <c r="U104" s="196"/>
      <c r="V104" s="196"/>
      <c r="W104" s="97"/>
      <c r="X104" s="1303"/>
    </row>
    <row r="105" spans="1:51" x14ac:dyDescent="0.3">
      <c r="B105" s="938" t="s">
        <v>903</v>
      </c>
      <c r="C105" s="21"/>
      <c r="D105" s="21"/>
      <c r="E105" s="21"/>
      <c r="F105" s="21"/>
      <c r="G105" s="21"/>
      <c r="H105" s="1084"/>
      <c r="I105" s="66" t="s">
        <v>903</v>
      </c>
      <c r="J105" s="4"/>
      <c r="K105" s="4"/>
      <c r="L105" s="184" t="s">
        <v>904</v>
      </c>
      <c r="M105" s="522"/>
      <c r="N105" s="4"/>
      <c r="O105" s="154"/>
    </row>
    <row r="106" spans="1:51" x14ac:dyDescent="0.3">
      <c r="B106" s="938" t="s">
        <v>903</v>
      </c>
      <c r="C106" s="21"/>
      <c r="D106" s="21"/>
      <c r="E106" s="21" t="s">
        <v>271</v>
      </c>
      <c r="F106" s="21"/>
      <c r="G106" s="21"/>
      <c r="H106" s="1084"/>
      <c r="I106" s="66"/>
      <c r="J106" s="231" t="s">
        <v>271</v>
      </c>
      <c r="K106" s="238"/>
      <c r="L106" s="447" t="s">
        <v>905</v>
      </c>
      <c r="M106" s="520">
        <v>4</v>
      </c>
      <c r="N106" s="238"/>
      <c r="O106" s="597">
        <f>M106*S106*W106</f>
        <v>0</v>
      </c>
      <c r="P106" s="97" t="b">
        <v>0</v>
      </c>
      <c r="Q106" s="789" t="b">
        <v>1</v>
      </c>
      <c r="R106" s="145" t="b">
        <v>0</v>
      </c>
      <c r="S106" s="441" t="b">
        <f>NOT(W119=TRUE)</f>
        <v>0</v>
      </c>
      <c r="T106" s="97" t="b">
        <f>IF(AND(NOT(S106),W106=TRUE),TRUE,FALSE)</f>
        <v>0</v>
      </c>
      <c r="W106" s="25"/>
      <c r="X106" s="442"/>
      <c r="AC106" s="441" t="b">
        <f>OR(AD106:AE106)</f>
        <v>0</v>
      </c>
      <c r="AD106" s="441" t="b">
        <f>T106</f>
        <v>0</v>
      </c>
      <c r="AE106" s="441" t="b">
        <v>0</v>
      </c>
      <c r="AL106" s="311" t="str">
        <f t="shared" ref="AL106:AL108" si="7">SUBSTITUTE(SUBSTITUTE(SUBSTITUTE("dpa"&amp;$B106&amp;$C106&amp;$D106&amp;$E106&amp;$F106,".","_"),"(","_"),")","")</f>
        <v>dpa801_6_2_1</v>
      </c>
      <c r="AM106" s="311">
        <f>M106</f>
        <v>4</v>
      </c>
      <c r="AN106" s="311" t="str">
        <f t="shared" ref="AN106:AN108" si="8">SUBSTITUTE(SUBSTITUTE(SUBSTITUTE("dpc"&amp;$B106&amp;$C106&amp;$D106&amp;$E106&amp;$F106,".","_"),"(","_"),")","")</f>
        <v>dpc801_6_2_1</v>
      </c>
      <c r="AO106" s="311">
        <f>O106</f>
        <v>0</v>
      </c>
      <c r="AP106" s="311" t="str">
        <f t="shared" ref="AP106:AP108" si="9">SUBSTITUTE(SUBSTITUTE(SUBSTITUTE("dch"&amp;$B106&amp;$C106&amp;$D106&amp;$E106&amp;$F106,".","_"),"(","_"),")","")</f>
        <v>dch801_6_2_1</v>
      </c>
      <c r="AQ106" s="311">
        <f>W106</f>
        <v>0</v>
      </c>
      <c r="AR106" s="311" t="str">
        <f>SUBSTITUTE(SUBSTITUTE(SUBSTITUTE("dnt"&amp;$B106&amp;$C106&amp;$D106&amp;$E106&amp;$F106,".","_"),"(","_"),")","")</f>
        <v>dnt801_6_2_1</v>
      </c>
      <c r="AS106" s="311">
        <f>X106</f>
        <v>0</v>
      </c>
      <c r="AX106" s="175"/>
      <c r="AY106" s="175"/>
    </row>
    <row r="107" spans="1:51" x14ac:dyDescent="0.3">
      <c r="B107" s="938" t="s">
        <v>903</v>
      </c>
      <c r="C107" s="21"/>
      <c r="D107" s="21"/>
      <c r="E107" s="21" t="s">
        <v>273</v>
      </c>
      <c r="F107" s="21"/>
      <c r="G107" s="21"/>
      <c r="H107" s="1084"/>
      <c r="I107" s="66"/>
      <c r="J107" s="231" t="s">
        <v>273</v>
      </c>
      <c r="K107" s="238"/>
      <c r="L107" s="447" t="s">
        <v>906</v>
      </c>
      <c r="M107" s="520">
        <v>4</v>
      </c>
      <c r="N107" s="238"/>
      <c r="O107" s="597">
        <f>M107*S107*W107</f>
        <v>0</v>
      </c>
      <c r="P107" s="97" t="b">
        <v>0</v>
      </c>
      <c r="Q107" s="789" t="b">
        <v>1</v>
      </c>
      <c r="R107" s="145" t="b">
        <v>0</v>
      </c>
      <c r="S107" s="441" t="b">
        <f>NOT(W119=TRUE)</f>
        <v>0</v>
      </c>
      <c r="T107" s="97" t="b">
        <f>IF(AND(NOT(S107),W107=TRUE),TRUE,FALSE)</f>
        <v>0</v>
      </c>
      <c r="W107" s="25"/>
      <c r="X107" s="442"/>
      <c r="AC107" s="441" t="b">
        <f>OR(AD107:AE107)</f>
        <v>0</v>
      </c>
      <c r="AD107" s="441" t="b">
        <f>T107</f>
        <v>0</v>
      </c>
      <c r="AE107" s="441" t="b">
        <v>0</v>
      </c>
      <c r="AL107" s="311" t="str">
        <f t="shared" si="7"/>
        <v>dpa801_6_2_2</v>
      </c>
      <c r="AM107" s="311">
        <f>M107</f>
        <v>4</v>
      </c>
      <c r="AN107" s="311" t="str">
        <f t="shared" si="8"/>
        <v>dpc801_6_2_2</v>
      </c>
      <c r="AO107" s="311">
        <f>O107</f>
        <v>0</v>
      </c>
      <c r="AP107" s="311" t="str">
        <f t="shared" si="9"/>
        <v>dch801_6_2_2</v>
      </c>
      <c r="AQ107" s="311">
        <f>W107</f>
        <v>0</v>
      </c>
      <c r="AR107" s="311" t="str">
        <f>SUBSTITUTE(SUBSTITUTE(SUBSTITUTE("dnt"&amp;$B107&amp;$C107&amp;$D107&amp;$E107&amp;$F107,".","_"),"(","_"),")","")</f>
        <v>dnt801_6_2_2</v>
      </c>
      <c r="AS107" s="311">
        <f>X107</f>
        <v>0</v>
      </c>
    </row>
    <row r="108" spans="1:51" x14ac:dyDescent="0.3">
      <c r="B108" s="938" t="s">
        <v>903</v>
      </c>
      <c r="C108" s="21"/>
      <c r="D108" s="21"/>
      <c r="E108" s="21" t="s">
        <v>275</v>
      </c>
      <c r="F108" s="21"/>
      <c r="G108" s="21"/>
      <c r="H108" s="1084"/>
      <c r="I108" s="141"/>
      <c r="J108" s="203" t="s">
        <v>275</v>
      </c>
      <c r="K108" s="140"/>
      <c r="L108" s="1305" t="s">
        <v>907</v>
      </c>
      <c r="M108" s="1318">
        <v>5</v>
      </c>
      <c r="N108" s="140"/>
      <c r="O108" s="1308">
        <f>M108*S108*W108</f>
        <v>0</v>
      </c>
      <c r="P108" s="97" t="b">
        <v>0</v>
      </c>
      <c r="Q108" s="789" t="b">
        <v>1</v>
      </c>
      <c r="R108" s="97" t="b">
        <v>0</v>
      </c>
      <c r="S108" s="97" t="b">
        <f>AND(W106=TRUE,NOT(W119=TRUE))</f>
        <v>0</v>
      </c>
      <c r="T108" s="97" t="b">
        <f>IF(AND(NOT(S108),W108=TRUE),TRUE,FALSE)</f>
        <v>0</v>
      </c>
      <c r="U108" s="97"/>
      <c r="V108" s="97"/>
      <c r="W108" s="452"/>
      <c r="X108" s="1295"/>
      <c r="AC108" s="145" t="b">
        <f>OR(AD108:AE108)</f>
        <v>0</v>
      </c>
      <c r="AD108" s="145" t="b">
        <f>T108</f>
        <v>0</v>
      </c>
      <c r="AE108" s="145" t="b">
        <v>0</v>
      </c>
      <c r="AL108" s="311" t="str">
        <f t="shared" si="7"/>
        <v>dpa801_6_2_3</v>
      </c>
      <c r="AM108" s="311">
        <f>M108</f>
        <v>5</v>
      </c>
      <c r="AN108" s="311" t="str">
        <f t="shared" si="8"/>
        <v>dpc801_6_2_3</v>
      </c>
      <c r="AO108" s="311">
        <f>O108</f>
        <v>0</v>
      </c>
      <c r="AP108" s="311" t="str">
        <f t="shared" si="9"/>
        <v>dch801_6_2_3</v>
      </c>
      <c r="AQ108" s="311">
        <f>W108</f>
        <v>0</v>
      </c>
      <c r="AR108" s="311" t="str">
        <f>SUBSTITUTE(SUBSTITUTE(SUBSTITUTE("dnt"&amp;$B108&amp;$C108&amp;$D108&amp;$E108&amp;$F108,".","_"),"(","_"),")","")</f>
        <v>dnt801_6_2_3</v>
      </c>
      <c r="AS108" s="311">
        <f>X108</f>
        <v>0</v>
      </c>
    </row>
    <row r="109" spans="1:51" x14ac:dyDescent="0.3">
      <c r="B109" s="938" t="s">
        <v>903</v>
      </c>
      <c r="C109" s="21"/>
      <c r="D109" s="21"/>
      <c r="E109" s="21" t="s">
        <v>275</v>
      </c>
      <c r="F109" s="21"/>
      <c r="G109" s="21"/>
      <c r="H109" s="1084"/>
      <c r="I109" s="244"/>
      <c r="J109" s="238"/>
      <c r="K109" s="238"/>
      <c r="L109" s="1306"/>
      <c r="M109" s="1319"/>
      <c r="N109" s="238"/>
      <c r="O109" s="1309"/>
      <c r="P109" s="196"/>
      <c r="Q109" s="196"/>
      <c r="R109" s="196"/>
      <c r="S109" s="196"/>
      <c r="T109" s="196"/>
      <c r="U109" s="196"/>
      <c r="V109" s="196"/>
      <c r="W109" s="196"/>
      <c r="X109" s="1295"/>
    </row>
    <row r="110" spans="1:51" s="175" customFormat="1" x14ac:dyDescent="0.3">
      <c r="A110" s="18"/>
      <c r="B110" s="938" t="s">
        <v>908</v>
      </c>
      <c r="C110" s="21"/>
      <c r="D110" s="21"/>
      <c r="E110" s="21"/>
      <c r="F110" s="21"/>
      <c r="G110" s="21"/>
      <c r="H110" s="1084"/>
      <c r="I110" s="141" t="s">
        <v>908</v>
      </c>
      <c r="J110" s="140"/>
      <c r="K110" s="140"/>
      <c r="L110" s="1313" t="s">
        <v>909</v>
      </c>
      <c r="M110" s="1351" t="str">
        <f>IF(R110,"Mandatory","N/A")</f>
        <v>N/A</v>
      </c>
      <c r="N110" s="140"/>
      <c r="O110" s="598"/>
      <c r="P110" s="97" t="b">
        <v>0</v>
      </c>
      <c r="Q110" s="789" t="b">
        <v>1</v>
      </c>
      <c r="R110" s="97" t="b">
        <f>NOT(W119=TRUE)</f>
        <v>0</v>
      </c>
      <c r="S110" s="97" t="b">
        <f>NOT(W119=TRUE)</f>
        <v>0</v>
      </c>
      <c r="T110" s="97" t="b">
        <f>IF(AND(NOT(S110),LEN(W110)&gt;0),TRUE,FALSE)</f>
        <v>0</v>
      </c>
      <c r="U110" s="97" t="str">
        <f>SUBSTITUTE(SUBSTITUTE(SUBSTITUTE("dd"&amp;B110&amp;C110&amp;D110&amp;E110&amp;F110,".","_"),"(","_"),")","")</f>
        <v>dd801_6_3</v>
      </c>
      <c r="V110" s="97"/>
      <c r="W110" s="12"/>
      <c r="X110" s="1303"/>
      <c r="Y110" s="1107"/>
      <c r="Z110" s="79"/>
      <c r="AA110" s="1110"/>
      <c r="AB110" s="79"/>
      <c r="AC110" s="441" t="b">
        <f>OR(AD110:AE110)</f>
        <v>0</v>
      </c>
      <c r="AD110" s="441" t="b">
        <f>T110</f>
        <v>0</v>
      </c>
      <c r="AE110" s="1077" t="b">
        <f>AND(R110,NOT(W110="Met"),NOT(W110="N/A"))</f>
        <v>0</v>
      </c>
      <c r="AF110" s="79"/>
      <c r="AG110" s="79"/>
      <c r="AH110" s="79"/>
      <c r="AI110" s="79"/>
      <c r="AJ110" s="79"/>
      <c r="AK110" s="79"/>
      <c r="AL110" s="79"/>
      <c r="AM110" s="79"/>
      <c r="AN110" s="79"/>
      <c r="AO110" s="79"/>
      <c r="AP110" s="311" t="str">
        <f>SUBSTITUTE(SUBSTITUTE(SUBSTITUTE("dch"&amp;$B110&amp;$C110&amp;$D110&amp;$E110&amp;$F110,".","_"),"(","_"),")","")</f>
        <v>dch801_6_3</v>
      </c>
      <c r="AQ110" s="311">
        <f>W110</f>
        <v>0</v>
      </c>
      <c r="AR110" s="311" t="str">
        <f>SUBSTITUTE(SUBSTITUTE(SUBSTITUTE("dnt"&amp;$B110&amp;$C110&amp;$D110&amp;$E110&amp;$F110,".","_"),"(","_"),")","")</f>
        <v>dnt801_6_3</v>
      </c>
      <c r="AS110" s="311">
        <f>X110</f>
        <v>0</v>
      </c>
      <c r="AT110" s="79"/>
      <c r="AU110" s="79"/>
      <c r="AX110" s="79"/>
      <c r="AY110" s="79"/>
    </row>
    <row r="111" spans="1:51" x14ac:dyDescent="0.3">
      <c r="B111" s="938" t="s">
        <v>908</v>
      </c>
      <c r="C111" s="21"/>
      <c r="D111" s="21"/>
      <c r="E111" s="21"/>
      <c r="F111" s="21"/>
      <c r="G111" s="21"/>
      <c r="H111" s="1084"/>
      <c r="I111" s="141"/>
      <c r="J111" s="140"/>
      <c r="K111" s="140"/>
      <c r="L111" s="1313"/>
      <c r="M111" s="1351"/>
      <c r="N111" s="140"/>
      <c r="O111" s="598"/>
      <c r="P111" s="97"/>
      <c r="Q111" s="97"/>
      <c r="R111" s="97"/>
      <c r="S111" s="97"/>
      <c r="T111" s="97"/>
      <c r="U111" s="97"/>
      <c r="V111" s="97"/>
      <c r="W111" s="97"/>
      <c r="X111" s="1303"/>
    </row>
    <row r="112" spans="1:51" x14ac:dyDescent="0.3">
      <c r="B112" s="938" t="s">
        <v>908</v>
      </c>
      <c r="C112" s="21"/>
      <c r="D112" s="21"/>
      <c r="E112" s="21"/>
      <c r="F112" s="21"/>
      <c r="G112" s="21"/>
      <c r="H112" s="1084"/>
      <c r="I112" s="244"/>
      <c r="J112" s="238"/>
      <c r="K112" s="238"/>
      <c r="L112" s="1350"/>
      <c r="M112" s="1352"/>
      <c r="N112" s="238"/>
      <c r="O112" s="599"/>
      <c r="P112" s="196"/>
      <c r="Q112" s="196"/>
      <c r="R112" s="196"/>
      <c r="S112" s="196"/>
      <c r="T112" s="196"/>
      <c r="U112" s="196"/>
      <c r="V112" s="196"/>
      <c r="W112" s="97"/>
      <c r="X112" s="1303"/>
      <c r="AR112" s="175"/>
      <c r="AS112" s="175"/>
      <c r="AT112" s="175"/>
      <c r="AU112" s="175"/>
    </row>
    <row r="113" spans="1:51" x14ac:dyDescent="0.3">
      <c r="B113" s="938" t="s">
        <v>910</v>
      </c>
      <c r="C113" s="21"/>
      <c r="D113" s="21"/>
      <c r="E113" s="21"/>
      <c r="F113" s="21"/>
      <c r="G113" s="21"/>
      <c r="H113" s="1084"/>
      <c r="I113" s="66" t="s">
        <v>910</v>
      </c>
      <c r="J113" s="4"/>
      <c r="K113" s="4"/>
      <c r="L113" s="1389" t="s">
        <v>911</v>
      </c>
      <c r="M113" s="522"/>
      <c r="N113" s="4"/>
      <c r="O113" s="154"/>
    </row>
    <row r="114" spans="1:51" x14ac:dyDescent="0.3">
      <c r="B114" s="938" t="s">
        <v>910</v>
      </c>
      <c r="C114" s="21"/>
      <c r="D114" s="21"/>
      <c r="E114" s="21"/>
      <c r="F114" s="21"/>
      <c r="G114" s="21"/>
      <c r="H114" s="1084"/>
      <c r="I114" s="66"/>
      <c r="J114" s="4"/>
      <c r="K114" s="4"/>
      <c r="L114" s="1389"/>
      <c r="M114" s="522"/>
      <c r="N114" s="4"/>
      <c r="O114" s="154"/>
      <c r="P114" s="175"/>
      <c r="Q114" s="175"/>
      <c r="R114" s="175"/>
      <c r="S114" s="175"/>
      <c r="T114" s="175"/>
      <c r="U114" s="175"/>
      <c r="V114" s="175"/>
      <c r="W114" s="175"/>
      <c r="X114" s="175"/>
      <c r="Z114" s="175"/>
      <c r="AB114" s="175"/>
      <c r="AC114" s="175"/>
      <c r="AD114" s="175"/>
      <c r="AE114" s="175"/>
      <c r="AF114" s="175"/>
      <c r="AG114" s="175"/>
      <c r="AH114" s="175"/>
      <c r="AI114" s="175"/>
      <c r="AJ114" s="175"/>
      <c r="AK114" s="175"/>
      <c r="AL114" s="175"/>
      <c r="AM114" s="175"/>
      <c r="AN114" s="175"/>
      <c r="AO114" s="175"/>
      <c r="AP114" s="175"/>
      <c r="AQ114" s="175"/>
    </row>
    <row r="115" spans="1:51" x14ac:dyDescent="0.3">
      <c r="B115" s="938" t="s">
        <v>910</v>
      </c>
      <c r="C115" s="21"/>
      <c r="D115" s="21"/>
      <c r="E115" s="21"/>
      <c r="F115" s="21"/>
      <c r="G115" s="21"/>
      <c r="H115" s="1084"/>
      <c r="I115" s="66"/>
      <c r="J115" s="4"/>
      <c r="K115" s="4"/>
      <c r="L115" s="181" t="s">
        <v>912</v>
      </c>
      <c r="M115" s="522"/>
      <c r="N115" s="4"/>
      <c r="O115" s="154"/>
      <c r="AX115" s="145"/>
      <c r="AY115" s="145"/>
    </row>
    <row r="116" spans="1:51" x14ac:dyDescent="0.3">
      <c r="B116" s="938" t="s">
        <v>910</v>
      </c>
      <c r="C116" s="21"/>
      <c r="D116" s="21"/>
      <c r="E116" s="21" t="s">
        <v>271</v>
      </c>
      <c r="F116" s="21"/>
      <c r="G116" s="21"/>
      <c r="H116" s="1084"/>
      <c r="I116" s="66"/>
      <c r="J116" s="203" t="s">
        <v>271</v>
      </c>
      <c r="K116" s="140"/>
      <c r="L116" s="1305" t="s">
        <v>913</v>
      </c>
      <c r="M116" s="1318">
        <v>8</v>
      </c>
      <c r="N116" s="140"/>
      <c r="O116" s="1308">
        <f>MAX(M116*S116*W116,M118*S118*W118)</f>
        <v>0</v>
      </c>
      <c r="P116" s="97" t="b">
        <v>0</v>
      </c>
      <c r="Q116" s="789" t="b">
        <v>1</v>
      </c>
      <c r="R116" s="145" t="b">
        <v>0</v>
      </c>
      <c r="S116" s="441" t="b">
        <f>NOT(W119=TRUE)</f>
        <v>0</v>
      </c>
      <c r="T116" s="97" t="b">
        <f>IF(AND(NOT(S116),W116=TRUE),TRUE,FALSE)</f>
        <v>0</v>
      </c>
      <c r="W116" s="25"/>
      <c r="X116" s="1303"/>
      <c r="AC116" s="441" t="b">
        <f>OR(AD116:AE116)</f>
        <v>0</v>
      </c>
      <c r="AD116" s="441" t="b">
        <f>T116</f>
        <v>0</v>
      </c>
      <c r="AE116" s="441" t="b">
        <v>0</v>
      </c>
      <c r="AL116" s="311" t="str">
        <f>SUBSTITUTE(SUBSTITUTE(SUBSTITUTE("dpa"&amp;$B116&amp;$C116&amp;$D116&amp;$E116&amp;$F116,".","_"),"(","_"),")","")</f>
        <v>dpa801_6_4_1</v>
      </c>
      <c r="AM116" s="311">
        <f>M116</f>
        <v>8</v>
      </c>
      <c r="AN116" s="311" t="str">
        <f>SUBSTITUTE(SUBSTITUTE(SUBSTITUTE("dpc"&amp;$B116&amp;$C116&amp;$D116&amp;$E116&amp;$F116,".","_"),"(","_"),")","")</f>
        <v>dpc801_6_4_1</v>
      </c>
      <c r="AO116" s="311">
        <f>O116</f>
        <v>0</v>
      </c>
      <c r="AP116" s="311" t="str">
        <f>SUBSTITUTE(SUBSTITUTE(SUBSTITUTE("dch"&amp;$B116&amp;$C116&amp;$D116&amp;$E116&amp;$F116,".","_"),"(","_"),")","")</f>
        <v>dch801_6_4_1</v>
      </c>
      <c r="AQ116" s="311">
        <f>W116</f>
        <v>0</v>
      </c>
      <c r="AR116" s="311" t="str">
        <f>SUBSTITUTE(SUBSTITUTE(SUBSTITUTE("dnt"&amp;$B116&amp;$C116&amp;$D116&amp;$E116&amp;$F116,".","_"),"(","_"),")","")</f>
        <v>dnt801_6_4_1</v>
      </c>
      <c r="AS116" s="311">
        <f>X116</f>
        <v>0</v>
      </c>
      <c r="AX116" s="145"/>
      <c r="AY116" s="145"/>
    </row>
    <row r="117" spans="1:51" x14ac:dyDescent="0.3">
      <c r="B117" s="938" t="s">
        <v>910</v>
      </c>
      <c r="C117" s="21"/>
      <c r="D117" s="21"/>
      <c r="E117" s="21" t="s">
        <v>271</v>
      </c>
      <c r="F117" s="21"/>
      <c r="G117" s="21"/>
      <c r="H117" s="1084"/>
      <c r="I117" s="66"/>
      <c r="J117" s="238"/>
      <c r="K117" s="238"/>
      <c r="L117" s="1306"/>
      <c r="M117" s="1319"/>
      <c r="N117" s="140"/>
      <c r="O117" s="1308"/>
      <c r="X117" s="1303"/>
      <c r="AX117" s="441"/>
      <c r="AY117" s="441"/>
    </row>
    <row r="118" spans="1:51" x14ac:dyDescent="0.3">
      <c r="B118" s="938" t="s">
        <v>910</v>
      </c>
      <c r="C118" s="21"/>
      <c r="D118" s="21"/>
      <c r="E118" s="21" t="s">
        <v>273</v>
      </c>
      <c r="F118" s="21"/>
      <c r="G118" s="21"/>
      <c r="H118" s="1084"/>
      <c r="I118" s="66"/>
      <c r="J118" s="231" t="s">
        <v>273</v>
      </c>
      <c r="K118" s="238"/>
      <c r="L118" s="447" t="s">
        <v>914</v>
      </c>
      <c r="M118" s="520">
        <v>10</v>
      </c>
      <c r="N118" s="238"/>
      <c r="O118" s="1309"/>
      <c r="P118" s="97" t="b">
        <v>0</v>
      </c>
      <c r="Q118" s="789" t="b">
        <v>1</v>
      </c>
      <c r="R118" s="145" t="b">
        <v>0</v>
      </c>
      <c r="S118" s="145" t="b">
        <f>NOT(W119=TRUE)</f>
        <v>0</v>
      </c>
      <c r="T118" s="97" t="b">
        <f>IF(AND(NOT(S118),W118=TRUE),TRUE,FALSE)</f>
        <v>0</v>
      </c>
      <c r="W118" s="25"/>
      <c r="X118" s="442"/>
      <c r="AC118" s="441" t="b">
        <f>OR(AD118:AE118)</f>
        <v>0</v>
      </c>
      <c r="AD118" s="441" t="b">
        <f>T118</f>
        <v>0</v>
      </c>
      <c r="AE118" s="441" t="b">
        <v>0</v>
      </c>
      <c r="AL118" s="311" t="str">
        <f t="shared" ref="AL118:AL119" si="10">SUBSTITUTE(SUBSTITUTE(SUBSTITUTE("dpa"&amp;$B118&amp;$C118&amp;$D118&amp;$E118&amp;$F118,".","_"),"(","_"),")","")</f>
        <v>dpa801_6_4_2</v>
      </c>
      <c r="AM118" s="311">
        <f>M118</f>
        <v>10</v>
      </c>
      <c r="AP118" s="311" t="str">
        <f t="shared" ref="AP118:AP119" si="11">SUBSTITUTE(SUBSTITUTE(SUBSTITUTE("dch"&amp;$B118&amp;$C118&amp;$D118&amp;$E118&amp;$F118,".","_"),"(","_"),")","")</f>
        <v>dch801_6_4_2</v>
      </c>
      <c r="AQ118" s="311">
        <f>W118</f>
        <v>0</v>
      </c>
      <c r="AR118" s="311" t="str">
        <f>SUBSTITUTE(SUBSTITUTE(SUBSTITUTE("dnt"&amp;$B118&amp;$C118&amp;$D118&amp;$E118&amp;$F118,".","_"),"(","_"),")","")</f>
        <v>dnt801_6_4_2</v>
      </c>
      <c r="AS118" s="311">
        <f>X118</f>
        <v>0</v>
      </c>
      <c r="AX118" s="441"/>
      <c r="AY118" s="441"/>
    </row>
    <row r="119" spans="1:51" s="145" customFormat="1" x14ac:dyDescent="0.3">
      <c r="A119" s="18"/>
      <c r="B119" s="938" t="s">
        <v>910</v>
      </c>
      <c r="C119" s="21"/>
      <c r="D119" s="21"/>
      <c r="E119" s="21" t="s">
        <v>275</v>
      </c>
      <c r="F119" s="21"/>
      <c r="G119" s="21"/>
      <c r="H119" s="1084"/>
      <c r="I119" s="141"/>
      <c r="J119" s="203" t="s">
        <v>275</v>
      </c>
      <c r="K119" s="140"/>
      <c r="L119" s="1305" t="s">
        <v>915</v>
      </c>
      <c r="M119" s="1318">
        <v>15</v>
      </c>
      <c r="N119" s="140"/>
      <c r="O119" s="1308">
        <f ca="1">M119*S119*W119</f>
        <v>15</v>
      </c>
      <c r="P119" s="97" t="b">
        <v>0</v>
      </c>
      <c r="Q119" s="789" t="b">
        <v>1</v>
      </c>
      <c r="R119" s="97" t="b">
        <v>0</v>
      </c>
      <c r="S119" s="97" t="b">
        <f ca="1">AND(NOT(W102=TRUE),NOT(W106=TRUE),NOT(W107=TRUE),NOT(W108=TRUE),NOT(W110=TRUE),NOT(W116=TRUE),NOT(W118=TRUE),NOT(W123=TRUE),S121)</f>
        <v>1</v>
      </c>
      <c r="T119" s="97" t="b">
        <f ca="1">IF(AND(NOT(S119),W119=TRUE),TRUE,FALSE)</f>
        <v>0</v>
      </c>
      <c r="U119" s="97"/>
      <c r="V119" s="97"/>
      <c r="W119" s="452" t="b">
        <v>1</v>
      </c>
      <c r="X119" s="1295"/>
      <c r="Y119" s="1107"/>
      <c r="Z119" s="79"/>
      <c r="AA119" s="1110"/>
      <c r="AB119" s="79"/>
      <c r="AC119" s="441" t="b">
        <f ca="1">OR(AD119:AE119)</f>
        <v>0</v>
      </c>
      <c r="AD119" s="441" t="b">
        <f ca="1">T119</f>
        <v>0</v>
      </c>
      <c r="AE119" s="441" t="b">
        <v>0</v>
      </c>
      <c r="AF119" s="79"/>
      <c r="AG119" s="79"/>
      <c r="AH119" s="79"/>
      <c r="AI119" s="79"/>
      <c r="AJ119" s="79"/>
      <c r="AK119" s="79"/>
      <c r="AL119" s="311" t="str">
        <f t="shared" si="10"/>
        <v>dpa801_6_4_3</v>
      </c>
      <c r="AM119" s="311">
        <f>M119</f>
        <v>15</v>
      </c>
      <c r="AN119" s="311" t="str">
        <f>SUBSTITUTE(SUBSTITUTE(SUBSTITUTE("dpc"&amp;$B119&amp;$C119&amp;$D119&amp;$E119&amp;$F119,".","_"),"(","_"),")","")</f>
        <v>dpc801_6_4_3</v>
      </c>
      <c r="AO119" s="311">
        <f ca="1">O119</f>
        <v>15</v>
      </c>
      <c r="AP119" s="311" t="str">
        <f t="shared" si="11"/>
        <v>dch801_6_4_3</v>
      </c>
      <c r="AQ119" s="311" t="b">
        <f>W119</f>
        <v>1</v>
      </c>
      <c r="AR119" s="311" t="str">
        <f>SUBSTITUTE(SUBSTITUTE(SUBSTITUTE("dnt"&amp;$B119&amp;$C119&amp;$D119&amp;$E119&amp;$F119,".","_"),"(","_"),")","")</f>
        <v>dnt801_6_4_3</v>
      </c>
      <c r="AS119" s="311">
        <f>X119</f>
        <v>0</v>
      </c>
      <c r="AT119" s="79"/>
      <c r="AU119" s="79"/>
      <c r="AX119" s="79"/>
      <c r="AY119" s="79"/>
    </row>
    <row r="120" spans="1:51" s="145" customFormat="1" x14ac:dyDescent="0.3">
      <c r="A120" s="18"/>
      <c r="B120" s="938" t="s">
        <v>910</v>
      </c>
      <c r="C120" s="21"/>
      <c r="D120" s="21"/>
      <c r="E120" s="21" t="s">
        <v>275</v>
      </c>
      <c r="F120" s="21"/>
      <c r="G120" s="21"/>
      <c r="H120" s="1084"/>
      <c r="I120" s="141"/>
      <c r="J120" s="140"/>
      <c r="K120" s="140"/>
      <c r="L120" s="1305"/>
      <c r="M120" s="1318"/>
      <c r="N120" s="140"/>
      <c r="O120" s="1308"/>
      <c r="P120" s="97"/>
      <c r="Q120" s="97"/>
      <c r="R120" s="97"/>
      <c r="S120" s="97"/>
      <c r="T120" s="97"/>
      <c r="U120" s="97"/>
      <c r="V120" s="97"/>
      <c r="W120" s="97"/>
      <c r="X120" s="1295"/>
      <c r="Y120" s="1107"/>
      <c r="Z120" s="79"/>
      <c r="AA120" s="1110"/>
      <c r="AB120" s="79"/>
      <c r="AC120" s="79"/>
      <c r="AD120" s="79"/>
      <c r="AE120" s="79"/>
      <c r="AF120" s="79"/>
      <c r="AG120" s="79"/>
      <c r="AH120" s="79"/>
      <c r="AI120" s="79"/>
      <c r="AJ120" s="79"/>
      <c r="AK120" s="79"/>
      <c r="AL120" s="79"/>
      <c r="AM120" s="79"/>
      <c r="AN120" s="79"/>
      <c r="AO120" s="79"/>
      <c r="AP120" s="79"/>
      <c r="AQ120" s="79"/>
      <c r="AR120" s="79"/>
      <c r="AS120" s="79"/>
      <c r="AT120" s="79"/>
      <c r="AU120" s="79"/>
      <c r="AX120" s="79"/>
      <c r="AY120" s="79"/>
    </row>
    <row r="121" spans="1:51" s="441" customFormat="1" x14ac:dyDescent="0.3">
      <c r="A121" s="18"/>
      <c r="B121" s="938" t="s">
        <v>910</v>
      </c>
      <c r="C121" s="21"/>
      <c r="D121" s="21"/>
      <c r="E121" s="21" t="s">
        <v>275</v>
      </c>
      <c r="F121" s="21"/>
      <c r="G121" s="21"/>
      <c r="H121" s="1084"/>
      <c r="I121" s="141"/>
      <c r="J121" s="140"/>
      <c r="K121" s="140"/>
      <c r="L121" s="1394" t="s">
        <v>3851</v>
      </c>
      <c r="M121" s="548"/>
      <c r="N121" s="140"/>
      <c r="O121" s="598"/>
      <c r="P121" s="97"/>
      <c r="Q121" s="97"/>
      <c r="R121" s="97"/>
      <c r="S121" s="221" t="b">
        <f ca="1">IFERROR(AND(MATCH('Ch5'!W121,INDIRECT('Ch5'!U121),0)=3,SUM('Ch5'!O123:O140)&gt;=5),FALSE)</f>
        <v>1</v>
      </c>
      <c r="T121" s="97"/>
      <c r="U121" s="97"/>
      <c r="V121" s="97"/>
      <c r="W121" s="97"/>
      <c r="X121" s="1295"/>
      <c r="Y121" s="1107"/>
      <c r="AA121" s="1110"/>
      <c r="AX121" s="79"/>
      <c r="AY121" s="79"/>
    </row>
    <row r="122" spans="1:51" s="441" customFormat="1" x14ac:dyDescent="0.3">
      <c r="A122" s="18"/>
      <c r="B122" s="938" t="s">
        <v>910</v>
      </c>
      <c r="C122" s="21"/>
      <c r="D122" s="21"/>
      <c r="E122" s="21" t="s">
        <v>275</v>
      </c>
      <c r="F122" s="21"/>
      <c r="G122" s="21"/>
      <c r="H122" s="1084"/>
      <c r="I122" s="244"/>
      <c r="J122" s="238"/>
      <c r="K122" s="238"/>
      <c r="L122" s="1396"/>
      <c r="M122" s="549"/>
      <c r="N122" s="238"/>
      <c r="O122" s="599"/>
      <c r="P122" s="196"/>
      <c r="Q122" s="196"/>
      <c r="R122" s="196"/>
      <c r="S122" s="196"/>
      <c r="T122" s="196"/>
      <c r="U122" s="196"/>
      <c r="V122" s="196"/>
      <c r="W122" s="196"/>
      <c r="X122" s="1295"/>
      <c r="Y122" s="1107"/>
      <c r="AA122" s="1110"/>
      <c r="AX122" s="79"/>
      <c r="AY122" s="79"/>
    </row>
    <row r="123" spans="1:51" x14ac:dyDescent="0.3">
      <c r="B123" s="938" t="s">
        <v>916</v>
      </c>
      <c r="C123" s="21"/>
      <c r="D123" s="21"/>
      <c r="E123" s="21"/>
      <c r="F123" s="21"/>
      <c r="G123" s="21"/>
      <c r="H123" s="1084"/>
      <c r="I123" s="141" t="s">
        <v>916</v>
      </c>
      <c r="J123" s="140"/>
      <c r="K123" s="140"/>
      <c r="L123" s="1313" t="s">
        <v>917</v>
      </c>
      <c r="M123" s="1318">
        <v>3</v>
      </c>
      <c r="N123" s="140"/>
      <c r="O123" s="1308">
        <f>M123*S123*W123</f>
        <v>0</v>
      </c>
      <c r="P123" s="97" t="b">
        <v>0</v>
      </c>
      <c r="Q123" s="789" t="b">
        <v>1</v>
      </c>
      <c r="R123" s="97" t="b">
        <v>0</v>
      </c>
      <c r="S123" s="97" t="b">
        <f>NOT(W119=TRUE)</f>
        <v>0</v>
      </c>
      <c r="T123" s="97" t="b">
        <f>IF(AND(NOT(S123),W123=TRUE),TRUE,FALSE)</f>
        <v>0</v>
      </c>
      <c r="U123" s="97"/>
      <c r="V123" s="97"/>
      <c r="W123" s="127"/>
      <c r="X123" s="1304"/>
      <c r="AC123" s="441" t="b">
        <f>OR(AD123:AE123)</f>
        <v>0</v>
      </c>
      <c r="AD123" s="441" t="b">
        <f>T123</f>
        <v>0</v>
      </c>
      <c r="AE123" s="441" t="b">
        <v>0</v>
      </c>
      <c r="AL123" s="311" t="str">
        <f>SUBSTITUTE(SUBSTITUTE(SUBSTITUTE("dpa"&amp;$B123&amp;$C123&amp;$D123&amp;$E123&amp;$F123,".","_"),"(","_"),")","")</f>
        <v>dpa801_6_5</v>
      </c>
      <c r="AM123" s="311">
        <f>M123</f>
        <v>3</v>
      </c>
      <c r="AN123" s="311" t="str">
        <f>SUBSTITUTE(SUBSTITUTE(SUBSTITUTE("dpc"&amp;$B123&amp;$C123&amp;$D123&amp;$E123&amp;$F123,".","_"),"(","_"),")","")</f>
        <v>dpc801_6_5</v>
      </c>
      <c r="AO123" s="311">
        <f>O123</f>
        <v>0</v>
      </c>
      <c r="AP123" s="311" t="str">
        <f>SUBSTITUTE(SUBSTITUTE(SUBSTITUTE("dch"&amp;$B123&amp;$C123&amp;$D123&amp;$E123&amp;$F123,".","_"),"(","_"),")","")</f>
        <v>dch801_6_5</v>
      </c>
      <c r="AQ123" s="311">
        <f>W123</f>
        <v>0</v>
      </c>
      <c r="AR123" s="311" t="str">
        <f>SUBSTITUTE(SUBSTITUTE(SUBSTITUTE("dnt"&amp;$B123&amp;$C123&amp;$D123&amp;$E123&amp;$F123,".","_"),"(","_"),")","")</f>
        <v>dnt801_6_5</v>
      </c>
      <c r="AS123" s="311">
        <f>X123</f>
        <v>0</v>
      </c>
      <c r="AT123" s="145"/>
      <c r="AU123" s="145"/>
    </row>
    <row r="124" spans="1:51" ht="15" thickBot="1" x14ac:dyDescent="0.35">
      <c r="B124" s="938" t="s">
        <v>916</v>
      </c>
      <c r="C124" s="21"/>
      <c r="D124" s="21"/>
      <c r="E124" s="21"/>
      <c r="F124" s="21"/>
      <c r="G124" s="21"/>
      <c r="H124" s="1084"/>
      <c r="I124" s="212"/>
      <c r="J124" s="270"/>
      <c r="K124" s="270"/>
      <c r="L124" s="1332"/>
      <c r="M124" s="1334"/>
      <c r="N124" s="270"/>
      <c r="O124" s="1315"/>
      <c r="P124" s="104"/>
      <c r="Q124" s="104"/>
      <c r="R124" s="104"/>
      <c r="S124" s="104"/>
      <c r="T124" s="104"/>
      <c r="U124" s="104"/>
      <c r="V124" s="104"/>
      <c r="W124" s="104"/>
      <c r="X124" s="1296"/>
      <c r="AR124" s="145"/>
      <c r="AS124" s="145"/>
      <c r="AT124" s="145"/>
      <c r="AU124" s="145"/>
    </row>
    <row r="125" spans="1:51" ht="15" thickTop="1" x14ac:dyDescent="0.3">
      <c r="B125" s="939">
        <v>801.7</v>
      </c>
      <c r="C125" s="1065"/>
      <c r="D125" s="1065"/>
      <c r="E125" s="1065"/>
      <c r="F125" s="1065"/>
      <c r="G125" s="1065"/>
      <c r="H125" s="1088"/>
      <c r="I125" s="200">
        <v>801.7</v>
      </c>
      <c r="J125" s="201"/>
      <c r="K125" s="201"/>
      <c r="L125" s="1429" t="s">
        <v>918</v>
      </c>
      <c r="M125" s="547"/>
      <c r="N125" s="201"/>
      <c r="O125" s="602"/>
      <c r="P125" s="110"/>
      <c r="Q125" s="110"/>
      <c r="R125" s="110"/>
      <c r="S125" s="110"/>
      <c r="T125" s="110"/>
      <c r="U125" s="110"/>
      <c r="V125" s="110"/>
      <c r="W125" s="110"/>
      <c r="X125" s="110"/>
      <c r="Z125" s="145"/>
      <c r="AB125" s="145"/>
      <c r="AC125" s="145"/>
      <c r="AD125" s="145"/>
      <c r="AE125" s="145"/>
      <c r="AF125" s="145"/>
      <c r="AG125" s="145"/>
      <c r="AH125" s="145"/>
      <c r="AI125" s="145"/>
      <c r="AJ125" s="145"/>
      <c r="AK125" s="145"/>
      <c r="AL125" s="145"/>
      <c r="AM125" s="145"/>
      <c r="AN125" s="145"/>
      <c r="AO125" s="145"/>
      <c r="AP125" s="145"/>
      <c r="AQ125" s="145"/>
    </row>
    <row r="126" spans="1:51" x14ac:dyDescent="0.3">
      <c r="B126" s="939">
        <v>801.7</v>
      </c>
      <c r="C126" s="1065"/>
      <c r="D126" s="1065"/>
      <c r="E126" s="1065"/>
      <c r="F126" s="1065"/>
      <c r="G126" s="1065"/>
      <c r="H126" s="1088"/>
      <c r="I126" s="141"/>
      <c r="J126" s="140"/>
      <c r="K126" s="140"/>
      <c r="L126" s="1430"/>
      <c r="M126" s="548"/>
      <c r="N126" s="140"/>
      <c r="O126" s="598"/>
      <c r="P126" s="97"/>
      <c r="Q126" s="97"/>
      <c r="R126" s="97"/>
      <c r="S126" s="97"/>
      <c r="T126" s="97"/>
      <c r="U126" s="97"/>
      <c r="V126" s="97"/>
      <c r="W126" s="97"/>
      <c r="X126" s="97"/>
      <c r="Z126" s="145"/>
      <c r="AB126" s="145"/>
      <c r="AC126" s="145"/>
      <c r="AD126" s="145"/>
      <c r="AE126" s="145"/>
      <c r="AF126" s="145"/>
      <c r="AG126" s="145"/>
      <c r="AH126" s="145"/>
      <c r="AI126" s="145"/>
      <c r="AJ126" s="145"/>
      <c r="AK126" s="145"/>
      <c r="AL126" s="145"/>
      <c r="AM126" s="145"/>
      <c r="AN126" s="145"/>
      <c r="AO126" s="145"/>
      <c r="AP126" s="145"/>
      <c r="AQ126" s="145"/>
    </row>
    <row r="127" spans="1:51" x14ac:dyDescent="0.3">
      <c r="B127" s="939" t="s">
        <v>1307</v>
      </c>
      <c r="C127" s="1065"/>
      <c r="D127" s="1065"/>
      <c r="E127" s="1065"/>
      <c r="F127" s="1065"/>
      <c r="G127" s="1065"/>
      <c r="H127" s="1088"/>
      <c r="I127" s="141" t="s">
        <v>1307</v>
      </c>
      <c r="J127" s="140"/>
      <c r="K127" s="140"/>
      <c r="L127" s="619" t="s">
        <v>1308</v>
      </c>
      <c r="M127" s="548"/>
      <c r="N127" s="140"/>
      <c r="O127" s="598">
        <f ca="1">IFERROR(INDEX({5,5,10,15,25},MATCH(W127,INDIRECT(U127),0)),0)*S127</f>
        <v>0</v>
      </c>
      <c r="P127" s="97" t="b">
        <v>0</v>
      </c>
      <c r="Q127" s="789" t="b">
        <v>1</v>
      </c>
      <c r="R127" s="97" t="b">
        <v>0</v>
      </c>
      <c r="S127" s="97" t="b">
        <v>1</v>
      </c>
      <c r="T127" s="97" t="b">
        <f>IF(AND(NOT(S127),LEN(W127)&gt;0),TRUE,FALSE)</f>
        <v>0</v>
      </c>
      <c r="U127" s="97" t="str">
        <f>SUBSTITUTE(SUBSTITUTE(SUBSTITUTE("dd"&amp;B127&amp;C127&amp;D127&amp;E127&amp;F127,".","_"),"(","_"),")","")</f>
        <v>dd801_7_1</v>
      </c>
      <c r="V127" s="97"/>
      <c r="W127" s="114"/>
      <c r="X127" s="1295"/>
      <c r="AC127" s="441" t="b">
        <f>OR(AD127:AE127)</f>
        <v>0</v>
      </c>
      <c r="AD127" s="441" t="b">
        <f>T127</f>
        <v>0</v>
      </c>
      <c r="AN127" s="311" t="str">
        <f>SUBSTITUTE(SUBSTITUTE(SUBSTITUTE("dpc"&amp;$B127&amp;$C127&amp;$D127&amp;$E127&amp;$F127,".","_"),"(","_"),")","")</f>
        <v>dpc801_7_1</v>
      </c>
      <c r="AO127" s="311">
        <f ca="1">O127</f>
        <v>0</v>
      </c>
      <c r="AP127" s="311" t="str">
        <f>SUBSTITUTE(SUBSTITUTE(SUBSTITUTE("dch"&amp;$B127&amp;$C127&amp;$D127&amp;$E127&amp;$F127,".","_"),"(","_"),")","")</f>
        <v>dch801_7_1</v>
      </c>
      <c r="AQ127" s="311">
        <f>W127</f>
        <v>0</v>
      </c>
      <c r="AR127" s="311" t="str">
        <f>SUBSTITUTE(SUBSTITUTE(SUBSTITUTE("dnt"&amp;$B127&amp;$C127&amp;$D127&amp;$E127&amp;$F127,".","_"),"(","_"),")","")</f>
        <v>dnt801_7_1</v>
      </c>
      <c r="AS127" s="311">
        <f>X127</f>
        <v>0</v>
      </c>
    </row>
    <row r="128" spans="1:51" x14ac:dyDescent="0.3">
      <c r="B128" s="939" t="s">
        <v>1307</v>
      </c>
      <c r="C128" s="21"/>
      <c r="D128" s="21"/>
      <c r="E128" s="21" t="s">
        <v>271</v>
      </c>
      <c r="F128" s="21"/>
      <c r="G128" s="21"/>
      <c r="H128" s="1084"/>
      <c r="I128" s="141"/>
      <c r="J128" s="231" t="s">
        <v>271</v>
      </c>
      <c r="K128" s="238"/>
      <c r="L128" s="545" t="s">
        <v>919</v>
      </c>
      <c r="M128" s="549">
        <v>5</v>
      </c>
      <c r="N128" s="140"/>
      <c r="O128" s="598"/>
      <c r="P128" s="97"/>
      <c r="Q128" s="97"/>
      <c r="R128" s="97"/>
      <c r="S128" s="97"/>
      <c r="T128" s="97"/>
      <c r="U128" s="97"/>
      <c r="V128" s="97"/>
      <c r="W128" s="97"/>
      <c r="X128" s="1295"/>
      <c r="AL128" s="311" t="str">
        <f>SUBSTITUTE(SUBSTITUTE(SUBSTITUTE("dpa"&amp;$B128&amp;$C128&amp;$D128&amp;$E128&amp;$F128,".","_"),"(","_"),")","")</f>
        <v>dpa801_7_1_1</v>
      </c>
      <c r="AM128" s="311">
        <f>M128</f>
        <v>5</v>
      </c>
    </row>
    <row r="129" spans="1:51" x14ac:dyDescent="0.3">
      <c r="B129" s="939" t="s">
        <v>1307</v>
      </c>
      <c r="C129" s="21"/>
      <c r="D129" s="21"/>
      <c r="E129" s="21" t="s">
        <v>273</v>
      </c>
      <c r="F129" s="21"/>
      <c r="G129" s="21"/>
      <c r="H129" s="1084"/>
      <c r="I129" s="141"/>
      <c r="J129" s="203" t="s">
        <v>273</v>
      </c>
      <c r="K129" s="140"/>
      <c r="L129" s="1305" t="s">
        <v>920</v>
      </c>
      <c r="M129" s="548"/>
      <c r="N129" s="140"/>
      <c r="O129" s="598"/>
      <c r="P129" s="97"/>
      <c r="Q129" s="97"/>
      <c r="R129" s="97"/>
      <c r="S129" s="97"/>
      <c r="T129" s="97"/>
      <c r="U129" s="97"/>
      <c r="V129" s="97"/>
      <c r="W129" s="97"/>
      <c r="X129" s="1295"/>
    </row>
    <row r="130" spans="1:51" x14ac:dyDescent="0.3">
      <c r="B130" s="939" t="s">
        <v>1307</v>
      </c>
      <c r="C130" s="21"/>
      <c r="D130" s="21"/>
      <c r="E130" s="21" t="s">
        <v>273</v>
      </c>
      <c r="F130" s="21"/>
      <c r="G130" s="21"/>
      <c r="H130" s="1084"/>
      <c r="I130" s="141"/>
      <c r="J130" s="140"/>
      <c r="K130" s="140"/>
      <c r="L130" s="1305"/>
      <c r="M130" s="548"/>
      <c r="N130" s="140"/>
      <c r="O130" s="598"/>
      <c r="P130" s="97"/>
      <c r="Q130" s="97"/>
      <c r="R130" s="97"/>
      <c r="S130" s="97"/>
      <c r="T130" s="97"/>
      <c r="U130" s="97"/>
      <c r="V130" s="97"/>
      <c r="W130" s="97"/>
      <c r="X130" s="1295"/>
    </row>
    <row r="131" spans="1:51" x14ac:dyDescent="0.3">
      <c r="B131" s="939" t="s">
        <v>1307</v>
      </c>
      <c r="C131" s="21"/>
      <c r="D131" s="21"/>
      <c r="E131" s="21" t="s">
        <v>273</v>
      </c>
      <c r="F131" s="21" t="s">
        <v>121</v>
      </c>
      <c r="G131" s="21"/>
      <c r="H131" s="1084"/>
      <c r="I131" s="140"/>
      <c r="J131" s="140"/>
      <c r="K131" s="231" t="s">
        <v>121</v>
      </c>
      <c r="L131" s="545" t="s">
        <v>921</v>
      </c>
      <c r="M131" s="549">
        <v>5</v>
      </c>
      <c r="N131" s="140"/>
      <c r="O131" s="598"/>
      <c r="P131" s="97"/>
      <c r="Q131" s="97"/>
      <c r="R131" s="97"/>
      <c r="S131" s="97"/>
      <c r="T131" s="97"/>
      <c r="U131" s="97"/>
      <c r="V131" s="97"/>
      <c r="W131" s="97"/>
      <c r="X131" s="1295"/>
      <c r="AL131" s="311" t="str">
        <f t="shared" ref="AL131:AL133" si="12">SUBSTITUTE(SUBSTITUTE(SUBSTITUTE("dpa"&amp;$B131&amp;$C131&amp;$D131&amp;$E131&amp;$F131,".","_"),"(","_"),")","")</f>
        <v>dpa801_7_1_2_a</v>
      </c>
      <c r="AM131" s="311">
        <f>M131</f>
        <v>5</v>
      </c>
    </row>
    <row r="132" spans="1:51" x14ac:dyDescent="0.3">
      <c r="B132" s="939" t="s">
        <v>1307</v>
      </c>
      <c r="C132" s="21"/>
      <c r="D132" s="21"/>
      <c r="E132" s="21" t="s">
        <v>273</v>
      </c>
      <c r="F132" s="21" t="s">
        <v>122</v>
      </c>
      <c r="G132" s="21"/>
      <c r="H132" s="1084"/>
      <c r="I132" s="140"/>
      <c r="J132" s="140"/>
      <c r="K132" s="231" t="s">
        <v>122</v>
      </c>
      <c r="L132" s="545" t="s">
        <v>922</v>
      </c>
      <c r="M132" s="549">
        <v>10</v>
      </c>
      <c r="N132" s="140"/>
      <c r="O132" s="598"/>
      <c r="P132" s="97"/>
      <c r="Q132" s="97"/>
      <c r="R132" s="97"/>
      <c r="S132" s="97"/>
      <c r="T132" s="97"/>
      <c r="U132" s="97"/>
      <c r="V132" s="97"/>
      <c r="W132" s="97"/>
      <c r="X132" s="1295"/>
      <c r="AL132" s="311" t="str">
        <f t="shared" si="12"/>
        <v>dpa801_7_1_2_b</v>
      </c>
      <c r="AM132" s="311">
        <f>M132</f>
        <v>10</v>
      </c>
    </row>
    <row r="133" spans="1:51" x14ac:dyDescent="0.3">
      <c r="B133" s="939" t="s">
        <v>1307</v>
      </c>
      <c r="C133" s="21"/>
      <c r="D133" s="21"/>
      <c r="E133" s="21" t="s">
        <v>273</v>
      </c>
      <c r="F133" s="21" t="s">
        <v>123</v>
      </c>
      <c r="G133" s="21"/>
      <c r="H133" s="1084"/>
      <c r="I133" s="140"/>
      <c r="J133" s="140"/>
      <c r="K133" s="203" t="s">
        <v>123</v>
      </c>
      <c r="L133" s="1305" t="s">
        <v>923</v>
      </c>
      <c r="M133" s="1318">
        <v>15</v>
      </c>
      <c r="N133" s="140"/>
      <c r="O133" s="598"/>
      <c r="P133" s="97"/>
      <c r="Q133" s="97"/>
      <c r="R133" s="97"/>
      <c r="S133" s="97"/>
      <c r="T133" s="97"/>
      <c r="U133" s="97"/>
      <c r="V133" s="97"/>
      <c r="W133" s="97"/>
      <c r="X133" s="1295"/>
      <c r="AL133" s="311" t="str">
        <f t="shared" si="12"/>
        <v>dpa801_7_1_2_c</v>
      </c>
      <c r="AM133" s="311">
        <f>M133</f>
        <v>15</v>
      </c>
    </row>
    <row r="134" spans="1:51" x14ac:dyDescent="0.3">
      <c r="B134" s="939" t="s">
        <v>1307</v>
      </c>
      <c r="C134" s="21"/>
      <c r="D134" s="21"/>
      <c r="E134" s="21" t="s">
        <v>273</v>
      </c>
      <c r="F134" s="21" t="s">
        <v>123</v>
      </c>
      <c r="G134" s="21"/>
      <c r="H134" s="1084"/>
      <c r="I134" s="140"/>
      <c r="J134" s="140"/>
      <c r="K134" s="238"/>
      <c r="L134" s="1306"/>
      <c r="M134" s="1319"/>
      <c r="N134" s="140"/>
      <c r="O134" s="598"/>
      <c r="P134" s="97"/>
      <c r="Q134" s="97"/>
      <c r="R134" s="97"/>
      <c r="S134" s="97"/>
      <c r="T134" s="97"/>
      <c r="U134" s="97"/>
      <c r="V134" s="97"/>
      <c r="W134" s="97"/>
      <c r="X134" s="1295"/>
    </row>
    <row r="135" spans="1:51" x14ac:dyDescent="0.3">
      <c r="B135" s="939" t="s">
        <v>1307</v>
      </c>
      <c r="C135" s="21"/>
      <c r="D135" s="21"/>
      <c r="E135" s="21" t="s">
        <v>273</v>
      </c>
      <c r="F135" s="21" t="s">
        <v>423</v>
      </c>
      <c r="G135" s="21"/>
      <c r="H135" s="1084"/>
      <c r="I135" s="140"/>
      <c r="J135" s="140"/>
      <c r="K135" s="203" t="s">
        <v>423</v>
      </c>
      <c r="L135" s="1305" t="s">
        <v>924</v>
      </c>
      <c r="M135" s="1318">
        <v>25</v>
      </c>
      <c r="N135" s="140"/>
      <c r="O135" s="598"/>
      <c r="P135" s="97"/>
      <c r="Q135" s="97"/>
      <c r="R135" s="97"/>
      <c r="S135" s="97"/>
      <c r="T135" s="97"/>
      <c r="U135" s="97"/>
      <c r="V135" s="97"/>
      <c r="W135" s="97"/>
      <c r="X135" s="1295"/>
      <c r="AL135" s="311" t="str">
        <f>SUBSTITUTE(SUBSTITUTE(SUBSTITUTE("dpa"&amp;$B135&amp;$C135&amp;$D135&amp;$E135&amp;$F135,".","_"),"(","_"),")","")</f>
        <v>dpa801_7_1_2_d</v>
      </c>
      <c r="AM135" s="311">
        <f>M135</f>
        <v>25</v>
      </c>
    </row>
    <row r="136" spans="1:51" ht="15" customHeight="1" x14ac:dyDescent="0.3">
      <c r="B136" s="939" t="s">
        <v>1307</v>
      </c>
      <c r="C136" s="21"/>
      <c r="D136" s="21"/>
      <c r="E136" s="21" t="s">
        <v>273</v>
      </c>
      <c r="F136" s="21" t="s">
        <v>423</v>
      </c>
      <c r="G136" s="21"/>
      <c r="H136" s="1084"/>
      <c r="I136" s="141"/>
      <c r="J136" s="140"/>
      <c r="K136" s="140"/>
      <c r="L136" s="1305"/>
      <c r="M136" s="1318"/>
      <c r="N136" s="140"/>
      <c r="O136" s="598"/>
      <c r="P136" s="97"/>
      <c r="Q136" s="97"/>
      <c r="R136" s="97"/>
      <c r="S136" s="97"/>
      <c r="T136" s="97"/>
      <c r="U136" s="97"/>
      <c r="V136" s="97"/>
      <c r="W136" s="97"/>
      <c r="X136" s="1295"/>
      <c r="AX136" s="441"/>
      <c r="AY136" s="441"/>
    </row>
    <row r="137" spans="1:51" x14ac:dyDescent="0.3">
      <c r="B137" s="939" t="s">
        <v>1307</v>
      </c>
      <c r="C137" s="21"/>
      <c r="D137" s="21"/>
      <c r="E137" s="21" t="s">
        <v>273</v>
      </c>
      <c r="F137" s="21" t="s">
        <v>423</v>
      </c>
      <c r="G137" s="21"/>
      <c r="H137" s="1084"/>
      <c r="I137" s="244"/>
      <c r="J137" s="238"/>
      <c r="K137" s="238"/>
      <c r="L137" s="1306"/>
      <c r="M137" s="1319"/>
      <c r="N137" s="238"/>
      <c r="O137" s="599"/>
      <c r="P137" s="196"/>
      <c r="Q137" s="196"/>
      <c r="R137" s="196"/>
      <c r="S137" s="196"/>
      <c r="T137" s="196"/>
      <c r="U137" s="196"/>
      <c r="V137" s="196"/>
      <c r="W137" s="196"/>
      <c r="X137" s="1295"/>
    </row>
    <row r="138" spans="1:51" x14ac:dyDescent="0.3">
      <c r="B138" s="938" t="s">
        <v>925</v>
      </c>
      <c r="C138" s="21"/>
      <c r="D138" s="21"/>
      <c r="E138" s="21"/>
      <c r="F138" s="21"/>
      <c r="G138" s="21"/>
      <c r="H138" s="1084"/>
      <c r="I138" s="66" t="s">
        <v>925</v>
      </c>
      <c r="J138" s="4"/>
      <c r="K138" s="4"/>
      <c r="L138" s="1292" t="s">
        <v>926</v>
      </c>
      <c r="M138" s="522"/>
      <c r="N138" s="4"/>
      <c r="O138" s="1310">
        <f ca="1">MAX(IFERROR(5*MATCH(W141,INDIRECT(U141),0),0)*S141,M143*S143*W143)*S141</f>
        <v>0</v>
      </c>
      <c r="AN138" s="311" t="str">
        <f>SUBSTITUTE(SUBSTITUTE(SUBSTITUTE("dpc"&amp;$B138&amp;$C138&amp;$D138&amp;$E138&amp;$F138,".","_"),"(","_"),")","")</f>
        <v>dpc801_7_2</v>
      </c>
      <c r="AO138" s="311">
        <f ca="1">O138</f>
        <v>0</v>
      </c>
    </row>
    <row r="139" spans="1:51" x14ac:dyDescent="0.3">
      <c r="B139" s="938" t="s">
        <v>925</v>
      </c>
      <c r="C139" s="21"/>
      <c r="D139" s="21"/>
      <c r="E139" s="21"/>
      <c r="F139" s="21"/>
      <c r="G139" s="21"/>
      <c r="H139" s="1084"/>
      <c r="I139" s="66"/>
      <c r="J139" s="4"/>
      <c r="K139" s="4"/>
      <c r="L139" s="1292"/>
      <c r="M139" s="522"/>
      <c r="N139" s="4"/>
      <c r="O139" s="1310"/>
    </row>
    <row r="140" spans="1:51" s="441" customFormat="1" x14ac:dyDescent="0.3">
      <c r="A140" s="18"/>
      <c r="B140" s="938" t="s">
        <v>925</v>
      </c>
      <c r="C140" s="21"/>
      <c r="D140" s="21"/>
      <c r="E140" s="21"/>
      <c r="F140" s="21"/>
      <c r="G140" s="21"/>
      <c r="H140" s="1084"/>
      <c r="I140" s="66"/>
      <c r="J140" s="4"/>
      <c r="K140" s="4"/>
      <c r="L140" s="1292"/>
      <c r="M140" s="522"/>
      <c r="N140" s="4"/>
      <c r="O140" s="1310"/>
      <c r="Y140" s="1107"/>
      <c r="AA140" s="1110"/>
      <c r="AX140" s="79"/>
      <c r="AY140" s="79"/>
    </row>
    <row r="141" spans="1:51" ht="15" customHeight="1" x14ac:dyDescent="0.3">
      <c r="B141" s="938" t="s">
        <v>925</v>
      </c>
      <c r="C141" s="21"/>
      <c r="D141" s="21"/>
      <c r="E141" s="21" t="s">
        <v>271</v>
      </c>
      <c r="F141" s="21"/>
      <c r="G141" s="21"/>
      <c r="H141" s="1084"/>
      <c r="I141" s="66"/>
      <c r="J141" s="203" t="s">
        <v>271</v>
      </c>
      <c r="K141" s="140"/>
      <c r="L141" s="446" t="s">
        <v>927</v>
      </c>
      <c r="M141" s="1360" t="s">
        <v>3856</v>
      </c>
      <c r="N141" s="4"/>
      <c r="O141" s="154"/>
      <c r="P141" s="97" t="b">
        <v>0</v>
      </c>
      <c r="Q141" s="789" t="b">
        <v>1</v>
      </c>
      <c r="R141" s="441" t="b">
        <v>0</v>
      </c>
      <c r="S141" s="441" t="b">
        <v>1</v>
      </c>
      <c r="T141" s="97" t="b">
        <f>IF(AND(NOT(S141),LEN(W141)&gt;0),TRUE,FALSE)</f>
        <v>0</v>
      </c>
      <c r="U141" s="97" t="str">
        <f>SUBSTITUTE(SUBSTITUTE(SUBSTITUTE("dd"&amp;B141&amp;C141&amp;D141&amp;E141&amp;F141,".","_"),"(","_"),")","")</f>
        <v>dd801_7_2_1</v>
      </c>
      <c r="W141" s="12"/>
      <c r="X141" s="1303"/>
      <c r="AC141" s="441" t="b">
        <f>OR(AD141:AE141)</f>
        <v>0</v>
      </c>
      <c r="AD141" s="441" t="b">
        <f>T141</f>
        <v>0</v>
      </c>
      <c r="AL141" s="311" t="str">
        <f>SUBSTITUTE(SUBSTITUTE(SUBSTITUTE("dpa"&amp;$B141&amp;$C141&amp;$D141&amp;$E141&amp;$F141,".","_"),"(","_"),")","")</f>
        <v>dpa801_7_2_1</v>
      </c>
      <c r="AM141" s="311" t="str">
        <f>M141</f>
        <v>5
15 Max</v>
      </c>
      <c r="AP141" s="311" t="str">
        <f>SUBSTITUTE(SUBSTITUTE(SUBSTITUTE("dch"&amp;$B141&amp;$C141&amp;$D141&amp;$E141&amp;$F141,".","_"),"(","_"),")","")</f>
        <v>dch801_7_2_1</v>
      </c>
      <c r="AQ141" s="311">
        <f>W141</f>
        <v>0</v>
      </c>
      <c r="AR141" s="311" t="str">
        <f>SUBSTITUTE(SUBSTITUTE(SUBSTITUTE("dnt"&amp;$B141&amp;$C141&amp;$D141&amp;$E141&amp;$F141,".","_"),"(","_"),")","")</f>
        <v>dnt801_7_2_1</v>
      </c>
      <c r="AS141" s="311">
        <f>X141</f>
        <v>0</v>
      </c>
    </row>
    <row r="142" spans="1:51" x14ac:dyDescent="0.3">
      <c r="B142" s="938" t="s">
        <v>925</v>
      </c>
      <c r="C142" s="21"/>
      <c r="D142" s="21"/>
      <c r="E142" s="21" t="s">
        <v>271</v>
      </c>
      <c r="F142" s="21"/>
      <c r="G142" s="21"/>
      <c r="H142" s="1084"/>
      <c r="I142" s="66"/>
      <c r="J142" s="238"/>
      <c r="K142" s="238"/>
      <c r="L142" s="250" t="s">
        <v>928</v>
      </c>
      <c r="M142" s="1319"/>
      <c r="N142" s="4"/>
      <c r="O142" s="154"/>
      <c r="X142" s="1303"/>
    </row>
    <row r="143" spans="1:51" ht="15" thickBot="1" x14ac:dyDescent="0.35">
      <c r="B143" s="938" t="s">
        <v>925</v>
      </c>
      <c r="C143" s="21"/>
      <c r="D143" s="21"/>
      <c r="E143" s="21" t="s">
        <v>273</v>
      </c>
      <c r="F143" s="21"/>
      <c r="G143" s="21"/>
      <c r="H143" s="1084"/>
      <c r="I143" s="212"/>
      <c r="J143" s="213" t="s">
        <v>273</v>
      </c>
      <c r="K143" s="270"/>
      <c r="L143" s="448" t="s">
        <v>929</v>
      </c>
      <c r="M143" s="523">
        <v>25</v>
      </c>
      <c r="N143" s="270"/>
      <c r="O143" s="271"/>
      <c r="P143" s="97" t="b">
        <v>0</v>
      </c>
      <c r="Q143" s="789" t="b">
        <v>1</v>
      </c>
      <c r="R143" s="104" t="b">
        <v>0</v>
      </c>
      <c r="S143" s="104" t="b">
        <v>1</v>
      </c>
      <c r="T143" s="104" t="b">
        <v>0</v>
      </c>
      <c r="U143" s="104"/>
      <c r="V143" s="104"/>
      <c r="W143" s="105"/>
      <c r="X143" s="444"/>
      <c r="AC143" s="441" t="b">
        <f>OR(AD143:AE143)</f>
        <v>0</v>
      </c>
      <c r="AD143" s="441" t="b">
        <f>T143</f>
        <v>0</v>
      </c>
      <c r="AE143" s="441" t="b">
        <v>0</v>
      </c>
      <c r="AL143" s="311" t="str">
        <f t="shared" ref="AL143:AL144" si="13">SUBSTITUTE(SUBSTITUTE(SUBSTITUTE("dpa"&amp;$B143&amp;$C143&amp;$D143&amp;$E143&amp;$F143,".","_"),"(","_"),")","")</f>
        <v>dpa801_7_2_2</v>
      </c>
      <c r="AM143" s="311">
        <f>M143</f>
        <v>25</v>
      </c>
      <c r="AP143" s="311" t="str">
        <f t="shared" ref="AP143:AP144" si="14">SUBSTITUTE(SUBSTITUTE(SUBSTITUTE("dch"&amp;$B143&amp;$C143&amp;$D143&amp;$E143&amp;$F143,".","_"),"(","_"),")","")</f>
        <v>dch801_7_2_2</v>
      </c>
      <c r="AQ143" s="311">
        <f>W143</f>
        <v>0</v>
      </c>
      <c r="AR143" s="311" t="str">
        <f>SUBSTITUTE(SUBSTITUTE(SUBSTITUTE("dnt"&amp;$B143&amp;$C143&amp;$D143&amp;$E143&amp;$F143,".","_"),"(","_"),")","")</f>
        <v>dnt801_7_2_2</v>
      </c>
      <c r="AS143" s="311">
        <f>X143</f>
        <v>0</v>
      </c>
    </row>
    <row r="144" spans="1:51" ht="15" thickTop="1" x14ac:dyDescent="0.3">
      <c r="B144" s="938">
        <v>801.8</v>
      </c>
      <c r="C144" s="21"/>
      <c r="D144" s="21"/>
      <c r="E144" s="21"/>
      <c r="F144" s="21"/>
      <c r="G144" s="21"/>
      <c r="H144" s="1084"/>
      <c r="I144" s="66">
        <v>801.8</v>
      </c>
      <c r="J144" s="4"/>
      <c r="K144" s="4"/>
      <c r="L144" s="1292" t="s">
        <v>930</v>
      </c>
      <c r="M144" s="1343">
        <v>1</v>
      </c>
      <c r="N144" s="4"/>
      <c r="O144" s="1336">
        <f>M144*S144*W144</f>
        <v>0</v>
      </c>
      <c r="P144" s="97" t="b">
        <v>0</v>
      </c>
      <c r="Q144" s="789" t="b">
        <v>1</v>
      </c>
      <c r="R144" s="441" t="b">
        <v>0</v>
      </c>
      <c r="S144" s="441" t="b">
        <v>1</v>
      </c>
      <c r="T144" s="441" t="b">
        <v>0</v>
      </c>
      <c r="W144" s="127"/>
      <c r="X144" s="1304"/>
      <c r="AC144" s="441" t="b">
        <f>OR(AD144:AE144)</f>
        <v>0</v>
      </c>
      <c r="AD144" s="441" t="b">
        <f>T144</f>
        <v>0</v>
      </c>
      <c r="AE144" s="441" t="b">
        <v>0</v>
      </c>
      <c r="AL144" s="311" t="str">
        <f t="shared" si="13"/>
        <v>dpa801_8</v>
      </c>
      <c r="AM144" s="311">
        <f>M144</f>
        <v>1</v>
      </c>
      <c r="AN144" s="311" t="str">
        <f>SUBSTITUTE(SUBSTITUTE(SUBSTITUTE("dpc"&amp;$B144&amp;$C144&amp;$D144&amp;$E144&amp;$F144,".","_"),"(","_"),")","")</f>
        <v>dpc801_8</v>
      </c>
      <c r="AO144" s="311">
        <f>O144</f>
        <v>0</v>
      </c>
      <c r="AP144" s="311" t="str">
        <f t="shared" si="14"/>
        <v>dch801_8</v>
      </c>
      <c r="AQ144" s="311">
        <f>W144</f>
        <v>0</v>
      </c>
      <c r="AR144" s="311" t="str">
        <f>SUBSTITUTE(SUBSTITUTE(SUBSTITUTE("dnt"&amp;$B144&amp;$C144&amp;$D144&amp;$E144&amp;$F144,".","_"),"(","_"),")","")</f>
        <v>dnt801_8</v>
      </c>
      <c r="AS144" s="311">
        <f>X144</f>
        <v>0</v>
      </c>
    </row>
    <row r="145" spans="2:45" x14ac:dyDescent="0.3">
      <c r="B145" s="938">
        <v>801.8</v>
      </c>
      <c r="C145" s="21"/>
      <c r="D145" s="21"/>
      <c r="E145" s="21"/>
      <c r="F145" s="21"/>
      <c r="G145" s="21"/>
      <c r="H145" s="1084"/>
      <c r="I145" s="66"/>
      <c r="J145" s="4"/>
      <c r="K145" s="4"/>
      <c r="L145" s="1292"/>
      <c r="M145" s="1335"/>
      <c r="N145" s="4"/>
      <c r="O145" s="1310"/>
      <c r="X145" s="1303"/>
    </row>
    <row r="146" spans="2:45" ht="18" x14ac:dyDescent="0.35">
      <c r="B146" s="938">
        <v>802</v>
      </c>
      <c r="C146" s="21"/>
      <c r="D146" s="21"/>
      <c r="E146" s="21"/>
      <c r="F146" s="21"/>
      <c r="G146" s="21"/>
      <c r="H146" s="1084"/>
      <c r="I146" s="14" t="s">
        <v>931</v>
      </c>
      <c r="J146" s="23"/>
      <c r="K146" s="23"/>
      <c r="L146" s="259"/>
      <c r="M146" s="594"/>
      <c r="N146" s="604"/>
      <c r="O146" s="594"/>
      <c r="P146" s="23"/>
      <c r="Q146" s="23"/>
      <c r="R146" s="23"/>
      <c r="S146" s="23"/>
      <c r="T146" s="23"/>
      <c r="U146" s="23"/>
      <c r="V146" s="23"/>
      <c r="W146" s="23"/>
      <c r="X146" s="23"/>
    </row>
    <row r="147" spans="2:45" x14ac:dyDescent="0.3">
      <c r="B147" s="938">
        <v>802.1</v>
      </c>
      <c r="C147" s="21"/>
      <c r="D147" s="21"/>
      <c r="E147" s="21"/>
      <c r="F147" s="21"/>
      <c r="G147" s="21"/>
      <c r="H147" s="1084"/>
      <c r="I147" s="66">
        <v>802.1</v>
      </c>
      <c r="J147" s="4"/>
      <c r="K147" s="4"/>
      <c r="L147" s="1292" t="s">
        <v>932</v>
      </c>
      <c r="M147" s="522"/>
      <c r="N147" s="4"/>
      <c r="O147" s="1310">
        <f ca="1">MAX(IFERROR(5*MATCH(W151,INDIRECT(U151),0),0)*S151,M153*S153*W153)*S151</f>
        <v>0</v>
      </c>
      <c r="AN147" s="311" t="str">
        <f>SUBSTITUTE(SUBSTITUTE(SUBSTITUTE("dpc"&amp;$B147&amp;$C147&amp;$D147&amp;$E147&amp;$F147,".","_"),"(","_"),")","")</f>
        <v>dpc802_1</v>
      </c>
      <c r="AO147" s="311">
        <f ca="1">O147</f>
        <v>0</v>
      </c>
    </row>
    <row r="148" spans="2:45" x14ac:dyDescent="0.3">
      <c r="B148" s="938">
        <v>802.1</v>
      </c>
      <c r="C148" s="21"/>
      <c r="D148" s="21"/>
      <c r="E148" s="21"/>
      <c r="F148" s="21"/>
      <c r="G148" s="21"/>
      <c r="H148" s="1084"/>
      <c r="I148" s="66"/>
      <c r="J148" s="4"/>
      <c r="K148" s="4"/>
      <c r="L148" s="1292"/>
      <c r="M148" s="522"/>
      <c r="N148" s="4"/>
      <c r="O148" s="1310"/>
    </row>
    <row r="149" spans="2:45" x14ac:dyDescent="0.3">
      <c r="B149" s="938">
        <v>802.1</v>
      </c>
      <c r="C149" s="21"/>
      <c r="D149" s="21"/>
      <c r="E149" s="21"/>
      <c r="F149" s="21"/>
      <c r="G149" s="21"/>
      <c r="H149" s="1084"/>
      <c r="I149" s="66"/>
      <c r="J149" s="4"/>
      <c r="K149" s="4"/>
      <c r="L149" s="181" t="s">
        <v>933</v>
      </c>
      <c r="M149" s="522"/>
      <c r="N149" s="4"/>
      <c r="O149" s="1310"/>
    </row>
    <row r="150" spans="2:45" x14ac:dyDescent="0.3">
      <c r="B150" s="938">
        <v>802.1</v>
      </c>
      <c r="C150" s="21"/>
      <c r="D150" s="21"/>
      <c r="E150" s="21"/>
      <c r="F150" s="21"/>
      <c r="G150" s="21"/>
      <c r="H150" s="1084"/>
      <c r="I150" s="66"/>
      <c r="J150" s="4"/>
      <c r="K150" s="4"/>
      <c r="L150" s="181" t="s">
        <v>934</v>
      </c>
      <c r="M150" s="522"/>
      <c r="N150" s="4"/>
      <c r="O150" s="154"/>
    </row>
    <row r="151" spans="2:45" x14ac:dyDescent="0.3">
      <c r="B151" s="938">
        <v>802.1</v>
      </c>
      <c r="C151" s="21"/>
      <c r="D151" s="21"/>
      <c r="E151" s="21" t="s">
        <v>271</v>
      </c>
      <c r="F151" s="21"/>
      <c r="G151" s="21"/>
      <c r="H151" s="1084"/>
      <c r="I151" s="66"/>
      <c r="J151" s="203" t="s">
        <v>271</v>
      </c>
      <c r="K151" s="140"/>
      <c r="L151" s="446" t="s">
        <v>935</v>
      </c>
      <c r="M151" s="1360" t="s">
        <v>3861</v>
      </c>
      <c r="N151" s="4"/>
      <c r="O151" s="154"/>
      <c r="P151" s="789" t="b">
        <v>1</v>
      </c>
      <c r="Q151" s="789" t="b">
        <v>1</v>
      </c>
      <c r="R151" s="147" t="b">
        <v>0</v>
      </c>
      <c r="S151" s="147" t="b">
        <f>NOT(W167)</f>
        <v>1</v>
      </c>
      <c r="T151" s="97" t="b">
        <f>IF(AND(NOT(S151),LEN(W151)&gt;0),TRUE,FALSE)</f>
        <v>0</v>
      </c>
      <c r="U151" s="97" t="str">
        <f>SUBSTITUTE(SUBSTITUTE(SUBSTITUTE("dd"&amp;B151&amp;C151&amp;D151&amp;E151&amp;F151,".","_"),"(","_"),")","")</f>
        <v>dd802_1_1</v>
      </c>
      <c r="W151" s="12"/>
      <c r="X151" s="1303"/>
      <c r="AC151" s="441" t="b">
        <f>OR(AD151:AE151)</f>
        <v>0</v>
      </c>
      <c r="AD151" s="441" t="b">
        <f>T151</f>
        <v>0</v>
      </c>
      <c r="AL151" s="311" t="str">
        <f>SUBSTITUTE(SUBSTITUTE(SUBSTITUTE("dpa"&amp;$B151&amp;$C151&amp;$D151&amp;$E151&amp;$F151,".","_"),"(","_"),")","")</f>
        <v>dpa802_1_1</v>
      </c>
      <c r="AM151" s="311" t="str">
        <f>M151</f>
        <v>5
20 Max</v>
      </c>
      <c r="AP151" s="311" t="str">
        <f>SUBSTITUTE(SUBSTITUTE(SUBSTITUTE("dch"&amp;$B151&amp;$C151&amp;$D151&amp;$E151&amp;$F151,".","_"),"(","_"),")","")</f>
        <v>dch802_1_1</v>
      </c>
      <c r="AQ151" s="311">
        <f>W151</f>
        <v>0</v>
      </c>
      <c r="AR151" s="311" t="str">
        <f>SUBSTITUTE(SUBSTITUTE(SUBSTITUTE("dnt"&amp;$B151&amp;$C151&amp;$D151&amp;$E151&amp;$F151,".","_"),"(","_"),")","")</f>
        <v>dnt802_1_1</v>
      </c>
      <c r="AS151" s="311">
        <f>X151</f>
        <v>0</v>
      </c>
    </row>
    <row r="152" spans="2:45" x14ac:dyDescent="0.3">
      <c r="B152" s="938">
        <v>802.1</v>
      </c>
      <c r="C152" s="21"/>
      <c r="D152" s="21"/>
      <c r="E152" s="21" t="s">
        <v>271</v>
      </c>
      <c r="F152" s="21"/>
      <c r="G152" s="21"/>
      <c r="H152" s="1084"/>
      <c r="I152" s="66"/>
      <c r="J152" s="238"/>
      <c r="K152" s="238"/>
      <c r="L152" s="250" t="s">
        <v>936</v>
      </c>
      <c r="M152" s="1319"/>
      <c r="N152" s="4"/>
      <c r="O152" s="154"/>
      <c r="X152" s="1303"/>
    </row>
    <row r="153" spans="2:45" ht="15" thickBot="1" x14ac:dyDescent="0.35">
      <c r="B153" s="938">
        <v>802.1</v>
      </c>
      <c r="C153" s="21"/>
      <c r="D153" s="21"/>
      <c r="E153" s="21" t="s">
        <v>273</v>
      </c>
      <c r="F153" s="21"/>
      <c r="G153" s="21"/>
      <c r="H153" s="1084"/>
      <c r="I153" s="212"/>
      <c r="J153" s="213" t="s">
        <v>273</v>
      </c>
      <c r="K153" s="270"/>
      <c r="L153" s="448" t="s">
        <v>937</v>
      </c>
      <c r="M153" s="523">
        <v>10</v>
      </c>
      <c r="N153" s="270"/>
      <c r="O153" s="271"/>
      <c r="P153" s="789" t="b">
        <v>1</v>
      </c>
      <c r="Q153" s="789" t="b">
        <v>1</v>
      </c>
      <c r="R153" s="104" t="b">
        <v>0</v>
      </c>
      <c r="S153" s="104" t="b">
        <f>NOT(W167)</f>
        <v>1</v>
      </c>
      <c r="T153" s="104" t="b">
        <f>IF(AND(NOT(S153),W153=TRUE),TRUE,FALSE)</f>
        <v>0</v>
      </c>
      <c r="U153" s="104"/>
      <c r="V153" s="104"/>
      <c r="W153" s="105"/>
      <c r="X153" s="444"/>
      <c r="AC153" s="441" t="b">
        <f>OR(AD153:AE153)</f>
        <v>0</v>
      </c>
      <c r="AD153" s="441" t="b">
        <f>T153</f>
        <v>0</v>
      </c>
      <c r="AE153" s="441" t="b">
        <v>0</v>
      </c>
      <c r="AL153" s="311" t="str">
        <f t="shared" ref="AL153:AL154" si="15">SUBSTITUTE(SUBSTITUTE(SUBSTITUTE("dpa"&amp;$B153&amp;$C153&amp;$D153&amp;$E153&amp;$F153,".","_"),"(","_"),")","")</f>
        <v>dpa802_1_2</v>
      </c>
      <c r="AM153" s="311">
        <f>M153</f>
        <v>10</v>
      </c>
      <c r="AP153" s="311" t="str">
        <f>SUBSTITUTE(SUBSTITUTE(SUBSTITUTE("dch"&amp;$B153&amp;$C153&amp;$D153&amp;$E153&amp;$F153,".","_"),"(","_"),")","")</f>
        <v>dch802_1_2</v>
      </c>
      <c r="AQ153" s="311">
        <f>W153</f>
        <v>0</v>
      </c>
      <c r="AR153" s="311" t="str">
        <f>SUBSTITUTE(SUBSTITUTE(SUBSTITUTE("dnt"&amp;$B153&amp;$C153&amp;$D153&amp;$E153&amp;$F153,".","_"),"(","_"),")","")</f>
        <v>dnt802_1_2</v>
      </c>
      <c r="AS153" s="311">
        <f>X153</f>
        <v>0</v>
      </c>
    </row>
    <row r="154" spans="2:45" ht="15" thickTop="1" x14ac:dyDescent="0.3">
      <c r="B154" s="938">
        <v>802.2</v>
      </c>
      <c r="C154" s="21"/>
      <c r="D154" s="21"/>
      <c r="E154" s="21"/>
      <c r="F154" s="21"/>
      <c r="G154" s="21"/>
      <c r="H154" s="1084"/>
      <c r="I154" s="200">
        <v>802.2</v>
      </c>
      <c r="J154" s="201"/>
      <c r="K154" s="201"/>
      <c r="L154" s="1331" t="s">
        <v>938</v>
      </c>
      <c r="M154" s="1359" t="s">
        <v>939</v>
      </c>
      <c r="N154" s="201"/>
      <c r="O154" s="1336">
        <f>W155*3</f>
        <v>0</v>
      </c>
      <c r="P154" s="110"/>
      <c r="Q154" s="110"/>
      <c r="R154" s="110"/>
      <c r="S154" s="110"/>
      <c r="T154" s="110"/>
      <c r="U154" s="110"/>
      <c r="V154" s="110"/>
      <c r="W154" s="110" t="s">
        <v>3860</v>
      </c>
      <c r="X154" s="1327"/>
      <c r="AL154" s="311" t="str">
        <f t="shared" si="15"/>
        <v>dpa802_2</v>
      </c>
      <c r="AM154" s="311" t="str">
        <f>M154</f>
        <v>3 per roughed in system</v>
      </c>
      <c r="AN154" s="311" t="str">
        <f>SUBSTITUTE(SUBSTITUTE(SUBSTITUTE("dpc"&amp;$B154&amp;$C154&amp;$D154&amp;$E154&amp;$F154,".","_"),"(","_"),")","")</f>
        <v>dpc802_2</v>
      </c>
      <c r="AO154" s="311">
        <f>O154</f>
        <v>0</v>
      </c>
      <c r="AR154" s="311" t="str">
        <f>SUBSTITUTE(SUBSTITUTE(SUBSTITUTE("dnt"&amp;$B154&amp;$C154&amp;$D154&amp;$E154&amp;$F154,".","_"),"(","_"),")","")</f>
        <v>dnt802_2</v>
      </c>
      <c r="AS154" s="311">
        <f>X154</f>
        <v>0</v>
      </c>
    </row>
    <row r="155" spans="2:45" x14ac:dyDescent="0.3">
      <c r="B155" s="938">
        <v>802.2</v>
      </c>
      <c r="C155" s="21"/>
      <c r="D155" s="21"/>
      <c r="E155" s="21"/>
      <c r="F155" s="21"/>
      <c r="G155" s="21"/>
      <c r="H155" s="1084"/>
      <c r="I155" s="141"/>
      <c r="J155" s="140"/>
      <c r="K155" s="140"/>
      <c r="L155" s="1313"/>
      <c r="M155" s="1360"/>
      <c r="N155" s="140"/>
      <c r="O155" s="1308"/>
      <c r="P155" s="789" t="b">
        <v>1</v>
      </c>
      <c r="Q155" s="789" t="b">
        <v>1</v>
      </c>
      <c r="R155" s="97" t="b">
        <v>0</v>
      </c>
      <c r="S155" s="97" t="b">
        <v>1</v>
      </c>
      <c r="T155" s="97" t="b">
        <f>IF(AND(NOT(S155),LEN(W155)&gt;0),TRUE,FALSE)</f>
        <v>0</v>
      </c>
      <c r="U155" s="97"/>
      <c r="V155" s="97"/>
      <c r="W155" s="460"/>
      <c r="X155" s="1295"/>
      <c r="AC155" s="441" t="b">
        <f>OR(AD155:AE155)</f>
        <v>0</v>
      </c>
      <c r="AD155" s="441" t="b">
        <f>T155</f>
        <v>0</v>
      </c>
      <c r="AP155" s="311" t="str">
        <f>SUBSTITUTE(SUBSTITUTE(SUBSTITUTE("dch"&amp;$B155&amp;$C155&amp;$D155&amp;$E155&amp;$F155,".","_"),"(","_"),")","")</f>
        <v>dch802_2</v>
      </c>
      <c r="AQ155" s="311">
        <f>W155</f>
        <v>0</v>
      </c>
    </row>
    <row r="156" spans="2:45" ht="15" thickBot="1" x14ac:dyDescent="0.35">
      <c r="B156" s="938">
        <v>802.2</v>
      </c>
      <c r="C156" s="21"/>
      <c r="D156" s="21"/>
      <c r="E156" s="21"/>
      <c r="F156" s="21"/>
      <c r="G156" s="21"/>
      <c r="H156" s="1084"/>
      <c r="I156" s="212"/>
      <c r="J156" s="270"/>
      <c r="K156" s="270"/>
      <c r="L156" s="1332"/>
      <c r="M156" s="1421"/>
      <c r="N156" s="270"/>
      <c r="O156" s="1315"/>
      <c r="P156" s="104"/>
      <c r="Q156" s="104"/>
      <c r="R156" s="104"/>
      <c r="S156" s="104"/>
      <c r="T156" s="104"/>
      <c r="U156" s="104"/>
      <c r="V156" s="104"/>
      <c r="W156" s="104"/>
      <c r="X156" s="1296"/>
    </row>
    <row r="157" spans="2:45" ht="15" thickTop="1" x14ac:dyDescent="0.3">
      <c r="B157" s="938">
        <v>802.3</v>
      </c>
      <c r="C157" s="21"/>
      <c r="D157" s="21"/>
      <c r="E157" s="21"/>
      <c r="F157" s="21"/>
      <c r="G157" s="21"/>
      <c r="H157" s="1084"/>
      <c r="I157" s="66">
        <v>802.3</v>
      </c>
      <c r="J157" s="4"/>
      <c r="K157" s="4"/>
      <c r="L157" s="1389" t="s">
        <v>940</v>
      </c>
      <c r="M157" s="1335">
        <v>2</v>
      </c>
      <c r="N157" s="4"/>
      <c r="O157" s="1310">
        <f>IFERROR(2*OR(W160,W161),0)*S160</f>
        <v>0</v>
      </c>
      <c r="AL157" s="311" t="str">
        <f>SUBSTITUTE(SUBSTITUTE(SUBSTITUTE("dpa"&amp;$B157&amp;$C157&amp;$D157&amp;$E157&amp;$F157,".","_"),"(","_"),")","")</f>
        <v>dpa802_3</v>
      </c>
      <c r="AM157" s="311">
        <f>M157</f>
        <v>2</v>
      </c>
      <c r="AN157" s="311" t="str">
        <f>SUBSTITUTE(SUBSTITUTE(SUBSTITUTE("dpc"&amp;$B157&amp;$C157&amp;$D157&amp;$E157&amp;$F157,".","_"),"(","_"),")","")</f>
        <v>dpc802_3</v>
      </c>
      <c r="AO157" s="311">
        <f>O157</f>
        <v>0</v>
      </c>
    </row>
    <row r="158" spans="2:45" x14ac:dyDescent="0.3">
      <c r="B158" s="938">
        <v>802.3</v>
      </c>
      <c r="C158" s="21"/>
      <c r="D158" s="21"/>
      <c r="E158" s="21"/>
      <c r="F158" s="21"/>
      <c r="G158" s="21"/>
      <c r="H158" s="1084"/>
      <c r="I158" s="66"/>
      <c r="J158" s="4"/>
      <c r="K158" s="4"/>
      <c r="L158" s="1389"/>
      <c r="M158" s="1335"/>
      <c r="N158" s="4"/>
      <c r="O158" s="1310"/>
    </row>
    <row r="159" spans="2:45" x14ac:dyDescent="0.3">
      <c r="B159" s="938">
        <v>802.3</v>
      </c>
      <c r="C159" s="21"/>
      <c r="D159" s="21"/>
      <c r="E159" s="21"/>
      <c r="F159" s="21"/>
      <c r="G159" s="21"/>
      <c r="H159" s="1084"/>
      <c r="I159" s="66"/>
      <c r="J159" s="4"/>
      <c r="K159" s="4"/>
      <c r="L159" s="1389"/>
      <c r="M159" s="1335"/>
      <c r="N159" s="4"/>
      <c r="O159" s="1310"/>
    </row>
    <row r="160" spans="2:45" x14ac:dyDescent="0.3">
      <c r="B160" s="938">
        <v>802.3</v>
      </c>
      <c r="C160" s="21"/>
      <c r="D160" s="21"/>
      <c r="E160" s="21" t="s">
        <v>271</v>
      </c>
      <c r="F160" s="21"/>
      <c r="G160" s="21"/>
      <c r="H160" s="1084"/>
      <c r="I160" s="141"/>
      <c r="J160" s="231" t="s">
        <v>271</v>
      </c>
      <c r="K160" s="238"/>
      <c r="L160" s="447" t="s">
        <v>941</v>
      </c>
      <c r="M160" s="518"/>
      <c r="N160" s="140"/>
      <c r="O160" s="269"/>
      <c r="P160" s="97" t="b">
        <v>0</v>
      </c>
      <c r="Q160" s="789" t="b">
        <v>1</v>
      </c>
      <c r="R160" s="97" t="b">
        <v>0</v>
      </c>
      <c r="S160" s="97" t="b">
        <v>1</v>
      </c>
      <c r="T160" s="97" t="b">
        <f>IF(AND(NOT(S160),W160=TRUE),TRUE,FALSE)</f>
        <v>0</v>
      </c>
      <c r="U160" s="97"/>
      <c r="V160" s="97"/>
      <c r="W160" s="452"/>
      <c r="X160" s="443"/>
      <c r="AC160" s="441" t="b">
        <f>OR(AD160:AE160)</f>
        <v>0</v>
      </c>
      <c r="AD160" s="441" t="b">
        <f>T160</f>
        <v>0</v>
      </c>
      <c r="AE160" s="441" t="b">
        <v>0</v>
      </c>
      <c r="AP160" s="311" t="str">
        <f t="shared" ref="AP160:AP162" si="16">SUBSTITUTE(SUBSTITUTE(SUBSTITUTE("dch"&amp;$B160&amp;$C160&amp;$D160&amp;$E160&amp;$F160,".","_"),"(","_"),")","")</f>
        <v>dch802_3_1</v>
      </c>
      <c r="AQ160" s="311">
        <f>W160</f>
        <v>0</v>
      </c>
      <c r="AR160" s="311" t="str">
        <f>SUBSTITUTE(SUBSTITUTE(SUBSTITUTE("dnt"&amp;$B160&amp;$C160&amp;$D160&amp;$E160&amp;$F160,".","_"),"(","_"),")","")</f>
        <v>dnt802_3_1</v>
      </c>
      <c r="AS160" s="311">
        <f>X160</f>
        <v>0</v>
      </c>
    </row>
    <row r="161" spans="2:45" ht="15" thickBot="1" x14ac:dyDescent="0.35">
      <c r="B161" s="938">
        <v>802.3</v>
      </c>
      <c r="C161" s="21"/>
      <c r="D161" s="21"/>
      <c r="E161" s="21" t="s">
        <v>273</v>
      </c>
      <c r="F161" s="21"/>
      <c r="G161" s="21"/>
      <c r="H161" s="1084"/>
      <c r="I161" s="212"/>
      <c r="J161" s="213" t="s">
        <v>273</v>
      </c>
      <c r="K161" s="270"/>
      <c r="L161" s="448" t="s">
        <v>942</v>
      </c>
      <c r="M161" s="523"/>
      <c r="N161" s="270"/>
      <c r="O161" s="271"/>
      <c r="P161" s="97" t="b">
        <v>0</v>
      </c>
      <c r="Q161" s="789" t="b">
        <v>1</v>
      </c>
      <c r="R161" s="104" t="b">
        <v>0</v>
      </c>
      <c r="S161" s="104" t="b">
        <v>1</v>
      </c>
      <c r="T161" s="104" t="b">
        <f>IF(AND(NOT(S161),W161=TRUE),TRUE,FALSE)</f>
        <v>0</v>
      </c>
      <c r="U161" s="104"/>
      <c r="V161" s="104"/>
      <c r="W161" s="105"/>
      <c r="X161" s="444"/>
      <c r="AC161" s="441" t="b">
        <f>OR(AD161:AE161)</f>
        <v>0</v>
      </c>
      <c r="AD161" s="441" t="b">
        <f>T161</f>
        <v>0</v>
      </c>
      <c r="AE161" s="441" t="b">
        <v>0</v>
      </c>
      <c r="AP161" s="311" t="str">
        <f t="shared" si="16"/>
        <v>dch802_3_2</v>
      </c>
      <c r="AQ161" s="311">
        <f>W161</f>
        <v>0</v>
      </c>
      <c r="AR161" s="311" t="str">
        <f>SUBSTITUTE(SUBSTITUTE(SUBSTITUTE("dnt"&amp;$B161&amp;$C161&amp;$D161&amp;$E161&amp;$F161,".","_"),"(","_"),")","")</f>
        <v>dnt802_3_2</v>
      </c>
      <c r="AS161" s="311">
        <f>X161</f>
        <v>0</v>
      </c>
    </row>
    <row r="162" spans="2:45" ht="15" thickTop="1" x14ac:dyDescent="0.3">
      <c r="B162" s="938">
        <v>802.4</v>
      </c>
      <c r="C162" s="21"/>
      <c r="D162" s="21"/>
      <c r="E162" s="21"/>
      <c r="F162" s="21"/>
      <c r="G162" s="21"/>
      <c r="H162" s="1084"/>
      <c r="I162" s="200">
        <v>802.4</v>
      </c>
      <c r="J162" s="201"/>
      <c r="K162" s="201"/>
      <c r="L162" s="1331" t="s">
        <v>943</v>
      </c>
      <c r="M162" s="1343">
        <v>20</v>
      </c>
      <c r="N162" s="201"/>
      <c r="O162" s="1336">
        <f>M162*S162*W162</f>
        <v>0</v>
      </c>
      <c r="P162" s="97" t="b">
        <v>0</v>
      </c>
      <c r="Q162" s="789" t="b">
        <v>1</v>
      </c>
      <c r="R162" s="110" t="b">
        <v>0</v>
      </c>
      <c r="S162" s="110" t="b">
        <v>1</v>
      </c>
      <c r="T162" s="110" t="b">
        <f>IF(AND(NOT(S162),W162=TRUE),TRUE,FALSE)</f>
        <v>0</v>
      </c>
      <c r="U162" s="110"/>
      <c r="V162" s="110"/>
      <c r="W162" s="459"/>
      <c r="X162" s="1327"/>
      <c r="AC162" s="441" t="b">
        <f>OR(AD162:AE162)</f>
        <v>0</v>
      </c>
      <c r="AD162" s="441" t="b">
        <f>T162</f>
        <v>0</v>
      </c>
      <c r="AE162" s="441" t="b">
        <v>0</v>
      </c>
      <c r="AL162" s="311" t="str">
        <f>SUBSTITUTE(SUBSTITUTE(SUBSTITUTE("dpa"&amp;$B162&amp;$C162&amp;$D162&amp;$E162&amp;$F162,".","_"),"(","_"),")","")</f>
        <v>dpa802_4</v>
      </c>
      <c r="AM162" s="311">
        <f>M162</f>
        <v>20</v>
      </c>
      <c r="AN162" s="311" t="str">
        <f>SUBSTITUTE(SUBSTITUTE(SUBSTITUTE("dpc"&amp;$B162&amp;$C162&amp;$D162&amp;$E162&amp;$F162,".","_"),"(","_"),")","")</f>
        <v>dpc802_4</v>
      </c>
      <c r="AO162" s="311">
        <f>O162</f>
        <v>0</v>
      </c>
      <c r="AP162" s="311" t="str">
        <f t="shared" si="16"/>
        <v>dch802_4</v>
      </c>
      <c r="AQ162" s="311">
        <f>W162</f>
        <v>0</v>
      </c>
      <c r="AR162" s="311" t="str">
        <f>SUBSTITUTE(SUBSTITUTE(SUBSTITUTE("dnt"&amp;$B162&amp;$C162&amp;$D162&amp;$E162&amp;$F162,".","_"),"(","_"),")","")</f>
        <v>dnt802_4</v>
      </c>
      <c r="AS162" s="311">
        <f>X162</f>
        <v>0</v>
      </c>
    </row>
    <row r="163" spans="2:45" x14ac:dyDescent="0.3">
      <c r="B163" s="938">
        <v>802.4</v>
      </c>
      <c r="C163" s="21"/>
      <c r="D163" s="21"/>
      <c r="E163" s="21"/>
      <c r="F163" s="21"/>
      <c r="G163" s="21"/>
      <c r="H163" s="1084"/>
      <c r="I163" s="141"/>
      <c r="J163" s="140"/>
      <c r="K163" s="140"/>
      <c r="L163" s="1313"/>
      <c r="M163" s="1318"/>
      <c r="N163" s="140"/>
      <c r="O163" s="1308"/>
      <c r="P163" s="97"/>
      <c r="Q163" s="97"/>
      <c r="R163" s="97"/>
      <c r="S163" s="97"/>
      <c r="T163" s="97"/>
      <c r="U163" s="97"/>
      <c r="V163" s="97"/>
      <c r="W163" s="97"/>
      <c r="X163" s="1295"/>
    </row>
    <row r="164" spans="2:45" ht="15" thickBot="1" x14ac:dyDescent="0.35">
      <c r="B164" s="938"/>
      <c r="C164" s="21"/>
      <c r="D164" s="21"/>
      <c r="E164" s="21"/>
      <c r="F164" s="21"/>
      <c r="G164" s="21"/>
      <c r="H164" s="1084"/>
      <c r="I164" s="212"/>
      <c r="J164" s="270"/>
      <c r="K164" s="270"/>
      <c r="L164" s="1332"/>
      <c r="M164" s="1334"/>
      <c r="N164" s="270"/>
      <c r="O164" s="1315"/>
      <c r="P164" s="104"/>
      <c r="Q164" s="104"/>
      <c r="R164" s="104"/>
      <c r="S164" s="104"/>
      <c r="T164" s="104"/>
      <c r="U164" s="104"/>
      <c r="V164" s="104"/>
      <c r="W164" s="104"/>
      <c r="X164" s="1296"/>
    </row>
    <row r="165" spans="2:45" ht="15" thickTop="1" x14ac:dyDescent="0.3">
      <c r="B165" s="938"/>
      <c r="C165" s="21"/>
      <c r="D165" s="21"/>
      <c r="E165" s="21"/>
      <c r="F165" s="21"/>
      <c r="G165" s="21"/>
      <c r="H165" s="1084"/>
      <c r="I165" s="200">
        <v>802.5</v>
      </c>
      <c r="J165" s="201"/>
      <c r="K165" s="201"/>
      <c r="L165" s="1427" t="s">
        <v>944</v>
      </c>
      <c r="M165" s="1343">
        <v>1</v>
      </c>
      <c r="N165" s="201"/>
      <c r="O165" s="1336">
        <f>M165*S165*W165</f>
        <v>0</v>
      </c>
      <c r="P165" s="97" t="b">
        <v>0</v>
      </c>
      <c r="Q165" s="789" t="b">
        <v>1</v>
      </c>
      <c r="R165" s="110" t="b">
        <v>0</v>
      </c>
      <c r="S165" s="110" t="b">
        <v>1</v>
      </c>
      <c r="T165" s="110" t="b">
        <f>IF(AND(NOT(S165),W165=TRUE),TRUE,FALSE)</f>
        <v>0</v>
      </c>
      <c r="U165" s="110"/>
      <c r="V165" s="110"/>
      <c r="W165" s="459"/>
      <c r="X165" s="1327"/>
      <c r="AC165" s="441" t="b">
        <f>OR(AD165:AE165)</f>
        <v>0</v>
      </c>
      <c r="AD165" s="441" t="b">
        <f>T165</f>
        <v>0</v>
      </c>
      <c r="AE165" s="441" t="b">
        <v>0</v>
      </c>
      <c r="AL165" s="311" t="str">
        <f>SUBSTITUTE(SUBSTITUTE(SUBSTITUTE("dpa"&amp;$B165&amp;$C165&amp;$D165&amp;$E165&amp;$F165,".","_"),"(","_"),")","")</f>
        <v>dpa</v>
      </c>
      <c r="AM165" s="311">
        <f>M165</f>
        <v>1</v>
      </c>
      <c r="AN165" s="311" t="str">
        <f>SUBSTITUTE(SUBSTITUTE(SUBSTITUTE("dpc"&amp;$B165&amp;$C165&amp;$D165&amp;$E165&amp;$F165,".","_"),"(","_"),")","")</f>
        <v>dpc</v>
      </c>
      <c r="AO165" s="311">
        <f>O165</f>
        <v>0</v>
      </c>
      <c r="AP165" s="311" t="str">
        <f>SUBSTITUTE(SUBSTITUTE(SUBSTITUTE("dch"&amp;$B165&amp;$C165&amp;$D165&amp;$E165&amp;$F165,".","_"),"(","_"),")","")</f>
        <v>dch</v>
      </c>
      <c r="AQ165" s="311">
        <f>W165</f>
        <v>0</v>
      </c>
      <c r="AR165" s="311" t="str">
        <f>SUBSTITUTE(SUBSTITUTE(SUBSTITUTE("dnt"&amp;$B165&amp;$C165&amp;$D165&amp;$E165&amp;$F165,".","_"),"(","_"),")","")</f>
        <v>dnt</v>
      </c>
      <c r="AS165" s="311">
        <f>X165</f>
        <v>0</v>
      </c>
    </row>
    <row r="166" spans="2:45" ht="15" thickBot="1" x14ac:dyDescent="0.35">
      <c r="B166" s="938"/>
      <c r="C166" s="21"/>
      <c r="D166" s="21"/>
      <c r="E166" s="21"/>
      <c r="F166" s="21"/>
      <c r="G166" s="21"/>
      <c r="H166" s="1084"/>
      <c r="I166" s="212"/>
      <c r="J166" s="270"/>
      <c r="K166" s="270"/>
      <c r="L166" s="1428"/>
      <c r="M166" s="1334"/>
      <c r="N166" s="270"/>
      <c r="O166" s="1315"/>
      <c r="P166" s="104"/>
      <c r="Q166" s="104"/>
      <c r="R166" s="104"/>
      <c r="S166" s="104"/>
      <c r="T166" s="104"/>
      <c r="U166" s="104"/>
      <c r="V166" s="104"/>
      <c r="W166" s="104"/>
      <c r="X166" s="1296"/>
    </row>
    <row r="167" spans="2:45" ht="15" thickTop="1" x14ac:dyDescent="0.3">
      <c r="B167" s="938"/>
      <c r="C167" s="21"/>
      <c r="D167" s="21"/>
      <c r="E167" s="21"/>
      <c r="F167" s="21"/>
      <c r="G167" s="21"/>
      <c r="H167" s="1084"/>
      <c r="I167" s="66">
        <v>802.6</v>
      </c>
      <c r="J167" s="4"/>
      <c r="K167" s="4"/>
      <c r="L167" s="1292" t="s">
        <v>945</v>
      </c>
      <c r="M167" s="1335">
        <v>20</v>
      </c>
      <c r="N167" s="4"/>
      <c r="O167" s="1310">
        <f>M167*S167*W167</f>
        <v>0</v>
      </c>
      <c r="P167" s="97" t="b">
        <v>0</v>
      </c>
      <c r="Q167" s="789" t="b">
        <v>1</v>
      </c>
      <c r="R167" s="147" t="b">
        <v>0</v>
      </c>
      <c r="S167" s="147" t="b">
        <f>NOT(OR(LEN(W151)&gt;0,W153))</f>
        <v>1</v>
      </c>
      <c r="T167" s="97" t="b">
        <f>IF(AND(NOT(S167),W167=TRUE),TRUE,FALSE)</f>
        <v>0</v>
      </c>
      <c r="W167" s="127"/>
      <c r="X167" s="1304"/>
      <c r="AC167" s="441" t="b">
        <f>OR(AD167:AE167)</f>
        <v>0</v>
      </c>
      <c r="AD167" s="441" t="b">
        <f>T167</f>
        <v>0</v>
      </c>
      <c r="AE167" s="441" t="b">
        <v>0</v>
      </c>
      <c r="AL167" s="311" t="str">
        <f>SUBSTITUTE(SUBSTITUTE(SUBSTITUTE("dpa"&amp;$B167&amp;$C167&amp;$D167&amp;$E167&amp;$F167,".","_"),"(","_"),")","")</f>
        <v>dpa</v>
      </c>
      <c r="AM167" s="311">
        <f>M167</f>
        <v>20</v>
      </c>
      <c r="AN167" s="311" t="str">
        <f>SUBSTITUTE(SUBSTITUTE(SUBSTITUTE("dpc"&amp;$B167&amp;$C167&amp;$D167&amp;$E167&amp;$F167,".","_"),"(","_"),")","")</f>
        <v>dpc</v>
      </c>
      <c r="AO167" s="311">
        <f>O167</f>
        <v>0</v>
      </c>
      <c r="AP167" s="311" t="str">
        <f>SUBSTITUTE(SUBSTITUTE(SUBSTITUTE("dch"&amp;$B167&amp;$C167&amp;$D167&amp;$E167&amp;$F167,".","_"),"(","_"),")","")</f>
        <v>dch</v>
      </c>
      <c r="AQ167" s="311">
        <f>W167</f>
        <v>0</v>
      </c>
      <c r="AR167" s="311" t="str">
        <f>SUBSTITUTE(SUBSTITUTE(SUBSTITUTE("dnt"&amp;$B167&amp;$C167&amp;$D167&amp;$E167&amp;$F167,".","_"),"(","_"),")","")</f>
        <v>dnt</v>
      </c>
      <c r="AS167" s="311">
        <f>X167</f>
        <v>0</v>
      </c>
    </row>
    <row r="168" spans="2:45" x14ac:dyDescent="0.3">
      <c r="B168" s="938"/>
      <c r="C168" s="21"/>
      <c r="D168" s="21"/>
      <c r="E168" s="21"/>
      <c r="F168" s="21"/>
      <c r="G168" s="21"/>
      <c r="H168" s="1084"/>
      <c r="I168" s="66"/>
      <c r="J168" s="4"/>
      <c r="K168" s="4"/>
      <c r="L168" s="1292"/>
      <c r="M168" s="1335"/>
      <c r="N168" s="4"/>
      <c r="O168" s="1310"/>
      <c r="X168" s="1303"/>
    </row>
    <row r="169" spans="2:45" ht="15" thickBot="1" x14ac:dyDescent="0.35">
      <c r="B169" s="938"/>
      <c r="C169" s="21"/>
      <c r="D169" s="21"/>
      <c r="E169" s="21"/>
      <c r="F169" s="21"/>
      <c r="G169" s="21"/>
      <c r="H169" s="1084"/>
      <c r="I169" s="66"/>
      <c r="J169" s="4"/>
      <c r="K169" s="4"/>
      <c r="L169" s="181" t="s">
        <v>934</v>
      </c>
      <c r="M169" s="1335"/>
      <c r="N169" s="4"/>
      <c r="O169" s="1310"/>
      <c r="X169" s="1303"/>
    </row>
    <row r="170" spans="2:45" ht="15.6" thickTop="1" thickBot="1" x14ac:dyDescent="0.35">
      <c r="I170" s="225" t="s">
        <v>3864</v>
      </c>
      <c r="J170" s="226"/>
      <c r="K170" s="226"/>
      <c r="L170" s="226"/>
      <c r="M170" s="227"/>
      <c r="N170" s="226"/>
      <c r="O170" s="228"/>
      <c r="P170" s="226"/>
      <c r="Q170" s="226"/>
      <c r="R170" s="226"/>
      <c r="S170" s="226"/>
      <c r="T170" s="226"/>
      <c r="U170" s="226"/>
      <c r="V170" s="226"/>
      <c r="W170" s="226"/>
      <c r="X170" s="326" t="s">
        <v>3865</v>
      </c>
    </row>
    <row r="171" spans="2:45" ht="15" thickTop="1" x14ac:dyDescent="0.3"/>
  </sheetData>
  <sheetProtection algorithmName="SHA-512" hashValue="pLmh5TyPEZFUoebzHbcH9daA2mnvRH3ee/ljVjlOdCdaIJmh7qTOHiRiPOBnog75NvNDbgr1su6lrcgEYiRAuA==" saltValue="Gvbr2fPEl2tCBdunChQP5A==" spinCount="100000" sheet="1" objects="1" scenarios="1" selectLockedCells="1"/>
  <mergeCells count="151">
    <mergeCell ref="O11:O15"/>
    <mergeCell ref="M25:M26"/>
    <mergeCell ref="M27:M28"/>
    <mergeCell ref="M29:M30"/>
    <mergeCell ref="M31:M33"/>
    <mergeCell ref="L60:L62"/>
    <mergeCell ref="L51:L52"/>
    <mergeCell ref="L63:L64"/>
    <mergeCell ref="X4:X5"/>
    <mergeCell ref="Q6:Q7"/>
    <mergeCell ref="X6:X7"/>
    <mergeCell ref="R6:R7"/>
    <mergeCell ref="S6:S7"/>
    <mergeCell ref="T6:T7"/>
    <mergeCell ref="X25:X35"/>
    <mergeCell ref="X36:X40"/>
    <mergeCell ref="X41:X43"/>
    <mergeCell ref="X54:X62"/>
    <mergeCell ref="N6:N7"/>
    <mergeCell ref="P6:P7"/>
    <mergeCell ref="I1:L1"/>
    <mergeCell ref="M1:W5"/>
    <mergeCell ref="I2:L2"/>
    <mergeCell ref="I3:L3"/>
    <mergeCell ref="I4:L4"/>
    <mergeCell ref="I5:L5"/>
    <mergeCell ref="V6:V7"/>
    <mergeCell ref="W6:W7"/>
    <mergeCell ref="U6:U7"/>
    <mergeCell ref="L71:L72"/>
    <mergeCell ref="L74:L76"/>
    <mergeCell ref="L78:L79"/>
    <mergeCell ref="L85:L87"/>
    <mergeCell ref="L81:L82"/>
    <mergeCell ref="L83:L84"/>
    <mergeCell ref="I6:K7"/>
    <mergeCell ref="L6:L7"/>
    <mergeCell ref="M6:M7"/>
    <mergeCell ref="L11:L15"/>
    <mergeCell ref="L16:L18"/>
    <mergeCell ref="L25:L26"/>
    <mergeCell ref="L27:L28"/>
    <mergeCell ref="L19:L21"/>
    <mergeCell ref="L29:L30"/>
    <mergeCell ref="L31:L33"/>
    <mergeCell ref="L34:L35"/>
    <mergeCell ref="L41:L43"/>
    <mergeCell ref="L36:L40"/>
    <mergeCell ref="L44:L45"/>
    <mergeCell ref="L49:L50"/>
    <mergeCell ref="M60:M62"/>
    <mergeCell ref="L54:L59"/>
    <mergeCell ref="M56:M59"/>
    <mergeCell ref="L165:L166"/>
    <mergeCell ref="L167:L168"/>
    <mergeCell ref="L144:L145"/>
    <mergeCell ref="L147:L148"/>
    <mergeCell ref="L154:L156"/>
    <mergeCell ref="L157:L159"/>
    <mergeCell ref="L108:L109"/>
    <mergeCell ref="L110:L112"/>
    <mergeCell ref="L116:L117"/>
    <mergeCell ref="L119:L120"/>
    <mergeCell ref="L138:L140"/>
    <mergeCell ref="L125:L126"/>
    <mergeCell ref="L123:L124"/>
    <mergeCell ref="L129:L130"/>
    <mergeCell ref="L133:L134"/>
    <mergeCell ref="L135:L137"/>
    <mergeCell ref="L113:L114"/>
    <mergeCell ref="L121:L122"/>
    <mergeCell ref="L162:L164"/>
    <mergeCell ref="L88:L90"/>
    <mergeCell ref="L92:L93"/>
    <mergeCell ref="L95:L97"/>
    <mergeCell ref="L98:L99"/>
    <mergeCell ref="L102:L104"/>
    <mergeCell ref="M123:M124"/>
    <mergeCell ref="M83:M84"/>
    <mergeCell ref="M85:M87"/>
    <mergeCell ref="M157:M159"/>
    <mergeCell ref="M151:M152"/>
    <mergeCell ref="O85:O87"/>
    <mergeCell ref="M98:M99"/>
    <mergeCell ref="M94:M97"/>
    <mergeCell ref="O94:O97"/>
    <mergeCell ref="O98:O99"/>
    <mergeCell ref="O78:O80"/>
    <mergeCell ref="M34:M35"/>
    <mergeCell ref="M36:M40"/>
    <mergeCell ref="M41:M43"/>
    <mergeCell ref="O41:O43"/>
    <mergeCell ref="O47:O48"/>
    <mergeCell ref="O54:O59"/>
    <mergeCell ref="O63:O64"/>
    <mergeCell ref="M73:M76"/>
    <mergeCell ref="O73:O76"/>
    <mergeCell ref="O68:O69"/>
    <mergeCell ref="M68:M69"/>
    <mergeCell ref="M54:M55"/>
    <mergeCell ref="M78:M80"/>
    <mergeCell ref="M167:M169"/>
    <mergeCell ref="M165:M166"/>
    <mergeCell ref="M162:M164"/>
    <mergeCell ref="O157:O159"/>
    <mergeCell ref="O162:O164"/>
    <mergeCell ref="O165:O166"/>
    <mergeCell ref="O167:O169"/>
    <mergeCell ref="O154:O156"/>
    <mergeCell ref="M154:M156"/>
    <mergeCell ref="O147:O149"/>
    <mergeCell ref="O123:O124"/>
    <mergeCell ref="M133:M134"/>
    <mergeCell ref="M135:M137"/>
    <mergeCell ref="M141:M142"/>
    <mergeCell ref="O138:O140"/>
    <mergeCell ref="M102:M104"/>
    <mergeCell ref="M110:M112"/>
    <mergeCell ref="M119:M120"/>
    <mergeCell ref="M116:M117"/>
    <mergeCell ref="O102:O104"/>
    <mergeCell ref="O116:O118"/>
    <mergeCell ref="O119:O120"/>
    <mergeCell ref="O108:O109"/>
    <mergeCell ref="M108:M109"/>
    <mergeCell ref="M144:M145"/>
    <mergeCell ref="O144:O145"/>
    <mergeCell ref="H1:H7"/>
    <mergeCell ref="X165:X166"/>
    <mergeCell ref="X167:X169"/>
    <mergeCell ref="X47:X52"/>
    <mergeCell ref="X141:X142"/>
    <mergeCell ref="X144:X145"/>
    <mergeCell ref="X151:X152"/>
    <mergeCell ref="X154:X156"/>
    <mergeCell ref="X162:X164"/>
    <mergeCell ref="X110:X112"/>
    <mergeCell ref="X116:X117"/>
    <mergeCell ref="X119:X122"/>
    <mergeCell ref="X123:X124"/>
    <mergeCell ref="X127:X137"/>
    <mergeCell ref="X85:X90"/>
    <mergeCell ref="X94:X97"/>
    <mergeCell ref="X98:X99"/>
    <mergeCell ref="X102:X104"/>
    <mergeCell ref="X108:X109"/>
    <mergeCell ref="X63:X67"/>
    <mergeCell ref="X68:X69"/>
    <mergeCell ref="X73:X76"/>
    <mergeCell ref="X78:X80"/>
    <mergeCell ref="X83:X84"/>
  </mergeCells>
  <conditionalFormatting sqref="X2">
    <cfRule type="expression" dxfId="2945" priority="184">
      <formula>$AG$3</formula>
    </cfRule>
  </conditionalFormatting>
  <conditionalFormatting sqref="X3">
    <cfRule type="expression" dxfId="2944" priority="185">
      <formula>$AI$3</formula>
    </cfRule>
  </conditionalFormatting>
  <conditionalFormatting sqref="W106">
    <cfRule type="expression" dxfId="2943" priority="159">
      <formula>OR($T$106 = TRUE, AND($W$106 = TRUE, $S$106 = FALSE))</formula>
    </cfRule>
    <cfRule type="expression" dxfId="2942" priority="160">
      <formula>$S$106 = FALSE</formula>
    </cfRule>
    <cfRule type="expression" dxfId="2941" priority="161">
      <formula>AND(IF($R$106,$W$106,TRUE),LEN(TRIM($W$106))&gt;0)</formula>
    </cfRule>
    <cfRule type="expression" dxfId="2940" priority="162">
      <formula>AND($R$106,$S$106)</formula>
    </cfRule>
  </conditionalFormatting>
  <conditionalFormatting sqref="W107">
    <cfRule type="expression" dxfId="2939" priority="155">
      <formula>OR($T$107 = TRUE, AND($W$107 = TRUE, $S$107 = FALSE))</formula>
    </cfRule>
    <cfRule type="expression" dxfId="2938" priority="156">
      <formula>$S$107 = FALSE</formula>
    </cfRule>
    <cfRule type="expression" dxfId="2937" priority="157">
      <formula>AND(IF($R$107,$W$107,TRUE),LEN(TRIM($W$107))&gt;0)</formula>
    </cfRule>
    <cfRule type="expression" dxfId="2936" priority="158">
      <formula>AND($R$107,$S$107)</formula>
    </cfRule>
  </conditionalFormatting>
  <conditionalFormatting sqref="W108">
    <cfRule type="expression" dxfId="2935" priority="151">
      <formula>OR($T$108 = TRUE, AND($W$108 = TRUE, $S$108 = FALSE))</formula>
    </cfRule>
    <cfRule type="expression" dxfId="2934" priority="152">
      <formula>$S$108 = FALSE</formula>
    </cfRule>
    <cfRule type="expression" dxfId="2933" priority="153">
      <formula>AND(IF($R$108,$W$108,TRUE),LEN(TRIM($W$108))&gt;0)</formula>
    </cfRule>
    <cfRule type="expression" dxfId="2932" priority="154">
      <formula>AND($R$108,$S$108)</formula>
    </cfRule>
  </conditionalFormatting>
  <conditionalFormatting sqref="W46">
    <cfRule type="expression" dxfId="2931" priority="147">
      <formula>OR($T$46 = TRUE, AND($W$46 = TRUE, $S$46 = FALSE))</formula>
    </cfRule>
    <cfRule type="expression" dxfId="2930" priority="148">
      <formula>$S$46 = FALSE</formula>
    </cfRule>
    <cfRule type="expression" dxfId="2929" priority="149">
      <formula>AND(IF($R$46,$W$46,TRUE),LEN(TRIM($W$46))&gt;0)</formula>
    </cfRule>
    <cfRule type="expression" dxfId="2928" priority="150">
      <formula>AND($R$46,$S$46)</formula>
    </cfRule>
  </conditionalFormatting>
  <conditionalFormatting sqref="W12">
    <cfRule type="expression" dxfId="2927" priority="139">
      <formula>OR($T$12 = TRUE, AND(LEN(TRIM($W$12))&gt;0, $S$12 = FALSE))</formula>
    </cfRule>
    <cfRule type="expression" dxfId="2926" priority="140">
      <formula>$S$12 = FALSE</formula>
    </cfRule>
    <cfRule type="expression" dxfId="2925" priority="141">
      <formula>AND($W$12&lt;&gt;"Not Met",LEN(TRIM($W$12))&gt;0)</formula>
    </cfRule>
    <cfRule type="expression" dxfId="2924" priority="142">
      <formula>AND($R$12,$S$12)</formula>
    </cfRule>
  </conditionalFormatting>
  <conditionalFormatting sqref="W41">
    <cfRule type="expression" dxfId="2923" priority="135">
      <formula>OR($T$41 = TRUE, AND($W$41 = TRUE, $S$41 = FALSE))</formula>
    </cfRule>
    <cfRule type="expression" dxfId="2922" priority="136">
      <formula>$S$41 = FALSE</formula>
    </cfRule>
    <cfRule type="expression" dxfId="2921" priority="137">
      <formula>AND(IF($R$41,$W$41,TRUE),LEN(TRIM($W$41))&gt;0)</formula>
    </cfRule>
    <cfRule type="expression" dxfId="2920" priority="138">
      <formula>AND($R$41,$S$41)</formula>
    </cfRule>
  </conditionalFormatting>
  <conditionalFormatting sqref="W47">
    <cfRule type="expression" dxfId="2919" priority="131">
      <formula>OR($T$47 = TRUE, AND(LEN(TRIM($W$47))&gt;0, $S$47 = FALSE))</formula>
    </cfRule>
    <cfRule type="expression" dxfId="2918" priority="132">
      <formula>$S$47 = FALSE</formula>
    </cfRule>
    <cfRule type="expression" dxfId="2917" priority="133">
      <formula>AND($W$47&lt;&gt;"Not Met",LEN(TRIM($W$47))&gt;0)</formula>
    </cfRule>
    <cfRule type="expression" dxfId="2916" priority="134">
      <formula>AND($R$47,$S$47)</formula>
    </cfRule>
  </conditionalFormatting>
  <conditionalFormatting sqref="W54">
    <cfRule type="expression" dxfId="2915" priority="127">
      <formula>OR($T$54 = TRUE, AND(LEN(TRIM($W$54))&gt;0, $S$54 = FALSE))</formula>
    </cfRule>
    <cfRule type="expression" dxfId="2914" priority="128">
      <formula>$S$54 = FALSE</formula>
    </cfRule>
    <cfRule type="expression" dxfId="2913" priority="129">
      <formula>AND($W$54&lt;&gt;"Not Met",LEN(TRIM($W$54))&gt;0)</formula>
    </cfRule>
    <cfRule type="expression" dxfId="2912" priority="130">
      <formula>AND($R$54,$S$54)</formula>
    </cfRule>
  </conditionalFormatting>
  <conditionalFormatting sqref="W63">
    <cfRule type="expression" dxfId="2911" priority="123">
      <formula>OR($T$63 = TRUE, AND(LEN(TRIM($W$63))&gt;0, $S$63 = FALSE))</formula>
    </cfRule>
    <cfRule type="expression" dxfId="2910" priority="124">
      <formula>$S$63 = FALSE</formula>
    </cfRule>
    <cfRule type="expression" dxfId="2909" priority="125">
      <formula>AND($W$63&lt;&gt;"Not Met",LEN(TRIM($W$63))&gt;0)</formula>
    </cfRule>
    <cfRule type="expression" dxfId="2908" priority="126">
      <formula>AND($R$63,$S$63)</formula>
    </cfRule>
  </conditionalFormatting>
  <conditionalFormatting sqref="W68">
    <cfRule type="expression" dxfId="2907" priority="119">
      <formula>OR($T$68 = TRUE, AND(LEN(TRIM($W$68))&gt;0, $S$68 = FALSE))</formula>
    </cfRule>
    <cfRule type="expression" dxfId="2906" priority="120">
      <formula>$S$68 = FALSE</formula>
    </cfRule>
    <cfRule type="expression" dxfId="2905" priority="121">
      <formula>AND($W$68&lt;&gt;"Not Met",LEN(TRIM($W$68))&gt;0)</formula>
    </cfRule>
    <cfRule type="expression" dxfId="2904" priority="122">
      <formula>AND($R$68,$S$68)</formula>
    </cfRule>
  </conditionalFormatting>
  <conditionalFormatting sqref="W73">
    <cfRule type="expression" dxfId="2903" priority="115">
      <formula>OR($T$73 = TRUE, AND(LEN(TRIM($W$73))&gt;0, $S$73 = FALSE))</formula>
    </cfRule>
    <cfRule type="expression" dxfId="2902" priority="116">
      <formula>$S$73 = FALSE</formula>
    </cfRule>
    <cfRule type="expression" dxfId="2901" priority="117">
      <formula>AND($W$73&lt;&gt;"Not Met",LEN(TRIM($W$73))&gt;0)</formula>
    </cfRule>
    <cfRule type="expression" dxfId="2900" priority="118">
      <formula>AND($R$73,$S$73)</formula>
    </cfRule>
  </conditionalFormatting>
  <conditionalFormatting sqref="W77">
    <cfRule type="expression" dxfId="2899" priority="111">
      <formula>OR($T$77 = TRUE, AND($W$77 = TRUE, $S$77 = FALSE))</formula>
    </cfRule>
    <cfRule type="expression" dxfId="2898" priority="112">
      <formula>$S$77 = FALSE</formula>
    </cfRule>
    <cfRule type="expression" dxfId="2897" priority="113">
      <formula>AND(IF($R$77,$W$77,TRUE),LEN(TRIM($W$77))&gt;0)</formula>
    </cfRule>
    <cfRule type="expression" dxfId="2896" priority="114">
      <formula>AND($R$77,$S$77)</formula>
    </cfRule>
  </conditionalFormatting>
  <conditionalFormatting sqref="W78">
    <cfRule type="expression" dxfId="2895" priority="103">
      <formula>OR($T$78 = TRUE, AND(LEN(TRIM($W$78))&gt;0, $S$78 = FALSE))</formula>
    </cfRule>
    <cfRule type="expression" dxfId="2894" priority="104">
      <formula>$S$78 = FALSE</formula>
    </cfRule>
    <cfRule type="expression" dxfId="2893" priority="105">
      <formula>AND($W$78&lt;&gt;"Not Met",LEN(TRIM($W$78))&gt;0)</formula>
    </cfRule>
    <cfRule type="expression" dxfId="2892" priority="106">
      <formula>AND($R$78,$S$78)</formula>
    </cfRule>
  </conditionalFormatting>
  <conditionalFormatting sqref="M83:M84">
    <cfRule type="expression" dxfId="2891" priority="102">
      <formula>NOT(O91&gt;0)</formula>
    </cfRule>
  </conditionalFormatting>
  <conditionalFormatting sqref="W91">
    <cfRule type="expression" dxfId="2890" priority="98">
      <formula>OR($T$91 = TRUE, AND($W$91 = TRUE, $S$91 = FALSE))</formula>
    </cfRule>
    <cfRule type="expression" dxfId="2889" priority="99">
      <formula>$S$91 = FALSE</formula>
    </cfRule>
    <cfRule type="expression" dxfId="2888" priority="100">
      <formula>AND(IF($R$91,$W$91,TRUE),LEN(TRIM($W$91))&gt;0)</formula>
    </cfRule>
    <cfRule type="expression" dxfId="2887" priority="101">
      <formula>AND($R$91,$S$91)</formula>
    </cfRule>
  </conditionalFormatting>
  <conditionalFormatting sqref="W98">
    <cfRule type="expression" dxfId="2886" priority="94">
      <formula>OR($T$98 = TRUE, AND($W$98 = TRUE, $S$98 = FALSE))</formula>
    </cfRule>
    <cfRule type="expression" dxfId="2885" priority="95">
      <formula>$S$98 = FALSE</formula>
    </cfRule>
    <cfRule type="expression" dxfId="2884" priority="96">
      <formula>AND(IF($R$98,$W$98,TRUE),LEN(TRIM($W$98))&gt;0)</formula>
    </cfRule>
    <cfRule type="expression" dxfId="2883" priority="97">
      <formula>AND($R$98,$S$98)</formula>
    </cfRule>
  </conditionalFormatting>
  <conditionalFormatting sqref="W100">
    <cfRule type="expression" dxfId="2882" priority="93">
      <formula>AND($R$100,$S$100)</formula>
    </cfRule>
  </conditionalFormatting>
  <conditionalFormatting sqref="W100">
    <cfRule type="expression" dxfId="2881" priority="92">
      <formula>AND(IF($R$100,$W$100,TRUE),LEN(TRIM($W$100))&gt;0)</formula>
    </cfRule>
  </conditionalFormatting>
  <conditionalFormatting sqref="W100">
    <cfRule type="expression" dxfId="2880" priority="91">
      <formula>$S$100 = FALSE</formula>
    </cfRule>
  </conditionalFormatting>
  <conditionalFormatting sqref="W100">
    <cfRule type="expression" dxfId="2879" priority="90">
      <formula>OR($T$100 = TRUE, AND($W$100 = TRUE, $S$100 = FALSE))</formula>
    </cfRule>
  </conditionalFormatting>
  <conditionalFormatting sqref="W85">
    <cfRule type="expression" dxfId="2878" priority="89">
      <formula>AND($R$85,$S$85)</formula>
    </cfRule>
  </conditionalFormatting>
  <conditionalFormatting sqref="W85">
    <cfRule type="expression" dxfId="2877" priority="88">
      <formula>AND($W$85&lt;&gt;"Not Met",LEN(TRIM($W$85))&gt;0)</formula>
    </cfRule>
  </conditionalFormatting>
  <conditionalFormatting sqref="W85">
    <cfRule type="expression" dxfId="2876" priority="87">
      <formula>$S$85 = FALSE</formula>
    </cfRule>
  </conditionalFormatting>
  <conditionalFormatting sqref="W85">
    <cfRule type="expression" dxfId="2875" priority="86">
      <formula>OR($T$85 = TRUE, AND(LEN(TRIM($W$85))&gt;0, $S$85 = FALSE))</formula>
    </cfRule>
  </conditionalFormatting>
  <conditionalFormatting sqref="W94">
    <cfRule type="expression" dxfId="2874" priority="85">
      <formula>AND($R$94,$S$94)</formula>
    </cfRule>
  </conditionalFormatting>
  <conditionalFormatting sqref="W94">
    <cfRule type="expression" dxfId="2873" priority="84">
      <formula>AND($W$94&lt;&gt;"Not Met",LEN(TRIM($W$94))&gt;0)</formula>
    </cfRule>
  </conditionalFormatting>
  <conditionalFormatting sqref="W94">
    <cfRule type="expression" dxfId="2872" priority="83">
      <formula>$S$94 = FALSE</formula>
    </cfRule>
  </conditionalFormatting>
  <conditionalFormatting sqref="W94">
    <cfRule type="expression" dxfId="2871" priority="82">
      <formula>OR($T$94 = TRUE, AND(LEN(TRIM($W$94))&gt;0, $S$94 = FALSE))</formula>
    </cfRule>
  </conditionalFormatting>
  <conditionalFormatting sqref="W102">
    <cfRule type="expression" dxfId="2870" priority="81">
      <formula>AND($R$102,$S$102)</formula>
    </cfRule>
  </conditionalFormatting>
  <conditionalFormatting sqref="W102">
    <cfRule type="expression" dxfId="2869" priority="80">
      <formula>AND(IF($R$102,$W$102,TRUE),LEN(TRIM($W$102))&gt;0)</formula>
    </cfRule>
  </conditionalFormatting>
  <conditionalFormatting sqref="W102">
    <cfRule type="expression" dxfId="2868" priority="79">
      <formula>$S$102 = FALSE</formula>
    </cfRule>
  </conditionalFormatting>
  <conditionalFormatting sqref="W102">
    <cfRule type="expression" dxfId="2867" priority="78">
      <formula>OR($T$102 = TRUE, AND($W$102 = TRUE, $S$102 = FALSE))</formula>
    </cfRule>
  </conditionalFormatting>
  <conditionalFormatting sqref="W116">
    <cfRule type="expression" dxfId="2866" priority="73">
      <formula>AND($R$116,$S$116)</formula>
    </cfRule>
  </conditionalFormatting>
  <conditionalFormatting sqref="W116">
    <cfRule type="expression" dxfId="2865" priority="72">
      <formula>AND(IF($R$116,$W$116,TRUE),LEN(TRIM($W$116))&gt;0)</formula>
    </cfRule>
  </conditionalFormatting>
  <conditionalFormatting sqref="W116">
    <cfRule type="expression" dxfId="2864" priority="71">
      <formula>$S$116 = FALSE</formula>
    </cfRule>
  </conditionalFormatting>
  <conditionalFormatting sqref="W116">
    <cfRule type="expression" dxfId="2863" priority="70">
      <formula>OR($T$116 = TRUE, AND($W$116 = TRUE, $S$116 = FALSE))</formula>
    </cfRule>
  </conditionalFormatting>
  <conditionalFormatting sqref="W118">
    <cfRule type="expression" dxfId="2862" priority="69">
      <formula>AND($R$118,$S$118)</formula>
    </cfRule>
  </conditionalFormatting>
  <conditionalFormatting sqref="W118">
    <cfRule type="expression" dxfId="2861" priority="68">
      <formula>AND(IF($R$118,$W$118,TRUE),LEN(TRIM($W$118))&gt;0)</formula>
    </cfRule>
  </conditionalFormatting>
  <conditionalFormatting sqref="W118">
    <cfRule type="expression" dxfId="2860" priority="67">
      <formula>$S$118 = FALSE</formula>
    </cfRule>
  </conditionalFormatting>
  <conditionalFormatting sqref="W118">
    <cfRule type="expression" dxfId="2859" priority="66">
      <formula>OR($T$118 = TRUE, AND($W$118 = TRUE, $S$118 = FALSE))</formula>
    </cfRule>
  </conditionalFormatting>
  <conditionalFormatting sqref="W119">
    <cfRule type="expression" dxfId="2858" priority="65">
      <formula>AND($R$119,$S$119)</formula>
    </cfRule>
  </conditionalFormatting>
  <conditionalFormatting sqref="W119">
    <cfRule type="expression" dxfId="2857" priority="64">
      <formula>AND(IF($R$119,$W$119,TRUE),LEN(TRIM($W$119))&gt;0)</formula>
    </cfRule>
  </conditionalFormatting>
  <conditionalFormatting sqref="W119">
    <cfRule type="expression" dxfId="2856" priority="63">
      <formula>$S$119 = FALSE</formula>
    </cfRule>
  </conditionalFormatting>
  <conditionalFormatting sqref="W119">
    <cfRule type="expression" dxfId="2855" priority="62">
      <formula>OR($T$119 = TRUE, AND($W$119 = TRUE, $S$119 = FALSE))</formula>
    </cfRule>
  </conditionalFormatting>
  <conditionalFormatting sqref="W123">
    <cfRule type="expression" dxfId="2854" priority="61">
      <formula>AND($R$123,$S$123)</formula>
    </cfRule>
  </conditionalFormatting>
  <conditionalFormatting sqref="W123">
    <cfRule type="expression" dxfId="2853" priority="60">
      <formula>AND(IF($R$123,$W$123,TRUE),LEN(TRIM($W$123))&gt;0)</formula>
    </cfRule>
  </conditionalFormatting>
  <conditionalFormatting sqref="W123">
    <cfRule type="expression" dxfId="2852" priority="59">
      <formula>$S$123 = FALSE</formula>
    </cfRule>
  </conditionalFormatting>
  <conditionalFormatting sqref="W123">
    <cfRule type="expression" dxfId="2851" priority="58">
      <formula>OR($T$123 = TRUE, AND($W$123 = TRUE, $S$123 = FALSE))</formula>
    </cfRule>
  </conditionalFormatting>
  <conditionalFormatting sqref="W127">
    <cfRule type="expression" dxfId="2850" priority="57">
      <formula>AND($R$127,$S$127)</formula>
    </cfRule>
  </conditionalFormatting>
  <conditionalFormatting sqref="W127">
    <cfRule type="expression" dxfId="2849" priority="56">
      <formula>AND($W$127&lt;&gt;"Not Met",LEN(TRIM($W$127))&gt;0)</formula>
    </cfRule>
  </conditionalFormatting>
  <conditionalFormatting sqref="W127">
    <cfRule type="expression" dxfId="2848" priority="55">
      <formula>$S$127 = FALSE</formula>
    </cfRule>
  </conditionalFormatting>
  <conditionalFormatting sqref="W127">
    <cfRule type="expression" dxfId="2847" priority="54">
      <formula>OR($T$127 = TRUE, AND(LEN(TRIM($W$127))&gt;0, $S$127 = FALSE))</formula>
    </cfRule>
  </conditionalFormatting>
  <conditionalFormatting sqref="W144">
    <cfRule type="expression" dxfId="2846" priority="53">
      <formula>AND($R$144,$S$144)</formula>
    </cfRule>
  </conditionalFormatting>
  <conditionalFormatting sqref="W144">
    <cfRule type="expression" dxfId="2845" priority="52">
      <formula>AND(IF($R$144,$W$144,TRUE),LEN(TRIM($W$144))&gt;0)</formula>
    </cfRule>
  </conditionalFormatting>
  <conditionalFormatting sqref="W144">
    <cfRule type="expression" dxfId="2844" priority="51">
      <formula>$S$144 = FALSE</formula>
    </cfRule>
  </conditionalFormatting>
  <conditionalFormatting sqref="W144">
    <cfRule type="expression" dxfId="2843" priority="50">
      <formula>OR($T$144 = TRUE, AND($W$144 = TRUE, $S$144 = FALSE))</formula>
    </cfRule>
  </conditionalFormatting>
  <conditionalFormatting sqref="W143">
    <cfRule type="expression" dxfId="2842" priority="49">
      <formula>AND($R$143,$S$143)</formula>
    </cfRule>
  </conditionalFormatting>
  <conditionalFormatting sqref="W143">
    <cfRule type="expression" dxfId="2841" priority="48">
      <formula>AND(IF($R$143,$W$143,TRUE),LEN(TRIM($W$143))&gt;0)</formula>
    </cfRule>
  </conditionalFormatting>
  <conditionalFormatting sqref="W143">
    <cfRule type="expression" dxfId="2840" priority="47">
      <formula>$S$143 = FALSE</formula>
    </cfRule>
  </conditionalFormatting>
  <conditionalFormatting sqref="W143">
    <cfRule type="expression" dxfId="2839" priority="46">
      <formula>OR($T$143 = TRUE, AND($W$143 = TRUE, $S$143 = FALSE))</formula>
    </cfRule>
  </conditionalFormatting>
  <conditionalFormatting sqref="W141">
    <cfRule type="expression" dxfId="2838" priority="45">
      <formula>AND($R$141,$S$141)</formula>
    </cfRule>
  </conditionalFormatting>
  <conditionalFormatting sqref="W141">
    <cfRule type="expression" dxfId="2837" priority="44">
      <formula>AND($W$141&lt;&gt;"Not Met",LEN(TRIM($W$141))&gt;0)</formula>
    </cfRule>
  </conditionalFormatting>
  <conditionalFormatting sqref="W141">
    <cfRule type="expression" dxfId="2836" priority="43">
      <formula>$S$141 = FALSE</formula>
    </cfRule>
  </conditionalFormatting>
  <conditionalFormatting sqref="W141">
    <cfRule type="expression" dxfId="2835" priority="42">
      <formula>OR($T$141 = TRUE, AND(LEN(TRIM($W$141))&gt;0, $S$141 = FALSE))</formula>
    </cfRule>
  </conditionalFormatting>
  <conditionalFormatting sqref="W167">
    <cfRule type="expression" dxfId="2834" priority="41">
      <formula>AND($R$167,$S$167)</formula>
    </cfRule>
  </conditionalFormatting>
  <conditionalFormatting sqref="W167">
    <cfRule type="expression" dxfId="2833" priority="40">
      <formula>AND(IF($R$167,$W$167,TRUE),LEN(TRIM($W$167))&gt;0)</formula>
    </cfRule>
  </conditionalFormatting>
  <conditionalFormatting sqref="W167">
    <cfRule type="expression" dxfId="2832" priority="39">
      <formula>$S$167 = FALSE</formula>
    </cfRule>
  </conditionalFormatting>
  <conditionalFormatting sqref="W167">
    <cfRule type="expression" dxfId="2831" priority="38">
      <formula>OR($T$167 = TRUE, AND($W$167 = TRUE, $S$167 = FALSE))</formula>
    </cfRule>
  </conditionalFormatting>
  <conditionalFormatting sqref="W165">
    <cfRule type="expression" dxfId="2830" priority="37">
      <formula>AND($R$165,$S$165)</formula>
    </cfRule>
  </conditionalFormatting>
  <conditionalFormatting sqref="W165">
    <cfRule type="expression" dxfId="2829" priority="36">
      <formula>AND(IF($R$165,$W$165,TRUE),LEN(TRIM($W$165))&gt;0)</formula>
    </cfRule>
  </conditionalFormatting>
  <conditionalFormatting sqref="W165">
    <cfRule type="expression" dxfId="2828" priority="35">
      <formula>$S$165 = FALSE</formula>
    </cfRule>
  </conditionalFormatting>
  <conditionalFormatting sqref="W165">
    <cfRule type="expression" dxfId="2827" priority="34">
      <formula>OR($T$165 = TRUE, AND($W$165 = TRUE, $S$165 = FALSE))</formula>
    </cfRule>
  </conditionalFormatting>
  <conditionalFormatting sqref="W162">
    <cfRule type="expression" dxfId="2826" priority="33">
      <formula>AND($R$162,$S$162)</formula>
    </cfRule>
  </conditionalFormatting>
  <conditionalFormatting sqref="W162">
    <cfRule type="expression" dxfId="2825" priority="32">
      <formula>AND(IF($R$162,$W$162,TRUE),LEN(TRIM($W$162))&gt;0)</formula>
    </cfRule>
  </conditionalFormatting>
  <conditionalFormatting sqref="W162">
    <cfRule type="expression" dxfId="2824" priority="31">
      <formula>$S$162 = FALSE</formula>
    </cfRule>
  </conditionalFormatting>
  <conditionalFormatting sqref="W162">
    <cfRule type="expression" dxfId="2823" priority="30">
      <formula>OR($T$162 = TRUE, AND($W$162 = TRUE, $S$162 = FALSE))</formula>
    </cfRule>
  </conditionalFormatting>
  <conditionalFormatting sqref="W160">
    <cfRule type="expression" dxfId="2822" priority="29">
      <formula>AND($R$160,$S$160)</formula>
    </cfRule>
  </conditionalFormatting>
  <conditionalFormatting sqref="W160">
    <cfRule type="expression" dxfId="2821" priority="28">
      <formula>AND(IF($R$160,$W$160,TRUE),LEN(TRIM($W$160))&gt;0)</formula>
    </cfRule>
  </conditionalFormatting>
  <conditionalFormatting sqref="W160">
    <cfRule type="expression" dxfId="2820" priority="27">
      <formula>$S$160 = FALSE</formula>
    </cfRule>
  </conditionalFormatting>
  <conditionalFormatting sqref="W160">
    <cfRule type="expression" dxfId="2819" priority="26">
      <formula>OR($T$160 = TRUE, AND($W$160 = TRUE, $S$160 = FALSE))</formula>
    </cfRule>
  </conditionalFormatting>
  <conditionalFormatting sqref="W161">
    <cfRule type="expression" dxfId="2818" priority="25">
      <formula>AND($R$161,$S$161)</formula>
    </cfRule>
  </conditionalFormatting>
  <conditionalFormatting sqref="W161">
    <cfRule type="expression" dxfId="2817" priority="24">
      <formula>AND(IF($R$161,$W$161,TRUE),LEN(TRIM($W$161))&gt;0)</formula>
    </cfRule>
  </conditionalFormatting>
  <conditionalFormatting sqref="W161">
    <cfRule type="expression" dxfId="2816" priority="23">
      <formula>$S$161 = FALSE</formula>
    </cfRule>
  </conditionalFormatting>
  <conditionalFormatting sqref="W161">
    <cfRule type="expression" dxfId="2815" priority="22">
      <formula>OR($T$161 = TRUE, AND($W$161 = TRUE, $S$161 = FALSE))</formula>
    </cfRule>
  </conditionalFormatting>
  <conditionalFormatting sqref="W153">
    <cfRule type="expression" dxfId="2814" priority="21">
      <formula>AND($R$153,$S$153)</formula>
    </cfRule>
  </conditionalFormatting>
  <conditionalFormatting sqref="W153">
    <cfRule type="expression" dxfId="2813" priority="20">
      <formula>AND(IF($R$153,$W$153,TRUE),LEN(TRIM($W$153))&gt;0)</formula>
    </cfRule>
  </conditionalFormatting>
  <conditionalFormatting sqref="W153">
    <cfRule type="expression" dxfId="2812" priority="19">
      <formula>$S$153 = FALSE</formula>
    </cfRule>
  </conditionalFormatting>
  <conditionalFormatting sqref="W153">
    <cfRule type="expression" dxfId="2811" priority="18">
      <formula>OR($T$153 = TRUE, AND($W$153 = TRUE, $S$153 = FALSE))</formula>
    </cfRule>
  </conditionalFormatting>
  <conditionalFormatting sqref="W155">
    <cfRule type="expression" dxfId="2810" priority="17">
      <formula>AND(R155,S155)</formula>
    </cfRule>
  </conditionalFormatting>
  <conditionalFormatting sqref="W155">
    <cfRule type="expression" dxfId="2809" priority="16">
      <formula>AND(R155,LEN(TRIM(W155))&gt;0)</formula>
    </cfRule>
  </conditionalFormatting>
  <conditionalFormatting sqref="W155">
    <cfRule type="expression" dxfId="2808" priority="15">
      <formula>S155 = FALSE</formula>
    </cfRule>
  </conditionalFormatting>
  <conditionalFormatting sqref="W155">
    <cfRule type="expression" dxfId="2807" priority="14">
      <formula>OR(T155 = TRUE, AND(W155 &gt; 0, S155 = FALSE))</formula>
    </cfRule>
  </conditionalFormatting>
  <conditionalFormatting sqref="W151">
    <cfRule type="expression" dxfId="2806" priority="13">
      <formula>AND($R$151,$S$151)</formula>
    </cfRule>
  </conditionalFormatting>
  <conditionalFormatting sqref="W151">
    <cfRule type="expression" dxfId="2805" priority="12">
      <formula>AND($W$151&lt;&gt;"Not Met",LEN(TRIM($W$151))&gt;0)</formula>
    </cfRule>
  </conditionalFormatting>
  <conditionalFormatting sqref="W151">
    <cfRule type="expression" dxfId="2804" priority="11">
      <formula>$S$151 = FALSE</formula>
    </cfRule>
  </conditionalFormatting>
  <conditionalFormatting sqref="W151">
    <cfRule type="expression" dxfId="2803" priority="10">
      <formula>OR($T$151 = TRUE, AND(LEN(TRIM($W$151))&gt;0, $S$151 = FALSE))</formula>
    </cfRule>
  </conditionalFormatting>
  <conditionalFormatting sqref="I1">
    <cfRule type="expression" dxfId="2802" priority="6">
      <formula>$AG$1="Gold"</formula>
    </cfRule>
    <cfRule type="expression" dxfId="2801" priority="7">
      <formula>$AG$1="Silver"</formula>
    </cfRule>
    <cfRule type="expression" dxfId="2800" priority="8">
      <formula>$AG$1="Bronze"</formula>
    </cfRule>
    <cfRule type="expression" dxfId="2799" priority="9">
      <formula>$AG$1="Emerald"</formula>
    </cfRule>
  </conditionalFormatting>
  <conditionalFormatting sqref="X1">
    <cfRule type="expression" dxfId="2798" priority="5">
      <formula>startError</formula>
    </cfRule>
  </conditionalFormatting>
  <conditionalFormatting sqref="W110">
    <cfRule type="expression" dxfId="2797" priority="4">
      <formula>AND($R$110,$S$110)</formula>
    </cfRule>
  </conditionalFormatting>
  <conditionalFormatting sqref="W110">
    <cfRule type="expression" dxfId="2796" priority="3">
      <formula>AND($W$110&lt;&gt;"Not Met",LEN(TRIM($W$110))&gt;0)</formula>
    </cfRule>
  </conditionalFormatting>
  <conditionalFormatting sqref="W110">
    <cfRule type="expression" dxfId="2795" priority="2">
      <formula>$S$110 = FALSE</formula>
    </cfRule>
  </conditionalFormatting>
  <conditionalFormatting sqref="W110">
    <cfRule type="expression" dxfId="2794" priority="1">
      <formula>OR($T$110 = TRUE, AND(LEN(TRIM($W$110))&gt;0, $S$110 = FALSE))</formula>
    </cfRule>
  </conditionalFormatting>
  <dataValidations count="15">
    <dataValidation type="list" allowBlank="1" showDropDown="1" showInputMessage="1" showErrorMessage="1" error="Use Checkbox" prompt="Use Checkbox" sqref="W41 W46 W106:W108 W77 W118:W119 W116 W153 W102 W100 W98 W91 W143:W144 W123 W165 W167 W160:W162" xr:uid="{00000000-0002-0000-0600-000000000000}">
      <formula1>TorF</formula1>
    </dataValidation>
    <dataValidation type="list" allowBlank="1" showInputMessage="1" showErrorMessage="1" error="Please use the dropdown." sqref="W12" xr:uid="{00000000-0002-0000-0600-000001000000}">
      <formula1>INDIRECT($U$12)</formula1>
    </dataValidation>
    <dataValidation type="list" allowBlank="1" showInputMessage="1" showErrorMessage="1" error="Please use the dropdown." sqref="W47" xr:uid="{00000000-0002-0000-0600-000002000000}">
      <formula1>INDIRECT($U$47)</formula1>
    </dataValidation>
    <dataValidation type="list" allowBlank="1" showInputMessage="1" showErrorMessage="1" error="Please use the dropdown." sqref="W54" xr:uid="{00000000-0002-0000-0600-000003000000}">
      <formula1>INDIRECT($U$54)</formula1>
    </dataValidation>
    <dataValidation type="list" allowBlank="1" showInputMessage="1" showErrorMessage="1" error="Please use the dropdown." sqref="W63" xr:uid="{00000000-0002-0000-0600-000004000000}">
      <formula1>INDIRECT($U$63)</formula1>
    </dataValidation>
    <dataValidation type="list" allowBlank="1" showInputMessage="1" showErrorMessage="1" error="Please use the dropdown." sqref="W68" xr:uid="{00000000-0002-0000-0600-000005000000}">
      <formula1>INDIRECT($U$68)</formula1>
    </dataValidation>
    <dataValidation type="list" allowBlank="1" showInputMessage="1" showErrorMessage="1" error="Please use the dropdown." sqref="W73" xr:uid="{00000000-0002-0000-0600-000006000000}">
      <formula1>INDIRECT($U$73)</formula1>
    </dataValidation>
    <dataValidation type="list" allowBlank="1" showInputMessage="1" showErrorMessage="1" error="Please use the dropdown." sqref="W78" xr:uid="{00000000-0002-0000-0600-000007000000}">
      <formula1>INDIRECT($U$78)</formula1>
    </dataValidation>
    <dataValidation type="list" allowBlank="1" showInputMessage="1" showErrorMessage="1" error="Please use the dropdown." sqref="W85" xr:uid="{00000000-0002-0000-0600-000008000000}">
      <formula1>INDIRECT($U$85)</formula1>
    </dataValidation>
    <dataValidation type="list" allowBlank="1" showInputMessage="1" showErrorMessage="1" error="Please use the dropdown." sqref="W94" xr:uid="{00000000-0002-0000-0600-000009000000}">
      <formula1>INDIRECT($U$94)</formula1>
    </dataValidation>
    <dataValidation type="list" allowBlank="1" showInputMessage="1" showErrorMessage="1" error="Please use the dropdown." sqref="W127" xr:uid="{00000000-0002-0000-0600-00000A000000}">
      <formula1>INDIRECT($U$127)</formula1>
    </dataValidation>
    <dataValidation type="list" allowBlank="1" showInputMessage="1" showErrorMessage="1" error="Please use the dropdown." sqref="W141" xr:uid="{00000000-0002-0000-0600-00000B000000}">
      <formula1>INDIRECT($U$141)</formula1>
    </dataValidation>
    <dataValidation type="whole" allowBlank="1" showDropDown="1" showInputMessage="1" showErrorMessage="1" error="Enter a whole number" prompt="Enter number of systems" sqref="W155" xr:uid="{00000000-0002-0000-0600-00000C000000}">
      <formula1>0</formula1>
      <formula2>5</formula2>
    </dataValidation>
    <dataValidation type="list" allowBlank="1" showInputMessage="1" showErrorMessage="1" error="Please use the dropdown." sqref="W151" xr:uid="{00000000-0002-0000-0600-00000D000000}">
      <formula1>INDIRECT($U$151)</formula1>
    </dataValidation>
    <dataValidation type="list" allowBlank="1" showInputMessage="1" showErrorMessage="1" error="Please use the dropdown." sqref="W110" xr:uid="{00000000-0002-0000-0600-00000E000000}">
      <formula1>INDIRECT($U$110)</formula1>
    </dataValidation>
  </dataValidations>
  <hyperlinks>
    <hyperlink ref="L23" location="'Table 801.1(1)'!A1" display="See Table 801.1(1)" xr:uid="{00000000-0004-0000-0600-000000000000}"/>
    <hyperlink ref="L24" location="'Table 801.1(2)'!A1" display="See Table 801.1(2)" xr:uid="{00000000-0004-0000-0600-000001000000}"/>
    <hyperlink ref="X170" location="'Ch9'!A1" display="CLICK TO PROCEED TO CHAPTER 9 &gt;&gt;" xr:uid="{00000000-0004-0000-0600-000002000000}"/>
  </hyperlinks>
  <pageMargins left="0.7" right="0.7" top="0.75" bottom="0.75" header="0.3" footer="0.3"/>
  <pageSetup scale="61" fitToHeight="0" orientation="landscape" r:id="rId1"/>
  <rowBreaks count="3" manualBreakCount="3">
    <brk id="52" max="16383" man="1"/>
    <brk id="100" max="16383" man="1"/>
    <brk id="14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151" r:id="rId4" name="Check Box 7">
              <controlPr locked="0" defaultSize="0" autoFill="0" autoLine="0" autoPict="0">
                <anchor moveWithCells="1" sizeWithCells="1">
                  <from>
                    <xdr:col>22</xdr:col>
                    <xdr:colOff>0</xdr:colOff>
                    <xdr:row>105</xdr:row>
                    <xdr:rowOff>0</xdr:rowOff>
                  </from>
                  <to>
                    <xdr:col>22</xdr:col>
                    <xdr:colOff>182880</xdr:colOff>
                    <xdr:row>105</xdr:row>
                    <xdr:rowOff>182880</xdr:rowOff>
                  </to>
                </anchor>
              </controlPr>
            </control>
          </mc:Choice>
        </mc:AlternateContent>
        <mc:AlternateContent xmlns:mc="http://schemas.openxmlformats.org/markup-compatibility/2006">
          <mc:Choice Requires="x14">
            <control shapeId="6152" r:id="rId5" name="Check Box 8">
              <controlPr locked="0" defaultSize="0" autoFill="0" autoLine="0" autoPict="0">
                <anchor moveWithCells="1" sizeWithCells="1">
                  <from>
                    <xdr:col>22</xdr:col>
                    <xdr:colOff>0</xdr:colOff>
                    <xdr:row>106</xdr:row>
                    <xdr:rowOff>0</xdr:rowOff>
                  </from>
                  <to>
                    <xdr:col>22</xdr:col>
                    <xdr:colOff>182880</xdr:colOff>
                    <xdr:row>106</xdr:row>
                    <xdr:rowOff>182880</xdr:rowOff>
                  </to>
                </anchor>
              </controlPr>
            </control>
          </mc:Choice>
        </mc:AlternateContent>
        <mc:AlternateContent xmlns:mc="http://schemas.openxmlformats.org/markup-compatibility/2006">
          <mc:Choice Requires="x14">
            <control shapeId="6153" r:id="rId6" name="Check Box 9">
              <controlPr locked="0" defaultSize="0" autoFill="0" autoLine="0" autoPict="0">
                <anchor moveWithCells="1" sizeWithCells="1">
                  <from>
                    <xdr:col>22</xdr:col>
                    <xdr:colOff>0</xdr:colOff>
                    <xdr:row>107</xdr:row>
                    <xdr:rowOff>0</xdr:rowOff>
                  </from>
                  <to>
                    <xdr:col>22</xdr:col>
                    <xdr:colOff>182880</xdr:colOff>
                    <xdr:row>107</xdr:row>
                    <xdr:rowOff>182880</xdr:rowOff>
                  </to>
                </anchor>
              </controlPr>
            </control>
          </mc:Choice>
        </mc:AlternateContent>
        <mc:AlternateContent xmlns:mc="http://schemas.openxmlformats.org/markup-compatibility/2006">
          <mc:Choice Requires="x14">
            <control shapeId="6154" r:id="rId7" name="Check Box 10">
              <controlPr locked="0" defaultSize="0" autoFill="0" autoLine="0" autoPict="0">
                <anchor moveWithCells="1" sizeWithCells="1">
                  <from>
                    <xdr:col>22</xdr:col>
                    <xdr:colOff>0</xdr:colOff>
                    <xdr:row>45</xdr:row>
                    <xdr:rowOff>0</xdr:rowOff>
                  </from>
                  <to>
                    <xdr:col>22</xdr:col>
                    <xdr:colOff>182880</xdr:colOff>
                    <xdr:row>45</xdr:row>
                    <xdr:rowOff>182880</xdr:rowOff>
                  </to>
                </anchor>
              </controlPr>
            </control>
          </mc:Choice>
        </mc:AlternateContent>
        <mc:AlternateContent xmlns:mc="http://schemas.openxmlformats.org/markup-compatibility/2006">
          <mc:Choice Requires="x14">
            <control shapeId="6156" r:id="rId8" name="Check Box 12">
              <controlPr locked="0" defaultSize="0" autoFill="0" autoLine="0" autoPict="0">
                <anchor moveWithCells="1" sizeWithCells="1">
                  <from>
                    <xdr:col>22</xdr:col>
                    <xdr:colOff>0</xdr:colOff>
                    <xdr:row>40</xdr:row>
                    <xdr:rowOff>0</xdr:rowOff>
                  </from>
                  <to>
                    <xdr:col>22</xdr:col>
                    <xdr:colOff>182880</xdr:colOff>
                    <xdr:row>40</xdr:row>
                    <xdr:rowOff>182880</xdr:rowOff>
                  </to>
                </anchor>
              </controlPr>
            </control>
          </mc:Choice>
        </mc:AlternateContent>
        <mc:AlternateContent xmlns:mc="http://schemas.openxmlformats.org/markup-compatibility/2006">
          <mc:Choice Requires="x14">
            <control shapeId="6160" r:id="rId9" name="Check Box 16">
              <controlPr locked="0" defaultSize="0" autoFill="0" autoLine="0" autoPict="0">
                <anchor moveWithCells="1" sizeWithCells="1">
                  <from>
                    <xdr:col>22</xdr:col>
                    <xdr:colOff>0</xdr:colOff>
                    <xdr:row>76</xdr:row>
                    <xdr:rowOff>0</xdr:rowOff>
                  </from>
                  <to>
                    <xdr:col>22</xdr:col>
                    <xdr:colOff>182880</xdr:colOff>
                    <xdr:row>76</xdr:row>
                    <xdr:rowOff>182880</xdr:rowOff>
                  </to>
                </anchor>
              </controlPr>
            </control>
          </mc:Choice>
        </mc:AlternateContent>
        <mc:AlternateContent xmlns:mc="http://schemas.openxmlformats.org/markup-compatibility/2006">
          <mc:Choice Requires="x14">
            <control shapeId="6163" r:id="rId10" name="Check Box 19">
              <controlPr locked="0" defaultSize="0" autoFill="0" autoLine="0" autoPict="0">
                <anchor moveWithCells="1" sizeWithCells="1">
                  <from>
                    <xdr:col>22</xdr:col>
                    <xdr:colOff>0</xdr:colOff>
                    <xdr:row>90</xdr:row>
                    <xdr:rowOff>0</xdr:rowOff>
                  </from>
                  <to>
                    <xdr:col>22</xdr:col>
                    <xdr:colOff>182880</xdr:colOff>
                    <xdr:row>90</xdr:row>
                    <xdr:rowOff>182880</xdr:rowOff>
                  </to>
                </anchor>
              </controlPr>
            </control>
          </mc:Choice>
        </mc:AlternateContent>
        <mc:AlternateContent xmlns:mc="http://schemas.openxmlformats.org/markup-compatibility/2006">
          <mc:Choice Requires="x14">
            <control shapeId="6164" r:id="rId11" name="Check Box 20">
              <controlPr locked="0" defaultSize="0" autoFill="0" autoLine="0" autoPict="0">
                <anchor moveWithCells="1" sizeWithCells="1">
                  <from>
                    <xdr:col>22</xdr:col>
                    <xdr:colOff>0</xdr:colOff>
                    <xdr:row>97</xdr:row>
                    <xdr:rowOff>0</xdr:rowOff>
                  </from>
                  <to>
                    <xdr:col>22</xdr:col>
                    <xdr:colOff>182880</xdr:colOff>
                    <xdr:row>97</xdr:row>
                    <xdr:rowOff>182880</xdr:rowOff>
                  </to>
                </anchor>
              </controlPr>
            </control>
          </mc:Choice>
        </mc:AlternateContent>
        <mc:AlternateContent xmlns:mc="http://schemas.openxmlformats.org/markup-compatibility/2006">
          <mc:Choice Requires="x14">
            <control shapeId="6165" r:id="rId12" name="Check Box 21">
              <controlPr locked="0" defaultSize="0" autoFill="0" autoLine="0" autoPict="0">
                <anchor moveWithCells="1" sizeWithCells="1">
                  <from>
                    <xdr:col>22</xdr:col>
                    <xdr:colOff>0</xdr:colOff>
                    <xdr:row>99</xdr:row>
                    <xdr:rowOff>0</xdr:rowOff>
                  </from>
                  <to>
                    <xdr:col>22</xdr:col>
                    <xdr:colOff>182880</xdr:colOff>
                    <xdr:row>99</xdr:row>
                    <xdr:rowOff>182880</xdr:rowOff>
                  </to>
                </anchor>
              </controlPr>
            </control>
          </mc:Choice>
        </mc:AlternateContent>
        <mc:AlternateContent xmlns:mc="http://schemas.openxmlformats.org/markup-compatibility/2006">
          <mc:Choice Requires="x14">
            <control shapeId="6169" r:id="rId13" name="Check Box 25">
              <controlPr locked="0" defaultSize="0" autoFill="0" autoLine="0" autoPict="0">
                <anchor moveWithCells="1" sizeWithCells="1">
                  <from>
                    <xdr:col>22</xdr:col>
                    <xdr:colOff>0</xdr:colOff>
                    <xdr:row>101</xdr:row>
                    <xdr:rowOff>0</xdr:rowOff>
                  </from>
                  <to>
                    <xdr:col>22</xdr:col>
                    <xdr:colOff>182880</xdr:colOff>
                    <xdr:row>101</xdr:row>
                    <xdr:rowOff>182880</xdr:rowOff>
                  </to>
                </anchor>
              </controlPr>
            </control>
          </mc:Choice>
        </mc:AlternateContent>
        <mc:AlternateContent xmlns:mc="http://schemas.openxmlformats.org/markup-compatibility/2006">
          <mc:Choice Requires="x14">
            <control shapeId="6171" r:id="rId14" name="Check Box 27">
              <controlPr locked="0" defaultSize="0" autoFill="0" autoLine="0" autoPict="0">
                <anchor moveWithCells="1" sizeWithCells="1">
                  <from>
                    <xdr:col>22</xdr:col>
                    <xdr:colOff>0</xdr:colOff>
                    <xdr:row>115</xdr:row>
                    <xdr:rowOff>0</xdr:rowOff>
                  </from>
                  <to>
                    <xdr:col>22</xdr:col>
                    <xdr:colOff>182880</xdr:colOff>
                    <xdr:row>115</xdr:row>
                    <xdr:rowOff>182880</xdr:rowOff>
                  </to>
                </anchor>
              </controlPr>
            </control>
          </mc:Choice>
        </mc:AlternateContent>
        <mc:AlternateContent xmlns:mc="http://schemas.openxmlformats.org/markup-compatibility/2006">
          <mc:Choice Requires="x14">
            <control shapeId="6172" r:id="rId15" name="Check Box 28">
              <controlPr locked="0" defaultSize="0" autoFill="0" autoLine="0" autoPict="0">
                <anchor moveWithCells="1" sizeWithCells="1">
                  <from>
                    <xdr:col>22</xdr:col>
                    <xdr:colOff>0</xdr:colOff>
                    <xdr:row>117</xdr:row>
                    <xdr:rowOff>0</xdr:rowOff>
                  </from>
                  <to>
                    <xdr:col>22</xdr:col>
                    <xdr:colOff>182880</xdr:colOff>
                    <xdr:row>117</xdr:row>
                    <xdr:rowOff>182880</xdr:rowOff>
                  </to>
                </anchor>
              </controlPr>
            </control>
          </mc:Choice>
        </mc:AlternateContent>
        <mc:AlternateContent xmlns:mc="http://schemas.openxmlformats.org/markup-compatibility/2006">
          <mc:Choice Requires="x14">
            <control shapeId="6173" r:id="rId16" name="Check Box 29">
              <controlPr locked="0" defaultSize="0" autoFill="0" autoLine="0" autoPict="0">
                <anchor moveWithCells="1" sizeWithCells="1">
                  <from>
                    <xdr:col>22</xdr:col>
                    <xdr:colOff>0</xdr:colOff>
                    <xdr:row>118</xdr:row>
                    <xdr:rowOff>0</xdr:rowOff>
                  </from>
                  <to>
                    <xdr:col>22</xdr:col>
                    <xdr:colOff>182880</xdr:colOff>
                    <xdr:row>118</xdr:row>
                    <xdr:rowOff>182880</xdr:rowOff>
                  </to>
                </anchor>
              </controlPr>
            </control>
          </mc:Choice>
        </mc:AlternateContent>
        <mc:AlternateContent xmlns:mc="http://schemas.openxmlformats.org/markup-compatibility/2006">
          <mc:Choice Requires="x14">
            <control shapeId="6175" r:id="rId17" name="Check Box 31">
              <controlPr locked="0" defaultSize="0" autoFill="0" autoLine="0" autoPict="0">
                <anchor moveWithCells="1" sizeWithCells="1">
                  <from>
                    <xdr:col>22</xdr:col>
                    <xdr:colOff>0</xdr:colOff>
                    <xdr:row>122</xdr:row>
                    <xdr:rowOff>0</xdr:rowOff>
                  </from>
                  <to>
                    <xdr:col>22</xdr:col>
                    <xdr:colOff>182880</xdr:colOff>
                    <xdr:row>122</xdr:row>
                    <xdr:rowOff>182880</xdr:rowOff>
                  </to>
                </anchor>
              </controlPr>
            </control>
          </mc:Choice>
        </mc:AlternateContent>
        <mc:AlternateContent xmlns:mc="http://schemas.openxmlformats.org/markup-compatibility/2006">
          <mc:Choice Requires="x14">
            <control shapeId="6177" r:id="rId18" name="Check Box 33">
              <controlPr locked="0" defaultSize="0" autoFill="0" autoLine="0" autoPict="0">
                <anchor moveWithCells="1" sizeWithCells="1">
                  <from>
                    <xdr:col>22</xdr:col>
                    <xdr:colOff>0</xdr:colOff>
                    <xdr:row>143</xdr:row>
                    <xdr:rowOff>0</xdr:rowOff>
                  </from>
                  <to>
                    <xdr:col>22</xdr:col>
                    <xdr:colOff>182880</xdr:colOff>
                    <xdr:row>143</xdr:row>
                    <xdr:rowOff>182880</xdr:rowOff>
                  </to>
                </anchor>
              </controlPr>
            </control>
          </mc:Choice>
        </mc:AlternateContent>
        <mc:AlternateContent xmlns:mc="http://schemas.openxmlformats.org/markup-compatibility/2006">
          <mc:Choice Requires="x14">
            <control shapeId="6178" r:id="rId19" name="Check Box 34">
              <controlPr locked="0" defaultSize="0" autoFill="0" autoLine="0" autoPict="0">
                <anchor moveWithCells="1" sizeWithCells="1">
                  <from>
                    <xdr:col>22</xdr:col>
                    <xdr:colOff>0</xdr:colOff>
                    <xdr:row>142</xdr:row>
                    <xdr:rowOff>0</xdr:rowOff>
                  </from>
                  <to>
                    <xdr:col>22</xdr:col>
                    <xdr:colOff>182880</xdr:colOff>
                    <xdr:row>142</xdr:row>
                    <xdr:rowOff>182880</xdr:rowOff>
                  </to>
                </anchor>
              </controlPr>
            </control>
          </mc:Choice>
        </mc:AlternateContent>
        <mc:AlternateContent xmlns:mc="http://schemas.openxmlformats.org/markup-compatibility/2006">
          <mc:Choice Requires="x14">
            <control shapeId="6180" r:id="rId20" name="Check Box 36">
              <controlPr locked="0" defaultSize="0" autoFill="0" autoLine="0" autoPict="0">
                <anchor moveWithCells="1" sizeWithCells="1">
                  <from>
                    <xdr:col>22</xdr:col>
                    <xdr:colOff>0</xdr:colOff>
                    <xdr:row>166</xdr:row>
                    <xdr:rowOff>0</xdr:rowOff>
                  </from>
                  <to>
                    <xdr:col>22</xdr:col>
                    <xdr:colOff>182880</xdr:colOff>
                    <xdr:row>166</xdr:row>
                    <xdr:rowOff>182880</xdr:rowOff>
                  </to>
                </anchor>
              </controlPr>
            </control>
          </mc:Choice>
        </mc:AlternateContent>
        <mc:AlternateContent xmlns:mc="http://schemas.openxmlformats.org/markup-compatibility/2006">
          <mc:Choice Requires="x14">
            <control shapeId="6181" r:id="rId21" name="Check Box 37">
              <controlPr locked="0" defaultSize="0" autoFill="0" autoLine="0" autoPict="0">
                <anchor moveWithCells="1" sizeWithCells="1">
                  <from>
                    <xdr:col>22</xdr:col>
                    <xdr:colOff>0</xdr:colOff>
                    <xdr:row>164</xdr:row>
                    <xdr:rowOff>0</xdr:rowOff>
                  </from>
                  <to>
                    <xdr:col>22</xdr:col>
                    <xdr:colOff>182880</xdr:colOff>
                    <xdr:row>164</xdr:row>
                    <xdr:rowOff>182880</xdr:rowOff>
                  </to>
                </anchor>
              </controlPr>
            </control>
          </mc:Choice>
        </mc:AlternateContent>
        <mc:AlternateContent xmlns:mc="http://schemas.openxmlformats.org/markup-compatibility/2006">
          <mc:Choice Requires="x14">
            <control shapeId="6182" r:id="rId22" name="Check Box 38">
              <controlPr locked="0" defaultSize="0" autoFill="0" autoLine="0" autoPict="0">
                <anchor moveWithCells="1" sizeWithCells="1">
                  <from>
                    <xdr:col>22</xdr:col>
                    <xdr:colOff>0</xdr:colOff>
                    <xdr:row>161</xdr:row>
                    <xdr:rowOff>0</xdr:rowOff>
                  </from>
                  <to>
                    <xdr:col>22</xdr:col>
                    <xdr:colOff>182880</xdr:colOff>
                    <xdr:row>161</xdr:row>
                    <xdr:rowOff>182880</xdr:rowOff>
                  </to>
                </anchor>
              </controlPr>
            </control>
          </mc:Choice>
        </mc:AlternateContent>
        <mc:AlternateContent xmlns:mc="http://schemas.openxmlformats.org/markup-compatibility/2006">
          <mc:Choice Requires="x14">
            <control shapeId="6184" r:id="rId23" name="Check Box 40">
              <controlPr locked="0" defaultSize="0" autoFill="0" autoLine="0" autoPict="0">
                <anchor moveWithCells="1" sizeWithCells="1">
                  <from>
                    <xdr:col>22</xdr:col>
                    <xdr:colOff>0</xdr:colOff>
                    <xdr:row>159</xdr:row>
                    <xdr:rowOff>0</xdr:rowOff>
                  </from>
                  <to>
                    <xdr:col>22</xdr:col>
                    <xdr:colOff>182880</xdr:colOff>
                    <xdr:row>159</xdr:row>
                    <xdr:rowOff>182880</xdr:rowOff>
                  </to>
                </anchor>
              </controlPr>
            </control>
          </mc:Choice>
        </mc:AlternateContent>
        <mc:AlternateContent xmlns:mc="http://schemas.openxmlformats.org/markup-compatibility/2006">
          <mc:Choice Requires="x14">
            <control shapeId="6185" r:id="rId24" name="Check Box 41">
              <controlPr locked="0" defaultSize="0" autoFill="0" autoLine="0" autoPict="0">
                <anchor moveWithCells="1" sizeWithCells="1">
                  <from>
                    <xdr:col>22</xdr:col>
                    <xdr:colOff>0</xdr:colOff>
                    <xdr:row>160</xdr:row>
                    <xdr:rowOff>0</xdr:rowOff>
                  </from>
                  <to>
                    <xdr:col>22</xdr:col>
                    <xdr:colOff>182880</xdr:colOff>
                    <xdr:row>160</xdr:row>
                    <xdr:rowOff>182880</xdr:rowOff>
                  </to>
                </anchor>
              </controlPr>
            </control>
          </mc:Choice>
        </mc:AlternateContent>
        <mc:AlternateContent xmlns:mc="http://schemas.openxmlformats.org/markup-compatibility/2006">
          <mc:Choice Requires="x14">
            <control shapeId="6186" r:id="rId25" name="Check Box 42">
              <controlPr locked="0" defaultSize="0" autoFill="0" autoLine="0" autoPict="0">
                <anchor moveWithCells="1" sizeWithCells="1">
                  <from>
                    <xdr:col>22</xdr:col>
                    <xdr:colOff>0</xdr:colOff>
                    <xdr:row>152</xdr:row>
                    <xdr:rowOff>0</xdr:rowOff>
                  </from>
                  <to>
                    <xdr:col>22</xdr:col>
                    <xdr:colOff>182880</xdr:colOff>
                    <xdr:row>152</xdr:row>
                    <xdr:rowOff>182880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BI281"/>
  <sheetViews>
    <sheetView showGridLines="0" topLeftCell="H1" zoomScaleNormal="100" workbookViewId="0">
      <pane ySplit="7" topLeftCell="A8" activePane="bottomLeft" state="frozen"/>
      <selection activeCell="G8" sqref="G8:J8"/>
      <selection pane="bottomLeft" activeCell="H9" sqref="H9"/>
    </sheetView>
  </sheetViews>
  <sheetFormatPr defaultColWidth="9.109375" defaultRowHeight="14.4" x14ac:dyDescent="0.3"/>
  <cols>
    <col min="1" max="1" width="9.109375" style="18" hidden="1" customWidth="1"/>
    <col min="2" max="2" width="7.33203125" style="18" hidden="1" customWidth="1"/>
    <col min="3" max="7" width="3.88671875" style="18" hidden="1" customWidth="1"/>
    <col min="8" max="8" width="3.88671875" style="18" customWidth="1"/>
    <col min="9" max="9" width="10.44140625" style="79" customWidth="1"/>
    <col min="10" max="11" width="3.88671875" style="79" customWidth="1"/>
    <col min="12" max="12" width="71.6640625" style="79" customWidth="1"/>
    <col min="13" max="13" width="13.5546875" style="69" customWidth="1"/>
    <col min="14" max="14" width="7.6640625" style="79" hidden="1" customWidth="1"/>
    <col min="15" max="15" width="7.6640625" style="79" customWidth="1"/>
    <col min="16" max="21" width="8.88671875" style="79" hidden="1" customWidth="1"/>
    <col min="22" max="22" width="3" style="79" hidden="1" customWidth="1"/>
    <col min="23" max="23" width="21.44140625" style="79" customWidth="1"/>
    <col min="24" max="24" width="69" style="79" customWidth="1"/>
    <col min="25" max="25" width="34.88671875" style="1107" hidden="1" customWidth="1"/>
    <col min="26" max="26" width="34.88671875" style="79" hidden="1" customWidth="1"/>
    <col min="27" max="27" width="9.109375" style="1110" hidden="1" customWidth="1"/>
    <col min="28" max="37" width="9.109375" style="79" hidden="1" customWidth="1"/>
    <col min="38" max="38" width="16.44140625" style="79" hidden="1" customWidth="1"/>
    <col min="39" max="39" width="2.109375" style="79" hidden="1" customWidth="1"/>
    <col min="40" max="40" width="14.33203125" style="79" hidden="1" customWidth="1"/>
    <col min="41" max="41" width="2.109375" style="79" hidden="1" customWidth="1"/>
    <col min="42" max="42" width="14.33203125" style="79" hidden="1" customWidth="1"/>
    <col min="43" max="43" width="2.109375" style="79" hidden="1" customWidth="1"/>
    <col min="44" max="44" width="14.109375" style="79" hidden="1" customWidth="1"/>
    <col min="45" max="45" width="2.109375" style="79" hidden="1" customWidth="1"/>
    <col min="46" max="61" width="9.109375" style="79" hidden="1" customWidth="1"/>
    <col min="62" max="16384" width="9.109375" style="79"/>
  </cols>
  <sheetData>
    <row r="1" spans="1:61" x14ac:dyDescent="0.3">
      <c r="H1" s="1316" t="s">
        <v>4691</v>
      </c>
      <c r="I1" s="1285" t="str">
        <f ca="1">IF(OR(AG3,AI3),"Errors on page, no Level reached","Current Chapter level: "&amp;AG1&amp;"                                            Total Points: "&amp;AG2)</f>
        <v>Current Chapter level: Gold                                            Total Points: 89</v>
      </c>
      <c r="J1" s="1285"/>
      <c r="K1" s="1285"/>
      <c r="L1" s="1285"/>
      <c r="M1" s="1317"/>
      <c r="N1" s="1317"/>
      <c r="O1" s="1317"/>
      <c r="P1" s="1317"/>
      <c r="Q1" s="1317"/>
      <c r="R1" s="1317"/>
      <c r="S1" s="1317"/>
      <c r="T1" s="1317"/>
      <c r="U1" s="1317"/>
      <c r="V1" s="1317"/>
      <c r="W1" s="1317"/>
      <c r="X1" s="1190" t="s">
        <v>4651</v>
      </c>
      <c r="AF1" s="78" t="s">
        <v>824</v>
      </c>
      <c r="AG1" s="417" t="str">
        <f ca="1">IF(OR(AG3,AI3),"None",Ch9Level)</f>
        <v>Gold</v>
      </c>
    </row>
    <row r="2" spans="1:61" x14ac:dyDescent="0.3">
      <c r="H2" s="1316"/>
      <c r="I2" s="1286" t="str">
        <f ca="1">"Points away from:  Bronze: "&amp;MAX(Points!C19-Ch9Points,0)&amp;",  Silver: "&amp;MAX(Points!D19-Ch9Points,0)&amp;",  Gold: "&amp;MAX(Points!E19-Ch9Points,0)&amp;",  Emerald: "&amp;MAX(Points!F19-Ch9Points,0)</f>
        <v>Points away from:  Bronze: 0,  Silver: 0,  Gold: 0,  Emerald: 8</v>
      </c>
      <c r="J2" s="1286"/>
      <c r="K2" s="1286"/>
      <c r="L2" s="1286"/>
      <c r="M2" s="1317"/>
      <c r="N2" s="1317"/>
      <c r="O2" s="1317"/>
      <c r="P2" s="1317"/>
      <c r="Q2" s="1317"/>
      <c r="R2" s="1317"/>
      <c r="S2" s="1317"/>
      <c r="T2" s="1317"/>
      <c r="U2" s="1317"/>
      <c r="V2" s="1317"/>
      <c r="W2" s="1317"/>
      <c r="X2" s="1190" t="s">
        <v>3731</v>
      </c>
      <c r="AF2" s="78" t="s">
        <v>825</v>
      </c>
      <c r="AG2" s="79">
        <f ca="1">INDIRECT(AF2)</f>
        <v>89</v>
      </c>
      <c r="AH2" s="79" t="s">
        <v>827</v>
      </c>
      <c r="AI2" s="79">
        <f ca="1">INDIRECT(AH2)</f>
        <v>8</v>
      </c>
      <c r="AJ2"/>
      <c r="AK2"/>
    </row>
    <row r="3" spans="1:61" x14ac:dyDescent="0.3">
      <c r="H3" s="1316"/>
      <c r="I3" s="1286" t="str">
        <f ca="1">"Add'l pts earned above:  Bronze: "&amp; MAX(0,Ch9Points-Points!C19) &amp;",  Silver: " &amp; MAX(0,Ch9Points-Points!D19) &amp;",  Gold: " &amp; MAX(0,Ch9Points-Points!E19) &amp;",  Emerald: " &amp; MAX(0,Ch9Points-Points!F19)</f>
        <v>Add'l pts earned above:  Bronze: 64,  Silver: 47,  Gold: 20,  Emerald: 0</v>
      </c>
      <c r="J3" s="1286"/>
      <c r="K3" s="1286"/>
      <c r="L3" s="1286"/>
      <c r="M3" s="1317"/>
      <c r="N3" s="1317"/>
      <c r="O3" s="1317"/>
      <c r="P3" s="1317"/>
      <c r="Q3" s="1317"/>
      <c r="R3" s="1317"/>
      <c r="S3" s="1317"/>
      <c r="T3" s="1317"/>
      <c r="U3" s="1317"/>
      <c r="V3" s="1317"/>
      <c r="W3" s="1317"/>
      <c r="X3" s="1190" t="s">
        <v>3730</v>
      </c>
      <c r="AF3" s="78" t="s">
        <v>826</v>
      </c>
      <c r="AG3" s="79" t="b">
        <f>OR(AE:AE)</f>
        <v>0</v>
      </c>
      <c r="AH3" s="78" t="s">
        <v>828</v>
      </c>
      <c r="AI3" s="79" t="b">
        <f ca="1">OR(AD:AD)</f>
        <v>0</v>
      </c>
      <c r="AJ3"/>
      <c r="AK3"/>
    </row>
    <row r="4" spans="1:61" x14ac:dyDescent="0.3">
      <c r="H4" s="1316"/>
      <c r="I4" s="1297" t="str">
        <f>"Total Chapter Points needed for:  Bronze: "&amp;Points!C19&amp;",  Silver: "&amp;Points!D19&amp;",  Gold: "&amp;Points!E19&amp;",  Emerald: "&amp;Points!F19</f>
        <v>Total Chapter Points needed for:  Bronze: 25,  Silver: 42,  Gold: 69,  Emerald: 97</v>
      </c>
      <c r="J4" s="1298"/>
      <c r="K4" s="1298"/>
      <c r="L4" s="1299"/>
      <c r="M4" s="1317"/>
      <c r="N4" s="1317"/>
      <c r="O4" s="1317"/>
      <c r="P4" s="1317"/>
      <c r="Q4" s="1317"/>
      <c r="R4" s="1317"/>
      <c r="S4" s="1317"/>
      <c r="T4" s="1317"/>
      <c r="U4" s="1317"/>
      <c r="V4" s="1317"/>
      <c r="W4" s="1317"/>
      <c r="X4" s="1231" t="s">
        <v>4722</v>
      </c>
      <c r="AF4" s="78"/>
      <c r="AH4" s="78"/>
    </row>
    <row r="5" spans="1:61" ht="17.399999999999999" customHeight="1" x14ac:dyDescent="0.3">
      <c r="H5" s="1316"/>
      <c r="I5" s="1300" t="str">
        <f>"Revision Date:  "&amp;TEXT('Info &amp; Intro'!E7,"m/d/yyyy")</f>
        <v>Revision Date:  7/11/2019</v>
      </c>
      <c r="J5" s="1301"/>
      <c r="K5" s="1301"/>
      <c r="L5" s="1302"/>
      <c r="M5" s="1317"/>
      <c r="N5" s="1317"/>
      <c r="O5" s="1317"/>
      <c r="P5" s="1317"/>
      <c r="Q5" s="1317"/>
      <c r="R5" s="1317"/>
      <c r="S5" s="1317"/>
      <c r="T5" s="1317"/>
      <c r="U5" s="1317"/>
      <c r="V5" s="1317"/>
      <c r="W5" s="1317"/>
      <c r="X5" s="1231"/>
      <c r="AF5" s="78"/>
      <c r="AH5" s="78"/>
    </row>
    <row r="6" spans="1:61" x14ac:dyDescent="0.3">
      <c r="H6" s="1316"/>
      <c r="I6" s="1339" t="s">
        <v>261</v>
      </c>
      <c r="J6" s="1340"/>
      <c r="K6" s="1341"/>
      <c r="L6" s="1321" t="s">
        <v>1313</v>
      </c>
      <c r="M6" s="1321" t="s">
        <v>262</v>
      </c>
      <c r="N6" s="1321"/>
      <c r="O6" s="35" t="s">
        <v>338</v>
      </c>
      <c r="P6" s="1321" t="s">
        <v>4719</v>
      </c>
      <c r="Q6" s="1321" t="s">
        <v>329</v>
      </c>
      <c r="R6" s="1321" t="s">
        <v>263</v>
      </c>
      <c r="S6" s="1321" t="s">
        <v>264</v>
      </c>
      <c r="T6" s="1321" t="s">
        <v>0</v>
      </c>
      <c r="U6" s="1321" t="s">
        <v>4720</v>
      </c>
      <c r="V6" s="1321"/>
      <c r="W6" s="1321" t="s">
        <v>265</v>
      </c>
      <c r="X6" s="1287" t="s">
        <v>1</v>
      </c>
      <c r="AC6" s="77" t="s">
        <v>327</v>
      </c>
      <c r="AD6" s="77" t="s">
        <v>0</v>
      </c>
      <c r="AE6" s="77" t="s">
        <v>326</v>
      </c>
    </row>
    <row r="7" spans="1:61" x14ac:dyDescent="0.3">
      <c r="H7" s="1316"/>
      <c r="I7" s="1339"/>
      <c r="J7" s="1340"/>
      <c r="K7" s="1341"/>
      <c r="L7" s="1322"/>
      <c r="M7" s="1322"/>
      <c r="N7" s="1322"/>
      <c r="O7" s="35" t="s">
        <v>339</v>
      </c>
      <c r="P7" s="1322"/>
      <c r="Q7" s="1322"/>
      <c r="R7" s="1322"/>
      <c r="S7" s="1322"/>
      <c r="T7" s="1322"/>
      <c r="U7" s="1322"/>
      <c r="V7" s="1322"/>
      <c r="W7" s="1322"/>
      <c r="X7" s="1288"/>
      <c r="AC7" s="77" t="s">
        <v>327</v>
      </c>
      <c r="AD7" s="77" t="s">
        <v>0</v>
      </c>
      <c r="AE7" s="77" t="s">
        <v>326</v>
      </c>
    </row>
    <row r="8" spans="1:61" s="1077" customFormat="1" hidden="1" x14ac:dyDescent="0.3">
      <c r="A8" s="18"/>
      <c r="B8" s="18"/>
      <c r="C8" s="18"/>
      <c r="D8" s="18"/>
      <c r="E8" s="18"/>
      <c r="F8" s="18"/>
      <c r="G8" s="18"/>
      <c r="H8" s="18"/>
      <c r="I8" s="1079"/>
      <c r="J8" s="1079"/>
      <c r="K8" s="1079"/>
      <c r="L8" s="1078"/>
      <c r="M8" s="1078"/>
      <c r="N8" s="1078"/>
      <c r="O8" s="35"/>
      <c r="P8" s="1078"/>
      <c r="Q8" s="1078"/>
      <c r="R8" s="1078"/>
      <c r="S8" s="1078"/>
      <c r="T8" s="1078"/>
      <c r="U8" s="1078"/>
      <c r="V8" s="1078"/>
      <c r="W8" s="1078"/>
      <c r="X8" s="1079"/>
      <c r="Y8" s="1107"/>
      <c r="AA8" s="1110"/>
      <c r="AC8" s="1076"/>
      <c r="AD8" s="1076"/>
      <c r="AE8" s="1076"/>
    </row>
    <row r="9" spans="1:61" ht="18" x14ac:dyDescent="0.35">
      <c r="A9" s="18" t="s">
        <v>260</v>
      </c>
      <c r="B9" s="18" t="s">
        <v>260</v>
      </c>
      <c r="C9" s="18" t="s">
        <v>260</v>
      </c>
      <c r="D9" s="18" t="s">
        <v>260</v>
      </c>
      <c r="E9" s="18" t="s">
        <v>260</v>
      </c>
      <c r="F9" s="18" t="s">
        <v>260</v>
      </c>
      <c r="G9" s="18" t="s">
        <v>260</v>
      </c>
      <c r="H9" s="1086"/>
      <c r="I9" s="22" t="s">
        <v>3348</v>
      </c>
      <c r="J9" s="22"/>
      <c r="K9" s="22"/>
      <c r="L9" s="23"/>
      <c r="M9" s="24"/>
      <c r="N9" s="79" t="s">
        <v>260</v>
      </c>
      <c r="O9" s="24"/>
      <c r="P9" s="79" t="s">
        <v>260</v>
      </c>
      <c r="Q9" s="79" t="s">
        <v>260</v>
      </c>
      <c r="R9" s="79" t="s">
        <v>260</v>
      </c>
      <c r="S9" s="79" t="s">
        <v>260</v>
      </c>
      <c r="T9" s="79" t="s">
        <v>260</v>
      </c>
      <c r="U9" s="79" t="s">
        <v>260</v>
      </c>
      <c r="V9" s="79" t="s">
        <v>260</v>
      </c>
      <c r="W9" s="23"/>
      <c r="X9" s="23"/>
      <c r="Y9" s="1106" t="s">
        <v>260</v>
      </c>
      <c r="Z9" s="76" t="s">
        <v>260</v>
      </c>
      <c r="AA9" s="1108" t="s">
        <v>260</v>
      </c>
      <c r="AB9" s="1097" t="s">
        <v>260</v>
      </c>
      <c r="AC9" s="76" t="s">
        <v>260</v>
      </c>
      <c r="AD9" s="76" t="s">
        <v>260</v>
      </c>
      <c r="AE9" s="76" t="s">
        <v>260</v>
      </c>
      <c r="AF9" s="76" t="s">
        <v>260</v>
      </c>
      <c r="AG9" s="76" t="s">
        <v>260</v>
      </c>
      <c r="AH9" s="76" t="s">
        <v>260</v>
      </c>
      <c r="AI9" s="76" t="s">
        <v>260</v>
      </c>
      <c r="AJ9" s="76" t="s">
        <v>260</v>
      </c>
      <c r="AK9" s="76" t="s">
        <v>260</v>
      </c>
      <c r="AL9" s="76" t="s">
        <v>260</v>
      </c>
      <c r="AM9" s="76" t="s">
        <v>260</v>
      </c>
      <c r="AN9" s="76" t="s">
        <v>260</v>
      </c>
      <c r="AO9" s="76" t="s">
        <v>260</v>
      </c>
      <c r="AP9" s="76" t="s">
        <v>260</v>
      </c>
      <c r="AQ9" s="76" t="s">
        <v>260</v>
      </c>
      <c r="AR9" s="76" t="s">
        <v>260</v>
      </c>
      <c r="AS9" s="76" t="s">
        <v>260</v>
      </c>
      <c r="AT9" s="76" t="s">
        <v>260</v>
      </c>
      <c r="AU9" s="76" t="s">
        <v>260</v>
      </c>
      <c r="AV9" s="76" t="s">
        <v>260</v>
      </c>
      <c r="AW9" s="76" t="s">
        <v>260</v>
      </c>
      <c r="AX9" s="76" t="s">
        <v>260</v>
      </c>
      <c r="AY9" s="76" t="s">
        <v>260</v>
      </c>
      <c r="AZ9" s="76" t="s">
        <v>260</v>
      </c>
      <c r="BA9" s="76" t="s">
        <v>260</v>
      </c>
      <c r="BB9" s="76" t="s">
        <v>260</v>
      </c>
      <c r="BC9" s="76" t="s">
        <v>260</v>
      </c>
      <c r="BD9" s="76" t="s">
        <v>260</v>
      </c>
      <c r="BE9" s="76" t="s">
        <v>260</v>
      </c>
      <c r="BF9" s="76" t="s">
        <v>260</v>
      </c>
      <c r="BG9" s="76" t="s">
        <v>260</v>
      </c>
      <c r="BH9" s="76" t="s">
        <v>260</v>
      </c>
      <c r="BI9" s="1097" t="s">
        <v>260</v>
      </c>
    </row>
    <row r="10" spans="1:61" x14ac:dyDescent="0.3">
      <c r="B10" s="938" t="s">
        <v>4440</v>
      </c>
      <c r="C10" s="21"/>
      <c r="D10" s="21"/>
      <c r="E10" s="21"/>
      <c r="F10" s="21"/>
      <c r="G10" s="21"/>
      <c r="H10" s="1084"/>
      <c r="I10" s="81" t="s">
        <v>4440</v>
      </c>
      <c r="J10" s="4"/>
      <c r="K10" s="4"/>
      <c r="L10" s="184" t="s">
        <v>3349</v>
      </c>
      <c r="M10" s="183"/>
      <c r="O10" s="483"/>
      <c r="BI10" s="1101"/>
    </row>
    <row r="11" spans="1:61" x14ac:dyDescent="0.3">
      <c r="B11" s="938">
        <v>901.1</v>
      </c>
      <c r="C11" s="21"/>
      <c r="D11" s="21"/>
      <c r="E11" s="21"/>
      <c r="F11" s="21"/>
      <c r="G11" s="21"/>
      <c r="H11" s="1084"/>
      <c r="I11" s="268">
        <v>901.1</v>
      </c>
      <c r="J11" s="140"/>
      <c r="K11" s="140"/>
      <c r="L11" s="369" t="s">
        <v>3350</v>
      </c>
      <c r="M11" s="573"/>
      <c r="N11" s="97"/>
      <c r="O11" s="548"/>
      <c r="P11" s="97"/>
      <c r="Q11" s="97"/>
      <c r="R11" s="97"/>
      <c r="S11" s="97"/>
      <c r="T11" s="97"/>
      <c r="U11" s="97"/>
      <c r="V11" s="97"/>
      <c r="W11" s="97"/>
      <c r="X11" s="97"/>
      <c r="AX11" s="78" t="str">
        <f>'Overview (Design)'!A8</f>
        <v>Builder Name:</v>
      </c>
      <c r="AY11" s="79" t="str">
        <f>'Overview (Design)'!G8</f>
        <v>ZERH Builder</v>
      </c>
      <c r="BI11" s="1101"/>
    </row>
    <row r="12" spans="1:61" x14ac:dyDescent="0.3">
      <c r="B12" s="938" t="s">
        <v>3351</v>
      </c>
      <c r="C12" s="21"/>
      <c r="D12" s="21"/>
      <c r="E12" s="21"/>
      <c r="F12" s="21"/>
      <c r="G12" s="21"/>
      <c r="H12" s="1084"/>
      <c r="I12" s="268" t="s">
        <v>3351</v>
      </c>
      <c r="J12" s="140"/>
      <c r="K12" s="140"/>
      <c r="L12" s="1313" t="s">
        <v>3352</v>
      </c>
      <c r="M12" s="1318">
        <v>5</v>
      </c>
      <c r="N12" s="140"/>
      <c r="O12" s="1308">
        <f>M12*S12*W12</f>
        <v>0</v>
      </c>
      <c r="P12" s="97" t="b">
        <v>1</v>
      </c>
      <c r="Q12" s="97" t="b">
        <v>1</v>
      </c>
      <c r="R12" s="97" t="b">
        <v>0</v>
      </c>
      <c r="S12" s="97" t="b">
        <v>1</v>
      </c>
      <c r="T12" s="97" t="b">
        <v>0</v>
      </c>
      <c r="U12" s="97"/>
      <c r="V12" s="97"/>
      <c r="W12" s="452"/>
      <c r="X12" s="1295"/>
      <c r="AC12" s="488" t="b">
        <f>OR(AD12:AE12)</f>
        <v>0</v>
      </c>
      <c r="AD12" s="488" t="b">
        <f>T12</f>
        <v>0</v>
      </c>
      <c r="AE12" s="488" t="b">
        <f>AND(R12,NOT(W12))</f>
        <v>0</v>
      </c>
      <c r="AL12" s="311" t="str">
        <f>SUBSTITUTE(SUBSTITUTE(SUBSTITUTE("dpa"&amp;$B12&amp;$C12&amp;$D12&amp;$E12&amp;$F12,".","_"),"(","_"),")","")</f>
        <v>dpa901_1_1</v>
      </c>
      <c r="AM12" s="311">
        <f>M12</f>
        <v>5</v>
      </c>
      <c r="AN12" s="311" t="str">
        <f>SUBSTITUTE(SUBSTITUTE(SUBSTITUTE("dpc"&amp;$B12&amp;$C12&amp;$D12&amp;$E12&amp;$F12,".","_"),"(","_"),")","")</f>
        <v>dpc901_1_1</v>
      </c>
      <c r="AO12" s="311">
        <f>O12</f>
        <v>0</v>
      </c>
      <c r="AP12" s="311" t="str">
        <f>SUBSTITUTE(SUBSTITUTE(SUBSTITUTE("dch"&amp;$B12&amp;$C12&amp;$D12&amp;$E12&amp;$F12,".","_"),"(","_"),")","")</f>
        <v>dch901_1_1</v>
      </c>
      <c r="AQ12" s="311">
        <f>W12</f>
        <v>0</v>
      </c>
      <c r="AR12" s="311" t="str">
        <f>SUBSTITUTE(SUBSTITUTE(SUBSTITUTE("dnt"&amp;$B12&amp;$C12&amp;$D12&amp;$E12&amp;$F12,".","_"),"(","_"),")","")</f>
        <v>dnt901_1_1</v>
      </c>
      <c r="AS12" s="311">
        <f>X12</f>
        <v>0</v>
      </c>
      <c r="AX12" s="78" t="str">
        <f>'Overview (Design)'!A9</f>
        <v>Physical Address of Home:</v>
      </c>
      <c r="AY12" s="79" t="str">
        <f>'Overview (Design)'!G9</f>
        <v>123 Main Sts</v>
      </c>
      <c r="BI12" s="1101"/>
    </row>
    <row r="13" spans="1:61" x14ac:dyDescent="0.3">
      <c r="B13" s="938" t="s">
        <v>3351</v>
      </c>
      <c r="C13" s="21"/>
      <c r="D13" s="21"/>
      <c r="E13" s="21"/>
      <c r="F13" s="21"/>
      <c r="G13" s="21"/>
      <c r="H13" s="1084"/>
      <c r="I13" s="576"/>
      <c r="J13" s="140"/>
      <c r="K13" s="140"/>
      <c r="L13" s="1313"/>
      <c r="M13" s="1318"/>
      <c r="N13" s="140"/>
      <c r="O13" s="1308"/>
      <c r="P13" s="97"/>
      <c r="Q13" s="97"/>
      <c r="R13" s="97"/>
      <c r="S13" s="97"/>
      <c r="T13" s="97"/>
      <c r="U13" s="97"/>
      <c r="V13" s="97"/>
      <c r="W13" s="97"/>
      <c r="X13" s="1295"/>
      <c r="AX13" s="78" t="str">
        <f>'Overview (Design)'!A10</f>
        <v>Community/Lot #:</v>
      </c>
      <c r="AY13" s="79" t="str">
        <f>'Overview (Design)'!G10</f>
        <v>Lot 123</v>
      </c>
      <c r="BI13" s="1101"/>
    </row>
    <row r="14" spans="1:61" x14ac:dyDescent="0.3">
      <c r="B14" s="938" t="s">
        <v>3351</v>
      </c>
      <c r="C14" s="21"/>
      <c r="D14" s="21"/>
      <c r="E14" s="21"/>
      <c r="F14" s="21"/>
      <c r="G14" s="21"/>
      <c r="H14" s="1084"/>
      <c r="I14" s="576"/>
      <c r="J14" s="140"/>
      <c r="K14" s="140"/>
      <c r="L14" s="1313"/>
      <c r="M14" s="1318"/>
      <c r="N14" s="140"/>
      <c r="O14" s="1308"/>
      <c r="P14" s="97"/>
      <c r="Q14" s="97"/>
      <c r="R14" s="97"/>
      <c r="S14" s="97"/>
      <c r="T14" s="97"/>
      <c r="U14" s="97"/>
      <c r="V14" s="97"/>
      <c r="W14" s="97"/>
      <c r="X14" s="1295"/>
      <c r="AX14" s="78" t="str">
        <f>'Overview (Design)'!A11</f>
        <v>City:</v>
      </c>
      <c r="AY14" s="79" t="str">
        <f>'Overview (Design)'!G11</f>
        <v>Durham</v>
      </c>
      <c r="BI14" s="1101"/>
    </row>
    <row r="15" spans="1:61" x14ac:dyDescent="0.3">
      <c r="B15" s="938" t="s">
        <v>3351</v>
      </c>
      <c r="C15" s="21"/>
      <c r="D15" s="21"/>
      <c r="E15" s="21"/>
      <c r="F15" s="21"/>
      <c r="G15" s="21"/>
      <c r="H15" s="1084"/>
      <c r="I15" s="576"/>
      <c r="J15" s="140"/>
      <c r="K15" s="140"/>
      <c r="L15" s="1313"/>
      <c r="M15" s="1318"/>
      <c r="N15" s="140"/>
      <c r="O15" s="1308"/>
      <c r="P15" s="97"/>
      <c r="Q15" s="97"/>
      <c r="R15" s="97"/>
      <c r="S15" s="97"/>
      <c r="T15" s="97"/>
      <c r="U15" s="97"/>
      <c r="V15" s="97"/>
      <c r="W15" s="97"/>
      <c r="X15" s="1295"/>
      <c r="AX15" s="78" t="str">
        <f>'Overview (Design)'!A12</f>
        <v>State:</v>
      </c>
      <c r="AY15" s="79" t="str">
        <f>'Overview (Design)'!G12</f>
        <v>North Carolina</v>
      </c>
      <c r="BC15" s="79" t="str">
        <f>'Overview (Design)'!K12</f>
        <v>State</v>
      </c>
      <c r="BD15" s="79" t="str">
        <f>'Overview (Design)'!L12</f>
        <v>County</v>
      </c>
      <c r="BE15" s="79" t="str">
        <f>'Overview (Design)'!M12</f>
        <v>Radon</v>
      </c>
      <c r="BF15" s="79" t="str">
        <f>'Overview (Design)'!N12</f>
        <v>Climate</v>
      </c>
      <c r="BG15" s="79" t="str">
        <f>'Overview (Design)'!O12</f>
        <v>Moist</v>
      </c>
      <c r="BH15" s="79" t="str">
        <f>'Overview (Design)'!P12</f>
        <v>WarmHumid</v>
      </c>
      <c r="BI15" s="1101" t="str">
        <f>'Overview (Design)'!Q12</f>
        <v>Tropical</v>
      </c>
    </row>
    <row r="16" spans="1:61" x14ac:dyDescent="0.3">
      <c r="B16" s="938" t="s">
        <v>3351</v>
      </c>
      <c r="C16" s="21"/>
      <c r="D16" s="21"/>
      <c r="E16" s="21"/>
      <c r="F16" s="21"/>
      <c r="G16" s="21"/>
      <c r="H16" s="1084"/>
      <c r="I16" s="576"/>
      <c r="J16" s="140"/>
      <c r="K16" s="140"/>
      <c r="L16" s="1434" t="s">
        <v>3597</v>
      </c>
      <c r="M16" s="1318"/>
      <c r="N16" s="140"/>
      <c r="O16" s="1308"/>
      <c r="P16" s="97"/>
      <c r="Q16" s="97"/>
      <c r="R16" s="97"/>
      <c r="S16" s="97"/>
      <c r="T16" s="97"/>
      <c r="U16" s="97"/>
      <c r="V16" s="97"/>
      <c r="W16" s="97"/>
      <c r="X16" s="1295"/>
      <c r="AX16" s="78" t="str">
        <f>'Overview (Design)'!A13</f>
        <v>County:</v>
      </c>
      <c r="AY16" s="79" t="str">
        <f>'Overview (Design)'!G13</f>
        <v xml:space="preserve">Chatham  </v>
      </c>
      <c r="BC16" s="79" t="str">
        <f>'Overview (Design)'!K13</f>
        <v>North Carolina</v>
      </c>
      <c r="BD16" s="79" t="str">
        <f>'Overview (Design)'!L13</f>
        <v xml:space="preserve">Chatham  </v>
      </c>
      <c r="BE16" s="79">
        <f>'Overview (Design)'!M13</f>
        <v>3</v>
      </c>
      <c r="BF16" s="79">
        <f>'Overview (Design)'!N13</f>
        <v>4</v>
      </c>
      <c r="BG16" s="79" t="str">
        <f>'Overview (Design)'!O13</f>
        <v>Moist</v>
      </c>
      <c r="BH16" s="79" t="str">
        <f>'Overview (Design)'!P13</f>
        <v xml:space="preserve"> </v>
      </c>
      <c r="BI16" s="1101" t="str">
        <f>'Overview (Design)'!Q13</f>
        <v xml:space="preserve"> </v>
      </c>
    </row>
    <row r="17" spans="1:51" x14ac:dyDescent="0.3">
      <c r="B17" s="938" t="s">
        <v>3351</v>
      </c>
      <c r="C17" s="21"/>
      <c r="D17" s="21"/>
      <c r="E17" s="21"/>
      <c r="F17" s="21"/>
      <c r="G17" s="21"/>
      <c r="H17" s="1084"/>
      <c r="I17" s="620"/>
      <c r="J17" s="238"/>
      <c r="K17" s="238"/>
      <c r="L17" s="1435"/>
      <c r="M17" s="1319"/>
      <c r="N17" s="238"/>
      <c r="O17" s="1309"/>
      <c r="P17" s="196"/>
      <c r="Q17" s="196"/>
      <c r="R17" s="196"/>
      <c r="S17" s="196"/>
      <c r="T17" s="196"/>
      <c r="U17" s="196"/>
      <c r="V17" s="196"/>
      <c r="W17" s="196"/>
      <c r="X17" s="1295"/>
      <c r="AX17" s="78" t="str">
        <f>'Overview (Design)'!A14</f>
        <v>Zip:</v>
      </c>
      <c r="AY17" s="79" t="str">
        <f>'Overview (Design)'!G14</f>
        <v>27703</v>
      </c>
    </row>
    <row r="18" spans="1:51" x14ac:dyDescent="0.3">
      <c r="B18" s="938" t="s">
        <v>3353</v>
      </c>
      <c r="C18" s="21"/>
      <c r="D18" s="21"/>
      <c r="E18" s="21"/>
      <c r="F18" s="21"/>
      <c r="G18" s="21"/>
      <c r="H18" s="1084"/>
      <c r="I18" s="215" t="s">
        <v>3353</v>
      </c>
      <c r="J18" s="216"/>
      <c r="K18" s="216"/>
      <c r="L18" s="1364" t="s">
        <v>3354</v>
      </c>
      <c r="M18" s="1323">
        <v>5</v>
      </c>
      <c r="N18" s="216"/>
      <c r="O18" s="1324">
        <f>M18*S18*W18</f>
        <v>5</v>
      </c>
      <c r="P18" s="97" t="b">
        <v>1</v>
      </c>
      <c r="Q18" s="97" t="b">
        <v>0</v>
      </c>
      <c r="R18" s="218" t="b">
        <v>0</v>
      </c>
      <c r="S18" s="218" t="b">
        <v>1</v>
      </c>
      <c r="T18" s="218" t="b">
        <v>0</v>
      </c>
      <c r="U18" s="218"/>
      <c r="V18" s="218"/>
      <c r="W18" s="452" t="b">
        <v>1</v>
      </c>
      <c r="X18" s="1295" t="s">
        <v>4799</v>
      </c>
      <c r="AC18" s="488" t="b">
        <f>OR(AD18:AE18)</f>
        <v>0</v>
      </c>
      <c r="AD18" s="488" t="b">
        <f>T18</f>
        <v>0</v>
      </c>
      <c r="AE18" s="488" t="b">
        <f>AND(R18,NOT(W18))</f>
        <v>0</v>
      </c>
      <c r="AL18" s="311" t="str">
        <f>SUBSTITUTE(SUBSTITUTE(SUBSTITUTE("dpa"&amp;$B18&amp;$C18&amp;$D18&amp;$E18&amp;$F18,".","_"),"(","_"),")","")</f>
        <v>dpa901_1_2</v>
      </c>
      <c r="AM18" s="311">
        <f>M18</f>
        <v>5</v>
      </c>
      <c r="AN18" s="311" t="str">
        <f>SUBSTITUTE(SUBSTITUTE(SUBSTITUTE("dpc"&amp;$B18&amp;$C18&amp;$D18&amp;$E18&amp;$F18,".","_"),"(","_"),")","")</f>
        <v>dpc901_1_2</v>
      </c>
      <c r="AO18" s="311">
        <f>O18</f>
        <v>5</v>
      </c>
      <c r="AP18" s="311" t="str">
        <f>SUBSTITUTE(SUBSTITUTE(SUBSTITUTE("dch"&amp;$B18&amp;$C18&amp;$D18&amp;$E18&amp;$F18,".","_"),"(","_"),")","")</f>
        <v>dch901_1_2</v>
      </c>
      <c r="AQ18" s="311" t="b">
        <f>W18</f>
        <v>1</v>
      </c>
      <c r="AR18" s="311" t="str">
        <f>SUBSTITUTE(SUBSTITUTE(SUBSTITUTE("dnt"&amp;$B18&amp;$C18&amp;$D18&amp;$E18&amp;$F18,".","_"),"(","_"),")","")</f>
        <v>dnt901_1_2</v>
      </c>
      <c r="AS18" s="311" t="str">
        <f>X18</f>
        <v>ZERH Requirement - Indoor airPLUS, Section 4.3 Location of Air Handling Equipment and Ductwork</v>
      </c>
      <c r="AX18" s="78"/>
    </row>
    <row r="19" spans="1:51" x14ac:dyDescent="0.3">
      <c r="B19" s="938" t="s">
        <v>3353</v>
      </c>
      <c r="C19" s="21"/>
      <c r="D19" s="21"/>
      <c r="E19" s="21"/>
      <c r="F19" s="21"/>
      <c r="G19" s="21"/>
      <c r="H19" s="1084"/>
      <c r="I19" s="576"/>
      <c r="J19" s="140"/>
      <c r="K19" s="140"/>
      <c r="L19" s="1313"/>
      <c r="M19" s="1318"/>
      <c r="N19" s="140"/>
      <c r="O19" s="1308"/>
      <c r="P19" s="97"/>
      <c r="Q19" s="97"/>
      <c r="R19" s="97"/>
      <c r="S19" s="97"/>
      <c r="T19" s="97"/>
      <c r="U19" s="97"/>
      <c r="V19" s="97"/>
      <c r="W19" s="97"/>
      <c r="X19" s="1295"/>
      <c r="AX19" s="78" t="str">
        <f>'Overview (Design)'!A16</f>
        <v>Single-Family or Multifamily:</v>
      </c>
      <c r="AY19" s="79" t="str">
        <f>'Overview (Design)'!G16</f>
        <v>Single-Family</v>
      </c>
    </row>
    <row r="20" spans="1:51" s="482" customFormat="1" x14ac:dyDescent="0.3">
      <c r="A20" s="18"/>
      <c r="B20" s="938" t="s">
        <v>3353</v>
      </c>
      <c r="C20" s="21"/>
      <c r="D20" s="21"/>
      <c r="E20" s="21"/>
      <c r="F20" s="21"/>
      <c r="G20" s="21"/>
      <c r="H20" s="1084"/>
      <c r="I20" s="620"/>
      <c r="J20" s="238"/>
      <c r="K20" s="238"/>
      <c r="L20" s="568" t="s">
        <v>3928</v>
      </c>
      <c r="M20" s="549"/>
      <c r="N20" s="238"/>
      <c r="O20" s="599"/>
      <c r="P20" s="196"/>
      <c r="Q20" s="196"/>
      <c r="R20" s="196"/>
      <c r="S20" s="196"/>
      <c r="T20" s="196"/>
      <c r="U20" s="196"/>
      <c r="V20" s="196"/>
      <c r="W20" s="196"/>
      <c r="X20" s="1295"/>
      <c r="Y20" s="1107"/>
      <c r="AA20" s="1110"/>
      <c r="AX20" s="78" t="str">
        <f>'Overview (Design)'!A17</f>
        <v>Number of Units:</v>
      </c>
      <c r="AY20" s="79">
        <f>'Overview (Design)'!G17</f>
        <v>0</v>
      </c>
    </row>
    <row r="21" spans="1:51" x14ac:dyDescent="0.3">
      <c r="B21" s="938" t="s">
        <v>3355</v>
      </c>
      <c r="C21" s="21"/>
      <c r="D21" s="21"/>
      <c r="E21" s="21"/>
      <c r="F21" s="21"/>
      <c r="G21" s="21"/>
      <c r="H21" s="1084"/>
      <c r="I21" s="66" t="s">
        <v>3355</v>
      </c>
      <c r="J21" s="4"/>
      <c r="K21" s="4"/>
      <c r="L21" s="1292" t="s">
        <v>3356</v>
      </c>
      <c r="M21" s="522"/>
      <c r="N21" s="4"/>
      <c r="O21" s="154"/>
      <c r="AX21" s="78" t="str">
        <f>'Overview (Design)'!A18</f>
        <v>Project Name:</v>
      </c>
      <c r="AY21" s="79">
        <f>'Overview (Design)'!G18</f>
        <v>0</v>
      </c>
    </row>
    <row r="22" spans="1:51" x14ac:dyDescent="0.3">
      <c r="B22" s="938" t="s">
        <v>3355</v>
      </c>
      <c r="C22" s="21"/>
      <c r="D22" s="21"/>
      <c r="E22" s="21"/>
      <c r="F22" s="21"/>
      <c r="G22" s="21"/>
      <c r="H22" s="1084"/>
      <c r="I22" s="182"/>
      <c r="J22" s="4"/>
      <c r="K22" s="4"/>
      <c r="L22" s="1292"/>
      <c r="M22" s="522"/>
      <c r="N22" s="4"/>
      <c r="O22" s="154"/>
      <c r="AX22" s="78"/>
    </row>
    <row r="23" spans="1:51" x14ac:dyDescent="0.3">
      <c r="B23" s="938" t="s">
        <v>3355</v>
      </c>
      <c r="C23" s="21"/>
      <c r="D23" s="21"/>
      <c r="E23" s="21" t="s">
        <v>271</v>
      </c>
      <c r="F23" s="21"/>
      <c r="G23" s="21"/>
      <c r="H23" s="1084"/>
      <c r="I23" s="182"/>
      <c r="J23" s="27" t="s">
        <v>271</v>
      </c>
      <c r="K23" s="4"/>
      <c r="L23" s="178" t="s">
        <v>3357</v>
      </c>
      <c r="M23" s="522"/>
      <c r="N23" s="4"/>
      <c r="O23" s="154">
        <f ca="1">IFERROR(INDEX({3,5},MATCH(W23,INDIRECT(U23),0)),0)*S23</f>
        <v>5</v>
      </c>
      <c r="P23" s="97" t="b">
        <v>1</v>
      </c>
      <c r="Q23" s="97" t="b">
        <v>1</v>
      </c>
      <c r="R23" s="480" t="b">
        <v>0</v>
      </c>
      <c r="S23" s="480" t="b">
        <f>OR(AY32=INDEX(ddHeat1,1),AY32=INDEX(ddHeat1,2),AY33=INDEX(ddHeat2,1),AY33=INDEX(ddHeat2,2),AY34=INDEX(ddHeat3,1),AY34=INDEX(ddHeat3,2))</f>
        <v>1</v>
      </c>
      <c r="T23" s="97" t="b">
        <f>AND(NOT(S23),LEN(W23)&gt;0)</f>
        <v>0</v>
      </c>
      <c r="U23" s="97" t="str">
        <f>SUBSTITUTE(SUBSTITUTE(SUBSTITUTE("dd"&amp;B23&amp;C23&amp;D23&amp;E23&amp;F23,".","_"),"(","_"),")","")</f>
        <v>dd901_1_3_1</v>
      </c>
      <c r="W23" s="12" t="s">
        <v>122</v>
      </c>
      <c r="X23" s="1303"/>
      <c r="AN23" s="311" t="str">
        <f>SUBSTITUTE(SUBSTITUTE(SUBSTITUTE("dpc"&amp;$B23&amp;$C23&amp;$D23&amp;$E23&amp;$F23,".","_"),"(","_"),")","")</f>
        <v>dpc901_1_3_1</v>
      </c>
      <c r="AO23" s="311">
        <f ca="1">O23</f>
        <v>5</v>
      </c>
      <c r="AP23" s="311" t="str">
        <f>SUBSTITUTE(SUBSTITUTE(SUBSTITUTE("dch"&amp;$B23&amp;$C23&amp;$D23&amp;$E23&amp;$F23,".","_"),"(","_"),")","")</f>
        <v>dch901_1_3_1</v>
      </c>
      <c r="AQ23" s="311" t="str">
        <f>W23</f>
        <v>(b)</v>
      </c>
      <c r="AR23" s="311" t="str">
        <f>SUBSTITUTE(SUBSTITUTE(SUBSTITUTE("dnt"&amp;$B23&amp;$C23&amp;$D23&amp;$E23&amp;$F23,".","_"),"(","_"),")","")</f>
        <v>dnt901_1_3_1</v>
      </c>
      <c r="AS23" s="311">
        <f>X23</f>
        <v>0</v>
      </c>
      <c r="AX23" s="78" t="str">
        <f>'Overview (Design)'!A20</f>
        <v>Above grade plane finished floor area:</v>
      </c>
      <c r="AY23" s="79">
        <f>'Overview (Design)'!G20</f>
        <v>2650</v>
      </c>
    </row>
    <row r="24" spans="1:51" x14ac:dyDescent="0.3">
      <c r="B24" s="938" t="s">
        <v>3355</v>
      </c>
      <c r="C24" s="21"/>
      <c r="D24" s="21"/>
      <c r="E24" s="21" t="s">
        <v>271</v>
      </c>
      <c r="F24" s="80" t="s">
        <v>121</v>
      </c>
      <c r="G24" s="80"/>
      <c r="H24" s="1087"/>
      <c r="I24" s="182"/>
      <c r="J24" s="27"/>
      <c r="K24" s="27" t="s">
        <v>121</v>
      </c>
      <c r="L24" s="178" t="s">
        <v>3358</v>
      </c>
      <c r="M24" s="522">
        <v>3</v>
      </c>
      <c r="N24" s="4"/>
      <c r="O24" s="154"/>
      <c r="X24" s="1303"/>
      <c r="AL24" s="311" t="str">
        <f>SUBSTITUTE(SUBSTITUTE(SUBSTITUTE("dpa"&amp;$B24&amp;$C24&amp;$D24&amp;$E24&amp;$F24,".","_"),"(","_"),")","")</f>
        <v>dpa901_1_3_1_a</v>
      </c>
      <c r="AM24" s="311">
        <f>M24</f>
        <v>3</v>
      </c>
      <c r="AX24" s="78" t="str">
        <f>'Overview (Design)'!A21</f>
        <v>Total conditioned floor area:</v>
      </c>
      <c r="AY24" s="79">
        <f>'Overview (Design)'!G21</f>
        <v>2650</v>
      </c>
    </row>
    <row r="25" spans="1:51" x14ac:dyDescent="0.3">
      <c r="B25" s="938" t="s">
        <v>3355</v>
      </c>
      <c r="C25" s="21"/>
      <c r="D25" s="21"/>
      <c r="E25" s="21" t="s">
        <v>271</v>
      </c>
      <c r="F25" s="80" t="s">
        <v>122</v>
      </c>
      <c r="G25" s="80"/>
      <c r="H25" s="1087"/>
      <c r="I25" s="182"/>
      <c r="J25" s="231"/>
      <c r="K25" s="231" t="s">
        <v>122</v>
      </c>
      <c r="L25" s="516" t="s">
        <v>3359</v>
      </c>
      <c r="M25" s="520">
        <v>5</v>
      </c>
      <c r="N25" s="4"/>
      <c r="O25" s="597"/>
      <c r="X25" s="1303"/>
      <c r="AL25" s="311" t="str">
        <f>SUBSTITUTE(SUBSTITUTE(SUBSTITUTE("dpa"&amp;$B25&amp;$C25&amp;$D25&amp;$E25&amp;$F25,".","_"),"(","_"),")","")</f>
        <v>dpa901_1_3_1_b</v>
      </c>
      <c r="AM25" s="311">
        <f>M25</f>
        <v>5</v>
      </c>
      <c r="AX25" s="481" t="str">
        <f>'Overview (Design)'!A22</f>
        <v>Stories above grade:</v>
      </c>
      <c r="AY25" s="482">
        <f>'Overview (Design)'!G22</f>
        <v>2</v>
      </c>
    </row>
    <row r="26" spans="1:51" x14ac:dyDescent="0.3">
      <c r="B26" s="938" t="s">
        <v>3355</v>
      </c>
      <c r="C26" s="21"/>
      <c r="D26" s="21"/>
      <c r="E26" s="21" t="s">
        <v>273</v>
      </c>
      <c r="F26" s="80"/>
      <c r="G26" s="80"/>
      <c r="H26" s="1087"/>
      <c r="I26" s="576"/>
      <c r="J26" s="203" t="s">
        <v>273</v>
      </c>
      <c r="K26" s="140"/>
      <c r="L26" s="544" t="s">
        <v>3360</v>
      </c>
      <c r="M26" s="548"/>
      <c r="N26" s="140"/>
      <c r="O26" s="598">
        <f ca="1">IFERROR(INDEX({3,5},MATCH(W26,INDIRECT(U26),0)),0)*S26</f>
        <v>5</v>
      </c>
      <c r="P26" s="97" t="b">
        <v>1</v>
      </c>
      <c r="Q26" s="97" t="b">
        <v>1</v>
      </c>
      <c r="R26" s="97" t="b">
        <v>0</v>
      </c>
      <c r="S26" s="97" t="b">
        <v>1</v>
      </c>
      <c r="T26" s="97" t="b">
        <v>0</v>
      </c>
      <c r="U26" s="97" t="str">
        <f>SUBSTITUTE(SUBSTITUTE(SUBSTITUTE("dd"&amp;B26&amp;C26&amp;D26&amp;E26&amp;F26,".","_"),"(","_"),")","")</f>
        <v>dd901_1_3_2</v>
      </c>
      <c r="V26" s="97"/>
      <c r="W26" s="114" t="s">
        <v>122</v>
      </c>
      <c r="X26" s="1295"/>
      <c r="AN26" s="311" t="str">
        <f>SUBSTITUTE(SUBSTITUTE(SUBSTITUTE("dpc"&amp;$B26&amp;$C26&amp;$D26&amp;$E26&amp;$F26,".","_"),"(","_"),")","")</f>
        <v>dpc901_1_3_2</v>
      </c>
      <c r="AO26" s="311">
        <f ca="1">O26</f>
        <v>5</v>
      </c>
      <c r="AP26" s="311" t="str">
        <f>SUBSTITUTE(SUBSTITUTE(SUBSTITUTE("dch"&amp;$B26&amp;$C26&amp;$D26&amp;$E26&amp;$F26,".","_"),"(","_"),")","")</f>
        <v>dch901_1_3_2</v>
      </c>
      <c r="AQ26" s="311" t="str">
        <f>W26</f>
        <v>(b)</v>
      </c>
      <c r="AR26" s="311" t="str">
        <f>SUBSTITUTE(SUBSTITUTE(SUBSTITUTE("dnt"&amp;$B26&amp;$C26&amp;$D26&amp;$E26&amp;$F26,".","_"),"(","_"),")","")</f>
        <v>dnt901_1_3_2</v>
      </c>
      <c r="AS26" s="311">
        <f>X26</f>
        <v>0</v>
      </c>
      <c r="AX26" s="481"/>
      <c r="AY26" s="482"/>
    </row>
    <row r="27" spans="1:51" x14ac:dyDescent="0.3">
      <c r="B27" s="938" t="s">
        <v>3355</v>
      </c>
      <c r="C27" s="21"/>
      <c r="D27" s="21"/>
      <c r="E27" s="21" t="s">
        <v>273</v>
      </c>
      <c r="F27" s="80" t="s">
        <v>121</v>
      </c>
      <c r="G27" s="80"/>
      <c r="H27" s="1087"/>
      <c r="I27" s="576"/>
      <c r="J27" s="140"/>
      <c r="K27" s="203" t="s">
        <v>121</v>
      </c>
      <c r="L27" s="544" t="s">
        <v>3361</v>
      </c>
      <c r="M27" s="548">
        <v>3</v>
      </c>
      <c r="N27" s="140"/>
      <c r="O27" s="598"/>
      <c r="P27" s="97"/>
      <c r="Q27" s="97"/>
      <c r="R27" s="97"/>
      <c r="S27" s="97"/>
      <c r="T27" s="97"/>
      <c r="U27" s="97"/>
      <c r="V27" s="97"/>
      <c r="W27" s="97"/>
      <c r="X27" s="1295"/>
      <c r="AL27" s="311" t="str">
        <f>SUBSTITUTE(SUBSTITUTE(SUBSTITUTE("dpa"&amp;$B27&amp;$C27&amp;$D27&amp;$E27&amp;$F27,".","_"),"(","_"),")","")</f>
        <v>dpa901_1_3_2_a</v>
      </c>
      <c r="AM27" s="311">
        <f>M27</f>
        <v>3</v>
      </c>
      <c r="AX27" s="78" t="str">
        <f>'Overview (Design)'!A24</f>
        <v xml:space="preserve">Project Description (optional): </v>
      </c>
      <c r="AY27" s="79">
        <f>'Overview (Design)'!G24</f>
        <v>0</v>
      </c>
    </row>
    <row r="28" spans="1:51" x14ac:dyDescent="0.3">
      <c r="B28" s="938" t="s">
        <v>3355</v>
      </c>
      <c r="C28" s="21"/>
      <c r="D28" s="21"/>
      <c r="E28" s="21" t="s">
        <v>273</v>
      </c>
      <c r="F28" s="80" t="s">
        <v>122</v>
      </c>
      <c r="G28" s="80"/>
      <c r="H28" s="1087"/>
      <c r="I28" s="620"/>
      <c r="J28" s="238"/>
      <c r="K28" s="231" t="s">
        <v>122</v>
      </c>
      <c r="L28" s="545" t="s">
        <v>3362</v>
      </c>
      <c r="M28" s="549">
        <v>5</v>
      </c>
      <c r="N28" s="238"/>
      <c r="O28" s="599"/>
      <c r="P28" s="196"/>
      <c r="Q28" s="196"/>
      <c r="R28" s="196"/>
      <c r="S28" s="196"/>
      <c r="T28" s="196"/>
      <c r="U28" s="196"/>
      <c r="V28" s="196"/>
      <c r="W28" s="196"/>
      <c r="X28" s="1295"/>
      <c r="AL28" s="311" t="str">
        <f>SUBSTITUTE(SUBSTITUTE(SUBSTITUTE("dpa"&amp;$B28&amp;$C28&amp;$D28&amp;$E28&amp;$F28,".","_"),"(","_"),")","")</f>
        <v>dpa901_1_3_2_b</v>
      </c>
      <c r="AM28" s="311">
        <f>M28</f>
        <v>5</v>
      </c>
      <c r="AX28" s="481"/>
      <c r="AY28" s="482"/>
    </row>
    <row r="29" spans="1:51" x14ac:dyDescent="0.3">
      <c r="B29" s="938" t="s">
        <v>3363</v>
      </c>
      <c r="C29" s="21"/>
      <c r="D29" s="21"/>
      <c r="E29" s="21"/>
      <c r="F29" s="21"/>
      <c r="G29" s="21"/>
      <c r="H29" s="1084"/>
      <c r="I29" s="141" t="s">
        <v>3363</v>
      </c>
      <c r="J29" s="140"/>
      <c r="K29" s="140"/>
      <c r="L29" s="1313" t="s">
        <v>3364</v>
      </c>
      <c r="M29" s="1351" t="str">
        <f>IF(R29,"Mandatory","N/A")</f>
        <v>Mandatory</v>
      </c>
      <c r="N29" s="140"/>
      <c r="O29" s="598"/>
      <c r="P29" s="97" t="b">
        <v>1</v>
      </c>
      <c r="Q29" s="97" t="b">
        <v>0</v>
      </c>
      <c r="R29" s="97" t="b">
        <f>S29</f>
        <v>1</v>
      </c>
      <c r="S29" s="97" t="b">
        <v>1</v>
      </c>
      <c r="T29" s="97" t="b">
        <v>0</v>
      </c>
      <c r="U29" s="97" t="str">
        <f>SUBSTITUTE(SUBSTITUTE(SUBSTITUTE("dd"&amp;B29&amp;C29&amp;D29&amp;E29&amp;F29,".","_"),"(","_"),")","")</f>
        <v>dd901_1_4</v>
      </c>
      <c r="V29" s="97"/>
      <c r="W29" s="316" t="s">
        <v>3242</v>
      </c>
      <c r="X29" s="1304" t="s">
        <v>4800</v>
      </c>
      <c r="AC29" s="488" t="b">
        <f>OR(AD29:AE29)</f>
        <v>0</v>
      </c>
      <c r="AD29" s="488" t="b">
        <f>T29</f>
        <v>0</v>
      </c>
      <c r="AE29" s="488" t="b">
        <f>AND(R29,OR(W29="Not Met",W29=""))</f>
        <v>0</v>
      </c>
      <c r="AL29" s="311" t="str">
        <f>SUBSTITUTE(SUBSTITUTE(SUBSTITUTE("dpa"&amp;$B29&amp;$C29&amp;$D29&amp;$E29&amp;$F29,".","_"),"(","_"),")","")</f>
        <v>dpa901_1_4</v>
      </c>
      <c r="AM29" s="311" t="str">
        <f>M29</f>
        <v>Mandatory</v>
      </c>
      <c r="AP29" s="311" t="str">
        <f>SUBSTITUTE(SUBSTITUTE(SUBSTITUTE("dch"&amp;$B29&amp;$C29&amp;$D29&amp;$E29&amp;$F29,".","_"),"(","_"),")","")</f>
        <v>dch901_1_4</v>
      </c>
      <c r="AQ29" s="311" t="str">
        <f>W29</f>
        <v>Met</v>
      </c>
      <c r="AR29" s="311" t="str">
        <f>SUBSTITUTE(SUBSTITUTE(SUBSTITUTE("dnt"&amp;$B29&amp;$C29&amp;$D29&amp;$E29&amp;$F29,".","_"),"(","_"),")","")</f>
        <v>dnt901_1_4</v>
      </c>
      <c r="AS29" s="311" t="str">
        <f>X29</f>
        <v>ZERH Requirement - Indoor airPLUS, Section 5.1 Combustion Equipment</v>
      </c>
      <c r="AX29" s="78" t="str">
        <f>'Overview (Design)'!A26</f>
        <v>HERS Index (if available):</v>
      </c>
      <c r="AY29" s="79">
        <f>'Overview (Design)'!G26</f>
        <v>0</v>
      </c>
    </row>
    <row r="30" spans="1:51" x14ac:dyDescent="0.3">
      <c r="B30" s="938" t="s">
        <v>3363</v>
      </c>
      <c r="C30" s="21"/>
      <c r="D30" s="21"/>
      <c r="E30" s="21"/>
      <c r="F30" s="21"/>
      <c r="G30" s="21"/>
      <c r="H30" s="1084"/>
      <c r="I30" s="576"/>
      <c r="J30" s="140"/>
      <c r="K30" s="140"/>
      <c r="L30" s="1313"/>
      <c r="M30" s="1351"/>
      <c r="N30" s="140"/>
      <c r="O30" s="598"/>
      <c r="P30" s="97"/>
      <c r="Q30" s="97"/>
      <c r="R30" s="97"/>
      <c r="S30" s="97"/>
      <c r="T30" s="97"/>
      <c r="U30" s="97"/>
      <c r="V30" s="97"/>
      <c r="W30" s="97"/>
      <c r="X30" s="1295"/>
      <c r="AX30" s="78" t="str">
        <f>'Overview (Design)'!A27</f>
        <v>Foundation Type:</v>
      </c>
      <c r="AY30" s="79" t="str">
        <f>'Overview (Design)'!G27</f>
        <v>Conditioned crawlspace</v>
      </c>
    </row>
    <row r="31" spans="1:51" x14ac:dyDescent="0.3">
      <c r="B31" s="938" t="s">
        <v>3363</v>
      </c>
      <c r="C31" s="21"/>
      <c r="D31" s="21"/>
      <c r="E31" s="21"/>
      <c r="F31" s="21"/>
      <c r="G31" s="21"/>
      <c r="H31" s="1084"/>
      <c r="I31" s="576"/>
      <c r="J31" s="140"/>
      <c r="K31" s="140"/>
      <c r="L31" s="1313"/>
      <c r="M31" s="1351"/>
      <c r="N31" s="140"/>
      <c r="O31" s="598"/>
      <c r="P31" s="97"/>
      <c r="Q31" s="97"/>
      <c r="R31" s="97"/>
      <c r="S31" s="97"/>
      <c r="T31" s="97"/>
      <c r="U31" s="97"/>
      <c r="V31" s="97"/>
      <c r="W31" s="97"/>
      <c r="X31" s="1295"/>
      <c r="AX31" s="481">
        <f>'Overview (Design)'!A28</f>
        <v>0</v>
      </c>
      <c r="AY31" s="482">
        <f>'Overview (Design)'!G28</f>
        <v>0</v>
      </c>
    </row>
    <row r="32" spans="1:51" x14ac:dyDescent="0.3">
      <c r="B32" s="938" t="s">
        <v>3363</v>
      </c>
      <c r="C32" s="21"/>
      <c r="D32" s="21"/>
      <c r="E32" s="21"/>
      <c r="F32" s="21"/>
      <c r="G32" s="21"/>
      <c r="H32" s="1084"/>
      <c r="I32" s="620"/>
      <c r="J32" s="238"/>
      <c r="K32" s="238"/>
      <c r="L32" s="1350"/>
      <c r="M32" s="1352"/>
      <c r="N32" s="238"/>
      <c r="O32" s="599"/>
      <c r="P32" s="196"/>
      <c r="Q32" s="196"/>
      <c r="R32" s="196"/>
      <c r="S32" s="196"/>
      <c r="T32" s="196"/>
      <c r="U32" s="196"/>
      <c r="V32" s="196"/>
      <c r="W32" s="196"/>
      <c r="X32" s="1295"/>
      <c r="AX32" s="78" t="str">
        <f>'Overview (Design)'!A29</f>
        <v>Type of Heating System (main system):</v>
      </c>
      <c r="AY32" s="79" t="str">
        <f>'Overview (Design)'!G29</f>
        <v>Furnace</v>
      </c>
    </row>
    <row r="33" spans="2:51" x14ac:dyDescent="0.3">
      <c r="B33" s="938" t="s">
        <v>3365</v>
      </c>
      <c r="C33" s="21"/>
      <c r="D33" s="21"/>
      <c r="E33" s="21"/>
      <c r="F33" s="21"/>
      <c r="G33" s="21"/>
      <c r="H33" s="1084"/>
      <c r="I33" s="141" t="s">
        <v>3365</v>
      </c>
      <c r="J33" s="140"/>
      <c r="K33" s="140"/>
      <c r="L33" s="1313" t="s">
        <v>3366</v>
      </c>
      <c r="M33" s="1318">
        <v>7</v>
      </c>
      <c r="N33" s="140"/>
      <c r="O33" s="1308">
        <f>M33*S33*W33</f>
        <v>7</v>
      </c>
      <c r="P33" s="97" t="b">
        <v>1</v>
      </c>
      <c r="Q33" s="97" t="b">
        <v>1</v>
      </c>
      <c r="R33" s="97" t="b">
        <v>0</v>
      </c>
      <c r="S33" s="97" t="b">
        <f>NOT(W29="N/A")</f>
        <v>1</v>
      </c>
      <c r="T33" s="97" t="b">
        <f>AND(NOT(S33),W33=TRUE)</f>
        <v>0</v>
      </c>
      <c r="U33" s="97"/>
      <c r="V33" s="97"/>
      <c r="W33" s="127" t="b">
        <v>1</v>
      </c>
      <c r="X33" s="1304" t="s">
        <v>4800</v>
      </c>
      <c r="AC33" s="488" t="b">
        <f>OR(AD33:AE33)</f>
        <v>0</v>
      </c>
      <c r="AD33" s="488" t="b">
        <f>T33</f>
        <v>0</v>
      </c>
      <c r="AE33" s="488" t="b">
        <f>AND(R33,NOT(W33))</f>
        <v>0</v>
      </c>
      <c r="AL33" s="311" t="str">
        <f>SUBSTITUTE(SUBSTITUTE(SUBSTITUTE("dpa"&amp;$B33&amp;$C33&amp;$D33&amp;$E33&amp;$F33,".","_"),"(","_"),")","")</f>
        <v>dpa901_1_5</v>
      </c>
      <c r="AM33" s="311">
        <f>M33</f>
        <v>7</v>
      </c>
      <c r="AN33" s="311" t="str">
        <f>SUBSTITUTE(SUBSTITUTE(SUBSTITUTE("dpc"&amp;$B33&amp;$C33&amp;$D33&amp;$E33&amp;$F33,".","_"),"(","_"),")","")</f>
        <v>dpc901_1_5</v>
      </c>
      <c r="AO33" s="311">
        <f>O33</f>
        <v>7</v>
      </c>
      <c r="AP33" s="311" t="str">
        <f>SUBSTITUTE(SUBSTITUTE(SUBSTITUTE("dch"&amp;$B33&amp;$C33&amp;$D33&amp;$E33&amp;$F33,".","_"),"(","_"),")","")</f>
        <v>dch901_1_5</v>
      </c>
      <c r="AQ33" s="311" t="b">
        <f>W33</f>
        <v>1</v>
      </c>
      <c r="AR33" s="311" t="str">
        <f>SUBSTITUTE(SUBSTITUTE(SUBSTITUTE("dnt"&amp;$B33&amp;$C33&amp;$D33&amp;$E33&amp;$F33,".","_"),"(","_"),")","")</f>
        <v>dnt901_1_5</v>
      </c>
      <c r="AS33" s="311" t="str">
        <f>X33</f>
        <v>ZERH Requirement - Indoor airPLUS, Section 5.1 Combustion Equipment</v>
      </c>
      <c r="AX33" s="78" t="str">
        <f>'Overview (Design)'!A30</f>
        <v>Type of Heating System (system 2):</v>
      </c>
      <c r="AY33" s="79">
        <f>'Overview (Design)'!G30</f>
        <v>0</v>
      </c>
    </row>
    <row r="34" spans="2:51" x14ac:dyDescent="0.3">
      <c r="B34" s="938" t="s">
        <v>3365</v>
      </c>
      <c r="C34" s="21"/>
      <c r="D34" s="21"/>
      <c r="E34" s="21"/>
      <c r="F34" s="21"/>
      <c r="G34" s="21"/>
      <c r="H34" s="1084"/>
      <c r="I34" s="576"/>
      <c r="J34" s="140"/>
      <c r="K34" s="140"/>
      <c r="L34" s="1313"/>
      <c r="M34" s="1318"/>
      <c r="N34" s="140"/>
      <c r="O34" s="1308"/>
      <c r="P34" s="97"/>
      <c r="Q34" s="97"/>
      <c r="R34" s="97"/>
      <c r="S34" s="97"/>
      <c r="T34" s="97"/>
      <c r="U34" s="97"/>
      <c r="V34" s="97"/>
      <c r="W34" s="97"/>
      <c r="X34" s="1295"/>
      <c r="AX34" s="78" t="str">
        <f>'Overview (Design)'!A31</f>
        <v>Type of Heating System (system 3):</v>
      </c>
      <c r="AY34" s="79">
        <f>'Overview (Design)'!G31</f>
        <v>0</v>
      </c>
    </row>
    <row r="35" spans="2:51" x14ac:dyDescent="0.3">
      <c r="B35" s="938" t="s">
        <v>3365</v>
      </c>
      <c r="C35" s="21"/>
      <c r="D35" s="21"/>
      <c r="E35" s="21"/>
      <c r="F35" s="21"/>
      <c r="G35" s="21"/>
      <c r="H35" s="1084"/>
      <c r="I35" s="620"/>
      <c r="J35" s="238"/>
      <c r="K35" s="238"/>
      <c r="L35" s="1350"/>
      <c r="M35" s="1319"/>
      <c r="N35" s="238"/>
      <c r="O35" s="1309"/>
      <c r="P35" s="196"/>
      <c r="Q35" s="196"/>
      <c r="R35" s="196"/>
      <c r="S35" s="196"/>
      <c r="T35" s="196"/>
      <c r="U35" s="196"/>
      <c r="V35" s="196"/>
      <c r="W35" s="196"/>
      <c r="X35" s="1295"/>
      <c r="AX35" s="78" t="str">
        <f>'Overview (Design)'!A32</f>
        <v>Heating Fuel:</v>
      </c>
      <c r="AY35" s="79">
        <f>'Overview (Design)'!G32</f>
        <v>0</v>
      </c>
    </row>
    <row r="36" spans="2:51" x14ac:dyDescent="0.3">
      <c r="B36" s="938" t="s">
        <v>3367</v>
      </c>
      <c r="C36" s="21"/>
      <c r="D36" s="21"/>
      <c r="E36" s="21"/>
      <c r="F36" s="21"/>
      <c r="G36" s="21"/>
      <c r="H36" s="1084"/>
      <c r="I36" s="141" t="s">
        <v>3367</v>
      </c>
      <c r="J36" s="140"/>
      <c r="K36" s="140"/>
      <c r="L36" s="369" t="s">
        <v>3368</v>
      </c>
      <c r="M36" s="548"/>
      <c r="N36" s="140"/>
      <c r="O36" s="598">
        <f ca="1">IFERROR(INDEX({2,5},MATCH(W36,INDIRECT(U36),0)),0)*S36</f>
        <v>0</v>
      </c>
      <c r="P36" s="97" t="b">
        <v>1</v>
      </c>
      <c r="Q36" s="97" t="b">
        <v>1</v>
      </c>
      <c r="R36" s="97" t="b">
        <v>0</v>
      </c>
      <c r="S36" s="97" t="b">
        <f>OR(AY32=INDEX(ddHeat1,3),AY32=INDEX(ddHeat1,5),AY33=INDEX(ddHeat2,3),AY33=INDEX(ddHeat2,5),AY34=INDEX(ddHeat3,3),AY34=INDEX(ddHeat3,5))</f>
        <v>0</v>
      </c>
      <c r="T36" s="97" t="b">
        <f>AND(NOT(S36),LEN(W36)&gt;0)</f>
        <v>0</v>
      </c>
      <c r="U36" s="97" t="str">
        <f>SUBSTITUTE(SUBSTITUTE(SUBSTITUTE("dd"&amp;B36&amp;C36&amp;D36&amp;E36&amp;F36,".","_"),"(","_"),")","")</f>
        <v>dd901_1_6</v>
      </c>
      <c r="V36" s="97"/>
      <c r="W36" s="316"/>
      <c r="X36" s="1304"/>
      <c r="AC36" s="488" t="b">
        <f>OR(AD36:AE36)</f>
        <v>0</v>
      </c>
      <c r="AD36" s="488" t="b">
        <f>T36</f>
        <v>0</v>
      </c>
      <c r="AE36" s="488" t="b">
        <f>AND(R36,OR(W36="Not Met",W36=""))</f>
        <v>0</v>
      </c>
      <c r="AN36" s="311" t="str">
        <f>SUBSTITUTE(SUBSTITUTE(SUBSTITUTE("dpc"&amp;$B36&amp;$C36&amp;$D36&amp;$E36&amp;$F36,".","_"),"(","_"),")","")</f>
        <v>dpc901_1_6</v>
      </c>
      <c r="AO36" s="311">
        <f ca="1">O36</f>
        <v>0</v>
      </c>
      <c r="AP36" s="311" t="str">
        <f>SUBSTITUTE(SUBSTITUTE(SUBSTITUTE("dch"&amp;$B36&amp;$C36&amp;$D36&amp;$E36&amp;$F36,".","_"),"(","_"),")","")</f>
        <v>dch901_1_6</v>
      </c>
      <c r="AQ36" s="311">
        <f>W36</f>
        <v>0</v>
      </c>
      <c r="AR36" s="311" t="str">
        <f>SUBSTITUTE(SUBSTITUTE(SUBSTITUTE("dnt"&amp;$B36&amp;$C36&amp;$D36&amp;$E36&amp;$F36,".","_"),"(","_"),")","")</f>
        <v>dnt901_1_6</v>
      </c>
      <c r="AS36" s="311">
        <f>X36</f>
        <v>0</v>
      </c>
      <c r="AX36" s="481" t="str">
        <f>'Overview (Design)'!A33</f>
        <v>Heating Ducts:</v>
      </c>
      <c r="AY36" s="482" t="str">
        <f>'Overview (Design)'!G33</f>
        <v>Ducted</v>
      </c>
    </row>
    <row r="37" spans="2:51" x14ac:dyDescent="0.3">
      <c r="B37" s="938" t="s">
        <v>3367</v>
      </c>
      <c r="C37" s="21"/>
      <c r="D37" s="21"/>
      <c r="E37" s="21" t="s">
        <v>271</v>
      </c>
      <c r="F37" s="21"/>
      <c r="G37" s="21"/>
      <c r="H37" s="1084"/>
      <c r="I37" s="576"/>
      <c r="J37" s="231" t="s">
        <v>271</v>
      </c>
      <c r="K37" s="238"/>
      <c r="L37" s="516" t="s">
        <v>3369</v>
      </c>
      <c r="M37" s="520">
        <v>2</v>
      </c>
      <c r="N37" s="140"/>
      <c r="O37" s="269"/>
      <c r="P37" s="97"/>
      <c r="Q37" s="97"/>
      <c r="R37" s="97"/>
      <c r="S37" s="97"/>
      <c r="T37" s="97"/>
      <c r="U37" s="97"/>
      <c r="V37" s="97"/>
      <c r="W37" s="97"/>
      <c r="X37" s="1295"/>
      <c r="AL37" s="311" t="str">
        <f>SUBSTITUTE(SUBSTITUTE(SUBSTITUTE("dpa"&amp;$B37&amp;$C37&amp;$D37&amp;$E37&amp;$F37,".","_"),"(","_"),")","")</f>
        <v>dpa901_1_6_1</v>
      </c>
      <c r="AM37" s="311">
        <f>M37</f>
        <v>2</v>
      </c>
      <c r="AX37" s="481" t="str">
        <f>'Overview (Design)'!A34</f>
        <v>Type of Cooling System (main system):</v>
      </c>
      <c r="AY37" s="482" t="str">
        <f>'Overview (Design)'!G34</f>
        <v>Electric Air Conditiner</v>
      </c>
    </row>
    <row r="38" spans="2:51" ht="15" thickBot="1" x14ac:dyDescent="0.35">
      <c r="B38" s="938" t="s">
        <v>3367</v>
      </c>
      <c r="C38" s="21"/>
      <c r="D38" s="21"/>
      <c r="E38" s="21" t="s">
        <v>273</v>
      </c>
      <c r="F38" s="21"/>
      <c r="G38" s="21"/>
      <c r="H38" s="1084"/>
      <c r="I38" s="577"/>
      <c r="J38" s="213" t="s">
        <v>273</v>
      </c>
      <c r="K38" s="270"/>
      <c r="L38" s="519" t="s">
        <v>3370</v>
      </c>
      <c r="M38" s="523">
        <v>5</v>
      </c>
      <c r="N38" s="270"/>
      <c r="O38" s="271"/>
      <c r="P38" s="104"/>
      <c r="Q38" s="104"/>
      <c r="R38" s="104"/>
      <c r="S38" s="104"/>
      <c r="T38" s="104"/>
      <c r="U38" s="104"/>
      <c r="V38" s="104"/>
      <c r="W38" s="104"/>
      <c r="X38" s="1296"/>
      <c r="AL38" s="311" t="str">
        <f>SUBSTITUTE(SUBSTITUTE(SUBSTITUTE("dpa"&amp;$B38&amp;$C38&amp;$D38&amp;$E38&amp;$F38,".","_"),"(","_"),")","")</f>
        <v>dpa901_1_6_2</v>
      </c>
      <c r="AM38" s="311">
        <f>M38</f>
        <v>5</v>
      </c>
      <c r="AX38" s="481" t="str">
        <f>'Overview (Design)'!A35</f>
        <v>Type of Cooling System (system 2):</v>
      </c>
      <c r="AY38" s="482">
        <f>'Overview (Design)'!G35</f>
        <v>0</v>
      </c>
    </row>
    <row r="39" spans="2:51" ht="15" thickTop="1" x14ac:dyDescent="0.3">
      <c r="B39" s="938">
        <v>901.2</v>
      </c>
      <c r="C39" s="21"/>
      <c r="D39" s="21"/>
      <c r="E39" s="21"/>
      <c r="F39" s="21"/>
      <c r="G39" s="21"/>
      <c r="H39" s="1084"/>
      <c r="I39" s="200">
        <v>901.2</v>
      </c>
      <c r="J39" s="201"/>
      <c r="K39" s="201"/>
      <c r="L39" s="562" t="s">
        <v>3371</v>
      </c>
      <c r="M39" s="547"/>
      <c r="N39" s="201"/>
      <c r="O39" s="602"/>
      <c r="P39" s="110"/>
      <c r="Q39" s="110"/>
      <c r="R39" s="110"/>
      <c r="S39" s="110"/>
      <c r="T39" s="110"/>
      <c r="U39" s="110"/>
      <c r="V39" s="110"/>
      <c r="W39" s="110"/>
      <c r="X39" s="110"/>
      <c r="AX39" s="481" t="str">
        <f>'Overview (Design)'!A36</f>
        <v>Type of Cooling System (system 3):</v>
      </c>
      <c r="AY39" s="482">
        <f>'Overview (Design)'!G36</f>
        <v>0</v>
      </c>
    </row>
    <row r="40" spans="2:51" x14ac:dyDescent="0.3">
      <c r="B40" s="938" t="s">
        <v>3372</v>
      </c>
      <c r="C40" s="21"/>
      <c r="D40" s="21"/>
      <c r="E40" s="21"/>
      <c r="F40" s="21"/>
      <c r="G40" s="21"/>
      <c r="H40" s="1084"/>
      <c r="I40" s="66" t="s">
        <v>3372</v>
      </c>
      <c r="J40" s="4"/>
      <c r="K40" s="4"/>
      <c r="L40" s="1292" t="s">
        <v>3373</v>
      </c>
      <c r="M40" s="522"/>
      <c r="N40" s="4"/>
      <c r="O40" s="154"/>
      <c r="AX40" s="481" t="str">
        <f>'Overview (Design)'!A37</f>
        <v>Cooling Ducts:</v>
      </c>
      <c r="AY40" s="482" t="str">
        <f>'Overview (Design)'!G37</f>
        <v>Ducted</v>
      </c>
    </row>
    <row r="41" spans="2:51" x14ac:dyDescent="0.3">
      <c r="B41" s="938" t="s">
        <v>3372</v>
      </c>
      <c r="C41" s="21"/>
      <c r="D41" s="21"/>
      <c r="E41" s="21"/>
      <c r="F41" s="21"/>
      <c r="G41" s="21"/>
      <c r="H41" s="1084"/>
      <c r="I41" s="182"/>
      <c r="J41" s="4"/>
      <c r="K41" s="4"/>
      <c r="L41" s="1292"/>
      <c r="M41" s="522"/>
      <c r="N41" s="4"/>
      <c r="O41" s="154"/>
      <c r="AX41" s="481"/>
      <c r="AY41" s="482"/>
    </row>
    <row r="42" spans="2:51" x14ac:dyDescent="0.3">
      <c r="B42" s="938" t="s">
        <v>3372</v>
      </c>
      <c r="C42" s="21"/>
      <c r="D42" s="21"/>
      <c r="E42" s="21" t="s">
        <v>271</v>
      </c>
      <c r="F42" s="21"/>
      <c r="G42" s="21"/>
      <c r="H42" s="1084"/>
      <c r="I42" s="182"/>
      <c r="J42" s="203" t="s">
        <v>271</v>
      </c>
      <c r="K42" s="140"/>
      <c r="L42" s="1305" t="s">
        <v>3374</v>
      </c>
      <c r="M42" s="1091" t="str">
        <f>IF(R42,"Mandatory","N/A")</f>
        <v>Mandatory</v>
      </c>
      <c r="N42" s="140"/>
      <c r="O42" s="1308">
        <f>M43*S42*(W42="Met")</f>
        <v>4</v>
      </c>
      <c r="P42" s="97" t="b">
        <v>1</v>
      </c>
      <c r="Q42" s="97" t="b">
        <v>1</v>
      </c>
      <c r="R42" s="482" t="b">
        <f>S42</f>
        <v>1</v>
      </c>
      <c r="S42" s="480" t="b">
        <f>NOT(W54)</f>
        <v>1</v>
      </c>
      <c r="T42" s="97" t="b">
        <f>AND(NOT(S42),LEN(W42)&gt;0,W42&lt;&gt;"N/A")</f>
        <v>0</v>
      </c>
      <c r="U42" s="97" t="str">
        <f>SUBSTITUTE(SUBSTITUTE(SUBSTITUTE("dd"&amp;B42&amp;C42&amp;D42&amp;E42&amp;F42,".","_"),"(","_"),")","")</f>
        <v>dd901_2_1_1</v>
      </c>
      <c r="W42" s="12" t="s">
        <v>3242</v>
      </c>
      <c r="X42" s="1303"/>
      <c r="AC42" s="488" t="b">
        <f>OR(AD42:AE42)</f>
        <v>0</v>
      </c>
      <c r="AD42" s="488" t="b">
        <f>T42</f>
        <v>0</v>
      </c>
      <c r="AE42" s="488" t="b">
        <f>AND(R42,OR(W42="Not Met",W42=""))</f>
        <v>0</v>
      </c>
      <c r="AN42" s="311" t="str">
        <f>SUBSTITUTE(SUBSTITUTE(SUBSTITUTE("dpc"&amp;$B42&amp;$C42&amp;$D42&amp;$E42&amp;$F42,".","_"),"(","_"),")","")</f>
        <v>dpc901_2_1_1</v>
      </c>
      <c r="AO42" s="311">
        <f>O42</f>
        <v>4</v>
      </c>
      <c r="AP42" s="311" t="str">
        <f>SUBSTITUTE(SUBSTITUTE(SUBSTITUTE("dch"&amp;$B42&amp;$C42&amp;$D42&amp;$E42&amp;$F42,".","_"),"(","_"),")","")</f>
        <v>dch901_2_1_1</v>
      </c>
      <c r="AQ42" s="311" t="str">
        <f>W42</f>
        <v>Met</v>
      </c>
      <c r="AR42" s="311" t="str">
        <f>SUBSTITUTE(SUBSTITUTE(SUBSTITUTE("dnt"&amp;$B42&amp;$C42&amp;$D42&amp;$E42&amp;$F42,".","_"),"(","_"),")","")</f>
        <v>dnt901_2_1_1</v>
      </c>
      <c r="AS42" s="311">
        <f>X42</f>
        <v>0</v>
      </c>
      <c r="AX42" s="481" t="str">
        <f>'Overview (Design)'!A39</f>
        <v>Maximum window and door SHGC:</v>
      </c>
      <c r="AY42" s="482">
        <f>'Overview (Design)'!G39</f>
        <v>0.22</v>
      </c>
    </row>
    <row r="43" spans="2:51" x14ac:dyDescent="0.3">
      <c r="B43" s="938" t="s">
        <v>3372</v>
      </c>
      <c r="C43" s="21"/>
      <c r="D43" s="21"/>
      <c r="E43" s="21" t="s">
        <v>271</v>
      </c>
      <c r="F43" s="21"/>
      <c r="G43" s="21"/>
      <c r="H43" s="1084"/>
      <c r="I43" s="182"/>
      <c r="J43" s="140"/>
      <c r="K43" s="140"/>
      <c r="L43" s="1305"/>
      <c r="M43" s="1318">
        <v>4</v>
      </c>
      <c r="N43" s="140"/>
      <c r="O43" s="1308"/>
      <c r="X43" s="1303"/>
      <c r="AL43" s="311" t="str">
        <f>SUBSTITUTE(SUBSTITUTE(SUBSTITUTE("dpa"&amp;$B43&amp;$C43&amp;$D43&amp;$E43&amp;$F43,".","_"),"(","_"),")","")</f>
        <v>dpa901_2_1_1</v>
      </c>
      <c r="AM43" s="311">
        <f>M43</f>
        <v>4</v>
      </c>
      <c r="AX43" s="481" t="str">
        <f>'Overview (Design)'!A40</f>
        <v>Maximum skylight SHGC:</v>
      </c>
      <c r="AY43" s="482">
        <f>'Overview (Design)'!G40</f>
        <v>0</v>
      </c>
    </row>
    <row r="44" spans="2:51" x14ac:dyDescent="0.3">
      <c r="B44" s="938" t="s">
        <v>3372</v>
      </c>
      <c r="C44" s="21"/>
      <c r="D44" s="21"/>
      <c r="E44" s="21" t="s">
        <v>271</v>
      </c>
      <c r="F44" s="21"/>
      <c r="G44" s="21"/>
      <c r="H44" s="1084"/>
      <c r="I44" s="182"/>
      <c r="J44" s="238"/>
      <c r="K44" s="238"/>
      <c r="L44" s="1306"/>
      <c r="M44" s="1319"/>
      <c r="N44" s="238"/>
      <c r="O44" s="1309"/>
      <c r="X44" s="1303"/>
      <c r="AX44" s="481" t="str">
        <f>'Overview (Design)'!A41</f>
        <v>Maximum window and door U-value:</v>
      </c>
      <c r="AY44" s="482">
        <f>'Overview (Design)'!G41</f>
        <v>0.32</v>
      </c>
    </row>
    <row r="45" spans="2:51" x14ac:dyDescent="0.3">
      <c r="B45" s="938" t="s">
        <v>3372</v>
      </c>
      <c r="C45" s="21"/>
      <c r="D45" s="21"/>
      <c r="E45" s="21" t="s">
        <v>273</v>
      </c>
      <c r="F45" s="21"/>
      <c r="G45" s="21"/>
      <c r="H45" s="1084"/>
      <c r="I45" s="182"/>
      <c r="J45" s="203" t="s">
        <v>273</v>
      </c>
      <c r="K45" s="140"/>
      <c r="L45" s="1305" t="s">
        <v>3375</v>
      </c>
      <c r="M45" s="1091" t="str">
        <f>IF(R45,"Mandatory","N/A")</f>
        <v>Mandatory</v>
      </c>
      <c r="N45" s="140"/>
      <c r="O45" s="1308">
        <f>M46*S45*(W45="Met")</f>
        <v>0</v>
      </c>
      <c r="P45" s="97" t="b">
        <v>1</v>
      </c>
      <c r="Q45" s="97" t="b">
        <v>1</v>
      </c>
      <c r="R45" s="482" t="b">
        <f>S45</f>
        <v>1</v>
      </c>
      <c r="S45" s="485" t="b">
        <f>NOT(W54)</f>
        <v>1</v>
      </c>
      <c r="T45" s="97" t="b">
        <f>AND(NOT(S45),LEN(W45)&gt;0,W45&lt;&gt;"N/A")</f>
        <v>0</v>
      </c>
      <c r="U45" s="97" t="str">
        <f>SUBSTITUTE(SUBSTITUTE(SUBSTITUTE("dd"&amp;B45&amp;C45&amp;D45&amp;E45&amp;F45,".","_"),"(","_"),")","")</f>
        <v>dd901_2_1_2</v>
      </c>
      <c r="W45" s="12" t="s">
        <v>3244</v>
      </c>
      <c r="X45" s="1303"/>
      <c r="AC45" s="488" t="b">
        <f>OR(AD45:AE45)</f>
        <v>0</v>
      </c>
      <c r="AD45" s="488" t="b">
        <f>T45</f>
        <v>0</v>
      </c>
      <c r="AE45" s="488" t="b">
        <f>AND(R45,OR(W45="Not Met",W45=""))</f>
        <v>0</v>
      </c>
      <c r="AN45" s="311" t="str">
        <f>SUBSTITUTE(SUBSTITUTE(SUBSTITUTE("dpc"&amp;$B45&amp;$C45&amp;$D45&amp;$E45&amp;$F45,".","_"),"(","_"),")","")</f>
        <v>dpc901_2_1_2</v>
      </c>
      <c r="AO45" s="311">
        <f>O45</f>
        <v>0</v>
      </c>
      <c r="AP45" s="311" t="str">
        <f>SUBSTITUTE(SUBSTITUTE(SUBSTITUTE("dch"&amp;$B45&amp;$C45&amp;$D45&amp;$E45&amp;$F45,".","_"),"(","_"),")","")</f>
        <v>dch901_2_1_2</v>
      </c>
      <c r="AQ45" s="311" t="str">
        <f>W45</f>
        <v>N/A</v>
      </c>
      <c r="AR45" s="311" t="str">
        <f>SUBSTITUTE(SUBSTITUTE(SUBSTITUTE("dnt"&amp;$B45&amp;$C45&amp;$D45&amp;$E45&amp;$F45,".","_"),"(","_"),")","")</f>
        <v>dnt901_2_1_2</v>
      </c>
      <c r="AS45" s="311">
        <f>X45</f>
        <v>0</v>
      </c>
      <c r="AX45" s="481" t="str">
        <f>'Overview (Design)'!A42</f>
        <v>Maximum skylight U-value:</v>
      </c>
      <c r="AY45" s="482">
        <f>'Overview (Design)'!G42</f>
        <v>0</v>
      </c>
    </row>
    <row r="46" spans="2:51" x14ac:dyDescent="0.3">
      <c r="B46" s="938" t="s">
        <v>3372</v>
      </c>
      <c r="C46" s="21"/>
      <c r="D46" s="21"/>
      <c r="E46" s="21" t="s">
        <v>273</v>
      </c>
      <c r="F46" s="21"/>
      <c r="G46" s="21"/>
      <c r="H46" s="1084"/>
      <c r="I46" s="182"/>
      <c r="J46" s="231"/>
      <c r="K46" s="238"/>
      <c r="L46" s="1306"/>
      <c r="M46" s="520">
        <v>6</v>
      </c>
      <c r="N46" s="238"/>
      <c r="O46" s="1309"/>
      <c r="X46" s="1303"/>
      <c r="AL46" s="311" t="str">
        <f>SUBSTITUTE(SUBSTITUTE(SUBSTITUTE("dpa"&amp;$B46&amp;$C46&amp;$D46&amp;$E46&amp;$F46,".","_"),"(","_"),")","")</f>
        <v>dpa901_2_1_2</v>
      </c>
      <c r="AM46" s="311">
        <f>M46</f>
        <v>6</v>
      </c>
      <c r="AX46" s="78" t="str">
        <f>'Overview (Design)'!A43</f>
        <v>Renewable Energy:</v>
      </c>
      <c r="AY46" s="79">
        <f>'Overview (Design)'!G43</f>
        <v>0</v>
      </c>
    </row>
    <row r="47" spans="2:51" x14ac:dyDescent="0.3">
      <c r="B47" s="938" t="s">
        <v>3372</v>
      </c>
      <c r="C47" s="21"/>
      <c r="D47" s="21"/>
      <c r="E47" s="21" t="s">
        <v>275</v>
      </c>
      <c r="F47" s="21"/>
      <c r="G47" s="21"/>
      <c r="H47" s="1084"/>
      <c r="I47" s="182"/>
      <c r="J47" s="203" t="s">
        <v>275</v>
      </c>
      <c r="K47" s="140"/>
      <c r="L47" s="1305" t="s">
        <v>3376</v>
      </c>
      <c r="M47" s="1091" t="str">
        <f>IF(R47,"Mandatory","N/A")</f>
        <v>Mandatory</v>
      </c>
      <c r="N47" s="140"/>
      <c r="O47" s="1308">
        <f>M48*S47*(W47="Met")</f>
        <v>0</v>
      </c>
      <c r="P47" s="97" t="b">
        <v>1</v>
      </c>
      <c r="Q47" s="97" t="b">
        <v>1</v>
      </c>
      <c r="R47" s="482" t="b">
        <f>S47</f>
        <v>1</v>
      </c>
      <c r="S47" s="485" t="b">
        <f>NOT(W54)</f>
        <v>1</v>
      </c>
      <c r="T47" s="97" t="b">
        <f>AND(NOT(S47),LEN(W47)&gt;0,W47&lt;&gt;"N/A")</f>
        <v>0</v>
      </c>
      <c r="U47" s="97" t="str">
        <f>SUBSTITUTE(SUBSTITUTE(SUBSTITUTE("dd"&amp;B47&amp;C47&amp;D47&amp;E47&amp;F47,".","_"),"(","_"),")","")</f>
        <v>dd901_2_1_3</v>
      </c>
      <c r="W47" s="12" t="s">
        <v>3244</v>
      </c>
      <c r="X47" s="1303"/>
      <c r="AC47" s="488" t="b">
        <f>OR(AD47:AE47)</f>
        <v>0</v>
      </c>
      <c r="AD47" s="488" t="b">
        <f>T47</f>
        <v>0</v>
      </c>
      <c r="AE47" s="488" t="b">
        <f>AND(R47,OR(W47="Not Met",W47=""))</f>
        <v>0</v>
      </c>
      <c r="AN47" s="311" t="str">
        <f>SUBSTITUTE(SUBSTITUTE(SUBSTITUTE("dpc"&amp;$B47&amp;$C47&amp;$D47&amp;$E47&amp;$F47,".","_"),"(","_"),")","")</f>
        <v>dpc901_2_1_3</v>
      </c>
      <c r="AO47" s="311">
        <f>O47</f>
        <v>0</v>
      </c>
      <c r="AP47" s="311" t="str">
        <f>SUBSTITUTE(SUBSTITUTE(SUBSTITUTE("dch"&amp;$B47&amp;$C47&amp;$D47&amp;$E47&amp;$F47,".","_"),"(","_"),")","")</f>
        <v>dch901_2_1_3</v>
      </c>
      <c r="AQ47" s="311" t="str">
        <f>W47</f>
        <v>N/A</v>
      </c>
      <c r="AR47" s="311" t="str">
        <f>SUBSTITUTE(SUBSTITUTE(SUBSTITUTE("dnt"&amp;$B47&amp;$C47&amp;$D47&amp;$E47&amp;$F47,".","_"),"(","_"),")","")</f>
        <v>dnt901_2_1_3</v>
      </c>
      <c r="AS47" s="311">
        <f>X47</f>
        <v>0</v>
      </c>
      <c r="AX47" s="78" t="str">
        <f>'Overview (Design)'!A44</f>
        <v>Thermal Envelope Insulation:</v>
      </c>
      <c r="AY47" s="79">
        <f>'Overview (Design)'!G44</f>
        <v>0</v>
      </c>
    </row>
    <row r="48" spans="2:51" x14ac:dyDescent="0.3">
      <c r="B48" s="938" t="s">
        <v>3372</v>
      </c>
      <c r="C48" s="21"/>
      <c r="D48" s="21"/>
      <c r="E48" s="21" t="s">
        <v>275</v>
      </c>
      <c r="F48" s="21"/>
      <c r="G48" s="21"/>
      <c r="H48" s="1084"/>
      <c r="I48" s="182"/>
      <c r="J48" s="203"/>
      <c r="K48" s="140"/>
      <c r="L48" s="1305"/>
      <c r="M48" s="1318">
        <v>6</v>
      </c>
      <c r="N48" s="140"/>
      <c r="O48" s="1308"/>
      <c r="X48" s="1303"/>
      <c r="AL48" s="311" t="str">
        <f>SUBSTITUTE(SUBSTITUTE(SUBSTITUTE("dpa"&amp;$B48&amp;$C48&amp;$D48&amp;$E48&amp;$F48,".","_"),"(","_"),")","")</f>
        <v>dpa901_2_1_3</v>
      </c>
      <c r="AM48" s="311">
        <f>M48</f>
        <v>6</v>
      </c>
      <c r="AX48" s="78" t="str">
        <f>'Overview (Design)'!A45</f>
        <v>Attic Type:</v>
      </c>
      <c r="AY48" s="79" t="str">
        <f>'Overview (Design)'!G45</f>
        <v>Vented</v>
      </c>
    </row>
    <row r="49" spans="2:51" x14ac:dyDescent="0.3">
      <c r="B49" s="938" t="s">
        <v>3372</v>
      </c>
      <c r="C49" s="21"/>
      <c r="D49" s="21"/>
      <c r="E49" s="21" t="s">
        <v>275</v>
      </c>
      <c r="F49" s="21"/>
      <c r="G49" s="21"/>
      <c r="H49" s="1084"/>
      <c r="I49" s="182"/>
      <c r="J49" s="231"/>
      <c r="K49" s="238"/>
      <c r="L49" s="1306"/>
      <c r="M49" s="1319"/>
      <c r="N49" s="238"/>
      <c r="O49" s="1309"/>
      <c r="X49" s="1303"/>
      <c r="AX49" s="78" t="str">
        <f>'Overview (Design)'!A46</f>
        <v>Attached Garage:</v>
      </c>
      <c r="AY49" s="79" t="str">
        <f>'Overview (Design)'!G46</f>
        <v>Yes</v>
      </c>
    </row>
    <row r="50" spans="2:51" x14ac:dyDescent="0.3">
      <c r="B50" s="938" t="s">
        <v>3372</v>
      </c>
      <c r="C50" s="21"/>
      <c r="D50" s="21"/>
      <c r="E50" s="21" t="s">
        <v>285</v>
      </c>
      <c r="F50" s="21"/>
      <c r="G50" s="21"/>
      <c r="H50" s="1084"/>
      <c r="I50" s="182"/>
      <c r="J50" s="203" t="s">
        <v>285</v>
      </c>
      <c r="K50" s="140"/>
      <c r="L50" s="1293" t="s">
        <v>3377</v>
      </c>
      <c r="M50" s="1091" t="str">
        <f>IF(R50,"Mandatory","N/A")</f>
        <v>Mandatory</v>
      </c>
      <c r="N50" s="140"/>
      <c r="O50" s="1308">
        <f>M51*S50*(W50="Met")</f>
        <v>0</v>
      </c>
      <c r="P50" s="97" t="b">
        <v>1</v>
      </c>
      <c r="Q50" s="97" t="b">
        <v>1</v>
      </c>
      <c r="R50" s="482" t="b">
        <f>S50</f>
        <v>1</v>
      </c>
      <c r="S50" s="485" t="b">
        <f>NOT(W54)</f>
        <v>1</v>
      </c>
      <c r="T50" s="97" t="b">
        <f>AND(NOT(S50),LEN(W50)&gt;0,W50&lt;&gt;"N/A")</f>
        <v>0</v>
      </c>
      <c r="U50" s="97" t="str">
        <f>SUBSTITUTE(SUBSTITUTE(SUBSTITUTE("dd"&amp;B50&amp;C50&amp;D50&amp;E50&amp;F50,".","_"),"(","_"),")","")</f>
        <v>dd901_2_1_4</v>
      </c>
      <c r="W50" s="12" t="s">
        <v>3244</v>
      </c>
      <c r="X50" s="1303"/>
      <c r="AC50" s="488" t="b">
        <f>OR(AD50:AE50)</f>
        <v>0</v>
      </c>
      <c r="AD50" s="488" t="b">
        <f>T50</f>
        <v>0</v>
      </c>
      <c r="AE50" s="488" t="b">
        <f>AND(R50,OR(W50="Not Met",W50=""))</f>
        <v>0</v>
      </c>
      <c r="AN50" s="311" t="str">
        <f>SUBSTITUTE(SUBSTITUTE(SUBSTITUTE("dpc"&amp;$B50&amp;$C50&amp;$D50&amp;$E50&amp;$F50,".","_"),"(","_"),")","")</f>
        <v>dpc901_2_1_4</v>
      </c>
      <c r="AO50" s="311">
        <f>O50</f>
        <v>0</v>
      </c>
      <c r="AP50" s="311" t="str">
        <f>SUBSTITUTE(SUBSTITUTE(SUBSTITUTE("dch"&amp;$B50&amp;$C50&amp;$D50&amp;$E50&amp;$F50,".","_"),"(","_"),")","")</f>
        <v>dch901_2_1_4</v>
      </c>
      <c r="AQ50" s="311" t="str">
        <f>W50</f>
        <v>N/A</v>
      </c>
      <c r="AR50" s="311" t="str">
        <f>SUBSTITUTE(SUBSTITUTE(SUBSTITUTE("dnt"&amp;$B50&amp;$C50&amp;$D50&amp;$E50&amp;$F50,".","_"),"(","_"),")","")</f>
        <v>dnt901_2_1_4</v>
      </c>
      <c r="AS50" s="311">
        <f>X50</f>
        <v>0</v>
      </c>
      <c r="AX50" s="78" t="str">
        <f>'Overview (Design)'!A47</f>
        <v>Recessed Lighting:</v>
      </c>
      <c r="AY50" s="79">
        <f>'Overview (Design)'!G47</f>
        <v>0</v>
      </c>
    </row>
    <row r="51" spans="2:51" x14ac:dyDescent="0.3">
      <c r="B51" s="938" t="s">
        <v>3372</v>
      </c>
      <c r="C51" s="21"/>
      <c r="D51" s="21"/>
      <c r="E51" s="21" t="s">
        <v>285</v>
      </c>
      <c r="F51" s="21"/>
      <c r="G51" s="21"/>
      <c r="H51" s="1084"/>
      <c r="I51" s="182"/>
      <c r="J51" s="231"/>
      <c r="K51" s="238"/>
      <c r="L51" s="1294"/>
      <c r="M51" s="520">
        <v>6</v>
      </c>
      <c r="N51" s="238"/>
      <c r="O51" s="1309"/>
      <c r="X51" s="1303"/>
      <c r="AL51" s="311" t="str">
        <f>SUBSTITUTE(SUBSTITUTE(SUBSTITUTE("dpa"&amp;$B51&amp;$C51&amp;$D51&amp;$E51&amp;$F51,".","_"),"(","_"),")","")</f>
        <v>dpa901_2_1_4</v>
      </c>
      <c r="AM51" s="311">
        <f>M51</f>
        <v>6</v>
      </c>
      <c r="AX51" s="78"/>
    </row>
    <row r="52" spans="2:51" x14ac:dyDescent="0.3">
      <c r="B52" s="938" t="s">
        <v>3372</v>
      </c>
      <c r="C52" s="21"/>
      <c r="D52" s="21"/>
      <c r="E52" s="21" t="s">
        <v>291</v>
      </c>
      <c r="F52" s="21"/>
      <c r="G52" s="21"/>
      <c r="H52" s="1084"/>
      <c r="I52" s="576"/>
      <c r="J52" s="203" t="s">
        <v>291</v>
      </c>
      <c r="K52" s="140"/>
      <c r="L52" s="1305" t="s">
        <v>3378</v>
      </c>
      <c r="M52" s="1091" t="str">
        <f>IF(R52,"Mandatory","N/A")</f>
        <v>Mandatory</v>
      </c>
      <c r="N52" s="140"/>
      <c r="O52" s="1308">
        <f>M53*S52*(W52="Met")</f>
        <v>0</v>
      </c>
      <c r="P52" s="97" t="b">
        <v>1</v>
      </c>
      <c r="Q52" s="97" t="b">
        <v>1</v>
      </c>
      <c r="R52" s="97" t="b">
        <f>S52</f>
        <v>1</v>
      </c>
      <c r="S52" s="97" t="b">
        <f>NOT(W54)</f>
        <v>1</v>
      </c>
      <c r="T52" s="97" t="b">
        <f>AND(NOT(S52),LEN(W52)&gt;0,W52&lt;&gt;"N/A")</f>
        <v>0</v>
      </c>
      <c r="U52" s="97" t="str">
        <f>SUBSTITUTE(SUBSTITUTE(SUBSTITUTE("dd"&amp;B52&amp;C52&amp;D52&amp;E52&amp;F52,".","_"),"(","_"),")","")</f>
        <v>dd901_2_1_5</v>
      </c>
      <c r="V52" s="97"/>
      <c r="W52" s="114" t="s">
        <v>3244</v>
      </c>
      <c r="X52" s="1295"/>
      <c r="AC52" s="488" t="b">
        <f>OR(AD52:AE52)</f>
        <v>0</v>
      </c>
      <c r="AD52" s="488" t="b">
        <f>T52</f>
        <v>0</v>
      </c>
      <c r="AE52" s="488" t="b">
        <f>AND(R52,OR(W52="Not Met",W52=""))</f>
        <v>0</v>
      </c>
      <c r="AN52" s="311" t="str">
        <f>SUBSTITUTE(SUBSTITUTE(SUBSTITUTE("dpc"&amp;$B52&amp;$C52&amp;$D52&amp;$E52&amp;$F52,".","_"),"(","_"),")","")</f>
        <v>dpc901_2_1_5</v>
      </c>
      <c r="AO52" s="311">
        <f>O52</f>
        <v>0</v>
      </c>
      <c r="AP52" s="311" t="str">
        <f>SUBSTITUTE(SUBSTITUTE(SUBSTITUTE("dch"&amp;$B52&amp;$C52&amp;$D52&amp;$E52&amp;$F52,".","_"),"(","_"),")","")</f>
        <v>dch901_2_1_5</v>
      </c>
      <c r="AQ52" s="311" t="str">
        <f>W52</f>
        <v>N/A</v>
      </c>
      <c r="AR52" s="311" t="str">
        <f>SUBSTITUTE(SUBSTITUTE(SUBSTITUTE("dnt"&amp;$B52&amp;$C52&amp;$D52&amp;$E52&amp;$F52,".","_"),"(","_"),")","")</f>
        <v>dnt901_2_1_5</v>
      </c>
      <c r="AS52" s="311">
        <f>X52</f>
        <v>0</v>
      </c>
      <c r="AX52" s="78" t="str">
        <f>'Overview (Design)'!A49</f>
        <v>Special Design Features:</v>
      </c>
      <c r="AY52" s="79">
        <f>'Overview (Design)'!G49</f>
        <v>0</v>
      </c>
    </row>
    <row r="53" spans="2:51" x14ac:dyDescent="0.3">
      <c r="B53" s="938" t="s">
        <v>3372</v>
      </c>
      <c r="C53" s="21"/>
      <c r="D53" s="21"/>
      <c r="E53" s="21" t="s">
        <v>291</v>
      </c>
      <c r="F53" s="21"/>
      <c r="G53" s="21"/>
      <c r="H53" s="1084"/>
      <c r="I53" s="620"/>
      <c r="J53" s="231"/>
      <c r="K53" s="238"/>
      <c r="L53" s="1306"/>
      <c r="M53" s="549">
        <v>6</v>
      </c>
      <c r="N53" s="238"/>
      <c r="O53" s="1309"/>
      <c r="P53" s="196"/>
      <c r="Q53" s="196"/>
      <c r="R53" s="196"/>
      <c r="S53" s="196"/>
      <c r="T53" s="196"/>
      <c r="U53" s="196"/>
      <c r="V53" s="196"/>
      <c r="W53" s="196"/>
      <c r="X53" s="1295"/>
      <c r="AL53" s="311" t="str">
        <f>SUBSTITUTE(SUBSTITUTE(SUBSTITUTE("dpa"&amp;$B53&amp;$C53&amp;$D53&amp;$E53&amp;$F53,".","_"),"(","_"),")","")</f>
        <v>dpa901_2_1_5</v>
      </c>
      <c r="AM53" s="311">
        <f>M53</f>
        <v>6</v>
      </c>
      <c r="AX53" s="78" t="str">
        <f>'Overview (Design)'!A50</f>
        <v>Passive Solar:</v>
      </c>
      <c r="AY53" s="79" t="str">
        <f>'Overview (Design)'!G50</f>
        <v>No</v>
      </c>
    </row>
    <row r="54" spans="2:51" ht="15" thickBot="1" x14ac:dyDescent="0.35">
      <c r="B54" s="938" t="s">
        <v>3379</v>
      </c>
      <c r="C54" s="21"/>
      <c r="D54" s="21"/>
      <c r="E54" s="21"/>
      <c r="F54" s="21"/>
      <c r="G54" s="21"/>
      <c r="H54" s="1084"/>
      <c r="I54" s="212" t="s">
        <v>3379</v>
      </c>
      <c r="J54" s="270"/>
      <c r="K54" s="270"/>
      <c r="L54" s="621" t="s">
        <v>3380</v>
      </c>
      <c r="M54" s="556">
        <v>6</v>
      </c>
      <c r="N54" s="270"/>
      <c r="O54" s="600">
        <f>M54*S54*W54</f>
        <v>0</v>
      </c>
      <c r="P54" s="97" t="b">
        <v>1</v>
      </c>
      <c r="Q54" s="97" t="b">
        <v>1</v>
      </c>
      <c r="R54" s="104" t="b">
        <v>0</v>
      </c>
      <c r="S54" s="104" t="b">
        <f>(COUNTIF(W42:W52,"Met"))=0</f>
        <v>0</v>
      </c>
      <c r="T54" s="104" t="b">
        <f>AND(NOT(S54),W54=TRUE)</f>
        <v>0</v>
      </c>
      <c r="U54" s="104"/>
      <c r="V54" s="104"/>
      <c r="W54" s="622"/>
      <c r="X54" s="542"/>
      <c r="AC54" s="488" t="b">
        <f>OR(AD54:AE54)</f>
        <v>0</v>
      </c>
      <c r="AD54" s="488" t="b">
        <f>T54</f>
        <v>0</v>
      </c>
      <c r="AE54" s="488" t="b">
        <f>AND(R54,NOT(W54))</f>
        <v>0</v>
      </c>
      <c r="AL54" s="311" t="str">
        <f>SUBSTITUTE(SUBSTITUTE(SUBSTITUTE("dpa"&amp;$B54&amp;$C54&amp;$D54&amp;$E54&amp;$F54,".","_"),"(","_"),")","")</f>
        <v>dpa901_2_2</v>
      </c>
      <c r="AM54" s="311">
        <f>M54</f>
        <v>6</v>
      </c>
      <c r="AN54" s="311" t="str">
        <f>SUBSTITUTE(SUBSTITUTE(SUBSTITUTE("dpc"&amp;$B54&amp;$C54&amp;$D54&amp;$E54&amp;$F54,".","_"),"(","_"),")","")</f>
        <v>dpc901_2_2</v>
      </c>
      <c r="AO54" s="311">
        <f>O54</f>
        <v>0</v>
      </c>
      <c r="AP54" s="311" t="str">
        <f>SUBSTITUTE(SUBSTITUTE(SUBSTITUTE("dch"&amp;$B54&amp;$C54&amp;$D54&amp;$E54&amp;$F54,".","_"),"(","_"),")","")</f>
        <v>dch901_2_2</v>
      </c>
      <c r="AQ54" s="311">
        <f>W54</f>
        <v>0</v>
      </c>
      <c r="AR54" s="311" t="str">
        <f>SUBSTITUTE(SUBSTITUTE(SUBSTITUTE("dnt"&amp;$B54&amp;$C54&amp;$D54&amp;$E54&amp;$F54,".","_"),"(","_"),")","")</f>
        <v>dnt901_2_2</v>
      </c>
      <c r="AS54" s="311">
        <f>X54</f>
        <v>0</v>
      </c>
      <c r="AX54" s="78" t="str">
        <f>'Overview (Design)'!A51</f>
        <v>Mass Walls:</v>
      </c>
      <c r="AY54" s="79" t="str">
        <f>'Overview (Design)'!G51</f>
        <v>No</v>
      </c>
    </row>
    <row r="55" spans="2:51" ht="15" thickTop="1" x14ac:dyDescent="0.3">
      <c r="B55" s="938">
        <v>901.3</v>
      </c>
      <c r="C55" s="21"/>
      <c r="D55" s="21"/>
      <c r="E55" s="21"/>
      <c r="F55" s="21"/>
      <c r="G55" s="21"/>
      <c r="H55" s="1084"/>
      <c r="I55" s="66">
        <v>901.3</v>
      </c>
      <c r="J55" s="4"/>
      <c r="K55" s="4"/>
      <c r="L55" s="184" t="s">
        <v>3381</v>
      </c>
      <c r="M55" s="522"/>
      <c r="N55" s="4"/>
      <c r="O55" s="154"/>
      <c r="AX55" s="78" t="str">
        <f>'Overview (Design)'!A52</f>
        <v>Ductless:</v>
      </c>
      <c r="AY55" s="79" t="str">
        <f>'Overview (Design)'!G52</f>
        <v>No</v>
      </c>
    </row>
    <row r="56" spans="2:51" x14ac:dyDescent="0.3">
      <c r="B56" s="938">
        <v>901.3</v>
      </c>
      <c r="C56" s="21"/>
      <c r="D56" s="21"/>
      <c r="E56" s="21" t="s">
        <v>271</v>
      </c>
      <c r="F56" s="21"/>
      <c r="G56" s="21"/>
      <c r="H56" s="1084"/>
      <c r="I56" s="182"/>
      <c r="J56" s="27" t="s">
        <v>271</v>
      </c>
      <c r="K56" s="4"/>
      <c r="L56" s="178" t="s">
        <v>3382</v>
      </c>
      <c r="M56" s="522"/>
      <c r="N56" s="4"/>
      <c r="O56" s="154"/>
      <c r="AX56" s="78" t="str">
        <f>'Overview (Design)'!A53</f>
        <v>Radiant/Hydronic:</v>
      </c>
      <c r="AY56" s="79" t="str">
        <f>'Overview (Design)'!G53</f>
        <v>No</v>
      </c>
    </row>
    <row r="57" spans="2:51" x14ac:dyDescent="0.3">
      <c r="B57" s="938">
        <v>901.3</v>
      </c>
      <c r="C57" s="21"/>
      <c r="D57" s="21"/>
      <c r="E57" s="21" t="s">
        <v>271</v>
      </c>
      <c r="F57" s="80" t="s">
        <v>121</v>
      </c>
      <c r="G57" s="80"/>
      <c r="H57" s="1087"/>
      <c r="I57" s="182"/>
      <c r="J57" s="4"/>
      <c r="K57" s="203" t="s">
        <v>121</v>
      </c>
      <c r="L57" s="1305" t="s">
        <v>3383</v>
      </c>
      <c r="M57" s="1091" t="str">
        <f>IF(R57,"Mandatory","N/A")</f>
        <v>Mandatory</v>
      </c>
      <c r="N57" s="140"/>
      <c r="O57" s="1308">
        <f>M58*S57*(W57="Met")</f>
        <v>2</v>
      </c>
      <c r="P57" s="97" t="b">
        <v>1</v>
      </c>
      <c r="Q57" s="97" t="b">
        <v>1</v>
      </c>
      <c r="R57" s="480" t="b">
        <f>S57</f>
        <v>1</v>
      </c>
      <c r="S57" s="480" t="b">
        <f>NOT(OR(W67,W59="N/A"))</f>
        <v>1</v>
      </c>
      <c r="T57" s="97" t="b">
        <f>AND(NOT(S57),LEN(W57)&gt;0)</f>
        <v>0</v>
      </c>
      <c r="U57" s="97" t="str">
        <f>SUBSTITUTE(SUBSTITUTE(SUBSTITUTE("dd"&amp;B57&amp;C57&amp;D57&amp;E57&amp;F57,".","_"),"(","_"),")","")</f>
        <v>dd901_3_1_a</v>
      </c>
      <c r="W57" s="12" t="s">
        <v>3242</v>
      </c>
      <c r="X57" s="1303" t="s">
        <v>4802</v>
      </c>
      <c r="AC57" s="488" t="b">
        <f>OR(AD57:AE57)</f>
        <v>0</v>
      </c>
      <c r="AD57" s="488" t="b">
        <f>T57</f>
        <v>0</v>
      </c>
      <c r="AE57" s="488" t="b">
        <f>AND(R57,OR(W57="Not Met",W57=""))</f>
        <v>0</v>
      </c>
      <c r="AN57" s="311" t="str">
        <f>SUBSTITUTE(SUBSTITUTE(SUBSTITUTE("dpc"&amp;$B57&amp;$C57&amp;$D57&amp;$E57&amp;$F57,".","_"),"(","_"),")","")</f>
        <v>dpc901_3_1_a</v>
      </c>
      <c r="AO57" s="311">
        <f>O57</f>
        <v>2</v>
      </c>
      <c r="AP57" s="311" t="str">
        <f>SUBSTITUTE(SUBSTITUTE(SUBSTITUTE("dch"&amp;$B57&amp;$C57&amp;$D57&amp;$E57&amp;$F57,".","_"),"(","_"),")","")</f>
        <v>dch901_3_1_a</v>
      </c>
      <c r="AQ57" s="311" t="str">
        <f>W57</f>
        <v>Met</v>
      </c>
      <c r="AR57" s="311" t="str">
        <f>SUBSTITUTE(SUBSTITUTE(SUBSTITUTE("dnt"&amp;$B57&amp;$C57&amp;$D57&amp;$E57&amp;$F57,".","_"),"(","_"),")","")</f>
        <v>dnt901_3_1_a</v>
      </c>
      <c r="AS57" s="311" t="str">
        <f>X57</f>
        <v>ZERH Requirement - ENERGY STAR Certified Homes National Rater Field Checklist, Section 4.9, Air Sealing</v>
      </c>
      <c r="AX57" s="78" t="str">
        <f>'Overview (Design)'!A54</f>
        <v>Tankless Water Heater:</v>
      </c>
      <c r="AY57" s="79" t="str">
        <f>'Overview (Design)'!G54</f>
        <v>No</v>
      </c>
    </row>
    <row r="58" spans="2:51" x14ac:dyDescent="0.3">
      <c r="B58" s="938">
        <v>901.3</v>
      </c>
      <c r="C58" s="21"/>
      <c r="D58" s="21"/>
      <c r="E58" s="21" t="s">
        <v>271</v>
      </c>
      <c r="F58" s="80" t="s">
        <v>121</v>
      </c>
      <c r="G58" s="80"/>
      <c r="H58" s="1087"/>
      <c r="I58" s="182"/>
      <c r="J58" s="4"/>
      <c r="K58" s="231"/>
      <c r="L58" s="1306"/>
      <c r="M58" s="520">
        <v>2</v>
      </c>
      <c r="N58" s="238"/>
      <c r="O58" s="1309"/>
      <c r="X58" s="1303"/>
      <c r="AL58" s="311" t="str">
        <f>SUBSTITUTE(SUBSTITUTE(SUBSTITUTE("dpa"&amp;$B58&amp;$C58&amp;$D58&amp;$E58&amp;$F58,".","_"),"(","_"),")","")</f>
        <v>dpa901_3_1_a</v>
      </c>
      <c r="AM58" s="311">
        <f>M58</f>
        <v>2</v>
      </c>
      <c r="AX58" s="78" t="str">
        <f>'Overview (Design)'!A55</f>
        <v>Composting Toilet:</v>
      </c>
      <c r="AY58" s="79" t="str">
        <f>'Overview (Design)'!G55</f>
        <v>No</v>
      </c>
    </row>
    <row r="59" spans="2:51" ht="15" customHeight="1" x14ac:dyDescent="0.3">
      <c r="B59" s="938">
        <v>901.3</v>
      </c>
      <c r="C59" s="21"/>
      <c r="D59" s="21"/>
      <c r="E59" s="21" t="s">
        <v>271</v>
      </c>
      <c r="F59" s="80" t="s">
        <v>122</v>
      </c>
      <c r="G59" s="80"/>
      <c r="H59" s="1087"/>
      <c r="I59" s="182"/>
      <c r="J59" s="4"/>
      <c r="K59" s="203" t="s">
        <v>122</v>
      </c>
      <c r="L59" s="1305" t="s">
        <v>3384</v>
      </c>
      <c r="M59" s="1091" t="str">
        <f>IF(R59,"Mandatory","N/A")</f>
        <v>Mandatory</v>
      </c>
      <c r="N59" s="140"/>
      <c r="O59" s="1308">
        <f>M60*S59*(W59="Met")</f>
        <v>2</v>
      </c>
      <c r="P59" s="97" t="b">
        <v>1</v>
      </c>
      <c r="Q59" s="97" t="b">
        <v>1</v>
      </c>
      <c r="R59" s="485" t="b">
        <f>S59</f>
        <v>1</v>
      </c>
      <c r="S59" s="485" t="b">
        <f>NOT(OR(W67,W57="N/A"))</f>
        <v>1</v>
      </c>
      <c r="T59" s="97" t="b">
        <f>AND(NOT(S59),LEN(W59)&gt;0)</f>
        <v>0</v>
      </c>
      <c r="U59" s="97" t="str">
        <f>SUBSTITUTE(SUBSTITUTE(SUBSTITUTE("dd"&amp;B59&amp;C59&amp;D59&amp;E59&amp;F59,".","_"),"(","_"),")","")</f>
        <v>dd901_3_1_b</v>
      </c>
      <c r="W59" s="12" t="s">
        <v>3242</v>
      </c>
      <c r="X59" s="1303" t="s">
        <v>4801</v>
      </c>
      <c r="AC59" s="488" t="b">
        <f>OR(AD59:AE59)</f>
        <v>0</v>
      </c>
      <c r="AD59" s="488" t="b">
        <f>T59</f>
        <v>0</v>
      </c>
      <c r="AE59" s="488" t="b">
        <f>AND(R59,OR(W59="Not Met",W59=""))</f>
        <v>0</v>
      </c>
      <c r="AN59" s="311" t="str">
        <f>SUBSTITUTE(SUBSTITUTE(SUBSTITUTE("dpc"&amp;$B59&amp;$C59&amp;$D59&amp;$E59&amp;$F59,".","_"),"(","_"),")","")</f>
        <v>dpc901_3_1_b</v>
      </c>
      <c r="AO59" s="311">
        <f>O59</f>
        <v>2</v>
      </c>
      <c r="AP59" s="311" t="str">
        <f>SUBSTITUTE(SUBSTITUTE(SUBSTITUTE("dch"&amp;$B59&amp;$C59&amp;$D59&amp;$E59&amp;$F59,".","_"),"(","_"),")","")</f>
        <v>dch901_3_1_b</v>
      </c>
      <c r="AQ59" s="311" t="str">
        <f>W59</f>
        <v>Met</v>
      </c>
      <c r="AR59" s="311" t="str">
        <f>SUBSTITUTE(SUBSTITUTE(SUBSTITUTE("dnt"&amp;$B59&amp;$C59&amp;$D59&amp;$E59&amp;$F59,".","_"),"(","_"),")","")</f>
        <v>dnt901_3_1_b</v>
      </c>
      <c r="AS59" s="311" t="str">
        <f>X59</f>
        <v>ZERH Requirement - ENERGY STAR Certified Homes National Rater Field Checklist, Section 2, Fully Aligned Air Barriers</v>
      </c>
      <c r="AX59" s="78"/>
    </row>
    <row r="60" spans="2:51" x14ac:dyDescent="0.3">
      <c r="B60" s="938">
        <v>901.3</v>
      </c>
      <c r="C60" s="21"/>
      <c r="D60" s="21"/>
      <c r="E60" s="21" t="s">
        <v>271</v>
      </c>
      <c r="F60" s="80" t="s">
        <v>122</v>
      </c>
      <c r="G60" s="80"/>
      <c r="H60" s="1087"/>
      <c r="I60" s="182"/>
      <c r="J60" s="4"/>
      <c r="K60" s="238"/>
      <c r="L60" s="1306"/>
      <c r="M60" s="520">
        <v>2</v>
      </c>
      <c r="N60" s="238"/>
      <c r="O60" s="1309"/>
      <c r="X60" s="1303"/>
      <c r="AL60" s="311" t="str">
        <f>SUBSTITUTE(SUBSTITUTE(SUBSTITUTE("dpa"&amp;$B60&amp;$C60&amp;$D60&amp;$E60&amp;$F60,".","_"),"(","_"),")","")</f>
        <v>dpa901_3_1_b</v>
      </c>
      <c r="AM60" s="311">
        <f>M60</f>
        <v>2</v>
      </c>
      <c r="AX60" s="78" t="str">
        <f>'Overview (Design)'!A57</f>
        <v>Local Energy Code:</v>
      </c>
      <c r="AY60" s="79" t="str">
        <f>'Overview (Design)'!G57</f>
        <v>Other</v>
      </c>
    </row>
    <row r="61" spans="2:51" ht="15" customHeight="1" x14ac:dyDescent="0.3">
      <c r="B61" s="938">
        <v>901.3</v>
      </c>
      <c r="C61" s="21"/>
      <c r="D61" s="21"/>
      <c r="E61" s="21" t="s">
        <v>271</v>
      </c>
      <c r="F61" s="80" t="s">
        <v>123</v>
      </c>
      <c r="G61" s="80"/>
      <c r="H61" s="1087"/>
      <c r="I61" s="182"/>
      <c r="J61" s="140"/>
      <c r="K61" s="203" t="s">
        <v>123</v>
      </c>
      <c r="L61" s="1305" t="s">
        <v>3385</v>
      </c>
      <c r="M61" s="1318">
        <v>8</v>
      </c>
      <c r="N61" s="140"/>
      <c r="O61" s="1308">
        <f ca="1">M61*S61*W61</f>
        <v>8</v>
      </c>
      <c r="P61" s="97" t="b">
        <v>1</v>
      </c>
      <c r="Q61" s="97" t="b">
        <v>1</v>
      </c>
      <c r="R61" s="480" t="b">
        <v>0</v>
      </c>
      <c r="S61" s="485" t="b">
        <f ca="1">AND(NOT(W67),$AY$19=INDEX(INDIRECT("ddSingleOrMulti"),1))</f>
        <v>1</v>
      </c>
      <c r="T61" s="97" t="b">
        <f ca="1">AND(NOT(S61),W61=TRUE)</f>
        <v>0</v>
      </c>
      <c r="W61" s="25" t="b">
        <v>1</v>
      </c>
      <c r="X61" s="1303"/>
      <c r="AC61" s="488" t="b">
        <f ca="1">OR(AD61:AE61)</f>
        <v>0</v>
      </c>
      <c r="AD61" s="488" t="b">
        <f ca="1">T61</f>
        <v>0</v>
      </c>
      <c r="AE61" s="488" t="b">
        <f>AND(R61,NOT(W61))</f>
        <v>0</v>
      </c>
      <c r="AL61" s="311" t="str">
        <f>SUBSTITUTE(SUBSTITUTE(SUBSTITUTE("dpa"&amp;$B61&amp;$C61&amp;$D61&amp;$E61&amp;$F61,".","_"),"(","_"),")","")</f>
        <v>dpa901_3_1_c</v>
      </c>
      <c r="AM61" s="311">
        <f>M61</f>
        <v>8</v>
      </c>
      <c r="AN61" s="311" t="str">
        <f>SUBSTITUTE(SUBSTITUTE(SUBSTITUTE("dpc"&amp;$B61&amp;$C61&amp;$D61&amp;$E61&amp;$F61,".","_"),"(","_"),")","")</f>
        <v>dpc901_3_1_c</v>
      </c>
      <c r="AO61" s="311">
        <f ca="1">O61</f>
        <v>8</v>
      </c>
      <c r="AP61" s="311" t="str">
        <f>SUBSTITUTE(SUBSTITUTE(SUBSTITUTE("dch"&amp;$B61&amp;$C61&amp;$D61&amp;$E61&amp;$F61,".","_"),"(","_"),")","")</f>
        <v>dch901_3_1_c</v>
      </c>
      <c r="AQ61" s="311" t="b">
        <f>W61</f>
        <v>1</v>
      </c>
      <c r="AR61" s="311" t="str">
        <f>SUBSTITUTE(SUBSTITUTE(SUBSTITUTE("dnt"&amp;$B61&amp;$C61&amp;$D61&amp;$E61&amp;$F61,".","_"),"(","_"),")","")</f>
        <v>dnt901_3_1_c</v>
      </c>
      <c r="AS61" s="311">
        <f>X61</f>
        <v>0</v>
      </c>
      <c r="AX61" s="78" t="str">
        <f>'Overview (Design)'!A58</f>
        <v>Local Building Code:</v>
      </c>
      <c r="AY61" s="79" t="str">
        <f>'Overview (Design)'!G58</f>
        <v>Other</v>
      </c>
    </row>
    <row r="62" spans="2:51" x14ac:dyDescent="0.3">
      <c r="B62" s="938">
        <v>901.3</v>
      </c>
      <c r="C62" s="21"/>
      <c r="D62" s="21"/>
      <c r="E62" s="21" t="s">
        <v>271</v>
      </c>
      <c r="F62" s="80" t="s">
        <v>123</v>
      </c>
      <c r="G62" s="80"/>
      <c r="H62" s="1087"/>
      <c r="I62" s="182"/>
      <c r="J62" s="140"/>
      <c r="K62" s="140"/>
      <c r="L62" s="1305"/>
      <c r="M62" s="1318"/>
      <c r="N62" s="140"/>
      <c r="O62" s="1308"/>
      <c r="X62" s="1303"/>
    </row>
    <row r="63" spans="2:51" x14ac:dyDescent="0.3">
      <c r="B63" s="938">
        <v>901.3</v>
      </c>
      <c r="C63" s="21"/>
      <c r="D63" s="21"/>
      <c r="E63" s="21" t="s">
        <v>271</v>
      </c>
      <c r="F63" s="80" t="s">
        <v>123</v>
      </c>
      <c r="G63" s="80"/>
      <c r="H63" s="1087"/>
      <c r="I63" s="182"/>
      <c r="J63" s="140"/>
      <c r="K63" s="140"/>
      <c r="L63" s="1305"/>
      <c r="M63" s="1318"/>
      <c r="N63" s="140"/>
      <c r="O63" s="1308"/>
      <c r="X63" s="1303"/>
    </row>
    <row r="64" spans="2:51" ht="15" customHeight="1" x14ac:dyDescent="0.3">
      <c r="B64" s="938">
        <v>901.3</v>
      </c>
      <c r="C64" s="21"/>
      <c r="D64" s="21"/>
      <c r="E64" s="21" t="s">
        <v>271</v>
      </c>
      <c r="F64" s="80" t="s">
        <v>123</v>
      </c>
      <c r="G64" s="80"/>
      <c r="H64" s="1087"/>
      <c r="I64" s="182"/>
      <c r="J64" s="140"/>
      <c r="K64" s="140"/>
      <c r="L64" s="1305"/>
      <c r="M64" s="1318"/>
      <c r="N64" s="140"/>
      <c r="O64" s="1308"/>
      <c r="X64" s="1303"/>
    </row>
    <row r="65" spans="1:45" ht="15" customHeight="1" x14ac:dyDescent="0.3">
      <c r="B65" s="938">
        <v>901.3</v>
      </c>
      <c r="C65" s="21"/>
      <c r="D65" s="21"/>
      <c r="E65" s="21" t="s">
        <v>271</v>
      </c>
      <c r="F65" s="80" t="s">
        <v>123</v>
      </c>
      <c r="G65" s="80"/>
      <c r="H65" s="1087"/>
      <c r="I65" s="182"/>
      <c r="J65" s="140"/>
      <c r="K65" s="140"/>
      <c r="L65" s="1305"/>
      <c r="M65" s="1318"/>
      <c r="N65" s="140"/>
      <c r="O65" s="1308"/>
      <c r="X65" s="1303"/>
    </row>
    <row r="66" spans="1:45" ht="15" customHeight="1" x14ac:dyDescent="0.3">
      <c r="B66" s="938">
        <v>901.3</v>
      </c>
      <c r="C66" s="21"/>
      <c r="D66" s="21"/>
      <c r="E66" s="21" t="s">
        <v>271</v>
      </c>
      <c r="F66" s="80" t="s">
        <v>123</v>
      </c>
      <c r="G66" s="80"/>
      <c r="H66" s="1087"/>
      <c r="I66" s="182"/>
      <c r="J66" s="238"/>
      <c r="K66" s="238"/>
      <c r="L66" s="1306"/>
      <c r="M66" s="1319"/>
      <c r="N66" s="238"/>
      <c r="O66" s="1309"/>
      <c r="X66" s="1303"/>
    </row>
    <row r="67" spans="1:45" ht="15" customHeight="1" thickBot="1" x14ac:dyDescent="0.35">
      <c r="B67" s="938">
        <v>901.3</v>
      </c>
      <c r="C67" s="21"/>
      <c r="D67" s="21"/>
      <c r="E67" s="21" t="s">
        <v>273</v>
      </c>
      <c r="F67" s="80"/>
      <c r="G67" s="80"/>
      <c r="H67" s="1087"/>
      <c r="I67" s="577"/>
      <c r="J67" s="213" t="s">
        <v>273</v>
      </c>
      <c r="K67" s="270"/>
      <c r="L67" s="519" t="s">
        <v>3386</v>
      </c>
      <c r="M67" s="523">
        <v>10</v>
      </c>
      <c r="N67" s="270"/>
      <c r="O67" s="271">
        <f>M67*S67*W67</f>
        <v>0</v>
      </c>
      <c r="P67" s="97" t="b">
        <v>1</v>
      </c>
      <c r="Q67" s="97" t="b">
        <v>1</v>
      </c>
      <c r="R67" s="104" t="b">
        <v>0</v>
      </c>
      <c r="S67" s="104" t="b">
        <f>AND(NOT(W61),W57&lt;&gt;"Met",W59&lt;&gt;"Met")</f>
        <v>0</v>
      </c>
      <c r="T67" s="104" t="b">
        <f>AND(NOT(S67),W67=TRUE)</f>
        <v>0</v>
      </c>
      <c r="U67" s="104"/>
      <c r="V67" s="104"/>
      <c r="W67" s="105"/>
      <c r="X67" s="513"/>
      <c r="AC67" s="488" t="b">
        <f>OR(AD67:AE67)</f>
        <v>0</v>
      </c>
      <c r="AD67" s="488" t="b">
        <f>T67</f>
        <v>0</v>
      </c>
      <c r="AE67" s="488" t="b">
        <f>AND(R67,NOT(W67))</f>
        <v>0</v>
      </c>
      <c r="AL67" s="311" t="str">
        <f>SUBSTITUTE(SUBSTITUTE(SUBSTITUTE("dpa"&amp;$B67&amp;$C67&amp;$D67&amp;$E67&amp;$F67,".","_"),"(","_"),")","")</f>
        <v>dpa901_3_2</v>
      </c>
      <c r="AM67" s="311">
        <f>M67</f>
        <v>10</v>
      </c>
      <c r="AN67" s="311" t="str">
        <f>SUBSTITUTE(SUBSTITUTE(SUBSTITUTE("dpc"&amp;$B67&amp;$C67&amp;$D67&amp;$E67&amp;$F67,".","_"),"(","_"),")","")</f>
        <v>dpc901_3_2</v>
      </c>
      <c r="AO67" s="311">
        <f>O67</f>
        <v>0</v>
      </c>
      <c r="AP67" s="311" t="str">
        <f>SUBSTITUTE(SUBSTITUTE(SUBSTITUTE("dch"&amp;$B67&amp;$C67&amp;$D67&amp;$E67&amp;$F67,".","_"),"(","_"),")","")</f>
        <v>dch901_3_2</v>
      </c>
      <c r="AQ67" s="311">
        <f>W67</f>
        <v>0</v>
      </c>
      <c r="AR67" s="311" t="str">
        <f>SUBSTITUTE(SUBSTITUTE(SUBSTITUTE("dnt"&amp;$B67&amp;$C67&amp;$D67&amp;$E67&amp;$F67,".","_"),"(","_"),")","")</f>
        <v>dnt901_3_2</v>
      </c>
      <c r="AS67" s="311">
        <f>X67</f>
        <v>0</v>
      </c>
    </row>
    <row r="68" spans="1:45" ht="15" thickTop="1" x14ac:dyDescent="0.3">
      <c r="B68" s="938">
        <v>901.4</v>
      </c>
      <c r="C68" s="21"/>
      <c r="D68" s="21"/>
      <c r="E68" s="21"/>
      <c r="F68" s="21"/>
      <c r="G68" s="21"/>
      <c r="H68" s="1084"/>
      <c r="I68" s="66">
        <v>901.4</v>
      </c>
      <c r="J68" s="4"/>
      <c r="K68" s="4"/>
      <c r="L68" s="1329" t="s">
        <v>3387</v>
      </c>
      <c r="M68" s="1335" t="s">
        <v>753</v>
      </c>
      <c r="N68" s="4"/>
      <c r="O68" s="1336">
        <f ca="1">MIN(10,(IFERROR(INDEX({2,2,3,4,4},MATCH(W76,INDIRECT(U76),0)),0)+IFERROR(INDEX({2,2,3,4,4},MATCH(W77,INDIRECT(U77),0)),0)+IFERROR(INDEX({2,2,3,4,4},MATCH(W78,INDIRECT(U78),0)),0)+IFERROR(INDEX({2,2,3,4,4},MATCH(W79,INDIRECT(U79),0)),0)))*S76</f>
        <v>4</v>
      </c>
      <c r="AL68" s="311" t="str">
        <f>SUBSTITUTE(SUBSTITUTE(SUBSTITUTE("dpa"&amp;$B68&amp;$C68&amp;$D68&amp;$E68&amp;$F68,".","_"),"(","_"),")","")</f>
        <v>dpa901_4</v>
      </c>
      <c r="AM68" s="311" t="str">
        <f>M68</f>
        <v>10 Max</v>
      </c>
      <c r="AN68" s="311" t="str">
        <f>SUBSTITUTE(SUBSTITUTE(SUBSTITUTE("dpc"&amp;$B68&amp;$C68&amp;$D68&amp;$E68&amp;$F68,".","_"),"(","_"),")","")</f>
        <v>dpc901_4</v>
      </c>
      <c r="AO68" s="311">
        <f ca="1">O68</f>
        <v>4</v>
      </c>
    </row>
    <row r="69" spans="1:45" ht="15" customHeight="1" x14ac:dyDescent="0.3">
      <c r="B69" s="938">
        <v>901.4</v>
      </c>
      <c r="C69" s="21"/>
      <c r="D69" s="21"/>
      <c r="E69" s="21"/>
      <c r="F69" s="21"/>
      <c r="G69" s="21"/>
      <c r="H69" s="1084"/>
      <c r="I69" s="182"/>
      <c r="J69" s="4"/>
      <c r="K69" s="4"/>
      <c r="L69" s="1329"/>
      <c r="M69" s="1335"/>
      <c r="N69" s="4"/>
      <c r="O69" s="1310"/>
    </row>
    <row r="70" spans="1:45" x14ac:dyDescent="0.3">
      <c r="B70" s="938">
        <v>901.4</v>
      </c>
      <c r="C70" s="21"/>
      <c r="D70" s="21"/>
      <c r="E70" s="21"/>
      <c r="F70" s="21"/>
      <c r="G70" s="21"/>
      <c r="H70" s="1084"/>
      <c r="I70" s="182"/>
      <c r="J70" s="4"/>
      <c r="K70" s="4"/>
      <c r="L70" s="1329"/>
      <c r="M70" s="1335"/>
      <c r="N70" s="4"/>
      <c r="O70" s="1310"/>
    </row>
    <row r="71" spans="1:45" ht="15" customHeight="1" x14ac:dyDescent="0.3">
      <c r="B71" s="938">
        <v>901.4</v>
      </c>
      <c r="C71" s="21"/>
      <c r="D71" s="21"/>
      <c r="E71" s="21" t="s">
        <v>271</v>
      </c>
      <c r="F71" s="21"/>
      <c r="G71" s="21"/>
      <c r="H71" s="1084"/>
      <c r="I71" s="182"/>
      <c r="J71" s="203" t="s">
        <v>271</v>
      </c>
      <c r="K71" s="140"/>
      <c r="L71" s="1305" t="s">
        <v>3388</v>
      </c>
      <c r="M71" s="1351" t="str">
        <f>IF(R71,"Mandatory","N/A")</f>
        <v>Mandatory</v>
      </c>
      <c r="N71" s="4"/>
      <c r="P71" s="97" t="b">
        <v>1</v>
      </c>
      <c r="Q71" s="97" t="b">
        <v>0</v>
      </c>
      <c r="R71" s="480" t="b">
        <f>S71</f>
        <v>1</v>
      </c>
      <c r="S71" s="480" t="b">
        <v>1</v>
      </c>
      <c r="T71" s="480" t="b">
        <v>0</v>
      </c>
      <c r="U71" s="97" t="str">
        <f>SUBSTITUTE(SUBSTITUTE(SUBSTITUTE("dd"&amp;B71&amp;C71&amp;D71&amp;E71&amp;F71,".","_"),"(","_"),")","")</f>
        <v>dd901_4_1</v>
      </c>
      <c r="W71" s="12" t="s">
        <v>3242</v>
      </c>
      <c r="X71" s="1303" t="s">
        <v>4803</v>
      </c>
      <c r="AC71" s="488" t="b">
        <f>OR(AD71:AE71)</f>
        <v>0</v>
      </c>
      <c r="AD71" s="488" t="b">
        <f>T71</f>
        <v>0</v>
      </c>
      <c r="AE71" s="488" t="b">
        <f>OR(AND(W71="N/A",LEN(X71)=0),AND(R71,OR(W71="Not Met",W71="")))</f>
        <v>0</v>
      </c>
      <c r="AL71" s="311" t="str">
        <f>SUBSTITUTE(SUBSTITUTE(SUBSTITUTE("dpa"&amp;$B71&amp;$C71&amp;$D71&amp;$E71&amp;$F71,".","_"),"(","_"),")","")</f>
        <v>dpa901_4_1</v>
      </c>
      <c r="AM71" s="311" t="str">
        <f>M71</f>
        <v>Mandatory</v>
      </c>
      <c r="AP71" s="311" t="str">
        <f>SUBSTITUTE(SUBSTITUTE(SUBSTITUTE("dch"&amp;$B71&amp;$C71&amp;$D71&amp;$E71&amp;$F71,".","_"),"(","_"),")","")</f>
        <v>dch901_4_1</v>
      </c>
      <c r="AQ71" s="311" t="str">
        <f>W71</f>
        <v>Met</v>
      </c>
      <c r="AR71" s="311" t="str">
        <f>SUBSTITUTE(SUBSTITUTE(SUBSTITUTE("dnt"&amp;$B71&amp;$C71&amp;$D71&amp;$E71&amp;$F71,".","_"),"(","_"),")","")</f>
        <v>dnt901_4_1</v>
      </c>
      <c r="AS71" s="311" t="str">
        <f>X71</f>
        <v>ZERH Requirement - Indoor airPLUS, Section 6.1 Composite Wood</v>
      </c>
    </row>
    <row r="72" spans="1:45" x14ac:dyDescent="0.3">
      <c r="B72" s="938">
        <v>901.4</v>
      </c>
      <c r="C72" s="21"/>
      <c r="D72" s="21"/>
      <c r="E72" s="21" t="s">
        <v>271</v>
      </c>
      <c r="F72" s="21"/>
      <c r="G72" s="21"/>
      <c r="H72" s="1084"/>
      <c r="I72" s="182"/>
      <c r="J72" s="140"/>
      <c r="K72" s="140"/>
      <c r="L72" s="1305"/>
      <c r="M72" s="1351"/>
      <c r="N72" s="4"/>
      <c r="O72" s="976"/>
      <c r="X72" s="1303"/>
    </row>
    <row r="73" spans="1:45" x14ac:dyDescent="0.3">
      <c r="B73" s="938">
        <v>901.4</v>
      </c>
      <c r="C73" s="21"/>
      <c r="D73" s="21"/>
      <c r="E73" s="21" t="s">
        <v>271</v>
      </c>
      <c r="F73" s="21"/>
      <c r="G73" s="21"/>
      <c r="H73" s="1084"/>
      <c r="I73" s="182"/>
      <c r="J73" s="140"/>
      <c r="K73" s="140"/>
      <c r="L73" s="1305"/>
      <c r="M73" s="1351"/>
      <c r="N73" s="4"/>
      <c r="O73" s="976"/>
      <c r="X73" s="1303"/>
      <c r="Z73" s="480"/>
      <c r="AB73" s="480"/>
      <c r="AC73" s="480"/>
      <c r="AD73" s="480"/>
      <c r="AE73" s="480"/>
      <c r="AF73" s="480"/>
      <c r="AG73" s="480"/>
      <c r="AH73" s="480"/>
      <c r="AI73" s="480"/>
      <c r="AJ73" s="480"/>
      <c r="AK73" s="480"/>
      <c r="AL73" s="480"/>
      <c r="AM73" s="480"/>
      <c r="AN73" s="480"/>
      <c r="AO73" s="480"/>
    </row>
    <row r="74" spans="1:45" s="787" customFormat="1" x14ac:dyDescent="0.3">
      <c r="A74" s="18"/>
      <c r="B74" s="938">
        <v>901.4</v>
      </c>
      <c r="C74" s="21"/>
      <c r="D74" s="21"/>
      <c r="E74" s="21" t="s">
        <v>271</v>
      </c>
      <c r="F74" s="21"/>
      <c r="G74" s="21"/>
      <c r="H74" s="1084"/>
      <c r="I74" s="182"/>
      <c r="J74" s="140"/>
      <c r="K74" s="140"/>
      <c r="L74" s="1305"/>
      <c r="M74" s="1351"/>
      <c r="N74" s="4"/>
      <c r="O74" s="976"/>
      <c r="X74" s="1303"/>
      <c r="Y74" s="1107"/>
      <c r="AA74" s="1110"/>
    </row>
    <row r="75" spans="1:45" x14ac:dyDescent="0.3">
      <c r="B75" s="938">
        <v>901.4</v>
      </c>
      <c r="C75" s="21"/>
      <c r="D75" s="21"/>
      <c r="E75" s="21" t="s">
        <v>271</v>
      </c>
      <c r="F75" s="21"/>
      <c r="G75" s="21"/>
      <c r="H75" s="1084"/>
      <c r="I75" s="182"/>
      <c r="J75" s="238"/>
      <c r="K75" s="238"/>
      <c r="L75" s="788" t="s">
        <v>4382</v>
      </c>
      <c r="M75" s="1352"/>
      <c r="N75" s="4"/>
      <c r="O75" s="976"/>
      <c r="X75" s="1303"/>
      <c r="Z75" s="480"/>
      <c r="AB75" s="480"/>
      <c r="AC75" s="480"/>
      <c r="AD75" s="480"/>
      <c r="AE75" s="480"/>
      <c r="AF75" s="480"/>
      <c r="AG75" s="480"/>
      <c r="AH75" s="480"/>
      <c r="AI75" s="480"/>
      <c r="AJ75" s="480"/>
      <c r="AK75" s="480"/>
      <c r="AL75" s="480"/>
      <c r="AM75" s="480"/>
      <c r="AN75" s="480"/>
      <c r="AO75" s="480"/>
    </row>
    <row r="76" spans="1:45" s="480" customFormat="1" x14ac:dyDescent="0.3">
      <c r="A76" s="18"/>
      <c r="B76" s="938">
        <v>901.4</v>
      </c>
      <c r="C76" s="21"/>
      <c r="D76" s="21"/>
      <c r="E76" s="21"/>
      <c r="F76" s="80" t="s">
        <v>121</v>
      </c>
      <c r="G76" s="80"/>
      <c r="H76" s="1087"/>
      <c r="I76" s="576"/>
      <c r="J76" s="140"/>
      <c r="K76" s="140"/>
      <c r="L76" s="515" t="s">
        <v>3913</v>
      </c>
      <c r="M76" s="527"/>
      <c r="N76" s="140"/>
      <c r="O76" s="269"/>
      <c r="P76" s="97" t="b">
        <v>1</v>
      </c>
      <c r="Q76" s="97" t="b">
        <v>1</v>
      </c>
      <c r="R76" s="97" t="b">
        <v>0</v>
      </c>
      <c r="S76" s="97" t="b">
        <v>1</v>
      </c>
      <c r="T76" s="97" t="b">
        <v>0</v>
      </c>
      <c r="U76" s="97" t="str">
        <f>SUBSTITUTE(SUBSTITUTE(SUBSTITUTE("dd"&amp;B76&amp;C76&amp;D76&amp;E76&amp;F76,".","_"),"(","_"),")","")</f>
        <v>dd901_4_a</v>
      </c>
      <c r="V76" s="97"/>
      <c r="W76" s="114"/>
      <c r="X76" s="1295" t="s">
        <v>4804</v>
      </c>
      <c r="Y76" s="1107"/>
      <c r="AA76" s="1110"/>
      <c r="AC76" s="488" t="b">
        <f>OR(AD76:AE76)</f>
        <v>0</v>
      </c>
      <c r="AD76" s="488" t="b">
        <f>T76</f>
        <v>0</v>
      </c>
      <c r="AE76" s="488" t="b">
        <f>AND(R76,OR(W76="Not Met",W76=""))</f>
        <v>0</v>
      </c>
      <c r="AP76" s="311" t="str">
        <f t="shared" ref="AP76:AP79" si="0">SUBSTITUTE(SUBSTITUTE(SUBSTITUTE("dch"&amp;$B76&amp;$C76&amp;$D76&amp;$E76&amp;$F76,".","_"),"(","_"),")","")</f>
        <v>dch901_4_a</v>
      </c>
      <c r="AQ76" s="311">
        <f>W76</f>
        <v>0</v>
      </c>
      <c r="AR76" s="311" t="str">
        <f>SUBSTITUTE(SUBSTITUTE(SUBSTITUTE("dnt"&amp;$B76&amp;$C76&amp;$D76&amp;$E76&amp;$F76,".","_"),"(","_"),")","")</f>
        <v>dnt901_4_a</v>
      </c>
      <c r="AS76" s="311" t="str">
        <f>X76</f>
        <v>ZERH Requirement - Indoor airPLUS, Section 6.1 Hardwood Plywood, Particle Board and MDF</v>
      </c>
    </row>
    <row r="77" spans="1:45" s="480" customFormat="1" x14ac:dyDescent="0.3">
      <c r="A77" s="18"/>
      <c r="B77" s="938">
        <v>901.4</v>
      </c>
      <c r="C77" s="21"/>
      <c r="D77" s="21"/>
      <c r="E77" s="21"/>
      <c r="F77" s="80" t="s">
        <v>122</v>
      </c>
      <c r="G77" s="80"/>
      <c r="H77" s="1087"/>
      <c r="I77" s="576"/>
      <c r="J77" s="140"/>
      <c r="K77" s="140"/>
      <c r="L77" s="515" t="s">
        <v>3914</v>
      </c>
      <c r="M77" s="527"/>
      <c r="N77" s="140"/>
      <c r="O77" s="269"/>
      <c r="P77" s="97" t="b">
        <v>1</v>
      </c>
      <c r="Q77" s="97" t="b">
        <v>1</v>
      </c>
      <c r="R77" s="97" t="b">
        <v>0</v>
      </c>
      <c r="S77" s="97" t="b">
        <v>1</v>
      </c>
      <c r="T77" s="97" t="b">
        <v>0</v>
      </c>
      <c r="U77" s="97" t="str">
        <f>SUBSTITUTE(SUBSTITUTE(SUBSTITUTE("dd"&amp;B77&amp;C77&amp;D77&amp;E77&amp;F77,".","_"),"(","_"),")","")</f>
        <v>dd901_4_b</v>
      </c>
      <c r="V77" s="97"/>
      <c r="W77" s="114" t="s">
        <v>275</v>
      </c>
      <c r="X77" s="1295"/>
      <c r="Y77" s="1107"/>
      <c r="AA77" s="1110"/>
      <c r="AC77" s="488" t="b">
        <f>OR(AD77:AE77)</f>
        <v>0</v>
      </c>
      <c r="AD77" s="488" t="b">
        <f>T77</f>
        <v>0</v>
      </c>
      <c r="AE77" s="488" t="b">
        <f>AND(R77,OR(W77="Not Met",W77=""))</f>
        <v>0</v>
      </c>
      <c r="AP77" s="311" t="str">
        <f t="shared" si="0"/>
        <v>dch901_4_b</v>
      </c>
      <c r="AQ77" s="311" t="str">
        <f>W77</f>
        <v>(3)</v>
      </c>
    </row>
    <row r="78" spans="1:45" s="480" customFormat="1" x14ac:dyDescent="0.3">
      <c r="A78" s="18"/>
      <c r="B78" s="938">
        <v>901.4</v>
      </c>
      <c r="C78" s="21"/>
      <c r="D78" s="21"/>
      <c r="E78" s="21"/>
      <c r="F78" s="80" t="s">
        <v>123</v>
      </c>
      <c r="G78" s="80"/>
      <c r="H78" s="1087"/>
      <c r="I78" s="576"/>
      <c r="J78" s="140"/>
      <c r="K78" s="140"/>
      <c r="L78" s="515" t="s">
        <v>3915</v>
      </c>
      <c r="M78" s="527"/>
      <c r="N78" s="140"/>
      <c r="O78" s="269"/>
      <c r="P78" s="97" t="b">
        <v>1</v>
      </c>
      <c r="Q78" s="97" t="b">
        <v>1</v>
      </c>
      <c r="R78" s="97" t="b">
        <v>0</v>
      </c>
      <c r="S78" s="97" t="b">
        <v>1</v>
      </c>
      <c r="T78" s="97" t="b">
        <v>0</v>
      </c>
      <c r="U78" s="97" t="str">
        <f>SUBSTITUTE(SUBSTITUTE(SUBSTITUTE("dd"&amp;B78&amp;C78&amp;D78&amp;E78&amp;F78,".","_"),"(","_"),")","")</f>
        <v>dd901_4_c</v>
      </c>
      <c r="V78" s="97"/>
      <c r="W78" s="114"/>
      <c r="X78" s="1295"/>
      <c r="Y78" s="1107"/>
      <c r="Z78" s="79"/>
      <c r="AA78" s="1110"/>
      <c r="AB78" s="79"/>
      <c r="AC78" s="488" t="b">
        <f>OR(AD78:AE78)</f>
        <v>0</v>
      </c>
      <c r="AD78" s="488" t="b">
        <f>T78</f>
        <v>0</v>
      </c>
      <c r="AE78" s="488" t="b">
        <f>AND(R78,OR(W78="Not Met",W78=""))</f>
        <v>0</v>
      </c>
      <c r="AF78" s="79"/>
      <c r="AG78" s="79"/>
      <c r="AH78" s="79"/>
      <c r="AI78" s="79"/>
      <c r="AJ78" s="79"/>
      <c r="AK78" s="79"/>
      <c r="AL78" s="79"/>
      <c r="AM78" s="79"/>
      <c r="AN78" s="79"/>
      <c r="AO78" s="79"/>
      <c r="AP78" s="311" t="str">
        <f t="shared" si="0"/>
        <v>dch901_4_c</v>
      </c>
      <c r="AQ78" s="311">
        <f>W78</f>
        <v>0</v>
      </c>
    </row>
    <row r="79" spans="1:45" s="480" customFormat="1" x14ac:dyDescent="0.3">
      <c r="A79" s="18"/>
      <c r="B79" s="938">
        <v>901.4</v>
      </c>
      <c r="C79" s="21"/>
      <c r="D79" s="21"/>
      <c r="E79" s="21"/>
      <c r="F79" s="80" t="s">
        <v>423</v>
      </c>
      <c r="G79" s="80"/>
      <c r="H79" s="1087"/>
      <c r="I79" s="576"/>
      <c r="J79" s="140"/>
      <c r="K79" s="140"/>
      <c r="L79" s="515" t="s">
        <v>3916</v>
      </c>
      <c r="M79" s="527"/>
      <c r="N79" s="140"/>
      <c r="O79" s="269"/>
      <c r="P79" s="97" t="b">
        <v>1</v>
      </c>
      <c r="Q79" s="97" t="b">
        <v>1</v>
      </c>
      <c r="R79" s="97" t="b">
        <v>0</v>
      </c>
      <c r="S79" s="97" t="b">
        <v>1</v>
      </c>
      <c r="T79" s="97" t="b">
        <v>0</v>
      </c>
      <c r="U79" s="97" t="str">
        <f>SUBSTITUTE(SUBSTITUTE(SUBSTITUTE("dd"&amp;B79&amp;C79&amp;D79&amp;E79&amp;F79,".","_"),"(","_"),")","")</f>
        <v>dd901_4_d</v>
      </c>
      <c r="V79" s="97"/>
      <c r="W79" s="114" t="s">
        <v>273</v>
      </c>
      <c r="X79" s="1295"/>
      <c r="Y79" s="1107"/>
      <c r="Z79" s="79"/>
      <c r="AA79" s="1110"/>
      <c r="AB79" s="79"/>
      <c r="AC79" s="488" t="b">
        <f>OR(AD79:AE79)</f>
        <v>0</v>
      </c>
      <c r="AD79" s="488" t="b">
        <f>T79</f>
        <v>0</v>
      </c>
      <c r="AE79" s="488" t="b">
        <f>AND(R79,OR(W79="Not Met",W79=""))</f>
        <v>0</v>
      </c>
      <c r="AF79" s="79"/>
      <c r="AG79" s="79"/>
      <c r="AH79" s="79"/>
      <c r="AI79" s="79"/>
      <c r="AJ79" s="79"/>
      <c r="AK79" s="79"/>
      <c r="AL79" s="79"/>
      <c r="AM79" s="79"/>
      <c r="AN79" s="79"/>
      <c r="AO79" s="79"/>
      <c r="AP79" s="311" t="str">
        <f t="shared" si="0"/>
        <v>dch901_4_d</v>
      </c>
      <c r="AQ79" s="311" t="str">
        <f>W79</f>
        <v>(2)</v>
      </c>
    </row>
    <row r="80" spans="1:45" x14ac:dyDescent="0.3">
      <c r="B80" s="938">
        <v>901.4</v>
      </c>
      <c r="C80" s="21"/>
      <c r="D80" s="21"/>
      <c r="E80" s="21" t="s">
        <v>273</v>
      </c>
      <c r="F80" s="21"/>
      <c r="G80" s="21"/>
      <c r="H80" s="1084"/>
      <c r="I80" s="576"/>
      <c r="J80" s="203" t="s">
        <v>273</v>
      </c>
      <c r="K80" s="140"/>
      <c r="L80" s="1305" t="s">
        <v>3389</v>
      </c>
      <c r="M80" s="1318">
        <v>2</v>
      </c>
      <c r="N80" s="140"/>
      <c r="O80" s="269"/>
      <c r="P80" s="97"/>
      <c r="Q80" s="97"/>
      <c r="R80" s="97"/>
      <c r="S80" s="97"/>
      <c r="T80" s="97"/>
      <c r="U80" s="97"/>
      <c r="V80" s="97"/>
      <c r="W80" s="97"/>
      <c r="X80" s="1295"/>
      <c r="AL80" s="311" t="str">
        <f>SUBSTITUTE(SUBSTITUTE(SUBSTITUTE("dpa"&amp;$B80&amp;$C80&amp;$D80&amp;$E80&amp;$F80,".","_"),"(","_"),")","")</f>
        <v>dpa901_4_2</v>
      </c>
      <c r="AM80" s="311">
        <f>M80</f>
        <v>2</v>
      </c>
    </row>
    <row r="81" spans="2:45" x14ac:dyDescent="0.3">
      <c r="B81" s="938">
        <v>901.4</v>
      </c>
      <c r="C81" s="21"/>
      <c r="D81" s="21"/>
      <c r="E81" s="21" t="s">
        <v>273</v>
      </c>
      <c r="F81" s="21"/>
      <c r="G81" s="21"/>
      <c r="H81" s="1084"/>
      <c r="I81" s="576"/>
      <c r="J81" s="238"/>
      <c r="K81" s="238"/>
      <c r="L81" s="1306"/>
      <c r="M81" s="1319"/>
      <c r="N81" s="140"/>
      <c r="O81" s="269"/>
      <c r="P81" s="97"/>
      <c r="Q81" s="97"/>
      <c r="R81" s="97"/>
      <c r="S81" s="97"/>
      <c r="T81" s="97"/>
      <c r="U81" s="97"/>
      <c r="V81" s="97"/>
      <c r="W81" s="97"/>
      <c r="X81" s="1295"/>
    </row>
    <row r="82" spans="2:45" x14ac:dyDescent="0.3">
      <c r="B82" s="938">
        <v>901.4</v>
      </c>
      <c r="C82" s="21"/>
      <c r="D82" s="21"/>
      <c r="E82" s="21" t="s">
        <v>275</v>
      </c>
      <c r="F82" s="21"/>
      <c r="G82" s="21"/>
      <c r="H82" s="1084"/>
      <c r="I82" s="576"/>
      <c r="J82" s="231" t="s">
        <v>275</v>
      </c>
      <c r="K82" s="238"/>
      <c r="L82" s="516" t="s">
        <v>3390</v>
      </c>
      <c r="M82" s="520">
        <v>2</v>
      </c>
      <c r="N82" s="140"/>
      <c r="O82" s="269"/>
      <c r="P82" s="97"/>
      <c r="Q82" s="97"/>
      <c r="R82" s="97"/>
      <c r="S82" s="97"/>
      <c r="T82" s="97"/>
      <c r="U82" s="97"/>
      <c r="V82" s="97"/>
      <c r="W82" s="97"/>
      <c r="X82" s="1295"/>
      <c r="AL82" s="311" t="str">
        <f>SUBSTITUTE(SUBSTITUTE(SUBSTITUTE("dpa"&amp;$B82&amp;$C82&amp;$D82&amp;$E82&amp;$F82,".","_"),"(","_"),")","")</f>
        <v>dpa901_4_3</v>
      </c>
      <c r="AM82" s="311">
        <f>M82</f>
        <v>2</v>
      </c>
    </row>
    <row r="83" spans="2:45" x14ac:dyDescent="0.3">
      <c r="B83" s="938">
        <v>901.4</v>
      </c>
      <c r="C83" s="21"/>
      <c r="D83" s="21"/>
      <c r="E83" s="21" t="s">
        <v>285</v>
      </c>
      <c r="F83" s="21"/>
      <c r="G83" s="21"/>
      <c r="H83" s="1084"/>
      <c r="I83" s="576"/>
      <c r="J83" s="231" t="s">
        <v>285</v>
      </c>
      <c r="K83" s="238"/>
      <c r="L83" s="516" t="s">
        <v>3391</v>
      </c>
      <c r="M83" s="520">
        <v>3</v>
      </c>
      <c r="N83" s="140"/>
      <c r="O83" s="269"/>
      <c r="P83" s="97"/>
      <c r="Q83" s="97"/>
      <c r="R83" s="97"/>
      <c r="S83" s="97"/>
      <c r="T83" s="97"/>
      <c r="U83" s="97"/>
      <c r="V83" s="97"/>
      <c r="W83" s="97"/>
      <c r="X83" s="1295"/>
      <c r="AL83" s="311" t="str">
        <f>SUBSTITUTE(SUBSTITUTE(SUBSTITUTE("dpa"&amp;$B83&amp;$C83&amp;$D83&amp;$E83&amp;$F83,".","_"),"(","_"),")","")</f>
        <v>dpa901_4_4</v>
      </c>
      <c r="AM83" s="311">
        <f>M83</f>
        <v>3</v>
      </c>
    </row>
    <row r="84" spans="2:45" x14ac:dyDescent="0.3">
      <c r="B84" s="938">
        <v>901.4</v>
      </c>
      <c r="C84" s="21"/>
      <c r="D84" s="21"/>
      <c r="E84" s="21" t="s">
        <v>291</v>
      </c>
      <c r="F84" s="21"/>
      <c r="G84" s="21"/>
      <c r="H84" s="1084"/>
      <c r="I84" s="576"/>
      <c r="J84" s="203" t="s">
        <v>291</v>
      </c>
      <c r="K84" s="140"/>
      <c r="L84" s="1305" t="s">
        <v>3392</v>
      </c>
      <c r="M84" s="1318">
        <v>4</v>
      </c>
      <c r="N84" s="140"/>
      <c r="O84" s="269"/>
      <c r="P84" s="97"/>
      <c r="Q84" s="97"/>
      <c r="R84" s="97"/>
      <c r="S84" s="97"/>
      <c r="T84" s="97"/>
      <c r="U84" s="97"/>
      <c r="V84" s="97"/>
      <c r="W84" s="97"/>
      <c r="X84" s="1295"/>
      <c r="AL84" s="311" t="str">
        <f>SUBSTITUTE(SUBSTITUTE(SUBSTITUTE("dpa"&amp;$B84&amp;$C84&amp;$D84&amp;$E84&amp;$F84,".","_"),"(","_"),")","")</f>
        <v>dpa901_4_5</v>
      </c>
      <c r="AM84" s="311">
        <f>M84</f>
        <v>4</v>
      </c>
    </row>
    <row r="85" spans="2:45" x14ac:dyDescent="0.3">
      <c r="B85" s="938">
        <v>901.4</v>
      </c>
      <c r="C85" s="21"/>
      <c r="D85" s="21"/>
      <c r="E85" s="21" t="s">
        <v>291</v>
      </c>
      <c r="F85" s="21"/>
      <c r="G85" s="21"/>
      <c r="H85" s="1084"/>
      <c r="I85" s="576"/>
      <c r="J85" s="231"/>
      <c r="K85" s="238"/>
      <c r="L85" s="1306"/>
      <c r="M85" s="1319"/>
      <c r="N85" s="140"/>
      <c r="O85" s="269"/>
      <c r="P85" s="97"/>
      <c r="Q85" s="97"/>
      <c r="R85" s="97"/>
      <c r="S85" s="97"/>
      <c r="T85" s="97"/>
      <c r="U85" s="97"/>
      <c r="V85" s="97"/>
      <c r="W85" s="97"/>
      <c r="X85" s="1295"/>
    </row>
    <row r="86" spans="2:45" ht="15" thickBot="1" x14ac:dyDescent="0.35">
      <c r="B86" s="938">
        <v>901.4</v>
      </c>
      <c r="C86" s="21"/>
      <c r="D86" s="21"/>
      <c r="E86" s="21" t="s">
        <v>293</v>
      </c>
      <c r="F86" s="21"/>
      <c r="G86" s="21"/>
      <c r="H86" s="1084"/>
      <c r="I86" s="577"/>
      <c r="J86" s="213" t="s">
        <v>293</v>
      </c>
      <c r="K86" s="270"/>
      <c r="L86" s="519" t="s">
        <v>3393</v>
      </c>
      <c r="M86" s="523">
        <v>4</v>
      </c>
      <c r="N86" s="270"/>
      <c r="O86" s="271"/>
      <c r="P86" s="104"/>
      <c r="Q86" s="104"/>
      <c r="R86" s="104"/>
      <c r="S86" s="104"/>
      <c r="T86" s="104"/>
      <c r="U86" s="104"/>
      <c r="V86" s="104"/>
      <c r="W86" s="104"/>
      <c r="X86" s="1296"/>
      <c r="AL86" s="311" t="str">
        <f>SUBSTITUTE(SUBSTITUTE(SUBSTITUTE("dpa"&amp;$B86&amp;$C86&amp;$D86&amp;$E86&amp;$F86,".","_"),"(","_"),")","")</f>
        <v>dpa901_4_6</v>
      </c>
      <c r="AM86" s="311">
        <f>M86</f>
        <v>4</v>
      </c>
    </row>
    <row r="87" spans="2:45" ht="15" thickTop="1" x14ac:dyDescent="0.3">
      <c r="B87" s="938">
        <v>901.5</v>
      </c>
      <c r="C87" s="21"/>
      <c r="D87" s="21"/>
      <c r="E87" s="21"/>
      <c r="F87" s="21"/>
      <c r="G87" s="21"/>
      <c r="H87" s="1084"/>
      <c r="I87" s="66">
        <v>901.5</v>
      </c>
      <c r="J87" s="4"/>
      <c r="K87" s="4"/>
      <c r="L87" s="1292" t="s">
        <v>3394</v>
      </c>
      <c r="M87" s="522"/>
      <c r="N87" s="4"/>
      <c r="O87" s="154"/>
    </row>
    <row r="88" spans="2:45" x14ac:dyDescent="0.3">
      <c r="B88" s="938">
        <v>901.5</v>
      </c>
      <c r="C88" s="21"/>
      <c r="D88" s="21"/>
      <c r="E88" s="21"/>
      <c r="F88" s="21"/>
      <c r="G88" s="21"/>
      <c r="H88" s="1084"/>
      <c r="I88" s="182"/>
      <c r="J88" s="4"/>
      <c r="K88" s="4"/>
      <c r="L88" s="1292"/>
      <c r="M88" s="522"/>
      <c r="N88" s="4"/>
      <c r="O88" s="154"/>
    </row>
    <row r="89" spans="2:45" x14ac:dyDescent="0.3">
      <c r="B89" s="938">
        <v>901.5</v>
      </c>
      <c r="C89" s="21"/>
      <c r="D89" s="21"/>
      <c r="E89" s="21"/>
      <c r="F89" s="21"/>
      <c r="G89" s="21"/>
      <c r="H89" s="1084"/>
      <c r="I89" s="182"/>
      <c r="J89" s="4"/>
      <c r="K89" s="4"/>
      <c r="L89" s="181" t="s">
        <v>3395</v>
      </c>
      <c r="M89" s="522"/>
      <c r="N89" s="4"/>
      <c r="O89" s="154"/>
    </row>
    <row r="90" spans="2:45" x14ac:dyDescent="0.3">
      <c r="B90" s="938">
        <v>901.5</v>
      </c>
      <c r="C90" s="21"/>
      <c r="D90" s="21"/>
      <c r="E90" s="21" t="s">
        <v>271</v>
      </c>
      <c r="F90" s="21"/>
      <c r="G90" s="21"/>
      <c r="H90" s="1084"/>
      <c r="I90" s="182"/>
      <c r="J90" s="203" t="s">
        <v>271</v>
      </c>
      <c r="K90" s="140"/>
      <c r="L90" s="1305" t="s">
        <v>3396</v>
      </c>
      <c r="M90" s="1318">
        <v>5</v>
      </c>
      <c r="N90" s="4"/>
      <c r="O90" s="1308">
        <f>M90*S90*W90</f>
        <v>0</v>
      </c>
      <c r="P90" s="97" t="b">
        <v>0</v>
      </c>
      <c r="Q90" s="97" t="b">
        <v>1</v>
      </c>
      <c r="R90" s="480" t="b">
        <v>0</v>
      </c>
      <c r="S90" s="480" t="b">
        <v>1</v>
      </c>
      <c r="T90" s="480" t="b">
        <v>0</v>
      </c>
      <c r="W90" s="25"/>
      <c r="X90" s="1303"/>
      <c r="AC90" s="488" t="b">
        <f>OR(AD90:AE90)</f>
        <v>0</v>
      </c>
      <c r="AD90" s="488" t="b">
        <f>T90</f>
        <v>0</v>
      </c>
      <c r="AE90" s="488" t="b">
        <f>AND(R90,NOT(W90))</f>
        <v>0</v>
      </c>
      <c r="AL90" s="311" t="str">
        <f>SUBSTITUTE(SUBSTITUTE(SUBSTITUTE("dpa"&amp;$B90&amp;$C90&amp;$D90&amp;$E90&amp;$F90,".","_"),"(","_"),")","")</f>
        <v>dpa901_5_1</v>
      </c>
      <c r="AM90" s="311">
        <f>M90</f>
        <v>5</v>
      </c>
      <c r="AN90" s="311" t="str">
        <f>SUBSTITUTE(SUBSTITUTE(SUBSTITUTE("dpc"&amp;$B90&amp;$C90&amp;$D90&amp;$E90&amp;$F90,".","_"),"(","_"),")","")</f>
        <v>dpc901_5_1</v>
      </c>
      <c r="AO90" s="311">
        <f>O90</f>
        <v>0</v>
      </c>
      <c r="AP90" s="311" t="str">
        <f>SUBSTITUTE(SUBSTITUTE(SUBSTITUTE("dch"&amp;$B90&amp;$C90&amp;$D90&amp;$E90&amp;$F90,".","_"),"(","_"),")","")</f>
        <v>dch901_5_1</v>
      </c>
      <c r="AQ90" s="311">
        <f>W90</f>
        <v>0</v>
      </c>
      <c r="AR90" s="311" t="str">
        <f>SUBSTITUTE(SUBSTITUTE(SUBSTITUTE("dnt"&amp;$B90&amp;$C90&amp;$D90&amp;$E90&amp;$F90,".","_"),"(","_"),")","")</f>
        <v>dnt901_5_1</v>
      </c>
      <c r="AS90" s="311">
        <f>X90</f>
        <v>0</v>
      </c>
    </row>
    <row r="91" spans="2:45" x14ac:dyDescent="0.3">
      <c r="B91" s="938">
        <v>901.5</v>
      </c>
      <c r="C91" s="21"/>
      <c r="D91" s="21"/>
      <c r="E91" s="21" t="s">
        <v>271</v>
      </c>
      <c r="F91" s="21"/>
      <c r="G91" s="21"/>
      <c r="H91" s="1084"/>
      <c r="I91" s="182"/>
      <c r="J91" s="238"/>
      <c r="K91" s="238"/>
      <c r="L91" s="1306"/>
      <c r="M91" s="1319"/>
      <c r="N91" s="4"/>
      <c r="O91" s="1309"/>
      <c r="X91" s="1303"/>
    </row>
    <row r="92" spans="2:45" x14ac:dyDescent="0.3">
      <c r="B92" s="938">
        <v>901.5</v>
      </c>
      <c r="C92" s="21"/>
      <c r="D92" s="21"/>
      <c r="E92" s="21" t="s">
        <v>273</v>
      </c>
      <c r="F92" s="21"/>
      <c r="G92" s="21"/>
      <c r="H92" s="1084"/>
      <c r="I92" s="576"/>
      <c r="J92" s="203" t="s">
        <v>273</v>
      </c>
      <c r="K92" s="140"/>
      <c r="L92" s="1305" t="s">
        <v>3397</v>
      </c>
      <c r="M92" s="1318">
        <v>3</v>
      </c>
      <c r="N92" s="140"/>
      <c r="O92" s="1308">
        <f>M92*S92*W92</f>
        <v>0</v>
      </c>
      <c r="P92" s="97" t="b">
        <v>0</v>
      </c>
      <c r="Q92" s="97" t="b">
        <v>1</v>
      </c>
      <c r="R92" s="97" t="b">
        <v>0</v>
      </c>
      <c r="S92" s="97" t="b">
        <v>1</v>
      </c>
      <c r="T92" s="97" t="b">
        <v>0</v>
      </c>
      <c r="U92" s="97"/>
      <c r="V92" s="97"/>
      <c r="W92" s="452"/>
      <c r="X92" s="1295"/>
      <c r="AC92" s="488" t="b">
        <f>OR(AD92:AE92)</f>
        <v>0</v>
      </c>
      <c r="AD92" s="488" t="b">
        <f>T92</f>
        <v>0</v>
      </c>
      <c r="AE92" s="488" t="b">
        <f>AND(R92,NOT(W92))</f>
        <v>0</v>
      </c>
      <c r="AL92" s="311" t="str">
        <f>SUBSTITUTE(SUBSTITUTE(SUBSTITUTE("dpa"&amp;$B92&amp;$C92&amp;$D92&amp;$E92&amp;$F92,".","_"),"(","_"),")","")</f>
        <v>dpa901_5_2</v>
      </c>
      <c r="AM92" s="311">
        <f>M92</f>
        <v>3</v>
      </c>
      <c r="AN92" s="311" t="str">
        <f>SUBSTITUTE(SUBSTITUTE(SUBSTITUTE("dpc"&amp;$B92&amp;$C92&amp;$D92&amp;$E92&amp;$F92,".","_"),"(","_"),")","")</f>
        <v>dpc901_5_2</v>
      </c>
      <c r="AO92" s="311">
        <f>O92</f>
        <v>0</v>
      </c>
      <c r="AP92" s="311" t="str">
        <f>SUBSTITUTE(SUBSTITUTE(SUBSTITUTE("dch"&amp;$B92&amp;$C92&amp;$D92&amp;$E92&amp;$F92,".","_"),"(","_"),")","")</f>
        <v>dch901_5_2</v>
      </c>
      <c r="AQ92" s="311">
        <f>W92</f>
        <v>0</v>
      </c>
      <c r="AR92" s="311" t="str">
        <f>SUBSTITUTE(SUBSTITUTE(SUBSTITUTE("dnt"&amp;$B92&amp;$C92&amp;$D92&amp;$E92&amp;$F92,".","_"),"(","_"),")","")</f>
        <v>dnt901_5_2</v>
      </c>
      <c r="AS92" s="311">
        <f>X92</f>
        <v>0</v>
      </c>
    </row>
    <row r="93" spans="2:45" x14ac:dyDescent="0.3">
      <c r="B93" s="938">
        <v>901.5</v>
      </c>
      <c r="C93" s="21"/>
      <c r="D93" s="21"/>
      <c r="E93" s="21" t="s">
        <v>273</v>
      </c>
      <c r="F93" s="21"/>
      <c r="G93" s="21"/>
      <c r="H93" s="1084"/>
      <c r="I93" s="576"/>
      <c r="J93" s="140"/>
      <c r="K93" s="140"/>
      <c r="L93" s="1305"/>
      <c r="M93" s="1318"/>
      <c r="N93" s="140"/>
      <c r="O93" s="1308"/>
      <c r="P93" s="97"/>
      <c r="Q93" s="97"/>
      <c r="R93" s="97"/>
      <c r="S93" s="97"/>
      <c r="T93" s="97"/>
      <c r="U93" s="97"/>
      <c r="V93" s="97"/>
      <c r="W93" s="97"/>
      <c r="X93" s="1295"/>
    </row>
    <row r="94" spans="2:45" ht="15" thickBot="1" x14ac:dyDescent="0.35">
      <c r="B94" s="938">
        <v>901.5</v>
      </c>
      <c r="C94" s="21"/>
      <c r="D94" s="21"/>
      <c r="E94" s="21"/>
      <c r="F94" s="21"/>
      <c r="G94" s="21"/>
      <c r="H94" s="1084"/>
      <c r="I94" s="577"/>
      <c r="J94" s="270"/>
      <c r="K94" s="270"/>
      <c r="L94" s="1330"/>
      <c r="M94" s="1334"/>
      <c r="N94" s="270"/>
      <c r="O94" s="1315"/>
      <c r="P94" s="104"/>
      <c r="Q94" s="104"/>
      <c r="R94" s="104"/>
      <c r="S94" s="104"/>
      <c r="T94" s="104"/>
      <c r="U94" s="104"/>
      <c r="V94" s="104"/>
      <c r="W94" s="104"/>
      <c r="X94" s="1296"/>
    </row>
    <row r="95" spans="2:45" ht="15" thickTop="1" x14ac:dyDescent="0.3">
      <c r="B95" s="938">
        <v>901.6</v>
      </c>
      <c r="C95" s="21"/>
      <c r="D95" s="21"/>
      <c r="E95" s="21"/>
      <c r="F95" s="21"/>
      <c r="G95" s="21"/>
      <c r="H95" s="1084"/>
      <c r="I95" s="200">
        <v>901.6</v>
      </c>
      <c r="J95" s="201"/>
      <c r="K95" s="201"/>
      <c r="L95" s="1331" t="s">
        <v>3398</v>
      </c>
      <c r="M95" s="1362" t="str">
        <f>IF(R95,"Mandatory","N/A")</f>
        <v>Mandatory</v>
      </c>
      <c r="N95" s="201"/>
      <c r="O95" s="596"/>
      <c r="P95" s="97" t="b">
        <v>0</v>
      </c>
      <c r="Q95" s="97" t="b">
        <v>1</v>
      </c>
      <c r="R95" s="110" t="b">
        <f>S95</f>
        <v>1</v>
      </c>
      <c r="S95" s="110" t="b">
        <v>1</v>
      </c>
      <c r="T95" s="110" t="b">
        <v>0</v>
      </c>
      <c r="U95" s="110"/>
      <c r="V95" s="110"/>
      <c r="W95" s="459" t="b">
        <v>1</v>
      </c>
      <c r="X95" s="1327" t="s">
        <v>4805</v>
      </c>
      <c r="AC95" s="488" t="b">
        <f>OR(AD95:AE95)</f>
        <v>0</v>
      </c>
      <c r="AD95" s="488" t="b">
        <f>T95</f>
        <v>0</v>
      </c>
      <c r="AE95" s="488" t="b">
        <f>AND(R95,NOT(W95))</f>
        <v>0</v>
      </c>
      <c r="AL95" s="311" t="str">
        <f>SUBSTITUTE(SUBSTITUTE(SUBSTITUTE("dpa"&amp;$B95&amp;$C95&amp;$D95&amp;$E95&amp;$F95,".","_"),"(","_"),")","")</f>
        <v>dpa901_6</v>
      </c>
      <c r="AM95" s="311" t="str">
        <f>M95</f>
        <v>Mandatory</v>
      </c>
      <c r="AP95" s="311" t="str">
        <f>SUBSTITUTE(SUBSTITUTE(SUBSTITUTE("dch"&amp;$B95&amp;$C95&amp;$D95&amp;$E95&amp;$F95,".","_"),"(","_"),")","")</f>
        <v>dch901_6</v>
      </c>
      <c r="AQ95" s="311" t="b">
        <f>W95</f>
        <v>1</v>
      </c>
      <c r="AR95" s="311" t="str">
        <f>SUBSTITUTE(SUBSTITUTE(SUBSTITUTE("dnt"&amp;$B95&amp;$C95&amp;$D95&amp;$E95&amp;$F95,".","_"),"(","_"),")","")</f>
        <v>dnt901_6</v>
      </c>
      <c r="AS95" s="311" t="str">
        <f>X95</f>
        <v>ZERH Requirement - ENERGY STAR Certified Homes National Water Management Requirements, Section 4.1 Bathroom Carpets</v>
      </c>
    </row>
    <row r="96" spans="2:45" ht="15" thickBot="1" x14ac:dyDescent="0.35">
      <c r="B96" s="938">
        <v>901.6</v>
      </c>
      <c r="C96" s="21"/>
      <c r="D96" s="21"/>
      <c r="E96" s="21"/>
      <c r="F96" s="21"/>
      <c r="G96" s="21"/>
      <c r="H96" s="1084"/>
      <c r="I96" s="577"/>
      <c r="J96" s="270"/>
      <c r="K96" s="270"/>
      <c r="L96" s="1332"/>
      <c r="M96" s="1410"/>
      <c r="N96" s="270"/>
      <c r="O96" s="271"/>
      <c r="P96" s="104"/>
      <c r="Q96" s="104"/>
      <c r="R96" s="104"/>
      <c r="S96" s="104"/>
      <c r="T96" s="104"/>
      <c r="U96" s="104"/>
      <c r="V96" s="104"/>
      <c r="W96" s="104"/>
      <c r="X96" s="1296"/>
    </row>
    <row r="97" spans="2:45" ht="15" thickTop="1" x14ac:dyDescent="0.3">
      <c r="B97" s="938">
        <v>901.7</v>
      </c>
      <c r="C97" s="21"/>
      <c r="D97" s="21"/>
      <c r="E97" s="21"/>
      <c r="F97" s="21"/>
      <c r="G97" s="21"/>
      <c r="H97" s="1084"/>
      <c r="I97" s="66">
        <v>901.7</v>
      </c>
      <c r="J97" s="4"/>
      <c r="K97" s="4"/>
      <c r="L97" s="1292" t="s">
        <v>3399</v>
      </c>
      <c r="M97" s="1375" t="s">
        <v>3592</v>
      </c>
      <c r="N97" s="4"/>
      <c r="O97" s="1310">
        <f>MIN(8,ROUNDDOWN(W104/0.1,0)+ROUNDDOWN(W114/0.1,0)+ROUNDDOWN(W115*1.33/0.1,0))</f>
        <v>0</v>
      </c>
      <c r="AL97" s="311" t="str">
        <f>SUBSTITUTE(SUBSTITUTE(SUBSTITUTE("dpa"&amp;$B97&amp;$C97&amp;$D97&amp;$E97&amp;$F97,".","_"),"(","_"),")","")</f>
        <v>dpa901_7</v>
      </c>
      <c r="AM97" s="311" t="str">
        <f>M97</f>
        <v>1
8 Max</v>
      </c>
      <c r="AN97" s="311" t="str">
        <f>SUBSTITUTE(SUBSTITUTE(SUBSTITUTE("dpc"&amp;$B97&amp;$C97&amp;$D97&amp;$E97&amp;$F97,".","_"),"(","_"),")","")</f>
        <v>dpc901_7</v>
      </c>
      <c r="AO97" s="311">
        <f>O97</f>
        <v>0</v>
      </c>
    </row>
    <row r="98" spans="2:45" x14ac:dyDescent="0.3">
      <c r="B98" s="938">
        <v>901.7</v>
      </c>
      <c r="C98" s="21"/>
      <c r="D98" s="21"/>
      <c r="E98" s="21"/>
      <c r="F98" s="21"/>
      <c r="G98" s="21"/>
      <c r="H98" s="1084"/>
      <c r="I98" s="182"/>
      <c r="J98" s="4"/>
      <c r="K98" s="4"/>
      <c r="L98" s="1292"/>
      <c r="M98" s="1375"/>
      <c r="N98" s="4"/>
      <c r="O98" s="1310"/>
    </row>
    <row r="99" spans="2:45" x14ac:dyDescent="0.3">
      <c r="B99" s="938">
        <v>901.7</v>
      </c>
      <c r="C99" s="21"/>
      <c r="D99" s="21"/>
      <c r="E99" s="21"/>
      <c r="F99" s="21"/>
      <c r="G99" s="21"/>
      <c r="H99" s="1084"/>
      <c r="I99" s="182"/>
      <c r="J99" s="4"/>
      <c r="K99" s="4"/>
      <c r="L99" s="1292"/>
      <c r="M99" s="1375"/>
      <c r="N99" s="4"/>
      <c r="O99" s="1310"/>
    </row>
    <row r="100" spans="2:45" x14ac:dyDescent="0.3">
      <c r="B100" s="938">
        <v>901.7</v>
      </c>
      <c r="C100" s="21"/>
      <c r="D100" s="21"/>
      <c r="E100" s="21"/>
      <c r="F100" s="21"/>
      <c r="G100" s="21"/>
      <c r="H100" s="1084"/>
      <c r="I100" s="182"/>
      <c r="J100" s="4"/>
      <c r="K100" s="4"/>
      <c r="L100" s="1292"/>
      <c r="M100" s="1375"/>
      <c r="N100" s="4"/>
      <c r="O100" s="1310"/>
    </row>
    <row r="101" spans="2:45" x14ac:dyDescent="0.3">
      <c r="B101" s="938">
        <v>901.7</v>
      </c>
      <c r="C101" s="21"/>
      <c r="D101" s="21"/>
      <c r="E101" s="21"/>
      <c r="F101" s="21"/>
      <c r="G101" s="21"/>
      <c r="H101" s="1084"/>
      <c r="I101" s="182"/>
      <c r="J101" s="4"/>
      <c r="K101" s="4"/>
      <c r="L101" s="1292"/>
      <c r="M101" s="1375"/>
      <c r="N101" s="4"/>
      <c r="O101" s="1310"/>
    </row>
    <row r="102" spans="2:45" x14ac:dyDescent="0.3">
      <c r="B102" s="938">
        <v>901.7</v>
      </c>
      <c r="C102" s="21"/>
      <c r="D102" s="21"/>
      <c r="E102" s="21"/>
      <c r="F102" s="21"/>
      <c r="G102" s="21"/>
      <c r="H102" s="1084"/>
      <c r="I102" s="182"/>
      <c r="J102" s="4"/>
      <c r="K102" s="4"/>
      <c r="L102" s="1365" t="s">
        <v>3400</v>
      </c>
      <c r="M102" s="1375"/>
      <c r="N102" s="4"/>
      <c r="O102" s="1310"/>
    </row>
    <row r="103" spans="2:45" x14ac:dyDescent="0.3">
      <c r="B103" s="938">
        <v>901.7</v>
      </c>
      <c r="C103" s="21"/>
      <c r="D103" s="21"/>
      <c r="E103" s="21"/>
      <c r="F103" s="21"/>
      <c r="G103" s="21"/>
      <c r="H103" s="1084"/>
      <c r="I103" s="182"/>
      <c r="J103" s="4"/>
      <c r="K103" s="4"/>
      <c r="L103" s="1365"/>
      <c r="M103" s="1375"/>
      <c r="N103" s="4"/>
      <c r="O103" s="1310"/>
      <c r="W103" s="79" t="s">
        <v>3929</v>
      </c>
    </row>
    <row r="104" spans="2:45" x14ac:dyDescent="0.3">
      <c r="B104" s="938">
        <v>901.7</v>
      </c>
      <c r="C104" s="21"/>
      <c r="D104" s="21"/>
      <c r="E104" s="21" t="s">
        <v>271</v>
      </c>
      <c r="F104" s="80"/>
      <c r="G104" s="80"/>
      <c r="H104" s="1087"/>
      <c r="I104" s="182"/>
      <c r="J104" s="27" t="s">
        <v>271</v>
      </c>
      <c r="K104" s="4"/>
      <c r="L104" s="1329" t="s">
        <v>3401</v>
      </c>
      <c r="M104" s="522"/>
      <c r="N104" s="4"/>
      <c r="O104" s="154"/>
      <c r="P104" s="97" t="b">
        <v>0</v>
      </c>
      <c r="Q104" s="97" t="b">
        <v>1</v>
      </c>
      <c r="R104" s="480" t="b">
        <v>0</v>
      </c>
      <c r="S104" s="480" t="b">
        <v>1</v>
      </c>
      <c r="T104" s="480" t="b">
        <f>SUM(W104,W114,W115)&gt;1</f>
        <v>0</v>
      </c>
      <c r="W104" s="490"/>
      <c r="X104" s="1303"/>
      <c r="AC104" s="488" t="b">
        <f>OR(AD104:AE104)</f>
        <v>0</v>
      </c>
      <c r="AD104" s="488" t="b">
        <f>T104</f>
        <v>0</v>
      </c>
      <c r="AE104" s="488" t="b">
        <f>AND(R104,OR(W104="Not Met",W104=""))</f>
        <v>0</v>
      </c>
      <c r="AP104" s="311" t="str">
        <f>SUBSTITUTE(SUBSTITUTE(SUBSTITUTE("dch"&amp;$B104&amp;$C104&amp;$D104&amp;$E104&amp;$F104,".","_"),"(","_"),")","")</f>
        <v>dch901_7_1</v>
      </c>
      <c r="AQ104" s="311">
        <f>W104</f>
        <v>0</v>
      </c>
      <c r="AR104" s="311" t="str">
        <f>SUBSTITUTE(SUBSTITUTE(SUBSTITUTE("dnt"&amp;$B104&amp;$C104&amp;$D104&amp;$E104&amp;$F104,".","_"),"(","_"),")","")</f>
        <v>dnt901_7_1</v>
      </c>
      <c r="AS104" s="311">
        <f>X104</f>
        <v>0</v>
      </c>
    </row>
    <row r="105" spans="2:45" x14ac:dyDescent="0.3">
      <c r="B105" s="938">
        <v>901.7</v>
      </c>
      <c r="C105" s="21"/>
      <c r="D105" s="21"/>
      <c r="E105" s="21" t="s">
        <v>271</v>
      </c>
      <c r="F105" s="80"/>
      <c r="G105" s="80"/>
      <c r="H105" s="1087"/>
      <c r="I105" s="182"/>
      <c r="J105" s="4"/>
      <c r="K105" s="4"/>
      <c r="L105" s="1329"/>
      <c r="M105" s="522"/>
      <c r="N105" s="4"/>
      <c r="O105" s="154"/>
      <c r="X105" s="1303"/>
    </row>
    <row r="106" spans="2:45" x14ac:dyDescent="0.3">
      <c r="B106" s="938">
        <v>901.7</v>
      </c>
      <c r="C106" s="21"/>
      <c r="D106" s="21"/>
      <c r="E106" s="21" t="s">
        <v>271</v>
      </c>
      <c r="F106" s="80"/>
      <c r="G106" s="80"/>
      <c r="H106" s="1087"/>
      <c r="I106" s="182"/>
      <c r="J106" s="4"/>
      <c r="K106" s="4"/>
      <c r="L106" s="1329"/>
      <c r="M106" s="522"/>
      <c r="N106" s="4"/>
      <c r="O106" s="154"/>
      <c r="X106" s="1303"/>
    </row>
    <row r="107" spans="2:45" x14ac:dyDescent="0.3">
      <c r="B107" s="938">
        <v>901.7</v>
      </c>
      <c r="C107" s="21"/>
      <c r="D107" s="21"/>
      <c r="E107" s="21" t="s">
        <v>271</v>
      </c>
      <c r="F107" s="80"/>
      <c r="G107" s="80"/>
      <c r="H107" s="1087"/>
      <c r="I107" s="182"/>
      <c r="J107" s="4"/>
      <c r="K107" s="4"/>
      <c r="L107" s="1329"/>
      <c r="M107" s="522"/>
      <c r="N107" s="4"/>
      <c r="O107" s="154"/>
      <c r="X107" s="1303"/>
    </row>
    <row r="108" spans="2:45" x14ac:dyDescent="0.3">
      <c r="B108" s="938">
        <v>901.7</v>
      </c>
      <c r="C108" s="21"/>
      <c r="D108" s="21"/>
      <c r="E108" s="21" t="s">
        <v>271</v>
      </c>
      <c r="F108" s="80" t="s">
        <v>121</v>
      </c>
      <c r="G108" s="80"/>
      <c r="H108" s="1087"/>
      <c r="I108" s="182"/>
      <c r="J108" s="4"/>
      <c r="K108" s="27" t="s">
        <v>121</v>
      </c>
      <c r="L108" s="178" t="s">
        <v>3402</v>
      </c>
      <c r="M108" s="522"/>
      <c r="N108" s="4"/>
      <c r="O108" s="154"/>
      <c r="X108" s="1303"/>
    </row>
    <row r="109" spans="2:45" x14ac:dyDescent="0.3">
      <c r="B109" s="938">
        <v>901.7</v>
      </c>
      <c r="C109" s="21"/>
      <c r="D109" s="21"/>
      <c r="E109" s="21" t="s">
        <v>271</v>
      </c>
      <c r="F109" s="80" t="s">
        <v>122</v>
      </c>
      <c r="G109" s="80"/>
      <c r="H109" s="1087"/>
      <c r="I109" s="182"/>
      <c r="J109" s="4"/>
      <c r="K109" s="27" t="s">
        <v>122</v>
      </c>
      <c r="L109" s="178" t="s">
        <v>3403</v>
      </c>
      <c r="M109" s="522"/>
      <c r="N109" s="4"/>
      <c r="O109" s="154"/>
      <c r="X109" s="1303"/>
    </row>
    <row r="110" spans="2:45" x14ac:dyDescent="0.3">
      <c r="B110" s="938">
        <v>901.7</v>
      </c>
      <c r="C110" s="21"/>
      <c r="D110" s="21"/>
      <c r="E110" s="21" t="s">
        <v>271</v>
      </c>
      <c r="F110" s="80" t="s">
        <v>123</v>
      </c>
      <c r="G110" s="80"/>
      <c r="H110" s="1087"/>
      <c r="I110" s="182"/>
      <c r="J110" s="4"/>
      <c r="K110" s="27" t="s">
        <v>123</v>
      </c>
      <c r="L110" s="178" t="s">
        <v>3404</v>
      </c>
      <c r="M110" s="522"/>
      <c r="N110" s="4"/>
      <c r="O110" s="154"/>
      <c r="X110" s="1303"/>
    </row>
    <row r="111" spans="2:45" x14ac:dyDescent="0.3">
      <c r="B111" s="938">
        <v>901.7</v>
      </c>
      <c r="C111" s="21"/>
      <c r="D111" s="21"/>
      <c r="E111" s="21" t="s">
        <v>271</v>
      </c>
      <c r="F111" s="80" t="s">
        <v>423</v>
      </c>
      <c r="G111" s="80"/>
      <c r="H111" s="1087"/>
      <c r="I111" s="182"/>
      <c r="J111" s="4"/>
      <c r="K111" s="27" t="s">
        <v>423</v>
      </c>
      <c r="L111" s="178" t="s">
        <v>3405</v>
      </c>
      <c r="M111" s="522"/>
      <c r="N111" s="4"/>
      <c r="O111" s="154"/>
      <c r="X111" s="1303"/>
    </row>
    <row r="112" spans="2:45" x14ac:dyDescent="0.3">
      <c r="B112" s="938">
        <v>901.7</v>
      </c>
      <c r="C112" s="21"/>
      <c r="D112" s="21"/>
      <c r="E112" s="21" t="s">
        <v>271</v>
      </c>
      <c r="F112" s="80" t="s">
        <v>578</v>
      </c>
      <c r="G112" s="80"/>
      <c r="H112" s="1087"/>
      <c r="I112" s="182"/>
      <c r="J112" s="4"/>
      <c r="K112" s="27" t="s">
        <v>578</v>
      </c>
      <c r="L112" s="178" t="s">
        <v>3406</v>
      </c>
      <c r="M112" s="522"/>
      <c r="N112" s="4"/>
      <c r="O112" s="154"/>
      <c r="X112" s="1303"/>
      <c r="Z112" s="480"/>
      <c r="AB112" s="480"/>
      <c r="AC112" s="480"/>
      <c r="AD112" s="480"/>
      <c r="AE112" s="480"/>
      <c r="AF112" s="480"/>
      <c r="AG112" s="480"/>
      <c r="AH112" s="480"/>
      <c r="AI112" s="480"/>
      <c r="AJ112" s="480"/>
      <c r="AK112" s="480"/>
      <c r="AL112" s="480"/>
      <c r="AM112" s="480"/>
      <c r="AN112" s="480"/>
      <c r="AO112" s="480"/>
    </row>
    <row r="113" spans="1:45" x14ac:dyDescent="0.3">
      <c r="B113" s="938">
        <v>901.7</v>
      </c>
      <c r="C113" s="21"/>
      <c r="D113" s="21"/>
      <c r="E113" s="21" t="s">
        <v>271</v>
      </c>
      <c r="F113" s="80" t="s">
        <v>645</v>
      </c>
      <c r="G113" s="80"/>
      <c r="H113" s="1087"/>
      <c r="I113" s="182"/>
      <c r="J113" s="238"/>
      <c r="K113" s="231" t="s">
        <v>645</v>
      </c>
      <c r="L113" s="516" t="s">
        <v>3407</v>
      </c>
      <c r="M113" s="522"/>
      <c r="N113" s="4"/>
      <c r="O113" s="154"/>
      <c r="W113" s="79" t="s">
        <v>3930</v>
      </c>
      <c r="X113" s="1303"/>
    </row>
    <row r="114" spans="1:45" s="480" customFormat="1" x14ac:dyDescent="0.3">
      <c r="A114" s="18"/>
      <c r="B114" s="938">
        <v>901.7</v>
      </c>
      <c r="C114" s="21"/>
      <c r="D114" s="21"/>
      <c r="E114" s="21" t="s">
        <v>273</v>
      </c>
      <c r="F114" s="80"/>
      <c r="G114" s="80"/>
      <c r="H114" s="1087"/>
      <c r="I114" s="576"/>
      <c r="J114" s="231" t="s">
        <v>273</v>
      </c>
      <c r="K114" s="238"/>
      <c r="L114" s="516" t="s">
        <v>4107</v>
      </c>
      <c r="M114" s="518"/>
      <c r="N114" s="140"/>
      <c r="O114" s="269"/>
      <c r="P114" s="97" t="b">
        <v>0</v>
      </c>
      <c r="Q114" s="97" t="b">
        <v>1</v>
      </c>
      <c r="R114" s="97" t="b">
        <v>0</v>
      </c>
      <c r="S114" s="97" t="b">
        <v>1</v>
      </c>
      <c r="T114" s="97" t="b">
        <f>SUM(W104,W114,W115)&gt;1</f>
        <v>0</v>
      </c>
      <c r="U114" s="97"/>
      <c r="V114" s="97"/>
      <c r="W114" s="490"/>
      <c r="X114" s="1295"/>
      <c r="Y114" s="1107"/>
      <c r="Z114" s="79"/>
      <c r="AA114" s="1110"/>
      <c r="AB114" s="79"/>
      <c r="AC114" s="488" t="b">
        <f>OR(AD114:AE114)</f>
        <v>0</v>
      </c>
      <c r="AD114" s="488" t="b">
        <f>T114</f>
        <v>0</v>
      </c>
      <c r="AE114" s="488" t="b">
        <f>AND(R114,OR(W114="Not Met",W114=""))</f>
        <v>0</v>
      </c>
      <c r="AF114" s="79"/>
      <c r="AG114" s="79"/>
      <c r="AH114" s="79"/>
      <c r="AI114" s="79"/>
      <c r="AJ114" s="79"/>
      <c r="AK114" s="79"/>
      <c r="AL114" s="79"/>
      <c r="AM114" s="79"/>
      <c r="AN114" s="79"/>
      <c r="AO114" s="79"/>
      <c r="AP114" s="311" t="str">
        <f t="shared" ref="AP114:AP115" si="1">SUBSTITUTE(SUBSTITUTE(SUBSTITUTE("dch"&amp;$B114&amp;$C114&amp;$D114&amp;$E114&amp;$F114,".","_"),"(","_"),")","")</f>
        <v>dch901_7_2</v>
      </c>
      <c r="AQ114" s="311">
        <f>W114</f>
        <v>0</v>
      </c>
      <c r="AR114" s="311" t="str">
        <f>SUBSTITUTE(SUBSTITUTE(SUBSTITUTE("dnt"&amp;$B114&amp;$C114&amp;$D114&amp;$E114&amp;$F114,".","_"),"(","_"),")","")</f>
        <v>dnt901_7_2</v>
      </c>
      <c r="AS114" s="311">
        <f>X114</f>
        <v>0</v>
      </c>
    </row>
    <row r="115" spans="1:45" x14ac:dyDescent="0.3">
      <c r="B115" s="938">
        <v>901.7</v>
      </c>
      <c r="C115" s="21"/>
      <c r="D115" s="21"/>
      <c r="E115" s="21" t="s">
        <v>275</v>
      </c>
      <c r="F115" s="80"/>
      <c r="G115" s="80"/>
      <c r="H115" s="1087"/>
      <c r="I115" s="576"/>
      <c r="J115" s="203" t="s">
        <v>275</v>
      </c>
      <c r="K115" s="140"/>
      <c r="L115" s="515" t="s">
        <v>3917</v>
      </c>
      <c r="M115" s="518"/>
      <c r="N115" s="140"/>
      <c r="O115" s="269"/>
      <c r="P115" s="97" t="b">
        <v>0</v>
      </c>
      <c r="Q115" s="97" t="b">
        <v>1</v>
      </c>
      <c r="R115" s="97" t="b">
        <v>0</v>
      </c>
      <c r="S115" s="97" t="b">
        <v>1</v>
      </c>
      <c r="T115" s="97" t="b">
        <f>SUM(W104,W114,W115)&gt;1</f>
        <v>0</v>
      </c>
      <c r="U115" s="97"/>
      <c r="V115" s="97"/>
      <c r="W115" s="490"/>
      <c r="X115" s="1295"/>
      <c r="AC115" s="488" t="b">
        <f>OR(AD115:AE115)</f>
        <v>0</v>
      </c>
      <c r="AD115" s="488" t="b">
        <f>T115</f>
        <v>0</v>
      </c>
      <c r="AE115" s="488" t="b">
        <f>AND(R115,OR(W115="Not Met",W115=""))</f>
        <v>0</v>
      </c>
      <c r="AP115" s="311" t="str">
        <f t="shared" si="1"/>
        <v>dch901_7_3</v>
      </c>
      <c r="AQ115" s="311">
        <f>W115</f>
        <v>0</v>
      </c>
    </row>
    <row r="116" spans="1:45" x14ac:dyDescent="0.3">
      <c r="B116" s="938">
        <v>901.7</v>
      </c>
      <c r="C116" s="21"/>
      <c r="D116" s="21"/>
      <c r="E116" s="21" t="s">
        <v>273</v>
      </c>
      <c r="F116" s="21"/>
      <c r="G116" s="21"/>
      <c r="H116" s="1084"/>
      <c r="I116" s="576"/>
      <c r="J116" s="140"/>
      <c r="K116" s="140"/>
      <c r="L116" s="1368" t="s">
        <v>3408</v>
      </c>
      <c r="M116" s="518"/>
      <c r="N116" s="140"/>
      <c r="O116" s="269"/>
      <c r="P116" s="97"/>
      <c r="Q116" s="97"/>
      <c r="R116" s="97"/>
      <c r="S116" s="97"/>
      <c r="T116" s="97"/>
      <c r="U116" s="97"/>
      <c r="V116" s="97"/>
      <c r="W116" s="97"/>
      <c r="X116" s="1295"/>
    </row>
    <row r="117" spans="1:45" ht="15" thickBot="1" x14ac:dyDescent="0.35">
      <c r="B117" s="938">
        <v>901.7</v>
      </c>
      <c r="C117" s="21"/>
      <c r="D117" s="21"/>
      <c r="E117" s="21" t="s">
        <v>273</v>
      </c>
      <c r="F117" s="21"/>
      <c r="G117" s="21"/>
      <c r="H117" s="1084"/>
      <c r="I117" s="577"/>
      <c r="J117" s="270"/>
      <c r="K117" s="270"/>
      <c r="L117" s="1400"/>
      <c r="M117" s="523"/>
      <c r="N117" s="270"/>
      <c r="O117" s="271"/>
      <c r="P117" s="104"/>
      <c r="Q117" s="104"/>
      <c r="R117" s="104"/>
      <c r="S117" s="104"/>
      <c r="T117" s="104"/>
      <c r="U117" s="104"/>
      <c r="V117" s="104"/>
      <c r="W117" s="104"/>
      <c r="X117" s="1296"/>
    </row>
    <row r="118" spans="1:45" ht="15" thickTop="1" x14ac:dyDescent="0.3">
      <c r="B118" s="938">
        <v>901.8</v>
      </c>
      <c r="C118" s="21"/>
      <c r="D118" s="21"/>
      <c r="E118" s="21"/>
      <c r="F118" s="21"/>
      <c r="G118" s="21"/>
      <c r="H118" s="1084"/>
      <c r="I118" s="200">
        <v>901.8</v>
      </c>
      <c r="J118" s="201"/>
      <c r="K118" s="201"/>
      <c r="L118" s="1331" t="s">
        <v>3409</v>
      </c>
      <c r="M118" s="1343">
        <v>4</v>
      </c>
      <c r="N118" s="201"/>
      <c r="O118" s="1336">
        <f>M118*S118*W118</f>
        <v>0</v>
      </c>
      <c r="P118" s="97" t="b">
        <v>0</v>
      </c>
      <c r="Q118" s="97" t="b">
        <v>1</v>
      </c>
      <c r="R118" s="110" t="b">
        <v>0</v>
      </c>
      <c r="S118" s="110" t="b">
        <v>1</v>
      </c>
      <c r="T118" s="110" t="b">
        <v>0</v>
      </c>
      <c r="U118" s="110"/>
      <c r="V118" s="110"/>
      <c r="W118" s="459"/>
      <c r="X118" s="1327"/>
      <c r="AC118" s="488" t="b">
        <f>OR(AD118:AE118)</f>
        <v>0</v>
      </c>
      <c r="AD118" s="488" t="b">
        <f>T118</f>
        <v>0</v>
      </c>
      <c r="AE118" s="488" t="b">
        <f>AND(R118,NOT(W118))</f>
        <v>0</v>
      </c>
      <c r="AL118" s="311" t="str">
        <f>SUBSTITUTE(SUBSTITUTE(SUBSTITUTE("dpa"&amp;$B118&amp;$C118&amp;$D118&amp;$E118&amp;$F118,".","_"),"(","_"),")","")</f>
        <v>dpa901_8</v>
      </c>
      <c r="AM118" s="311">
        <f>M118</f>
        <v>4</v>
      </c>
      <c r="AN118" s="311" t="str">
        <f>SUBSTITUTE(SUBSTITUTE(SUBSTITUTE("dpc"&amp;$B118&amp;$C118&amp;$D118&amp;$E118&amp;$F118,".","_"),"(","_"),")","")</f>
        <v>dpc901_8</v>
      </c>
      <c r="AO118" s="311">
        <f>O118</f>
        <v>0</v>
      </c>
      <c r="AP118" s="311" t="str">
        <f>SUBSTITUTE(SUBSTITUTE(SUBSTITUTE("dch"&amp;$B118&amp;$C118&amp;$D118&amp;$E118&amp;$F118,".","_"),"(","_"),")","")</f>
        <v>dch901_8</v>
      </c>
      <c r="AQ118" s="311">
        <f>W118</f>
        <v>0</v>
      </c>
      <c r="AR118" s="311" t="str">
        <f>SUBSTITUTE(SUBSTITUTE(SUBSTITUTE("dnt"&amp;$B118&amp;$C118&amp;$D118&amp;$E118&amp;$F118,".","_"),"(","_"),")","")</f>
        <v>dnt901_8</v>
      </c>
      <c r="AS118" s="311">
        <f>X118</f>
        <v>0</v>
      </c>
    </row>
    <row r="119" spans="1:45" x14ac:dyDescent="0.3">
      <c r="B119" s="938">
        <v>901.8</v>
      </c>
      <c r="C119" s="21"/>
      <c r="D119" s="21"/>
      <c r="E119" s="21"/>
      <c r="F119" s="21"/>
      <c r="G119" s="21"/>
      <c r="H119" s="1084"/>
      <c r="I119" s="576"/>
      <c r="J119" s="140"/>
      <c r="K119" s="140"/>
      <c r="L119" s="1313"/>
      <c r="M119" s="1318"/>
      <c r="N119" s="140"/>
      <c r="O119" s="1308"/>
      <c r="P119" s="97"/>
      <c r="Q119" s="97"/>
      <c r="R119" s="97"/>
      <c r="S119" s="97"/>
      <c r="T119" s="97"/>
      <c r="U119" s="97"/>
      <c r="V119" s="97"/>
      <c r="W119" s="97"/>
      <c r="X119" s="1295"/>
    </row>
    <row r="120" spans="1:45" x14ac:dyDescent="0.3">
      <c r="B120" s="938">
        <v>901.8</v>
      </c>
      <c r="C120" s="21"/>
      <c r="D120" s="21"/>
      <c r="E120" s="21"/>
      <c r="F120" s="21"/>
      <c r="G120" s="21"/>
      <c r="H120" s="1084"/>
      <c r="I120" s="576"/>
      <c r="J120" s="140"/>
      <c r="K120" s="140"/>
      <c r="L120" s="1313"/>
      <c r="M120" s="1318"/>
      <c r="N120" s="140"/>
      <c r="O120" s="1308"/>
      <c r="P120" s="97"/>
      <c r="Q120" s="97"/>
      <c r="R120" s="97"/>
      <c r="S120" s="97"/>
      <c r="T120" s="97"/>
      <c r="U120" s="97"/>
      <c r="V120" s="97"/>
      <c r="W120" s="97"/>
      <c r="X120" s="1295"/>
    </row>
    <row r="121" spans="1:45" x14ac:dyDescent="0.3">
      <c r="B121" s="938">
        <v>901.8</v>
      </c>
      <c r="C121" s="21"/>
      <c r="D121" s="21"/>
      <c r="E121" s="21"/>
      <c r="F121" s="21"/>
      <c r="G121" s="21"/>
      <c r="H121" s="1084"/>
      <c r="I121" s="576"/>
      <c r="J121" s="140"/>
      <c r="K121" s="140"/>
      <c r="L121" s="1313"/>
      <c r="M121" s="1318"/>
      <c r="N121" s="140"/>
      <c r="O121" s="1308"/>
      <c r="P121" s="97"/>
      <c r="Q121" s="97"/>
      <c r="R121" s="97"/>
      <c r="S121" s="97"/>
      <c r="T121" s="97"/>
      <c r="U121" s="97"/>
      <c r="V121" s="97"/>
      <c r="W121" s="97"/>
      <c r="X121" s="1295"/>
    </row>
    <row r="122" spans="1:45" x14ac:dyDescent="0.3">
      <c r="B122" s="938">
        <v>901.8</v>
      </c>
      <c r="C122" s="21"/>
      <c r="D122" s="21"/>
      <c r="E122" s="21"/>
      <c r="F122" s="21"/>
      <c r="G122" s="21"/>
      <c r="H122" s="1084"/>
      <c r="I122" s="576"/>
      <c r="J122" s="140"/>
      <c r="K122" s="140"/>
      <c r="L122" s="1313"/>
      <c r="M122" s="1318"/>
      <c r="N122" s="140"/>
      <c r="O122" s="1308"/>
      <c r="P122" s="97"/>
      <c r="Q122" s="97"/>
      <c r="R122" s="97"/>
      <c r="S122" s="97"/>
      <c r="T122" s="97"/>
      <c r="U122" s="97"/>
      <c r="V122" s="97"/>
      <c r="W122" s="97"/>
      <c r="X122" s="1295"/>
    </row>
    <row r="123" spans="1:45" ht="15" thickBot="1" x14ac:dyDescent="0.35">
      <c r="B123" s="938">
        <v>901.8</v>
      </c>
      <c r="C123" s="21"/>
      <c r="D123" s="21"/>
      <c r="E123" s="21"/>
      <c r="F123" s="21"/>
      <c r="G123" s="21"/>
      <c r="H123" s="1084"/>
      <c r="I123" s="577"/>
      <c r="J123" s="270"/>
      <c r="K123" s="270"/>
      <c r="L123" s="1332"/>
      <c r="M123" s="1334"/>
      <c r="N123" s="270"/>
      <c r="O123" s="1315"/>
      <c r="P123" s="104"/>
      <c r="Q123" s="104"/>
      <c r="R123" s="104"/>
      <c r="S123" s="104"/>
      <c r="T123" s="104"/>
      <c r="U123" s="104"/>
      <c r="V123" s="104"/>
      <c r="W123" s="104"/>
      <c r="X123" s="1296"/>
    </row>
    <row r="124" spans="1:45" ht="15" thickTop="1" x14ac:dyDescent="0.3">
      <c r="B124" s="938">
        <v>901.9</v>
      </c>
      <c r="C124" s="21"/>
      <c r="D124" s="21"/>
      <c r="E124" s="21"/>
      <c r="F124" s="21"/>
      <c r="G124" s="21"/>
      <c r="H124" s="1084"/>
      <c r="I124" s="200">
        <v>901.9</v>
      </c>
      <c r="J124" s="201"/>
      <c r="K124" s="201"/>
      <c r="L124" s="1331" t="s">
        <v>3410</v>
      </c>
      <c r="M124" s="547"/>
      <c r="N124" s="201"/>
      <c r="O124" s="602"/>
      <c r="P124" s="110"/>
      <c r="Q124" s="110"/>
      <c r="R124" s="110"/>
      <c r="S124" s="110"/>
      <c r="T124" s="110"/>
      <c r="U124" s="110"/>
      <c r="V124" s="110"/>
      <c r="W124" s="110"/>
      <c r="X124" s="1303"/>
      <c r="AR124" s="311" t="str">
        <f>SUBSTITUTE(SUBSTITUTE(SUBSTITUTE("dnt"&amp;$B124&amp;$C124&amp;$D124&amp;$E124&amp;$F124,".","_"),"(","_"),")","")</f>
        <v>dnt901_9</v>
      </c>
      <c r="AS124" s="311">
        <f>X124</f>
        <v>0</v>
      </c>
    </row>
    <row r="125" spans="1:45" x14ac:dyDescent="0.3">
      <c r="B125" s="938">
        <v>901.9</v>
      </c>
      <c r="C125" s="21"/>
      <c r="D125" s="21"/>
      <c r="E125" s="21"/>
      <c r="F125" s="21"/>
      <c r="G125" s="21"/>
      <c r="H125" s="1084"/>
      <c r="I125" s="576"/>
      <c r="J125" s="140"/>
      <c r="K125" s="140"/>
      <c r="L125" s="1313"/>
      <c r="M125" s="548"/>
      <c r="N125" s="140"/>
      <c r="O125" s="598"/>
      <c r="P125" s="97"/>
      <c r="Q125" s="97"/>
      <c r="R125" s="97"/>
      <c r="S125" s="97"/>
      <c r="T125" s="97"/>
      <c r="U125" s="97"/>
      <c r="V125" s="97"/>
      <c r="W125" s="97"/>
      <c r="X125" s="1303"/>
    </row>
    <row r="126" spans="1:45" x14ac:dyDescent="0.3">
      <c r="B126" s="938">
        <v>901.9</v>
      </c>
      <c r="C126" s="21"/>
      <c r="D126" s="21"/>
      <c r="E126" s="21"/>
      <c r="F126" s="21"/>
      <c r="G126" s="21"/>
      <c r="H126" s="1084"/>
      <c r="I126" s="576"/>
      <c r="J126" s="140"/>
      <c r="K126" s="140"/>
      <c r="L126" s="1313"/>
      <c r="M126" s="548"/>
      <c r="N126" s="140"/>
      <c r="O126" s="598"/>
      <c r="P126" s="97"/>
      <c r="Q126" s="97"/>
      <c r="R126" s="97"/>
      <c r="S126" s="97"/>
      <c r="T126" s="97"/>
      <c r="U126" s="97"/>
      <c r="V126" s="97"/>
      <c r="W126" s="97"/>
      <c r="X126" s="1303"/>
    </row>
    <row r="127" spans="1:45" x14ac:dyDescent="0.3">
      <c r="B127" s="938" t="s">
        <v>3411</v>
      </c>
      <c r="C127" s="21"/>
      <c r="D127" s="21"/>
      <c r="E127" s="21"/>
      <c r="F127" s="21"/>
      <c r="G127" s="21"/>
      <c r="H127" s="1084"/>
      <c r="I127" s="66" t="s">
        <v>3411</v>
      </c>
      <c r="J127" s="4"/>
      <c r="K127" s="4"/>
      <c r="L127" s="1292" t="s">
        <v>3412</v>
      </c>
      <c r="M127" s="1335">
        <v>5</v>
      </c>
      <c r="N127" s="4"/>
      <c r="O127" s="1310">
        <f>M127*S129*IFERROR(OR(W129,W131,W132),0)</f>
        <v>5</v>
      </c>
      <c r="AL127" s="311" t="str">
        <f>SUBSTITUTE(SUBSTITUTE(SUBSTITUTE("dpa"&amp;$B127&amp;$C127&amp;$D127&amp;$E127&amp;$F127,".","_"),"(","_"),")","")</f>
        <v>dpa901_9_1</v>
      </c>
      <c r="AM127" s="311">
        <f>M127</f>
        <v>5</v>
      </c>
      <c r="AN127" s="311" t="str">
        <f>SUBSTITUTE(SUBSTITUTE(SUBSTITUTE("dpc"&amp;$B127&amp;$C127&amp;$D127&amp;$E127&amp;$F127,".","_"),"(","_"),")","")</f>
        <v>dpc901_9_1</v>
      </c>
      <c r="AO127" s="311">
        <f>O127</f>
        <v>5</v>
      </c>
    </row>
    <row r="128" spans="1:45" x14ac:dyDescent="0.3">
      <c r="B128" s="938" t="s">
        <v>3411</v>
      </c>
      <c r="C128" s="21"/>
      <c r="D128" s="21"/>
      <c r="E128" s="21"/>
      <c r="F128" s="21"/>
      <c r="G128" s="21"/>
      <c r="H128" s="1084"/>
      <c r="I128" s="182"/>
      <c r="J128" s="4"/>
      <c r="K128" s="4"/>
      <c r="L128" s="1292"/>
      <c r="M128" s="1335"/>
      <c r="N128" s="4"/>
      <c r="O128" s="1310"/>
    </row>
    <row r="129" spans="1:45" x14ac:dyDescent="0.3">
      <c r="B129" s="938" t="s">
        <v>3411</v>
      </c>
      <c r="C129" s="21"/>
      <c r="D129" s="21"/>
      <c r="E129" s="21" t="s">
        <v>271</v>
      </c>
      <c r="F129" s="21"/>
      <c r="G129" s="21"/>
      <c r="H129" s="1084"/>
      <c r="I129" s="182"/>
      <c r="J129" s="203" t="s">
        <v>271</v>
      </c>
      <c r="K129" s="140"/>
      <c r="L129" s="1305" t="s">
        <v>3413</v>
      </c>
      <c r="M129" s="522"/>
      <c r="N129" s="4"/>
      <c r="O129" s="154"/>
      <c r="P129" s="97" t="b">
        <v>0</v>
      </c>
      <c r="Q129" s="97" t="b">
        <v>1</v>
      </c>
      <c r="R129" s="480" t="b">
        <v>0</v>
      </c>
      <c r="S129" s="480" t="b">
        <f>NOT(W139)</f>
        <v>1</v>
      </c>
      <c r="T129" s="97" t="b">
        <f>AND(NOT(S129),W129=TRUE)</f>
        <v>0</v>
      </c>
      <c r="W129" s="25"/>
      <c r="X129" s="1303"/>
      <c r="AC129" s="488" t="b">
        <f>OR(AD129:AE129)</f>
        <v>0</v>
      </c>
      <c r="AD129" s="488" t="b">
        <f>T129</f>
        <v>0</v>
      </c>
      <c r="AE129" s="488" t="b">
        <f>AND(R129,NOT(W129))</f>
        <v>0</v>
      </c>
      <c r="AP129" s="311" t="str">
        <f>SUBSTITUTE(SUBSTITUTE(SUBSTITUTE("dch"&amp;$B129&amp;$C129&amp;$D129&amp;$E129&amp;$F129,".","_"),"(","_"),")","")</f>
        <v>dch901_9_1_1</v>
      </c>
      <c r="AQ129" s="311">
        <f>W129</f>
        <v>0</v>
      </c>
      <c r="AR129" s="311" t="str">
        <f>SUBSTITUTE(SUBSTITUTE(SUBSTITUTE("dnt"&amp;$B129&amp;$C129&amp;$D129&amp;$E129&amp;$F129,".","_"),"(","_"),")","")</f>
        <v>dnt901_9_1_1</v>
      </c>
      <c r="AS129" s="311">
        <f>X129</f>
        <v>0</v>
      </c>
    </row>
    <row r="130" spans="1:45" x14ac:dyDescent="0.3">
      <c r="B130" s="938" t="s">
        <v>3411</v>
      </c>
      <c r="C130" s="21"/>
      <c r="D130" s="21"/>
      <c r="E130" s="21" t="s">
        <v>271</v>
      </c>
      <c r="F130" s="21"/>
      <c r="G130" s="21"/>
      <c r="H130" s="1084"/>
      <c r="I130" s="182"/>
      <c r="J130" s="238"/>
      <c r="K130" s="238"/>
      <c r="L130" s="1306"/>
      <c r="M130" s="522"/>
      <c r="N130" s="4"/>
      <c r="O130" s="154"/>
      <c r="X130" s="1303"/>
    </row>
    <row r="131" spans="1:45" x14ac:dyDescent="0.3">
      <c r="B131" s="938" t="s">
        <v>3411</v>
      </c>
      <c r="C131" s="21"/>
      <c r="D131" s="21"/>
      <c r="E131" s="21" t="s">
        <v>273</v>
      </c>
      <c r="F131" s="21"/>
      <c r="G131" s="21"/>
      <c r="H131" s="1084"/>
      <c r="I131" s="182"/>
      <c r="J131" s="231" t="s">
        <v>273</v>
      </c>
      <c r="K131" s="238"/>
      <c r="L131" s="516" t="s">
        <v>3414</v>
      </c>
      <c r="M131" s="522"/>
      <c r="N131" s="4"/>
      <c r="O131" s="154"/>
      <c r="P131" s="97" t="b">
        <v>0</v>
      </c>
      <c r="Q131" s="97" t="b">
        <v>1</v>
      </c>
      <c r="R131" s="480" t="b">
        <v>0</v>
      </c>
      <c r="S131" s="486" t="b">
        <f>NOT(W139)</f>
        <v>1</v>
      </c>
      <c r="T131" s="97" t="b">
        <f>AND(NOT(S131),W131=TRUE)</f>
        <v>0</v>
      </c>
      <c r="W131" s="25"/>
      <c r="X131" s="512"/>
      <c r="AC131" s="488" t="b">
        <f>OR(AD131:AE131)</f>
        <v>0</v>
      </c>
      <c r="AD131" s="488" t="b">
        <f>T131</f>
        <v>0</v>
      </c>
      <c r="AE131" s="488" t="b">
        <f>AND(R131,NOT(W131))</f>
        <v>0</v>
      </c>
      <c r="AP131" s="311" t="str">
        <f t="shared" ref="AP131:AP132" si="2">SUBSTITUTE(SUBSTITUTE(SUBSTITUTE("dch"&amp;$B131&amp;$C131&amp;$D131&amp;$E131&amp;$F131,".","_"),"(","_"),")","")</f>
        <v>dch901_9_1_2</v>
      </c>
      <c r="AQ131" s="311">
        <f>W131</f>
        <v>0</v>
      </c>
      <c r="AR131" s="311" t="str">
        <f t="shared" ref="AR131:AR132" si="3">SUBSTITUTE(SUBSTITUTE(SUBSTITUTE("dnt"&amp;$B131&amp;$C131&amp;$D131&amp;$E131&amp;$F131,".","_"),"(","_"),")","")</f>
        <v>dnt901_9_1_2</v>
      </c>
      <c r="AS131" s="311">
        <f>X131</f>
        <v>0</v>
      </c>
    </row>
    <row r="132" spans="1:45" x14ac:dyDescent="0.3">
      <c r="B132" s="938" t="s">
        <v>3411</v>
      </c>
      <c r="C132" s="21"/>
      <c r="D132" s="21"/>
      <c r="E132" s="21" t="s">
        <v>275</v>
      </c>
      <c r="F132" s="21"/>
      <c r="G132" s="21"/>
      <c r="H132" s="1084"/>
      <c r="I132" s="576"/>
      <c r="J132" s="203" t="s">
        <v>275</v>
      </c>
      <c r="K132" s="140"/>
      <c r="L132" s="544" t="s">
        <v>3415</v>
      </c>
      <c r="M132" s="548"/>
      <c r="N132" s="140"/>
      <c r="O132" s="598"/>
      <c r="P132" s="97" t="b">
        <v>0</v>
      </c>
      <c r="Q132" s="97" t="b">
        <v>1</v>
      </c>
      <c r="R132" s="97" t="b">
        <v>0</v>
      </c>
      <c r="S132" s="97" t="b">
        <f>NOT(W139)</f>
        <v>1</v>
      </c>
      <c r="T132" s="97" t="b">
        <f>AND(NOT(S132),W132=TRUE)</f>
        <v>0</v>
      </c>
      <c r="U132" s="97"/>
      <c r="V132" s="97"/>
      <c r="W132" s="452" t="b">
        <v>1</v>
      </c>
      <c r="X132" s="1295" t="s">
        <v>4806</v>
      </c>
      <c r="AC132" s="488" t="b">
        <f>OR(AD132:AE132)</f>
        <v>0</v>
      </c>
      <c r="AD132" s="488" t="b">
        <f>T132</f>
        <v>0</v>
      </c>
      <c r="AE132" s="488" t="b">
        <f>AND(R132,NOT(W132))</f>
        <v>0</v>
      </c>
      <c r="AP132" s="311" t="str">
        <f t="shared" si="2"/>
        <v>dch901_9_1_3</v>
      </c>
      <c r="AQ132" s="311" t="b">
        <f>W132</f>
        <v>1</v>
      </c>
      <c r="AR132" s="311" t="str">
        <f t="shared" si="3"/>
        <v>dnt901_9_1_3</v>
      </c>
      <c r="AS132" s="311" t="str">
        <f>X132</f>
        <v>ZERH Requirement - Indoor airPLUS, Section 6.2 Interior Paints and Finishes</v>
      </c>
    </row>
    <row r="133" spans="1:45" x14ac:dyDescent="0.3">
      <c r="B133" s="938" t="s">
        <v>3411</v>
      </c>
      <c r="C133" s="21"/>
      <c r="D133" s="21"/>
      <c r="E133" s="21" t="s">
        <v>275</v>
      </c>
      <c r="H133" s="1086"/>
      <c r="I133" s="196"/>
      <c r="J133" s="196"/>
      <c r="K133" s="196"/>
      <c r="L133" s="623" t="s">
        <v>3931</v>
      </c>
      <c r="M133" s="238"/>
      <c r="N133" s="238"/>
      <c r="O133" s="238"/>
      <c r="P133" s="196"/>
      <c r="Q133" s="196"/>
      <c r="R133" s="196"/>
      <c r="S133" s="196"/>
      <c r="T133" s="196"/>
      <c r="U133" s="196"/>
      <c r="V133" s="196"/>
      <c r="W133" s="196"/>
      <c r="X133" s="1295"/>
      <c r="Z133"/>
      <c r="AB133"/>
      <c r="AC133"/>
      <c r="AD133"/>
      <c r="AE133"/>
      <c r="AF133"/>
      <c r="AG133"/>
      <c r="AH133"/>
      <c r="AI133"/>
      <c r="AJ133"/>
      <c r="AK133"/>
      <c r="AL133"/>
      <c r="AM133"/>
      <c r="AN133"/>
      <c r="AO133"/>
    </row>
    <row r="134" spans="1:45" x14ac:dyDescent="0.3">
      <c r="B134" s="938" t="s">
        <v>3416</v>
      </c>
      <c r="C134" s="21"/>
      <c r="D134" s="21"/>
      <c r="E134" s="21"/>
      <c r="F134" s="21"/>
      <c r="G134" s="21"/>
      <c r="H134" s="1084"/>
      <c r="I134" s="215" t="s">
        <v>3416</v>
      </c>
      <c r="J134" s="216"/>
      <c r="K134" s="216"/>
      <c r="L134" s="1364" t="s">
        <v>3417</v>
      </c>
      <c r="M134" s="1323">
        <v>1</v>
      </c>
      <c r="N134" s="216"/>
      <c r="O134" s="1324">
        <f>M134*S134*W134</f>
        <v>0</v>
      </c>
      <c r="P134" s="97" t="b">
        <v>0</v>
      </c>
      <c r="Q134" s="97" t="b">
        <v>1</v>
      </c>
      <c r="R134" s="218" t="b">
        <v>0</v>
      </c>
      <c r="S134" s="218" t="b">
        <f>IFERROR(OR(AND(W129,W131,W132),W139),FALSE)</f>
        <v>1</v>
      </c>
      <c r="T134" s="218" t="b">
        <f>AND(NOT(S134),W134=TRUE)</f>
        <v>0</v>
      </c>
      <c r="U134" s="218"/>
      <c r="V134" s="218"/>
      <c r="W134" s="452"/>
      <c r="X134" s="1295"/>
      <c r="AC134" s="488" t="b">
        <f>OR(AD134:AE134)</f>
        <v>0</v>
      </c>
      <c r="AD134" s="488" t="b">
        <f>T134</f>
        <v>0</v>
      </c>
      <c r="AE134" s="488" t="b">
        <f>AND(R134,NOT(W134))</f>
        <v>0</v>
      </c>
      <c r="AL134" s="311" t="str">
        <f>SUBSTITUTE(SUBSTITUTE(SUBSTITUTE("dpa"&amp;$B134&amp;$C134&amp;$D134&amp;$E134&amp;$F134,".","_"),"(","_"),")","")</f>
        <v>dpa901_9_2</v>
      </c>
      <c r="AM134" s="311">
        <f>M134</f>
        <v>1</v>
      </c>
      <c r="AN134" s="311" t="str">
        <f>SUBSTITUTE(SUBSTITUTE(SUBSTITUTE("dpc"&amp;$B134&amp;$C134&amp;$D134&amp;$E134&amp;$F134,".","_"),"(","_"),")","")</f>
        <v>dpc901_9_2</v>
      </c>
      <c r="AO134" s="311">
        <f>O134</f>
        <v>0</v>
      </c>
      <c r="AP134" s="311" t="str">
        <f>SUBSTITUTE(SUBSTITUTE(SUBSTITUTE("dch"&amp;$B134&amp;$C134&amp;$D134&amp;$E134&amp;$F134,".","_"),"(","_"),")","")</f>
        <v>dch901_9_2</v>
      </c>
      <c r="AQ134" s="311">
        <f>W134</f>
        <v>0</v>
      </c>
      <c r="AR134" s="311" t="str">
        <f>SUBSTITUTE(SUBSTITUTE(SUBSTITUTE("dnt"&amp;$B134&amp;$C134&amp;$D134&amp;$E134&amp;$F134,".","_"),"(","_"),")","")</f>
        <v>dnt901_9_2</v>
      </c>
      <c r="AS134" s="311">
        <f>X134</f>
        <v>0</v>
      </c>
    </row>
    <row r="135" spans="1:45" customFormat="1" x14ac:dyDescent="0.3">
      <c r="A135" s="18"/>
      <c r="B135" s="938" t="s">
        <v>3416</v>
      </c>
      <c r="C135" s="21"/>
      <c r="D135" s="21"/>
      <c r="E135" s="21"/>
      <c r="F135" s="21"/>
      <c r="G135" s="21"/>
      <c r="H135" s="1084"/>
      <c r="I135" s="576"/>
      <c r="J135" s="140"/>
      <c r="K135" s="140"/>
      <c r="L135" s="1313"/>
      <c r="M135" s="1318"/>
      <c r="N135" s="140"/>
      <c r="O135" s="1308"/>
      <c r="P135" s="97"/>
      <c r="Q135" s="97"/>
      <c r="R135" s="97"/>
      <c r="S135" s="97"/>
      <c r="T135" s="97"/>
      <c r="U135" s="97"/>
      <c r="V135" s="97"/>
      <c r="W135" s="97"/>
      <c r="X135" s="1295"/>
      <c r="Y135" s="1107"/>
      <c r="Z135" s="79"/>
      <c r="AA135" s="1110"/>
      <c r="AB135" s="79"/>
      <c r="AC135" s="79"/>
      <c r="AD135" s="79"/>
      <c r="AE135" s="79"/>
      <c r="AF135" s="79"/>
      <c r="AG135" s="79"/>
      <c r="AH135" s="79"/>
      <c r="AI135" s="79"/>
      <c r="AJ135" s="79"/>
      <c r="AK135" s="79"/>
      <c r="AL135" s="79"/>
      <c r="AM135" s="79"/>
      <c r="AN135" s="79"/>
      <c r="AO135" s="79"/>
    </row>
    <row r="136" spans="1:45" x14ac:dyDescent="0.3">
      <c r="B136" s="938" t="s">
        <v>3416</v>
      </c>
      <c r="C136" s="21"/>
      <c r="D136" s="21"/>
      <c r="E136" s="21"/>
      <c r="F136" s="21"/>
      <c r="G136" s="21"/>
      <c r="H136" s="1084"/>
      <c r="I136" s="576"/>
      <c r="J136" s="140"/>
      <c r="K136" s="140"/>
      <c r="L136" s="1434" t="s">
        <v>3418</v>
      </c>
      <c r="M136" s="1318"/>
      <c r="N136" s="140"/>
      <c r="O136" s="1308"/>
      <c r="P136" s="97"/>
      <c r="Q136" s="97"/>
      <c r="R136" s="97"/>
      <c r="S136" s="97"/>
      <c r="T136" s="97"/>
      <c r="U136" s="97"/>
      <c r="V136" s="97"/>
      <c r="W136" s="97"/>
      <c r="X136" s="1295"/>
    </row>
    <row r="137" spans="1:45" x14ac:dyDescent="0.3">
      <c r="B137" s="938" t="s">
        <v>3416</v>
      </c>
      <c r="C137" s="21"/>
      <c r="D137" s="21"/>
      <c r="E137" s="21"/>
      <c r="F137" s="21"/>
      <c r="G137" s="21"/>
      <c r="H137" s="1084"/>
      <c r="I137" s="576"/>
      <c r="J137" s="140"/>
      <c r="K137" s="140"/>
      <c r="L137" s="1434"/>
      <c r="M137" s="1318"/>
      <c r="N137" s="140"/>
      <c r="O137" s="1308"/>
      <c r="P137" s="97"/>
      <c r="Q137" s="97"/>
      <c r="R137" s="97"/>
      <c r="S137" s="97"/>
      <c r="T137" s="97"/>
      <c r="U137" s="97"/>
      <c r="V137" s="97"/>
      <c r="W137" s="97"/>
      <c r="X137" s="1295"/>
    </row>
    <row r="138" spans="1:45" x14ac:dyDescent="0.3">
      <c r="B138" s="938" t="s">
        <v>3416</v>
      </c>
      <c r="C138" s="21"/>
      <c r="D138" s="21"/>
      <c r="E138" s="21"/>
      <c r="F138" s="21"/>
      <c r="G138" s="21"/>
      <c r="H138" s="1084"/>
      <c r="I138" s="620"/>
      <c r="J138" s="238"/>
      <c r="K138" s="238"/>
      <c r="L138" s="623" t="s">
        <v>4026</v>
      </c>
      <c r="M138" s="549"/>
      <c r="N138" s="238"/>
      <c r="O138" s="599"/>
      <c r="P138" s="196"/>
      <c r="Q138" s="196"/>
      <c r="R138" s="196"/>
      <c r="S138" s="196"/>
      <c r="T138" s="196"/>
      <c r="U138" s="196"/>
      <c r="V138" s="196"/>
      <c r="W138" s="196"/>
      <c r="X138" s="1295"/>
      <c r="Z138" s="486"/>
      <c r="AB138" s="486"/>
      <c r="AC138" s="486"/>
      <c r="AD138" s="486"/>
      <c r="AE138" s="486"/>
      <c r="AF138" s="486"/>
      <c r="AG138" s="486"/>
      <c r="AH138" s="486"/>
      <c r="AI138" s="486"/>
      <c r="AJ138" s="486"/>
      <c r="AK138" s="486"/>
      <c r="AL138" s="486"/>
      <c r="AM138" s="486"/>
      <c r="AN138" s="486"/>
      <c r="AO138" s="486"/>
    </row>
    <row r="139" spans="1:45" x14ac:dyDescent="0.3">
      <c r="B139" s="938" t="s">
        <v>3419</v>
      </c>
      <c r="C139" s="21"/>
      <c r="D139" s="21"/>
      <c r="E139" s="21"/>
      <c r="F139" s="21"/>
      <c r="G139" s="21"/>
      <c r="H139" s="1084"/>
      <c r="I139" s="141" t="s">
        <v>3419</v>
      </c>
      <c r="J139" s="140"/>
      <c r="K139" s="140"/>
      <c r="L139" s="1313" t="s">
        <v>3420</v>
      </c>
      <c r="M139" s="1318">
        <v>8</v>
      </c>
      <c r="N139" s="140"/>
      <c r="O139" s="1308">
        <f>M139*S139*W139</f>
        <v>0</v>
      </c>
      <c r="P139" s="97" t="b">
        <v>0</v>
      </c>
      <c r="Q139" s="97" t="b">
        <v>1</v>
      </c>
      <c r="R139" s="97" t="b">
        <v>0</v>
      </c>
      <c r="S139" s="97" t="b">
        <f>AND(NOT(W129),NOT(W131),NOT(W132))</f>
        <v>0</v>
      </c>
      <c r="T139" s="97" t="b">
        <f>AND(NOT(S139),W139=TRUE)</f>
        <v>0</v>
      </c>
      <c r="U139" s="97"/>
      <c r="V139" s="97"/>
      <c r="W139" s="127"/>
      <c r="X139" s="1304"/>
      <c r="AC139" s="488" t="b">
        <f>OR(AD139:AE139)</f>
        <v>0</v>
      </c>
      <c r="AD139" s="488" t="b">
        <f>T139</f>
        <v>0</v>
      </c>
      <c r="AE139" s="488" t="b">
        <f>AND(R139,NOT(W139))</f>
        <v>0</v>
      </c>
      <c r="AL139" s="311" t="str">
        <f>SUBSTITUTE(SUBSTITUTE(SUBSTITUTE("dpa"&amp;$B139&amp;$C139&amp;$D139&amp;$E139&amp;$F139,".","_"),"(","_"),")","")</f>
        <v>dpa901_9_3</v>
      </c>
      <c r="AM139" s="311">
        <f>M139</f>
        <v>8</v>
      </c>
      <c r="AN139" s="311" t="str">
        <f>SUBSTITUTE(SUBSTITUTE(SUBSTITUTE("dpc"&amp;$B139&amp;$C139&amp;$D139&amp;$E139&amp;$F139,".","_"),"(","_"),")","")</f>
        <v>dpc901_9_3</v>
      </c>
      <c r="AO139" s="311">
        <f>O139</f>
        <v>0</v>
      </c>
      <c r="AP139" s="311" t="str">
        <f>SUBSTITUTE(SUBSTITUTE(SUBSTITUTE("dch"&amp;$B139&amp;$C139&amp;$D139&amp;$E139&amp;$F139,".","_"),"(","_"),")","")</f>
        <v>dch901_9_3</v>
      </c>
      <c r="AQ139" s="311">
        <f>W139</f>
        <v>0</v>
      </c>
      <c r="AR139" s="311" t="str">
        <f>SUBSTITUTE(SUBSTITUTE(SUBSTITUTE("dnt"&amp;$B139&amp;$C139&amp;$D139&amp;$E139&amp;$F139,".","_"),"(","_"),")","")</f>
        <v>dnt901_9_3</v>
      </c>
      <c r="AS139" s="311">
        <f>X139</f>
        <v>0</v>
      </c>
    </row>
    <row r="140" spans="1:45" s="486" customFormat="1" x14ac:dyDescent="0.3">
      <c r="A140" s="18"/>
      <c r="B140" s="938" t="s">
        <v>3419</v>
      </c>
      <c r="C140" s="21"/>
      <c r="D140" s="21"/>
      <c r="E140" s="21"/>
      <c r="F140" s="21"/>
      <c r="G140" s="21"/>
      <c r="H140" s="1084"/>
      <c r="I140" s="576"/>
      <c r="J140" s="140"/>
      <c r="K140" s="140"/>
      <c r="L140" s="1313"/>
      <c r="M140" s="1318"/>
      <c r="N140" s="140"/>
      <c r="O140" s="1308"/>
      <c r="P140" s="97"/>
      <c r="Q140" s="97"/>
      <c r="R140" s="97"/>
      <c r="S140" s="97"/>
      <c r="T140" s="97"/>
      <c r="U140" s="97"/>
      <c r="V140" s="97"/>
      <c r="W140" s="97"/>
      <c r="X140" s="1295"/>
      <c r="Y140" s="1107"/>
      <c r="Z140" s="79"/>
      <c r="AA140" s="1110"/>
      <c r="AB140" s="79"/>
      <c r="AC140" s="79"/>
      <c r="AD140" s="79"/>
      <c r="AE140" s="79"/>
      <c r="AF140" s="79"/>
      <c r="AG140" s="79"/>
      <c r="AH140" s="79"/>
      <c r="AI140" s="79"/>
      <c r="AJ140" s="79"/>
      <c r="AK140" s="79"/>
      <c r="AL140" s="79"/>
      <c r="AM140" s="79"/>
      <c r="AN140" s="79"/>
      <c r="AO140" s="79"/>
    </row>
    <row r="141" spans="1:45" x14ac:dyDescent="0.3">
      <c r="B141" s="938" t="s">
        <v>3419</v>
      </c>
      <c r="C141" s="21"/>
      <c r="D141" s="21"/>
      <c r="E141" s="21"/>
      <c r="F141" s="21"/>
      <c r="G141" s="21"/>
      <c r="H141" s="1084"/>
      <c r="I141" s="576"/>
      <c r="J141" s="140"/>
      <c r="K141" s="140"/>
      <c r="L141" s="1313"/>
      <c r="M141" s="1318"/>
      <c r="N141" s="140"/>
      <c r="O141" s="1308"/>
      <c r="P141" s="97"/>
      <c r="Q141" s="97"/>
      <c r="R141" s="97"/>
      <c r="S141" s="97"/>
      <c r="T141" s="97"/>
      <c r="U141" s="97"/>
      <c r="V141" s="97"/>
      <c r="W141" s="97"/>
      <c r="X141" s="1295"/>
    </row>
    <row r="142" spans="1:45" x14ac:dyDescent="0.3">
      <c r="B142" s="938" t="s">
        <v>3419</v>
      </c>
      <c r="C142" s="21"/>
      <c r="D142" s="21"/>
      <c r="E142" s="21"/>
      <c r="F142" s="21"/>
      <c r="G142" s="21"/>
      <c r="H142" s="1084"/>
      <c r="I142" s="576"/>
      <c r="J142" s="140"/>
      <c r="K142" s="140"/>
      <c r="L142" s="1313"/>
      <c r="M142" s="1318"/>
      <c r="N142" s="140"/>
      <c r="O142" s="1308"/>
      <c r="P142" s="97"/>
      <c r="Q142" s="97"/>
      <c r="R142" s="97"/>
      <c r="S142" s="97"/>
      <c r="T142" s="97"/>
      <c r="U142" s="97"/>
      <c r="V142" s="97"/>
      <c r="W142" s="97"/>
      <c r="X142" s="1295"/>
    </row>
    <row r="143" spans="1:45" x14ac:dyDescent="0.3">
      <c r="B143" s="938" t="s">
        <v>3419</v>
      </c>
      <c r="C143" s="21"/>
      <c r="D143" s="21"/>
      <c r="E143" s="21"/>
      <c r="F143" s="21"/>
      <c r="G143" s="21"/>
      <c r="H143" s="1084"/>
      <c r="I143" s="576"/>
      <c r="J143" s="140"/>
      <c r="K143" s="140"/>
      <c r="L143" s="1313"/>
      <c r="M143" s="1318"/>
      <c r="N143" s="140"/>
      <c r="O143" s="1308"/>
      <c r="P143" s="97"/>
      <c r="Q143" s="97"/>
      <c r="R143" s="97"/>
      <c r="S143" s="97"/>
      <c r="T143" s="97"/>
      <c r="U143" s="97"/>
      <c r="V143" s="97"/>
      <c r="W143" s="97"/>
      <c r="X143" s="1295"/>
    </row>
    <row r="144" spans="1:45" ht="15" thickBot="1" x14ac:dyDescent="0.35">
      <c r="B144" s="938" t="s">
        <v>3419</v>
      </c>
      <c r="C144" s="21"/>
      <c r="D144" s="21"/>
      <c r="E144" s="21"/>
      <c r="F144" s="21"/>
      <c r="G144" s="21"/>
      <c r="H144" s="1084"/>
      <c r="I144" s="577"/>
      <c r="J144" s="270"/>
      <c r="K144" s="270"/>
      <c r="L144" s="1332"/>
      <c r="M144" s="1334"/>
      <c r="N144" s="270"/>
      <c r="O144" s="1315"/>
      <c r="P144" s="104"/>
      <c r="Q144" s="104"/>
      <c r="R144" s="104"/>
      <c r="S144" s="104"/>
      <c r="T144" s="104"/>
      <c r="U144" s="104"/>
      <c r="V144" s="104"/>
      <c r="W144" s="104"/>
      <c r="X144" s="1296"/>
    </row>
    <row r="145" spans="1:45" ht="15" thickTop="1" x14ac:dyDescent="0.3">
      <c r="B145" s="1066" t="s">
        <v>4385</v>
      </c>
      <c r="C145" s="21"/>
      <c r="D145" s="21"/>
      <c r="E145" s="21"/>
      <c r="F145" s="21"/>
      <c r="G145" s="21"/>
      <c r="H145" s="1084"/>
      <c r="I145" s="252">
        <v>901.1</v>
      </c>
      <c r="J145" s="4"/>
      <c r="K145" s="4"/>
      <c r="L145" s="1292" t="s">
        <v>3421</v>
      </c>
      <c r="M145" s="522"/>
      <c r="N145" s="4"/>
      <c r="O145" s="1310">
        <f>IF(W154=TRUE,5,IF(W153=TRUE,5,IF(W148=TRUE,8,0)))*S148</f>
        <v>0</v>
      </c>
      <c r="AN145" s="311" t="str">
        <f>SUBSTITUTE(SUBSTITUTE(SUBSTITUTE("dpc"&amp;$B145&amp;$C145&amp;$D145&amp;$E145&amp;$F145,".","_"),"(","_"),")","")</f>
        <v>dpc901_10</v>
      </c>
      <c r="AO145" s="311">
        <f>O145</f>
        <v>0</v>
      </c>
    </row>
    <row r="146" spans="1:45" x14ac:dyDescent="0.3">
      <c r="B146" s="1066" t="s">
        <v>4385</v>
      </c>
      <c r="C146" s="21"/>
      <c r="D146" s="21"/>
      <c r="E146" s="21"/>
      <c r="F146" s="21"/>
      <c r="G146" s="21"/>
      <c r="H146" s="1084"/>
      <c r="I146" s="182"/>
      <c r="J146" s="4"/>
      <c r="K146" s="4"/>
      <c r="L146" s="1292"/>
      <c r="M146" s="522"/>
      <c r="N146" s="4"/>
      <c r="O146" s="1310"/>
    </row>
    <row r="147" spans="1:45" x14ac:dyDescent="0.3">
      <c r="B147" s="1066" t="s">
        <v>4385</v>
      </c>
      <c r="C147" s="21"/>
      <c r="D147" s="21"/>
      <c r="E147" s="21"/>
      <c r="F147" s="21"/>
      <c r="G147" s="21"/>
      <c r="H147" s="1084"/>
      <c r="I147" s="182"/>
      <c r="J147" s="4"/>
      <c r="K147" s="4"/>
      <c r="L147" s="1292"/>
      <c r="M147" s="522"/>
      <c r="N147" s="4"/>
      <c r="O147" s="1310"/>
    </row>
    <row r="148" spans="1:45" x14ac:dyDescent="0.3">
      <c r="B148" s="1066" t="s">
        <v>4385</v>
      </c>
      <c r="C148" s="21"/>
      <c r="D148" s="21"/>
      <c r="E148" s="21" t="s">
        <v>271</v>
      </c>
      <c r="F148" s="21"/>
      <c r="G148" s="21"/>
      <c r="H148" s="1084"/>
      <c r="I148" s="182"/>
      <c r="J148" s="203" t="s">
        <v>271</v>
      </c>
      <c r="K148" s="140"/>
      <c r="L148" s="1305" t="s">
        <v>3422</v>
      </c>
      <c r="M148" s="1318">
        <v>8</v>
      </c>
      <c r="N148" s="4"/>
      <c r="O148" s="154"/>
      <c r="P148" s="97" t="b">
        <v>0</v>
      </c>
      <c r="Q148" s="97" t="b">
        <v>1</v>
      </c>
      <c r="R148" s="480" t="b">
        <v>0</v>
      </c>
      <c r="S148" s="480" t="b">
        <v>1</v>
      </c>
      <c r="T148" s="480" t="b">
        <v>0</v>
      </c>
      <c r="W148" s="25"/>
      <c r="X148" s="1303"/>
      <c r="AC148" s="488" t="b">
        <f>OR(AD148:AE148)</f>
        <v>0</v>
      </c>
      <c r="AD148" s="488" t="b">
        <f>T148</f>
        <v>0</v>
      </c>
      <c r="AE148" s="488" t="b">
        <f>AND(R148,NOT(W148))</f>
        <v>0</v>
      </c>
      <c r="AL148" s="311" t="str">
        <f>SUBSTITUTE(SUBSTITUTE(SUBSTITUTE("dpa"&amp;$B148&amp;$C148&amp;$D148&amp;$E148&amp;$F148,".","_"),"(","_"),")","")</f>
        <v>dpa901_10_1</v>
      </c>
      <c r="AM148" s="311">
        <f>M148</f>
        <v>8</v>
      </c>
      <c r="AP148" s="311" t="str">
        <f>SUBSTITUTE(SUBSTITUTE(SUBSTITUTE("dch"&amp;$B148&amp;$C148&amp;$D148&amp;$E148&amp;$F148,".","_"),"(","_"),")","")</f>
        <v>dch901_10_1</v>
      </c>
      <c r="AQ148" s="311">
        <f>W148</f>
        <v>0</v>
      </c>
      <c r="AR148" s="311" t="str">
        <f>SUBSTITUTE(SUBSTITUTE(SUBSTITUTE("dnt"&amp;$B148&amp;$C148&amp;$D148&amp;$E148&amp;$F148,".","_"),"(","_"),")","")</f>
        <v>dnt901_10_1</v>
      </c>
      <c r="AS148" s="311">
        <f>X148</f>
        <v>0</v>
      </c>
    </row>
    <row r="149" spans="1:45" x14ac:dyDescent="0.3">
      <c r="B149" s="1066" t="s">
        <v>4385</v>
      </c>
      <c r="C149" s="21"/>
      <c r="D149" s="21"/>
      <c r="E149" s="21" t="s">
        <v>271</v>
      </c>
      <c r="F149" s="21"/>
      <c r="G149" s="21"/>
      <c r="H149" s="1084"/>
      <c r="I149" s="182"/>
      <c r="J149" s="140"/>
      <c r="K149" s="140"/>
      <c r="L149" s="1305"/>
      <c r="M149" s="1318"/>
      <c r="N149" s="4"/>
      <c r="O149" s="154"/>
      <c r="R149"/>
      <c r="S149"/>
      <c r="T149"/>
      <c r="X149" s="1303"/>
    </row>
    <row r="150" spans="1:45" x14ac:dyDescent="0.3">
      <c r="B150" s="1066" t="s">
        <v>4385</v>
      </c>
      <c r="C150" s="21"/>
      <c r="D150" s="21"/>
      <c r="E150" s="21" t="s">
        <v>271</v>
      </c>
      <c r="F150" s="21"/>
      <c r="G150" s="21"/>
      <c r="H150" s="1084"/>
      <c r="I150" s="182"/>
      <c r="J150" s="140"/>
      <c r="K150" s="140"/>
      <c r="L150" s="1305"/>
      <c r="M150" s="1318"/>
      <c r="N150" s="4"/>
      <c r="O150" s="154"/>
      <c r="X150" s="1303"/>
    </row>
    <row r="151" spans="1:45" x14ac:dyDescent="0.3">
      <c r="B151" s="1066" t="s">
        <v>4385</v>
      </c>
      <c r="C151" s="21"/>
      <c r="D151" s="21"/>
      <c r="E151" s="21" t="s">
        <v>271</v>
      </c>
      <c r="F151" s="21"/>
      <c r="G151" s="21"/>
      <c r="H151" s="1084"/>
      <c r="I151" s="182"/>
      <c r="J151" s="140"/>
      <c r="K151" s="140"/>
      <c r="L151" s="1305"/>
      <c r="M151" s="1318"/>
      <c r="N151" s="4"/>
      <c r="O151" s="154"/>
      <c r="X151" s="1303"/>
    </row>
    <row r="152" spans="1:45" x14ac:dyDescent="0.3">
      <c r="B152" s="1066" t="s">
        <v>4385</v>
      </c>
      <c r="C152" s="21"/>
      <c r="D152" s="21"/>
      <c r="E152" s="21" t="s">
        <v>271</v>
      </c>
      <c r="F152" s="21"/>
      <c r="G152" s="21"/>
      <c r="H152" s="1084"/>
      <c r="I152" s="182"/>
      <c r="J152" s="238"/>
      <c r="K152" s="238"/>
      <c r="L152" s="1306"/>
      <c r="M152" s="1319"/>
      <c r="N152" s="4"/>
      <c r="O152" s="154"/>
      <c r="X152" s="1303"/>
    </row>
    <row r="153" spans="1:45" x14ac:dyDescent="0.3">
      <c r="B153" s="1066" t="s">
        <v>4385</v>
      </c>
      <c r="C153" s="21"/>
      <c r="D153" s="21"/>
      <c r="E153" s="21" t="s">
        <v>273</v>
      </c>
      <c r="F153" s="21"/>
      <c r="G153" s="21"/>
      <c r="H153" s="1084"/>
      <c r="I153" s="182"/>
      <c r="J153" s="231" t="s">
        <v>273</v>
      </c>
      <c r="K153" s="238"/>
      <c r="L153" s="516" t="s">
        <v>3423</v>
      </c>
      <c r="M153" s="520">
        <v>5</v>
      </c>
      <c r="N153" s="4"/>
      <c r="O153" s="154"/>
      <c r="P153" s="97" t="b">
        <v>0</v>
      </c>
      <c r="Q153" s="97" t="b">
        <v>1</v>
      </c>
      <c r="R153" s="480" t="b">
        <v>0</v>
      </c>
      <c r="S153" s="480" t="b">
        <v>1</v>
      </c>
      <c r="T153" s="480" t="b">
        <v>0</v>
      </c>
      <c r="W153" s="25"/>
      <c r="X153" s="512"/>
      <c r="AC153" s="488" t="b">
        <f>OR(AD153:AE153)</f>
        <v>0</v>
      </c>
      <c r="AD153" s="488" t="b">
        <f>T153</f>
        <v>0</v>
      </c>
      <c r="AE153" s="488" t="b">
        <f>AND(R153,NOT(W153))</f>
        <v>0</v>
      </c>
      <c r="AL153" s="311" t="str">
        <f>SUBSTITUTE(SUBSTITUTE(SUBSTITUTE("dpa"&amp;$B153&amp;$C153&amp;$D153&amp;$E153&amp;$F153,".","_"),"(","_"),")","")</f>
        <v>dpa901_10_2</v>
      </c>
      <c r="AM153" s="311">
        <f>M153</f>
        <v>5</v>
      </c>
      <c r="AP153" s="311" t="str">
        <f t="shared" ref="AP153:AP154" si="4">SUBSTITUTE(SUBSTITUTE(SUBSTITUTE("dch"&amp;$B153&amp;$C153&amp;$D153&amp;$E153&amp;$F153,".","_"),"(","_"),")","")</f>
        <v>dch901_10_2</v>
      </c>
      <c r="AQ153" s="311">
        <f>W153</f>
        <v>0</v>
      </c>
      <c r="AR153" s="311" t="str">
        <f>SUBSTITUTE(SUBSTITUTE(SUBSTITUTE("dnt"&amp;$B153&amp;$C153&amp;$D153&amp;$E153&amp;$F153,".","_"),"(","_"),")","")</f>
        <v>dnt901_10_2</v>
      </c>
      <c r="AS153" s="311">
        <f>X153</f>
        <v>0</v>
      </c>
    </row>
    <row r="154" spans="1:45" x14ac:dyDescent="0.3">
      <c r="B154" s="1066" t="s">
        <v>4385</v>
      </c>
      <c r="C154" s="21"/>
      <c r="D154" s="21"/>
      <c r="E154" s="21" t="s">
        <v>275</v>
      </c>
      <c r="F154" s="21"/>
      <c r="G154" s="21"/>
      <c r="H154" s="1084"/>
      <c r="I154" s="576"/>
      <c r="J154" s="203" t="s">
        <v>275</v>
      </c>
      <c r="K154" s="140"/>
      <c r="L154" s="1305" t="s">
        <v>3424</v>
      </c>
      <c r="M154" s="1318">
        <v>5</v>
      </c>
      <c r="N154" s="140"/>
      <c r="O154" s="269"/>
      <c r="P154" s="97" t="b">
        <v>0</v>
      </c>
      <c r="Q154" s="97" t="b">
        <v>1</v>
      </c>
      <c r="R154" s="97" t="b">
        <v>0</v>
      </c>
      <c r="S154" s="97" t="b">
        <v>1</v>
      </c>
      <c r="T154" s="97" t="b">
        <v>0</v>
      </c>
      <c r="U154" s="97"/>
      <c r="V154" s="97"/>
      <c r="W154" s="452"/>
      <c r="X154" s="1295"/>
      <c r="AC154" s="488" t="b">
        <f>OR(AD154:AE154)</f>
        <v>0</v>
      </c>
      <c r="AD154" s="488" t="b">
        <f>T154</f>
        <v>0</v>
      </c>
      <c r="AE154" s="488" t="b">
        <f>AND(R154,NOT(W154))</f>
        <v>0</v>
      </c>
      <c r="AL154" s="311" t="str">
        <f>SUBSTITUTE(SUBSTITUTE(SUBSTITUTE("dpa"&amp;$B154&amp;$C154&amp;$D154&amp;$E154&amp;$F154,".","_"),"(","_"),")","")</f>
        <v>dpa901_10_3</v>
      </c>
      <c r="AM154" s="311">
        <f>M154</f>
        <v>5</v>
      </c>
      <c r="AP154" s="311" t="str">
        <f t="shared" si="4"/>
        <v>dch901_10_3</v>
      </c>
      <c r="AQ154" s="311">
        <f>W154</f>
        <v>0</v>
      </c>
      <c r="AR154" s="311" t="str">
        <f>SUBSTITUTE(SUBSTITUTE(SUBSTITUTE("dnt"&amp;$B154&amp;$C154&amp;$D154&amp;$E154&amp;$F154,".","_"),"(","_"),")","")</f>
        <v>dnt901_10_3</v>
      </c>
      <c r="AS154" s="311">
        <f>X154</f>
        <v>0</v>
      </c>
    </row>
    <row r="155" spans="1:45" x14ac:dyDescent="0.3">
      <c r="B155" s="1066" t="s">
        <v>4385</v>
      </c>
      <c r="C155" s="21"/>
      <c r="D155" s="21"/>
      <c r="E155" s="21" t="s">
        <v>275</v>
      </c>
      <c r="F155" s="21"/>
      <c r="G155" s="21"/>
      <c r="H155" s="1084"/>
      <c r="I155" s="576"/>
      <c r="J155" s="140"/>
      <c r="K155" s="140"/>
      <c r="L155" s="1305"/>
      <c r="M155" s="1318"/>
      <c r="N155" s="140"/>
      <c r="O155" s="269"/>
      <c r="P155" s="97"/>
      <c r="Q155" s="97"/>
      <c r="R155" s="97"/>
      <c r="S155" s="97"/>
      <c r="T155" s="97"/>
      <c r="U155" s="97"/>
      <c r="V155" s="97"/>
      <c r="W155" s="97"/>
      <c r="X155" s="1295"/>
    </row>
    <row r="156" spans="1:45" x14ac:dyDescent="0.3">
      <c r="B156" s="1066" t="s">
        <v>4385</v>
      </c>
      <c r="C156" s="21"/>
      <c r="D156" s="21"/>
      <c r="E156" s="21" t="s">
        <v>275</v>
      </c>
      <c r="F156" s="21"/>
      <c r="G156" s="21"/>
      <c r="H156" s="1084"/>
      <c r="I156" s="576"/>
      <c r="J156" s="140"/>
      <c r="K156" s="140"/>
      <c r="L156" s="1305"/>
      <c r="M156" s="1318"/>
      <c r="N156" s="140"/>
      <c r="O156" s="269"/>
      <c r="P156" s="97"/>
      <c r="Q156" s="97"/>
      <c r="R156" s="97"/>
      <c r="S156" s="97"/>
      <c r="T156" s="97"/>
      <c r="U156" s="97"/>
      <c r="V156" s="97"/>
      <c r="W156" s="97"/>
      <c r="X156" s="1295"/>
    </row>
    <row r="157" spans="1:45" ht="15" thickBot="1" x14ac:dyDescent="0.35">
      <c r="B157" s="1066" t="s">
        <v>4385</v>
      </c>
      <c r="C157" s="21"/>
      <c r="D157" s="21"/>
      <c r="E157" s="21" t="s">
        <v>275</v>
      </c>
      <c r="F157" s="21"/>
      <c r="G157" s="21"/>
      <c r="H157" s="1084"/>
      <c r="I157" s="577"/>
      <c r="J157" s="270"/>
      <c r="K157" s="270"/>
      <c r="L157" s="578" t="s">
        <v>4027</v>
      </c>
      <c r="M157" s="523"/>
      <c r="N157" s="270"/>
      <c r="O157" s="271"/>
      <c r="P157" s="104"/>
      <c r="Q157" s="104"/>
      <c r="R157" s="104"/>
      <c r="S157" s="104"/>
      <c r="T157" s="104"/>
      <c r="U157" s="104"/>
      <c r="V157" s="104"/>
      <c r="W157" s="104"/>
      <c r="X157" s="1296"/>
      <c r="Z157" s="486"/>
      <c r="AB157" s="486"/>
      <c r="AC157" s="486"/>
      <c r="AD157" s="486"/>
      <c r="AE157" s="486"/>
      <c r="AF157" s="486"/>
      <c r="AG157" s="486"/>
      <c r="AH157" s="486"/>
      <c r="AI157" s="486"/>
      <c r="AJ157" s="486"/>
      <c r="AK157" s="486"/>
      <c r="AL157" s="486"/>
      <c r="AM157" s="486"/>
      <c r="AN157" s="486"/>
      <c r="AO157" s="486"/>
    </row>
    <row r="158" spans="1:45" ht="15" thickTop="1" x14ac:dyDescent="0.3">
      <c r="B158" s="938">
        <v>901.11</v>
      </c>
      <c r="C158" s="21"/>
      <c r="D158" s="21"/>
      <c r="E158" s="21"/>
      <c r="F158" s="21"/>
      <c r="G158" s="21"/>
      <c r="H158" s="1084"/>
      <c r="I158" s="200">
        <v>901.11</v>
      </c>
      <c r="J158" s="201"/>
      <c r="K158" s="201"/>
      <c r="L158" s="1331" t="s">
        <v>3425</v>
      </c>
      <c r="M158" s="1343">
        <v>4</v>
      </c>
      <c r="N158" s="201"/>
      <c r="O158" s="1336">
        <f>M158*S158*W158</f>
        <v>0</v>
      </c>
      <c r="P158" s="97" t="b">
        <v>1</v>
      </c>
      <c r="Q158" s="97" t="b">
        <v>1</v>
      </c>
      <c r="R158" s="110" t="b">
        <v>0</v>
      </c>
      <c r="S158" s="110" t="b">
        <v>1</v>
      </c>
      <c r="T158" s="110" t="b">
        <v>0</v>
      </c>
      <c r="U158" s="110"/>
      <c r="V158" s="110"/>
      <c r="W158" s="459"/>
      <c r="X158" s="1327"/>
      <c r="AC158" s="488" t="b">
        <f>OR(AD158:AE158)</f>
        <v>0</v>
      </c>
      <c r="AD158" s="488" t="b">
        <f>T158</f>
        <v>0</v>
      </c>
      <c r="AE158" s="488" t="b">
        <f>AND(R158,NOT(W158))</f>
        <v>0</v>
      </c>
      <c r="AL158" s="311" t="str">
        <f>SUBSTITUTE(SUBSTITUTE(SUBSTITUTE("dpa"&amp;$B158&amp;$C158&amp;$D158&amp;$E158&amp;$F158,".","_"),"(","_"),")","")</f>
        <v>dpa901_11</v>
      </c>
      <c r="AM158" s="311">
        <f>M158</f>
        <v>4</v>
      </c>
      <c r="AN158" s="311" t="str">
        <f>SUBSTITUTE(SUBSTITUTE(SUBSTITUTE("dpc"&amp;$B158&amp;$C158&amp;$D158&amp;$E158&amp;$F158,".","_"),"(","_"),")","")</f>
        <v>dpc901_11</v>
      </c>
      <c r="AO158" s="311">
        <f>O158</f>
        <v>0</v>
      </c>
      <c r="AP158" s="311" t="str">
        <f>SUBSTITUTE(SUBSTITUTE(SUBSTITUTE("dch"&amp;$B158&amp;$C158&amp;$D158&amp;$E158&amp;$F158,".","_"),"(","_"),")","")</f>
        <v>dch901_11</v>
      </c>
      <c r="AQ158" s="311">
        <f>W158</f>
        <v>0</v>
      </c>
      <c r="AR158" s="311" t="str">
        <f>SUBSTITUTE(SUBSTITUTE(SUBSTITUTE("dnt"&amp;$B158&amp;$C158&amp;$D158&amp;$E158&amp;$F158,".","_"),"(","_"),")","")</f>
        <v>dnt901_11</v>
      </c>
      <c r="AS158" s="311">
        <f>X158</f>
        <v>0</v>
      </c>
    </row>
    <row r="159" spans="1:45" s="486" customFormat="1" x14ac:dyDescent="0.3">
      <c r="A159" s="18"/>
      <c r="B159" s="938">
        <v>901.11</v>
      </c>
      <c r="C159" s="21"/>
      <c r="D159" s="21"/>
      <c r="E159" s="21"/>
      <c r="F159" s="21"/>
      <c r="G159" s="21"/>
      <c r="H159" s="1084"/>
      <c r="I159" s="576"/>
      <c r="J159" s="140"/>
      <c r="K159" s="140"/>
      <c r="L159" s="1313"/>
      <c r="M159" s="1318"/>
      <c r="N159" s="140"/>
      <c r="O159" s="1308"/>
      <c r="P159" s="97"/>
      <c r="Q159" s="97"/>
      <c r="R159" s="97"/>
      <c r="S159" s="97"/>
      <c r="T159" s="97"/>
      <c r="U159" s="97"/>
      <c r="V159" s="97"/>
      <c r="W159" s="97"/>
      <c r="X159" s="1295"/>
      <c r="Y159" s="1107"/>
      <c r="Z159" s="79"/>
      <c r="AA159" s="1110"/>
      <c r="AB159" s="79"/>
      <c r="AC159" s="79"/>
      <c r="AD159" s="79"/>
      <c r="AE159" s="79"/>
      <c r="AF159" s="79"/>
      <c r="AG159" s="79"/>
      <c r="AH159" s="79"/>
      <c r="AI159" s="79"/>
      <c r="AJ159" s="79"/>
      <c r="AK159" s="79"/>
      <c r="AL159" s="79"/>
      <c r="AM159" s="79"/>
      <c r="AN159" s="79"/>
      <c r="AO159" s="79"/>
    </row>
    <row r="160" spans="1:45" x14ac:dyDescent="0.3">
      <c r="B160" s="938">
        <v>901.11</v>
      </c>
      <c r="C160" s="21"/>
      <c r="D160" s="21"/>
      <c r="E160" s="21"/>
      <c r="F160" s="21"/>
      <c r="G160" s="21"/>
      <c r="H160" s="1084"/>
      <c r="I160" s="576"/>
      <c r="J160" s="140"/>
      <c r="K160" s="140"/>
      <c r="L160" s="1313"/>
      <c r="M160" s="1318"/>
      <c r="N160" s="140"/>
      <c r="O160" s="1308"/>
      <c r="P160" s="97"/>
      <c r="Q160" s="97"/>
      <c r="R160" s="97"/>
      <c r="S160" s="97"/>
      <c r="T160" s="97"/>
      <c r="U160" s="97"/>
      <c r="V160" s="97"/>
      <c r="W160" s="97"/>
      <c r="X160" s="1295"/>
    </row>
    <row r="161" spans="2:45" x14ac:dyDescent="0.3">
      <c r="B161" s="938">
        <v>901.11</v>
      </c>
      <c r="C161" s="21"/>
      <c r="D161" s="21"/>
      <c r="E161" s="21"/>
      <c r="F161" s="21"/>
      <c r="G161" s="21"/>
      <c r="H161" s="1084"/>
      <c r="I161" s="576"/>
      <c r="J161" s="140"/>
      <c r="K161" s="140"/>
      <c r="L161" s="1313"/>
      <c r="M161" s="1318"/>
      <c r="N161" s="140"/>
      <c r="O161" s="1308"/>
      <c r="P161" s="97"/>
      <c r="Q161" s="97"/>
      <c r="R161" s="97"/>
      <c r="S161" s="97"/>
      <c r="T161" s="97"/>
      <c r="U161" s="97"/>
      <c r="V161" s="97"/>
      <c r="W161" s="97"/>
      <c r="X161" s="1295"/>
    </row>
    <row r="162" spans="2:45" ht="15" thickBot="1" x14ac:dyDescent="0.35">
      <c r="B162" s="938">
        <v>901.11</v>
      </c>
      <c r="C162" s="21"/>
      <c r="D162" s="21"/>
      <c r="E162" s="21"/>
      <c r="F162" s="21"/>
      <c r="G162" s="21"/>
      <c r="H162" s="1084"/>
      <c r="I162" s="577"/>
      <c r="J162" s="270"/>
      <c r="K162" s="270"/>
      <c r="L162" s="1332"/>
      <c r="M162" s="1334"/>
      <c r="N162" s="270"/>
      <c r="O162" s="1315"/>
      <c r="P162" s="104"/>
      <c r="Q162" s="104"/>
      <c r="R162" s="104"/>
      <c r="S162" s="104"/>
      <c r="T162" s="104"/>
      <c r="U162" s="104"/>
      <c r="V162" s="104"/>
      <c r="W162" s="104"/>
      <c r="X162" s="1296"/>
    </row>
    <row r="163" spans="2:45" ht="15" thickTop="1" x14ac:dyDescent="0.3">
      <c r="B163" s="938">
        <v>901.12</v>
      </c>
      <c r="C163" s="21"/>
      <c r="D163" s="21"/>
      <c r="E163" s="21"/>
      <c r="F163" s="21"/>
      <c r="G163" s="21"/>
      <c r="H163" s="1084"/>
      <c r="I163" s="200">
        <v>901.12</v>
      </c>
      <c r="J163" s="201"/>
      <c r="K163" s="201"/>
      <c r="L163" s="1331" t="s">
        <v>3426</v>
      </c>
      <c r="M163" s="1362" t="str">
        <f>IF(R163,"Mandatory","N/A")</f>
        <v>Mandatory</v>
      </c>
      <c r="N163" s="201"/>
      <c r="O163" s="596"/>
      <c r="P163" s="97" t="b">
        <v>0</v>
      </c>
      <c r="Q163" s="97" t="b">
        <v>1</v>
      </c>
      <c r="R163" s="110" t="b">
        <f>S163</f>
        <v>1</v>
      </c>
      <c r="S163" s="110" t="b">
        <v>1</v>
      </c>
      <c r="T163" s="110" t="b">
        <v>0</v>
      </c>
      <c r="U163" s="110" t="str">
        <f>SUBSTITUTE(SUBSTITUTE(SUBSTITUTE("dd"&amp;B163&amp;C163&amp;D163&amp;E163&amp;F163,".","_"),"(","_"),")","")</f>
        <v>dd901_12</v>
      </c>
      <c r="V163" s="110"/>
      <c r="W163" s="12" t="s">
        <v>3242</v>
      </c>
      <c r="X163" s="1327" t="s">
        <v>4807</v>
      </c>
      <c r="AC163" s="488" t="b">
        <f>OR(AD163:AE163)</f>
        <v>0</v>
      </c>
      <c r="AD163" s="488" t="b">
        <f>T163</f>
        <v>0</v>
      </c>
      <c r="AE163" s="488" t="b">
        <f>AND(R163,OR(LEN(W163)=0,W163="Not Met"))</f>
        <v>0</v>
      </c>
      <c r="AL163" s="311" t="str">
        <f>SUBSTITUTE(SUBSTITUTE(SUBSTITUTE("dpa"&amp;$B163&amp;$C163&amp;$D163&amp;$E163&amp;$F163,".","_"),"(","_"),")","")</f>
        <v>dpa901_12</v>
      </c>
      <c r="AM163" s="311" t="str">
        <f>M163</f>
        <v>Mandatory</v>
      </c>
      <c r="AP163" s="311" t="str">
        <f>SUBSTITUTE(SUBSTITUTE(SUBSTITUTE("dch"&amp;$B163&amp;$C163&amp;$D163&amp;$E163&amp;$F163,".","_"),"(","_"),")","")</f>
        <v>dch901_12</v>
      </c>
      <c r="AQ163" s="311" t="str">
        <f>W163</f>
        <v>Met</v>
      </c>
      <c r="AR163" s="311" t="str">
        <f>SUBSTITUTE(SUBSTITUTE(SUBSTITUTE("dnt"&amp;$B163&amp;$C163&amp;$D163&amp;$E163&amp;$F163,".","_"),"(","_"),")","")</f>
        <v>dnt901_12</v>
      </c>
      <c r="AS163" s="311" t="str">
        <f>X163</f>
        <v>ZERH Requirement - Indoor airPLUS, Section 5.2 Carbon Monoxide Alarms</v>
      </c>
    </row>
    <row r="164" spans="2:45" ht="15" thickBot="1" x14ac:dyDescent="0.35">
      <c r="B164" s="938">
        <v>901.12</v>
      </c>
      <c r="C164" s="21"/>
      <c r="D164" s="21"/>
      <c r="E164" s="21"/>
      <c r="F164" s="21"/>
      <c r="G164" s="21"/>
      <c r="H164" s="1084"/>
      <c r="I164" s="577"/>
      <c r="J164" s="270"/>
      <c r="K164" s="270"/>
      <c r="L164" s="1332"/>
      <c r="M164" s="1410"/>
      <c r="N164" s="270"/>
      <c r="O164" s="271"/>
      <c r="P164" s="104"/>
      <c r="Q164" s="104"/>
      <c r="R164" s="104"/>
      <c r="S164" s="104"/>
      <c r="T164" s="104"/>
      <c r="U164" s="104"/>
      <c r="V164" s="104"/>
      <c r="W164" s="104"/>
      <c r="X164" s="1296"/>
    </row>
    <row r="165" spans="2:45" ht="15" thickTop="1" x14ac:dyDescent="0.3">
      <c r="B165" s="938">
        <v>901.13</v>
      </c>
      <c r="C165" s="21"/>
      <c r="D165" s="21"/>
      <c r="E165" s="21"/>
      <c r="F165" s="21"/>
      <c r="G165" s="21"/>
      <c r="H165" s="1084"/>
      <c r="I165" s="200">
        <v>901.13</v>
      </c>
      <c r="J165" s="201"/>
      <c r="K165" s="201"/>
      <c r="L165" s="1331" t="s">
        <v>3427</v>
      </c>
      <c r="M165" s="517"/>
      <c r="N165" s="201"/>
      <c r="O165" s="1336">
        <f ca="1">MIN(1,M167*S167*W167+M168*S168*W168)</f>
        <v>0</v>
      </c>
      <c r="P165" s="110"/>
      <c r="Q165" s="110"/>
      <c r="R165" s="110"/>
      <c r="S165" s="110"/>
      <c r="T165" s="110"/>
      <c r="U165" s="110"/>
      <c r="V165" s="110"/>
      <c r="W165" s="110"/>
      <c r="X165" s="1327"/>
      <c r="AN165" s="311" t="str">
        <f>SUBSTITUTE(SUBSTITUTE(SUBSTITUTE("dpc"&amp;$B165&amp;$C165&amp;$D165&amp;$E165&amp;$F165,".","_"),"(","_"),")","")</f>
        <v>dpc901_13</v>
      </c>
      <c r="AO165" s="311">
        <f ca="1">O165</f>
        <v>0</v>
      </c>
      <c r="AR165" s="311" t="str">
        <f>SUBSTITUTE(SUBSTITUTE(SUBSTITUTE("dnt"&amp;$B165&amp;$C165&amp;$D165&amp;$E165&amp;$F165,".","_"),"(","_"),")","")</f>
        <v>dnt901_13</v>
      </c>
      <c r="AS165" s="311">
        <f>X165</f>
        <v>0</v>
      </c>
    </row>
    <row r="166" spans="2:45" ht="15" customHeight="1" x14ac:dyDescent="0.3">
      <c r="B166" s="938">
        <v>901.13</v>
      </c>
      <c r="C166" s="21"/>
      <c r="D166" s="21"/>
      <c r="E166" s="21"/>
      <c r="F166" s="21"/>
      <c r="G166" s="21"/>
      <c r="H166" s="1084"/>
      <c r="I166" s="576"/>
      <c r="J166" s="140"/>
      <c r="K166" s="140"/>
      <c r="L166" s="1313"/>
      <c r="M166" s="518"/>
      <c r="N166" s="140"/>
      <c r="O166" s="1308"/>
      <c r="P166" s="97"/>
      <c r="Q166" s="97"/>
      <c r="R166" s="97"/>
      <c r="S166" s="97"/>
      <c r="T166" s="97"/>
      <c r="U166" s="97"/>
      <c r="V166" s="97"/>
      <c r="W166" s="97"/>
      <c r="X166" s="1295"/>
    </row>
    <row r="167" spans="2:45" ht="15" customHeight="1" x14ac:dyDescent="0.3">
      <c r="B167" s="938">
        <v>901.13</v>
      </c>
      <c r="C167" s="21"/>
      <c r="D167" s="21"/>
      <c r="E167" s="21" t="s">
        <v>271</v>
      </c>
      <c r="F167" s="21"/>
      <c r="G167" s="21"/>
      <c r="H167" s="1084"/>
      <c r="I167" s="576"/>
      <c r="J167" s="231" t="s">
        <v>271</v>
      </c>
      <c r="K167" s="238"/>
      <c r="L167" s="516" t="s">
        <v>3428</v>
      </c>
      <c r="M167" s="520">
        <v>1</v>
      </c>
      <c r="N167" s="140"/>
      <c r="O167" s="269"/>
      <c r="P167" s="97" t="b">
        <v>0</v>
      </c>
      <c r="Q167" s="97" t="b">
        <v>1</v>
      </c>
      <c r="R167" s="97" t="b">
        <v>0</v>
      </c>
      <c r="S167" s="1077" t="b">
        <f ca="1">$AY$19=INDEX(INDIRECT("ddSingleOrMulti"),2)</f>
        <v>0</v>
      </c>
      <c r="T167" s="97" t="b">
        <f ca="1">AND(NOT(S167),W167=TRUE)</f>
        <v>0</v>
      </c>
      <c r="U167" s="97"/>
      <c r="V167" s="97"/>
      <c r="W167" s="452"/>
      <c r="X167" s="1295"/>
      <c r="AC167" s="488" t="b">
        <f ca="1">OR(AD167:AE167)</f>
        <v>0</v>
      </c>
      <c r="AD167" s="488" t="b">
        <f ca="1">T167</f>
        <v>0</v>
      </c>
      <c r="AE167" s="488" t="b">
        <f>AND(R167,NOT(W167))</f>
        <v>0</v>
      </c>
      <c r="AL167" s="311" t="str">
        <f>SUBSTITUTE(SUBSTITUTE(SUBSTITUTE("dpa"&amp;$B167&amp;$C167&amp;$D167&amp;$E167&amp;$F167,".","_"),"(","_"),")","")</f>
        <v>dpa901_13_1</v>
      </c>
      <c r="AM167" s="311">
        <f>M167</f>
        <v>1</v>
      </c>
      <c r="AP167" s="311" t="str">
        <f t="shared" ref="AP167:AP168" si="5">SUBSTITUTE(SUBSTITUTE(SUBSTITUTE("dch"&amp;$B167&amp;$C167&amp;$D167&amp;$E167&amp;$F167,".","_"),"(","_"),")","")</f>
        <v>dch901_13_1</v>
      </c>
      <c r="AQ167" s="311">
        <f>W167</f>
        <v>0</v>
      </c>
    </row>
    <row r="168" spans="2:45" ht="15" customHeight="1" thickBot="1" x14ac:dyDescent="0.35">
      <c r="B168" s="938">
        <v>901.13</v>
      </c>
      <c r="C168" s="21"/>
      <c r="D168" s="21"/>
      <c r="E168" s="21" t="s">
        <v>273</v>
      </c>
      <c r="F168" s="21"/>
      <c r="G168" s="21"/>
      <c r="H168" s="1084"/>
      <c r="I168" s="577"/>
      <c r="J168" s="213" t="s">
        <v>273</v>
      </c>
      <c r="K168" s="270"/>
      <c r="L168" s="519" t="s">
        <v>3429</v>
      </c>
      <c r="M168" s="523">
        <v>1</v>
      </c>
      <c r="N168" s="270"/>
      <c r="O168" s="271"/>
      <c r="P168" s="97" t="b">
        <v>0</v>
      </c>
      <c r="Q168" s="97" t="b">
        <v>1</v>
      </c>
      <c r="R168" s="104" t="b">
        <v>0</v>
      </c>
      <c r="S168" s="1077" t="b">
        <f ca="1">$AY$19=INDEX(INDIRECT("ddSingleOrMulti"),2)</f>
        <v>0</v>
      </c>
      <c r="T168" s="97" t="b">
        <f ca="1">AND(NOT(S168),W168=TRUE)</f>
        <v>0</v>
      </c>
      <c r="U168" s="104"/>
      <c r="V168" s="104"/>
      <c r="W168" s="105"/>
      <c r="X168" s="1296"/>
      <c r="AC168" s="488" t="b">
        <f ca="1">OR(AD168:AE168)</f>
        <v>0</v>
      </c>
      <c r="AD168" s="488" t="b">
        <f ca="1">T168</f>
        <v>0</v>
      </c>
      <c r="AE168" s="488" t="b">
        <f>AND(R168,NOT(W168))</f>
        <v>0</v>
      </c>
      <c r="AL168" s="311" t="str">
        <f>SUBSTITUTE(SUBSTITUTE(SUBSTITUTE("dpa"&amp;$B168&amp;$C168&amp;$D168&amp;$E168&amp;$F168,".","_"),"(","_"),")","")</f>
        <v>dpa901_13_2</v>
      </c>
      <c r="AM168" s="311">
        <f>M168</f>
        <v>1</v>
      </c>
      <c r="AP168" s="311" t="str">
        <f t="shared" si="5"/>
        <v>dch901_13_2</v>
      </c>
      <c r="AQ168" s="311">
        <f>W168</f>
        <v>0</v>
      </c>
    </row>
    <row r="169" spans="2:45" ht="15" customHeight="1" thickTop="1" x14ac:dyDescent="0.3">
      <c r="B169" s="938">
        <v>901.14</v>
      </c>
      <c r="C169" s="21"/>
      <c r="D169" s="21"/>
      <c r="E169" s="21"/>
      <c r="F169" s="21"/>
      <c r="G169" s="21"/>
      <c r="H169" s="1084"/>
      <c r="I169" s="66">
        <v>901.14</v>
      </c>
      <c r="J169" s="4"/>
      <c r="K169" s="4"/>
      <c r="L169" s="1292" t="s">
        <v>3430</v>
      </c>
      <c r="M169" s="522"/>
      <c r="N169" s="4"/>
      <c r="O169" s="154"/>
    </row>
    <row r="170" spans="2:45" ht="15" customHeight="1" x14ac:dyDescent="0.3">
      <c r="B170" s="938">
        <v>901.14</v>
      </c>
      <c r="C170" s="21"/>
      <c r="D170" s="21"/>
      <c r="E170" s="21"/>
      <c r="F170" s="21"/>
      <c r="G170" s="21"/>
      <c r="H170" s="1084"/>
      <c r="I170" s="182"/>
      <c r="J170" s="4"/>
      <c r="K170" s="4"/>
      <c r="L170" s="1292"/>
      <c r="M170" s="522"/>
      <c r="N170" s="4"/>
      <c r="O170" s="154"/>
    </row>
    <row r="171" spans="2:45" x14ac:dyDescent="0.3">
      <c r="B171" s="938">
        <v>901.14</v>
      </c>
      <c r="C171" s="21"/>
      <c r="D171" s="21"/>
      <c r="E171" s="21" t="s">
        <v>271</v>
      </c>
      <c r="F171" s="21"/>
      <c r="G171" s="21"/>
      <c r="H171" s="1084"/>
      <c r="I171" s="182"/>
      <c r="J171" s="203" t="s">
        <v>271</v>
      </c>
      <c r="K171" s="140"/>
      <c r="L171" s="1305" t="s">
        <v>3431</v>
      </c>
      <c r="M171" s="1318">
        <v>1</v>
      </c>
      <c r="N171" s="4"/>
      <c r="O171" s="1308">
        <f ca="1">M171*S171*W171</f>
        <v>0</v>
      </c>
      <c r="P171" s="97" t="b">
        <v>0</v>
      </c>
      <c r="Q171" s="97" t="b">
        <v>1</v>
      </c>
      <c r="R171" s="480" t="b">
        <v>0</v>
      </c>
      <c r="S171" s="1077" t="b">
        <f ca="1">$AY$19=INDEX(INDIRECT("ddSingleOrMulti"),2)</f>
        <v>0</v>
      </c>
      <c r="T171" s="97" t="b">
        <f ca="1">AND(NOT(S171),W171=TRUE)</f>
        <v>0</v>
      </c>
      <c r="W171" s="25"/>
      <c r="X171" s="1303"/>
      <c r="AC171" s="488" t="b">
        <f ca="1">OR(AD171:AE171)</f>
        <v>0</v>
      </c>
      <c r="AD171" s="488" t="b">
        <f ca="1">T171</f>
        <v>0</v>
      </c>
      <c r="AE171" s="488" t="b">
        <f>AND(R171,NOT(W171))</f>
        <v>0</v>
      </c>
      <c r="AL171" s="311" t="str">
        <f>SUBSTITUTE(SUBSTITUTE(SUBSTITUTE("dpa"&amp;$B171&amp;$C171&amp;$D171&amp;$E171&amp;$F171,".","_"),"(","_"),")","")</f>
        <v>dpa901_14_1</v>
      </c>
      <c r="AM171" s="311">
        <f>M171</f>
        <v>1</v>
      </c>
      <c r="AN171" s="311" t="str">
        <f>SUBSTITUTE(SUBSTITUTE(SUBSTITUTE("dpc"&amp;$B171&amp;$C171&amp;$D171&amp;$E171&amp;$F171,".","_"),"(","_"),")","")</f>
        <v>dpc901_14_1</v>
      </c>
      <c r="AO171" s="311">
        <f ca="1">O171</f>
        <v>0</v>
      </c>
      <c r="AP171" s="311" t="str">
        <f>SUBSTITUTE(SUBSTITUTE(SUBSTITUTE("dch"&amp;$B171&amp;$C171&amp;$D171&amp;$E171&amp;$F171,".","_"),"(","_"),")","")</f>
        <v>dch901_14_1</v>
      </c>
      <c r="AQ171" s="311">
        <f>W171</f>
        <v>0</v>
      </c>
      <c r="AR171" s="311" t="str">
        <f>SUBSTITUTE(SUBSTITUTE(SUBSTITUTE("dnt"&amp;$B171&amp;$C171&amp;$D171&amp;$E171&amp;$F171,".","_"),"(","_"),")","")</f>
        <v>dnt901_14_1</v>
      </c>
      <c r="AS171" s="311">
        <f>X171</f>
        <v>0</v>
      </c>
    </row>
    <row r="172" spans="2:45" x14ac:dyDescent="0.3">
      <c r="B172" s="938">
        <v>901.14</v>
      </c>
      <c r="C172" s="21"/>
      <c r="D172" s="21"/>
      <c r="E172" s="21" t="s">
        <v>271</v>
      </c>
      <c r="F172" s="21"/>
      <c r="G172" s="21"/>
      <c r="H172" s="1084"/>
      <c r="I172" s="182"/>
      <c r="J172" s="238"/>
      <c r="K172" s="238"/>
      <c r="L172" s="1306"/>
      <c r="M172" s="1319"/>
      <c r="N172" s="4"/>
      <c r="O172" s="1309"/>
      <c r="X172" s="1303"/>
    </row>
    <row r="173" spans="2:45" x14ac:dyDescent="0.3">
      <c r="B173" s="938">
        <v>901.14</v>
      </c>
      <c r="C173" s="21"/>
      <c r="D173" s="21"/>
      <c r="E173" s="21" t="s">
        <v>273</v>
      </c>
      <c r="F173" s="21"/>
      <c r="G173" s="21"/>
      <c r="H173" s="1084"/>
      <c r="I173" s="182"/>
      <c r="J173" s="27" t="s">
        <v>273</v>
      </c>
      <c r="K173" s="4"/>
      <c r="L173" s="1329" t="s">
        <v>3432</v>
      </c>
      <c r="M173" s="1335">
        <v>1</v>
      </c>
      <c r="N173" s="4"/>
      <c r="O173" s="1310">
        <f ca="1">M173*S173*W173</f>
        <v>0</v>
      </c>
      <c r="P173" s="97" t="b">
        <v>0</v>
      </c>
      <c r="Q173" s="97" t="b">
        <v>1</v>
      </c>
      <c r="R173" s="480" t="b">
        <v>0</v>
      </c>
      <c r="S173" s="1077" t="b">
        <f ca="1">$AY$19=INDEX(INDIRECT("ddSingleOrMulti"),2)</f>
        <v>0</v>
      </c>
      <c r="T173" s="97" t="b">
        <f ca="1">AND(NOT(S173),W173=TRUE)</f>
        <v>0</v>
      </c>
      <c r="W173" s="25"/>
      <c r="X173" s="1303"/>
      <c r="AC173" s="488" t="b">
        <f ca="1">OR(AD173:AE173)</f>
        <v>0</v>
      </c>
      <c r="AD173" s="488" t="b">
        <f ca="1">T173</f>
        <v>0</v>
      </c>
      <c r="AE173" s="488" t="b">
        <f>AND(R173,NOT(W173))</f>
        <v>0</v>
      </c>
      <c r="AL173" s="311" t="str">
        <f>SUBSTITUTE(SUBSTITUTE(SUBSTITUTE("dpa"&amp;$B173&amp;$C173&amp;$D173&amp;$E173&amp;$F173,".","_"),"(","_"),")","")</f>
        <v>dpa901_14_2</v>
      </c>
      <c r="AM173" s="311">
        <f>M173</f>
        <v>1</v>
      </c>
      <c r="AN173" s="311" t="str">
        <f>SUBSTITUTE(SUBSTITUTE(SUBSTITUTE("dpc"&amp;$B173&amp;$C173&amp;$D173&amp;$E173&amp;$F173,".","_"),"(","_"),")","")</f>
        <v>dpc901_14_2</v>
      </c>
      <c r="AO173" s="311">
        <f ca="1">O173</f>
        <v>0</v>
      </c>
      <c r="AP173" s="311" t="str">
        <f>SUBSTITUTE(SUBSTITUTE(SUBSTITUTE("dch"&amp;$B173&amp;$C173&amp;$D173&amp;$E173&amp;$F173,".","_"),"(","_"),")","")</f>
        <v>dch901_14_2</v>
      </c>
      <c r="AQ173" s="311">
        <f>W173</f>
        <v>0</v>
      </c>
      <c r="AR173" s="311" t="str">
        <f>SUBSTITUTE(SUBSTITUTE(SUBSTITUTE("dnt"&amp;$B173&amp;$C173&amp;$D173&amp;$E173&amp;$F173,".","_"),"(","_"),")","")</f>
        <v>dnt901_14_2</v>
      </c>
      <c r="AS173" s="311">
        <f>X173</f>
        <v>0</v>
      </c>
    </row>
    <row r="174" spans="2:45" x14ac:dyDescent="0.3">
      <c r="B174" s="938">
        <v>901.14</v>
      </c>
      <c r="C174" s="21"/>
      <c r="D174" s="21"/>
      <c r="E174" s="21" t="s">
        <v>273</v>
      </c>
      <c r="F174" s="21"/>
      <c r="G174" s="21"/>
      <c r="H174" s="1084"/>
      <c r="I174" s="182"/>
      <c r="J174" s="4"/>
      <c r="K174" s="4"/>
      <c r="L174" s="1329"/>
      <c r="M174" s="1335"/>
      <c r="N174" s="4"/>
      <c r="O174" s="1310"/>
      <c r="X174" s="1303"/>
    </row>
    <row r="175" spans="2:45" ht="18" x14ac:dyDescent="0.35">
      <c r="B175" s="938">
        <v>902</v>
      </c>
      <c r="C175" s="21"/>
      <c r="D175" s="21"/>
      <c r="E175" s="21"/>
      <c r="F175" s="21"/>
      <c r="G175" s="21"/>
      <c r="H175" s="1084"/>
      <c r="I175" s="14" t="s">
        <v>3433</v>
      </c>
      <c r="J175" s="23"/>
      <c r="K175" s="23"/>
      <c r="L175" s="87"/>
      <c r="M175" s="594"/>
      <c r="N175" s="604"/>
      <c r="O175" s="594"/>
      <c r="P175" s="23"/>
      <c r="Q175" s="23"/>
      <c r="R175" s="23"/>
      <c r="S175" s="23"/>
      <c r="T175" s="23"/>
      <c r="U175" s="23"/>
      <c r="V175" s="23"/>
      <c r="W175" s="23"/>
      <c r="X175" s="23"/>
    </row>
    <row r="176" spans="2:45" ht="15" thickBot="1" x14ac:dyDescent="0.35">
      <c r="B176" s="938" t="s">
        <v>4669</v>
      </c>
      <c r="C176" s="21"/>
      <c r="D176" s="21"/>
      <c r="E176" s="21"/>
      <c r="F176" s="21"/>
      <c r="G176" s="21"/>
      <c r="H176" s="1084"/>
      <c r="I176" s="574">
        <v>902</v>
      </c>
      <c r="J176" s="270"/>
      <c r="K176" s="270"/>
      <c r="L176" s="529" t="s">
        <v>3434</v>
      </c>
      <c r="M176" s="523"/>
      <c r="N176" s="270"/>
      <c r="O176" s="271"/>
      <c r="P176" s="104"/>
      <c r="Q176" s="104"/>
      <c r="R176" s="104"/>
      <c r="S176" s="104"/>
      <c r="T176" s="104"/>
      <c r="U176" s="104"/>
      <c r="V176" s="104"/>
      <c r="W176" s="104"/>
      <c r="X176" s="104"/>
    </row>
    <row r="177" spans="1:45" s="536" customFormat="1" ht="15" thickTop="1" x14ac:dyDescent="0.3">
      <c r="A177" s="18"/>
      <c r="B177" s="938">
        <v>902.1</v>
      </c>
      <c r="C177" s="21"/>
      <c r="D177" s="21"/>
      <c r="E177" s="21"/>
      <c r="F177" s="21"/>
      <c r="G177" s="21"/>
      <c r="H177" s="1084"/>
      <c r="I177" s="66">
        <v>902.1</v>
      </c>
      <c r="J177" s="4"/>
      <c r="K177" s="4"/>
      <c r="L177" s="559" t="s">
        <v>3435</v>
      </c>
      <c r="M177" s="546"/>
      <c r="N177" s="4"/>
      <c r="O177" s="595"/>
      <c r="Y177" s="1107"/>
      <c r="AA177" s="1110"/>
    </row>
    <row r="178" spans="1:45" x14ac:dyDescent="0.3">
      <c r="B178" s="938">
        <v>902.1</v>
      </c>
      <c r="C178" s="21"/>
      <c r="D178" s="21"/>
      <c r="E178" s="21"/>
      <c r="F178" s="21"/>
      <c r="G178" s="21"/>
      <c r="H178" s="1084"/>
      <c r="I178" s="66" t="s">
        <v>4076</v>
      </c>
      <c r="J178" s="4"/>
      <c r="K178" s="4"/>
      <c r="L178" s="184" t="s">
        <v>4077</v>
      </c>
      <c r="M178" s="522"/>
      <c r="N178" s="4"/>
      <c r="O178" s="154"/>
    </row>
    <row r="179" spans="1:45" x14ac:dyDescent="0.3">
      <c r="B179" s="938">
        <v>902.1</v>
      </c>
      <c r="C179" s="21"/>
      <c r="D179" s="21"/>
      <c r="E179" s="21" t="s">
        <v>271</v>
      </c>
      <c r="F179" s="21"/>
      <c r="G179" s="21"/>
      <c r="H179" s="1084"/>
      <c r="I179" s="182"/>
      <c r="J179" s="27" t="s">
        <v>271</v>
      </c>
      <c r="K179" s="4"/>
      <c r="L179" s="1329" t="s">
        <v>3436</v>
      </c>
      <c r="M179" s="1351" t="str">
        <f>IF(R179,"Mandatory","N/A")</f>
        <v>Mandatory</v>
      </c>
      <c r="N179" s="4"/>
      <c r="O179" s="154"/>
      <c r="P179" s="97" t="b">
        <v>0</v>
      </c>
      <c r="Q179" s="97" t="b">
        <v>1</v>
      </c>
      <c r="R179" s="480" t="b">
        <f>S179</f>
        <v>1</v>
      </c>
      <c r="S179" s="480" t="b">
        <v>1</v>
      </c>
      <c r="T179" s="480" t="b">
        <v>0</v>
      </c>
      <c r="W179" s="25" t="b">
        <v>1</v>
      </c>
      <c r="X179" s="1303" t="s">
        <v>4808</v>
      </c>
      <c r="AC179" s="488" t="b">
        <f>OR(AD179:AE179)</f>
        <v>0</v>
      </c>
      <c r="AD179" s="488" t="b">
        <f>T179</f>
        <v>0</v>
      </c>
      <c r="AE179" s="488" t="b">
        <f>AND(R179,NOT(W179))</f>
        <v>0</v>
      </c>
      <c r="AP179" s="311" t="str">
        <f>SUBSTITUTE(SUBSTITUTE(SUBSTITUTE("dch"&amp;$B179&amp;$C179&amp;$D179&amp;$E179&amp;$F179,".","_"),"(","_"),")","")</f>
        <v>dch902_1_1</v>
      </c>
      <c r="AQ179" s="311" t="b">
        <f>W179</f>
        <v>1</v>
      </c>
      <c r="AR179" s="311" t="str">
        <f>SUBSTITUTE(SUBSTITUTE(SUBSTITUTE("dnt"&amp;$B179&amp;$C179&amp;$D179&amp;$E179&amp;$F179,".","_"),"(","_"),")","")</f>
        <v>dnt902_1_1</v>
      </c>
      <c r="AS179" s="311" t="str">
        <f>X179</f>
        <v>ZERH Requirement - ENERGY STAR Certified Homes National Rater Field Checklist Section 8.2 Bathroom Exhaust</v>
      </c>
    </row>
    <row r="180" spans="1:45" x14ac:dyDescent="0.3">
      <c r="B180" s="938">
        <v>902.1</v>
      </c>
      <c r="C180" s="21"/>
      <c r="D180" s="21"/>
      <c r="E180" s="21" t="s">
        <v>271</v>
      </c>
      <c r="F180" s="21"/>
      <c r="G180" s="21"/>
      <c r="H180" s="1084"/>
      <c r="I180" s="182"/>
      <c r="J180" s="4"/>
      <c r="K180" s="4"/>
      <c r="L180" s="1329"/>
      <c r="M180" s="1351"/>
      <c r="N180" s="4"/>
      <c r="O180" s="154"/>
      <c r="X180" s="1303"/>
    </row>
    <row r="181" spans="1:45" ht="15" customHeight="1" x14ac:dyDescent="0.3">
      <c r="B181" s="938">
        <v>902.1</v>
      </c>
      <c r="C181" s="21"/>
      <c r="D181" s="21"/>
      <c r="E181" s="21" t="s">
        <v>271</v>
      </c>
      <c r="F181" s="21" t="s">
        <v>121</v>
      </c>
      <c r="G181" s="21"/>
      <c r="H181" s="1084"/>
      <c r="I181" s="182"/>
      <c r="J181" s="203"/>
      <c r="K181" s="203" t="s">
        <v>121</v>
      </c>
      <c r="L181" s="1305" t="s">
        <v>3918</v>
      </c>
      <c r="M181" s="1318">
        <v>1</v>
      </c>
      <c r="N181" s="4"/>
      <c r="O181" s="1308">
        <f>M181*S181*W181</f>
        <v>0</v>
      </c>
      <c r="P181" s="97" t="b">
        <v>0</v>
      </c>
      <c r="Q181" s="97" t="b">
        <v>1</v>
      </c>
      <c r="R181" s="480" t="b">
        <v>0</v>
      </c>
      <c r="S181" s="480" t="b">
        <f>W179=TRUE</f>
        <v>1</v>
      </c>
      <c r="T181" s="97" t="b">
        <f>AND(NOT(S181),W181=TRUE)</f>
        <v>0</v>
      </c>
      <c r="W181" s="25"/>
      <c r="X181" s="1303" t="s">
        <v>4809</v>
      </c>
      <c r="AC181" s="488" t="b">
        <f>OR(AD181:AE181)</f>
        <v>0</v>
      </c>
      <c r="AD181" s="488" t="b">
        <f>T181</f>
        <v>0</v>
      </c>
      <c r="AE181" s="488" t="b">
        <f>AND(R181,NOT(W181))</f>
        <v>0</v>
      </c>
      <c r="AL181" s="311" t="str">
        <f>SUBSTITUTE(SUBSTITUTE(SUBSTITUTE("dpa"&amp;$B181&amp;$C181&amp;$D181&amp;$E181&amp;$F181,".","_"),"(","_"),")","")</f>
        <v>dpa902_1_1_a</v>
      </c>
      <c r="AM181" s="311">
        <f>M181</f>
        <v>1</v>
      </c>
      <c r="AN181" s="311" t="str">
        <f>SUBSTITUTE(SUBSTITUTE(SUBSTITUTE("dpc"&amp;$B181&amp;$C181&amp;$D181&amp;$E181&amp;$F181,".","_"),"(","_"),")","")</f>
        <v>dpc902_1_1_a</v>
      </c>
      <c r="AO181" s="311">
        <f>O181</f>
        <v>0</v>
      </c>
      <c r="AP181" s="311" t="str">
        <f>SUBSTITUTE(SUBSTITUTE(SUBSTITUTE("dch"&amp;$B181&amp;$C181&amp;$D181&amp;$E181&amp;$F181,".","_"),"(","_"),")","")</f>
        <v>dch902_1_1_a</v>
      </c>
      <c r="AQ181" s="311">
        <f>W181</f>
        <v>0</v>
      </c>
      <c r="AR181" s="311" t="str">
        <f>SUBSTITUTE(SUBSTITUTE(SUBSTITUTE("dnt"&amp;$B181&amp;$C181&amp;$D181&amp;$E181&amp;$F181,".","_"),"(","_"),")","")</f>
        <v>dnt902_1_1_a</v>
      </c>
      <c r="AS181" s="311" t="str">
        <f>X181</f>
        <v>ZERH Requirement - Indoor airPLUS, Section 4.6 HVAC Systems</v>
      </c>
    </row>
    <row r="182" spans="1:45" x14ac:dyDescent="0.3">
      <c r="B182" s="938">
        <v>902.1</v>
      </c>
      <c r="C182" s="21"/>
      <c r="D182" s="21"/>
      <c r="E182" s="21" t="s">
        <v>271</v>
      </c>
      <c r="F182" s="21"/>
      <c r="G182" s="21"/>
      <c r="H182" s="1084"/>
      <c r="I182" s="182"/>
      <c r="J182" s="231"/>
      <c r="K182" s="238"/>
      <c r="L182" s="1306"/>
      <c r="M182" s="1319"/>
      <c r="N182" s="4"/>
      <c r="O182" s="1309"/>
      <c r="X182" s="1303"/>
    </row>
    <row r="183" spans="1:45" x14ac:dyDescent="0.3">
      <c r="B183" s="938">
        <v>902.1</v>
      </c>
      <c r="C183" s="21"/>
      <c r="D183" s="21"/>
      <c r="E183" s="21" t="s">
        <v>4673</v>
      </c>
      <c r="F183" s="21"/>
      <c r="G183" s="21"/>
      <c r="H183" s="1084"/>
      <c r="I183" s="182"/>
      <c r="J183" s="203" t="s">
        <v>273</v>
      </c>
      <c r="K183" s="140"/>
      <c r="L183" s="1305" t="s">
        <v>3437</v>
      </c>
      <c r="M183" s="1351" t="str">
        <f>IF(R183,"Mandatory","N/A")</f>
        <v>Mandatory</v>
      </c>
      <c r="N183" s="4"/>
      <c r="O183" s="154"/>
      <c r="P183" s="97" t="b">
        <v>0</v>
      </c>
      <c r="Q183" s="97" t="b">
        <v>1</v>
      </c>
      <c r="R183" s="480" t="b">
        <f>S183</f>
        <v>1</v>
      </c>
      <c r="S183" s="480" t="b">
        <v>1</v>
      </c>
      <c r="T183" s="480" t="b">
        <v>0</v>
      </c>
      <c r="U183" s="97" t="str">
        <f>SUBSTITUTE(SUBSTITUTE(SUBSTITUTE("dd"&amp;B183&amp;C183&amp;D183&amp;E183&amp;F183,".","_"),"(","_"),")","")</f>
        <v>dd902_1_2_</v>
      </c>
      <c r="W183" s="12" t="s">
        <v>3242</v>
      </c>
      <c r="X183" s="1303" t="s">
        <v>4809</v>
      </c>
      <c r="AC183" s="488" t="b">
        <f>OR(AD183:AE183)</f>
        <v>0</v>
      </c>
      <c r="AD183" s="488" t="b">
        <f>T183</f>
        <v>0</v>
      </c>
      <c r="AE183" s="488" t="b">
        <f>AND(R183,OR(W183="Not Met",W183=""))</f>
        <v>0</v>
      </c>
      <c r="AL183" s="311" t="str">
        <f>SUBSTITUTE(SUBSTITUTE(SUBSTITUTE("dpa"&amp;$B183&amp;$C183&amp;$D183&amp;$E183&amp;$F183,".","_"),"(","_"),")","")</f>
        <v>dpa902_1_2_</v>
      </c>
      <c r="AM183" s="311" t="str">
        <f>M183</f>
        <v>Mandatory</v>
      </c>
      <c r="AP183" s="311" t="str">
        <f>SUBSTITUTE(SUBSTITUTE(SUBSTITUTE("dch"&amp;$B183&amp;$C183&amp;$D183&amp;$E183&amp;$F183,".","_"),"(","_"),")","")</f>
        <v>dch902_1_2_</v>
      </c>
      <c r="AQ183" s="311" t="str">
        <f>W183</f>
        <v>Met</v>
      </c>
      <c r="AR183" s="311" t="str">
        <f>SUBSTITUTE(SUBSTITUTE(SUBSTITUTE("dnt"&amp;$B183&amp;$C183&amp;$D183&amp;$E183&amp;$F183,".","_"),"(","_"),")","")</f>
        <v>dnt902_1_2_</v>
      </c>
      <c r="AS183" s="311" t="str">
        <f>X183</f>
        <v>ZERH Requirement - Indoor airPLUS, Section 4.6 HVAC Systems</v>
      </c>
    </row>
    <row r="184" spans="1:45" x14ac:dyDescent="0.3">
      <c r="B184" s="938">
        <v>902.1</v>
      </c>
      <c r="C184" s="21"/>
      <c r="D184" s="21"/>
      <c r="E184" s="21" t="s">
        <v>273</v>
      </c>
      <c r="F184" s="21"/>
      <c r="G184" s="21"/>
      <c r="H184" s="1084"/>
      <c r="I184" s="182"/>
      <c r="J184" s="231"/>
      <c r="K184" s="238"/>
      <c r="L184" s="1306"/>
      <c r="M184" s="1352"/>
      <c r="N184" s="4"/>
      <c r="O184" s="597"/>
      <c r="X184" s="1303"/>
    </row>
    <row r="185" spans="1:45" x14ac:dyDescent="0.3">
      <c r="B185" s="938">
        <v>902.1</v>
      </c>
      <c r="C185" s="21"/>
      <c r="D185" s="21"/>
      <c r="E185" s="21" t="s">
        <v>4674</v>
      </c>
      <c r="F185" s="21"/>
      <c r="G185" s="21"/>
      <c r="H185" s="1084"/>
      <c r="I185" s="576"/>
      <c r="J185" s="203" t="s">
        <v>275</v>
      </c>
      <c r="K185" s="140"/>
      <c r="L185" s="1305" t="s">
        <v>3438</v>
      </c>
      <c r="M185" s="1318">
        <v>8</v>
      </c>
      <c r="N185" s="140"/>
      <c r="O185" s="1308">
        <f>M185*S185*W185</f>
        <v>8</v>
      </c>
      <c r="P185" s="97" t="b">
        <v>0</v>
      </c>
      <c r="Q185" s="97" t="b">
        <v>1</v>
      </c>
      <c r="R185" s="97" t="b">
        <v>0</v>
      </c>
      <c r="S185" s="97" t="b">
        <v>1</v>
      </c>
      <c r="T185" s="97" t="b">
        <v>0</v>
      </c>
      <c r="U185" s="97"/>
      <c r="V185" s="97"/>
      <c r="W185" s="452" t="b">
        <v>1</v>
      </c>
      <c r="X185" s="1295" t="s">
        <v>4810</v>
      </c>
      <c r="AC185" s="488" t="b">
        <f>OR(AD185:AE185)</f>
        <v>0</v>
      </c>
      <c r="AD185" s="488" t="b">
        <f>T185</f>
        <v>0</v>
      </c>
      <c r="AE185" s="488" t="b">
        <f>AND(R185,NOT(W185))</f>
        <v>0</v>
      </c>
      <c r="AL185" s="311" t="str">
        <f>SUBSTITUTE(SUBSTITUTE(SUBSTITUTE("dpa"&amp;$B185&amp;$C185&amp;$D185&amp;$E185&amp;$F185,".","_"),"(","_"),")","")</f>
        <v>dpa902_1_3_</v>
      </c>
      <c r="AM185" s="311">
        <f>M185</f>
        <v>8</v>
      </c>
      <c r="AN185" s="311" t="str">
        <f>SUBSTITUTE(SUBSTITUTE(SUBSTITUTE("dpc"&amp;$B185&amp;$C185&amp;$D185&amp;$E185&amp;$F185,".","_"),"(","_"),")","")</f>
        <v>dpc902_1_3_</v>
      </c>
      <c r="AO185" s="311">
        <f>O185</f>
        <v>8</v>
      </c>
      <c r="AP185" s="311" t="str">
        <f>SUBSTITUTE(SUBSTITUTE(SUBSTITUTE("dch"&amp;$B185&amp;$C185&amp;$D185&amp;$E185&amp;$F185,".","_"),"(","_"),")","")</f>
        <v>dch902_1_3_</v>
      </c>
      <c r="AQ185" s="311" t="b">
        <f>W185</f>
        <v>1</v>
      </c>
      <c r="AR185" s="311" t="str">
        <f>SUBSTITUTE(SUBSTITUTE(SUBSTITUTE("dnt"&amp;$B185&amp;$C185&amp;$D185&amp;$E185&amp;$F185,".","_"),"(","_"),")","")</f>
        <v>dnt902_1_3_</v>
      </c>
      <c r="AS185" s="311" t="str">
        <f>X185</f>
        <v xml:space="preserve">ZERH Requirement - ENERGY STAR Certifid Homes National Rater Field Checklist, Section 8.1 Kitchen Exhaust </v>
      </c>
    </row>
    <row r="186" spans="1:45" x14ac:dyDescent="0.3">
      <c r="B186" s="938">
        <v>902.1</v>
      </c>
      <c r="C186" s="21"/>
      <c r="D186" s="21"/>
      <c r="E186" s="21" t="s">
        <v>275</v>
      </c>
      <c r="F186" s="21"/>
      <c r="G186" s="21"/>
      <c r="H186" s="1084"/>
      <c r="I186" s="576"/>
      <c r="J186" s="203"/>
      <c r="K186" s="140"/>
      <c r="L186" s="1305"/>
      <c r="M186" s="1318"/>
      <c r="N186" s="140"/>
      <c r="O186" s="1308"/>
      <c r="P186" s="97"/>
      <c r="Q186" s="97"/>
      <c r="R186" s="97"/>
      <c r="S186" s="97"/>
      <c r="T186" s="97"/>
      <c r="U186" s="97"/>
      <c r="V186" s="97"/>
      <c r="W186" s="97"/>
      <c r="X186" s="1295"/>
    </row>
    <row r="187" spans="1:45" x14ac:dyDescent="0.3">
      <c r="B187" s="938">
        <v>902.1</v>
      </c>
      <c r="C187" s="21"/>
      <c r="D187" s="21"/>
      <c r="E187" s="21" t="s">
        <v>275</v>
      </c>
      <c r="F187" s="21"/>
      <c r="G187" s="21"/>
      <c r="H187" s="1084"/>
      <c r="I187" s="620"/>
      <c r="J187" s="238"/>
      <c r="K187" s="238"/>
      <c r="L187" s="1306"/>
      <c r="M187" s="1319"/>
      <c r="N187" s="238"/>
      <c r="O187" s="1309"/>
      <c r="P187" s="196"/>
      <c r="Q187" s="196"/>
      <c r="R187" s="196"/>
      <c r="S187" s="196"/>
      <c r="T187" s="196"/>
      <c r="U187" s="196"/>
      <c r="V187" s="196"/>
      <c r="W187" s="196"/>
      <c r="X187" s="1295"/>
    </row>
    <row r="188" spans="1:45" x14ac:dyDescent="0.3">
      <c r="B188" s="938" t="s">
        <v>3439</v>
      </c>
      <c r="C188" s="21"/>
      <c r="D188" s="21"/>
      <c r="E188" s="21"/>
      <c r="F188" s="21"/>
      <c r="G188" s="21"/>
      <c r="H188" s="1084"/>
      <c r="I188" s="215" t="s">
        <v>3439</v>
      </c>
      <c r="J188" s="216"/>
      <c r="K188" s="216"/>
      <c r="L188" s="1364" t="s">
        <v>3440</v>
      </c>
      <c r="M188" s="1323" t="s">
        <v>3441</v>
      </c>
      <c r="N188" s="216"/>
      <c r="O188" s="1324">
        <f>MIN(11,IF(W189+W191=0,0,5+2*(W189+W191-1)))</f>
        <v>0</v>
      </c>
      <c r="P188" s="218"/>
      <c r="Q188" s="218"/>
      <c r="R188" s="218"/>
      <c r="S188" s="218"/>
      <c r="T188" s="218"/>
      <c r="U188" s="218"/>
      <c r="V188" s="218"/>
      <c r="W188" s="218" t="s">
        <v>3919</v>
      </c>
      <c r="X188" s="1295"/>
      <c r="AL188" s="311" t="str">
        <f>SUBSTITUTE(SUBSTITUTE(SUBSTITUTE("dpa"&amp;$B188&amp;$C188&amp;$D188&amp;$E188&amp;$F188,".","_"),"(","_"),")","")</f>
        <v>dpa902_1_2</v>
      </c>
      <c r="AM188" s="311" t="str">
        <f>M188</f>
        <v>11 Max</v>
      </c>
      <c r="AN188" s="311" t="str">
        <f>SUBSTITUTE(SUBSTITUTE(SUBSTITUTE("dpc"&amp;$B188&amp;$C188&amp;$D188&amp;$E188&amp;$F188,".","_"),"(","_"),")","")</f>
        <v>dpc902_1_2</v>
      </c>
      <c r="AO188" s="311">
        <f>O188</f>
        <v>0</v>
      </c>
      <c r="AR188" s="311" t="str">
        <f>SUBSTITUTE(SUBSTITUTE(SUBSTITUTE("dnt"&amp;$B188&amp;$C188&amp;$D188&amp;$E188&amp;$F188,".","_"),"(","_"),")","")</f>
        <v>dnt902_1_2</v>
      </c>
      <c r="AS188" s="311">
        <f>X188</f>
        <v>0</v>
      </c>
    </row>
    <row r="189" spans="1:45" x14ac:dyDescent="0.3">
      <c r="B189" s="938" t="s">
        <v>3439</v>
      </c>
      <c r="C189" s="21"/>
      <c r="D189" s="21"/>
      <c r="E189" s="21"/>
      <c r="F189" s="21"/>
      <c r="G189" s="21"/>
      <c r="H189" s="1084"/>
      <c r="I189" s="576"/>
      <c r="J189" s="140"/>
      <c r="K189" s="140"/>
      <c r="L189" s="1313"/>
      <c r="M189" s="1318"/>
      <c r="N189" s="140"/>
      <c r="O189" s="1308"/>
      <c r="P189" s="97" t="b">
        <v>0</v>
      </c>
      <c r="Q189" s="97" t="b">
        <v>1</v>
      </c>
      <c r="R189" s="97" t="b">
        <v>0</v>
      </c>
      <c r="S189" s="97" t="b">
        <v>1</v>
      </c>
      <c r="T189" s="97" t="b">
        <v>0</v>
      </c>
      <c r="U189" s="97"/>
      <c r="V189" s="97"/>
      <c r="W189" s="579"/>
      <c r="X189" s="1295"/>
      <c r="AC189" s="488" t="b">
        <f>OR(AD189:AE189)</f>
        <v>0</v>
      </c>
      <c r="AD189" s="488" t="b">
        <f>T189</f>
        <v>0</v>
      </c>
      <c r="AE189" s="488" t="b">
        <f>AND(R189,OR(W189="Not Met",W189=""))</f>
        <v>0</v>
      </c>
      <c r="AP189" s="311" t="str">
        <f>SUBSTITUTE(SUBSTITUTE(SUBSTITUTE("dch"&amp;$B189&amp;$C189&amp;$D189&amp;$E189&amp;$F189,".","_"),"(","_"),")","")</f>
        <v>dch902_1_2</v>
      </c>
      <c r="AQ189" s="311">
        <f>W189</f>
        <v>0</v>
      </c>
    </row>
    <row r="190" spans="1:45" ht="15" customHeight="1" x14ac:dyDescent="0.3">
      <c r="B190" s="938" t="s">
        <v>3439</v>
      </c>
      <c r="C190" s="21"/>
      <c r="D190" s="21"/>
      <c r="E190" s="21" t="s">
        <v>271</v>
      </c>
      <c r="F190" s="21"/>
      <c r="G190" s="21"/>
      <c r="H190" s="1084"/>
      <c r="I190" s="576"/>
      <c r="J190" s="231" t="s">
        <v>271</v>
      </c>
      <c r="K190" s="238"/>
      <c r="L190" s="545" t="s">
        <v>3442</v>
      </c>
      <c r="M190" s="549">
        <v>5</v>
      </c>
      <c r="N190" s="140"/>
      <c r="O190" s="598"/>
      <c r="P190" s="97"/>
      <c r="Q190" s="97"/>
      <c r="R190" s="97"/>
      <c r="S190" s="97"/>
      <c r="T190" s="97"/>
      <c r="U190" s="97"/>
      <c r="V190" s="97"/>
      <c r="W190" s="97" t="s">
        <v>3920</v>
      </c>
      <c r="X190" s="1295"/>
      <c r="AL190" s="311" t="str">
        <f>SUBSTITUTE(SUBSTITUTE(SUBSTITUTE("dpa"&amp;$B190&amp;$C190&amp;$D190&amp;$E190&amp;$F190,".","_"),"(","_"),")","")</f>
        <v>dpa902_1_2_1</v>
      </c>
      <c r="AM190" s="311">
        <f>M190</f>
        <v>5</v>
      </c>
    </row>
    <row r="191" spans="1:45" x14ac:dyDescent="0.3">
      <c r="B191" s="938" t="s">
        <v>3439</v>
      </c>
      <c r="C191" s="21"/>
      <c r="D191" s="21"/>
      <c r="E191" s="21" t="s">
        <v>273</v>
      </c>
      <c r="F191" s="21"/>
      <c r="G191" s="21"/>
      <c r="H191" s="1084"/>
      <c r="I191" s="620"/>
      <c r="J191" s="231" t="s">
        <v>273</v>
      </c>
      <c r="K191" s="238"/>
      <c r="L191" s="545" t="s">
        <v>3443</v>
      </c>
      <c r="M191" s="549">
        <v>2</v>
      </c>
      <c r="N191" s="238"/>
      <c r="O191" s="599"/>
      <c r="P191" s="97" t="b">
        <v>0</v>
      </c>
      <c r="Q191" s="97" t="b">
        <v>1</v>
      </c>
      <c r="R191" s="196" t="b">
        <v>0</v>
      </c>
      <c r="S191" s="196" t="b">
        <v>1</v>
      </c>
      <c r="T191" s="196" t="b">
        <v>0</v>
      </c>
      <c r="U191" s="196"/>
      <c r="V191" s="196"/>
      <c r="W191" s="624"/>
      <c r="X191" s="1295"/>
      <c r="AC191" s="488" t="b">
        <f>OR(AD191:AE191)</f>
        <v>0</v>
      </c>
      <c r="AD191" s="488" t="b">
        <f>T191</f>
        <v>0</v>
      </c>
      <c r="AE191" s="488" t="b">
        <f>AND(R191,OR(W191="Not Met",W191=""))</f>
        <v>0</v>
      </c>
      <c r="AL191" s="311" t="str">
        <f>SUBSTITUTE(SUBSTITUTE(SUBSTITUTE("dpa"&amp;$B191&amp;$C191&amp;$D191&amp;$E191&amp;$F191,".","_"),"(","_"),")","")</f>
        <v>dpa902_1_2_2</v>
      </c>
      <c r="AM191" s="311">
        <f>M191</f>
        <v>2</v>
      </c>
      <c r="AP191" s="311" t="str">
        <f t="shared" ref="AP191:AP192" si="6">SUBSTITUTE(SUBSTITUTE(SUBSTITUTE("dch"&amp;$B191&amp;$C191&amp;$D191&amp;$E191&amp;$F191,".","_"),"(","_"),")","")</f>
        <v>dch902_1_2_2</v>
      </c>
      <c r="AQ191" s="311">
        <f>W191</f>
        <v>0</v>
      </c>
    </row>
    <row r="192" spans="1:45" x14ac:dyDescent="0.3">
      <c r="B192" s="938" t="s">
        <v>3444</v>
      </c>
      <c r="C192" s="21"/>
      <c r="D192" s="21"/>
      <c r="E192" s="21"/>
      <c r="F192" s="21"/>
      <c r="G192" s="21"/>
      <c r="H192" s="1084"/>
      <c r="I192" s="215" t="s">
        <v>3444</v>
      </c>
      <c r="J192" s="216"/>
      <c r="K192" s="216"/>
      <c r="L192" s="1364" t="s">
        <v>3445</v>
      </c>
      <c r="M192" s="1323">
        <v>8</v>
      </c>
      <c r="N192" s="216"/>
      <c r="O192" s="1324">
        <f>M192*S192*W192</f>
        <v>8</v>
      </c>
      <c r="P192" s="97" t="b">
        <v>0</v>
      </c>
      <c r="Q192" s="97" t="b">
        <v>1</v>
      </c>
      <c r="R192" s="218" t="b">
        <v>0</v>
      </c>
      <c r="S192" s="218" t="b">
        <v>1</v>
      </c>
      <c r="T192" s="218" t="b">
        <v>0</v>
      </c>
      <c r="U192" s="218"/>
      <c r="V192" s="218"/>
      <c r="W192" s="452" t="b">
        <v>1</v>
      </c>
      <c r="X192" s="1295" t="s">
        <v>4818</v>
      </c>
      <c r="AC192" s="488" t="b">
        <f>OR(AD192:AE192)</f>
        <v>0</v>
      </c>
      <c r="AD192" s="488" t="b">
        <f>T192</f>
        <v>0</v>
      </c>
      <c r="AE192" s="488" t="b">
        <f>AND(R192,NOT(W192))</f>
        <v>0</v>
      </c>
      <c r="AL192" s="311" t="str">
        <f>SUBSTITUTE(SUBSTITUTE(SUBSTITUTE("dpa"&amp;$B192&amp;$C192&amp;$D192&amp;$E192&amp;$F192,".","_"),"(","_"),")","")</f>
        <v>dpa902_1_3</v>
      </c>
      <c r="AM192" s="311">
        <f>M192</f>
        <v>8</v>
      </c>
      <c r="AN192" s="311" t="str">
        <f>SUBSTITUTE(SUBSTITUTE(SUBSTITUTE("dpc"&amp;$B192&amp;$C192&amp;$D192&amp;$E192&amp;$F192,".","_"),"(","_"),")","")</f>
        <v>dpc902_1_3</v>
      </c>
      <c r="AO192" s="311">
        <f>O192</f>
        <v>8</v>
      </c>
      <c r="AP192" s="311" t="str">
        <f t="shared" si="6"/>
        <v>dch902_1_3</v>
      </c>
      <c r="AQ192" s="311" t="b">
        <f>W192</f>
        <v>1</v>
      </c>
      <c r="AR192" s="311" t="str">
        <f>SUBSTITUTE(SUBSTITUTE(SUBSTITUTE("dnt"&amp;$B192&amp;$C192&amp;$D192&amp;$E192&amp;$F192,".","_"),"(","_"),")","")</f>
        <v>dnt902_1_3</v>
      </c>
      <c r="AS192" s="311" t="str">
        <f>X192</f>
        <v>ZERH Requirement - ENERGY STAR Certified Homes National Rater Field Checklist, Section 8.1 Kitchen Exhaust</v>
      </c>
    </row>
    <row r="193" spans="2:45" x14ac:dyDescent="0.3">
      <c r="B193" s="938" t="s">
        <v>3444</v>
      </c>
      <c r="C193" s="21"/>
      <c r="D193" s="21"/>
      <c r="E193" s="21"/>
      <c r="F193" s="21"/>
      <c r="G193" s="21"/>
      <c r="H193" s="1084"/>
      <c r="I193" s="576"/>
      <c r="J193" s="140"/>
      <c r="K193" s="140"/>
      <c r="L193" s="1313"/>
      <c r="M193" s="1318"/>
      <c r="N193" s="140"/>
      <c r="O193" s="1308"/>
      <c r="P193" s="97"/>
      <c r="Q193" s="97"/>
      <c r="R193" s="97"/>
      <c r="S193" s="97"/>
      <c r="T193" s="97"/>
      <c r="U193" s="97"/>
      <c r="V193" s="97"/>
      <c r="W193" s="97"/>
      <c r="X193" s="1295"/>
    </row>
    <row r="194" spans="2:45" ht="15" customHeight="1" x14ac:dyDescent="0.3">
      <c r="B194" s="938" t="s">
        <v>3444</v>
      </c>
      <c r="C194" s="21"/>
      <c r="D194" s="21"/>
      <c r="E194" s="21"/>
      <c r="F194" s="21" t="s">
        <v>121</v>
      </c>
      <c r="G194" s="21"/>
      <c r="H194" s="1084"/>
      <c r="I194" s="576"/>
      <c r="J194" s="140"/>
      <c r="K194" s="203" t="s">
        <v>121</v>
      </c>
      <c r="L194" s="544" t="s">
        <v>3446</v>
      </c>
      <c r="M194" s="548"/>
      <c r="N194" s="140"/>
      <c r="O194" s="598"/>
      <c r="P194" s="97"/>
      <c r="Q194" s="97"/>
      <c r="R194" s="97"/>
      <c r="S194" s="97"/>
      <c r="T194" s="97"/>
      <c r="U194" s="97"/>
      <c r="V194" s="97"/>
      <c r="W194" s="97"/>
      <c r="X194" s="1295"/>
    </row>
    <row r="195" spans="2:45" ht="15" customHeight="1" x14ac:dyDescent="0.3">
      <c r="B195" s="938" t="s">
        <v>3444</v>
      </c>
      <c r="C195" s="21"/>
      <c r="D195" s="21"/>
      <c r="E195" s="21"/>
      <c r="F195" s="21" t="s">
        <v>122</v>
      </c>
      <c r="G195" s="21"/>
      <c r="H195" s="1084"/>
      <c r="I195" s="620"/>
      <c r="J195" s="238"/>
      <c r="K195" s="231" t="s">
        <v>122</v>
      </c>
      <c r="L195" s="545" t="s">
        <v>3447</v>
      </c>
      <c r="M195" s="549"/>
      <c r="N195" s="238"/>
      <c r="O195" s="599"/>
      <c r="P195" s="196"/>
      <c r="Q195" s="196"/>
      <c r="R195" s="196"/>
      <c r="S195" s="196"/>
      <c r="T195" s="196"/>
      <c r="U195" s="196"/>
      <c r="V195" s="196"/>
      <c r="W195" s="196"/>
      <c r="X195" s="1295"/>
    </row>
    <row r="196" spans="2:45" x14ac:dyDescent="0.3">
      <c r="B196" s="938" t="s">
        <v>3448</v>
      </c>
      <c r="C196" s="21"/>
      <c r="D196" s="21"/>
      <c r="E196" s="21"/>
      <c r="F196" s="21"/>
      <c r="G196" s="21"/>
      <c r="H196" s="1084"/>
      <c r="I196" s="215" t="s">
        <v>3448</v>
      </c>
      <c r="J196" s="216"/>
      <c r="K196" s="216"/>
      <c r="L196" s="625" t="s">
        <v>3449</v>
      </c>
      <c r="M196" s="550" t="s">
        <v>571</v>
      </c>
      <c r="N196" s="216"/>
      <c r="O196" s="601">
        <f>MIN(12,M197*S198*W198+M199*S200*W200)</f>
        <v>6</v>
      </c>
      <c r="P196" s="218"/>
      <c r="Q196" s="218"/>
      <c r="R196" s="218"/>
      <c r="S196" s="218"/>
      <c r="T196" s="218"/>
      <c r="U196" s="218"/>
      <c r="V196" s="218"/>
      <c r="W196" s="218"/>
      <c r="X196" s="1295" t="s">
        <v>4811</v>
      </c>
      <c r="AL196" s="311" t="str">
        <f>SUBSTITUTE(SUBSTITUTE(SUBSTITUTE("dpa"&amp;$B196&amp;$C196&amp;$D196&amp;$E196&amp;$F196,".","_"),"(","_"),")","")</f>
        <v>dpa902_1_4</v>
      </c>
      <c r="AM196" s="311" t="str">
        <f>M196</f>
        <v>12 Max</v>
      </c>
      <c r="AN196" s="311" t="str">
        <f>SUBSTITUTE(SUBSTITUTE(SUBSTITUTE("dpc"&amp;$B196&amp;$C196&amp;$D196&amp;$E196&amp;$F196,".","_"),"(","_"),")","")</f>
        <v>dpc902_1_4</v>
      </c>
      <c r="AO196" s="311">
        <f>O196</f>
        <v>6</v>
      </c>
      <c r="AR196" s="311" t="str">
        <f>SUBSTITUTE(SUBSTITUTE(SUBSTITUTE("dnt"&amp;$B196&amp;$C196&amp;$D196&amp;$E196&amp;$F196,".","_"),"(","_"),")","")</f>
        <v>dnt902_1_4</v>
      </c>
      <c r="AS196" s="311" t="str">
        <f>X196</f>
        <v>ZERH Requirement - ENERGY STAR Certified Homes National Rater Field Checklist, Section 8 Local Mechanical Exhaust</v>
      </c>
    </row>
    <row r="197" spans="2:45" ht="15" customHeight="1" x14ac:dyDescent="0.3">
      <c r="B197" s="938" t="s">
        <v>3448</v>
      </c>
      <c r="C197" s="21"/>
      <c r="D197" s="21"/>
      <c r="E197" s="21" t="s">
        <v>271</v>
      </c>
      <c r="F197" s="21"/>
      <c r="G197" s="21"/>
      <c r="H197" s="1084"/>
      <c r="I197" s="576"/>
      <c r="J197" s="203" t="s">
        <v>271</v>
      </c>
      <c r="K197" s="140"/>
      <c r="L197" s="544" t="s">
        <v>3921</v>
      </c>
      <c r="M197" s="1318">
        <v>2</v>
      </c>
      <c r="N197" s="140"/>
      <c r="O197" s="598"/>
      <c r="P197" s="97"/>
      <c r="Q197" s="97"/>
      <c r="R197" s="97"/>
      <c r="S197" s="97"/>
      <c r="T197" s="97"/>
      <c r="U197" s="97"/>
      <c r="V197" s="97"/>
      <c r="W197" s="97" t="s">
        <v>4029</v>
      </c>
      <c r="X197" s="1295"/>
      <c r="AL197" s="311" t="str">
        <f>SUBSTITUTE(SUBSTITUTE(SUBSTITUTE("dpa"&amp;$B197&amp;$C197&amp;$D197&amp;$E197&amp;$F197,".","_"),"(","_"),")","")</f>
        <v>dpa902_1_4_1</v>
      </c>
      <c r="AM197" s="311">
        <f>M197</f>
        <v>2</v>
      </c>
    </row>
    <row r="198" spans="2:45" x14ac:dyDescent="0.3">
      <c r="B198" s="938" t="s">
        <v>3448</v>
      </c>
      <c r="C198" s="21"/>
      <c r="D198" s="21"/>
      <c r="E198" s="21" t="s">
        <v>271</v>
      </c>
      <c r="F198" s="21"/>
      <c r="G198" s="21"/>
      <c r="H198" s="1084"/>
      <c r="I198" s="576"/>
      <c r="J198" s="231"/>
      <c r="K198" s="238"/>
      <c r="L198" s="560" t="s">
        <v>3450</v>
      </c>
      <c r="M198" s="1319"/>
      <c r="N198" s="140"/>
      <c r="O198" s="598"/>
      <c r="P198" s="97" t="b">
        <v>0</v>
      </c>
      <c r="Q198" s="97" t="b">
        <v>1</v>
      </c>
      <c r="R198" s="97" t="b">
        <v>0</v>
      </c>
      <c r="S198" s="97" t="b">
        <v>1</v>
      </c>
      <c r="T198" s="97" t="b">
        <v>0</v>
      </c>
      <c r="U198" s="97"/>
      <c r="V198" s="97"/>
      <c r="W198" s="580"/>
      <c r="X198" s="1295"/>
      <c r="AC198" s="488" t="b">
        <f>OR(AD198:AE198)</f>
        <v>0</v>
      </c>
      <c r="AD198" s="488" t="b">
        <f>T198</f>
        <v>0</v>
      </c>
      <c r="AE198" s="488" t="b">
        <f>AND(R198,OR(W198="Not Met",W198=""))</f>
        <v>0</v>
      </c>
      <c r="AP198" s="311" t="str">
        <f>SUBSTITUTE(SUBSTITUTE(SUBSTITUTE("dch"&amp;$B198&amp;$C198&amp;$D198&amp;$E198&amp;$F198,".","_"),"(","_"),")","")</f>
        <v>dch902_1_4_1</v>
      </c>
      <c r="AQ198" s="311">
        <f>W198</f>
        <v>0</v>
      </c>
    </row>
    <row r="199" spans="2:45" x14ac:dyDescent="0.3">
      <c r="B199" s="938" t="s">
        <v>3448</v>
      </c>
      <c r="C199" s="21"/>
      <c r="D199" s="21"/>
      <c r="E199" s="21" t="s">
        <v>273</v>
      </c>
      <c r="F199" s="21"/>
      <c r="G199" s="21"/>
      <c r="H199" s="1084"/>
      <c r="I199" s="576"/>
      <c r="J199" s="203" t="s">
        <v>273</v>
      </c>
      <c r="K199" s="140"/>
      <c r="L199" s="544" t="s">
        <v>3451</v>
      </c>
      <c r="M199" s="1318">
        <v>3</v>
      </c>
      <c r="N199" s="140"/>
      <c r="O199" s="598"/>
      <c r="P199" s="97"/>
      <c r="Q199" s="97"/>
      <c r="R199" s="97"/>
      <c r="S199" s="97"/>
      <c r="T199" s="97"/>
      <c r="U199" s="97"/>
      <c r="V199" s="97"/>
      <c r="W199" s="97"/>
      <c r="X199" s="1295"/>
      <c r="AL199" s="311" t="str">
        <f>SUBSTITUTE(SUBSTITUTE(SUBSTITUTE("dpa"&amp;$B199&amp;$C199&amp;$D199&amp;$E199&amp;$F199,".","_"),"(","_"),")","")</f>
        <v>dpa902_1_4_2</v>
      </c>
      <c r="AM199" s="311">
        <f>M199</f>
        <v>3</v>
      </c>
    </row>
    <row r="200" spans="2:45" x14ac:dyDescent="0.3">
      <c r="B200" s="938" t="s">
        <v>3448</v>
      </c>
      <c r="C200" s="21"/>
      <c r="D200" s="21"/>
      <c r="E200" s="21" t="s">
        <v>273</v>
      </c>
      <c r="F200" s="21"/>
      <c r="G200" s="21"/>
      <c r="H200" s="1084"/>
      <c r="I200" s="620"/>
      <c r="J200" s="238"/>
      <c r="K200" s="238"/>
      <c r="L200" s="560" t="s">
        <v>3450</v>
      </c>
      <c r="M200" s="1319"/>
      <c r="N200" s="238"/>
      <c r="O200" s="599"/>
      <c r="P200" s="97" t="b">
        <v>0</v>
      </c>
      <c r="Q200" s="97" t="b">
        <v>1</v>
      </c>
      <c r="R200" s="196" t="b">
        <v>0</v>
      </c>
      <c r="S200" s="196" t="b">
        <v>1</v>
      </c>
      <c r="T200" s="196" t="b">
        <v>0</v>
      </c>
      <c r="U200" s="196"/>
      <c r="V200" s="196"/>
      <c r="W200" s="580">
        <v>2</v>
      </c>
      <c r="X200" s="1295"/>
      <c r="AC200" s="488" t="b">
        <f>OR(AD200:AE200)</f>
        <v>0</v>
      </c>
      <c r="AD200" s="488" t="b">
        <f>T200</f>
        <v>0</v>
      </c>
      <c r="AE200" s="488" t="b">
        <f>AND(R200,OR(W200="Not Met",W200=""))</f>
        <v>0</v>
      </c>
      <c r="AP200" s="311" t="str">
        <f>SUBSTITUTE(SUBSTITUTE(SUBSTITUTE("dch"&amp;$B200&amp;$C200&amp;$D200&amp;$E200&amp;$F200,".","_"),"(","_"),")","")</f>
        <v>dch902_1_4_2</v>
      </c>
      <c r="AQ200" s="311">
        <f>W200</f>
        <v>2</v>
      </c>
    </row>
    <row r="201" spans="2:45" x14ac:dyDescent="0.3">
      <c r="B201" s="938" t="s">
        <v>3452</v>
      </c>
      <c r="C201" s="21"/>
      <c r="D201" s="21"/>
      <c r="E201" s="21"/>
      <c r="F201" s="21"/>
      <c r="G201" s="21"/>
      <c r="H201" s="1084"/>
      <c r="I201" s="66" t="s">
        <v>3452</v>
      </c>
      <c r="J201" s="4"/>
      <c r="K201" s="4"/>
      <c r="L201" s="1292" t="s">
        <v>3453</v>
      </c>
      <c r="M201" s="1335">
        <v>3</v>
      </c>
      <c r="N201" s="4"/>
      <c r="O201" s="1310">
        <f>M201*W203*W205*W207</f>
        <v>0</v>
      </c>
      <c r="AL201" s="311" t="str">
        <f>SUBSTITUTE(SUBSTITUTE(SUBSTITUTE("dpa"&amp;$B201&amp;$C201&amp;$D201&amp;$E201&amp;$F201,".","_"),"(","_"),")","")</f>
        <v>dpa902_1_5</v>
      </c>
      <c r="AM201" s="311">
        <f>M201</f>
        <v>3</v>
      </c>
      <c r="AN201" s="311" t="str">
        <f>SUBSTITUTE(SUBSTITUTE(SUBSTITUTE("dpc"&amp;$B201&amp;$C201&amp;$D201&amp;$E201&amp;$F201,".","_"),"(","_"),")","")</f>
        <v>dpc902_1_5</v>
      </c>
      <c r="AO201" s="311">
        <f>O201</f>
        <v>0</v>
      </c>
    </row>
    <row r="202" spans="2:45" x14ac:dyDescent="0.3">
      <c r="B202" s="938" t="s">
        <v>3452</v>
      </c>
      <c r="C202" s="21"/>
      <c r="D202" s="21"/>
      <c r="E202" s="21"/>
      <c r="F202" s="21"/>
      <c r="G202" s="21"/>
      <c r="H202" s="1084"/>
      <c r="I202" s="182"/>
      <c r="J202" s="4"/>
      <c r="K202" s="4"/>
      <c r="L202" s="1292"/>
      <c r="M202" s="1335"/>
      <c r="N202" s="4"/>
      <c r="O202" s="1310"/>
    </row>
    <row r="203" spans="2:45" x14ac:dyDescent="0.3">
      <c r="B203" s="938" t="s">
        <v>3452</v>
      </c>
      <c r="C203" s="21"/>
      <c r="D203" s="21"/>
      <c r="E203" s="21" t="s">
        <v>271</v>
      </c>
      <c r="F203" s="21"/>
      <c r="G203" s="21"/>
      <c r="H203" s="1084"/>
      <c r="I203" s="182"/>
      <c r="J203" s="203" t="s">
        <v>271</v>
      </c>
      <c r="K203" s="140"/>
      <c r="L203" s="1305" t="s">
        <v>3454</v>
      </c>
      <c r="M203" s="522"/>
      <c r="N203" s="4"/>
      <c r="O203" s="154"/>
      <c r="P203" s="97" t="b">
        <v>0</v>
      </c>
      <c r="Q203" s="97" t="b">
        <v>1</v>
      </c>
      <c r="R203" s="480" t="b">
        <v>0</v>
      </c>
      <c r="S203" s="480" t="b">
        <v>1</v>
      </c>
      <c r="T203" s="480" t="b">
        <v>0</v>
      </c>
      <c r="W203" s="25"/>
      <c r="X203" s="1303"/>
      <c r="AC203" s="488" t="b">
        <f>OR(AD203:AE203)</f>
        <v>0</v>
      </c>
      <c r="AD203" s="488" t="b">
        <f>T203</f>
        <v>0</v>
      </c>
      <c r="AE203" s="488" t="b">
        <f>AND(R203,NOT(W203))</f>
        <v>0</v>
      </c>
      <c r="AP203" s="311" t="str">
        <f>SUBSTITUTE(SUBSTITUTE(SUBSTITUTE("dch"&amp;$B203&amp;$C203&amp;$D203&amp;$E203&amp;$F203,".","_"),"(","_"),")","")</f>
        <v>dch902_1_5_1</v>
      </c>
      <c r="AQ203" s="311">
        <f>W203</f>
        <v>0</v>
      </c>
      <c r="AR203" s="311" t="str">
        <f>SUBSTITUTE(SUBSTITUTE(SUBSTITUTE("dnt"&amp;$B203&amp;$C203&amp;$D203&amp;$E203&amp;$F203,".","_"),"(","_"),")","")</f>
        <v>dnt902_1_5_1</v>
      </c>
      <c r="AS203" s="311">
        <f>X203</f>
        <v>0</v>
      </c>
    </row>
    <row r="204" spans="2:45" x14ac:dyDescent="0.3">
      <c r="B204" s="938" t="s">
        <v>3452</v>
      </c>
      <c r="C204" s="21"/>
      <c r="D204" s="21"/>
      <c r="E204" s="21" t="s">
        <v>271</v>
      </c>
      <c r="F204" s="21"/>
      <c r="G204" s="21"/>
      <c r="H204" s="1084"/>
      <c r="I204" s="182"/>
      <c r="J204" s="231"/>
      <c r="K204" s="238"/>
      <c r="L204" s="1306"/>
      <c r="M204" s="522"/>
      <c r="N204" s="4"/>
      <c r="O204" s="154"/>
      <c r="X204" s="1303"/>
    </row>
    <row r="205" spans="2:45" x14ac:dyDescent="0.3">
      <c r="B205" s="938" t="s">
        <v>3452</v>
      </c>
      <c r="C205" s="21"/>
      <c r="D205" s="21"/>
      <c r="E205" s="21" t="s">
        <v>273</v>
      </c>
      <c r="F205" s="21"/>
      <c r="G205" s="21"/>
      <c r="H205" s="1084"/>
      <c r="I205" s="182"/>
      <c r="J205" s="203" t="s">
        <v>273</v>
      </c>
      <c r="K205" s="140"/>
      <c r="L205" s="1305" t="s">
        <v>3455</v>
      </c>
      <c r="M205" s="522"/>
      <c r="N205" s="4"/>
      <c r="O205" s="154"/>
      <c r="P205" s="97" t="b">
        <v>0</v>
      </c>
      <c r="Q205" s="97" t="b">
        <v>1</v>
      </c>
      <c r="R205" s="480" t="b">
        <v>0</v>
      </c>
      <c r="S205" s="480" t="b">
        <v>1</v>
      </c>
      <c r="T205" s="480" t="b">
        <v>0</v>
      </c>
      <c r="W205" s="25"/>
      <c r="X205" s="1303"/>
      <c r="AC205" s="488" t="b">
        <f>OR(AD205:AE205)</f>
        <v>0</v>
      </c>
      <c r="AD205" s="488" t="b">
        <f>T205</f>
        <v>0</v>
      </c>
      <c r="AE205" s="488" t="b">
        <f>AND(R205,NOT(W205))</f>
        <v>0</v>
      </c>
      <c r="AP205" s="311" t="str">
        <f>SUBSTITUTE(SUBSTITUTE(SUBSTITUTE("dch"&amp;$B205&amp;$C205&amp;$D205&amp;$E205&amp;$F205,".","_"),"(","_"),")","")</f>
        <v>dch902_1_5_2</v>
      </c>
      <c r="AQ205" s="311">
        <f>W205</f>
        <v>0</v>
      </c>
      <c r="AR205" s="311" t="str">
        <f>SUBSTITUTE(SUBSTITUTE(SUBSTITUTE("dnt"&amp;$B205&amp;$C205&amp;$D205&amp;$E205&amp;$F205,".","_"),"(","_"),")","")</f>
        <v>dnt902_1_5_2</v>
      </c>
      <c r="AS205" s="311">
        <f>X205</f>
        <v>0</v>
      </c>
    </row>
    <row r="206" spans="2:45" x14ac:dyDescent="0.3">
      <c r="B206" s="938" t="s">
        <v>3452</v>
      </c>
      <c r="C206" s="21"/>
      <c r="D206" s="21"/>
      <c r="E206" s="21" t="s">
        <v>273</v>
      </c>
      <c r="F206" s="21"/>
      <c r="G206" s="21"/>
      <c r="H206" s="1084"/>
      <c r="I206" s="182"/>
      <c r="J206" s="238"/>
      <c r="K206" s="238"/>
      <c r="L206" s="1306"/>
      <c r="M206" s="522"/>
      <c r="N206" s="4"/>
      <c r="O206" s="154"/>
      <c r="X206" s="1303"/>
    </row>
    <row r="207" spans="2:45" x14ac:dyDescent="0.3">
      <c r="B207" s="938" t="s">
        <v>3452</v>
      </c>
      <c r="C207" s="21"/>
      <c r="D207" s="21"/>
      <c r="E207" s="21" t="s">
        <v>275</v>
      </c>
      <c r="F207" s="21"/>
      <c r="G207" s="21"/>
      <c r="H207" s="1084"/>
      <c r="I207" s="576"/>
      <c r="J207" s="203" t="s">
        <v>275</v>
      </c>
      <c r="K207" s="140"/>
      <c r="L207" s="1305" t="s">
        <v>3456</v>
      </c>
      <c r="M207" s="518"/>
      <c r="N207" s="140"/>
      <c r="O207" s="269"/>
      <c r="P207" s="97" t="b">
        <v>0</v>
      </c>
      <c r="Q207" s="97" t="b">
        <v>1</v>
      </c>
      <c r="R207" s="97" t="b">
        <v>0</v>
      </c>
      <c r="S207" s="97" t="b">
        <v>1</v>
      </c>
      <c r="T207" s="97" t="b">
        <v>0</v>
      </c>
      <c r="U207" s="97"/>
      <c r="V207" s="97"/>
      <c r="W207" s="452"/>
      <c r="X207" s="1295"/>
      <c r="AC207" s="488" t="b">
        <f>OR(AD207:AE207)</f>
        <v>0</v>
      </c>
      <c r="AD207" s="488" t="b">
        <f>T207</f>
        <v>0</v>
      </c>
      <c r="AE207" s="488" t="b">
        <f>AND(R207,NOT(W207))</f>
        <v>0</v>
      </c>
      <c r="AP207" s="311" t="str">
        <f>SUBSTITUTE(SUBSTITUTE(SUBSTITUTE("dch"&amp;$B207&amp;$C207&amp;$D207&amp;$E207&amp;$F207,".","_"),"(","_"),")","")</f>
        <v>dch902_1_5_3</v>
      </c>
      <c r="AQ207" s="311">
        <f>W207</f>
        <v>0</v>
      </c>
      <c r="AR207" s="311" t="str">
        <f>SUBSTITUTE(SUBSTITUTE(SUBSTITUTE("dnt"&amp;$B207&amp;$C207&amp;$D207&amp;$E207&amp;$F207,".","_"),"(","_"),")","")</f>
        <v>dnt902_1_5_3</v>
      </c>
      <c r="AS207" s="311">
        <f>X207</f>
        <v>0</v>
      </c>
    </row>
    <row r="208" spans="2:45" x14ac:dyDescent="0.3">
      <c r="B208" s="938" t="s">
        <v>3452</v>
      </c>
      <c r="C208" s="21"/>
      <c r="D208" s="21"/>
      <c r="E208" s="21" t="s">
        <v>275</v>
      </c>
      <c r="F208" s="21"/>
      <c r="G208" s="21"/>
      <c r="H208" s="1084"/>
      <c r="I208" s="576"/>
      <c r="J208" s="140"/>
      <c r="K208" s="140"/>
      <c r="L208" s="1305"/>
      <c r="M208" s="518"/>
      <c r="N208" s="140"/>
      <c r="O208" s="269"/>
      <c r="P208" s="97"/>
      <c r="Q208" s="97"/>
      <c r="R208" s="97"/>
      <c r="S208" s="97"/>
      <c r="T208" s="97"/>
      <c r="U208" s="97"/>
      <c r="V208" s="97"/>
      <c r="W208" s="97"/>
      <c r="X208" s="1295"/>
    </row>
    <row r="209" spans="2:45" ht="15" thickBot="1" x14ac:dyDescent="0.35">
      <c r="B209" s="938" t="s">
        <v>3452</v>
      </c>
      <c r="C209" s="21"/>
      <c r="D209" s="21"/>
      <c r="E209" s="21" t="s">
        <v>275</v>
      </c>
      <c r="F209" s="21"/>
      <c r="G209" s="21"/>
      <c r="H209" s="1084"/>
      <c r="I209" s="577"/>
      <c r="J209" s="270"/>
      <c r="K209" s="270"/>
      <c r="L209" s="1330"/>
      <c r="M209" s="523"/>
      <c r="N209" s="270"/>
      <c r="O209" s="271"/>
      <c r="P209" s="104"/>
      <c r="Q209" s="104"/>
      <c r="R209" s="104"/>
      <c r="S209" s="104"/>
      <c r="T209" s="104"/>
      <c r="U209" s="104"/>
      <c r="V209" s="104"/>
      <c r="W209" s="104"/>
      <c r="X209" s="1296"/>
    </row>
    <row r="210" spans="2:45" ht="15" thickTop="1" x14ac:dyDescent="0.3">
      <c r="B210" s="938">
        <v>902.2</v>
      </c>
      <c r="C210" s="21"/>
      <c r="D210" s="21"/>
      <c r="E210" s="21"/>
      <c r="F210" s="21"/>
      <c r="G210" s="21"/>
      <c r="H210" s="1084"/>
      <c r="I210" s="200">
        <v>902.2</v>
      </c>
      <c r="J210" s="201"/>
      <c r="K210" s="201"/>
      <c r="L210" s="562" t="s">
        <v>3457</v>
      </c>
      <c r="M210" s="547"/>
      <c r="N210" s="201"/>
      <c r="O210" s="602"/>
      <c r="P210" s="110"/>
      <c r="Q210" s="110"/>
      <c r="R210" s="110"/>
      <c r="S210" s="110"/>
      <c r="T210" s="110"/>
      <c r="U210" s="110"/>
      <c r="V210" s="110"/>
      <c r="W210" s="110"/>
      <c r="X210" s="110"/>
    </row>
    <row r="211" spans="2:45" x14ac:dyDescent="0.3">
      <c r="B211" s="938" t="s">
        <v>3923</v>
      </c>
      <c r="C211" s="21"/>
      <c r="D211" s="21"/>
      <c r="E211" s="21"/>
      <c r="F211" s="21"/>
      <c r="G211" s="21"/>
      <c r="H211" s="1084"/>
      <c r="I211" s="141" t="s">
        <v>3923</v>
      </c>
      <c r="J211" s="140"/>
      <c r="K211" s="140"/>
      <c r="L211" s="1313" t="s">
        <v>4684</v>
      </c>
      <c r="M211" s="1353" t="str">
        <f>IF(R211,"Mandatory 
(ACH50 is &lt; 5.0)","N/A")</f>
        <v>N/A</v>
      </c>
      <c r="N211" s="140"/>
      <c r="O211" s="1308">
        <f ca="1">IFERROR(INDEX({3,6,7,8},MATCH(W211,INDIRECT(U211),0)),0)*S211</f>
        <v>3</v>
      </c>
      <c r="P211" s="97" t="b">
        <v>0</v>
      </c>
      <c r="Q211" s="97" t="b">
        <v>1</v>
      </c>
      <c r="R211" s="97" t="b">
        <f>AND(IF(S212=0,FALSE,IF(S212&lt;5,TRUE,FALSE)))</f>
        <v>0</v>
      </c>
      <c r="S211" s="97" t="b">
        <v>1</v>
      </c>
      <c r="T211" s="97" t="b">
        <f>AND(NOT(S211),LEN(W211)&gt;0)</f>
        <v>0</v>
      </c>
      <c r="U211" s="97" t="str">
        <f>SUBSTITUTE(SUBSTITUTE(SUBSTITUTE("dd"&amp;B211&amp;C211&amp;D211&amp;E211&amp;F211,".","_"),"(","_"),")","")</f>
        <v>dd902_2_1</v>
      </c>
      <c r="V211" s="97"/>
      <c r="W211" s="114" t="s">
        <v>271</v>
      </c>
      <c r="X211" s="1295" t="s">
        <v>4812</v>
      </c>
      <c r="AC211" s="488" t="b">
        <f>OR(AD211:AE211)</f>
        <v>0</v>
      </c>
      <c r="AD211" s="488" t="b">
        <f>T211</f>
        <v>0</v>
      </c>
      <c r="AE211" s="488" t="b">
        <f>AND(R211,OR(W211="Not Met",W211=""))</f>
        <v>0</v>
      </c>
      <c r="AL211" s="311" t="str">
        <f>SUBSTITUTE(SUBSTITUTE(SUBSTITUTE("dpa"&amp;$B211&amp;$C211&amp;$D211&amp;$E211&amp;$F211,".","_"),"(","_"),")","")</f>
        <v>dpa902_2_1</v>
      </c>
      <c r="AM211" s="311" t="str">
        <f>M211</f>
        <v>N/A</v>
      </c>
      <c r="AN211" s="311" t="str">
        <f>SUBSTITUTE(SUBSTITUTE(SUBSTITUTE("dpc"&amp;$B211&amp;$C211&amp;$D211&amp;$E211&amp;$F211,".","_"),"(","_"),")","")</f>
        <v>dpc902_2_1</v>
      </c>
      <c r="AO211" s="311">
        <f ca="1">O211</f>
        <v>3</v>
      </c>
      <c r="AP211" s="311" t="str">
        <f>SUBSTITUTE(SUBSTITUTE(SUBSTITUTE("dch"&amp;$B211&amp;$C211&amp;$D211&amp;$E211&amp;$F211,".","_"),"(","_"),")","")</f>
        <v>dch902_2_1</v>
      </c>
      <c r="AQ211" s="311" t="str">
        <f>W211</f>
        <v>(1)</v>
      </c>
      <c r="AR211" s="311" t="str">
        <f>SUBSTITUTE(SUBSTITUTE(SUBSTITUTE("dnt"&amp;$B211&amp;$C211&amp;$D211&amp;$E211&amp;$F211,".","_"),"(","_"),")","")</f>
        <v>dnt902_2_1</v>
      </c>
      <c r="AS211" s="311" t="str">
        <f>X211</f>
        <v>ZERH Requirement - ENERGY STAR Certified Homes National Rater Field Checklist, Section 7.2 Ventilation Override Switch</v>
      </c>
    </row>
    <row r="212" spans="2:45" x14ac:dyDescent="0.3">
      <c r="B212" s="938" t="s">
        <v>3923</v>
      </c>
      <c r="C212" s="21"/>
      <c r="D212" s="21"/>
      <c r="E212" s="21"/>
      <c r="F212" s="21"/>
      <c r="G212" s="21"/>
      <c r="H212" s="1084"/>
      <c r="I212" s="576"/>
      <c r="J212" s="140"/>
      <c r="K212" s="140"/>
      <c r="L212" s="1313"/>
      <c r="M212" s="1353"/>
      <c r="N212" s="140"/>
      <c r="O212" s="1308"/>
      <c r="P212" s="97"/>
      <c r="Q212" s="97"/>
      <c r="R212" s="581" t="s">
        <v>4030</v>
      </c>
      <c r="S212" s="582">
        <f>MAX('Ch7'!W524,'Ch7'!W72)</f>
        <v>0</v>
      </c>
      <c r="T212" s="97"/>
      <c r="U212" s="97"/>
      <c r="V212" s="97"/>
      <c r="W212" s="97"/>
      <c r="X212" s="1295"/>
    </row>
    <row r="213" spans="2:45" x14ac:dyDescent="0.3">
      <c r="B213" s="938" t="s">
        <v>3923</v>
      </c>
      <c r="C213" s="21"/>
      <c r="D213" s="21"/>
      <c r="E213" s="21"/>
      <c r="F213" s="21"/>
      <c r="G213" s="21"/>
      <c r="H213" s="1084"/>
      <c r="I213" s="576"/>
      <c r="J213" s="140"/>
      <c r="K213" s="140"/>
      <c r="L213" s="1313"/>
      <c r="M213" s="1353"/>
      <c r="N213" s="140"/>
      <c r="O213" s="1308"/>
      <c r="P213" s="97"/>
      <c r="Q213" s="97"/>
      <c r="R213"/>
      <c r="S213"/>
      <c r="T213" s="97"/>
      <c r="U213" s="97"/>
      <c r="V213" s="97"/>
      <c r="W213" s="97"/>
      <c r="X213" s="1295"/>
    </row>
    <row r="214" spans="2:45" x14ac:dyDescent="0.3">
      <c r="B214" s="938" t="s">
        <v>3923</v>
      </c>
      <c r="C214" s="21"/>
      <c r="D214" s="21"/>
      <c r="E214" s="21" t="s">
        <v>271</v>
      </c>
      <c r="F214" s="21"/>
      <c r="G214" s="21"/>
      <c r="H214" s="1084"/>
      <c r="I214" s="576"/>
      <c r="J214" s="203" t="s">
        <v>271</v>
      </c>
      <c r="K214" s="140"/>
      <c r="L214" s="1293" t="s">
        <v>3458</v>
      </c>
      <c r="M214" s="1318">
        <v>3</v>
      </c>
      <c r="N214" s="140"/>
      <c r="O214" s="598"/>
      <c r="P214" s="97"/>
      <c r="Q214" s="97"/>
      <c r="R214"/>
      <c r="S214"/>
      <c r="T214" s="97"/>
      <c r="U214" s="97"/>
      <c r="V214" s="97"/>
      <c r="W214" s="97"/>
      <c r="X214" s="1295"/>
      <c r="AL214" s="311" t="str">
        <f>SUBSTITUTE(SUBSTITUTE(SUBSTITUTE("dpa"&amp;$B214&amp;$C214&amp;$D214&amp;$E214&amp;$F214,".","_"),"(","_"),")","")</f>
        <v>dpa902_2_1_1</v>
      </c>
      <c r="AM214" s="311">
        <f>M214</f>
        <v>3</v>
      </c>
    </row>
    <row r="215" spans="2:45" x14ac:dyDescent="0.3">
      <c r="B215" s="938" t="s">
        <v>3923</v>
      </c>
      <c r="C215" s="21"/>
      <c r="D215" s="21"/>
      <c r="E215" s="21" t="s">
        <v>271</v>
      </c>
      <c r="F215" s="21"/>
      <c r="G215" s="21"/>
      <c r="H215" s="1084"/>
      <c r="I215" s="576"/>
      <c r="J215" s="231"/>
      <c r="K215" s="238"/>
      <c r="L215" s="1294"/>
      <c r="M215" s="1319"/>
      <c r="N215" s="140"/>
      <c r="O215" s="598"/>
      <c r="P215" s="97"/>
      <c r="Q215" s="97"/>
      <c r="R215" s="97"/>
      <c r="S215" s="97"/>
      <c r="T215" s="97"/>
      <c r="U215" s="97"/>
      <c r="V215" s="97"/>
      <c r="W215" s="97"/>
      <c r="X215" s="1295"/>
    </row>
    <row r="216" spans="2:45" x14ac:dyDescent="0.3">
      <c r="B216" s="938" t="s">
        <v>3923</v>
      </c>
      <c r="C216" s="21"/>
      <c r="D216" s="21"/>
      <c r="E216" s="21" t="s">
        <v>273</v>
      </c>
      <c r="F216" s="21"/>
      <c r="G216" s="21"/>
      <c r="H216" s="1084"/>
      <c r="I216" s="576"/>
      <c r="J216" s="203" t="s">
        <v>273</v>
      </c>
      <c r="K216" s="140"/>
      <c r="L216" s="1305" t="s">
        <v>3459</v>
      </c>
      <c r="M216" s="1318">
        <v>6</v>
      </c>
      <c r="N216" s="140"/>
      <c r="O216" s="598"/>
      <c r="P216" s="97"/>
      <c r="Q216" s="97"/>
      <c r="R216" s="97"/>
      <c r="S216" s="97"/>
      <c r="T216" s="97"/>
      <c r="U216" s="97"/>
      <c r="V216" s="97"/>
      <c r="W216" s="97"/>
      <c r="X216" s="1295"/>
      <c r="AL216" s="311" t="str">
        <f>SUBSTITUTE(SUBSTITUTE(SUBSTITUTE("dpa"&amp;$B216&amp;$C216&amp;$D216&amp;$E216&amp;$F216,".","_"),"(","_"),")","")</f>
        <v>dpa902_2_1_2</v>
      </c>
      <c r="AM216" s="311">
        <f>M216</f>
        <v>6</v>
      </c>
    </row>
    <row r="217" spans="2:45" x14ac:dyDescent="0.3">
      <c r="B217" s="938" t="s">
        <v>3923</v>
      </c>
      <c r="C217" s="21"/>
      <c r="D217" s="21"/>
      <c r="E217" s="21" t="s">
        <v>273</v>
      </c>
      <c r="F217" s="21"/>
      <c r="G217" s="21"/>
      <c r="H217" s="1084"/>
      <c r="I217" s="576"/>
      <c r="J217" s="238"/>
      <c r="K217" s="238"/>
      <c r="L217" s="1306"/>
      <c r="M217" s="1319"/>
      <c r="N217" s="140"/>
      <c r="O217" s="598"/>
      <c r="P217" s="97"/>
      <c r="Q217" s="97"/>
      <c r="R217" s="97"/>
      <c r="S217" s="97"/>
      <c r="T217" s="97"/>
      <c r="U217" s="97"/>
      <c r="V217" s="97"/>
      <c r="W217" s="97"/>
      <c r="X217" s="1295"/>
    </row>
    <row r="218" spans="2:45" x14ac:dyDescent="0.3">
      <c r="B218" s="938" t="s">
        <v>3923</v>
      </c>
      <c r="C218" s="21"/>
      <c r="D218" s="21"/>
      <c r="E218" s="21" t="s">
        <v>275</v>
      </c>
      <c r="F218" s="21"/>
      <c r="G218" s="21"/>
      <c r="H218" s="1084"/>
      <c r="I218" s="576"/>
      <c r="J218" s="231" t="s">
        <v>275</v>
      </c>
      <c r="K218" s="238"/>
      <c r="L218" s="545" t="s">
        <v>3460</v>
      </c>
      <c r="M218" s="549">
        <v>7</v>
      </c>
      <c r="N218" s="140"/>
      <c r="O218" s="598"/>
      <c r="P218" s="97"/>
      <c r="Q218" s="97"/>
      <c r="R218" s="97"/>
      <c r="S218" s="97"/>
      <c r="T218" s="97"/>
      <c r="U218" s="97"/>
      <c r="V218" s="97"/>
      <c r="W218" s="97"/>
      <c r="X218" s="1295"/>
      <c r="AL218" s="311" t="str">
        <f>SUBSTITUTE(SUBSTITUTE(SUBSTITUTE("dpa"&amp;$B218&amp;$C218&amp;$D218&amp;$E218&amp;$F218,".","_"),"(","_"),")","")</f>
        <v>dpa902_2_1_3</v>
      </c>
      <c r="AM218" s="311">
        <f>M218</f>
        <v>7</v>
      </c>
    </row>
    <row r="219" spans="2:45" x14ac:dyDescent="0.3">
      <c r="B219" s="938" t="s">
        <v>3923</v>
      </c>
      <c r="C219" s="21"/>
      <c r="D219" s="21"/>
      <c r="E219" s="21" t="s">
        <v>285</v>
      </c>
      <c r="F219" s="21"/>
      <c r="G219" s="21"/>
      <c r="H219" s="1084"/>
      <c r="I219" s="620"/>
      <c r="J219" s="231" t="s">
        <v>285</v>
      </c>
      <c r="K219" s="238"/>
      <c r="L219" s="545" t="s">
        <v>3461</v>
      </c>
      <c r="M219" s="549">
        <v>8</v>
      </c>
      <c r="N219" s="238"/>
      <c r="O219" s="599"/>
      <c r="P219" s="196"/>
      <c r="Q219" s="196"/>
      <c r="R219" s="196"/>
      <c r="S219" s="196"/>
      <c r="T219" s="196"/>
      <c r="U219" s="196"/>
      <c r="V219" s="196"/>
      <c r="W219" s="196"/>
      <c r="X219" s="1295"/>
      <c r="AL219" s="311" t="str">
        <f>SUBSTITUTE(SUBSTITUTE(SUBSTITUTE("dpa"&amp;$B219&amp;$C219&amp;$D219&amp;$E219&amp;$F219,".","_"),"(","_"),")","")</f>
        <v>dpa902_2_1_4</v>
      </c>
      <c r="AM219" s="311">
        <f>M219</f>
        <v>8</v>
      </c>
    </row>
    <row r="220" spans="2:45" x14ac:dyDescent="0.3">
      <c r="B220" s="938" t="s">
        <v>3462</v>
      </c>
      <c r="C220" s="21"/>
      <c r="D220" s="21"/>
      <c r="E220" s="21"/>
      <c r="F220" s="21"/>
      <c r="G220" s="21"/>
      <c r="H220" s="1084"/>
      <c r="I220" s="215" t="s">
        <v>3462</v>
      </c>
      <c r="J220" s="216"/>
      <c r="K220" s="216"/>
      <c r="L220" s="1364" t="s">
        <v>3463</v>
      </c>
      <c r="M220" s="1323">
        <v>4</v>
      </c>
      <c r="N220" s="216"/>
      <c r="O220" s="1324">
        <f ca="1">M220*S220*W220</f>
        <v>4</v>
      </c>
      <c r="P220" s="97" t="b">
        <v>0</v>
      </c>
      <c r="Q220" s="97" t="b">
        <v>1</v>
      </c>
      <c r="R220" s="218" t="b">
        <v>0</v>
      </c>
      <c r="S220" s="218" t="b">
        <f ca="1">O211&gt;0</f>
        <v>1</v>
      </c>
      <c r="T220" s="218" t="b">
        <f ca="1">AND(NOT(S220),W220=TRUE)</f>
        <v>0</v>
      </c>
      <c r="U220" s="218"/>
      <c r="V220" s="218"/>
      <c r="W220" s="452" t="b">
        <v>1</v>
      </c>
      <c r="X220" s="1295" t="s">
        <v>4813</v>
      </c>
      <c r="AC220" s="488" t="b">
        <f ca="1">OR(AD220:AE220)</f>
        <v>0</v>
      </c>
      <c r="AD220" s="488" t="b">
        <f ca="1">T220</f>
        <v>0</v>
      </c>
      <c r="AE220" s="488" t="b">
        <f>AND(R220,NOT(W220))</f>
        <v>0</v>
      </c>
      <c r="AL220" s="311" t="str">
        <f>SUBSTITUTE(SUBSTITUTE(SUBSTITUTE("dpa"&amp;$B220&amp;$C220&amp;$D220&amp;$E220&amp;$F220,".","_"),"(","_"),")","")</f>
        <v>dpa902_2_2</v>
      </c>
      <c r="AM220" s="311">
        <f>M220</f>
        <v>4</v>
      </c>
      <c r="AN220" s="311" t="str">
        <f>SUBSTITUTE(SUBSTITUTE(SUBSTITUTE("dpc"&amp;$B220&amp;$C220&amp;$D220&amp;$E220&amp;$F220,".","_"),"(","_"),")","")</f>
        <v>dpc902_2_2</v>
      </c>
      <c r="AO220" s="311">
        <f ca="1">O220</f>
        <v>4</v>
      </c>
      <c r="AP220" s="311" t="str">
        <f>SUBSTITUTE(SUBSTITUTE(SUBSTITUTE("dch"&amp;$B220&amp;$C220&amp;$D220&amp;$E220&amp;$F220,".","_"),"(","_"),")","")</f>
        <v>dch902_2_2</v>
      </c>
      <c r="AQ220" s="311" t="b">
        <f>W220</f>
        <v>1</v>
      </c>
      <c r="AR220" s="311" t="str">
        <f>SUBSTITUTE(SUBSTITUTE(SUBSTITUTE("dnt"&amp;$B220&amp;$C220&amp;$D220&amp;$E220&amp;$F220,".","_"),"(","_"),")","")</f>
        <v>dnt902_2_2</v>
      </c>
      <c r="AS220" s="311" t="str">
        <f>X220</f>
        <v>ZERH Requirement - ENERGY STAR Certified Homes National Rater Field Checklist, Section 7.1 Confirm Ventilation Rates</v>
      </c>
    </row>
    <row r="221" spans="2:45" x14ac:dyDescent="0.3">
      <c r="B221" s="938" t="s">
        <v>3462</v>
      </c>
      <c r="C221" s="21"/>
      <c r="D221" s="21"/>
      <c r="E221" s="21"/>
      <c r="F221" s="21"/>
      <c r="G221" s="21"/>
      <c r="H221" s="1084"/>
      <c r="I221" s="620"/>
      <c r="J221" s="238"/>
      <c r="K221" s="238"/>
      <c r="L221" s="1350"/>
      <c r="M221" s="1319"/>
      <c r="N221" s="238"/>
      <c r="O221" s="1309"/>
      <c r="P221" s="196"/>
      <c r="Q221" s="196"/>
      <c r="R221" s="196"/>
      <c r="S221" s="196"/>
      <c r="T221" s="196"/>
      <c r="U221" s="196"/>
      <c r="V221" s="196"/>
      <c r="W221" s="196"/>
      <c r="X221" s="1295"/>
    </row>
    <row r="222" spans="2:45" x14ac:dyDescent="0.3">
      <c r="B222" s="938" t="s">
        <v>3464</v>
      </c>
      <c r="C222" s="21"/>
      <c r="D222" s="21"/>
      <c r="E222" s="21"/>
      <c r="F222" s="21"/>
      <c r="G222" s="21"/>
      <c r="H222" s="1084"/>
      <c r="I222" s="215" t="s">
        <v>3464</v>
      </c>
      <c r="J222" s="216"/>
      <c r="K222" s="216"/>
      <c r="L222" s="1364" t="s">
        <v>3465</v>
      </c>
      <c r="M222" s="1323">
        <v>2</v>
      </c>
      <c r="N222" s="216"/>
      <c r="O222" s="1324">
        <f>M222*S222*W222</f>
        <v>2</v>
      </c>
      <c r="P222" s="97" t="b">
        <v>0</v>
      </c>
      <c r="Q222" s="97" t="b">
        <v>1</v>
      </c>
      <c r="R222" s="218" t="b">
        <v>0</v>
      </c>
      <c r="S222" s="218" t="b">
        <f>NOT(OR(AND(AY40=INDEX(ddHDucts,2),AY36=INDEX(ddCDucts,2)),W225))</f>
        <v>1</v>
      </c>
      <c r="T222" s="218" t="b">
        <f>AND(NOT(S222),W222=TRUE)</f>
        <v>0</v>
      </c>
      <c r="U222" s="218"/>
      <c r="V222" s="218"/>
      <c r="W222" s="452" t="b">
        <v>1</v>
      </c>
      <c r="X222" s="1295" t="s">
        <v>4814</v>
      </c>
      <c r="AC222" s="488" t="b">
        <f>OR(AD222:AE222)</f>
        <v>0</v>
      </c>
      <c r="AD222" s="488" t="b">
        <f>T222</f>
        <v>0</v>
      </c>
      <c r="AE222" s="488" t="b">
        <f>AND(R222,NOT(W222))</f>
        <v>0</v>
      </c>
      <c r="AL222" s="311" t="str">
        <f>SUBSTITUTE(SUBSTITUTE(SUBSTITUTE("dpa"&amp;$B222&amp;$C222&amp;$D222&amp;$E222&amp;$F222,".","_"),"(","_"),")","")</f>
        <v>dpa902_2_3</v>
      </c>
      <c r="AM222" s="311">
        <f>M222</f>
        <v>2</v>
      </c>
      <c r="AN222" s="311" t="str">
        <f>SUBSTITUTE(SUBSTITUTE(SUBSTITUTE("dpc"&amp;$B222&amp;$C222&amp;$D222&amp;$E222&amp;$F222,".","_"),"(","_"),")","")</f>
        <v>dpc902_2_3</v>
      </c>
      <c r="AO222" s="311">
        <f>O222</f>
        <v>2</v>
      </c>
      <c r="AP222" s="311" t="str">
        <f>SUBSTITUTE(SUBSTITUTE(SUBSTITUTE("dch"&amp;$B222&amp;$C222&amp;$D222&amp;$E222&amp;$F222,".","_"),"(","_"),")","")</f>
        <v>dch902_2_3</v>
      </c>
      <c r="AQ222" s="311" t="b">
        <f>W222</f>
        <v>1</v>
      </c>
      <c r="AR222" s="311" t="str">
        <f>SUBSTITUTE(SUBSTITUTE(SUBSTITUTE("dnt"&amp;$B222&amp;$C222&amp;$D222&amp;$E222&amp;$F222,".","_"),"(","_"),")","")</f>
        <v>dnt902_2_3</v>
      </c>
      <c r="AS222" s="311" t="str">
        <f>X222</f>
        <v>ZERH Requirement - Indoor airPLUS, Section 4.7 Filtration for Central Forced-Air HVAC Systems</v>
      </c>
    </row>
    <row r="223" spans="2:45" x14ac:dyDescent="0.3">
      <c r="B223" s="938" t="s">
        <v>3464</v>
      </c>
      <c r="C223" s="21"/>
      <c r="D223" s="21"/>
      <c r="E223" s="21"/>
      <c r="F223" s="21"/>
      <c r="G223" s="21"/>
      <c r="H223" s="1084"/>
      <c r="I223" s="576"/>
      <c r="J223" s="140"/>
      <c r="K223" s="140"/>
      <c r="L223" s="1313"/>
      <c r="M223" s="1318"/>
      <c r="N223" s="140"/>
      <c r="O223" s="1308"/>
      <c r="P223" s="97"/>
      <c r="Q223" s="97"/>
      <c r="R223" s="97"/>
      <c r="S223" s="97"/>
      <c r="T223" s="97"/>
      <c r="U223" s="97"/>
      <c r="V223" s="97"/>
      <c r="W223" s="97"/>
      <c r="X223" s="1295"/>
    </row>
    <row r="224" spans="2:45" x14ac:dyDescent="0.3">
      <c r="B224" s="938" t="s">
        <v>3464</v>
      </c>
      <c r="C224" s="21"/>
      <c r="D224" s="21"/>
      <c r="E224" s="21"/>
      <c r="F224" s="21"/>
      <c r="G224" s="21"/>
      <c r="H224" s="1084"/>
      <c r="I224" s="620"/>
      <c r="J224" s="238"/>
      <c r="K224" s="238"/>
      <c r="L224" s="1350"/>
      <c r="M224" s="1319"/>
      <c r="N224" s="238"/>
      <c r="O224" s="1309"/>
      <c r="P224" s="196"/>
      <c r="Q224" s="196"/>
      <c r="R224" s="196"/>
      <c r="S224" s="196"/>
      <c r="T224" s="196"/>
      <c r="U224" s="196"/>
      <c r="V224" s="196"/>
      <c r="W224" s="196"/>
      <c r="X224" s="1295"/>
    </row>
    <row r="225" spans="2:45" x14ac:dyDescent="0.3">
      <c r="B225" s="938" t="s">
        <v>3466</v>
      </c>
      <c r="C225" s="21"/>
      <c r="D225" s="21"/>
      <c r="E225" s="21"/>
      <c r="F225" s="21"/>
      <c r="G225" s="21"/>
      <c r="H225" s="1084"/>
      <c r="I225" s="141" t="s">
        <v>3466</v>
      </c>
      <c r="J225" s="140"/>
      <c r="K225" s="140"/>
      <c r="L225" s="1313" t="s">
        <v>3467</v>
      </c>
      <c r="M225" s="1318">
        <v>3</v>
      </c>
      <c r="N225" s="140"/>
      <c r="O225" s="1308">
        <f>M225*S225*W225</f>
        <v>0</v>
      </c>
      <c r="P225" s="97" t="b">
        <v>0</v>
      </c>
      <c r="Q225" s="97" t="b">
        <v>1</v>
      </c>
      <c r="R225" s="97" t="b">
        <v>0</v>
      </c>
      <c r="S225" s="97" t="b">
        <f>NOT(OR(AND(AY40=INDEX(ddHDucts,2),AY36=INDEX(ddCDucts,2)),W222))</f>
        <v>0</v>
      </c>
      <c r="T225" s="97" t="b">
        <f>AND(NOT(S225),W225=TRUE)</f>
        <v>0</v>
      </c>
      <c r="U225" s="97"/>
      <c r="V225" s="97"/>
      <c r="W225" s="127"/>
      <c r="X225" s="1304"/>
      <c r="AC225" s="488" t="b">
        <f>OR(AD225:AE225)</f>
        <v>0</v>
      </c>
      <c r="AD225" s="488" t="b">
        <f>T225</f>
        <v>0</v>
      </c>
      <c r="AE225" s="488" t="b">
        <f>AND(R225,NOT(W225))</f>
        <v>0</v>
      </c>
      <c r="AL225" s="311" t="str">
        <f>SUBSTITUTE(SUBSTITUTE(SUBSTITUTE("dpa"&amp;$B225&amp;$C225&amp;$D225&amp;$E225&amp;$F225,".","_"),"(","_"),")","")</f>
        <v>dpa902_2_4</v>
      </c>
      <c r="AM225" s="311">
        <f>M225</f>
        <v>3</v>
      </c>
      <c r="AN225" s="311" t="str">
        <f>SUBSTITUTE(SUBSTITUTE(SUBSTITUTE("dpc"&amp;$B225&amp;$C225&amp;$D225&amp;$E225&amp;$F225,".","_"),"(","_"),")","")</f>
        <v>dpc902_2_4</v>
      </c>
      <c r="AO225" s="311">
        <f>O225</f>
        <v>0</v>
      </c>
      <c r="AP225" s="311" t="str">
        <f>SUBSTITUTE(SUBSTITUTE(SUBSTITUTE("dch"&amp;$B225&amp;$C225&amp;$D225&amp;$E225&amp;$F225,".","_"),"(","_"),")","")</f>
        <v>dch902_2_4</v>
      </c>
      <c r="AQ225" s="311">
        <f>W225</f>
        <v>0</v>
      </c>
      <c r="AR225" s="311" t="str">
        <f>SUBSTITUTE(SUBSTITUTE(SUBSTITUTE("dnt"&amp;$B225&amp;$C225&amp;$D225&amp;$E225&amp;$F225,".","_"),"(","_"),")","")</f>
        <v>dnt902_2_4</v>
      </c>
      <c r="AS225" s="311">
        <f>X225</f>
        <v>0</v>
      </c>
    </row>
    <row r="226" spans="2:45" x14ac:dyDescent="0.3">
      <c r="B226" s="938" t="s">
        <v>3466</v>
      </c>
      <c r="C226" s="21"/>
      <c r="D226" s="21"/>
      <c r="E226" s="21"/>
      <c r="F226" s="21"/>
      <c r="G226" s="21"/>
      <c r="H226" s="1084"/>
      <c r="I226" s="576"/>
      <c r="J226" s="140"/>
      <c r="K226" s="140"/>
      <c r="L226" s="1313"/>
      <c r="M226" s="1318"/>
      <c r="N226" s="140"/>
      <c r="O226" s="1308"/>
      <c r="P226" s="97"/>
      <c r="Q226" s="97"/>
      <c r="R226" s="97"/>
      <c r="S226" s="97"/>
      <c r="T226" s="97"/>
      <c r="U226" s="97"/>
      <c r="V226" s="97"/>
      <c r="W226" s="97"/>
      <c r="X226" s="1295"/>
    </row>
    <row r="227" spans="2:45" ht="15" thickBot="1" x14ac:dyDescent="0.35">
      <c r="B227" s="938" t="s">
        <v>3466</v>
      </c>
      <c r="C227" s="21"/>
      <c r="D227" s="21"/>
      <c r="E227" s="21"/>
      <c r="F227" s="21"/>
      <c r="G227" s="21"/>
      <c r="H227" s="1084"/>
      <c r="I227" s="577"/>
      <c r="J227" s="270"/>
      <c r="K227" s="270"/>
      <c r="L227" s="1332"/>
      <c r="M227" s="1334"/>
      <c r="N227" s="270"/>
      <c r="O227" s="1315"/>
      <c r="P227" s="104"/>
      <c r="Q227" s="104"/>
      <c r="R227" s="104"/>
      <c r="S227" s="104"/>
      <c r="T227" s="104"/>
      <c r="U227" s="104"/>
      <c r="V227" s="104"/>
      <c r="W227" s="104"/>
      <c r="X227" s="1296"/>
    </row>
    <row r="228" spans="2:45" ht="15" thickTop="1" x14ac:dyDescent="0.3">
      <c r="B228" s="938">
        <v>902.3</v>
      </c>
      <c r="C228" s="21"/>
      <c r="D228" s="21"/>
      <c r="E228" s="21"/>
      <c r="F228" s="21"/>
      <c r="G228" s="21"/>
      <c r="H228" s="1084"/>
      <c r="I228" s="200">
        <v>902.3</v>
      </c>
      <c r="J228" s="201"/>
      <c r="K228" s="201"/>
      <c r="L228" s="1331" t="s">
        <v>3468</v>
      </c>
      <c r="M228" s="517"/>
      <c r="N228" s="201"/>
      <c r="O228" s="596"/>
      <c r="P228" s="110"/>
      <c r="Q228" s="110"/>
      <c r="R228" s="110"/>
      <c r="S228" s="110"/>
      <c r="T228" s="110"/>
      <c r="U228" s="110"/>
      <c r="V228" s="110"/>
      <c r="W228" s="110"/>
      <c r="X228" s="1327"/>
      <c r="AR228" s="311" t="str">
        <f>SUBSTITUTE(SUBSTITUTE(SUBSTITUTE("dnt"&amp;$B228&amp;$C228&amp;$D228&amp;$E228&amp;$F228,".","_"),"(","_"),")","")</f>
        <v>dnt902_3</v>
      </c>
      <c r="AS228" s="311">
        <f>X228</f>
        <v>0</v>
      </c>
    </row>
    <row r="229" spans="2:45" x14ac:dyDescent="0.3">
      <c r="B229" s="938">
        <v>902.3</v>
      </c>
      <c r="C229" s="21"/>
      <c r="D229" s="21"/>
      <c r="E229" s="21"/>
      <c r="F229" s="21"/>
      <c r="G229" s="21"/>
      <c r="H229" s="1084"/>
      <c r="I229" s="576"/>
      <c r="J229" s="140"/>
      <c r="K229" s="140"/>
      <c r="L229" s="1313"/>
      <c r="M229" s="518"/>
      <c r="N229" s="140"/>
      <c r="O229" s="269"/>
      <c r="P229" s="97"/>
      <c r="Q229" s="97"/>
      <c r="R229" s="97"/>
      <c r="S229" s="97"/>
      <c r="T229" s="97"/>
      <c r="U229" s="97"/>
      <c r="V229" s="97"/>
      <c r="W229" s="97"/>
      <c r="X229" s="1295"/>
    </row>
    <row r="230" spans="2:45" x14ac:dyDescent="0.3">
      <c r="B230" s="938">
        <v>902.3</v>
      </c>
      <c r="C230" s="21"/>
      <c r="D230" s="21"/>
      <c r="E230" s="21" t="s">
        <v>271</v>
      </c>
      <c r="F230" s="21"/>
      <c r="G230" s="21"/>
      <c r="H230" s="1084"/>
      <c r="I230" s="576"/>
      <c r="J230" s="203" t="s">
        <v>271</v>
      </c>
      <c r="K230" s="140"/>
      <c r="L230" s="515" t="s">
        <v>3469</v>
      </c>
      <c r="M230" s="1091" t="str">
        <f>IF(R230,"Mandatory","N/A")</f>
        <v>N/A</v>
      </c>
      <c r="N230" s="140"/>
      <c r="O230" s="269">
        <f ca="1">IFERROR(INDEX({7,10},MATCH(W230,INDIRECT(U230),0)),0)*S230</f>
        <v>0</v>
      </c>
      <c r="P230" s="97" t="b">
        <v>1</v>
      </c>
      <c r="Q230" s="97" t="b">
        <v>1</v>
      </c>
      <c r="R230" s="97" t="b">
        <f>S230</f>
        <v>0</v>
      </c>
      <c r="S230" s="97" t="b">
        <f>BE16=1</f>
        <v>0</v>
      </c>
      <c r="T230" s="97" t="b">
        <f>AND(NOT(S230),LEN(W230)&gt;0)</f>
        <v>0</v>
      </c>
      <c r="U230" s="97" t="str">
        <f>SUBSTITUTE(SUBSTITUTE(SUBSTITUTE("dd"&amp;B230&amp;C230&amp;D230&amp;E230&amp;F230,".","_"),"(","_"),")","")</f>
        <v>dd902_3_1</v>
      </c>
      <c r="V230" s="97"/>
      <c r="W230" s="114"/>
      <c r="X230" s="1295"/>
      <c r="AC230" s="488" t="b">
        <f>OR(AD230:AE230)</f>
        <v>0</v>
      </c>
      <c r="AD230" s="488" t="b">
        <f>T230</f>
        <v>0</v>
      </c>
      <c r="AE230" s="488" t="b">
        <f>AND(R230,OR(W230="Not Met",W230=""))</f>
        <v>0</v>
      </c>
      <c r="AL230" s="311" t="str">
        <f>SUBSTITUTE(SUBSTITUTE(SUBSTITUTE("dpa"&amp;$B230&amp;$C230&amp;$D230&amp;$E230&amp;$F230,".","_"),"(","_"),")","")</f>
        <v>dpa902_3_1</v>
      </c>
      <c r="AM230" s="311" t="str">
        <f>M230</f>
        <v>N/A</v>
      </c>
      <c r="AN230" s="311" t="str">
        <f>SUBSTITUTE(SUBSTITUTE(SUBSTITUTE("dpc"&amp;$B230&amp;$C230&amp;$D230&amp;$E230&amp;$F230,".","_"),"(","_"),")","")</f>
        <v>dpc902_3_1</v>
      </c>
      <c r="AO230" s="311">
        <f ca="1">O230</f>
        <v>0</v>
      </c>
      <c r="AP230" s="311" t="str">
        <f>SUBSTITUTE(SUBSTITUTE(SUBSTITUTE("dch"&amp;$B230&amp;$C230&amp;$D230&amp;$E230&amp;$F230,".","_"),"(","_"),")","")</f>
        <v>dch902_3_1</v>
      </c>
      <c r="AQ230" s="311">
        <f>W230</f>
        <v>0</v>
      </c>
    </row>
    <row r="231" spans="2:45" x14ac:dyDescent="0.3">
      <c r="B231" s="938">
        <v>902.3</v>
      </c>
      <c r="C231" s="21"/>
      <c r="D231" s="21"/>
      <c r="E231" s="21" t="s">
        <v>271</v>
      </c>
      <c r="F231" s="21" t="s">
        <v>121</v>
      </c>
      <c r="G231" s="21"/>
      <c r="H231" s="1084"/>
      <c r="I231" s="576"/>
      <c r="J231" s="140"/>
      <c r="K231" s="203" t="s">
        <v>121</v>
      </c>
      <c r="L231" s="515" t="s">
        <v>3470</v>
      </c>
      <c r="M231" s="518">
        <v>7</v>
      </c>
      <c r="N231" s="140"/>
      <c r="O231" s="269"/>
      <c r="P231" s="97"/>
      <c r="Q231" s="97"/>
      <c r="R231" s="97"/>
      <c r="S231" s="97"/>
      <c r="T231" s="97"/>
      <c r="U231" s="97"/>
      <c r="V231" s="97"/>
      <c r="W231" s="97"/>
      <c r="X231" s="1295"/>
      <c r="AL231" s="311" t="str">
        <f>SUBSTITUTE(SUBSTITUTE(SUBSTITUTE("dpa"&amp;$B231&amp;$C231&amp;$D231&amp;$E231&amp;$F231,".","_"),"(","_"),")","")</f>
        <v>dpa902_3_1_a</v>
      </c>
      <c r="AM231" s="311">
        <f>M231</f>
        <v>7</v>
      </c>
    </row>
    <row r="232" spans="2:45" x14ac:dyDescent="0.3">
      <c r="B232" s="938">
        <v>902.3</v>
      </c>
      <c r="C232" s="21"/>
      <c r="D232" s="21"/>
      <c r="E232" s="21" t="s">
        <v>271</v>
      </c>
      <c r="F232" s="21" t="s">
        <v>122</v>
      </c>
      <c r="G232" s="21"/>
      <c r="H232" s="1084"/>
      <c r="I232" s="576"/>
      <c r="J232" s="238"/>
      <c r="K232" s="231" t="s">
        <v>122</v>
      </c>
      <c r="L232" s="516" t="s">
        <v>3471</v>
      </c>
      <c r="M232" s="520">
        <v>10</v>
      </c>
      <c r="N232" s="140"/>
      <c r="O232" s="269"/>
      <c r="P232" s="97"/>
      <c r="Q232" s="97"/>
      <c r="R232" s="97"/>
      <c r="S232" s="97"/>
      <c r="T232" s="97"/>
      <c r="U232" s="97"/>
      <c r="V232" s="97"/>
      <c r="W232" s="97"/>
      <c r="X232" s="1295"/>
      <c r="AL232" s="311" t="str">
        <f>SUBSTITUTE(SUBSTITUTE(SUBSTITUTE("dpa"&amp;$B232&amp;$C232&amp;$D232&amp;$E232&amp;$F232,".","_"),"(","_"),")","")</f>
        <v>dpa902_3_1_b</v>
      </c>
      <c r="AM232" s="311">
        <f>M232</f>
        <v>10</v>
      </c>
    </row>
    <row r="233" spans="2:45" x14ac:dyDescent="0.3">
      <c r="B233" s="938">
        <v>902.3</v>
      </c>
      <c r="C233" s="21"/>
      <c r="D233" s="21"/>
      <c r="E233" s="21" t="s">
        <v>273</v>
      </c>
      <c r="F233" s="21"/>
      <c r="G233" s="21"/>
      <c r="H233" s="1084"/>
      <c r="I233" s="576"/>
      <c r="J233" s="203" t="s">
        <v>273</v>
      </c>
      <c r="K233" s="140"/>
      <c r="L233" s="515" t="s">
        <v>3472</v>
      </c>
      <c r="M233" s="518"/>
      <c r="N233" s="140"/>
      <c r="O233" s="269"/>
      <c r="P233" s="97"/>
      <c r="Q233" s="97"/>
      <c r="R233" s="97"/>
      <c r="S233" s="97"/>
      <c r="T233" s="97"/>
      <c r="U233" s="97"/>
      <c r="V233" s="97"/>
      <c r="W233" s="97"/>
      <c r="X233" s="1295"/>
    </row>
    <row r="234" spans="2:45" ht="15" thickBot="1" x14ac:dyDescent="0.35">
      <c r="B234" s="938">
        <v>902.3</v>
      </c>
      <c r="C234" s="21"/>
      <c r="D234" s="21"/>
      <c r="E234" s="21" t="s">
        <v>273</v>
      </c>
      <c r="F234" s="21" t="s">
        <v>121</v>
      </c>
      <c r="G234" s="21"/>
      <c r="H234" s="1084"/>
      <c r="I234" s="577"/>
      <c r="J234" s="270"/>
      <c r="K234" s="213" t="s">
        <v>121</v>
      </c>
      <c r="L234" s="519" t="s">
        <v>3473</v>
      </c>
      <c r="M234" s="523">
        <v>7</v>
      </c>
      <c r="N234" s="270"/>
      <c r="O234" s="271">
        <f>M234*S234*W234</f>
        <v>0</v>
      </c>
      <c r="P234" s="97" t="b">
        <v>1</v>
      </c>
      <c r="Q234" s="97" t="b">
        <v>1</v>
      </c>
      <c r="R234" s="104" t="b">
        <v>0</v>
      </c>
      <c r="S234" s="104" t="b">
        <f>OR(BE16=2,BE16=3)</f>
        <v>1</v>
      </c>
      <c r="T234" s="104" t="b">
        <f>AND(NOT(S234),W234=TRUE)</f>
        <v>0</v>
      </c>
      <c r="U234" s="104"/>
      <c r="V234" s="104"/>
      <c r="W234" s="105"/>
      <c r="X234" s="1296"/>
      <c r="AC234" s="488" t="b">
        <f>OR(AD234:AE234)</f>
        <v>0</v>
      </c>
      <c r="AD234" s="488" t="b">
        <f>T234</f>
        <v>0</v>
      </c>
      <c r="AE234" s="488" t="b">
        <f>AND(R234,NOT(W234))</f>
        <v>0</v>
      </c>
      <c r="AL234" s="311" t="str">
        <f>SUBSTITUTE(SUBSTITUTE(SUBSTITUTE("dpa"&amp;$B234&amp;$C234&amp;$D234&amp;$E234&amp;$F234,".","_"),"(","_"),")","")</f>
        <v>dpa902_3_2_a</v>
      </c>
      <c r="AM234" s="311">
        <f>M234</f>
        <v>7</v>
      </c>
      <c r="AN234" s="311" t="str">
        <f>SUBSTITUTE(SUBSTITUTE(SUBSTITUTE("dpc"&amp;$B234&amp;$C234&amp;$D234&amp;$E234&amp;$F234,".","_"),"(","_"),")","")</f>
        <v>dpc902_3_2_a</v>
      </c>
      <c r="AO234" s="311">
        <f>O234</f>
        <v>0</v>
      </c>
      <c r="AP234" s="311" t="str">
        <f>SUBSTITUTE(SUBSTITUTE(SUBSTITUTE("dch"&amp;$B234&amp;$C234&amp;$D234&amp;$E234&amp;$F234,".","_"),"(","_"),")","")</f>
        <v>dch902_3_2_a</v>
      </c>
      <c r="AQ234" s="311">
        <f>W234</f>
        <v>0</v>
      </c>
    </row>
    <row r="235" spans="2:45" ht="15" thickTop="1" x14ac:dyDescent="0.3">
      <c r="B235" s="938">
        <v>902.4</v>
      </c>
      <c r="C235" s="21"/>
      <c r="D235" s="21"/>
      <c r="E235" s="21"/>
      <c r="F235" s="21"/>
      <c r="G235" s="21"/>
      <c r="H235" s="1084"/>
      <c r="I235" s="66">
        <v>902.4</v>
      </c>
      <c r="J235" s="4"/>
      <c r="K235" s="4"/>
      <c r="L235" s="1292" t="s">
        <v>3474</v>
      </c>
      <c r="M235" s="1335">
        <v>3</v>
      </c>
      <c r="N235" s="4"/>
      <c r="O235" s="1310">
        <f>M235*S237*IFERROR(OR(W237,W239),0)</f>
        <v>3</v>
      </c>
      <c r="AL235" s="311" t="str">
        <f>SUBSTITUTE(SUBSTITUTE(SUBSTITUTE("dpa"&amp;$B235&amp;$C235&amp;$D235&amp;$E235&amp;$F235,".","_"),"(","_"),")","")</f>
        <v>dpa902_4</v>
      </c>
      <c r="AM235" s="311">
        <f>M235</f>
        <v>3</v>
      </c>
      <c r="AN235" s="311" t="str">
        <f>SUBSTITUTE(SUBSTITUTE(SUBSTITUTE("dpc"&amp;$B235&amp;$C235&amp;$D235&amp;$E235&amp;$F235,".","_"),"(","_"),")","")</f>
        <v>dpc902_4</v>
      </c>
      <c r="AO235" s="311">
        <f>O235</f>
        <v>3</v>
      </c>
    </row>
    <row r="236" spans="2:45" x14ac:dyDescent="0.3">
      <c r="B236" s="938">
        <v>902.4</v>
      </c>
      <c r="C236" s="21"/>
      <c r="D236" s="21"/>
      <c r="E236" s="21"/>
      <c r="F236" s="21"/>
      <c r="G236" s="21"/>
      <c r="H236" s="1084"/>
      <c r="I236" s="182"/>
      <c r="J236" s="4"/>
      <c r="K236" s="4"/>
      <c r="L236" s="1292"/>
      <c r="M236" s="1335"/>
      <c r="N236" s="4"/>
      <c r="O236" s="1310"/>
    </row>
    <row r="237" spans="2:45" x14ac:dyDescent="0.3">
      <c r="B237" s="938">
        <v>902.4</v>
      </c>
      <c r="C237" s="21"/>
      <c r="D237" s="21"/>
      <c r="E237" s="21" t="s">
        <v>271</v>
      </c>
      <c r="F237" s="21"/>
      <c r="G237" s="21"/>
      <c r="H237" s="1084"/>
      <c r="I237" s="182"/>
      <c r="J237" s="203" t="s">
        <v>271</v>
      </c>
      <c r="K237" s="140"/>
      <c r="L237" s="1305" t="s">
        <v>3475</v>
      </c>
      <c r="M237" s="522"/>
      <c r="N237" s="4"/>
      <c r="O237" s="154"/>
      <c r="P237" s="97" t="b">
        <v>1</v>
      </c>
      <c r="Q237" s="97" t="b">
        <v>0</v>
      </c>
      <c r="R237" s="480" t="b">
        <v>0</v>
      </c>
      <c r="S237" s="480" t="b">
        <v>1</v>
      </c>
      <c r="T237" s="480" t="b">
        <v>0</v>
      </c>
      <c r="W237" s="25" t="b">
        <v>1</v>
      </c>
      <c r="X237" s="1303"/>
      <c r="AC237" s="488" t="b">
        <f>OR(AD237:AE237)</f>
        <v>0</v>
      </c>
      <c r="AD237" s="488" t="b">
        <f>T237</f>
        <v>0</v>
      </c>
      <c r="AE237" s="488" t="b">
        <f>AND(R237,NOT(W237))</f>
        <v>0</v>
      </c>
      <c r="AP237" s="311" t="str">
        <f>SUBSTITUTE(SUBSTITUTE(SUBSTITUTE("dch"&amp;$B237&amp;$C237&amp;$D237&amp;$E237&amp;$F237,".","_"),"(","_"),")","")</f>
        <v>dch902_4_1</v>
      </c>
      <c r="AQ237" s="311" t="b">
        <f>W237</f>
        <v>1</v>
      </c>
      <c r="AR237" s="311" t="str">
        <f>SUBSTITUTE(SUBSTITUTE(SUBSTITUTE("dnt"&amp;$B237&amp;$C237&amp;$D237&amp;$E237&amp;$F237,".","_"),"(","_"),")","")</f>
        <v>dnt902_4_1</v>
      </c>
      <c r="AS237" s="311">
        <f>X237</f>
        <v>0</v>
      </c>
    </row>
    <row r="238" spans="2:45" x14ac:dyDescent="0.3">
      <c r="B238" s="938">
        <v>902.4</v>
      </c>
      <c r="C238" s="21"/>
      <c r="D238" s="21"/>
      <c r="E238" s="21" t="s">
        <v>271</v>
      </c>
      <c r="F238" s="21"/>
      <c r="G238" s="21"/>
      <c r="H238" s="1084"/>
      <c r="I238" s="182"/>
      <c r="J238" s="231"/>
      <c r="K238" s="238"/>
      <c r="L238" s="1306"/>
      <c r="M238" s="522"/>
      <c r="N238" s="4"/>
      <c r="O238" s="154"/>
      <c r="X238" s="1303"/>
    </row>
    <row r="239" spans="2:45" x14ac:dyDescent="0.3">
      <c r="B239" s="938">
        <v>902.4</v>
      </c>
      <c r="C239" s="21"/>
      <c r="D239" s="21"/>
      <c r="E239" s="21" t="s">
        <v>273</v>
      </c>
      <c r="F239" s="21"/>
      <c r="G239" s="21"/>
      <c r="H239" s="1084"/>
      <c r="I239" s="576"/>
      <c r="J239" s="203" t="s">
        <v>273</v>
      </c>
      <c r="K239" s="140"/>
      <c r="L239" s="1305" t="s">
        <v>3476</v>
      </c>
      <c r="M239" s="518"/>
      <c r="N239" s="140"/>
      <c r="O239" s="269"/>
      <c r="P239" s="97" t="b">
        <v>0</v>
      </c>
      <c r="Q239" s="97" t="b">
        <v>1</v>
      </c>
      <c r="R239" s="97" t="b">
        <v>0</v>
      </c>
      <c r="S239" s="97" t="b">
        <v>1</v>
      </c>
      <c r="T239" s="97" t="b">
        <v>0</v>
      </c>
      <c r="U239" s="97"/>
      <c r="V239" s="97"/>
      <c r="W239" s="452" t="b">
        <v>1</v>
      </c>
      <c r="X239" s="1295"/>
      <c r="AC239" s="488" t="b">
        <f>OR(AD239:AE239)</f>
        <v>0</v>
      </c>
      <c r="AD239" s="488" t="b">
        <f>T239</f>
        <v>0</v>
      </c>
      <c r="AE239" s="488" t="b">
        <f>AND(R239,NOT(W239))</f>
        <v>0</v>
      </c>
      <c r="AP239" s="311" t="str">
        <f>SUBSTITUTE(SUBSTITUTE(SUBSTITUTE("dch"&amp;$B239&amp;$C239&amp;$D239&amp;$E239&amp;$F239,".","_"),"(","_"),")","")</f>
        <v>dch902_4_2</v>
      </c>
      <c r="AQ239" s="311" t="b">
        <f>W239</f>
        <v>1</v>
      </c>
      <c r="AR239" s="311" t="str">
        <f>SUBSTITUTE(SUBSTITUTE(SUBSTITUTE("dnt"&amp;$B239&amp;$C239&amp;$D239&amp;$E239&amp;$F239,".","_"),"(","_"),")","")</f>
        <v>dnt902_4_2</v>
      </c>
      <c r="AS239" s="311">
        <f>X239</f>
        <v>0</v>
      </c>
    </row>
    <row r="240" spans="2:45" x14ac:dyDescent="0.3">
      <c r="B240" s="938">
        <v>902.4</v>
      </c>
      <c r="C240" s="21"/>
      <c r="D240" s="21"/>
      <c r="E240" s="21" t="s">
        <v>273</v>
      </c>
      <c r="F240" s="21"/>
      <c r="G240" s="21"/>
      <c r="H240" s="1084"/>
      <c r="I240" s="576"/>
      <c r="J240" s="140"/>
      <c r="K240" s="140"/>
      <c r="L240" s="1305"/>
      <c r="M240" s="518"/>
      <c r="N240" s="140"/>
      <c r="O240" s="269"/>
      <c r="P240" s="97"/>
      <c r="Q240" s="97"/>
      <c r="R240" s="97"/>
      <c r="S240" s="97"/>
      <c r="T240" s="97"/>
      <c r="U240" s="97"/>
      <c r="V240" s="97"/>
      <c r="W240" s="97"/>
      <c r="X240" s="1295"/>
    </row>
    <row r="241" spans="1:45" ht="15" thickBot="1" x14ac:dyDescent="0.35">
      <c r="B241" s="938">
        <v>902.4</v>
      </c>
      <c r="C241" s="21"/>
      <c r="D241" s="21"/>
      <c r="E241" s="21" t="s">
        <v>273</v>
      </c>
      <c r="F241" s="21"/>
      <c r="G241" s="21"/>
      <c r="H241" s="1084"/>
      <c r="I241" s="577"/>
      <c r="J241" s="270"/>
      <c r="K241" s="270"/>
      <c r="L241" s="1330"/>
      <c r="M241" s="523"/>
      <c r="N241" s="270"/>
      <c r="O241" s="271"/>
      <c r="P241" s="104"/>
      <c r="Q241" s="104"/>
      <c r="R241" s="104"/>
      <c r="S241" s="104"/>
      <c r="T241" s="104"/>
      <c r="U241" s="104"/>
      <c r="V241" s="104"/>
      <c r="W241" s="104"/>
      <c r="X241" s="1296"/>
    </row>
    <row r="242" spans="1:45" ht="15" thickTop="1" x14ac:dyDescent="0.3">
      <c r="B242" s="938">
        <v>902.5</v>
      </c>
      <c r="C242" s="21"/>
      <c r="D242" s="21"/>
      <c r="E242" s="21"/>
      <c r="F242" s="21"/>
      <c r="G242" s="21"/>
      <c r="H242" s="1084"/>
      <c r="I242" s="200">
        <v>902.5</v>
      </c>
      <c r="J242" s="201"/>
      <c r="K242" s="201"/>
      <c r="L242" s="1427" t="s">
        <v>3477</v>
      </c>
      <c r="M242" s="1343">
        <v>3</v>
      </c>
      <c r="N242" s="201"/>
      <c r="O242" s="1336">
        <f>M242*S242*W242</f>
        <v>0</v>
      </c>
      <c r="P242" s="97" t="b">
        <v>1</v>
      </c>
      <c r="Q242" s="97" t="b">
        <v>1</v>
      </c>
      <c r="R242" s="110" t="b">
        <v>0</v>
      </c>
      <c r="S242" s="110" t="b">
        <v>1</v>
      </c>
      <c r="T242" s="110" t="b">
        <v>0</v>
      </c>
      <c r="U242" s="110"/>
      <c r="V242" s="110"/>
      <c r="W242" s="459"/>
      <c r="X242" s="1327"/>
      <c r="AC242" s="488" t="b">
        <f>OR(AD242:AE242)</f>
        <v>0</v>
      </c>
      <c r="AD242" s="488" t="b">
        <f>T242</f>
        <v>0</v>
      </c>
      <c r="AE242" s="488" t="b">
        <f>AND(R242,NOT(W242))</f>
        <v>0</v>
      </c>
      <c r="AL242" s="311" t="str">
        <f>SUBSTITUTE(SUBSTITUTE(SUBSTITUTE("dpa"&amp;$B242&amp;$C242&amp;$D242&amp;$E242&amp;$F242,".","_"),"(","_"),")","")</f>
        <v>dpa902_5</v>
      </c>
      <c r="AM242" s="311">
        <f>M242</f>
        <v>3</v>
      </c>
      <c r="AN242" s="311" t="str">
        <f>SUBSTITUTE(SUBSTITUTE(SUBSTITUTE("dpc"&amp;$B242&amp;$C242&amp;$D242&amp;$E242&amp;$F242,".","_"),"(","_"),")","")</f>
        <v>dpc902_5</v>
      </c>
      <c r="AO242" s="311">
        <f>O242</f>
        <v>0</v>
      </c>
      <c r="AP242" s="311" t="str">
        <f>SUBSTITUTE(SUBSTITUTE(SUBSTITUTE("dch"&amp;$B242&amp;$C242&amp;$D242&amp;$E242&amp;$F242,".","_"),"(","_"),")","")</f>
        <v>dch902_5</v>
      </c>
      <c r="AQ242" s="311">
        <f>W242</f>
        <v>0</v>
      </c>
      <c r="AR242" s="311" t="str">
        <f>SUBSTITUTE(SUBSTITUTE(SUBSTITUTE("dnt"&amp;$B242&amp;$C242&amp;$D242&amp;$E242&amp;$F242,".","_"),"(","_"),")","")</f>
        <v>dnt902_5</v>
      </c>
      <c r="AS242" s="311">
        <f>X242</f>
        <v>0</v>
      </c>
    </row>
    <row r="243" spans="1:45" ht="15" thickBot="1" x14ac:dyDescent="0.35">
      <c r="B243" s="938">
        <v>902.5</v>
      </c>
      <c r="C243" s="21"/>
      <c r="D243" s="21"/>
      <c r="E243" s="21"/>
      <c r="F243" s="21"/>
      <c r="G243" s="21"/>
      <c r="H243" s="1084"/>
      <c r="I243" s="212"/>
      <c r="J243" s="270"/>
      <c r="K243" s="270"/>
      <c r="L243" s="1428"/>
      <c r="M243" s="1334"/>
      <c r="N243" s="270"/>
      <c r="O243" s="1315"/>
      <c r="P243" s="104"/>
      <c r="Q243" s="104"/>
      <c r="R243" s="104"/>
      <c r="S243" s="104"/>
      <c r="T243" s="104"/>
      <c r="U243" s="104"/>
      <c r="V243" s="104"/>
      <c r="W243" s="104"/>
      <c r="X243" s="1296"/>
    </row>
    <row r="244" spans="1:45" ht="15" thickTop="1" x14ac:dyDescent="0.3">
      <c r="B244" s="938">
        <v>902.6</v>
      </c>
      <c r="C244" s="21"/>
      <c r="D244" s="21"/>
      <c r="E244" s="21"/>
      <c r="F244" s="21"/>
      <c r="G244" s="21"/>
      <c r="H244" s="1084"/>
      <c r="I244" s="66">
        <v>902.6</v>
      </c>
      <c r="J244" s="4"/>
      <c r="K244" s="4"/>
      <c r="L244" s="1292" t="s">
        <v>3478</v>
      </c>
      <c r="M244" s="1351" t="str">
        <f>IF(R244,"Mandatory","N/A")</f>
        <v>Mandatory</v>
      </c>
      <c r="N244" s="4"/>
      <c r="O244" s="154"/>
      <c r="P244" s="97" t="b">
        <v>1</v>
      </c>
      <c r="Q244" s="97" t="b">
        <v>0</v>
      </c>
      <c r="R244" s="480" t="b">
        <f>S244</f>
        <v>1</v>
      </c>
      <c r="S244" s="480" t="b">
        <v>1</v>
      </c>
      <c r="T244" s="480" t="b">
        <v>0</v>
      </c>
      <c r="W244" s="127" t="b">
        <v>1</v>
      </c>
      <c r="X244" s="1304" t="s">
        <v>4815</v>
      </c>
      <c r="AC244" s="488" t="b">
        <f>OR(AD244:AE244)</f>
        <v>0</v>
      </c>
      <c r="AD244" s="488" t="b">
        <f>T244</f>
        <v>0</v>
      </c>
      <c r="AE244" s="488" t="b">
        <f>AND(R244,NOT(W244))</f>
        <v>0</v>
      </c>
      <c r="AL244" s="311" t="str">
        <f>SUBSTITUTE(SUBSTITUTE(SUBSTITUTE("dpa"&amp;$B244&amp;$C244&amp;$D244&amp;$E244&amp;$F244,".","_"),"(","_"),")","")</f>
        <v>dpa902_6</v>
      </c>
      <c r="AM244" s="311" t="str">
        <f>M244</f>
        <v>Mandatory</v>
      </c>
      <c r="AP244" s="311" t="str">
        <f>SUBSTITUTE(SUBSTITUTE(SUBSTITUTE("dch"&amp;$B244&amp;$C244&amp;$D244&amp;$E244&amp;$F244,".","_"),"(","_"),")","")</f>
        <v>dch902_6</v>
      </c>
      <c r="AQ244" s="311" t="b">
        <f>W244</f>
        <v>1</v>
      </c>
      <c r="AR244" s="311" t="str">
        <f>SUBSTITUTE(SUBSTITUTE(SUBSTITUTE("dnt"&amp;$B244&amp;$C244&amp;$D244&amp;$E244&amp;$F244,".","_"),"(","_"),")","")</f>
        <v>dnt902_6</v>
      </c>
      <c r="AS244" s="311" t="str">
        <f>X244</f>
        <v>ZERH Requirement - ENERGY STAR Certified Homes National Rater Field Checklist, Section 2 Fully Aligned Air Barriers</v>
      </c>
    </row>
    <row r="245" spans="1:45" x14ac:dyDescent="0.3">
      <c r="B245" s="938">
        <v>902.6</v>
      </c>
      <c r="C245" s="21"/>
      <c r="D245" s="21"/>
      <c r="E245" s="21"/>
      <c r="F245" s="21"/>
      <c r="G245" s="21"/>
      <c r="H245" s="1084"/>
      <c r="I245" s="182"/>
      <c r="J245" s="4"/>
      <c r="K245" s="4"/>
      <c r="L245" s="1292"/>
      <c r="M245" s="1351"/>
      <c r="N245" s="4"/>
      <c r="O245" s="154"/>
      <c r="X245" s="1303"/>
    </row>
    <row r="246" spans="1:45" ht="18" x14ac:dyDescent="0.35">
      <c r="B246" s="938">
        <v>903</v>
      </c>
      <c r="C246" s="21"/>
      <c r="D246" s="21"/>
      <c r="E246" s="21"/>
      <c r="F246" s="21"/>
      <c r="G246" s="21"/>
      <c r="H246" s="1084"/>
      <c r="I246" s="14" t="s">
        <v>3479</v>
      </c>
      <c r="J246" s="23"/>
      <c r="K246" s="23"/>
      <c r="L246" s="87"/>
      <c r="M246" s="594"/>
      <c r="N246" s="604"/>
      <c r="O246" s="594"/>
      <c r="P246" s="23"/>
      <c r="Q246" s="23"/>
      <c r="R246" s="23"/>
      <c r="S246" s="23"/>
      <c r="T246" s="23"/>
      <c r="U246" s="23"/>
      <c r="V246" s="23"/>
      <c r="W246" s="23"/>
      <c r="X246" s="23"/>
    </row>
    <row r="247" spans="1:45" ht="15" thickBot="1" x14ac:dyDescent="0.35">
      <c r="B247" s="938" t="s">
        <v>4670</v>
      </c>
      <c r="C247" s="21"/>
      <c r="D247" s="21"/>
      <c r="E247" s="21"/>
      <c r="F247" s="21"/>
      <c r="G247" s="21"/>
      <c r="H247" s="1084"/>
      <c r="I247" s="574">
        <v>903</v>
      </c>
      <c r="J247" s="270"/>
      <c r="K247" s="270"/>
      <c r="L247" s="529" t="s">
        <v>3480</v>
      </c>
      <c r="M247" s="523"/>
      <c r="N247" s="270"/>
      <c r="O247" s="271"/>
      <c r="P247" s="104"/>
      <c r="Q247" s="104"/>
      <c r="R247" s="104"/>
      <c r="S247" s="104"/>
      <c r="T247" s="104"/>
      <c r="U247" s="104"/>
      <c r="V247" s="104"/>
      <c r="W247" s="104"/>
      <c r="X247" s="104"/>
    </row>
    <row r="248" spans="1:45" ht="15" thickTop="1" x14ac:dyDescent="0.3">
      <c r="B248" s="938">
        <v>903.1</v>
      </c>
      <c r="C248" s="21"/>
      <c r="D248" s="21"/>
      <c r="E248" s="21"/>
      <c r="F248" s="21"/>
      <c r="G248" s="21"/>
      <c r="H248" s="1084"/>
      <c r="I248" s="575">
        <v>903.1</v>
      </c>
      <c r="J248" s="201"/>
      <c r="K248" s="201"/>
      <c r="L248" s="528" t="s">
        <v>3926</v>
      </c>
      <c r="M248" s="517"/>
      <c r="N248" s="201"/>
      <c r="O248" s="596">
        <f ca="1">IFERROR(INDEX({2,5},MATCH(W248,INDIRECT(U248),0)),0)*S248</f>
        <v>0</v>
      </c>
      <c r="P248" s="97" t="b">
        <v>1</v>
      </c>
      <c r="Q248" s="97" t="b">
        <v>0</v>
      </c>
      <c r="R248" s="110" t="b">
        <v>0</v>
      </c>
      <c r="S248" s="110" t="b">
        <v>1</v>
      </c>
      <c r="T248" s="110" t="b">
        <v>0</v>
      </c>
      <c r="U248" s="110" t="str">
        <f>SUBSTITUTE(SUBSTITUTE(SUBSTITUTE("dd"&amp;B248&amp;C248&amp;D248&amp;E248&amp;F248,".","_"),"(","_"),")","")</f>
        <v>dd903_1</v>
      </c>
      <c r="V248" s="110"/>
      <c r="W248" s="211"/>
      <c r="X248" s="1327"/>
      <c r="Z248" s="175"/>
      <c r="AB248" s="175"/>
      <c r="AC248" s="488" t="b">
        <f>OR(AD248:AE248)</f>
        <v>0</v>
      </c>
      <c r="AD248" s="488" t="b">
        <f>T248</f>
        <v>0</v>
      </c>
      <c r="AE248" s="488" t="b">
        <f>AND(R248,OR(W248="Not Met",W248=""))</f>
        <v>0</v>
      </c>
      <c r="AF248" s="175"/>
      <c r="AG248" s="175"/>
      <c r="AH248" s="175"/>
      <c r="AI248" s="175"/>
      <c r="AJ248" s="175"/>
      <c r="AK248" s="175"/>
      <c r="AL248" s="175"/>
      <c r="AM248" s="175"/>
      <c r="AN248" s="311" t="str">
        <f>SUBSTITUTE(SUBSTITUTE(SUBSTITUTE("dpc"&amp;$B248&amp;$C248&amp;$D248&amp;$E248&amp;$F248,".","_"),"(","_"),")","")</f>
        <v>dpc903_1</v>
      </c>
      <c r="AO248" s="311">
        <f ca="1">O248</f>
        <v>0</v>
      </c>
      <c r="AP248" s="311" t="str">
        <f>SUBSTITUTE(SUBSTITUTE(SUBSTITUTE("dch"&amp;$B248&amp;$C248&amp;$D248&amp;$E248&amp;$F248,".","_"),"(","_"),")","")</f>
        <v>dch903_1</v>
      </c>
      <c r="AQ248" s="311">
        <f>W248</f>
        <v>0</v>
      </c>
      <c r="AR248" s="311" t="str">
        <f>SUBSTITUTE(SUBSTITUTE(SUBSTITUTE("dnt"&amp;$B248&amp;$C248&amp;$D248&amp;$E248&amp;$F248,".","_"),"(","_"),")","")</f>
        <v>dnt903_1</v>
      </c>
      <c r="AS248" s="311">
        <f>X248</f>
        <v>0</v>
      </c>
    </row>
    <row r="249" spans="1:45" x14ac:dyDescent="0.3">
      <c r="B249" s="938" t="s">
        <v>3481</v>
      </c>
      <c r="C249" s="21"/>
      <c r="D249" s="21"/>
      <c r="E249" s="21" t="s">
        <v>271</v>
      </c>
      <c r="F249" s="21"/>
      <c r="G249" s="21"/>
      <c r="H249" s="1084"/>
      <c r="I249" s="576"/>
      <c r="J249" s="203" t="s">
        <v>271</v>
      </c>
      <c r="K249" s="140"/>
      <c r="L249" s="1305" t="s">
        <v>3924</v>
      </c>
      <c r="M249" s="1318">
        <v>2</v>
      </c>
      <c r="N249" s="140"/>
      <c r="O249" s="269"/>
      <c r="P249" s="97"/>
      <c r="Q249" s="97"/>
      <c r="R249" s="97"/>
      <c r="S249" s="97"/>
      <c r="T249" s="97"/>
      <c r="U249" s="97"/>
      <c r="V249" s="97"/>
      <c r="W249" s="97"/>
      <c r="X249" s="1295"/>
      <c r="AL249" s="311" t="str">
        <f>SUBSTITUTE(SUBSTITUTE(SUBSTITUTE("dpa"&amp;$B249&amp;$C249&amp;$D249&amp;$E249&amp;$F249,".","_"),"(","_"),")","")</f>
        <v>dpa903_1_1_1</v>
      </c>
      <c r="AM249" s="311">
        <f>M249</f>
        <v>2</v>
      </c>
    </row>
    <row r="250" spans="1:45" s="175" customFormat="1" x14ac:dyDescent="0.3">
      <c r="A250" s="18"/>
      <c r="B250" s="938" t="s">
        <v>3481</v>
      </c>
      <c r="C250" s="21"/>
      <c r="D250" s="21"/>
      <c r="E250" s="21"/>
      <c r="F250" s="21"/>
      <c r="G250" s="21"/>
      <c r="H250" s="1084"/>
      <c r="I250" s="576"/>
      <c r="J250" s="231"/>
      <c r="K250" s="238"/>
      <c r="L250" s="1350"/>
      <c r="M250" s="1319"/>
      <c r="N250" s="140"/>
      <c r="O250" s="269"/>
      <c r="P250" s="97"/>
      <c r="Q250" s="97"/>
      <c r="R250" s="97"/>
      <c r="S250" s="97"/>
      <c r="T250" s="97"/>
      <c r="U250" s="97"/>
      <c r="V250" s="97"/>
      <c r="W250" s="97"/>
      <c r="X250" s="1295"/>
      <c r="Y250" s="1107"/>
      <c r="Z250" s="79"/>
      <c r="AA250" s="1110"/>
      <c r="AB250" s="79"/>
      <c r="AC250" s="79"/>
      <c r="AD250" s="79"/>
      <c r="AE250" s="79"/>
      <c r="AF250" s="79"/>
      <c r="AG250" s="79"/>
      <c r="AH250" s="79"/>
      <c r="AI250" s="79"/>
      <c r="AJ250" s="79"/>
      <c r="AK250" s="79"/>
      <c r="AL250" s="79"/>
      <c r="AM250" s="79"/>
      <c r="AN250" s="79"/>
      <c r="AO250" s="79"/>
    </row>
    <row r="251" spans="1:45" ht="15" thickBot="1" x14ac:dyDescent="0.35">
      <c r="B251" s="938" t="s">
        <v>3482</v>
      </c>
      <c r="C251" s="21"/>
      <c r="D251" s="21"/>
      <c r="E251" s="21" t="s">
        <v>273</v>
      </c>
      <c r="F251" s="21"/>
      <c r="G251" s="21"/>
      <c r="H251" s="1084"/>
      <c r="I251" s="577"/>
      <c r="J251" s="213" t="s">
        <v>273</v>
      </c>
      <c r="K251" s="270"/>
      <c r="L251" s="519" t="s">
        <v>3925</v>
      </c>
      <c r="M251" s="523">
        <v>5</v>
      </c>
      <c r="N251" s="270"/>
      <c r="O251" s="271"/>
      <c r="P251" s="104"/>
      <c r="Q251" s="104"/>
      <c r="R251" s="104"/>
      <c r="S251" s="104"/>
      <c r="T251" s="104"/>
      <c r="U251" s="104"/>
      <c r="V251" s="104"/>
      <c r="W251" s="104"/>
      <c r="X251" s="1296"/>
      <c r="AL251" s="311" t="str">
        <f>SUBSTITUTE(SUBSTITUTE(SUBSTITUTE("dpa"&amp;$B251&amp;$C251&amp;$D251&amp;$E251&amp;$F251,".","_"),"(","_"),")","")</f>
        <v>dpa903_1_2_2</v>
      </c>
      <c r="AM251" s="311">
        <f>M251</f>
        <v>5</v>
      </c>
    </row>
    <row r="252" spans="1:45" ht="15" thickTop="1" x14ac:dyDescent="0.3">
      <c r="B252" s="938">
        <v>903.2</v>
      </c>
      <c r="C252" s="21"/>
      <c r="D252" s="21"/>
      <c r="E252" s="21"/>
      <c r="F252" s="21"/>
      <c r="G252" s="21"/>
      <c r="H252" s="1084"/>
      <c r="I252" s="200">
        <v>903.2</v>
      </c>
      <c r="J252" s="201"/>
      <c r="K252" s="201"/>
      <c r="L252" s="528" t="s">
        <v>3483</v>
      </c>
      <c r="M252" s="517"/>
      <c r="N252" s="201"/>
      <c r="O252" s="596">
        <f ca="1">IFERROR(INDEX({1,3},MATCH(W252,INDIRECT(U252),0)),0)*S252</f>
        <v>1</v>
      </c>
      <c r="P252" s="97" t="b">
        <v>1</v>
      </c>
      <c r="Q252" s="97" t="b">
        <v>1</v>
      </c>
      <c r="R252" s="110" t="b">
        <v>0</v>
      </c>
      <c r="S252" s="110" t="b">
        <v>1</v>
      </c>
      <c r="T252" s="110" t="b">
        <v>0</v>
      </c>
      <c r="U252" s="110" t="str">
        <f>SUBSTITUTE(SUBSTITUTE(SUBSTITUTE("dd"&amp;B252&amp;C252&amp;D252&amp;E252&amp;F252,".","_"),"(","_"),")","")</f>
        <v>dd903_2</v>
      </c>
      <c r="V252" s="110"/>
      <c r="W252" s="211" t="s">
        <v>271</v>
      </c>
      <c r="X252" s="1327" t="s">
        <v>4816</v>
      </c>
      <c r="Z252" s="175"/>
      <c r="AB252" s="175"/>
      <c r="AC252" s="488" t="b">
        <f>OR(AD252:AE252)</f>
        <v>0</v>
      </c>
      <c r="AD252" s="488" t="b">
        <f>T252</f>
        <v>0</v>
      </c>
      <c r="AE252" s="488" t="b">
        <f>AND(R252,OR(W252="Not Met",W252=""))</f>
        <v>0</v>
      </c>
      <c r="AF252" s="175"/>
      <c r="AG252" s="175"/>
      <c r="AH252" s="175"/>
      <c r="AI252" s="175"/>
      <c r="AJ252" s="175"/>
      <c r="AK252" s="175"/>
      <c r="AL252" s="175"/>
      <c r="AM252" s="175"/>
      <c r="AN252" s="311" t="str">
        <f>SUBSTITUTE(SUBSTITUTE(SUBSTITUTE("dpc"&amp;$B252&amp;$C252&amp;$D252&amp;$E252&amp;$F252,".","_"),"(","_"),")","")</f>
        <v>dpc903_2</v>
      </c>
      <c r="AO252" s="311">
        <f ca="1">O252</f>
        <v>1</v>
      </c>
      <c r="AP252" s="311" t="str">
        <f>SUBSTITUTE(SUBSTITUTE(SUBSTITUTE("dch"&amp;$B252&amp;$C252&amp;$D252&amp;$E252&amp;$F252,".","_"),"(","_"),")","")</f>
        <v>dch903_2</v>
      </c>
      <c r="AQ252" s="311" t="str">
        <f>W252</f>
        <v>(1)</v>
      </c>
      <c r="AR252" s="311" t="str">
        <f>SUBSTITUTE(SUBSTITUTE(SUBSTITUTE("dnt"&amp;$B252&amp;$C252&amp;$D252&amp;$E252&amp;$F252,".","_"),"(","_"),")","")</f>
        <v>dnt903_2</v>
      </c>
      <c r="AS252" s="311" t="str">
        <f>X252</f>
        <v>ZERH Requirement - Zero Energy Ready Homes Exhibit 1</v>
      </c>
    </row>
    <row r="253" spans="1:45" x14ac:dyDescent="0.3">
      <c r="B253" s="938">
        <v>903.2</v>
      </c>
      <c r="C253" s="21"/>
      <c r="D253" s="21"/>
      <c r="E253" s="21" t="s">
        <v>271</v>
      </c>
      <c r="F253" s="21"/>
      <c r="G253" s="21"/>
      <c r="H253" s="1084"/>
      <c r="I253" s="576"/>
      <c r="J253" s="231" t="s">
        <v>271</v>
      </c>
      <c r="K253" s="238"/>
      <c r="L253" s="516" t="s">
        <v>3484</v>
      </c>
      <c r="M253" s="520">
        <v>1</v>
      </c>
      <c r="N253" s="140"/>
      <c r="O253" s="269"/>
      <c r="P253" s="97"/>
      <c r="Q253" s="97"/>
      <c r="R253" s="97"/>
      <c r="S253" s="97"/>
      <c r="T253" s="97"/>
      <c r="U253" s="97"/>
      <c r="V253" s="97"/>
      <c r="W253" s="97"/>
      <c r="X253" s="1295"/>
      <c r="AL253" s="311" t="str">
        <f>SUBSTITUTE(SUBSTITUTE(SUBSTITUTE("dpa"&amp;$B253&amp;$C253&amp;$D253&amp;$E253&amp;$F253,".","_"),"(","_"),")","")</f>
        <v>dpa903_2_1</v>
      </c>
      <c r="AM253" s="311">
        <f>M253</f>
        <v>1</v>
      </c>
    </row>
    <row r="254" spans="1:45" s="175" customFormat="1" x14ac:dyDescent="0.3">
      <c r="A254" s="18"/>
      <c r="B254" s="938">
        <v>903.2</v>
      </c>
      <c r="C254" s="21"/>
      <c r="D254" s="21"/>
      <c r="E254" s="21" t="s">
        <v>273</v>
      </c>
      <c r="F254" s="21"/>
      <c r="G254" s="21"/>
      <c r="H254" s="1084"/>
      <c r="I254" s="576"/>
      <c r="J254" s="203" t="s">
        <v>273</v>
      </c>
      <c r="K254" s="140"/>
      <c r="L254" s="1305" t="s">
        <v>3485</v>
      </c>
      <c r="M254" s="1318">
        <v>3</v>
      </c>
      <c r="N254" s="140"/>
      <c r="O254" s="269"/>
      <c r="P254" s="97"/>
      <c r="Q254" s="97"/>
      <c r="R254" s="97"/>
      <c r="S254" s="97"/>
      <c r="T254" s="97"/>
      <c r="U254" s="97"/>
      <c r="V254" s="97"/>
      <c r="W254" s="97"/>
      <c r="X254" s="1295"/>
      <c r="Y254" s="1107"/>
      <c r="Z254" s="79"/>
      <c r="AA254" s="1110"/>
      <c r="AB254" s="79"/>
      <c r="AC254" s="79"/>
      <c r="AD254" s="79"/>
      <c r="AE254" s="79"/>
      <c r="AF254" s="79"/>
      <c r="AG254" s="79"/>
      <c r="AH254" s="79"/>
      <c r="AI254" s="79"/>
      <c r="AJ254" s="79"/>
      <c r="AK254" s="79"/>
      <c r="AL254" s="311" t="str">
        <f>SUBSTITUTE(SUBSTITUTE(SUBSTITUTE("dpa"&amp;$B254&amp;$C254&amp;$D254&amp;$E254&amp;$F254,".","_"),"(","_"),")","")</f>
        <v>dpa903_2_2</v>
      </c>
      <c r="AM254" s="311">
        <f>M254</f>
        <v>3</v>
      </c>
      <c r="AN254" s="79"/>
      <c r="AO254" s="79"/>
    </row>
    <row r="255" spans="1:45" ht="15" thickBot="1" x14ac:dyDescent="0.35">
      <c r="B255" s="938">
        <v>903.2</v>
      </c>
      <c r="C255" s="21"/>
      <c r="D255" s="21"/>
      <c r="E255" s="21"/>
      <c r="F255" s="21"/>
      <c r="G255" s="21"/>
      <c r="H255" s="1084"/>
      <c r="I255" s="577"/>
      <c r="J255" s="270"/>
      <c r="K255" s="270"/>
      <c r="L255" s="1330"/>
      <c r="M255" s="1334"/>
      <c r="N255" s="270"/>
      <c r="O255" s="271"/>
      <c r="P255" s="104"/>
      <c r="Q255" s="104"/>
      <c r="R255" s="104"/>
      <c r="S255" s="104"/>
      <c r="T255" s="104"/>
      <c r="U255" s="104"/>
      <c r="V255" s="104"/>
      <c r="W255" s="104"/>
      <c r="X255" s="1296"/>
    </row>
    <row r="256" spans="1:45" ht="15" thickTop="1" x14ac:dyDescent="0.3">
      <c r="B256" s="938">
        <v>903.3</v>
      </c>
      <c r="C256" s="21"/>
      <c r="D256" s="21"/>
      <c r="E256" s="21"/>
      <c r="F256" s="21"/>
      <c r="G256" s="21"/>
      <c r="H256" s="1084"/>
      <c r="I256" s="66">
        <v>903.3</v>
      </c>
      <c r="J256" s="4"/>
      <c r="K256" s="4"/>
      <c r="L256" s="1292" t="s">
        <v>3927</v>
      </c>
      <c r="M256" s="1335">
        <v>7</v>
      </c>
      <c r="N256" s="4"/>
      <c r="O256" s="1310">
        <f>M256*S258*IFERROR(OR(W258,W259),0)</f>
        <v>7</v>
      </c>
      <c r="X256" s="1304" t="s">
        <v>4817</v>
      </c>
      <c r="AL256" s="311" t="str">
        <f>SUBSTITUTE(SUBSTITUTE(SUBSTITUTE("dpa"&amp;$B256&amp;$C256&amp;$D256&amp;$E256&amp;$F256,".","_"),"(","_"),")","")</f>
        <v>dpa903_3</v>
      </c>
      <c r="AM256" s="311">
        <f>M256</f>
        <v>7</v>
      </c>
      <c r="AN256" s="311" t="str">
        <f>SUBSTITUTE(SUBSTITUTE(SUBSTITUTE("dpc"&amp;$B256&amp;$C256&amp;$D256&amp;$E256&amp;$F256,".","_"),"(","_"),")","")</f>
        <v>dpc903_3</v>
      </c>
      <c r="AO256" s="311">
        <f>O256</f>
        <v>7</v>
      </c>
      <c r="AR256" s="311" t="str">
        <f>SUBSTITUTE(SUBSTITUTE(SUBSTITUTE("dnt"&amp;$B256&amp;$C256&amp;$D256&amp;$E256&amp;$F256,".","_"),"(","_"),")","")</f>
        <v>dnt903_3</v>
      </c>
      <c r="AS256" s="311" t="str">
        <f>X256</f>
        <v>ZERH Requirement - Indoor airPLUS Verification Checklist, Section 4.1 HVAC Systems</v>
      </c>
    </row>
    <row r="257" spans="2:45" x14ac:dyDescent="0.3">
      <c r="B257" s="938">
        <v>903.3</v>
      </c>
      <c r="C257" s="21"/>
      <c r="D257" s="21"/>
      <c r="E257" s="21"/>
      <c r="F257" s="21"/>
      <c r="G257" s="21"/>
      <c r="H257" s="1084"/>
      <c r="I257" s="182"/>
      <c r="J257" s="4"/>
      <c r="K257" s="4"/>
      <c r="L257" s="1292"/>
      <c r="M257" s="1335"/>
      <c r="N257" s="4"/>
      <c r="O257" s="1310"/>
      <c r="X257" s="1303"/>
    </row>
    <row r="258" spans="2:45" x14ac:dyDescent="0.3">
      <c r="B258" s="938">
        <v>903.3</v>
      </c>
      <c r="C258" s="21"/>
      <c r="D258" s="21"/>
      <c r="E258" s="21" t="s">
        <v>271</v>
      </c>
      <c r="F258" s="21"/>
      <c r="G258" s="21"/>
      <c r="H258" s="1084"/>
      <c r="I258" s="182"/>
      <c r="J258" s="231" t="s">
        <v>271</v>
      </c>
      <c r="K258" s="196"/>
      <c r="L258" s="516" t="s">
        <v>3486</v>
      </c>
      <c r="M258" s="518"/>
      <c r="N258" s="140"/>
      <c r="O258" s="269"/>
      <c r="P258" s="97" t="b">
        <v>0</v>
      </c>
      <c r="Q258" s="97" t="b">
        <v>1</v>
      </c>
      <c r="R258" s="196" t="b">
        <v>0</v>
      </c>
      <c r="S258" s="196" t="b">
        <f>AND(BF16&lt;6,BG16="Moist")</f>
        <v>1</v>
      </c>
      <c r="T258" s="196" t="b">
        <f>AND(NOT(S258),W258=TRUE)</f>
        <v>0</v>
      </c>
      <c r="U258" s="196"/>
      <c r="V258" s="196"/>
      <c r="W258" s="452"/>
      <c r="X258" s="1303"/>
      <c r="AC258" s="488" t="b">
        <f>OR(AD258:AE258)</f>
        <v>0</v>
      </c>
      <c r="AD258" s="488" t="b">
        <f>T258</f>
        <v>0</v>
      </c>
      <c r="AE258" s="488" t="b">
        <f>AND(R258,NOT(W258))</f>
        <v>0</v>
      </c>
      <c r="AP258" s="311" t="str">
        <f t="shared" ref="AP258:AP259" si="7">SUBSTITUTE(SUBSTITUTE(SUBSTITUTE("dch"&amp;$B258&amp;$C258&amp;$D258&amp;$E258&amp;$F258,".","_"),"(","_"),")","")</f>
        <v>dch903_3_1</v>
      </c>
      <c r="AQ258" s="311">
        <f>W258</f>
        <v>0</v>
      </c>
    </row>
    <row r="259" spans="2:45" x14ac:dyDescent="0.3">
      <c r="B259" s="938">
        <v>903.3</v>
      </c>
      <c r="C259" s="21"/>
      <c r="D259" s="21"/>
      <c r="E259" s="21" t="s">
        <v>273</v>
      </c>
      <c r="F259" s="21"/>
      <c r="G259" s="21"/>
      <c r="H259" s="1084"/>
      <c r="I259" s="182"/>
      <c r="J259" s="27" t="s">
        <v>273</v>
      </c>
      <c r="L259" s="1367" t="s">
        <v>3487</v>
      </c>
      <c r="M259" s="518"/>
      <c r="N259" s="140"/>
      <c r="O259" s="269"/>
      <c r="P259" s="97" t="b">
        <v>0</v>
      </c>
      <c r="Q259" s="97" t="b">
        <v>1</v>
      </c>
      <c r="R259" s="480" t="b">
        <v>0</v>
      </c>
      <c r="S259" s="488" t="b">
        <f>AND(BF16&lt;6,BG16="Moist")</f>
        <v>1</v>
      </c>
      <c r="T259" s="97" t="b">
        <f>AND(NOT(S259),W259=TRUE)</f>
        <v>0</v>
      </c>
      <c r="W259" s="127" t="b">
        <v>1</v>
      </c>
      <c r="X259" s="1303"/>
      <c r="AC259" s="488" t="b">
        <f>OR(AD259:AE259)</f>
        <v>0</v>
      </c>
      <c r="AD259" s="488" t="b">
        <f>T259</f>
        <v>0</v>
      </c>
      <c r="AE259" s="488" t="b">
        <f>AND(R259,NOT(W259))</f>
        <v>0</v>
      </c>
      <c r="AP259" s="311" t="str">
        <f t="shared" si="7"/>
        <v>dch903_3_2</v>
      </c>
      <c r="AQ259" s="311" t="b">
        <f>W259</f>
        <v>1</v>
      </c>
    </row>
    <row r="260" spans="2:45" x14ac:dyDescent="0.3">
      <c r="B260" s="938">
        <v>903.3</v>
      </c>
      <c r="C260" s="21"/>
      <c r="D260" s="21"/>
      <c r="E260" s="21" t="s">
        <v>273</v>
      </c>
      <c r="F260" s="21"/>
      <c r="G260" s="21"/>
      <c r="H260" s="1084"/>
      <c r="I260" s="182"/>
      <c r="J260" s="4"/>
      <c r="K260" s="27"/>
      <c r="L260" s="1367"/>
      <c r="M260" s="522"/>
      <c r="N260" s="4"/>
      <c r="O260" s="154"/>
      <c r="X260" s="1303"/>
    </row>
    <row r="261" spans="2:45" ht="18" x14ac:dyDescent="0.35">
      <c r="B261" s="938">
        <v>904</v>
      </c>
      <c r="C261" s="21"/>
      <c r="D261" s="21"/>
      <c r="E261" s="21"/>
      <c r="F261" s="21"/>
      <c r="G261" s="21"/>
      <c r="H261" s="1084"/>
      <c r="I261" s="14" t="s">
        <v>3488</v>
      </c>
      <c r="J261" s="23"/>
      <c r="K261" s="23"/>
      <c r="L261" s="87"/>
      <c r="M261" s="594"/>
      <c r="N261" s="604"/>
      <c r="O261" s="594"/>
      <c r="P261" s="23"/>
      <c r="Q261" s="23"/>
      <c r="R261" s="23"/>
      <c r="S261" s="23"/>
      <c r="T261" s="23"/>
      <c r="U261" s="23"/>
      <c r="V261" s="23"/>
      <c r="W261" s="23"/>
      <c r="X261" s="23"/>
    </row>
    <row r="262" spans="2:45" x14ac:dyDescent="0.3">
      <c r="B262" s="938" t="s">
        <v>4671</v>
      </c>
      <c r="C262" s="21"/>
      <c r="D262" s="21"/>
      <c r="E262" s="21"/>
      <c r="F262" s="21"/>
      <c r="G262" s="21"/>
      <c r="H262" s="1084"/>
      <c r="I262" s="268">
        <v>904</v>
      </c>
      <c r="J262" s="140"/>
      <c r="K262" s="140"/>
      <c r="L262" s="1313" t="s">
        <v>3489</v>
      </c>
      <c r="M262" s="518"/>
      <c r="N262" s="140"/>
      <c r="O262" s="269"/>
      <c r="P262" s="97"/>
      <c r="Q262" s="97"/>
      <c r="R262" s="97"/>
      <c r="S262" s="97"/>
      <c r="T262" s="97"/>
      <c r="U262" s="97"/>
      <c r="V262" s="97"/>
      <c r="W262" s="97"/>
      <c r="X262" s="97"/>
    </row>
    <row r="263" spans="2:45" ht="15" thickBot="1" x14ac:dyDescent="0.35">
      <c r="B263" s="938" t="s">
        <v>4671</v>
      </c>
      <c r="C263" s="21"/>
      <c r="D263" s="21"/>
      <c r="E263" s="21"/>
      <c r="F263" s="21"/>
      <c r="G263" s="21"/>
      <c r="H263" s="1084"/>
      <c r="I263" s="577"/>
      <c r="J263" s="270"/>
      <c r="K263" s="270"/>
      <c r="L263" s="1332"/>
      <c r="M263" s="523"/>
      <c r="N263" s="270"/>
      <c r="O263" s="271"/>
      <c r="P263" s="104"/>
      <c r="Q263" s="104"/>
      <c r="R263" s="104"/>
      <c r="S263" s="104"/>
      <c r="T263" s="104"/>
      <c r="U263" s="104"/>
      <c r="V263" s="104"/>
      <c r="W263" s="104"/>
      <c r="X263" s="104"/>
    </row>
    <row r="264" spans="2:45" ht="15" thickTop="1" x14ac:dyDescent="0.3">
      <c r="B264" s="938">
        <v>904.1</v>
      </c>
      <c r="C264" s="21"/>
      <c r="D264" s="21"/>
      <c r="E264" s="21"/>
      <c r="F264" s="21"/>
      <c r="G264" s="21"/>
      <c r="H264" s="1084"/>
      <c r="I264" s="575">
        <v>904.1</v>
      </c>
      <c r="J264" s="201"/>
      <c r="K264" s="201"/>
      <c r="L264" s="1331" t="s">
        <v>3490</v>
      </c>
      <c r="M264" s="1343">
        <v>2</v>
      </c>
      <c r="N264" s="201"/>
      <c r="O264" s="1336">
        <f>M264*S264*W264</f>
        <v>0</v>
      </c>
      <c r="P264" s="97" t="b">
        <v>1</v>
      </c>
      <c r="Q264" s="97" t="b">
        <v>0</v>
      </c>
      <c r="R264" s="110" t="b">
        <v>0</v>
      </c>
      <c r="S264" s="110" t="b">
        <f>T265</f>
        <v>1</v>
      </c>
      <c r="T264" s="110" t="b">
        <f>AND(NOT(S264),W264=TRUE)</f>
        <v>0</v>
      </c>
      <c r="U264" s="110"/>
      <c r="V264" s="110"/>
      <c r="W264" s="459"/>
      <c r="X264" s="1327"/>
      <c r="AC264" s="488" t="b">
        <f>OR(AD264:AE264)</f>
        <v>0</v>
      </c>
      <c r="AD264" s="488" t="b">
        <f>T264</f>
        <v>0</v>
      </c>
      <c r="AE264" s="488" t="b">
        <f>AND(R264,NOT(W264))</f>
        <v>0</v>
      </c>
      <c r="AL264" s="311" t="str">
        <f>SUBSTITUTE(SUBSTITUTE(SUBSTITUTE("dpa"&amp;$B264&amp;$C264&amp;$D264&amp;$E264&amp;$F264,".","_"),"(","_"),")","")</f>
        <v>dpa904_1</v>
      </c>
      <c r="AM264" s="311">
        <f>M264</f>
        <v>2</v>
      </c>
      <c r="AN264" s="311" t="str">
        <f>SUBSTITUTE(SUBSTITUTE(SUBSTITUTE("dpc"&amp;$B264&amp;$C264&amp;$D264&amp;$E264&amp;$F264,".","_"),"(","_"),")","")</f>
        <v>dpc904_1</v>
      </c>
      <c r="AO264" s="311">
        <f>O264</f>
        <v>0</v>
      </c>
      <c r="AP264" s="311" t="str">
        <f>SUBSTITUTE(SUBSTITUTE(SUBSTITUTE("dch"&amp;$B264&amp;$C264&amp;$D264&amp;$E264&amp;$F264,".","_"),"(","_"),")","")</f>
        <v>dch904_1</v>
      </c>
      <c r="AQ264" s="311">
        <f>W264</f>
        <v>0</v>
      </c>
      <c r="AR264" s="311" t="str">
        <f>SUBSTITUTE(SUBSTITUTE(SUBSTITUTE("dnt"&amp;$B264&amp;$C264&amp;$D264&amp;$E264&amp;$F264,".","_"),"(","_"),")","")</f>
        <v>dnt904_1</v>
      </c>
      <c r="AS264" s="311">
        <f>X264</f>
        <v>0</v>
      </c>
    </row>
    <row r="265" spans="2:45" x14ac:dyDescent="0.3">
      <c r="B265" s="938">
        <v>904.1</v>
      </c>
      <c r="C265" s="21"/>
      <c r="D265" s="21"/>
      <c r="E265" s="21"/>
      <c r="F265" s="21"/>
      <c r="G265" s="21"/>
      <c r="H265" s="1084"/>
      <c r="I265" s="576"/>
      <c r="J265" s="140"/>
      <c r="K265" s="140"/>
      <c r="L265" s="1313"/>
      <c r="M265" s="1318"/>
      <c r="N265" s="140"/>
      <c r="O265" s="1308"/>
      <c r="P265" s="97"/>
      <c r="Q265" s="97"/>
      <c r="R265" s="97"/>
      <c r="S265" s="581" t="s">
        <v>4032</v>
      </c>
      <c r="T265" s="221" t="b">
        <f>'Ch6'!W153=TRUE</f>
        <v>1</v>
      </c>
      <c r="U265" s="97"/>
      <c r="V265" s="97"/>
      <c r="W265" s="97"/>
      <c r="X265" s="1295"/>
    </row>
    <row r="266" spans="2:45" x14ac:dyDescent="0.3">
      <c r="B266" s="938">
        <v>904.1</v>
      </c>
      <c r="C266" s="21"/>
      <c r="D266" s="21"/>
      <c r="E266" s="21"/>
      <c r="F266" s="21"/>
      <c r="G266" s="21"/>
      <c r="H266" s="1084"/>
      <c r="I266" s="576"/>
      <c r="J266" s="140"/>
      <c r="K266" s="140"/>
      <c r="L266" s="1313"/>
      <c r="M266" s="1318"/>
      <c r="N266" s="140"/>
      <c r="O266" s="1308"/>
      <c r="P266" s="97"/>
      <c r="Q266" s="97"/>
      <c r="R266" s="97"/>
      <c r="S266" s="97"/>
      <c r="T266" s="97"/>
      <c r="U266" s="97"/>
      <c r="V266" s="97"/>
      <c r="W266" s="97"/>
      <c r="X266" s="1295"/>
    </row>
    <row r="267" spans="2:45" x14ac:dyDescent="0.3">
      <c r="B267" s="938">
        <v>904.1</v>
      </c>
      <c r="C267" s="21"/>
      <c r="D267" s="21"/>
      <c r="E267" s="21"/>
      <c r="F267" s="21"/>
      <c r="G267" s="21"/>
      <c r="H267" s="1084"/>
      <c r="I267" s="576"/>
      <c r="J267" s="140"/>
      <c r="K267" s="140"/>
      <c r="L267" s="1313"/>
      <c r="M267" s="1318"/>
      <c r="N267" s="140"/>
      <c r="O267" s="1308"/>
      <c r="P267" s="97"/>
      <c r="Q267" s="97"/>
      <c r="R267" s="97"/>
      <c r="S267" s="97"/>
      <c r="T267" s="97"/>
      <c r="U267" s="97"/>
      <c r="V267" s="97"/>
      <c r="W267" s="97"/>
      <c r="X267" s="1295"/>
    </row>
    <row r="268" spans="2:45" ht="15" thickBot="1" x14ac:dyDescent="0.35">
      <c r="B268" s="938">
        <v>904.1</v>
      </c>
      <c r="C268" s="21"/>
      <c r="D268" s="21"/>
      <c r="E268" s="21"/>
      <c r="F268" s="21"/>
      <c r="G268" s="21"/>
      <c r="H268" s="1084"/>
      <c r="I268" s="577"/>
      <c r="J268" s="270"/>
      <c r="K268" s="270"/>
      <c r="L268" s="1332"/>
      <c r="M268" s="1334"/>
      <c r="N268" s="270"/>
      <c r="O268" s="1315"/>
      <c r="P268" s="104"/>
      <c r="Q268" s="104"/>
      <c r="R268" s="104"/>
      <c r="S268" s="104"/>
      <c r="T268" s="104"/>
      <c r="U268" s="104"/>
      <c r="V268" s="104"/>
      <c r="W268" s="104"/>
      <c r="X268" s="1296"/>
    </row>
    <row r="269" spans="2:45" ht="15" thickTop="1" x14ac:dyDescent="0.3">
      <c r="B269" s="938">
        <v>904.2</v>
      </c>
      <c r="C269" s="21"/>
      <c r="D269" s="21"/>
      <c r="E269" s="21"/>
      <c r="F269" s="21"/>
      <c r="G269" s="21"/>
      <c r="H269" s="1084"/>
      <c r="I269" s="66">
        <v>904.2</v>
      </c>
      <c r="J269" s="4"/>
      <c r="K269" s="4"/>
      <c r="L269" s="1292" t="s">
        <v>3491</v>
      </c>
      <c r="M269" s="1335">
        <v>3</v>
      </c>
      <c r="N269" s="4"/>
      <c r="O269" s="1310">
        <f>M269*S269*W269</f>
        <v>0</v>
      </c>
      <c r="P269" s="97" t="b">
        <v>0</v>
      </c>
      <c r="Q269" s="97" t="b">
        <v>1</v>
      </c>
      <c r="R269" s="480" t="b">
        <v>0</v>
      </c>
      <c r="S269" s="480" t="b">
        <f>T265</f>
        <v>1</v>
      </c>
      <c r="T269" s="97" t="b">
        <f>AND(NOT(S269),W269=TRUE)</f>
        <v>0</v>
      </c>
      <c r="W269" s="127"/>
      <c r="X269" s="1304"/>
      <c r="AC269" s="488" t="b">
        <f>OR(AD269:AE269)</f>
        <v>0</v>
      </c>
      <c r="AD269" s="488" t="b">
        <f>T269</f>
        <v>0</v>
      </c>
      <c r="AE269" s="488" t="b">
        <f>AND(R269,NOT(W269))</f>
        <v>0</v>
      </c>
      <c r="AL269" s="311" t="str">
        <f>SUBSTITUTE(SUBSTITUTE(SUBSTITUTE("dpa"&amp;$B269&amp;$C269&amp;$D269&amp;$E269&amp;$F269,".","_"),"(","_"),")","")</f>
        <v>dpa904_2</v>
      </c>
      <c r="AM269" s="311">
        <f>M269</f>
        <v>3</v>
      </c>
      <c r="AN269" s="311" t="str">
        <f>SUBSTITUTE(SUBSTITUTE(SUBSTITUTE("dpc"&amp;$B269&amp;$C269&amp;$D269&amp;$E269&amp;$F269,".","_"),"(","_"),")","")</f>
        <v>dpc904_2</v>
      </c>
      <c r="AO269" s="311">
        <f>O269</f>
        <v>0</v>
      </c>
      <c r="AP269" s="311" t="str">
        <f>SUBSTITUTE(SUBSTITUTE(SUBSTITUTE("dch"&amp;$B269&amp;$C269&amp;$D269&amp;$E269&amp;$F269,".","_"),"(","_"),")","")</f>
        <v>dch904_2</v>
      </c>
      <c r="AQ269" s="311">
        <f>W269</f>
        <v>0</v>
      </c>
      <c r="AR269" s="311" t="str">
        <f>SUBSTITUTE(SUBSTITUTE(SUBSTITUTE("dnt"&amp;$B269&amp;$C269&amp;$D269&amp;$E269&amp;$F269,".","_"),"(","_"),")","")</f>
        <v>dnt904_2</v>
      </c>
      <c r="AS269" s="311">
        <f>X269</f>
        <v>0</v>
      </c>
    </row>
    <row r="270" spans="2:45" x14ac:dyDescent="0.3">
      <c r="B270" s="938">
        <v>904.2</v>
      </c>
      <c r="C270" s="21"/>
      <c r="D270" s="21"/>
      <c r="E270" s="21"/>
      <c r="F270" s="21"/>
      <c r="G270" s="21"/>
      <c r="H270" s="1084"/>
      <c r="I270" s="182"/>
      <c r="J270" s="4"/>
      <c r="K270" s="4"/>
      <c r="L270" s="1292"/>
      <c r="M270" s="1335"/>
      <c r="N270" s="4"/>
      <c r="O270" s="1310"/>
      <c r="X270" s="1303"/>
    </row>
    <row r="271" spans="2:45" x14ac:dyDescent="0.3">
      <c r="B271" s="938">
        <v>904.2</v>
      </c>
      <c r="C271" s="21"/>
      <c r="D271" s="21"/>
      <c r="E271" s="21"/>
      <c r="F271" s="21"/>
      <c r="G271" s="21"/>
      <c r="H271" s="1084"/>
      <c r="I271" s="182"/>
      <c r="J271" s="4"/>
      <c r="K271" s="4"/>
      <c r="L271" s="1292"/>
      <c r="M271" s="1335"/>
      <c r="N271" s="4"/>
      <c r="O271" s="1310"/>
      <c r="X271" s="1303"/>
    </row>
    <row r="272" spans="2:45" ht="18" x14ac:dyDescent="0.35">
      <c r="B272" s="938">
        <v>905</v>
      </c>
      <c r="C272" s="21"/>
      <c r="D272" s="21"/>
      <c r="E272" s="21"/>
      <c r="F272" s="21"/>
      <c r="G272" s="21"/>
      <c r="H272" s="1084"/>
      <c r="I272" s="14" t="s">
        <v>3492</v>
      </c>
      <c r="J272" s="23"/>
      <c r="K272" s="23"/>
      <c r="L272" s="87"/>
      <c r="M272" s="594"/>
      <c r="N272" s="604"/>
      <c r="O272" s="594"/>
      <c r="P272" s="23"/>
      <c r="Q272" s="23"/>
      <c r="R272" s="23"/>
      <c r="S272" s="23"/>
      <c r="T272" s="23"/>
      <c r="U272" s="23"/>
      <c r="V272" s="23"/>
      <c r="W272" s="23"/>
      <c r="X272" s="23"/>
    </row>
    <row r="273" spans="1:45" x14ac:dyDescent="0.3">
      <c r="B273" s="938">
        <v>905.1</v>
      </c>
      <c r="C273" s="21"/>
      <c r="D273" s="21"/>
      <c r="E273" s="21"/>
      <c r="F273" s="21"/>
      <c r="G273" s="21"/>
      <c r="H273" s="1084"/>
      <c r="I273" s="141">
        <v>905.1</v>
      </c>
      <c r="J273" s="140"/>
      <c r="K273" s="140"/>
      <c r="L273" s="1313" t="s">
        <v>3493</v>
      </c>
      <c r="M273" s="1318">
        <v>2</v>
      </c>
      <c r="N273" s="140"/>
      <c r="O273" s="1308">
        <f>M273*S273*W273</f>
        <v>0</v>
      </c>
      <c r="P273" s="97" t="b">
        <v>0</v>
      </c>
      <c r="Q273" s="97" t="b">
        <v>1</v>
      </c>
      <c r="R273" s="97" t="b">
        <v>0</v>
      </c>
      <c r="S273" s="97" t="b">
        <v>1</v>
      </c>
      <c r="T273" s="97" t="b">
        <v>0</v>
      </c>
      <c r="U273" s="97"/>
      <c r="V273" s="97"/>
      <c r="W273" s="452"/>
      <c r="X273" s="1295"/>
      <c r="AC273" s="488" t="b">
        <f>OR(AD273:AE273)</f>
        <v>0</v>
      </c>
      <c r="AD273" s="488" t="b">
        <f>T273</f>
        <v>0</v>
      </c>
      <c r="AE273" s="488" t="b">
        <f>AND(R273,NOT(W273))</f>
        <v>0</v>
      </c>
      <c r="AL273" s="311" t="str">
        <f>SUBSTITUTE(SUBSTITUTE(SUBSTITUTE("dpa"&amp;$B273&amp;$C273&amp;$D273&amp;$E273&amp;$F273,".","_"),"(","_"),")","")</f>
        <v>dpa905_1</v>
      </c>
      <c r="AM273" s="311">
        <f>M273</f>
        <v>2</v>
      </c>
      <c r="AN273" s="311" t="str">
        <f>SUBSTITUTE(SUBSTITUTE(SUBSTITUTE("dpc"&amp;$B273&amp;$C273&amp;$D273&amp;$E273&amp;$F273,".","_"),"(","_"),")","")</f>
        <v>dpc905_1</v>
      </c>
      <c r="AO273" s="311">
        <f>O273</f>
        <v>0</v>
      </c>
      <c r="AP273" s="311" t="str">
        <f>SUBSTITUTE(SUBSTITUTE(SUBSTITUTE("dch"&amp;$B273&amp;$C273&amp;$D273&amp;$E273&amp;$F273,".","_"),"(","_"),")","")</f>
        <v>dch905_1</v>
      </c>
      <c r="AQ273" s="311">
        <f>W273</f>
        <v>0</v>
      </c>
      <c r="AR273" s="311" t="str">
        <f>SUBSTITUTE(SUBSTITUTE(SUBSTITUTE("dnt"&amp;$B273&amp;$C273&amp;$D273&amp;$E273&amp;$F273,".","_"),"(","_"),")","")</f>
        <v>dnt905_1</v>
      </c>
      <c r="AS273" s="311">
        <f>X273</f>
        <v>0</v>
      </c>
    </row>
    <row r="274" spans="1:45" x14ac:dyDescent="0.3">
      <c r="B274" s="938">
        <v>905.1</v>
      </c>
      <c r="C274" s="21"/>
      <c r="D274" s="21"/>
      <c r="E274" s="21"/>
      <c r="F274" s="21"/>
      <c r="G274" s="21"/>
      <c r="H274" s="1084"/>
      <c r="I274" s="576"/>
      <c r="J274" s="140"/>
      <c r="K274" s="140"/>
      <c r="L274" s="1313"/>
      <c r="M274" s="1318"/>
      <c r="N274" s="140"/>
      <c r="O274" s="1308"/>
      <c r="P274" s="97"/>
      <c r="Q274" s="97"/>
      <c r="R274" s="97"/>
      <c r="S274" s="97"/>
      <c r="T274" s="97"/>
      <c r="U274" s="97"/>
      <c r="V274" s="97"/>
      <c r="W274" s="97"/>
      <c r="X274" s="1295"/>
    </row>
    <row r="275" spans="1:45" x14ac:dyDescent="0.3">
      <c r="B275" s="938">
        <v>905.1</v>
      </c>
      <c r="C275" s="21"/>
      <c r="D275" s="21"/>
      <c r="E275" s="21"/>
      <c r="F275" s="21"/>
      <c r="G275" s="21"/>
      <c r="H275" s="1084"/>
      <c r="I275" s="576"/>
      <c r="J275" s="140"/>
      <c r="K275" s="140"/>
      <c r="L275" s="1313"/>
      <c r="M275" s="1318"/>
      <c r="N275" s="140"/>
      <c r="O275" s="1308"/>
      <c r="P275" s="97"/>
      <c r="Q275" s="97"/>
      <c r="R275" s="97"/>
      <c r="S275" s="97"/>
      <c r="T275" s="97"/>
      <c r="U275" s="97"/>
      <c r="V275" s="97"/>
      <c r="W275" s="97"/>
      <c r="X275" s="1295"/>
    </row>
    <row r="276" spans="1:45" x14ac:dyDescent="0.3">
      <c r="B276" s="938">
        <v>905.1</v>
      </c>
      <c r="C276" s="21"/>
      <c r="D276" s="21"/>
      <c r="E276" s="21"/>
      <c r="F276" s="21"/>
      <c r="G276" s="21"/>
      <c r="H276" s="1084"/>
      <c r="I276" s="576"/>
      <c r="J276" s="140"/>
      <c r="K276" s="140"/>
      <c r="L276" s="1313"/>
      <c r="M276" s="1318"/>
      <c r="N276" s="140"/>
      <c r="O276" s="1308"/>
      <c r="P276" s="97"/>
      <c r="Q276" s="97"/>
      <c r="R276" s="97"/>
      <c r="S276" s="97"/>
      <c r="T276" s="97"/>
      <c r="U276" s="97"/>
      <c r="V276" s="97"/>
      <c r="W276" s="97"/>
      <c r="X276" s="1295"/>
    </row>
    <row r="277" spans="1:45" ht="15" thickBot="1" x14ac:dyDescent="0.35">
      <c r="B277" s="938">
        <v>905.1</v>
      </c>
      <c r="C277" s="21"/>
      <c r="D277" s="21"/>
      <c r="E277" s="21"/>
      <c r="F277" s="21"/>
      <c r="G277" s="21"/>
      <c r="H277" s="1084"/>
      <c r="I277" s="577"/>
      <c r="J277" s="270"/>
      <c r="K277" s="270"/>
      <c r="L277" s="1332"/>
      <c r="M277" s="1334"/>
      <c r="N277" s="270"/>
      <c r="O277" s="1315"/>
      <c r="P277" s="104"/>
      <c r="Q277" s="104"/>
      <c r="R277" s="104"/>
      <c r="S277" s="104"/>
      <c r="T277" s="104"/>
      <c r="U277" s="104"/>
      <c r="V277" s="104"/>
      <c r="W277" s="104"/>
      <c r="X277" s="1296"/>
    </row>
    <row r="278" spans="1:45" ht="15" thickTop="1" x14ac:dyDescent="0.3">
      <c r="B278" s="938">
        <v>905.2</v>
      </c>
      <c r="C278" s="21"/>
      <c r="D278" s="21"/>
      <c r="E278" s="21"/>
      <c r="F278" s="21"/>
      <c r="G278" s="21"/>
      <c r="H278" s="1084"/>
      <c r="I278" s="66">
        <v>905.2</v>
      </c>
      <c r="J278" s="4"/>
      <c r="K278" s="4"/>
      <c r="L278" s="1292" t="s">
        <v>3494</v>
      </c>
      <c r="M278" s="1335">
        <v>2</v>
      </c>
      <c r="N278" s="4"/>
      <c r="O278" s="1310">
        <f>M278*S278*W278</f>
        <v>0</v>
      </c>
      <c r="P278" s="97" t="b">
        <v>0</v>
      </c>
      <c r="Q278" s="97" t="b">
        <v>1</v>
      </c>
      <c r="R278" s="480" t="b">
        <v>0</v>
      </c>
      <c r="S278" s="480" t="b">
        <v>1</v>
      </c>
      <c r="T278" s="480" t="b">
        <v>0</v>
      </c>
      <c r="W278" s="127"/>
      <c r="X278" s="1304"/>
      <c r="AC278" s="488" t="b">
        <f>OR(AD278:AE278)</f>
        <v>0</v>
      </c>
      <c r="AD278" s="488" t="b">
        <f>T278</f>
        <v>0</v>
      </c>
      <c r="AE278" s="488" t="b">
        <f>AND(R278,NOT(W278))</f>
        <v>0</v>
      </c>
      <c r="AL278" s="311" t="str">
        <f>SUBSTITUTE(SUBSTITUTE(SUBSTITUTE("dpa"&amp;$B278&amp;$C278&amp;$D278&amp;$E278&amp;$F278,".","_"),"(","_"),")","")</f>
        <v>dpa905_2</v>
      </c>
      <c r="AM278" s="311">
        <f>M278</f>
        <v>2</v>
      </c>
      <c r="AN278" s="311" t="str">
        <f>SUBSTITUTE(SUBSTITUTE(SUBSTITUTE("dpc"&amp;$B278&amp;$C278&amp;$D278&amp;$E278&amp;$F278,".","_"),"(","_"),")","")</f>
        <v>dpc905_2</v>
      </c>
      <c r="AO278" s="311">
        <f>O278</f>
        <v>0</v>
      </c>
      <c r="AP278" s="311" t="str">
        <f>SUBSTITUTE(SUBSTITUTE(SUBSTITUTE("dch"&amp;$B278&amp;$C278&amp;$D278&amp;$E278&amp;$F278,".","_"),"(","_"),")","")</f>
        <v>dch905_2</v>
      </c>
      <c r="AQ278" s="311">
        <f>W278</f>
        <v>0</v>
      </c>
      <c r="AR278" s="311" t="str">
        <f>SUBSTITUTE(SUBSTITUTE(SUBSTITUTE("dnt"&amp;$B278&amp;$C278&amp;$D278&amp;$E278&amp;$F278,".","_"),"(","_"),")","")</f>
        <v>dnt905_2</v>
      </c>
      <c r="AS278" s="311">
        <f>X278</f>
        <v>0</v>
      </c>
    </row>
    <row r="279" spans="1:45" ht="15" thickBot="1" x14ac:dyDescent="0.35">
      <c r="B279" s="938">
        <v>905.2</v>
      </c>
      <c r="C279" s="21"/>
      <c r="D279" s="21"/>
      <c r="E279" s="21"/>
      <c r="F279" s="21"/>
      <c r="G279" s="21"/>
      <c r="H279" s="1084"/>
      <c r="I279" s="182"/>
      <c r="J279" s="4"/>
      <c r="K279" s="4"/>
      <c r="L279" s="1292"/>
      <c r="M279" s="1335"/>
      <c r="N279" s="4"/>
      <c r="O279" s="1310"/>
      <c r="X279" s="1303"/>
    </row>
    <row r="280" spans="1:45" s="511" customFormat="1" ht="15.6" thickTop="1" thickBot="1" x14ac:dyDescent="0.35">
      <c r="A280" s="18"/>
      <c r="B280" s="18"/>
      <c r="C280" s="18"/>
      <c r="D280" s="18"/>
      <c r="E280" s="18"/>
      <c r="F280" s="18"/>
      <c r="G280" s="18"/>
      <c r="H280" s="18"/>
      <c r="I280" s="225" t="s">
        <v>4051</v>
      </c>
      <c r="J280" s="226"/>
      <c r="K280" s="226"/>
      <c r="L280" s="226"/>
      <c r="M280" s="227"/>
      <c r="N280" s="226"/>
      <c r="O280" s="228"/>
      <c r="P280" s="226"/>
      <c r="Q280" s="226"/>
      <c r="R280" s="226"/>
      <c r="S280" s="226"/>
      <c r="T280" s="226"/>
      <c r="U280" s="226"/>
      <c r="V280" s="226"/>
      <c r="W280" s="226"/>
      <c r="X280" s="326" t="s">
        <v>4052</v>
      </c>
      <c r="Y280" s="1107"/>
      <c r="AA280" s="1110"/>
    </row>
    <row r="281" spans="1:45" ht="15" thickTop="1" x14ac:dyDescent="0.3"/>
  </sheetData>
  <sheetProtection algorithmName="SHA-512" hashValue="Le8Fh3aEQcnDuN4f2I/C54UpvCyYqpr6QAJcz272wIwpjmlGa7GL7X6Cuw9pl+b63KcS8/TlwF30WI4SlWMfDQ==" saltValue="1RjGtdUgSxzXnC0OFSUYHw==" spinCount="100000" sheet="1" objects="1" scenarios="1" selectLockedCells="1"/>
  <mergeCells count="246">
    <mergeCell ref="O134:O137"/>
    <mergeCell ref="O269:O271"/>
    <mergeCell ref="O273:O277"/>
    <mergeCell ref="O278:O279"/>
    <mergeCell ref="O188:O189"/>
    <mergeCell ref="O211:O213"/>
    <mergeCell ref="O220:O221"/>
    <mergeCell ref="O222:O224"/>
    <mergeCell ref="O225:O227"/>
    <mergeCell ref="O235:O236"/>
    <mergeCell ref="O242:O243"/>
    <mergeCell ref="O256:O257"/>
    <mergeCell ref="O264:O268"/>
    <mergeCell ref="O201:O202"/>
    <mergeCell ref="O145:O147"/>
    <mergeCell ref="O139:O144"/>
    <mergeCell ref="O158:O162"/>
    <mergeCell ref="O165:O166"/>
    <mergeCell ref="O171:O172"/>
    <mergeCell ref="O173:O174"/>
    <mergeCell ref="O181:O182"/>
    <mergeCell ref="O185:O187"/>
    <mergeCell ref="O192:O193"/>
    <mergeCell ref="M264:M268"/>
    <mergeCell ref="M269:M271"/>
    <mergeCell ref="M222:M224"/>
    <mergeCell ref="M225:M227"/>
    <mergeCell ref="M235:M236"/>
    <mergeCell ref="M242:M243"/>
    <mergeCell ref="M244:M245"/>
    <mergeCell ref="M148:M152"/>
    <mergeCell ref="M90:M91"/>
    <mergeCell ref="M92:M94"/>
    <mergeCell ref="M95:M96"/>
    <mergeCell ref="M97:M103"/>
    <mergeCell ref="M185:M187"/>
    <mergeCell ref="M188:M189"/>
    <mergeCell ref="M192:M193"/>
    <mergeCell ref="M158:M162"/>
    <mergeCell ref="M171:M172"/>
    <mergeCell ref="M173:M174"/>
    <mergeCell ref="M256:M257"/>
    <mergeCell ref="M179:M180"/>
    <mergeCell ref="M183:M184"/>
    <mergeCell ref="M163:M164"/>
    <mergeCell ref="M181:M182"/>
    <mergeCell ref="M154:M156"/>
    <mergeCell ref="L173:L174"/>
    <mergeCell ref="L179:L180"/>
    <mergeCell ref="L95:L96"/>
    <mergeCell ref="L97:L101"/>
    <mergeCell ref="L102:L103"/>
    <mergeCell ref="L116:L117"/>
    <mergeCell ref="L104:L107"/>
    <mergeCell ref="L183:L184"/>
    <mergeCell ref="L90:L91"/>
    <mergeCell ref="L92:L94"/>
    <mergeCell ref="L171:L172"/>
    <mergeCell ref="L181:L182"/>
    <mergeCell ref="L249:L250"/>
    <mergeCell ref="L254:L255"/>
    <mergeCell ref="L222:L224"/>
    <mergeCell ref="L225:L227"/>
    <mergeCell ref="L228:L229"/>
    <mergeCell ref="L235:L236"/>
    <mergeCell ref="L237:L238"/>
    <mergeCell ref="L207:L209"/>
    <mergeCell ref="L211:L213"/>
    <mergeCell ref="L262:L263"/>
    <mergeCell ref="L264:L268"/>
    <mergeCell ref="L273:L277"/>
    <mergeCell ref="L278:L279"/>
    <mergeCell ref="L269:L271"/>
    <mergeCell ref="M211:M213"/>
    <mergeCell ref="L216:L217"/>
    <mergeCell ref="L220:L221"/>
    <mergeCell ref="L188:L189"/>
    <mergeCell ref="L192:L193"/>
    <mergeCell ref="L201:L202"/>
    <mergeCell ref="L203:L204"/>
    <mergeCell ref="L205:L206"/>
    <mergeCell ref="M201:M202"/>
    <mergeCell ref="M214:M215"/>
    <mergeCell ref="M216:M217"/>
    <mergeCell ref="M220:M221"/>
    <mergeCell ref="M197:M198"/>
    <mergeCell ref="M199:M200"/>
    <mergeCell ref="M273:M277"/>
    <mergeCell ref="M278:M279"/>
    <mergeCell ref="L256:L257"/>
    <mergeCell ref="L242:L243"/>
    <mergeCell ref="L214:L215"/>
    <mergeCell ref="M249:M250"/>
    <mergeCell ref="M254:M255"/>
    <mergeCell ref="L259:L260"/>
    <mergeCell ref="L118:L123"/>
    <mergeCell ref="L124:L126"/>
    <mergeCell ref="L165:L166"/>
    <mergeCell ref="L169:L170"/>
    <mergeCell ref="L136:L137"/>
    <mergeCell ref="L139:L144"/>
    <mergeCell ref="L145:L147"/>
    <mergeCell ref="L154:L156"/>
    <mergeCell ref="L127:L128"/>
    <mergeCell ref="L129:L130"/>
    <mergeCell ref="L134:L135"/>
    <mergeCell ref="L185:L187"/>
    <mergeCell ref="L158:L162"/>
    <mergeCell ref="L163:L164"/>
    <mergeCell ref="M118:M123"/>
    <mergeCell ref="M127:M128"/>
    <mergeCell ref="M134:M137"/>
    <mergeCell ref="M139:M144"/>
    <mergeCell ref="L148:L152"/>
    <mergeCell ref="L239:L241"/>
    <mergeCell ref="L244:L245"/>
    <mergeCell ref="L47:L49"/>
    <mergeCell ref="L52:L53"/>
    <mergeCell ref="L50:L51"/>
    <mergeCell ref="L18:L19"/>
    <mergeCell ref="L21:L22"/>
    <mergeCell ref="L29:L32"/>
    <mergeCell ref="L80:L81"/>
    <mergeCell ref="L84:L85"/>
    <mergeCell ref="L87:L88"/>
    <mergeCell ref="L33:L35"/>
    <mergeCell ref="L57:L58"/>
    <mergeCell ref="L59:L60"/>
    <mergeCell ref="L61:L66"/>
    <mergeCell ref="L68:L70"/>
    <mergeCell ref="L71:L74"/>
    <mergeCell ref="L12:L15"/>
    <mergeCell ref="L16:L17"/>
    <mergeCell ref="U6:U7"/>
    <mergeCell ref="V6:V7"/>
    <mergeCell ref="W6:W7"/>
    <mergeCell ref="L40:L41"/>
    <mergeCell ref="L42:L44"/>
    <mergeCell ref="L45:L46"/>
    <mergeCell ref="X4:X5"/>
    <mergeCell ref="Q6:Q7"/>
    <mergeCell ref="X6:X7"/>
    <mergeCell ref="R6:R7"/>
    <mergeCell ref="S6:S7"/>
    <mergeCell ref="T6:T7"/>
    <mergeCell ref="M12:M17"/>
    <mergeCell ref="I4:L4"/>
    <mergeCell ref="I5:L5"/>
    <mergeCell ref="O12:O17"/>
    <mergeCell ref="M18:M19"/>
    <mergeCell ref="M29:M32"/>
    <mergeCell ref="M33:M35"/>
    <mergeCell ref="O18:O19"/>
    <mergeCell ref="O33:O35"/>
    <mergeCell ref="M43:M44"/>
    <mergeCell ref="I1:L1"/>
    <mergeCell ref="M1:W5"/>
    <mergeCell ref="I2:L2"/>
    <mergeCell ref="I3:L3"/>
    <mergeCell ref="I6:K7"/>
    <mergeCell ref="L6:L7"/>
    <mergeCell ref="M6:M7"/>
    <mergeCell ref="N6:N7"/>
    <mergeCell ref="P6:P7"/>
    <mergeCell ref="M48:M49"/>
    <mergeCell ref="O42:O44"/>
    <mergeCell ref="O45:O46"/>
    <mergeCell ref="O47:O49"/>
    <mergeCell ref="O50:O51"/>
    <mergeCell ref="O52:O53"/>
    <mergeCell ref="O97:O103"/>
    <mergeCell ref="O118:O123"/>
    <mergeCell ref="O127:O128"/>
    <mergeCell ref="O57:O58"/>
    <mergeCell ref="O59:O60"/>
    <mergeCell ref="O61:O66"/>
    <mergeCell ref="O90:O91"/>
    <mergeCell ref="O92:O94"/>
    <mergeCell ref="M61:M66"/>
    <mergeCell ref="M68:M70"/>
    <mergeCell ref="M71:M75"/>
    <mergeCell ref="M80:M81"/>
    <mergeCell ref="M84:M85"/>
    <mergeCell ref="O68:O70"/>
    <mergeCell ref="X12:X17"/>
    <mergeCell ref="X18:X20"/>
    <mergeCell ref="X23:X25"/>
    <mergeCell ref="X26:X28"/>
    <mergeCell ref="X29:X32"/>
    <mergeCell ref="X33:X35"/>
    <mergeCell ref="X36:X38"/>
    <mergeCell ref="X42:X44"/>
    <mergeCell ref="X45:X46"/>
    <mergeCell ref="X47:X49"/>
    <mergeCell ref="X50:X51"/>
    <mergeCell ref="X52:X53"/>
    <mergeCell ref="X57:X58"/>
    <mergeCell ref="X59:X60"/>
    <mergeCell ref="X61:X66"/>
    <mergeCell ref="X71:X75"/>
    <mergeCell ref="X76:X86"/>
    <mergeCell ref="X90:X91"/>
    <mergeCell ref="X92:X94"/>
    <mergeCell ref="X95:X96"/>
    <mergeCell ref="X104:X113"/>
    <mergeCell ref="X114:X117"/>
    <mergeCell ref="X118:X123"/>
    <mergeCell ref="X124:X126"/>
    <mergeCell ref="X129:X130"/>
    <mergeCell ref="X132:X133"/>
    <mergeCell ref="X134:X138"/>
    <mergeCell ref="X205:X206"/>
    <mergeCell ref="X207:X209"/>
    <mergeCell ref="X139:X144"/>
    <mergeCell ref="X148:X152"/>
    <mergeCell ref="X154:X157"/>
    <mergeCell ref="X158:X162"/>
    <mergeCell ref="X163:X164"/>
    <mergeCell ref="X165:X168"/>
    <mergeCell ref="X171:X172"/>
    <mergeCell ref="X173:X174"/>
    <mergeCell ref="X179:X180"/>
    <mergeCell ref="H1:H7"/>
    <mergeCell ref="X248:X251"/>
    <mergeCell ref="X252:X255"/>
    <mergeCell ref="X264:X268"/>
    <mergeCell ref="X269:X271"/>
    <mergeCell ref="X273:X277"/>
    <mergeCell ref="X278:X279"/>
    <mergeCell ref="X256:X260"/>
    <mergeCell ref="X211:X219"/>
    <mergeCell ref="X220:X221"/>
    <mergeCell ref="X222:X224"/>
    <mergeCell ref="X225:X227"/>
    <mergeCell ref="X228:X234"/>
    <mergeCell ref="X237:X238"/>
    <mergeCell ref="X239:X241"/>
    <mergeCell ref="X242:X243"/>
    <mergeCell ref="X244:X245"/>
    <mergeCell ref="X181:X182"/>
    <mergeCell ref="X183:X184"/>
    <mergeCell ref="X185:X187"/>
    <mergeCell ref="X188:X191"/>
    <mergeCell ref="X192:X195"/>
    <mergeCell ref="X196:X200"/>
    <mergeCell ref="X203:X204"/>
  </mergeCells>
  <conditionalFormatting sqref="X2">
    <cfRule type="expression" dxfId="2793" priority="312">
      <formula>$AG$3</formula>
    </cfRule>
  </conditionalFormatting>
  <conditionalFormatting sqref="X3">
    <cfRule type="expression" dxfId="2792" priority="313">
      <formula>$AI$3</formula>
    </cfRule>
  </conditionalFormatting>
  <conditionalFormatting sqref="W12">
    <cfRule type="expression" dxfId="2791" priority="299">
      <formula>OR($T$12 = TRUE, AND($W$12 = TRUE, $S$12 = FALSE))</formula>
    </cfRule>
    <cfRule type="expression" dxfId="2790" priority="300">
      <formula>$S$12 = FALSE</formula>
    </cfRule>
    <cfRule type="expression" dxfId="2789" priority="301">
      <formula>AND(IF($R$12,$W$12,TRUE),LEN(TRIM($W$12))&gt;0)</formula>
    </cfRule>
    <cfRule type="expression" dxfId="2788" priority="302">
      <formula>AND($R$12,$S$12)</formula>
    </cfRule>
  </conditionalFormatting>
  <conditionalFormatting sqref="W18">
    <cfRule type="expression" dxfId="2787" priority="295">
      <formula>OR($T$18 = TRUE, AND($W$18 = TRUE, $S$18 = FALSE))</formula>
    </cfRule>
    <cfRule type="expression" dxfId="2786" priority="296">
      <formula>$S$18 = FALSE</formula>
    </cfRule>
    <cfRule type="expression" dxfId="2785" priority="297">
      <formula>AND(IF($R$18,$W$18,TRUE),LEN(TRIM($W$18))&gt;0)</formula>
    </cfRule>
    <cfRule type="expression" dxfId="2784" priority="298">
      <formula>AND($R$18,$S$18)</formula>
    </cfRule>
  </conditionalFormatting>
  <conditionalFormatting sqref="W23">
    <cfRule type="expression" dxfId="2783" priority="291">
      <formula>OR($T$23 = TRUE, AND(LEN(TRIM($W$23))&gt;0, $S$23 = FALSE))</formula>
    </cfRule>
    <cfRule type="expression" dxfId="2782" priority="292">
      <formula>$S$23 = FALSE</formula>
    </cfRule>
    <cfRule type="expression" dxfId="2781" priority="293">
      <formula>AND($W$23&lt;&gt;"Not Met",LEN(TRIM($W$23))&gt;0)</formula>
    </cfRule>
    <cfRule type="expression" dxfId="2780" priority="294">
      <formula>AND($R$23,$S$23)</formula>
    </cfRule>
  </conditionalFormatting>
  <conditionalFormatting sqref="W26">
    <cfRule type="expression" dxfId="2779" priority="287">
      <formula>OR($T$26 = TRUE, AND(LEN(TRIM($W$26))&gt;0, $S$26 = FALSE))</formula>
    </cfRule>
    <cfRule type="expression" dxfId="2778" priority="288">
      <formula>$S$26 = FALSE</formula>
    </cfRule>
    <cfRule type="expression" dxfId="2777" priority="289">
      <formula>AND($W$26&lt;&gt;"Not Met",LEN(TRIM($W$26))&gt;0)</formula>
    </cfRule>
    <cfRule type="expression" dxfId="2776" priority="290">
      <formula>AND($R$26,$S$26)</formula>
    </cfRule>
  </conditionalFormatting>
  <conditionalFormatting sqref="W29">
    <cfRule type="expression" dxfId="2775" priority="283">
      <formula>OR($T$29 = TRUE, AND(LEN(TRIM($W$29))&gt;0, $S$29 = FALSE))</formula>
    </cfRule>
    <cfRule type="expression" dxfId="2774" priority="284">
      <formula>$S$29 = FALSE</formula>
    </cfRule>
    <cfRule type="expression" dxfId="2773" priority="285">
      <formula>AND($W$29&lt;&gt;"Not Met",LEN(TRIM($W$29))&gt;0)</formula>
    </cfRule>
    <cfRule type="expression" dxfId="2772" priority="286">
      <formula>AND($R$29,$S$29)</formula>
    </cfRule>
  </conditionalFormatting>
  <conditionalFormatting sqref="W33">
    <cfRule type="expression" dxfId="2771" priority="279">
      <formula>OR($T$33 = TRUE, AND($W$33 = TRUE, $S$33 = FALSE))</formula>
    </cfRule>
    <cfRule type="expression" dxfId="2770" priority="280">
      <formula>$S$33 = FALSE</formula>
    </cfRule>
    <cfRule type="expression" dxfId="2769" priority="281">
      <formula>AND(IF($R$33,$W$33,TRUE),LEN(TRIM($W$33))&gt;0)</formula>
    </cfRule>
    <cfRule type="expression" dxfId="2768" priority="282">
      <formula>AND($R$33,$S$33)</formula>
    </cfRule>
  </conditionalFormatting>
  <conditionalFormatting sqref="W36">
    <cfRule type="expression" dxfId="2767" priority="275">
      <formula>OR($T$36 = TRUE, AND(LEN(TRIM($W$36))&gt;0, $S$36 = FALSE))</formula>
    </cfRule>
    <cfRule type="expression" dxfId="2766" priority="276">
      <formula>$S$36 = FALSE</formula>
    </cfRule>
    <cfRule type="expression" dxfId="2765" priority="277">
      <formula>AND($W$36&lt;&gt;"Not Met",LEN(TRIM($W$36))&gt;0)</formula>
    </cfRule>
    <cfRule type="expression" dxfId="2764" priority="278">
      <formula>AND($R$36,$S$36)</formula>
    </cfRule>
  </conditionalFormatting>
  <conditionalFormatting sqref="W42">
    <cfRule type="expression" dxfId="2763" priority="271">
      <formula>OR($T$42 = TRUE, AND(LEN(TRIM($W$42))&gt;0, $S$42 = FALSE,$W$42&lt;&gt;"N/A"))</formula>
    </cfRule>
    <cfRule type="expression" dxfId="2762" priority="272">
      <formula>$S$42 = FALSE</formula>
    </cfRule>
    <cfRule type="expression" dxfId="2761" priority="273">
      <formula>AND($W$42&lt;&gt;"Not Met",LEN(TRIM($W$42))&gt;0)</formula>
    </cfRule>
    <cfRule type="expression" dxfId="2760" priority="274">
      <formula>AND($R$42,$S$42)</formula>
    </cfRule>
  </conditionalFormatting>
  <conditionalFormatting sqref="W45">
    <cfRule type="expression" dxfId="2759" priority="267">
      <formula>OR($T$45 = TRUE, AND(LEN(TRIM($W$45))&gt;0, $S$45 = FALSE,$W$45&lt;&gt;"N/A"))</formula>
    </cfRule>
    <cfRule type="expression" dxfId="2758" priority="268">
      <formula>$S$45 = FALSE</formula>
    </cfRule>
    <cfRule type="expression" dxfId="2757" priority="269">
      <formula>AND($W$45&lt;&gt;"Not Met",LEN(TRIM($W$45))&gt;0)</formula>
    </cfRule>
    <cfRule type="expression" dxfId="2756" priority="270">
      <formula>AND($R$45,$S$45)</formula>
    </cfRule>
  </conditionalFormatting>
  <conditionalFormatting sqref="W47">
    <cfRule type="expression" dxfId="2755" priority="263">
      <formula>OR($T$47 = TRUE, AND(LEN(TRIM($W$47))&gt;0, $S$47 = FALSE,$W$47&lt;&gt;"N/A"))</formula>
    </cfRule>
    <cfRule type="expression" dxfId="2754" priority="264">
      <formula>$S$47 = FALSE</formula>
    </cfRule>
    <cfRule type="expression" dxfId="2753" priority="265">
      <formula>AND($W$47&lt;&gt;"Not Met",LEN(TRIM($W$47))&gt;0)</formula>
    </cfRule>
    <cfRule type="expression" dxfId="2752" priority="266">
      <formula>AND($R$47,$S$47)</formula>
    </cfRule>
  </conditionalFormatting>
  <conditionalFormatting sqref="W50">
    <cfRule type="expression" dxfId="2751" priority="259">
      <formula>OR($T$50 = TRUE, AND(LEN(TRIM($W$50))&gt;0, $S$50 = FALSE,$W$50&lt;&gt;"N/A"))</formula>
    </cfRule>
    <cfRule type="expression" dxfId="2750" priority="260">
      <formula>$S$50 = FALSE</formula>
    </cfRule>
    <cfRule type="expression" dxfId="2749" priority="261">
      <formula>AND($W$50&lt;&gt;"Not Met",LEN(TRIM($W$50))&gt;0)</formula>
    </cfRule>
    <cfRule type="expression" dxfId="2748" priority="262">
      <formula>AND($R$50,$S$50)</formula>
    </cfRule>
  </conditionalFormatting>
  <conditionalFormatting sqref="W52">
    <cfRule type="expression" dxfId="2747" priority="255">
      <formula>OR($T$52 = TRUE, AND(LEN(TRIM($W$52))&gt;0, $S$52 = FALSE,$W$52&lt;&gt;"N/A"))</formula>
    </cfRule>
    <cfRule type="expression" dxfId="2746" priority="256">
      <formula>$S$52 = FALSE</formula>
    </cfRule>
    <cfRule type="expression" dxfId="2745" priority="257">
      <formula>AND($W$52&lt;&gt;"Not Met",LEN(TRIM($W$52))&gt;0)</formula>
    </cfRule>
    <cfRule type="expression" dxfId="2744" priority="258">
      <formula>AND($R$52,$S$52)</formula>
    </cfRule>
  </conditionalFormatting>
  <conditionalFormatting sqref="W54">
    <cfRule type="expression" dxfId="2743" priority="251">
      <formula>OR($T$54 = TRUE, AND($W$54 = TRUE, $S$54 = FALSE))</formula>
    </cfRule>
    <cfRule type="expression" dxfId="2742" priority="252">
      <formula>$S$54 = FALSE</formula>
    </cfRule>
    <cfRule type="expression" dxfId="2741" priority="253">
      <formula>AND(IF($R$54,$W$54,TRUE),LEN(TRIM($W$54))&gt;0)</formula>
    </cfRule>
    <cfRule type="expression" dxfId="2740" priority="254">
      <formula>AND($R$54,$S$54)</formula>
    </cfRule>
  </conditionalFormatting>
  <conditionalFormatting sqref="W67">
    <cfRule type="expression" dxfId="2739" priority="247">
      <formula>OR($T$67 = TRUE, AND($W$67 = TRUE, $S$67 = FALSE))</formula>
    </cfRule>
    <cfRule type="expression" dxfId="2738" priority="248">
      <formula>$S$67 = FALSE</formula>
    </cfRule>
    <cfRule type="expression" dxfId="2737" priority="249">
      <formula>AND(IF($R$67,$W$67,TRUE),LEN(TRIM($W$67))&gt;0)</formula>
    </cfRule>
    <cfRule type="expression" dxfId="2736" priority="250">
      <formula>AND($R$67,$S$67)</formula>
    </cfRule>
  </conditionalFormatting>
  <conditionalFormatting sqref="W57">
    <cfRule type="expression" dxfId="2735" priority="243">
      <formula>OR($T$57 = TRUE, AND(LEN(TRIM($W$57))&gt;0, $S$57 = FALSE))</formula>
    </cfRule>
    <cfRule type="expression" dxfId="2734" priority="244">
      <formula>$S$57 = FALSE</formula>
    </cfRule>
    <cfRule type="expression" dxfId="2733" priority="245">
      <formula>AND($W$57&lt;&gt;"Not Met",LEN(TRIM($W$57))&gt;0)</formula>
    </cfRule>
    <cfRule type="expression" dxfId="2732" priority="246">
      <formula>AND($R$57,$S$57)</formula>
    </cfRule>
  </conditionalFormatting>
  <conditionalFormatting sqref="W59">
    <cfRule type="expression" dxfId="2731" priority="239">
      <formula>OR($T$59 = TRUE, AND(LEN(TRIM($W$59))&gt;0, $S$59 = FALSE))</formula>
    </cfRule>
    <cfRule type="expression" dxfId="2730" priority="240">
      <formula>$S$59 = FALSE</formula>
    </cfRule>
    <cfRule type="expression" dxfId="2729" priority="241">
      <formula>AND($W$59&lt;&gt;"Not Met",LEN(TRIM($W$59))&gt;0)</formula>
    </cfRule>
    <cfRule type="expression" dxfId="2728" priority="242">
      <formula>AND($R$59,$S$59)</formula>
    </cfRule>
  </conditionalFormatting>
  <conditionalFormatting sqref="W61">
    <cfRule type="expression" dxfId="2727" priority="238">
      <formula>AND($R$61,$S$61)</formula>
    </cfRule>
  </conditionalFormatting>
  <conditionalFormatting sqref="W61">
    <cfRule type="expression" dxfId="2726" priority="237">
      <formula>AND(IF($R$61,$W$61,TRUE),LEN(TRIM($W$61))&gt;0)</formula>
    </cfRule>
  </conditionalFormatting>
  <conditionalFormatting sqref="W61">
    <cfRule type="expression" dxfId="2725" priority="236">
      <formula>$S$61 = FALSE</formula>
    </cfRule>
  </conditionalFormatting>
  <conditionalFormatting sqref="W61">
    <cfRule type="expression" dxfId="2724" priority="235">
      <formula>OR($T$61 = TRUE, AND($W$61 = TRUE, $S$61 = FALSE))</formula>
    </cfRule>
  </conditionalFormatting>
  <conditionalFormatting sqref="W71">
    <cfRule type="expression" dxfId="2723" priority="234">
      <formula>AND($R$71,$S$71)</formula>
    </cfRule>
  </conditionalFormatting>
  <conditionalFormatting sqref="W71">
    <cfRule type="expression" dxfId="2722" priority="233">
      <formula>AND($W$71&lt;&gt;"Not Met",LEN(TRIM($W$71))&gt;0)</formula>
    </cfRule>
  </conditionalFormatting>
  <conditionalFormatting sqref="W71">
    <cfRule type="expression" dxfId="2721" priority="232">
      <formula>$S$71 = FALSE</formula>
    </cfRule>
  </conditionalFormatting>
  <conditionalFormatting sqref="W71">
    <cfRule type="expression" dxfId="2720" priority="231">
      <formula>OR($T$71 = TRUE, AND(LEN(TRIM($W$71))&gt;0, $S$71 = FALSE))</formula>
    </cfRule>
  </conditionalFormatting>
  <conditionalFormatting sqref="W76">
    <cfRule type="expression" dxfId="2719" priority="230">
      <formula>AND($R$76,$S$76)</formula>
    </cfRule>
  </conditionalFormatting>
  <conditionalFormatting sqref="W76">
    <cfRule type="expression" dxfId="2718" priority="229">
      <formula>AND($W$76&lt;&gt;"Not Met",LEN(TRIM($W$76))&gt;0)</formula>
    </cfRule>
  </conditionalFormatting>
  <conditionalFormatting sqref="W76">
    <cfRule type="expression" dxfId="2717" priority="228">
      <formula>$S$76 = FALSE</formula>
    </cfRule>
  </conditionalFormatting>
  <conditionalFormatting sqref="W76">
    <cfRule type="expression" dxfId="2716" priority="227">
      <formula>OR($T$76 = TRUE, AND(LEN(TRIM($W$76))&gt;0, $S$76 = FALSE))</formula>
    </cfRule>
  </conditionalFormatting>
  <conditionalFormatting sqref="W77">
    <cfRule type="expression" dxfId="2715" priority="226">
      <formula>AND($R$77,$S$77)</formula>
    </cfRule>
  </conditionalFormatting>
  <conditionalFormatting sqref="W77">
    <cfRule type="expression" dxfId="2714" priority="225">
      <formula>AND($W$77&lt;&gt;"Not Met",LEN(TRIM($W$77))&gt;0)</formula>
    </cfRule>
  </conditionalFormatting>
  <conditionalFormatting sqref="W77">
    <cfRule type="expression" dxfId="2713" priority="224">
      <formula>$S$77 = FALSE</formula>
    </cfRule>
  </conditionalFormatting>
  <conditionalFormatting sqref="W77">
    <cfRule type="expression" dxfId="2712" priority="223">
      <formula>OR($T$77 = TRUE, AND(LEN(TRIM($W$77))&gt;0, $S$77 = FALSE))</formula>
    </cfRule>
  </conditionalFormatting>
  <conditionalFormatting sqref="W78">
    <cfRule type="expression" dxfId="2711" priority="222">
      <formula>AND($R$78,$S$78)</formula>
    </cfRule>
  </conditionalFormatting>
  <conditionalFormatting sqref="W78">
    <cfRule type="expression" dxfId="2710" priority="221">
      <formula>AND($W$78&lt;&gt;"Not Met",LEN(TRIM($W$78))&gt;0)</formula>
    </cfRule>
  </conditionalFormatting>
  <conditionalFormatting sqref="W78">
    <cfRule type="expression" dxfId="2709" priority="220">
      <formula>$S$78 = FALSE</formula>
    </cfRule>
  </conditionalFormatting>
  <conditionalFormatting sqref="W78">
    <cfRule type="expression" dxfId="2708" priority="219">
      <formula>OR($T$78 = TRUE, AND(LEN(TRIM($W$78))&gt;0, $S$78 = FALSE))</formula>
    </cfRule>
  </conditionalFormatting>
  <conditionalFormatting sqref="W79">
    <cfRule type="expression" dxfId="2707" priority="218">
      <formula>AND($R$79,$S$79)</formula>
    </cfRule>
  </conditionalFormatting>
  <conditionalFormatting sqref="W79">
    <cfRule type="expression" dxfId="2706" priority="217">
      <formula>AND($W$79&lt;&gt;"Not Met",LEN(TRIM($W$79))&gt;0)</formula>
    </cfRule>
  </conditionalFormatting>
  <conditionalFormatting sqref="W79">
    <cfRule type="expression" dxfId="2705" priority="216">
      <formula>$S$79 = FALSE</formula>
    </cfRule>
  </conditionalFormatting>
  <conditionalFormatting sqref="W79">
    <cfRule type="expression" dxfId="2704" priority="215">
      <formula>OR($T$79 = TRUE, AND(LEN(TRIM($W$79))&gt;0, $S$79 = FALSE))</formula>
    </cfRule>
  </conditionalFormatting>
  <conditionalFormatting sqref="W90">
    <cfRule type="expression" dxfId="2703" priority="214">
      <formula>AND($R$90,$S$90)</formula>
    </cfRule>
  </conditionalFormatting>
  <conditionalFormatting sqref="W90">
    <cfRule type="expression" dxfId="2702" priority="213">
      <formula>AND(IF($R$90,$W$90,TRUE),LEN(TRIM($W$90))&gt;0)</formula>
    </cfRule>
  </conditionalFormatting>
  <conditionalFormatting sqref="W90">
    <cfRule type="expression" dxfId="2701" priority="212">
      <formula>$S$90 = FALSE</formula>
    </cfRule>
  </conditionalFormatting>
  <conditionalFormatting sqref="W90">
    <cfRule type="expression" dxfId="2700" priority="211">
      <formula>OR($T$90 = TRUE, AND($W$90 = TRUE, $S$90 = FALSE))</formula>
    </cfRule>
  </conditionalFormatting>
  <conditionalFormatting sqref="W92">
    <cfRule type="expression" dxfId="2699" priority="210">
      <formula>AND($R$92,$S$92)</formula>
    </cfRule>
  </conditionalFormatting>
  <conditionalFormatting sqref="W92">
    <cfRule type="expression" dxfId="2698" priority="209">
      <formula>AND(IF($R$92,$W$92,TRUE),LEN(TRIM($W$92))&gt;0)</formula>
    </cfRule>
  </conditionalFormatting>
  <conditionalFormatting sqref="W92">
    <cfRule type="expression" dxfId="2697" priority="208">
      <formula>$S$92 = FALSE</formula>
    </cfRule>
  </conditionalFormatting>
  <conditionalFormatting sqref="W92">
    <cfRule type="expression" dxfId="2696" priority="207">
      <formula>OR($T$92 = TRUE, AND($W$92 = TRUE, $S$92 = FALSE))</formula>
    </cfRule>
  </conditionalFormatting>
  <conditionalFormatting sqref="W95">
    <cfRule type="expression" dxfId="2695" priority="206">
      <formula>AND($R$95,$S$95)</formula>
    </cfRule>
  </conditionalFormatting>
  <conditionalFormatting sqref="W95">
    <cfRule type="expression" dxfId="2694" priority="205">
      <formula>AND(IF($R$95,$W$95,TRUE),LEN(TRIM($W$95))&gt;0)</formula>
    </cfRule>
  </conditionalFormatting>
  <conditionalFormatting sqref="W95">
    <cfRule type="expression" dxfId="2693" priority="204">
      <formula>$S$95 = FALSE</formula>
    </cfRule>
  </conditionalFormatting>
  <conditionalFormatting sqref="W95">
    <cfRule type="expression" dxfId="2692" priority="203">
      <formula>OR($T$95 = TRUE, AND($W$95 = TRUE, $S$95 = FALSE))</formula>
    </cfRule>
  </conditionalFormatting>
  <conditionalFormatting sqref="W118">
    <cfRule type="expression" dxfId="2691" priority="202">
      <formula>AND($R$118,$S$118)</formula>
    </cfRule>
  </conditionalFormatting>
  <conditionalFormatting sqref="W118">
    <cfRule type="expression" dxfId="2690" priority="201">
      <formula>AND(IF($R$118,$W$118,TRUE),LEN(TRIM($W$118))&gt;0)</formula>
    </cfRule>
  </conditionalFormatting>
  <conditionalFormatting sqref="W118">
    <cfRule type="expression" dxfId="2689" priority="200">
      <formula>$S$118 = FALSE</formula>
    </cfRule>
  </conditionalFormatting>
  <conditionalFormatting sqref="W118">
    <cfRule type="expression" dxfId="2688" priority="199">
      <formula>OR($T$118 = TRUE, AND($W$118 = TRUE, $S$118 = FALSE))</formula>
    </cfRule>
  </conditionalFormatting>
  <conditionalFormatting sqref="W129">
    <cfRule type="expression" dxfId="2687" priority="198">
      <formula>AND($R$129,$S$129)</formula>
    </cfRule>
  </conditionalFormatting>
  <conditionalFormatting sqref="W129">
    <cfRule type="expression" dxfId="2686" priority="197">
      <formula>AND(IF($R$129,$W$129,TRUE),LEN(TRIM($W$129))&gt;0)</formula>
    </cfRule>
  </conditionalFormatting>
  <conditionalFormatting sqref="W129">
    <cfRule type="expression" dxfId="2685" priority="196">
      <formula>$S$129 = FALSE</formula>
    </cfRule>
  </conditionalFormatting>
  <conditionalFormatting sqref="W129">
    <cfRule type="expression" dxfId="2684" priority="195">
      <formula>OR($T$129 = TRUE, AND($W$129 = TRUE, $S$129 = FALSE))</formula>
    </cfRule>
  </conditionalFormatting>
  <conditionalFormatting sqref="W131">
    <cfRule type="expression" dxfId="2683" priority="194">
      <formula>AND($R$131,$S$131)</formula>
    </cfRule>
  </conditionalFormatting>
  <conditionalFormatting sqref="W131">
    <cfRule type="expression" dxfId="2682" priority="193">
      <formula>AND(IF($R$131,$W$131,TRUE),LEN(TRIM($W$131))&gt;0)</formula>
    </cfRule>
  </conditionalFormatting>
  <conditionalFormatting sqref="W131">
    <cfRule type="expression" dxfId="2681" priority="192">
      <formula>$S$131 = FALSE</formula>
    </cfRule>
  </conditionalFormatting>
  <conditionalFormatting sqref="W131">
    <cfRule type="expression" dxfId="2680" priority="191">
      <formula>OR($T$131 = TRUE, AND($W$131 = TRUE, $S$131 = FALSE))</formula>
    </cfRule>
  </conditionalFormatting>
  <conditionalFormatting sqref="W132">
    <cfRule type="expression" dxfId="2679" priority="190">
      <formula>AND($R$132,$S$132)</formula>
    </cfRule>
  </conditionalFormatting>
  <conditionalFormatting sqref="W132">
    <cfRule type="expression" dxfId="2678" priority="189">
      <formula>AND(IF($R$132,$W$132,TRUE),LEN(TRIM($W$132))&gt;0)</formula>
    </cfRule>
  </conditionalFormatting>
  <conditionalFormatting sqref="W132">
    <cfRule type="expression" dxfId="2677" priority="188">
      <formula>$S$132 = FALSE</formula>
    </cfRule>
  </conditionalFormatting>
  <conditionalFormatting sqref="W132">
    <cfRule type="expression" dxfId="2676" priority="187">
      <formula>OR($T$132 = TRUE, AND($W$132 = TRUE, $S$132 = FALSE))</formula>
    </cfRule>
  </conditionalFormatting>
  <conditionalFormatting sqref="W139">
    <cfRule type="expression" dxfId="2675" priority="186">
      <formula>AND($R$139,$S$139)</formula>
    </cfRule>
  </conditionalFormatting>
  <conditionalFormatting sqref="W139">
    <cfRule type="expression" dxfId="2674" priority="185">
      <formula>AND(IF($R$139,$W$139,TRUE),LEN(TRIM($W$139))&gt;0)</formula>
    </cfRule>
  </conditionalFormatting>
  <conditionalFormatting sqref="W139">
    <cfRule type="expression" dxfId="2673" priority="184">
      <formula>$S$139 = FALSE</formula>
    </cfRule>
  </conditionalFormatting>
  <conditionalFormatting sqref="W139">
    <cfRule type="expression" dxfId="2672" priority="183">
      <formula>OR($T$139 = TRUE, AND($W$139 = TRUE, $S$139 = FALSE))</formula>
    </cfRule>
  </conditionalFormatting>
  <conditionalFormatting sqref="W148">
    <cfRule type="expression" dxfId="2671" priority="182">
      <formula>AND($R$148,$S$148)</formula>
    </cfRule>
  </conditionalFormatting>
  <conditionalFormatting sqref="W148">
    <cfRule type="expression" dxfId="2670" priority="181">
      <formula>AND(IF($R$148,$W$148,TRUE),LEN(TRIM($W$148))&gt;0)</formula>
    </cfRule>
  </conditionalFormatting>
  <conditionalFormatting sqref="W148">
    <cfRule type="expression" dxfId="2669" priority="180">
      <formula>$S$148 = FALSE</formula>
    </cfRule>
  </conditionalFormatting>
  <conditionalFormatting sqref="W148">
    <cfRule type="expression" dxfId="2668" priority="179">
      <formula>OR($T$148 = TRUE, AND($W$148 = TRUE, $S$148 = FALSE))</formula>
    </cfRule>
  </conditionalFormatting>
  <conditionalFormatting sqref="W153">
    <cfRule type="expression" dxfId="2667" priority="178">
      <formula>AND($R$153,$S$153)</formula>
    </cfRule>
  </conditionalFormatting>
  <conditionalFormatting sqref="W153">
    <cfRule type="expression" dxfId="2666" priority="177">
      <formula>AND(IF($R$153,$W$153,TRUE),LEN(TRIM($W$153))&gt;0)</formula>
    </cfRule>
  </conditionalFormatting>
  <conditionalFormatting sqref="W153">
    <cfRule type="expression" dxfId="2665" priority="176">
      <formula>$S$153 = FALSE</formula>
    </cfRule>
  </conditionalFormatting>
  <conditionalFormatting sqref="W153">
    <cfRule type="expression" dxfId="2664" priority="175">
      <formula>OR($T$153 = TRUE, AND($W$153 = TRUE, $S$153 = FALSE))</formula>
    </cfRule>
  </conditionalFormatting>
  <conditionalFormatting sqref="W154">
    <cfRule type="expression" dxfId="2663" priority="174">
      <formula>AND($R$154,$S$154)</formula>
    </cfRule>
  </conditionalFormatting>
  <conditionalFormatting sqref="W154">
    <cfRule type="expression" dxfId="2662" priority="173">
      <formula>AND(IF($R$154,$W$154,TRUE),LEN(TRIM($W$154))&gt;0)</formula>
    </cfRule>
  </conditionalFormatting>
  <conditionalFormatting sqref="W154">
    <cfRule type="expression" dxfId="2661" priority="172">
      <formula>$S$154 = FALSE</formula>
    </cfRule>
  </conditionalFormatting>
  <conditionalFormatting sqref="W154">
    <cfRule type="expression" dxfId="2660" priority="171">
      <formula>OR($T$154 = TRUE, AND($W$154 = TRUE, $S$154 = FALSE))</formula>
    </cfRule>
  </conditionalFormatting>
  <conditionalFormatting sqref="W158">
    <cfRule type="expression" dxfId="2659" priority="170">
      <formula>AND($R$158,$S$158)</formula>
    </cfRule>
  </conditionalFormatting>
  <conditionalFormatting sqref="W158">
    <cfRule type="expression" dxfId="2658" priority="169">
      <formula>AND(IF($R$158,$W$158,TRUE),LEN(TRIM($W$158))&gt;0)</formula>
    </cfRule>
  </conditionalFormatting>
  <conditionalFormatting sqref="W158">
    <cfRule type="expression" dxfId="2657" priority="168">
      <formula>$S$158 = FALSE</formula>
    </cfRule>
  </conditionalFormatting>
  <conditionalFormatting sqref="W158">
    <cfRule type="expression" dxfId="2656" priority="167">
      <formula>OR($T$158 = TRUE, AND($W$158 = TRUE, $S$158 = FALSE))</formula>
    </cfRule>
  </conditionalFormatting>
  <conditionalFormatting sqref="W167">
    <cfRule type="expression" dxfId="2655" priority="162">
      <formula>AND($R$167,$S$167)</formula>
    </cfRule>
  </conditionalFormatting>
  <conditionalFormatting sqref="W167">
    <cfRule type="expression" dxfId="2654" priority="161">
      <formula>AND(IF($R$167,$W$167,TRUE),LEN(TRIM($W$167))&gt;0)</formula>
    </cfRule>
  </conditionalFormatting>
  <conditionalFormatting sqref="W167">
    <cfRule type="expression" dxfId="2653" priority="160">
      <formula>$S$167 = FALSE</formula>
    </cfRule>
  </conditionalFormatting>
  <conditionalFormatting sqref="W167">
    <cfRule type="expression" dxfId="2652" priority="159">
      <formula>OR($T$167 = TRUE, AND($W$167 = TRUE, $S$167 = FALSE))</formula>
    </cfRule>
  </conditionalFormatting>
  <conditionalFormatting sqref="W168">
    <cfRule type="expression" dxfId="2651" priority="158">
      <formula>AND($R$168,$S$168)</formula>
    </cfRule>
  </conditionalFormatting>
  <conditionalFormatting sqref="W168">
    <cfRule type="expression" dxfId="2650" priority="157">
      <formula>AND(IF($R$168,$W$168,TRUE),LEN(TRIM($W$168))&gt;0)</formula>
    </cfRule>
  </conditionalFormatting>
  <conditionalFormatting sqref="W168">
    <cfRule type="expression" dxfId="2649" priority="156">
      <formula>$S$168 = FALSE</formula>
    </cfRule>
  </conditionalFormatting>
  <conditionalFormatting sqref="W168">
    <cfRule type="expression" dxfId="2648" priority="155">
      <formula>OR($T$168 = TRUE, AND($W$168 = TRUE, $S$168 = FALSE))</formula>
    </cfRule>
  </conditionalFormatting>
  <conditionalFormatting sqref="W171">
    <cfRule type="expression" dxfId="2647" priority="154">
      <formula>AND($R$171,$S$171)</formula>
    </cfRule>
  </conditionalFormatting>
  <conditionalFormatting sqref="W171">
    <cfRule type="expression" dxfId="2646" priority="153">
      <formula>AND(IF($R$171,$W$171,TRUE),LEN(TRIM($W$171))&gt;0)</formula>
    </cfRule>
  </conditionalFormatting>
  <conditionalFormatting sqref="W171">
    <cfRule type="expression" dxfId="2645" priority="152">
      <formula>$S$171 = FALSE</formula>
    </cfRule>
  </conditionalFormatting>
  <conditionalFormatting sqref="W171">
    <cfRule type="expression" dxfId="2644" priority="151">
      <formula>OR($T$171 = TRUE, AND($W$171 = TRUE, $S$171 = FALSE))</formula>
    </cfRule>
  </conditionalFormatting>
  <conditionalFormatting sqref="W173">
    <cfRule type="expression" dxfId="2643" priority="150">
      <formula>AND($R$173,$S$173)</formula>
    </cfRule>
  </conditionalFormatting>
  <conditionalFormatting sqref="W173">
    <cfRule type="expression" dxfId="2642" priority="149">
      <formula>AND(IF($R$173,$W$173,TRUE),LEN(TRIM($W$173))&gt;0)</formula>
    </cfRule>
  </conditionalFormatting>
  <conditionalFormatting sqref="W173">
    <cfRule type="expression" dxfId="2641" priority="148">
      <formula>$S$173 = FALSE</formula>
    </cfRule>
  </conditionalFormatting>
  <conditionalFormatting sqref="W173">
    <cfRule type="expression" dxfId="2640" priority="147">
      <formula>OR($T$173 = TRUE, AND($W$173 = TRUE, $S$173 = FALSE))</formula>
    </cfRule>
  </conditionalFormatting>
  <conditionalFormatting sqref="W179">
    <cfRule type="expression" dxfId="2639" priority="146">
      <formula>AND($R$179,$S$179)</formula>
    </cfRule>
  </conditionalFormatting>
  <conditionalFormatting sqref="W179">
    <cfRule type="expression" dxfId="2638" priority="145">
      <formula>AND(IF($R$179,$W$179,TRUE),LEN(TRIM($W$179))&gt;0)</formula>
    </cfRule>
  </conditionalFormatting>
  <conditionalFormatting sqref="W179">
    <cfRule type="expression" dxfId="2637" priority="144">
      <formula>$S$179 = FALSE</formula>
    </cfRule>
  </conditionalFormatting>
  <conditionalFormatting sqref="W179">
    <cfRule type="expression" dxfId="2636" priority="143">
      <formula>OR($T$179 = TRUE, AND($W$179 = TRUE, $S$179 = FALSE))</formula>
    </cfRule>
  </conditionalFormatting>
  <conditionalFormatting sqref="W181">
    <cfRule type="expression" dxfId="2635" priority="142">
      <formula>AND($R$181,$S$181)</formula>
    </cfRule>
  </conditionalFormatting>
  <conditionalFormatting sqref="W181">
    <cfRule type="expression" dxfId="2634" priority="141">
      <formula>AND(IF($R$181,$W$181,TRUE),LEN(TRIM($W$181))&gt;0)</formula>
    </cfRule>
  </conditionalFormatting>
  <conditionalFormatting sqref="W181">
    <cfRule type="expression" dxfId="2633" priority="140">
      <formula>$S$181 = FALSE</formula>
    </cfRule>
  </conditionalFormatting>
  <conditionalFormatting sqref="W181">
    <cfRule type="expression" dxfId="2632" priority="139">
      <formula>OR($T$181 = TRUE, AND($W$181 = TRUE, $S$181 = FALSE))</formula>
    </cfRule>
  </conditionalFormatting>
  <conditionalFormatting sqref="W183">
    <cfRule type="expression" dxfId="2631" priority="138">
      <formula>AND($R$183,$S$183)</formula>
    </cfRule>
  </conditionalFormatting>
  <conditionalFormatting sqref="W183">
    <cfRule type="expression" dxfId="2630" priority="137">
      <formula>AND($W$183&lt;&gt;"Not Met",LEN(TRIM($W$183))&gt;0)</formula>
    </cfRule>
  </conditionalFormatting>
  <conditionalFormatting sqref="W183">
    <cfRule type="expression" dxfId="2629" priority="136">
      <formula>$S$183 = FALSE</formula>
    </cfRule>
  </conditionalFormatting>
  <conditionalFormatting sqref="W183">
    <cfRule type="expression" dxfId="2628" priority="135">
      <formula>OR($T$183 = TRUE, AND(LEN(TRIM($W$183))&gt;0, $S$183 = FALSE))</formula>
    </cfRule>
  </conditionalFormatting>
  <conditionalFormatting sqref="W185">
    <cfRule type="expression" dxfId="2627" priority="134">
      <formula>AND($R$185,$S$185)</formula>
    </cfRule>
  </conditionalFormatting>
  <conditionalFormatting sqref="W185">
    <cfRule type="expression" dxfId="2626" priority="133">
      <formula>AND(IF($R$185,$W$185,TRUE),LEN(TRIM($W$185))&gt;0)</formula>
    </cfRule>
  </conditionalFormatting>
  <conditionalFormatting sqref="W185">
    <cfRule type="expression" dxfId="2625" priority="132">
      <formula>$S$185 = FALSE</formula>
    </cfRule>
  </conditionalFormatting>
  <conditionalFormatting sqref="W185">
    <cfRule type="expression" dxfId="2624" priority="131">
      <formula>OR($T$185 = TRUE, AND($W$185 = TRUE, $S$185 = FALSE))</formula>
    </cfRule>
  </conditionalFormatting>
  <conditionalFormatting sqref="W192">
    <cfRule type="expression" dxfId="2623" priority="130">
      <formula>AND($R$192,$S$192)</formula>
    </cfRule>
  </conditionalFormatting>
  <conditionalFormatting sqref="W192">
    <cfRule type="expression" dxfId="2622" priority="129">
      <formula>AND(IF($R$192,$W$192,TRUE),LEN(TRIM($W$192))&gt;0)</formula>
    </cfRule>
  </conditionalFormatting>
  <conditionalFormatting sqref="W192">
    <cfRule type="expression" dxfId="2621" priority="128">
      <formula>$S$192 = FALSE</formula>
    </cfRule>
  </conditionalFormatting>
  <conditionalFormatting sqref="W192">
    <cfRule type="expression" dxfId="2620" priority="127">
      <formula>OR($T$192 = TRUE, AND($W$192 = TRUE, $S$192 = FALSE))</formula>
    </cfRule>
  </conditionalFormatting>
  <conditionalFormatting sqref="W203">
    <cfRule type="expression" dxfId="2619" priority="126">
      <formula>AND($R$203,$S$203)</formula>
    </cfRule>
  </conditionalFormatting>
  <conditionalFormatting sqref="W203">
    <cfRule type="expression" dxfId="2618" priority="125">
      <formula>AND(IF($R$203,$W$203,TRUE),LEN(TRIM($W$203))&gt;0)</formula>
    </cfRule>
  </conditionalFormatting>
  <conditionalFormatting sqref="W203">
    <cfRule type="expression" dxfId="2617" priority="124">
      <formula>$S$203 = FALSE</formula>
    </cfRule>
  </conditionalFormatting>
  <conditionalFormatting sqref="W203">
    <cfRule type="expression" dxfId="2616" priority="123">
      <formula>OR($T$203 = TRUE, AND($W$203 = TRUE, $S$203 = FALSE))</formula>
    </cfRule>
  </conditionalFormatting>
  <conditionalFormatting sqref="W205">
    <cfRule type="expression" dxfId="2615" priority="122">
      <formula>AND($R$205,$S$205)</formula>
    </cfRule>
  </conditionalFormatting>
  <conditionalFormatting sqref="W205">
    <cfRule type="expression" dxfId="2614" priority="121">
      <formula>AND(IF($R$205,$W$205,TRUE),LEN(TRIM($W$205))&gt;0)</formula>
    </cfRule>
  </conditionalFormatting>
  <conditionalFormatting sqref="W205">
    <cfRule type="expression" dxfId="2613" priority="120">
      <formula>$S$205 = FALSE</formula>
    </cfRule>
  </conditionalFormatting>
  <conditionalFormatting sqref="W205">
    <cfRule type="expression" dxfId="2612" priority="119">
      <formula>OR($T$205 = TRUE, AND($W$205 = TRUE, $S$205 = FALSE))</formula>
    </cfRule>
  </conditionalFormatting>
  <conditionalFormatting sqref="W207">
    <cfRule type="expression" dxfId="2611" priority="118">
      <formula>AND($R$207,$S$207)</formula>
    </cfRule>
  </conditionalFormatting>
  <conditionalFormatting sqref="W207">
    <cfRule type="expression" dxfId="2610" priority="117">
      <formula>AND(IF($R$207,$W$207,TRUE),LEN(TRIM($W$207))&gt;0)</formula>
    </cfRule>
  </conditionalFormatting>
  <conditionalFormatting sqref="W207">
    <cfRule type="expression" dxfId="2609" priority="116">
      <formula>$S$207 = FALSE</formula>
    </cfRule>
  </conditionalFormatting>
  <conditionalFormatting sqref="W207">
    <cfRule type="expression" dxfId="2608" priority="115">
      <formula>OR($T$207 = TRUE, AND($W$207 = TRUE, $S$207 = FALSE))</formula>
    </cfRule>
  </conditionalFormatting>
  <conditionalFormatting sqref="W211">
    <cfRule type="expression" dxfId="2607" priority="114">
      <formula>AND($R$211)</formula>
    </cfRule>
  </conditionalFormatting>
  <conditionalFormatting sqref="W211">
    <cfRule type="expression" dxfId="2606" priority="113">
      <formula>AND($W$211&lt;&gt;"Not Met",LEN(TRIM($W$211))&gt;0)</formula>
    </cfRule>
  </conditionalFormatting>
  <conditionalFormatting sqref="W211">
    <cfRule type="expression" dxfId="2605" priority="112">
      <formula>$S$211 = FALSE</formula>
    </cfRule>
  </conditionalFormatting>
  <conditionalFormatting sqref="W211">
    <cfRule type="expression" dxfId="2604" priority="111">
      <formula>OR($T$211 = TRUE, AND(LEN(TRIM($W$211))&gt;0, $S$211 = FALSE))</formula>
    </cfRule>
  </conditionalFormatting>
  <conditionalFormatting sqref="W220">
    <cfRule type="expression" dxfId="2603" priority="110">
      <formula>AND($R$220,$S$220)</formula>
    </cfRule>
  </conditionalFormatting>
  <conditionalFormatting sqref="W220">
    <cfRule type="expression" dxfId="2602" priority="109">
      <formula>AND(IF($R$220,$W$220,TRUE),LEN(TRIM($W$220))&gt;0)</formula>
    </cfRule>
  </conditionalFormatting>
  <conditionalFormatting sqref="W220">
    <cfRule type="expression" dxfId="2601" priority="108">
      <formula>$S$220 = FALSE</formula>
    </cfRule>
  </conditionalFormatting>
  <conditionalFormatting sqref="W220">
    <cfRule type="expression" dxfId="2600" priority="107">
      <formula>OR($T$220 = TRUE, AND($W$220 = TRUE, $S$220 = FALSE))</formula>
    </cfRule>
  </conditionalFormatting>
  <conditionalFormatting sqref="W222">
    <cfRule type="expression" dxfId="2599" priority="106">
      <formula>AND($R$222,$S$222)</formula>
    </cfRule>
  </conditionalFormatting>
  <conditionalFormatting sqref="W222">
    <cfRule type="expression" dxfId="2598" priority="105">
      <formula>AND(IF($R$222,$W$222,TRUE),LEN(TRIM($W$222))&gt;0)</formula>
    </cfRule>
  </conditionalFormatting>
  <conditionalFormatting sqref="W222">
    <cfRule type="expression" dxfId="2597" priority="104">
      <formula>$S$222 = FALSE</formula>
    </cfRule>
  </conditionalFormatting>
  <conditionalFormatting sqref="W222">
    <cfRule type="expression" dxfId="2596" priority="103">
      <formula>OR($T$222 = TRUE, AND($W$222 = TRUE, $S$222 = FALSE))</formula>
    </cfRule>
  </conditionalFormatting>
  <conditionalFormatting sqref="W225">
    <cfRule type="expression" dxfId="2595" priority="102">
      <formula>AND($R$225,$S$225)</formula>
    </cfRule>
  </conditionalFormatting>
  <conditionalFormatting sqref="W225">
    <cfRule type="expression" dxfId="2594" priority="101">
      <formula>AND(IF($R$225,$W$225,TRUE),LEN(TRIM($W$225))&gt;0)</formula>
    </cfRule>
  </conditionalFormatting>
  <conditionalFormatting sqref="W225">
    <cfRule type="expression" dxfId="2593" priority="100">
      <formula>$S$225 = FALSE</formula>
    </cfRule>
  </conditionalFormatting>
  <conditionalFormatting sqref="W225">
    <cfRule type="expression" dxfId="2592" priority="99">
      <formula>OR($T$225 = TRUE, AND($W$225 = TRUE, $S$225 = FALSE))</formula>
    </cfRule>
  </conditionalFormatting>
  <conditionalFormatting sqref="W230">
    <cfRule type="expression" dxfId="2591" priority="98">
      <formula>AND($R$230,$S$230)</formula>
    </cfRule>
  </conditionalFormatting>
  <conditionalFormatting sqref="W230">
    <cfRule type="expression" dxfId="2590" priority="97">
      <formula>AND($W$230&lt;&gt;"Not Met",LEN(TRIM($W$230))&gt;0)</formula>
    </cfRule>
  </conditionalFormatting>
  <conditionalFormatting sqref="W230">
    <cfRule type="expression" dxfId="2589" priority="96">
      <formula>$S$230 = FALSE</formula>
    </cfRule>
  </conditionalFormatting>
  <conditionalFormatting sqref="W230">
    <cfRule type="expression" dxfId="2588" priority="95">
      <formula>OR($T$230 = TRUE, AND(LEN(TRIM($W$230))&gt;0, $S$230 = FALSE))</formula>
    </cfRule>
  </conditionalFormatting>
  <conditionalFormatting sqref="W234">
    <cfRule type="expression" dxfId="2587" priority="94">
      <formula>AND($R$234,$S$234)</formula>
    </cfRule>
  </conditionalFormatting>
  <conditionalFormatting sqref="W234">
    <cfRule type="expression" dxfId="2586" priority="93">
      <formula>AND(IF($R$234,$W$234,TRUE),LEN(TRIM($W$234))&gt;0)</formula>
    </cfRule>
  </conditionalFormatting>
  <conditionalFormatting sqref="W234">
    <cfRule type="expression" dxfId="2585" priority="92">
      <formula>$S$234 = FALSE</formula>
    </cfRule>
  </conditionalFormatting>
  <conditionalFormatting sqref="W234">
    <cfRule type="expression" dxfId="2584" priority="91">
      <formula>OR($T$234 = TRUE, AND($W$234 = TRUE, $S$234 = FALSE))</formula>
    </cfRule>
  </conditionalFormatting>
  <conditionalFormatting sqref="W237">
    <cfRule type="expression" dxfId="2583" priority="90">
      <formula>AND($R$237,$S$237)</formula>
    </cfRule>
  </conditionalFormatting>
  <conditionalFormatting sqref="W237">
    <cfRule type="expression" dxfId="2582" priority="89">
      <formula>AND(IF($R$237,$W$237,TRUE),LEN(TRIM($W$237))&gt;0)</formula>
    </cfRule>
  </conditionalFormatting>
  <conditionalFormatting sqref="W237">
    <cfRule type="expression" dxfId="2581" priority="88">
      <formula>$S$237 = FALSE</formula>
    </cfRule>
  </conditionalFormatting>
  <conditionalFormatting sqref="W237">
    <cfRule type="expression" dxfId="2580" priority="87">
      <formula>OR($T$237 = TRUE, AND($W$237 = TRUE, $S$237 = FALSE))</formula>
    </cfRule>
  </conditionalFormatting>
  <conditionalFormatting sqref="W239">
    <cfRule type="expression" dxfId="2579" priority="86">
      <formula>AND($R$239,$S$239)</formula>
    </cfRule>
  </conditionalFormatting>
  <conditionalFormatting sqref="W239">
    <cfRule type="expression" dxfId="2578" priority="85">
      <formula>AND(IF($R$239,$W$239,TRUE),LEN(TRIM($W$239))&gt;0)</formula>
    </cfRule>
  </conditionalFormatting>
  <conditionalFormatting sqref="W239">
    <cfRule type="expression" dxfId="2577" priority="84">
      <formula>$S$239 = FALSE</formula>
    </cfRule>
  </conditionalFormatting>
  <conditionalFormatting sqref="W239">
    <cfRule type="expression" dxfId="2576" priority="83">
      <formula>OR($T$239 = TRUE, AND($W$239 = TRUE, $S$239 = FALSE))</formula>
    </cfRule>
  </conditionalFormatting>
  <conditionalFormatting sqref="W242">
    <cfRule type="expression" dxfId="2575" priority="82">
      <formula>AND($R$242,$S$242)</formula>
    </cfRule>
  </conditionalFormatting>
  <conditionalFormatting sqref="W242">
    <cfRule type="expression" dxfId="2574" priority="81">
      <formula>AND(IF($R$242,$W$242,TRUE),LEN(TRIM($W$242))&gt;0)</formula>
    </cfRule>
  </conditionalFormatting>
  <conditionalFormatting sqref="W242">
    <cfRule type="expression" dxfId="2573" priority="80">
      <formula>$S$242 = FALSE</formula>
    </cfRule>
  </conditionalFormatting>
  <conditionalFormatting sqref="W242">
    <cfRule type="expression" dxfId="2572" priority="79">
      <formula>OR($T$242 = TRUE, AND($W$242 = TRUE, $S$242 = FALSE))</formula>
    </cfRule>
  </conditionalFormatting>
  <conditionalFormatting sqref="W244">
    <cfRule type="expression" dxfId="2571" priority="78">
      <formula>AND($R$244,$S$244)</formula>
    </cfRule>
  </conditionalFormatting>
  <conditionalFormatting sqref="W244">
    <cfRule type="expression" dxfId="2570" priority="77">
      <formula>AND(IF($R$244,$W$244,TRUE),LEN(TRIM($W$244))&gt;0)</formula>
    </cfRule>
  </conditionalFormatting>
  <conditionalFormatting sqref="W244">
    <cfRule type="expression" dxfId="2569" priority="76">
      <formula>$S$244 = FALSE</formula>
    </cfRule>
  </conditionalFormatting>
  <conditionalFormatting sqref="W244">
    <cfRule type="expression" dxfId="2568" priority="75">
      <formula>OR($T$244 = TRUE, AND($W$244 = TRUE, $S$244 = FALSE))</formula>
    </cfRule>
  </conditionalFormatting>
  <conditionalFormatting sqref="W248">
    <cfRule type="expression" dxfId="2567" priority="74">
      <formula>AND($R$248,$S$248)</formula>
    </cfRule>
  </conditionalFormatting>
  <conditionalFormatting sqref="W248">
    <cfRule type="expression" dxfId="2566" priority="73">
      <formula>AND($W$248&lt;&gt;"Not Met",LEN(TRIM($W$248))&gt;0)</formula>
    </cfRule>
  </conditionalFormatting>
  <conditionalFormatting sqref="W248">
    <cfRule type="expression" dxfId="2565" priority="72">
      <formula>$S$248 = FALSE</formula>
    </cfRule>
  </conditionalFormatting>
  <conditionalFormatting sqref="W248">
    <cfRule type="expression" dxfId="2564" priority="71">
      <formula>OR($T$248 = TRUE, AND(LEN(TRIM($W$248))&gt;0, $S$248 = FALSE))</formula>
    </cfRule>
  </conditionalFormatting>
  <conditionalFormatting sqref="W252">
    <cfRule type="expression" dxfId="2563" priority="70">
      <formula>AND($R$252,$S$252)</formula>
    </cfRule>
  </conditionalFormatting>
  <conditionalFormatting sqref="W252">
    <cfRule type="expression" dxfId="2562" priority="69">
      <formula>AND($W$252&lt;&gt;"Not Met",LEN(TRIM($W$252))&gt;0)</formula>
    </cfRule>
  </conditionalFormatting>
  <conditionalFormatting sqref="W252">
    <cfRule type="expression" dxfId="2561" priority="68">
      <formula>$S$252 = FALSE</formula>
    </cfRule>
  </conditionalFormatting>
  <conditionalFormatting sqref="W252">
    <cfRule type="expression" dxfId="2560" priority="67">
      <formula>OR($T$252 = TRUE, AND(LEN(TRIM($W$252))&gt;0, $S$252 = FALSE))</formula>
    </cfRule>
  </conditionalFormatting>
  <conditionalFormatting sqref="W258">
    <cfRule type="expression" dxfId="2559" priority="66">
      <formula>AND($R$258,$S$258)</formula>
    </cfRule>
  </conditionalFormatting>
  <conditionalFormatting sqref="W258">
    <cfRule type="expression" dxfId="2558" priority="65">
      <formula>AND(IF($R$258,$W$258,TRUE),LEN(TRIM($W$258))&gt;0)</formula>
    </cfRule>
  </conditionalFormatting>
  <conditionalFormatting sqref="W258">
    <cfRule type="expression" dxfId="2557" priority="64">
      <formula>$S$258 = FALSE</formula>
    </cfRule>
  </conditionalFormatting>
  <conditionalFormatting sqref="W258">
    <cfRule type="expression" dxfId="2556" priority="63">
      <formula>OR($T$258 = TRUE, AND($W$258 = TRUE, $S$258 = FALSE))</formula>
    </cfRule>
  </conditionalFormatting>
  <conditionalFormatting sqref="W259">
    <cfRule type="expression" dxfId="2555" priority="62">
      <formula>AND($R$259,$S$259)</formula>
    </cfRule>
  </conditionalFormatting>
  <conditionalFormatting sqref="W259">
    <cfRule type="expression" dxfId="2554" priority="61">
      <formula>AND(IF($R$259,$W$259,TRUE),LEN(TRIM($W$259))&gt;0)</formula>
    </cfRule>
  </conditionalFormatting>
  <conditionalFormatting sqref="W259">
    <cfRule type="expression" dxfId="2553" priority="60">
      <formula>$S$259 = FALSE</formula>
    </cfRule>
  </conditionalFormatting>
  <conditionalFormatting sqref="W259">
    <cfRule type="expression" dxfId="2552" priority="59">
      <formula>OR($T$259 = TRUE, AND($W$259 = TRUE, $S$259 = FALSE))</formula>
    </cfRule>
  </conditionalFormatting>
  <conditionalFormatting sqref="W264">
    <cfRule type="expression" dxfId="2551" priority="58">
      <formula>AND($R$264,$S$264)</formula>
    </cfRule>
  </conditionalFormatting>
  <conditionalFormatting sqref="W264">
    <cfRule type="expression" dxfId="2550" priority="57">
      <formula>AND(IF($R$264,$W$264,TRUE),LEN(TRIM($W$264))&gt;0)</formula>
    </cfRule>
  </conditionalFormatting>
  <conditionalFormatting sqref="W264">
    <cfRule type="expression" dxfId="2549" priority="56">
      <formula>$S$264 = FALSE</formula>
    </cfRule>
  </conditionalFormatting>
  <conditionalFormatting sqref="W264">
    <cfRule type="expression" dxfId="2548" priority="55">
      <formula>OR($T$264 = TRUE, AND($W$264 = TRUE, $S$264 = FALSE))</formula>
    </cfRule>
  </conditionalFormatting>
  <conditionalFormatting sqref="W269">
    <cfRule type="expression" dxfId="2547" priority="54">
      <formula>AND($R$269,$S$269)</formula>
    </cfRule>
  </conditionalFormatting>
  <conditionalFormatting sqref="W269">
    <cfRule type="expression" dxfId="2546" priority="53">
      <formula>AND(IF($R$269,$W$269,TRUE),LEN(TRIM($W$269))&gt;0)</formula>
    </cfRule>
  </conditionalFormatting>
  <conditionalFormatting sqref="W269">
    <cfRule type="expression" dxfId="2545" priority="52">
      <formula>$S$269 = FALSE</formula>
    </cfRule>
  </conditionalFormatting>
  <conditionalFormatting sqref="W269">
    <cfRule type="expression" dxfId="2544" priority="51">
      <formula>OR($T$269 = TRUE, AND($W$269 = TRUE, $S$269 = FALSE))</formula>
    </cfRule>
  </conditionalFormatting>
  <conditionalFormatting sqref="W273">
    <cfRule type="expression" dxfId="2543" priority="50">
      <formula>AND($R$273,$S$273)</formula>
    </cfRule>
  </conditionalFormatting>
  <conditionalFormatting sqref="W273">
    <cfRule type="expression" dxfId="2542" priority="49">
      <formula>AND(IF($R$273,$W$273,TRUE),LEN(TRIM($W$273))&gt;0)</formula>
    </cfRule>
  </conditionalFormatting>
  <conditionalFormatting sqref="W273">
    <cfRule type="expression" dxfId="2541" priority="48">
      <formula>$S$273 = FALSE</formula>
    </cfRule>
  </conditionalFormatting>
  <conditionalFormatting sqref="W273">
    <cfRule type="expression" dxfId="2540" priority="47">
      <formula>OR($T$273 = TRUE, AND($W$273 = TRUE, $S$273 = FALSE))</formula>
    </cfRule>
  </conditionalFormatting>
  <conditionalFormatting sqref="W278">
    <cfRule type="expression" dxfId="2539" priority="46">
      <formula>AND($R$278,$S$278)</formula>
    </cfRule>
  </conditionalFormatting>
  <conditionalFormatting sqref="W278">
    <cfRule type="expression" dxfId="2538" priority="45">
      <formula>AND(IF($R$278,$W$278,TRUE),LEN(TRIM($W$278))&gt;0)</formula>
    </cfRule>
  </conditionalFormatting>
  <conditionalFormatting sqref="W278">
    <cfRule type="expression" dxfId="2537" priority="44">
      <formula>$S$278 = FALSE</formula>
    </cfRule>
  </conditionalFormatting>
  <conditionalFormatting sqref="W278">
    <cfRule type="expression" dxfId="2536" priority="43">
      <formula>OR($T$278 = TRUE, AND($W$278 = TRUE, $S$278 = FALSE))</formula>
    </cfRule>
  </conditionalFormatting>
  <conditionalFormatting sqref="W104">
    <cfRule type="expression" dxfId="2535" priority="39">
      <formula>OR(T104 = TRUE, AND(LEN(TRIM(W104))&gt;0, S104 = FALSE))</formula>
    </cfRule>
    <cfRule type="notContainsBlanks" dxfId="2534" priority="42">
      <formula>LEN(TRIM(W104))&gt;0</formula>
    </cfRule>
  </conditionalFormatting>
  <conditionalFormatting sqref="W114">
    <cfRule type="expression" dxfId="2533" priority="37">
      <formula>OR(T114 = TRUE, AND(LEN(TRIM(W114))&gt;0, S114 = FALSE))</formula>
    </cfRule>
    <cfRule type="notContainsBlanks" dxfId="2532" priority="38">
      <formula>LEN(TRIM(W114))&gt;0</formula>
    </cfRule>
  </conditionalFormatting>
  <conditionalFormatting sqref="W115">
    <cfRule type="expression" dxfId="2531" priority="35">
      <formula>OR(T115 = TRUE, AND(LEN(TRIM(W115))&gt;0, S115 = FALSE))</formula>
    </cfRule>
    <cfRule type="notContainsBlanks" dxfId="2530" priority="36">
      <formula>LEN(TRIM(W115))&gt;0</formula>
    </cfRule>
  </conditionalFormatting>
  <conditionalFormatting sqref="W134">
    <cfRule type="expression" dxfId="2529" priority="34">
      <formula>AND($R$134,$S$134)</formula>
    </cfRule>
  </conditionalFormatting>
  <conditionalFormatting sqref="W134">
    <cfRule type="expression" dxfId="2528" priority="33">
      <formula>AND(IF($R$134,$W$134,TRUE),LEN(TRIM($W$134))&gt;0)</formula>
    </cfRule>
  </conditionalFormatting>
  <conditionalFormatting sqref="W134">
    <cfRule type="expression" dxfId="2527" priority="32">
      <formula>$S$134 = FALSE</formula>
    </cfRule>
  </conditionalFormatting>
  <conditionalFormatting sqref="W134">
    <cfRule type="expression" dxfId="2526" priority="31">
      <formula>OR($T$134 = TRUE, AND($W$134 = TRUE, $S$134 = FALSE))</formula>
    </cfRule>
  </conditionalFormatting>
  <conditionalFormatting sqref="W189">
    <cfRule type="expression" dxfId="2525" priority="30">
      <formula>AND(R189,S189)</formula>
    </cfRule>
  </conditionalFormatting>
  <conditionalFormatting sqref="W189">
    <cfRule type="expression" dxfId="2524" priority="29">
      <formula>AND(IF(R189,W189,TRUE),LEN(TRIM(W189))&gt;0)</formula>
    </cfRule>
  </conditionalFormatting>
  <conditionalFormatting sqref="W189">
    <cfRule type="expression" dxfId="2523" priority="28">
      <formula>S189 = FALSE</formula>
    </cfRule>
  </conditionalFormatting>
  <conditionalFormatting sqref="W189">
    <cfRule type="expression" dxfId="2522" priority="27">
      <formula>OR(T189 = TRUE, AND(W189 = TRUE, S189 = FALSE))</formula>
    </cfRule>
  </conditionalFormatting>
  <conditionalFormatting sqref="W191">
    <cfRule type="expression" dxfId="2521" priority="26">
      <formula>AND(R191,S191)</formula>
    </cfRule>
  </conditionalFormatting>
  <conditionalFormatting sqref="W191">
    <cfRule type="expression" dxfId="2520" priority="25">
      <formula>AND(IF(R191,W191,TRUE),LEN(TRIM(W191))&gt;0)</formula>
    </cfRule>
  </conditionalFormatting>
  <conditionalFormatting sqref="W191">
    <cfRule type="expression" dxfId="2519" priority="24">
      <formula>S191 = FALSE</formula>
    </cfRule>
  </conditionalFormatting>
  <conditionalFormatting sqref="W191">
    <cfRule type="expression" dxfId="2518" priority="23">
      <formula>OR(T191 = TRUE, AND(W191 = TRUE, S191 = FALSE))</formula>
    </cfRule>
  </conditionalFormatting>
  <conditionalFormatting sqref="W198">
    <cfRule type="expression" dxfId="2517" priority="22">
      <formula>AND(R198,S198)</formula>
    </cfRule>
  </conditionalFormatting>
  <conditionalFormatting sqref="W198">
    <cfRule type="expression" dxfId="2516" priority="21">
      <formula>AND(IF(R198,W198,TRUE),LEN(TRIM(W198))&gt;0)</formula>
    </cfRule>
  </conditionalFormatting>
  <conditionalFormatting sqref="W198">
    <cfRule type="expression" dxfId="2515" priority="20">
      <formula>S198 = FALSE</formula>
    </cfRule>
  </conditionalFormatting>
  <conditionalFormatting sqref="W198">
    <cfRule type="expression" dxfId="2514" priority="19">
      <formula>OR(T198 = TRUE, AND(W198 = TRUE, S198 = FALSE))</formula>
    </cfRule>
  </conditionalFormatting>
  <conditionalFormatting sqref="W200">
    <cfRule type="expression" dxfId="2513" priority="18">
      <formula>AND(R200,S200)</formula>
    </cfRule>
  </conditionalFormatting>
  <conditionalFormatting sqref="W200">
    <cfRule type="expression" dxfId="2512" priority="17">
      <formula>AND(IF(R200,W200,TRUE),LEN(TRIM(W200))&gt;0)</formula>
    </cfRule>
  </conditionalFormatting>
  <conditionalFormatting sqref="W200">
    <cfRule type="expression" dxfId="2511" priority="16">
      <formula>S200 = FALSE</formula>
    </cfRule>
  </conditionalFormatting>
  <conditionalFormatting sqref="W200">
    <cfRule type="expression" dxfId="2510" priority="15">
      <formula>OR(T200 = TRUE, AND(W200 = TRUE, S200 = FALSE))</formula>
    </cfRule>
  </conditionalFormatting>
  <conditionalFormatting sqref="X71:X75">
    <cfRule type="expression" dxfId="2509" priority="14">
      <formula>W71="N/A"</formula>
    </cfRule>
  </conditionalFormatting>
  <conditionalFormatting sqref="W163">
    <cfRule type="expression" dxfId="2508" priority="9">
      <formula>AND($R$163,$S$163)</formula>
    </cfRule>
  </conditionalFormatting>
  <conditionalFormatting sqref="W163">
    <cfRule type="expression" dxfId="2507" priority="8">
      <formula>AND($W$163&lt;&gt;"Not Met",LEN(TRIM($W$163))&gt;0)</formula>
    </cfRule>
  </conditionalFormatting>
  <conditionalFormatting sqref="W163">
    <cfRule type="expression" dxfId="2506" priority="7">
      <formula>$S$163 = FALSE</formula>
    </cfRule>
  </conditionalFormatting>
  <conditionalFormatting sqref="W163">
    <cfRule type="expression" dxfId="2505" priority="6">
      <formula>OR($T$163 = TRUE, AND(LEN(TRIM($W$163))&gt;0, $S$163 = FALSE))</formula>
    </cfRule>
  </conditionalFormatting>
  <conditionalFormatting sqref="I1">
    <cfRule type="expression" dxfId="2504" priority="2">
      <formula>$AG$1="Gold"</formula>
    </cfRule>
    <cfRule type="expression" dxfId="2503" priority="3">
      <formula>$AG$1="Silver"</formula>
    </cfRule>
    <cfRule type="expression" dxfId="2502" priority="4">
      <formula>$AG$1="Bronze"</formula>
    </cfRule>
    <cfRule type="expression" dxfId="2501" priority="5">
      <formula>$AG$1="Emerald"</formula>
    </cfRule>
  </conditionalFormatting>
  <conditionalFormatting sqref="X1">
    <cfRule type="expression" dxfId="2500" priority="1">
      <formula>startError</formula>
    </cfRule>
  </conditionalFormatting>
  <dataValidations count="27">
    <dataValidation type="list" allowBlank="1" showDropDown="1" showInputMessage="1" showErrorMessage="1" error="Use Checkbox" prompt="Use Checkbox" sqref="W12 W18 W33 W54 W278 W273 W269 W264 W258:W259 W244 W242 W239 W237 W234 W225 W222 W220 W207 W205 W203 W192 W185 W181 W179 W173 W171 W167:W168 W134 W158 W153:W154 W148 W139 W67 W129 W118 W95 W92 W90 W61 W131:W132" xr:uid="{00000000-0002-0000-0700-000000000000}">
      <formula1>TorF</formula1>
    </dataValidation>
    <dataValidation type="list" allowBlank="1" showInputMessage="1" showErrorMessage="1" error="Please use the dropdown." sqref="W23" xr:uid="{00000000-0002-0000-0700-000001000000}">
      <formula1>INDIRECT($U$23)</formula1>
    </dataValidation>
    <dataValidation type="list" allowBlank="1" showInputMessage="1" showErrorMessage="1" error="Please use the dropdown." sqref="W26" xr:uid="{00000000-0002-0000-0700-000002000000}">
      <formula1>INDIRECT($U$26)</formula1>
    </dataValidation>
    <dataValidation type="list" allowBlank="1" showInputMessage="1" showErrorMessage="1" error="Please use the dropdown." sqref="W29" xr:uid="{00000000-0002-0000-0700-000003000000}">
      <formula1>INDIRECT($U$29)</formula1>
    </dataValidation>
    <dataValidation type="list" allowBlank="1" showInputMessage="1" showErrorMessage="1" error="Please use the dropdown." sqref="W36" xr:uid="{00000000-0002-0000-0700-000004000000}">
      <formula1>INDIRECT($U$36)</formula1>
    </dataValidation>
    <dataValidation type="list" allowBlank="1" showInputMessage="1" showErrorMessage="1" error="Please use the dropdown." sqref="W42" xr:uid="{00000000-0002-0000-0700-000005000000}">
      <formula1>INDIRECT($U$42)</formula1>
    </dataValidation>
    <dataValidation type="list" allowBlank="1" showInputMessage="1" showErrorMessage="1" error="Please use the dropdown." sqref="W45" xr:uid="{00000000-0002-0000-0700-000006000000}">
      <formula1>INDIRECT($U$45)</formula1>
    </dataValidation>
    <dataValidation type="list" allowBlank="1" showInputMessage="1" showErrorMessage="1" error="Please use the dropdown." sqref="W47" xr:uid="{00000000-0002-0000-0700-000007000000}">
      <formula1>INDIRECT($U$47)</formula1>
    </dataValidation>
    <dataValidation type="list" allowBlank="1" showInputMessage="1" showErrorMessage="1" error="Please use the dropdown." sqref="W50" xr:uid="{00000000-0002-0000-0700-000008000000}">
      <formula1>INDIRECT($U$50)</formula1>
    </dataValidation>
    <dataValidation type="list" allowBlank="1" showInputMessage="1" showErrorMessage="1" error="Please use the dropdown." sqref="W52" xr:uid="{00000000-0002-0000-0700-000009000000}">
      <formula1>INDIRECT($U$52)</formula1>
    </dataValidation>
    <dataValidation type="list" allowBlank="1" showInputMessage="1" showErrorMessage="1" error="Please use the dropdown." sqref="W57" xr:uid="{00000000-0002-0000-0700-00000A000000}">
      <formula1>INDIRECT($U$57)</formula1>
    </dataValidation>
    <dataValidation type="list" allowBlank="1" showInputMessage="1" showErrorMessage="1" error="Please use the dropdown." sqref="W59" xr:uid="{00000000-0002-0000-0700-00000B000000}">
      <formula1>INDIRECT($U$59)</formula1>
    </dataValidation>
    <dataValidation type="list" allowBlank="1" showInputMessage="1" showErrorMessage="1" error="Please use the dropdown." sqref="W71" xr:uid="{00000000-0002-0000-0700-00000C000000}">
      <formula1>INDIRECT($U$71)</formula1>
    </dataValidation>
    <dataValidation type="list" allowBlank="1" showInputMessage="1" showErrorMessage="1" error="Please use the dropdown." sqref="W76" xr:uid="{00000000-0002-0000-0700-00000D000000}">
      <formula1>INDIRECT($U$76)</formula1>
    </dataValidation>
    <dataValidation type="list" allowBlank="1" showInputMessage="1" showErrorMessage="1" error="Please use the dropdown." sqref="W77" xr:uid="{00000000-0002-0000-0700-00000E000000}">
      <formula1>INDIRECT($U$77)</formula1>
    </dataValidation>
    <dataValidation type="list" allowBlank="1" showInputMessage="1" showErrorMessage="1" error="Please use the dropdown." sqref="W78" xr:uid="{00000000-0002-0000-0700-00000F000000}">
      <formula1>INDIRECT($U$78)</formula1>
    </dataValidation>
    <dataValidation type="list" allowBlank="1" showInputMessage="1" showErrorMessage="1" error="Please use the dropdown." sqref="W79" xr:uid="{00000000-0002-0000-0700-000010000000}">
      <formula1>INDIRECT($U$79)</formula1>
    </dataValidation>
    <dataValidation type="list" allowBlank="1" showInputMessage="1" showErrorMessage="1" error="Please use the dropdown." sqref="W183" xr:uid="{00000000-0002-0000-0700-000011000000}">
      <formula1>INDIRECT($U$183)</formula1>
    </dataValidation>
    <dataValidation type="list" allowBlank="1" showInputMessage="1" showErrorMessage="1" error="Please use the dropdown." sqref="W211" xr:uid="{00000000-0002-0000-0700-000012000000}">
      <formula1>INDIRECT($U$211)</formula1>
    </dataValidation>
    <dataValidation type="list" allowBlank="1" showInputMessage="1" showErrorMessage="1" error="Please use the dropdown." sqref="W230" xr:uid="{00000000-0002-0000-0700-000013000000}">
      <formula1>INDIRECT($U$230)</formula1>
    </dataValidation>
    <dataValidation type="list" allowBlank="1" showInputMessage="1" showErrorMessage="1" error="Please use the dropdown." sqref="W248" xr:uid="{00000000-0002-0000-0700-000014000000}">
      <formula1>INDIRECT($U$248)</formula1>
    </dataValidation>
    <dataValidation type="list" allowBlank="1" showInputMessage="1" showErrorMessage="1" error="Please use the dropdown." sqref="W252" xr:uid="{00000000-0002-0000-0700-000015000000}">
      <formula1>INDIRECT($U$252)</formula1>
    </dataValidation>
    <dataValidation type="decimal" allowBlank="1" showDropDown="1" showInputMessage="1" showErrorMessage="1" error="Enter Percentage" prompt="Enter Percentage" sqref="W104 W114:W115" xr:uid="{00000000-0002-0000-0700-000016000000}">
      <formula1>0</formula1>
      <formula2>1</formula2>
    </dataValidation>
    <dataValidation type="whole" allowBlank="1" showDropDown="1" showInputMessage="1" showErrorMessage="1" error="Enter a whole number" prompt="Enter number of timers" sqref="W189" xr:uid="{00000000-0002-0000-0700-000017000000}">
      <formula1>0</formula1>
      <formula2>10</formula2>
    </dataValidation>
    <dataValidation type="whole" allowBlank="1" showDropDown="1" showInputMessage="1" showErrorMessage="1" error="Enter a whole number" prompt="Enter number of humidistats" sqref="W191" xr:uid="{00000000-0002-0000-0700-000018000000}">
      <formula1>0</formula1>
      <formula2>10</formula2>
    </dataValidation>
    <dataValidation type="list" allowBlank="1" showInputMessage="1" showErrorMessage="1" error="Please use the dropdown." sqref="W163" xr:uid="{00000000-0002-0000-0700-000019000000}">
      <formula1>INDIRECT($U$163)</formula1>
    </dataValidation>
    <dataValidation type="whole" allowBlank="1" showDropDown="1" showInputMessage="1" showErrorMessage="1" error="Enter a whole number" prompt="Enter number of fans" sqref="W198 W200" xr:uid="{00000000-0002-0000-0700-00001A000000}">
      <formula1>0</formula1>
      <formula2>10</formula2>
    </dataValidation>
  </dataValidations>
  <hyperlinks>
    <hyperlink ref="L133" location="'Table 901.9.1'!A1" display="See Table 901.9.1" xr:uid="{00000000-0004-0000-0700-000000000000}"/>
    <hyperlink ref="L138" location="'Table 901.9.2'!A1" display="See Table 901.9.2" xr:uid="{00000000-0004-0000-0700-000001000000}"/>
    <hyperlink ref="L157" location="'Table 901.10(3)'!A1" display="See Table 901.10(3)" xr:uid="{00000000-0004-0000-0700-000002000000}"/>
    <hyperlink ref="X280" location="'Ch10'!A1" display="CLICK TO PROCEED TO CHAPTER 10 &gt;&gt;" xr:uid="{00000000-0004-0000-0700-000003000000}"/>
  </hyperlinks>
  <pageMargins left="0.7" right="0.7" top="0.75" bottom="0.75" header="0.3" footer="0.3"/>
  <pageSetup scale="61" fitToHeight="0" orientation="landscape" r:id="rId1"/>
  <rowBreaks count="6" manualBreakCount="6">
    <brk id="54" max="16383" man="1"/>
    <brk id="96" max="16383" man="1"/>
    <brk id="144" max="16383" man="1"/>
    <brk id="174" max="16383" man="1"/>
    <brk id="209" max="16383" man="1"/>
    <brk id="24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170" r:id="rId4" name="Check Box 2">
              <controlPr locked="0" defaultSize="0" autoFill="0" autoLine="0" autoPict="0">
                <anchor moveWithCells="1" sizeWithCells="1">
                  <from>
                    <xdr:col>22</xdr:col>
                    <xdr:colOff>0</xdr:colOff>
                    <xdr:row>11</xdr:row>
                    <xdr:rowOff>0</xdr:rowOff>
                  </from>
                  <to>
                    <xdr:col>22</xdr:col>
                    <xdr:colOff>182880</xdr:colOff>
                    <xdr:row>11</xdr:row>
                    <xdr:rowOff>182880</xdr:rowOff>
                  </to>
                </anchor>
              </controlPr>
            </control>
          </mc:Choice>
        </mc:AlternateContent>
        <mc:AlternateContent xmlns:mc="http://schemas.openxmlformats.org/markup-compatibility/2006">
          <mc:Choice Requires="x14">
            <control shapeId="7172" r:id="rId5" name="Check Box 4">
              <controlPr locked="0" defaultSize="0" autoFill="0" autoLine="0" autoPict="0">
                <anchor moveWithCells="1" sizeWithCells="1">
                  <from>
                    <xdr:col>22</xdr:col>
                    <xdr:colOff>0</xdr:colOff>
                    <xdr:row>17</xdr:row>
                    <xdr:rowOff>0</xdr:rowOff>
                  </from>
                  <to>
                    <xdr:col>22</xdr:col>
                    <xdr:colOff>182880</xdr:colOff>
                    <xdr:row>17</xdr:row>
                    <xdr:rowOff>182880</xdr:rowOff>
                  </to>
                </anchor>
              </controlPr>
            </control>
          </mc:Choice>
        </mc:AlternateContent>
        <mc:AlternateContent xmlns:mc="http://schemas.openxmlformats.org/markup-compatibility/2006">
          <mc:Choice Requires="x14">
            <control shapeId="7174" r:id="rId6" name="Check Box 6">
              <controlPr locked="0" defaultSize="0" autoFill="0" autoLine="0" autoPict="0">
                <anchor moveWithCells="1" sizeWithCells="1">
                  <from>
                    <xdr:col>22</xdr:col>
                    <xdr:colOff>0</xdr:colOff>
                    <xdr:row>32</xdr:row>
                    <xdr:rowOff>0</xdr:rowOff>
                  </from>
                  <to>
                    <xdr:col>22</xdr:col>
                    <xdr:colOff>182880</xdr:colOff>
                    <xdr:row>32</xdr:row>
                    <xdr:rowOff>182880</xdr:rowOff>
                  </to>
                </anchor>
              </controlPr>
            </control>
          </mc:Choice>
        </mc:AlternateContent>
        <mc:AlternateContent xmlns:mc="http://schemas.openxmlformats.org/markup-compatibility/2006">
          <mc:Choice Requires="x14">
            <control shapeId="7177" r:id="rId7" name="Check Box 9">
              <controlPr locked="0" defaultSize="0" autoFill="0" autoLine="0" autoPict="0">
                <anchor moveWithCells="1" sizeWithCells="1">
                  <from>
                    <xdr:col>22</xdr:col>
                    <xdr:colOff>0</xdr:colOff>
                    <xdr:row>53</xdr:row>
                    <xdr:rowOff>0</xdr:rowOff>
                  </from>
                  <to>
                    <xdr:col>22</xdr:col>
                    <xdr:colOff>182880</xdr:colOff>
                    <xdr:row>53</xdr:row>
                    <xdr:rowOff>182880</xdr:rowOff>
                  </to>
                </anchor>
              </controlPr>
            </control>
          </mc:Choice>
        </mc:AlternateContent>
        <mc:AlternateContent xmlns:mc="http://schemas.openxmlformats.org/markup-compatibility/2006">
          <mc:Choice Requires="x14">
            <control shapeId="7182" r:id="rId8" name="Check Box 14">
              <controlPr locked="0" defaultSize="0" autoFill="0" autoLine="0" autoPict="0">
                <anchor moveWithCells="1" sizeWithCells="1">
                  <from>
                    <xdr:col>22</xdr:col>
                    <xdr:colOff>0</xdr:colOff>
                    <xdr:row>66</xdr:row>
                    <xdr:rowOff>0</xdr:rowOff>
                  </from>
                  <to>
                    <xdr:col>22</xdr:col>
                    <xdr:colOff>182880</xdr:colOff>
                    <xdr:row>66</xdr:row>
                    <xdr:rowOff>182880</xdr:rowOff>
                  </to>
                </anchor>
              </controlPr>
            </control>
          </mc:Choice>
        </mc:AlternateContent>
        <mc:AlternateContent xmlns:mc="http://schemas.openxmlformats.org/markup-compatibility/2006">
          <mc:Choice Requires="x14">
            <control shapeId="7184" r:id="rId9" name="Check Box 16">
              <controlPr locked="0" defaultSize="0" autoFill="0" autoLine="0" autoPict="0">
                <anchor moveWithCells="1" sizeWithCells="1">
                  <from>
                    <xdr:col>22</xdr:col>
                    <xdr:colOff>0</xdr:colOff>
                    <xdr:row>60</xdr:row>
                    <xdr:rowOff>0</xdr:rowOff>
                  </from>
                  <to>
                    <xdr:col>22</xdr:col>
                    <xdr:colOff>182880</xdr:colOff>
                    <xdr:row>60</xdr:row>
                    <xdr:rowOff>182880</xdr:rowOff>
                  </to>
                </anchor>
              </controlPr>
            </control>
          </mc:Choice>
        </mc:AlternateContent>
        <mc:AlternateContent xmlns:mc="http://schemas.openxmlformats.org/markup-compatibility/2006">
          <mc:Choice Requires="x14">
            <control shapeId="7187" r:id="rId10" name="Check Box 19">
              <controlPr locked="0" defaultSize="0" autoFill="0" autoLine="0" autoPict="0">
                <anchor moveWithCells="1" sizeWithCells="1">
                  <from>
                    <xdr:col>22</xdr:col>
                    <xdr:colOff>0</xdr:colOff>
                    <xdr:row>89</xdr:row>
                    <xdr:rowOff>0</xdr:rowOff>
                  </from>
                  <to>
                    <xdr:col>22</xdr:col>
                    <xdr:colOff>182880</xdr:colOff>
                    <xdr:row>89</xdr:row>
                    <xdr:rowOff>182880</xdr:rowOff>
                  </to>
                </anchor>
              </controlPr>
            </control>
          </mc:Choice>
        </mc:AlternateContent>
        <mc:AlternateContent xmlns:mc="http://schemas.openxmlformats.org/markup-compatibility/2006">
          <mc:Choice Requires="x14">
            <control shapeId="7188" r:id="rId11" name="Check Box 20">
              <controlPr locked="0" defaultSize="0" autoFill="0" autoLine="0" autoPict="0">
                <anchor moveWithCells="1" sizeWithCells="1">
                  <from>
                    <xdr:col>22</xdr:col>
                    <xdr:colOff>0</xdr:colOff>
                    <xdr:row>91</xdr:row>
                    <xdr:rowOff>0</xdr:rowOff>
                  </from>
                  <to>
                    <xdr:col>22</xdr:col>
                    <xdr:colOff>182880</xdr:colOff>
                    <xdr:row>91</xdr:row>
                    <xdr:rowOff>182880</xdr:rowOff>
                  </to>
                </anchor>
              </controlPr>
            </control>
          </mc:Choice>
        </mc:AlternateContent>
        <mc:AlternateContent xmlns:mc="http://schemas.openxmlformats.org/markup-compatibility/2006">
          <mc:Choice Requires="x14">
            <control shapeId="7189" r:id="rId12" name="Check Box 21">
              <controlPr locked="0" defaultSize="0" autoFill="0" autoLine="0" autoPict="0">
                <anchor moveWithCells="1" sizeWithCells="1">
                  <from>
                    <xdr:col>22</xdr:col>
                    <xdr:colOff>0</xdr:colOff>
                    <xdr:row>94</xdr:row>
                    <xdr:rowOff>0</xdr:rowOff>
                  </from>
                  <to>
                    <xdr:col>22</xdr:col>
                    <xdr:colOff>182880</xdr:colOff>
                    <xdr:row>94</xdr:row>
                    <xdr:rowOff>182880</xdr:rowOff>
                  </to>
                </anchor>
              </controlPr>
            </control>
          </mc:Choice>
        </mc:AlternateContent>
        <mc:AlternateContent xmlns:mc="http://schemas.openxmlformats.org/markup-compatibility/2006">
          <mc:Choice Requires="x14">
            <control shapeId="7191" r:id="rId13" name="Check Box 23">
              <controlPr locked="0" defaultSize="0" autoFill="0" autoLine="0" autoPict="0">
                <anchor moveWithCells="1" sizeWithCells="1">
                  <from>
                    <xdr:col>22</xdr:col>
                    <xdr:colOff>0</xdr:colOff>
                    <xdr:row>117</xdr:row>
                    <xdr:rowOff>0</xdr:rowOff>
                  </from>
                  <to>
                    <xdr:col>22</xdr:col>
                    <xdr:colOff>182880</xdr:colOff>
                    <xdr:row>117</xdr:row>
                    <xdr:rowOff>182880</xdr:rowOff>
                  </to>
                </anchor>
              </controlPr>
            </control>
          </mc:Choice>
        </mc:AlternateContent>
        <mc:AlternateContent xmlns:mc="http://schemas.openxmlformats.org/markup-compatibility/2006">
          <mc:Choice Requires="x14">
            <control shapeId="7192" r:id="rId14" name="Check Box 24">
              <controlPr locked="0" defaultSize="0" autoFill="0" autoLine="0" autoPict="0">
                <anchor moveWithCells="1" sizeWithCells="1">
                  <from>
                    <xdr:col>22</xdr:col>
                    <xdr:colOff>0</xdr:colOff>
                    <xdr:row>128</xdr:row>
                    <xdr:rowOff>0</xdr:rowOff>
                  </from>
                  <to>
                    <xdr:col>22</xdr:col>
                    <xdr:colOff>182880</xdr:colOff>
                    <xdr:row>128</xdr:row>
                    <xdr:rowOff>182880</xdr:rowOff>
                  </to>
                </anchor>
              </controlPr>
            </control>
          </mc:Choice>
        </mc:AlternateContent>
        <mc:AlternateContent xmlns:mc="http://schemas.openxmlformats.org/markup-compatibility/2006">
          <mc:Choice Requires="x14">
            <control shapeId="7193" r:id="rId15" name="Check Box 25">
              <controlPr locked="0" defaultSize="0" autoFill="0" autoLine="0" autoPict="0">
                <anchor moveWithCells="1" sizeWithCells="1">
                  <from>
                    <xdr:col>22</xdr:col>
                    <xdr:colOff>0</xdr:colOff>
                    <xdr:row>130</xdr:row>
                    <xdr:rowOff>0</xdr:rowOff>
                  </from>
                  <to>
                    <xdr:col>22</xdr:col>
                    <xdr:colOff>182880</xdr:colOff>
                    <xdr:row>130</xdr:row>
                    <xdr:rowOff>182880</xdr:rowOff>
                  </to>
                </anchor>
              </controlPr>
            </control>
          </mc:Choice>
        </mc:AlternateContent>
        <mc:AlternateContent xmlns:mc="http://schemas.openxmlformats.org/markup-compatibility/2006">
          <mc:Choice Requires="x14">
            <control shapeId="7194" r:id="rId16" name="Check Box 26">
              <controlPr locked="0" defaultSize="0" autoFill="0" autoLine="0" autoPict="0">
                <anchor moveWithCells="1" sizeWithCells="1">
                  <from>
                    <xdr:col>22</xdr:col>
                    <xdr:colOff>0</xdr:colOff>
                    <xdr:row>131</xdr:row>
                    <xdr:rowOff>0</xdr:rowOff>
                  </from>
                  <to>
                    <xdr:col>22</xdr:col>
                    <xdr:colOff>182880</xdr:colOff>
                    <xdr:row>131</xdr:row>
                    <xdr:rowOff>182880</xdr:rowOff>
                  </to>
                </anchor>
              </controlPr>
            </control>
          </mc:Choice>
        </mc:AlternateContent>
        <mc:AlternateContent xmlns:mc="http://schemas.openxmlformats.org/markup-compatibility/2006">
          <mc:Choice Requires="x14">
            <control shapeId="7195" r:id="rId17" name="Check Box 27">
              <controlPr locked="0" defaultSize="0" autoFill="0" autoLine="0" autoPict="0">
                <anchor moveWithCells="1" sizeWithCells="1">
                  <from>
                    <xdr:col>22</xdr:col>
                    <xdr:colOff>0</xdr:colOff>
                    <xdr:row>138</xdr:row>
                    <xdr:rowOff>0</xdr:rowOff>
                  </from>
                  <to>
                    <xdr:col>22</xdr:col>
                    <xdr:colOff>182880</xdr:colOff>
                    <xdr:row>138</xdr:row>
                    <xdr:rowOff>182880</xdr:rowOff>
                  </to>
                </anchor>
              </controlPr>
            </control>
          </mc:Choice>
        </mc:AlternateContent>
        <mc:AlternateContent xmlns:mc="http://schemas.openxmlformats.org/markup-compatibility/2006">
          <mc:Choice Requires="x14">
            <control shapeId="7196" r:id="rId18" name="Check Box 28">
              <controlPr locked="0" defaultSize="0" autoFill="0" autoLine="0" autoPict="0">
                <anchor moveWithCells="1" sizeWithCells="1">
                  <from>
                    <xdr:col>22</xdr:col>
                    <xdr:colOff>0</xdr:colOff>
                    <xdr:row>147</xdr:row>
                    <xdr:rowOff>0</xdr:rowOff>
                  </from>
                  <to>
                    <xdr:col>22</xdr:col>
                    <xdr:colOff>182880</xdr:colOff>
                    <xdr:row>147</xdr:row>
                    <xdr:rowOff>182880</xdr:rowOff>
                  </to>
                </anchor>
              </controlPr>
            </control>
          </mc:Choice>
        </mc:AlternateContent>
        <mc:AlternateContent xmlns:mc="http://schemas.openxmlformats.org/markup-compatibility/2006">
          <mc:Choice Requires="x14">
            <control shapeId="7197" r:id="rId19" name="Check Box 29">
              <controlPr locked="0" defaultSize="0" autoFill="0" autoLine="0" autoPict="0">
                <anchor moveWithCells="1" sizeWithCells="1">
                  <from>
                    <xdr:col>22</xdr:col>
                    <xdr:colOff>0</xdr:colOff>
                    <xdr:row>152</xdr:row>
                    <xdr:rowOff>0</xdr:rowOff>
                  </from>
                  <to>
                    <xdr:col>22</xdr:col>
                    <xdr:colOff>182880</xdr:colOff>
                    <xdr:row>152</xdr:row>
                    <xdr:rowOff>182880</xdr:rowOff>
                  </to>
                </anchor>
              </controlPr>
            </control>
          </mc:Choice>
        </mc:AlternateContent>
        <mc:AlternateContent xmlns:mc="http://schemas.openxmlformats.org/markup-compatibility/2006">
          <mc:Choice Requires="x14">
            <control shapeId="7198" r:id="rId20" name="Check Box 30">
              <controlPr locked="0" defaultSize="0" autoFill="0" autoLine="0" autoPict="0">
                <anchor moveWithCells="1" sizeWithCells="1">
                  <from>
                    <xdr:col>22</xdr:col>
                    <xdr:colOff>0</xdr:colOff>
                    <xdr:row>153</xdr:row>
                    <xdr:rowOff>0</xdr:rowOff>
                  </from>
                  <to>
                    <xdr:col>22</xdr:col>
                    <xdr:colOff>182880</xdr:colOff>
                    <xdr:row>153</xdr:row>
                    <xdr:rowOff>182880</xdr:rowOff>
                  </to>
                </anchor>
              </controlPr>
            </control>
          </mc:Choice>
        </mc:AlternateContent>
        <mc:AlternateContent xmlns:mc="http://schemas.openxmlformats.org/markup-compatibility/2006">
          <mc:Choice Requires="x14">
            <control shapeId="7199" r:id="rId21" name="Check Box 31">
              <controlPr locked="0" defaultSize="0" autoFill="0" autoLine="0" autoPict="0">
                <anchor moveWithCells="1" sizeWithCells="1">
                  <from>
                    <xdr:col>22</xdr:col>
                    <xdr:colOff>0</xdr:colOff>
                    <xdr:row>157</xdr:row>
                    <xdr:rowOff>0</xdr:rowOff>
                  </from>
                  <to>
                    <xdr:col>22</xdr:col>
                    <xdr:colOff>182880</xdr:colOff>
                    <xdr:row>157</xdr:row>
                    <xdr:rowOff>182880</xdr:rowOff>
                  </to>
                </anchor>
              </controlPr>
            </control>
          </mc:Choice>
        </mc:AlternateContent>
        <mc:AlternateContent xmlns:mc="http://schemas.openxmlformats.org/markup-compatibility/2006">
          <mc:Choice Requires="x14">
            <control shapeId="7201" r:id="rId22" name="Check Box 33">
              <controlPr locked="0" defaultSize="0" autoFill="0" autoLine="0" autoPict="0">
                <anchor moveWithCells="1" sizeWithCells="1">
                  <from>
                    <xdr:col>22</xdr:col>
                    <xdr:colOff>0</xdr:colOff>
                    <xdr:row>166</xdr:row>
                    <xdr:rowOff>0</xdr:rowOff>
                  </from>
                  <to>
                    <xdr:col>22</xdr:col>
                    <xdr:colOff>182880</xdr:colOff>
                    <xdr:row>166</xdr:row>
                    <xdr:rowOff>182880</xdr:rowOff>
                  </to>
                </anchor>
              </controlPr>
            </control>
          </mc:Choice>
        </mc:AlternateContent>
        <mc:AlternateContent xmlns:mc="http://schemas.openxmlformats.org/markup-compatibility/2006">
          <mc:Choice Requires="x14">
            <control shapeId="7202" r:id="rId23" name="Check Box 34">
              <controlPr locked="0" defaultSize="0" autoFill="0" autoLine="0" autoPict="0">
                <anchor moveWithCells="1" sizeWithCells="1">
                  <from>
                    <xdr:col>22</xdr:col>
                    <xdr:colOff>0</xdr:colOff>
                    <xdr:row>167</xdr:row>
                    <xdr:rowOff>0</xdr:rowOff>
                  </from>
                  <to>
                    <xdr:col>22</xdr:col>
                    <xdr:colOff>182880</xdr:colOff>
                    <xdr:row>167</xdr:row>
                    <xdr:rowOff>182880</xdr:rowOff>
                  </to>
                </anchor>
              </controlPr>
            </control>
          </mc:Choice>
        </mc:AlternateContent>
        <mc:AlternateContent xmlns:mc="http://schemas.openxmlformats.org/markup-compatibility/2006">
          <mc:Choice Requires="x14">
            <control shapeId="7203" r:id="rId24" name="Check Box 35">
              <controlPr locked="0" defaultSize="0" autoFill="0" autoLine="0" autoPict="0">
                <anchor moveWithCells="1" sizeWithCells="1">
                  <from>
                    <xdr:col>22</xdr:col>
                    <xdr:colOff>0</xdr:colOff>
                    <xdr:row>170</xdr:row>
                    <xdr:rowOff>0</xdr:rowOff>
                  </from>
                  <to>
                    <xdr:col>22</xdr:col>
                    <xdr:colOff>182880</xdr:colOff>
                    <xdr:row>170</xdr:row>
                    <xdr:rowOff>182880</xdr:rowOff>
                  </to>
                </anchor>
              </controlPr>
            </control>
          </mc:Choice>
        </mc:AlternateContent>
        <mc:AlternateContent xmlns:mc="http://schemas.openxmlformats.org/markup-compatibility/2006">
          <mc:Choice Requires="x14">
            <control shapeId="7204" r:id="rId25" name="Check Box 36">
              <controlPr locked="0" defaultSize="0" autoFill="0" autoLine="0" autoPict="0">
                <anchor moveWithCells="1" sizeWithCells="1">
                  <from>
                    <xdr:col>22</xdr:col>
                    <xdr:colOff>0</xdr:colOff>
                    <xdr:row>172</xdr:row>
                    <xdr:rowOff>0</xdr:rowOff>
                  </from>
                  <to>
                    <xdr:col>22</xdr:col>
                    <xdr:colOff>182880</xdr:colOff>
                    <xdr:row>172</xdr:row>
                    <xdr:rowOff>182880</xdr:rowOff>
                  </to>
                </anchor>
              </controlPr>
            </control>
          </mc:Choice>
        </mc:AlternateContent>
        <mc:AlternateContent xmlns:mc="http://schemas.openxmlformats.org/markup-compatibility/2006">
          <mc:Choice Requires="x14">
            <control shapeId="7205" r:id="rId26" name="Check Box 37">
              <controlPr locked="0" defaultSize="0" autoFill="0" autoLine="0" autoPict="0">
                <anchor moveWithCells="1" sizeWithCells="1">
                  <from>
                    <xdr:col>22</xdr:col>
                    <xdr:colOff>0</xdr:colOff>
                    <xdr:row>178</xdr:row>
                    <xdr:rowOff>0</xdr:rowOff>
                  </from>
                  <to>
                    <xdr:col>22</xdr:col>
                    <xdr:colOff>182880</xdr:colOff>
                    <xdr:row>178</xdr:row>
                    <xdr:rowOff>182880</xdr:rowOff>
                  </to>
                </anchor>
              </controlPr>
            </control>
          </mc:Choice>
        </mc:AlternateContent>
        <mc:AlternateContent xmlns:mc="http://schemas.openxmlformats.org/markup-compatibility/2006">
          <mc:Choice Requires="x14">
            <control shapeId="7206" r:id="rId27" name="Check Box 38">
              <controlPr locked="0" defaultSize="0" autoFill="0" autoLine="0" autoPict="0">
                <anchor moveWithCells="1" sizeWithCells="1">
                  <from>
                    <xdr:col>22</xdr:col>
                    <xdr:colOff>0</xdr:colOff>
                    <xdr:row>180</xdr:row>
                    <xdr:rowOff>0</xdr:rowOff>
                  </from>
                  <to>
                    <xdr:col>22</xdr:col>
                    <xdr:colOff>182880</xdr:colOff>
                    <xdr:row>180</xdr:row>
                    <xdr:rowOff>182880</xdr:rowOff>
                  </to>
                </anchor>
              </controlPr>
            </control>
          </mc:Choice>
        </mc:AlternateContent>
        <mc:AlternateContent xmlns:mc="http://schemas.openxmlformats.org/markup-compatibility/2006">
          <mc:Choice Requires="x14">
            <control shapeId="7207" r:id="rId28" name="Check Box 39">
              <controlPr locked="0" defaultSize="0" autoFill="0" autoLine="0" autoPict="0">
                <anchor moveWithCells="1" sizeWithCells="1">
                  <from>
                    <xdr:col>22</xdr:col>
                    <xdr:colOff>0</xdr:colOff>
                    <xdr:row>184</xdr:row>
                    <xdr:rowOff>0</xdr:rowOff>
                  </from>
                  <to>
                    <xdr:col>22</xdr:col>
                    <xdr:colOff>182880</xdr:colOff>
                    <xdr:row>184</xdr:row>
                    <xdr:rowOff>182880</xdr:rowOff>
                  </to>
                </anchor>
              </controlPr>
            </control>
          </mc:Choice>
        </mc:AlternateContent>
        <mc:AlternateContent xmlns:mc="http://schemas.openxmlformats.org/markup-compatibility/2006">
          <mc:Choice Requires="x14">
            <control shapeId="7208" r:id="rId29" name="Check Box 40">
              <controlPr locked="0" defaultSize="0" autoFill="0" autoLine="0" autoPict="0">
                <anchor moveWithCells="1" sizeWithCells="1">
                  <from>
                    <xdr:col>22</xdr:col>
                    <xdr:colOff>0</xdr:colOff>
                    <xdr:row>191</xdr:row>
                    <xdr:rowOff>0</xdr:rowOff>
                  </from>
                  <to>
                    <xdr:col>22</xdr:col>
                    <xdr:colOff>182880</xdr:colOff>
                    <xdr:row>191</xdr:row>
                    <xdr:rowOff>182880</xdr:rowOff>
                  </to>
                </anchor>
              </controlPr>
            </control>
          </mc:Choice>
        </mc:AlternateContent>
        <mc:AlternateContent xmlns:mc="http://schemas.openxmlformats.org/markup-compatibility/2006">
          <mc:Choice Requires="x14">
            <control shapeId="7209" r:id="rId30" name="Check Box 41">
              <controlPr locked="0" defaultSize="0" autoFill="0" autoLine="0" autoPict="0">
                <anchor moveWithCells="1" sizeWithCells="1">
                  <from>
                    <xdr:col>22</xdr:col>
                    <xdr:colOff>0</xdr:colOff>
                    <xdr:row>202</xdr:row>
                    <xdr:rowOff>0</xdr:rowOff>
                  </from>
                  <to>
                    <xdr:col>22</xdr:col>
                    <xdr:colOff>182880</xdr:colOff>
                    <xdr:row>202</xdr:row>
                    <xdr:rowOff>182880</xdr:rowOff>
                  </to>
                </anchor>
              </controlPr>
            </control>
          </mc:Choice>
        </mc:AlternateContent>
        <mc:AlternateContent xmlns:mc="http://schemas.openxmlformats.org/markup-compatibility/2006">
          <mc:Choice Requires="x14">
            <control shapeId="7210" r:id="rId31" name="Check Box 42">
              <controlPr locked="0" defaultSize="0" autoFill="0" autoLine="0" autoPict="0">
                <anchor moveWithCells="1" sizeWithCells="1">
                  <from>
                    <xdr:col>22</xdr:col>
                    <xdr:colOff>0</xdr:colOff>
                    <xdr:row>204</xdr:row>
                    <xdr:rowOff>0</xdr:rowOff>
                  </from>
                  <to>
                    <xdr:col>22</xdr:col>
                    <xdr:colOff>182880</xdr:colOff>
                    <xdr:row>204</xdr:row>
                    <xdr:rowOff>182880</xdr:rowOff>
                  </to>
                </anchor>
              </controlPr>
            </control>
          </mc:Choice>
        </mc:AlternateContent>
        <mc:AlternateContent xmlns:mc="http://schemas.openxmlformats.org/markup-compatibility/2006">
          <mc:Choice Requires="x14">
            <control shapeId="7211" r:id="rId32" name="Check Box 43">
              <controlPr locked="0" defaultSize="0" autoFill="0" autoLine="0" autoPict="0">
                <anchor moveWithCells="1" sizeWithCells="1">
                  <from>
                    <xdr:col>22</xdr:col>
                    <xdr:colOff>0</xdr:colOff>
                    <xdr:row>206</xdr:row>
                    <xdr:rowOff>0</xdr:rowOff>
                  </from>
                  <to>
                    <xdr:col>22</xdr:col>
                    <xdr:colOff>182880</xdr:colOff>
                    <xdr:row>206</xdr:row>
                    <xdr:rowOff>182880</xdr:rowOff>
                  </to>
                </anchor>
              </controlPr>
            </control>
          </mc:Choice>
        </mc:AlternateContent>
        <mc:AlternateContent xmlns:mc="http://schemas.openxmlformats.org/markup-compatibility/2006">
          <mc:Choice Requires="x14">
            <control shapeId="7212" r:id="rId33" name="Check Box 44">
              <controlPr locked="0" defaultSize="0" autoFill="0" autoLine="0" autoPict="0">
                <anchor moveWithCells="1" sizeWithCells="1">
                  <from>
                    <xdr:col>22</xdr:col>
                    <xdr:colOff>0</xdr:colOff>
                    <xdr:row>219</xdr:row>
                    <xdr:rowOff>0</xdr:rowOff>
                  </from>
                  <to>
                    <xdr:col>22</xdr:col>
                    <xdr:colOff>182880</xdr:colOff>
                    <xdr:row>219</xdr:row>
                    <xdr:rowOff>182880</xdr:rowOff>
                  </to>
                </anchor>
              </controlPr>
            </control>
          </mc:Choice>
        </mc:AlternateContent>
        <mc:AlternateContent xmlns:mc="http://schemas.openxmlformats.org/markup-compatibility/2006">
          <mc:Choice Requires="x14">
            <control shapeId="7213" r:id="rId34" name="Check Box 45">
              <controlPr locked="0" defaultSize="0" autoFill="0" autoLine="0" autoPict="0">
                <anchor moveWithCells="1" sizeWithCells="1">
                  <from>
                    <xdr:col>22</xdr:col>
                    <xdr:colOff>0</xdr:colOff>
                    <xdr:row>221</xdr:row>
                    <xdr:rowOff>0</xdr:rowOff>
                  </from>
                  <to>
                    <xdr:col>22</xdr:col>
                    <xdr:colOff>182880</xdr:colOff>
                    <xdr:row>221</xdr:row>
                    <xdr:rowOff>182880</xdr:rowOff>
                  </to>
                </anchor>
              </controlPr>
            </control>
          </mc:Choice>
        </mc:AlternateContent>
        <mc:AlternateContent xmlns:mc="http://schemas.openxmlformats.org/markup-compatibility/2006">
          <mc:Choice Requires="x14">
            <control shapeId="7214" r:id="rId35" name="Check Box 46">
              <controlPr locked="0" defaultSize="0" autoFill="0" autoLine="0" autoPict="0">
                <anchor moveWithCells="1" sizeWithCells="1">
                  <from>
                    <xdr:col>22</xdr:col>
                    <xdr:colOff>0</xdr:colOff>
                    <xdr:row>224</xdr:row>
                    <xdr:rowOff>0</xdr:rowOff>
                  </from>
                  <to>
                    <xdr:col>22</xdr:col>
                    <xdr:colOff>182880</xdr:colOff>
                    <xdr:row>224</xdr:row>
                    <xdr:rowOff>182880</xdr:rowOff>
                  </to>
                </anchor>
              </controlPr>
            </control>
          </mc:Choice>
        </mc:AlternateContent>
        <mc:AlternateContent xmlns:mc="http://schemas.openxmlformats.org/markup-compatibility/2006">
          <mc:Choice Requires="x14">
            <control shapeId="7215" r:id="rId36" name="Check Box 47">
              <controlPr locked="0" defaultSize="0" autoFill="0" autoLine="0" autoPict="0">
                <anchor moveWithCells="1" sizeWithCells="1">
                  <from>
                    <xdr:col>22</xdr:col>
                    <xdr:colOff>0</xdr:colOff>
                    <xdr:row>233</xdr:row>
                    <xdr:rowOff>0</xdr:rowOff>
                  </from>
                  <to>
                    <xdr:col>22</xdr:col>
                    <xdr:colOff>182880</xdr:colOff>
                    <xdr:row>233</xdr:row>
                    <xdr:rowOff>182880</xdr:rowOff>
                  </to>
                </anchor>
              </controlPr>
            </control>
          </mc:Choice>
        </mc:AlternateContent>
        <mc:AlternateContent xmlns:mc="http://schemas.openxmlformats.org/markup-compatibility/2006">
          <mc:Choice Requires="x14">
            <control shapeId="7216" r:id="rId37" name="Check Box 48">
              <controlPr locked="0" defaultSize="0" autoFill="0" autoLine="0" autoPict="0">
                <anchor moveWithCells="1" sizeWithCells="1">
                  <from>
                    <xdr:col>22</xdr:col>
                    <xdr:colOff>0</xdr:colOff>
                    <xdr:row>236</xdr:row>
                    <xdr:rowOff>0</xdr:rowOff>
                  </from>
                  <to>
                    <xdr:col>22</xdr:col>
                    <xdr:colOff>182880</xdr:colOff>
                    <xdr:row>236</xdr:row>
                    <xdr:rowOff>182880</xdr:rowOff>
                  </to>
                </anchor>
              </controlPr>
            </control>
          </mc:Choice>
        </mc:AlternateContent>
        <mc:AlternateContent xmlns:mc="http://schemas.openxmlformats.org/markup-compatibility/2006">
          <mc:Choice Requires="x14">
            <control shapeId="7217" r:id="rId38" name="Check Box 49">
              <controlPr locked="0" defaultSize="0" autoFill="0" autoLine="0" autoPict="0">
                <anchor moveWithCells="1" sizeWithCells="1">
                  <from>
                    <xdr:col>22</xdr:col>
                    <xdr:colOff>0</xdr:colOff>
                    <xdr:row>238</xdr:row>
                    <xdr:rowOff>0</xdr:rowOff>
                  </from>
                  <to>
                    <xdr:col>22</xdr:col>
                    <xdr:colOff>182880</xdr:colOff>
                    <xdr:row>238</xdr:row>
                    <xdr:rowOff>182880</xdr:rowOff>
                  </to>
                </anchor>
              </controlPr>
            </control>
          </mc:Choice>
        </mc:AlternateContent>
        <mc:AlternateContent xmlns:mc="http://schemas.openxmlformats.org/markup-compatibility/2006">
          <mc:Choice Requires="x14">
            <control shapeId="7218" r:id="rId39" name="Check Box 50">
              <controlPr locked="0" defaultSize="0" autoFill="0" autoLine="0" autoPict="0">
                <anchor moveWithCells="1" sizeWithCells="1">
                  <from>
                    <xdr:col>22</xdr:col>
                    <xdr:colOff>0</xdr:colOff>
                    <xdr:row>241</xdr:row>
                    <xdr:rowOff>0</xdr:rowOff>
                  </from>
                  <to>
                    <xdr:col>22</xdr:col>
                    <xdr:colOff>182880</xdr:colOff>
                    <xdr:row>241</xdr:row>
                    <xdr:rowOff>182880</xdr:rowOff>
                  </to>
                </anchor>
              </controlPr>
            </control>
          </mc:Choice>
        </mc:AlternateContent>
        <mc:AlternateContent xmlns:mc="http://schemas.openxmlformats.org/markup-compatibility/2006">
          <mc:Choice Requires="x14">
            <control shapeId="7219" r:id="rId40" name="Check Box 51">
              <controlPr locked="0" defaultSize="0" autoFill="0" autoLine="0" autoPict="0">
                <anchor moveWithCells="1" sizeWithCells="1">
                  <from>
                    <xdr:col>22</xdr:col>
                    <xdr:colOff>0</xdr:colOff>
                    <xdr:row>243</xdr:row>
                    <xdr:rowOff>0</xdr:rowOff>
                  </from>
                  <to>
                    <xdr:col>22</xdr:col>
                    <xdr:colOff>182880</xdr:colOff>
                    <xdr:row>243</xdr:row>
                    <xdr:rowOff>182880</xdr:rowOff>
                  </to>
                </anchor>
              </controlPr>
            </control>
          </mc:Choice>
        </mc:AlternateContent>
        <mc:AlternateContent xmlns:mc="http://schemas.openxmlformats.org/markup-compatibility/2006">
          <mc:Choice Requires="x14">
            <control shapeId="7221" r:id="rId41" name="Check Box 53">
              <controlPr locked="0" defaultSize="0" autoFill="0" autoLine="0" autoPict="0">
                <anchor moveWithCells="1" sizeWithCells="1">
                  <from>
                    <xdr:col>22</xdr:col>
                    <xdr:colOff>0</xdr:colOff>
                    <xdr:row>257</xdr:row>
                    <xdr:rowOff>0</xdr:rowOff>
                  </from>
                  <to>
                    <xdr:col>22</xdr:col>
                    <xdr:colOff>182880</xdr:colOff>
                    <xdr:row>257</xdr:row>
                    <xdr:rowOff>182880</xdr:rowOff>
                  </to>
                </anchor>
              </controlPr>
            </control>
          </mc:Choice>
        </mc:AlternateContent>
        <mc:AlternateContent xmlns:mc="http://schemas.openxmlformats.org/markup-compatibility/2006">
          <mc:Choice Requires="x14">
            <control shapeId="7222" r:id="rId42" name="Check Box 54">
              <controlPr locked="0" defaultSize="0" autoFill="0" autoLine="0" autoPict="0">
                <anchor moveWithCells="1" sizeWithCells="1">
                  <from>
                    <xdr:col>22</xdr:col>
                    <xdr:colOff>0</xdr:colOff>
                    <xdr:row>258</xdr:row>
                    <xdr:rowOff>0</xdr:rowOff>
                  </from>
                  <to>
                    <xdr:col>22</xdr:col>
                    <xdr:colOff>182880</xdr:colOff>
                    <xdr:row>258</xdr:row>
                    <xdr:rowOff>182880</xdr:rowOff>
                  </to>
                </anchor>
              </controlPr>
            </control>
          </mc:Choice>
        </mc:AlternateContent>
        <mc:AlternateContent xmlns:mc="http://schemas.openxmlformats.org/markup-compatibility/2006">
          <mc:Choice Requires="x14">
            <control shapeId="7223" r:id="rId43" name="Check Box 55">
              <controlPr locked="0" defaultSize="0" autoFill="0" autoLine="0" autoPict="0">
                <anchor moveWithCells="1" sizeWithCells="1">
                  <from>
                    <xdr:col>22</xdr:col>
                    <xdr:colOff>0</xdr:colOff>
                    <xdr:row>263</xdr:row>
                    <xdr:rowOff>0</xdr:rowOff>
                  </from>
                  <to>
                    <xdr:col>22</xdr:col>
                    <xdr:colOff>182880</xdr:colOff>
                    <xdr:row>263</xdr:row>
                    <xdr:rowOff>182880</xdr:rowOff>
                  </to>
                </anchor>
              </controlPr>
            </control>
          </mc:Choice>
        </mc:AlternateContent>
        <mc:AlternateContent xmlns:mc="http://schemas.openxmlformats.org/markup-compatibility/2006">
          <mc:Choice Requires="x14">
            <control shapeId="7224" r:id="rId44" name="Check Box 56">
              <controlPr locked="0" defaultSize="0" autoFill="0" autoLine="0" autoPict="0">
                <anchor moveWithCells="1" sizeWithCells="1">
                  <from>
                    <xdr:col>22</xdr:col>
                    <xdr:colOff>0</xdr:colOff>
                    <xdr:row>268</xdr:row>
                    <xdr:rowOff>0</xdr:rowOff>
                  </from>
                  <to>
                    <xdr:col>22</xdr:col>
                    <xdr:colOff>182880</xdr:colOff>
                    <xdr:row>268</xdr:row>
                    <xdr:rowOff>182880</xdr:rowOff>
                  </to>
                </anchor>
              </controlPr>
            </control>
          </mc:Choice>
        </mc:AlternateContent>
        <mc:AlternateContent xmlns:mc="http://schemas.openxmlformats.org/markup-compatibility/2006">
          <mc:Choice Requires="x14">
            <control shapeId="7225" r:id="rId45" name="Check Box 57">
              <controlPr locked="0" defaultSize="0" autoFill="0" autoLine="0" autoPict="0">
                <anchor moveWithCells="1" sizeWithCells="1">
                  <from>
                    <xdr:col>22</xdr:col>
                    <xdr:colOff>0</xdr:colOff>
                    <xdr:row>272</xdr:row>
                    <xdr:rowOff>0</xdr:rowOff>
                  </from>
                  <to>
                    <xdr:col>22</xdr:col>
                    <xdr:colOff>182880</xdr:colOff>
                    <xdr:row>272</xdr:row>
                    <xdr:rowOff>182880</xdr:rowOff>
                  </to>
                </anchor>
              </controlPr>
            </control>
          </mc:Choice>
        </mc:AlternateContent>
        <mc:AlternateContent xmlns:mc="http://schemas.openxmlformats.org/markup-compatibility/2006">
          <mc:Choice Requires="x14">
            <control shapeId="7226" r:id="rId46" name="Check Box 58">
              <controlPr locked="0" defaultSize="0" autoFill="0" autoLine="0" autoPict="0">
                <anchor moveWithCells="1" sizeWithCells="1">
                  <from>
                    <xdr:col>22</xdr:col>
                    <xdr:colOff>0</xdr:colOff>
                    <xdr:row>277</xdr:row>
                    <xdr:rowOff>0</xdr:rowOff>
                  </from>
                  <to>
                    <xdr:col>22</xdr:col>
                    <xdr:colOff>182880</xdr:colOff>
                    <xdr:row>277</xdr:row>
                    <xdr:rowOff>182880</xdr:rowOff>
                  </to>
                </anchor>
              </controlPr>
            </control>
          </mc:Choice>
        </mc:AlternateContent>
        <mc:AlternateContent xmlns:mc="http://schemas.openxmlformats.org/markup-compatibility/2006">
          <mc:Choice Requires="x14">
            <control shapeId="7230" r:id="rId47" name="Check Box 62">
              <controlPr locked="0" defaultSize="0" autoFill="0" autoLine="0" autoPict="0">
                <anchor moveWithCells="1" sizeWithCells="1">
                  <from>
                    <xdr:col>22</xdr:col>
                    <xdr:colOff>0</xdr:colOff>
                    <xdr:row>133</xdr:row>
                    <xdr:rowOff>0</xdr:rowOff>
                  </from>
                  <to>
                    <xdr:col>22</xdr:col>
                    <xdr:colOff>182880</xdr:colOff>
                    <xdr:row>133</xdr:row>
                    <xdr:rowOff>182880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BI189"/>
  <sheetViews>
    <sheetView showGridLines="0" topLeftCell="H1" zoomScaleNormal="100" zoomScaleSheetLayoutView="80" workbookViewId="0">
      <pane ySplit="7" topLeftCell="A8" activePane="bottomLeft" state="frozen"/>
      <selection activeCell="G8" sqref="G8:J8"/>
      <selection pane="bottomLeft" activeCell="H9" sqref="H9"/>
    </sheetView>
  </sheetViews>
  <sheetFormatPr defaultColWidth="9.109375" defaultRowHeight="14.4" x14ac:dyDescent="0.3"/>
  <cols>
    <col min="1" max="1" width="9.109375" style="18" hidden="1" customWidth="1"/>
    <col min="2" max="2" width="7.33203125" style="18" hidden="1" customWidth="1"/>
    <col min="3" max="7" width="3.88671875" style="18" hidden="1" customWidth="1"/>
    <col min="8" max="8" width="3.88671875" style="18" customWidth="1"/>
    <col min="9" max="9" width="10.44140625" style="79" customWidth="1"/>
    <col min="10" max="11" width="3.88671875" style="79" customWidth="1"/>
    <col min="12" max="12" width="71.6640625" style="79" customWidth="1"/>
    <col min="13" max="13" width="13.5546875" style="69" customWidth="1"/>
    <col min="14" max="14" width="7.6640625" style="79" hidden="1" customWidth="1"/>
    <col min="15" max="15" width="7.6640625" style="79" customWidth="1"/>
    <col min="16" max="21" width="8.88671875" style="79" hidden="1" customWidth="1"/>
    <col min="22" max="22" width="3" style="79" hidden="1" customWidth="1"/>
    <col min="23" max="23" width="21.44140625" style="79" customWidth="1"/>
    <col min="24" max="24" width="69" style="79" customWidth="1"/>
    <col min="25" max="25" width="14.33203125" style="1107" hidden="1" customWidth="1"/>
    <col min="26" max="26" width="14.33203125" style="79" hidden="1" customWidth="1"/>
    <col min="27" max="27" width="14.33203125" style="1110" hidden="1" customWidth="1"/>
    <col min="28" max="61" width="14.33203125" style="79" hidden="1" customWidth="1"/>
    <col min="62" max="62" width="9.109375" style="79" customWidth="1"/>
    <col min="63" max="16384" width="9.109375" style="79"/>
  </cols>
  <sheetData>
    <row r="1" spans="1:61" x14ac:dyDescent="0.3">
      <c r="H1" s="1316" t="s">
        <v>4691</v>
      </c>
      <c r="I1" s="1285" t="str">
        <f ca="1">IF(OR(AG3,AI3),"Errors on page, no Level reached","Current Chapter level: "&amp;AG1&amp;"                                            Total Points: "&amp;AG2)</f>
        <v>Current Chapter level: Bronze                                            Total Points: 9</v>
      </c>
      <c r="J1" s="1285"/>
      <c r="K1" s="1285"/>
      <c r="L1" s="1285"/>
      <c r="M1" s="1317"/>
      <c r="N1" s="1317"/>
      <c r="O1" s="1317"/>
      <c r="P1" s="1317"/>
      <c r="Q1" s="1317"/>
      <c r="R1" s="1317"/>
      <c r="S1" s="1317"/>
      <c r="T1" s="1317"/>
      <c r="U1" s="1317"/>
      <c r="V1" s="1317"/>
      <c r="W1" s="1317"/>
      <c r="X1" s="1190" t="s">
        <v>4651</v>
      </c>
      <c r="AF1" s="78" t="s">
        <v>829</v>
      </c>
      <c r="AG1" s="417" t="str">
        <f ca="1">IF(OR(AG3,AI3),"None",Ch10Level)</f>
        <v>Bronze</v>
      </c>
    </row>
    <row r="2" spans="1:61" x14ac:dyDescent="0.3">
      <c r="H2" s="1316"/>
      <c r="I2" s="1286" t="str">
        <f>"Points away from:  Bronze: "&amp;MAX(Points!C20-Ch10Points,0)&amp;",  Silver: "&amp;MAX(Points!D20-Ch10Points,0)&amp;",  Gold: "&amp;MAX(Points!E20-Ch10Points,0)&amp;",  Emerald: "&amp;MAX(Points!F20-Ch10Points,0)</f>
        <v>Points away from:  Bronze: 0,  Silver: 1,  Gold: 2,  Emerald: 3</v>
      </c>
      <c r="J2" s="1286"/>
      <c r="K2" s="1286"/>
      <c r="L2" s="1286"/>
      <c r="M2" s="1317"/>
      <c r="N2" s="1317"/>
      <c r="O2" s="1317"/>
      <c r="P2" s="1317"/>
      <c r="Q2" s="1317"/>
      <c r="R2" s="1317"/>
      <c r="S2" s="1317"/>
      <c r="T2" s="1317"/>
      <c r="U2" s="1317"/>
      <c r="V2" s="1317"/>
      <c r="W2" s="1317"/>
      <c r="X2" s="1190" t="s">
        <v>3731</v>
      </c>
      <c r="AF2" s="78" t="s">
        <v>830</v>
      </c>
      <c r="AG2" s="79">
        <f ca="1">INDIRECT(AF2)</f>
        <v>9</v>
      </c>
      <c r="AH2" s="79" t="s">
        <v>832</v>
      </c>
      <c r="AI2" s="79">
        <f ca="1">INDIRECT(AH2)</f>
        <v>1</v>
      </c>
    </row>
    <row r="3" spans="1:61" x14ac:dyDescent="0.3">
      <c r="H3" s="1316"/>
      <c r="I3" s="1286" t="str">
        <f>"Add'l pts earned above:  Bronze: "&amp; MAX(0,Ch10Points-Points!C20) &amp;",  Silver: " &amp; MAX(0,Ch10Points-Points!D20) &amp;",  Gold: " &amp; MAX(0,Ch10Points-Points!E20) &amp;",  Emerald: " &amp; MAX(0,Ch10Points-Points!F20)</f>
        <v>Add'l pts earned above:  Bronze: 1,  Silver: 0,  Gold: 0,  Emerald: 0</v>
      </c>
      <c r="J3" s="1286"/>
      <c r="K3" s="1286"/>
      <c r="L3" s="1286"/>
      <c r="M3" s="1317"/>
      <c r="N3" s="1317"/>
      <c r="O3" s="1317"/>
      <c r="P3" s="1317"/>
      <c r="Q3" s="1317"/>
      <c r="R3" s="1317"/>
      <c r="S3" s="1317"/>
      <c r="T3" s="1317"/>
      <c r="U3" s="1317"/>
      <c r="V3" s="1317"/>
      <c r="W3" s="1317"/>
      <c r="X3" s="1190" t="s">
        <v>3730</v>
      </c>
      <c r="AF3" s="78" t="s">
        <v>831</v>
      </c>
      <c r="AG3" s="79" t="b">
        <f ca="1">OR(AE:AE)</f>
        <v>0</v>
      </c>
      <c r="AH3" s="78" t="s">
        <v>833</v>
      </c>
      <c r="AI3" s="79" t="b">
        <f>OR(AD:AD)</f>
        <v>0</v>
      </c>
    </row>
    <row r="4" spans="1:61" x14ac:dyDescent="0.3">
      <c r="H4" s="1316"/>
      <c r="I4" s="1297" t="str">
        <f>"Total Chapter Points needed for:  Bronze: "&amp;Points!C20&amp;",  Silver: "&amp;Points!D20&amp;",  Gold: "&amp;Points!E20&amp;",  Emerald: "&amp;Points!F20</f>
        <v>Total Chapter Points needed for:  Bronze: 8,  Silver: 10,  Gold: 11,  Emerald: 12</v>
      </c>
      <c r="J4" s="1298"/>
      <c r="K4" s="1298"/>
      <c r="L4" s="1299"/>
      <c r="M4" s="1317"/>
      <c r="N4" s="1317"/>
      <c r="O4" s="1317"/>
      <c r="P4" s="1317"/>
      <c r="Q4" s="1317"/>
      <c r="R4" s="1317"/>
      <c r="S4" s="1317"/>
      <c r="T4" s="1317"/>
      <c r="U4" s="1317"/>
      <c r="V4" s="1317"/>
      <c r="W4" s="1317"/>
      <c r="X4" s="1231" t="s">
        <v>4722</v>
      </c>
      <c r="AF4" s="78"/>
      <c r="AH4" s="78"/>
    </row>
    <row r="5" spans="1:61" ht="19.8" customHeight="1" x14ac:dyDescent="0.3">
      <c r="H5" s="1316"/>
      <c r="I5" s="1300" t="str">
        <f>"Revision Date:  "&amp;TEXT('Info &amp; Intro'!E7,"m/d/yyyy")</f>
        <v>Revision Date:  7/11/2019</v>
      </c>
      <c r="J5" s="1301"/>
      <c r="K5" s="1301"/>
      <c r="L5" s="1302"/>
      <c r="M5" s="1317"/>
      <c r="N5" s="1317"/>
      <c r="O5" s="1317"/>
      <c r="P5" s="1317"/>
      <c r="Q5" s="1317"/>
      <c r="R5" s="1317"/>
      <c r="S5" s="1317"/>
      <c r="T5" s="1317"/>
      <c r="U5" s="1317"/>
      <c r="V5" s="1317"/>
      <c r="W5" s="1317"/>
      <c r="X5" s="1231"/>
      <c r="AF5" s="78"/>
      <c r="AH5" s="78"/>
    </row>
    <row r="6" spans="1:61" x14ac:dyDescent="0.3">
      <c r="H6" s="1316"/>
      <c r="I6" s="1339" t="s">
        <v>261</v>
      </c>
      <c r="J6" s="1340"/>
      <c r="K6" s="1341"/>
      <c r="L6" s="1321" t="s">
        <v>1314</v>
      </c>
      <c r="M6" s="1321" t="s">
        <v>262</v>
      </c>
      <c r="N6" s="1321"/>
      <c r="O6" s="35" t="s">
        <v>338</v>
      </c>
      <c r="P6" s="1321" t="s">
        <v>4719</v>
      </c>
      <c r="Q6" s="1321" t="s">
        <v>329</v>
      </c>
      <c r="R6" s="1321" t="s">
        <v>263</v>
      </c>
      <c r="S6" s="1321" t="s">
        <v>264</v>
      </c>
      <c r="T6" s="1321" t="s">
        <v>0</v>
      </c>
      <c r="U6" s="1321" t="s">
        <v>4720</v>
      </c>
      <c r="V6" s="1321"/>
      <c r="W6" s="1321" t="s">
        <v>265</v>
      </c>
      <c r="X6" s="1287" t="s">
        <v>1</v>
      </c>
      <c r="AC6" s="77" t="s">
        <v>327</v>
      </c>
      <c r="AD6" s="77" t="s">
        <v>0</v>
      </c>
      <c r="AE6" s="77" t="s">
        <v>326</v>
      </c>
    </row>
    <row r="7" spans="1:61" x14ac:dyDescent="0.3">
      <c r="H7" s="1316"/>
      <c r="I7" s="1339"/>
      <c r="J7" s="1340"/>
      <c r="K7" s="1341"/>
      <c r="L7" s="1322"/>
      <c r="M7" s="1322"/>
      <c r="N7" s="1322"/>
      <c r="O7" s="35" t="s">
        <v>339</v>
      </c>
      <c r="P7" s="1322"/>
      <c r="Q7" s="1322"/>
      <c r="R7" s="1322"/>
      <c r="S7" s="1322"/>
      <c r="T7" s="1322"/>
      <c r="U7" s="1322"/>
      <c r="V7" s="1322"/>
      <c r="W7" s="1322"/>
      <c r="X7" s="1288"/>
      <c r="AC7" s="77" t="s">
        <v>327</v>
      </c>
      <c r="AD7" s="77" t="s">
        <v>0</v>
      </c>
      <c r="AE7" s="77" t="s">
        <v>326</v>
      </c>
    </row>
    <row r="8" spans="1:61" s="1077" customFormat="1" hidden="1" x14ac:dyDescent="0.3">
      <c r="A8" s="18"/>
      <c r="B8" s="18"/>
      <c r="C8" s="18"/>
      <c r="D8" s="18"/>
      <c r="E8" s="18"/>
      <c r="F8" s="18"/>
      <c r="G8" s="18"/>
      <c r="H8" s="18"/>
      <c r="I8" s="1079"/>
      <c r="J8" s="1079"/>
      <c r="K8" s="1079"/>
      <c r="L8" s="1078"/>
      <c r="M8" s="1078"/>
      <c r="N8" s="1078"/>
      <c r="O8" s="35"/>
      <c r="P8" s="1078"/>
      <c r="Q8" s="1078"/>
      <c r="R8" s="1078"/>
      <c r="S8" s="1078"/>
      <c r="T8" s="1078"/>
      <c r="U8" s="1078"/>
      <c r="V8" s="1078"/>
      <c r="W8" s="1078"/>
      <c r="X8" s="1079"/>
      <c r="Y8" s="1107"/>
      <c r="AA8" s="1110"/>
      <c r="AC8" s="1076"/>
      <c r="AD8" s="1076"/>
      <c r="AE8" s="1076"/>
    </row>
    <row r="9" spans="1:61" ht="18" x14ac:dyDescent="0.35">
      <c r="A9" s="18" t="s">
        <v>260</v>
      </c>
      <c r="B9" s="18" t="s">
        <v>260</v>
      </c>
      <c r="C9" s="18" t="s">
        <v>260</v>
      </c>
      <c r="D9" s="18" t="s">
        <v>260</v>
      </c>
      <c r="E9" s="18" t="s">
        <v>260</v>
      </c>
      <c r="F9" s="18" t="s">
        <v>260</v>
      </c>
      <c r="G9" s="18" t="s">
        <v>260</v>
      </c>
      <c r="H9" s="1086"/>
      <c r="I9" s="22" t="s">
        <v>3590</v>
      </c>
      <c r="J9" s="22"/>
      <c r="K9" s="22"/>
      <c r="L9" s="23"/>
      <c r="M9" s="24"/>
      <c r="N9" s="79" t="s">
        <v>260</v>
      </c>
      <c r="O9" s="24"/>
      <c r="P9" s="79" t="s">
        <v>260</v>
      </c>
      <c r="Q9" s="79" t="s">
        <v>260</v>
      </c>
      <c r="R9" s="79" t="s">
        <v>260</v>
      </c>
      <c r="S9" s="79" t="s">
        <v>260</v>
      </c>
      <c r="T9" s="79" t="s">
        <v>260</v>
      </c>
      <c r="U9" s="79" t="s">
        <v>260</v>
      </c>
      <c r="V9" s="79" t="s">
        <v>260</v>
      </c>
      <c r="W9" s="23"/>
      <c r="X9" s="23"/>
      <c r="Y9" s="1106" t="s">
        <v>260</v>
      </c>
      <c r="Z9" s="76" t="s">
        <v>260</v>
      </c>
      <c r="AA9" s="1108" t="s">
        <v>260</v>
      </c>
      <c r="AB9" s="1097" t="s">
        <v>260</v>
      </c>
      <c r="AC9" s="76" t="s">
        <v>260</v>
      </c>
      <c r="AD9" s="76" t="s">
        <v>260</v>
      </c>
      <c r="AE9" s="76" t="s">
        <v>260</v>
      </c>
      <c r="AF9" s="76" t="s">
        <v>260</v>
      </c>
      <c r="AG9" s="76" t="s">
        <v>260</v>
      </c>
      <c r="AH9" s="76" t="s">
        <v>260</v>
      </c>
      <c r="AI9" s="76" t="s">
        <v>260</v>
      </c>
      <c r="AJ9" s="76" t="s">
        <v>260</v>
      </c>
      <c r="AK9" s="76" t="s">
        <v>260</v>
      </c>
      <c r="AL9" s="76" t="s">
        <v>260</v>
      </c>
      <c r="AM9" s="76" t="s">
        <v>260</v>
      </c>
      <c r="AN9" s="76" t="s">
        <v>260</v>
      </c>
      <c r="AO9" s="76" t="s">
        <v>260</v>
      </c>
      <c r="AP9" s="76" t="s">
        <v>260</v>
      </c>
      <c r="AQ9" s="76" t="s">
        <v>260</v>
      </c>
      <c r="AR9" s="76" t="s">
        <v>260</v>
      </c>
      <c r="AS9" s="76" t="s">
        <v>260</v>
      </c>
      <c r="AT9" s="76" t="s">
        <v>260</v>
      </c>
      <c r="AU9" s="76" t="s">
        <v>260</v>
      </c>
      <c r="AV9" s="76" t="s">
        <v>260</v>
      </c>
      <c r="AW9" s="76" t="s">
        <v>260</v>
      </c>
      <c r="AX9" s="76" t="s">
        <v>260</v>
      </c>
      <c r="AY9" s="76" t="s">
        <v>260</v>
      </c>
      <c r="AZ9" s="76" t="s">
        <v>260</v>
      </c>
      <c r="BA9" s="76" t="s">
        <v>260</v>
      </c>
      <c r="BB9" s="76" t="s">
        <v>260</v>
      </c>
      <c r="BC9" s="76" t="s">
        <v>260</v>
      </c>
      <c r="BD9" s="76" t="s">
        <v>260</v>
      </c>
      <c r="BE9" s="76" t="s">
        <v>260</v>
      </c>
      <c r="BF9" s="76" t="s">
        <v>260</v>
      </c>
      <c r="BG9" s="76" t="s">
        <v>260</v>
      </c>
      <c r="BH9" s="76" t="s">
        <v>260</v>
      </c>
      <c r="BI9" s="1097" t="s">
        <v>260</v>
      </c>
    </row>
    <row r="10" spans="1:61" x14ac:dyDescent="0.3">
      <c r="B10" s="938" t="s">
        <v>4666</v>
      </c>
      <c r="C10" s="21"/>
      <c r="D10" s="21"/>
      <c r="E10" s="21"/>
      <c r="F10" s="21"/>
      <c r="G10" s="21"/>
      <c r="H10" s="1084"/>
      <c r="I10" s="268">
        <v>1001</v>
      </c>
      <c r="J10" s="140"/>
      <c r="K10" s="140"/>
      <c r="L10" s="1313" t="s">
        <v>3495</v>
      </c>
      <c r="M10" s="269"/>
      <c r="N10" s="97"/>
      <c r="O10" s="97"/>
      <c r="P10" s="97"/>
      <c r="Q10" s="97"/>
      <c r="R10" s="97"/>
      <c r="S10" s="97"/>
      <c r="T10" s="97"/>
      <c r="U10" s="97"/>
      <c r="V10" s="97"/>
      <c r="W10" s="97"/>
      <c r="X10" s="97"/>
      <c r="BI10" s="1101"/>
    </row>
    <row r="11" spans="1:61" ht="15" thickBot="1" x14ac:dyDescent="0.35">
      <c r="B11" s="938" t="s">
        <v>4666</v>
      </c>
      <c r="C11" s="21"/>
      <c r="D11" s="21"/>
      <c r="E11" s="21"/>
      <c r="F11" s="21"/>
      <c r="G11" s="21"/>
      <c r="H11" s="1084"/>
      <c r="I11" s="270"/>
      <c r="J11" s="270"/>
      <c r="K11" s="270"/>
      <c r="L11" s="1332"/>
      <c r="M11" s="271"/>
      <c r="N11" s="104"/>
      <c r="O11" s="104"/>
      <c r="P11" s="104"/>
      <c r="Q11" s="104"/>
      <c r="R11" s="104"/>
      <c r="S11" s="104"/>
      <c r="T11" s="104"/>
      <c r="U11" s="104"/>
      <c r="V11" s="104"/>
      <c r="W11" s="104"/>
      <c r="X11" s="104"/>
      <c r="AX11" s="78" t="str">
        <f>'Overview (Design)'!A8</f>
        <v>Builder Name:</v>
      </c>
      <c r="AY11" s="79" t="str">
        <f>'Overview (Design)'!G8</f>
        <v>ZERH Builder</v>
      </c>
      <c r="BI11" s="1101"/>
    </row>
    <row r="12" spans="1:61" ht="15" thickTop="1" x14ac:dyDescent="0.3">
      <c r="B12" s="938">
        <v>1001.1</v>
      </c>
      <c r="C12" s="21"/>
      <c r="D12" s="21"/>
      <c r="E12" s="21"/>
      <c r="F12" s="21"/>
      <c r="G12" s="21"/>
      <c r="H12" s="1084"/>
      <c r="I12" s="152">
        <v>1001.1</v>
      </c>
      <c r="J12" s="4"/>
      <c r="K12" s="4"/>
      <c r="L12" s="1292" t="s">
        <v>3496</v>
      </c>
      <c r="M12" s="1387" t="s">
        <v>3592</v>
      </c>
      <c r="N12" s="4"/>
      <c r="O12" s="1310">
        <f>MIN(IF(AND(COUNTIF(W15:W17,TRUE)=3,S15),ROUNDDOWN(COUNTIF(W21:W59,TRUE)/2,0),0),8)</f>
        <v>8</v>
      </c>
      <c r="AL12" s="311" t="str">
        <f>SUBSTITUTE(SUBSTITUTE(SUBSTITUTE("dpa"&amp;$B12&amp;$C12&amp;$D12&amp;$E12&amp;$F12,".","_"),"(","_"),")","")</f>
        <v>dpa1001_1</v>
      </c>
      <c r="AM12" s="311" t="str">
        <f>M12</f>
        <v>1
8 Max</v>
      </c>
      <c r="AN12" s="311" t="str">
        <f>SUBSTITUTE(SUBSTITUTE(SUBSTITUTE("dpc"&amp;$B12&amp;$C12&amp;$D12&amp;$E12&amp;$F12,".","_"),"(","_"),")","")</f>
        <v>dpc1001_1</v>
      </c>
      <c r="AO12" s="311">
        <f>O12</f>
        <v>8</v>
      </c>
      <c r="AX12" s="78" t="str">
        <f>'Overview (Design)'!A9</f>
        <v>Physical Address of Home:</v>
      </c>
      <c r="AY12" s="79" t="str">
        <f>'Overview (Design)'!G9</f>
        <v>123 Main Sts</v>
      </c>
      <c r="BI12" s="1101"/>
    </row>
    <row r="13" spans="1:61" x14ac:dyDescent="0.3">
      <c r="B13" s="938">
        <v>1001.1</v>
      </c>
      <c r="C13" s="21"/>
      <c r="D13" s="21"/>
      <c r="E13" s="21"/>
      <c r="F13" s="21"/>
      <c r="G13" s="21"/>
      <c r="H13" s="1084"/>
      <c r="I13" s="4"/>
      <c r="J13" s="4"/>
      <c r="K13" s="4"/>
      <c r="L13" s="1292"/>
      <c r="M13" s="1387"/>
      <c r="N13" s="4"/>
      <c r="O13" s="1310"/>
      <c r="AL13" s="311"/>
      <c r="AM13" s="311"/>
      <c r="AN13" s="311"/>
      <c r="AO13" s="311"/>
      <c r="AP13" s="311"/>
      <c r="AQ13" s="311"/>
      <c r="AR13" s="311"/>
      <c r="AS13" s="311"/>
      <c r="AX13" s="78" t="str">
        <f>'Overview (Design)'!A10</f>
        <v>Community/Lot #:</v>
      </c>
      <c r="AY13" s="79" t="str">
        <f>'Overview (Design)'!G10</f>
        <v>Lot 123</v>
      </c>
      <c r="BI13" s="1101"/>
    </row>
    <row r="14" spans="1:61" x14ac:dyDescent="0.3">
      <c r="B14" s="938">
        <v>1001.1</v>
      </c>
      <c r="C14" s="21"/>
      <c r="D14" s="21"/>
      <c r="E14" s="21"/>
      <c r="F14" s="21"/>
      <c r="G14" s="21"/>
      <c r="H14" s="1084"/>
      <c r="I14" s="4"/>
      <c r="J14" s="4"/>
      <c r="K14" s="4"/>
      <c r="L14" s="253" t="s">
        <v>3589</v>
      </c>
      <c r="M14" s="1387"/>
      <c r="N14" s="4"/>
      <c r="O14" s="1310"/>
      <c r="AX14" s="78" t="str">
        <f>'Overview (Design)'!A11</f>
        <v>City:</v>
      </c>
      <c r="AY14" s="79" t="str">
        <f>'Overview (Design)'!G11</f>
        <v>Durham</v>
      </c>
      <c r="BI14" s="1101"/>
    </row>
    <row r="15" spans="1:61" x14ac:dyDescent="0.3">
      <c r="B15" s="938">
        <v>1001.1</v>
      </c>
      <c r="C15" s="21"/>
      <c r="D15" s="21"/>
      <c r="E15" s="21" t="s">
        <v>271</v>
      </c>
      <c r="F15" s="21"/>
      <c r="G15" s="21"/>
      <c r="H15" s="1084"/>
      <c r="I15" s="4"/>
      <c r="J15" s="231" t="s">
        <v>271</v>
      </c>
      <c r="K15" s="238"/>
      <c r="L15" s="1071" t="s">
        <v>3497</v>
      </c>
      <c r="M15" s="1090" t="str">
        <f t="shared" ref="M15:M20" si="0">IF(R15,"Mandatory","N/A")</f>
        <v>Mandatory</v>
      </c>
      <c r="N15" s="4"/>
      <c r="O15" s="154"/>
      <c r="P15" s="79" t="b">
        <v>0</v>
      </c>
      <c r="Q15" s="79" t="b">
        <v>1</v>
      </c>
      <c r="R15" s="187" t="b">
        <f>S15</f>
        <v>1</v>
      </c>
      <c r="S15" s="187" t="b">
        <f>IF(AY19=INDEX(ddSingleOrMulti,1),TRUE,FALSE)</f>
        <v>1</v>
      </c>
      <c r="T15" s="97" t="b">
        <f>AND(NOT(S15),W15=TRUE)</f>
        <v>0</v>
      </c>
      <c r="W15" s="25" t="b">
        <v>1</v>
      </c>
      <c r="X15" s="188"/>
      <c r="AC15" s="187" t="b">
        <f>OR(AD15:AE15)</f>
        <v>0</v>
      </c>
      <c r="AD15" s="187" t="b">
        <f>T15</f>
        <v>0</v>
      </c>
      <c r="AE15" s="187" t="b">
        <f>AND(R15,NOT(W15=TRUE))</f>
        <v>0</v>
      </c>
      <c r="AL15" s="311" t="str">
        <f t="shared" ref="AL15:AL17" si="1">SUBSTITUTE(SUBSTITUTE(SUBSTITUTE("dpa"&amp;$B15&amp;$C15&amp;$D15&amp;$E15&amp;$F15,".","_"),"(","_"),")","")</f>
        <v>dpa1001_1_1</v>
      </c>
      <c r="AM15" s="311" t="str">
        <f>M15</f>
        <v>Mandatory</v>
      </c>
      <c r="AN15" s="311"/>
      <c r="AO15" s="311"/>
      <c r="AP15" s="311" t="str">
        <f t="shared" ref="AP15:AP17" si="2">SUBSTITUTE(SUBSTITUTE(SUBSTITUTE("dch"&amp;$B15&amp;$C15&amp;$D15&amp;$E15&amp;$F15,".","_"),"(","_"),")","")</f>
        <v>dch1001_1_1</v>
      </c>
      <c r="AQ15" s="311" t="b">
        <f>W15</f>
        <v>1</v>
      </c>
      <c r="AR15" s="311" t="str">
        <f>SUBSTITUTE(SUBSTITUTE(SUBSTITUTE("dnt"&amp;$B15&amp;$C15&amp;$D15&amp;$E15&amp;$F15,".","_"),"(","_"),")","")</f>
        <v>dnt1001_1_1</v>
      </c>
      <c r="AS15" s="311">
        <f>X15</f>
        <v>0</v>
      </c>
      <c r="AX15" s="78" t="str">
        <f>'Overview (Design)'!A12</f>
        <v>State:</v>
      </c>
      <c r="AY15" s="79" t="str">
        <f>'Overview (Design)'!G12</f>
        <v>North Carolina</v>
      </c>
      <c r="BC15" s="79" t="str">
        <f>'Overview (Design)'!K12</f>
        <v>State</v>
      </c>
      <c r="BD15" s="79" t="str">
        <f>'Overview (Design)'!L12</f>
        <v>County</v>
      </c>
      <c r="BE15" s="79" t="str">
        <f>'Overview (Design)'!M12</f>
        <v>Radon</v>
      </c>
      <c r="BF15" s="79" t="str">
        <f>'Overview (Design)'!N12</f>
        <v>Climate</v>
      </c>
      <c r="BG15" s="79" t="str">
        <f>'Overview (Design)'!O12</f>
        <v>Moist</v>
      </c>
      <c r="BH15" s="79" t="str">
        <f>'Overview (Design)'!P12</f>
        <v>WarmHumid</v>
      </c>
      <c r="BI15" s="1101" t="str">
        <f>'Overview (Design)'!Q12</f>
        <v>Tropical</v>
      </c>
    </row>
    <row r="16" spans="1:61" x14ac:dyDescent="0.3">
      <c r="B16" s="938">
        <v>1001.1</v>
      </c>
      <c r="C16" s="21"/>
      <c r="D16" s="21"/>
      <c r="E16" s="21" t="s">
        <v>273</v>
      </c>
      <c r="F16" s="21"/>
      <c r="G16" s="21"/>
      <c r="H16" s="1084"/>
      <c r="I16" s="4"/>
      <c r="J16" s="233" t="s">
        <v>273</v>
      </c>
      <c r="K16" s="274"/>
      <c r="L16" s="365" t="s">
        <v>3498</v>
      </c>
      <c r="M16" s="1091" t="str">
        <f t="shared" si="0"/>
        <v>Mandatory</v>
      </c>
      <c r="N16" s="4"/>
      <c r="O16" s="154"/>
      <c r="P16" s="789" t="b">
        <v>0</v>
      </c>
      <c r="Q16" s="789" t="b">
        <v>1</v>
      </c>
      <c r="R16" s="187" t="b">
        <f>S16</f>
        <v>1</v>
      </c>
      <c r="S16" s="187" t="b">
        <f>IF(AY19=INDEX(ddSingleOrMulti,1),TRUE,FALSE)</f>
        <v>1</v>
      </c>
      <c r="T16" s="97" t="b">
        <f>AND(NOT(S16),W16=TRUE)</f>
        <v>0</v>
      </c>
      <c r="W16" s="25" t="b">
        <v>1</v>
      </c>
      <c r="X16" s="188"/>
      <c r="AC16" s="187" t="b">
        <f>OR(AD16:AE16)</f>
        <v>0</v>
      </c>
      <c r="AD16" s="187" t="b">
        <f>T16</f>
        <v>0</v>
      </c>
      <c r="AE16" s="187" t="b">
        <f>AND(R16,NOT(W16=TRUE))</f>
        <v>0</v>
      </c>
      <c r="AL16" s="311" t="str">
        <f t="shared" si="1"/>
        <v>dpa1001_1_2</v>
      </c>
      <c r="AM16" s="311" t="str">
        <f>M16</f>
        <v>Mandatory</v>
      </c>
      <c r="AP16" s="311" t="str">
        <f t="shared" si="2"/>
        <v>dch1001_1_2</v>
      </c>
      <c r="AQ16" s="311" t="b">
        <f>W16</f>
        <v>1</v>
      </c>
      <c r="AR16" s="311" t="str">
        <f>SUBSTITUTE(SUBSTITUTE(SUBSTITUTE("dnt"&amp;$B16&amp;$C16&amp;$D16&amp;$E16&amp;$F16,".","_"),"(","_"),")","")</f>
        <v>dnt1001_1_2</v>
      </c>
      <c r="AS16" s="311">
        <f>X16</f>
        <v>0</v>
      </c>
      <c r="AX16" s="78" t="str">
        <f>'Overview (Design)'!A13</f>
        <v>County:</v>
      </c>
      <c r="AY16" s="79" t="str">
        <f>'Overview (Design)'!G13</f>
        <v xml:space="preserve">Chatham  </v>
      </c>
      <c r="BC16" s="79" t="str">
        <f>'Overview (Design)'!K13</f>
        <v>North Carolina</v>
      </c>
      <c r="BD16" s="79" t="str">
        <f>'Overview (Design)'!L13</f>
        <v xml:space="preserve">Chatham  </v>
      </c>
      <c r="BE16" s="79">
        <f>'Overview (Design)'!M13</f>
        <v>3</v>
      </c>
      <c r="BF16" s="79">
        <f>'Overview (Design)'!N13</f>
        <v>4</v>
      </c>
      <c r="BG16" s="79" t="str">
        <f>'Overview (Design)'!O13</f>
        <v>Moist</v>
      </c>
      <c r="BH16" s="79" t="str">
        <f>'Overview (Design)'!P13</f>
        <v xml:space="preserve"> </v>
      </c>
      <c r="BI16" s="1101" t="str">
        <f>'Overview (Design)'!Q13</f>
        <v xml:space="preserve"> </v>
      </c>
    </row>
    <row r="17" spans="1:51" x14ac:dyDescent="0.3">
      <c r="B17" s="938">
        <v>1001.1</v>
      </c>
      <c r="C17" s="21"/>
      <c r="D17" s="21"/>
      <c r="E17" s="21" t="s">
        <v>275</v>
      </c>
      <c r="F17" s="21"/>
      <c r="G17" s="21"/>
      <c r="H17" s="1084"/>
      <c r="I17" s="4"/>
      <c r="J17" s="237" t="s">
        <v>275</v>
      </c>
      <c r="K17" s="216"/>
      <c r="L17" s="1356" t="s">
        <v>3499</v>
      </c>
      <c r="M17" s="1388" t="str">
        <f t="shared" si="0"/>
        <v>Mandatory</v>
      </c>
      <c r="N17" s="4"/>
      <c r="O17" s="154"/>
      <c r="P17" s="789" t="b">
        <v>0</v>
      </c>
      <c r="Q17" s="789" t="b">
        <v>1</v>
      </c>
      <c r="R17" s="187" t="b">
        <f>S17</f>
        <v>1</v>
      </c>
      <c r="S17" s="187" t="b">
        <f>IF(AY19=INDEX(ddSingleOrMulti,1),TRUE,FALSE)</f>
        <v>1</v>
      </c>
      <c r="T17" s="97" t="b">
        <f>AND(NOT(S17),W17=TRUE)</f>
        <v>0</v>
      </c>
      <c r="W17" s="25" t="b">
        <v>1</v>
      </c>
      <c r="X17" s="1337"/>
      <c r="AC17" s="187" t="b">
        <f>OR(AD17:AE17)</f>
        <v>0</v>
      </c>
      <c r="AD17" s="187" t="b">
        <f>T17</f>
        <v>0</v>
      </c>
      <c r="AE17" s="187" t="b">
        <f>AND(R17,NOT(W17=TRUE))</f>
        <v>0</v>
      </c>
      <c r="AL17" s="311" t="str">
        <f t="shared" si="1"/>
        <v>dpa1001_1_3</v>
      </c>
      <c r="AM17" s="311" t="str">
        <f>M17</f>
        <v>Mandatory</v>
      </c>
      <c r="AP17" s="311" t="str">
        <f t="shared" si="2"/>
        <v>dch1001_1_3</v>
      </c>
      <c r="AQ17" s="311" t="b">
        <f>W17</f>
        <v>1</v>
      </c>
      <c r="AR17" s="311" t="str">
        <f>SUBSTITUTE(SUBSTITUTE(SUBSTITUTE("dnt"&amp;$B17&amp;$C17&amp;$D17&amp;$E17&amp;$F17,".","_"),"(","_"),")","")</f>
        <v>dnt1001_1_3</v>
      </c>
      <c r="AS17" s="311">
        <f>X17</f>
        <v>0</v>
      </c>
      <c r="AX17" s="78" t="str">
        <f>'Overview (Design)'!A14</f>
        <v>Zip:</v>
      </c>
      <c r="AY17" s="79" t="str">
        <f>'Overview (Design)'!G14</f>
        <v>27703</v>
      </c>
    </row>
    <row r="18" spans="1:51" x14ac:dyDescent="0.3">
      <c r="B18" s="938">
        <v>1001.1</v>
      </c>
      <c r="C18" s="21"/>
      <c r="D18" s="21"/>
      <c r="E18" s="21" t="s">
        <v>275</v>
      </c>
      <c r="F18" s="21"/>
      <c r="G18" s="21"/>
      <c r="H18" s="1084"/>
      <c r="I18" s="4"/>
      <c r="J18" s="203"/>
      <c r="K18" s="140"/>
      <c r="L18" s="1305"/>
      <c r="M18" s="1351" t="str">
        <f t="shared" si="0"/>
        <v>N/A</v>
      </c>
      <c r="N18" s="4"/>
      <c r="O18" s="154"/>
      <c r="X18" s="1312"/>
      <c r="AX18" s="78"/>
    </row>
    <row r="19" spans="1:51" x14ac:dyDescent="0.3">
      <c r="B19" s="938">
        <v>1001.1</v>
      </c>
      <c r="C19" s="21"/>
      <c r="D19" s="21"/>
      <c r="E19" s="21" t="s">
        <v>275</v>
      </c>
      <c r="F19" s="21"/>
      <c r="G19" s="21"/>
      <c r="H19" s="1084"/>
      <c r="I19" s="4"/>
      <c r="J19" s="203"/>
      <c r="K19" s="140"/>
      <c r="L19" s="1305"/>
      <c r="M19" s="1351" t="str">
        <f t="shared" si="0"/>
        <v>N/A</v>
      </c>
      <c r="N19" s="4"/>
      <c r="O19" s="154"/>
      <c r="X19" s="1312"/>
      <c r="AX19" s="78" t="str">
        <f>'Overview (Design)'!A16</f>
        <v>Single-Family or Multifamily:</v>
      </c>
      <c r="AY19" s="79" t="str">
        <f>'Overview (Design)'!G16</f>
        <v>Single-Family</v>
      </c>
    </row>
    <row r="20" spans="1:51" x14ac:dyDescent="0.3">
      <c r="B20" s="938">
        <v>1001.1</v>
      </c>
      <c r="C20" s="21"/>
      <c r="D20" s="21"/>
      <c r="E20" s="21" t="s">
        <v>275</v>
      </c>
      <c r="F20" s="21"/>
      <c r="G20" s="21"/>
      <c r="H20" s="1084"/>
      <c r="I20" s="4"/>
      <c r="J20" s="231"/>
      <c r="K20" s="238"/>
      <c r="L20" s="1306"/>
      <c r="M20" s="1352" t="str">
        <f t="shared" si="0"/>
        <v>N/A</v>
      </c>
      <c r="N20" s="4"/>
      <c r="O20" s="154"/>
      <c r="X20" s="1304"/>
      <c r="AX20" s="78" t="str">
        <f>'Overview (Design)'!A17</f>
        <v>Number of Units:</v>
      </c>
      <c r="AY20" s="79">
        <f>'Overview (Design)'!G17</f>
        <v>0</v>
      </c>
    </row>
    <row r="21" spans="1:51" x14ac:dyDescent="0.3">
      <c r="B21" s="938">
        <v>1001.1</v>
      </c>
      <c r="C21" s="21"/>
      <c r="D21" s="21"/>
      <c r="E21" s="21" t="s">
        <v>285</v>
      </c>
      <c r="F21" s="21"/>
      <c r="G21" s="21"/>
      <c r="H21" s="1084"/>
      <c r="I21" s="4"/>
      <c r="J21" s="233" t="s">
        <v>285</v>
      </c>
      <c r="K21" s="274"/>
      <c r="L21" s="365" t="s">
        <v>3500</v>
      </c>
      <c r="M21" s="154"/>
      <c r="N21" s="4"/>
      <c r="O21" s="154"/>
      <c r="P21" s="789" t="b">
        <v>0</v>
      </c>
      <c r="Q21" s="789" t="b">
        <v>1</v>
      </c>
      <c r="R21" s="187" t="b">
        <v>0</v>
      </c>
      <c r="S21" s="187" t="b">
        <f>IF(AY19=INDEX(ddSingleOrMulti,1),TRUE,FALSE)</f>
        <v>1</v>
      </c>
      <c r="T21" s="97" t="b">
        <f>AND(NOT(S21),W21=TRUE)</f>
        <v>0</v>
      </c>
      <c r="W21" s="25" t="b">
        <v>1</v>
      </c>
      <c r="X21" s="188"/>
      <c r="AC21" s="187" t="b">
        <f>OR(AD21:AE21)</f>
        <v>0</v>
      </c>
      <c r="AD21" s="187" t="b">
        <f>T21</f>
        <v>0</v>
      </c>
      <c r="AP21" s="311" t="str">
        <f t="shared" ref="AP21:AP23" si="3">SUBSTITUTE(SUBSTITUTE(SUBSTITUTE("dch"&amp;$B21&amp;$C21&amp;$D21&amp;$E21&amp;$F21,".","_"),"(","_"),")","")</f>
        <v>dch1001_1_4</v>
      </c>
      <c r="AQ21" s="311" t="b">
        <f>W21</f>
        <v>1</v>
      </c>
      <c r="AR21" s="311" t="str">
        <f>SUBSTITUTE(SUBSTITUTE(SUBSTITUTE("dnt"&amp;$B21&amp;$C21&amp;$D21&amp;$E21&amp;$F21,".","_"),"(","_"),")","")</f>
        <v>dnt1001_1_4</v>
      </c>
      <c r="AS21" s="311">
        <f>X21</f>
        <v>0</v>
      </c>
      <c r="AX21" s="78" t="str">
        <f>'Overview (Design)'!A18</f>
        <v>Project Name:</v>
      </c>
      <c r="AY21" s="79">
        <f>'Overview (Design)'!G18</f>
        <v>0</v>
      </c>
    </row>
    <row r="22" spans="1:51" x14ac:dyDescent="0.3">
      <c r="B22" s="938">
        <v>1001.1</v>
      </c>
      <c r="C22" s="21"/>
      <c r="D22" s="21"/>
      <c r="E22" s="21" t="s">
        <v>291</v>
      </c>
      <c r="F22" s="21"/>
      <c r="G22" s="21"/>
      <c r="H22" s="1084"/>
      <c r="I22" s="4"/>
      <c r="J22" s="233" t="s">
        <v>291</v>
      </c>
      <c r="K22" s="274"/>
      <c r="L22" s="365" t="s">
        <v>3501</v>
      </c>
      <c r="M22" s="154"/>
      <c r="N22" s="4"/>
      <c r="O22" s="154"/>
      <c r="P22" s="789" t="b">
        <v>0</v>
      </c>
      <c r="Q22" s="789" t="b">
        <v>1</v>
      </c>
      <c r="R22" s="187" t="b">
        <v>0</v>
      </c>
      <c r="S22" s="187" t="b">
        <f>IF(AY19=INDEX(ddSingleOrMulti,1),TRUE,FALSE)</f>
        <v>1</v>
      </c>
      <c r="T22" s="97" t="b">
        <f>AND(NOT(S22),W22=TRUE)</f>
        <v>0</v>
      </c>
      <c r="W22" s="25" t="b">
        <v>1</v>
      </c>
      <c r="X22" s="188"/>
      <c r="AC22" s="187" t="b">
        <f>OR(AD22:AE22)</f>
        <v>0</v>
      </c>
      <c r="AD22" s="187" t="b">
        <f>T22</f>
        <v>0</v>
      </c>
      <c r="AP22" s="311" t="str">
        <f t="shared" si="3"/>
        <v>dch1001_1_5</v>
      </c>
      <c r="AQ22" s="311" t="b">
        <f>W22</f>
        <v>1</v>
      </c>
      <c r="AR22" s="311" t="str">
        <f>SUBSTITUTE(SUBSTITUTE(SUBSTITUTE("dnt"&amp;$B22&amp;$C22&amp;$D22&amp;$E22&amp;$F22,".","_"),"(","_"),")","")</f>
        <v>dnt1001_1_5</v>
      </c>
      <c r="AS22" s="311">
        <f>X22</f>
        <v>0</v>
      </c>
      <c r="AX22" s="78"/>
    </row>
    <row r="23" spans="1:51" x14ac:dyDescent="0.3">
      <c r="B23" s="938">
        <v>1001.1</v>
      </c>
      <c r="C23" s="21"/>
      <c r="D23" s="21"/>
      <c r="E23" s="21" t="s">
        <v>293</v>
      </c>
      <c r="F23" s="21"/>
      <c r="G23" s="21"/>
      <c r="H23" s="1084"/>
      <c r="I23" s="4"/>
      <c r="J23" s="237" t="s">
        <v>293</v>
      </c>
      <c r="K23" s="216"/>
      <c r="L23" s="1356" t="s">
        <v>3502</v>
      </c>
      <c r="M23" s="154"/>
      <c r="N23" s="4"/>
      <c r="O23" s="154"/>
      <c r="P23" s="789" t="b">
        <v>0</v>
      </c>
      <c r="Q23" s="789" t="b">
        <v>1</v>
      </c>
      <c r="R23" s="187" t="b">
        <v>0</v>
      </c>
      <c r="S23" s="187" t="b">
        <f>IF(AY19=INDEX(ddSingleOrMulti,1),TRUE,FALSE)</f>
        <v>1</v>
      </c>
      <c r="T23" s="97" t="b">
        <f>AND(NOT(S23),W23=TRUE)</f>
        <v>0</v>
      </c>
      <c r="W23" s="25" t="b">
        <v>1</v>
      </c>
      <c r="X23" s="1303"/>
      <c r="AC23" s="187" t="b">
        <f>OR(AD23:AE23)</f>
        <v>0</v>
      </c>
      <c r="AD23" s="187" t="b">
        <f>T23</f>
        <v>0</v>
      </c>
      <c r="AP23" s="311" t="str">
        <f t="shared" si="3"/>
        <v>dch1001_1_6</v>
      </c>
      <c r="AQ23" s="311" t="b">
        <f>W23</f>
        <v>1</v>
      </c>
      <c r="AR23" s="311" t="str">
        <f>SUBSTITUTE(SUBSTITUTE(SUBSTITUTE("dnt"&amp;$B23&amp;$C23&amp;$D23&amp;$E23&amp;$F23,".","_"),"(","_"),")","")</f>
        <v>dnt1001_1_6</v>
      </c>
      <c r="AS23" s="311">
        <f>X23</f>
        <v>0</v>
      </c>
      <c r="AX23" s="78" t="str">
        <f>'Overview (Design)'!A20</f>
        <v>Above grade plane finished floor area:</v>
      </c>
      <c r="AY23" s="79">
        <f>'Overview (Design)'!G20</f>
        <v>2650</v>
      </c>
    </row>
    <row r="24" spans="1:51" x14ac:dyDescent="0.3">
      <c r="B24" s="938">
        <v>1001.1</v>
      </c>
      <c r="C24" s="21"/>
      <c r="D24" s="21"/>
      <c r="E24" s="21" t="s">
        <v>293</v>
      </c>
      <c r="F24" s="21"/>
      <c r="G24" s="21"/>
      <c r="H24" s="1084"/>
      <c r="I24" s="4"/>
      <c r="J24" s="231"/>
      <c r="K24" s="238"/>
      <c r="L24" s="1306"/>
      <c r="M24" s="154"/>
      <c r="N24" s="4"/>
      <c r="O24" s="154"/>
      <c r="X24" s="1303"/>
      <c r="AX24" s="78" t="str">
        <f>'Overview (Design)'!A21</f>
        <v>Total conditioned floor area:</v>
      </c>
      <c r="AY24" s="79">
        <f>'Overview (Design)'!G21</f>
        <v>2650</v>
      </c>
    </row>
    <row r="25" spans="1:51" x14ac:dyDescent="0.3">
      <c r="B25" s="938">
        <v>1001.1</v>
      </c>
      <c r="C25" s="21"/>
      <c r="D25" s="21"/>
      <c r="E25" s="21" t="s">
        <v>405</v>
      </c>
      <c r="F25" s="21"/>
      <c r="G25" s="21"/>
      <c r="H25" s="1084"/>
      <c r="I25" s="4"/>
      <c r="J25" s="237" t="s">
        <v>405</v>
      </c>
      <c r="K25" s="216"/>
      <c r="L25" s="1356" t="s">
        <v>3503</v>
      </c>
      <c r="M25" s="154"/>
      <c r="N25" s="4"/>
      <c r="O25" s="154"/>
      <c r="P25" s="789" t="b">
        <v>0</v>
      </c>
      <c r="Q25" s="789" t="b">
        <v>1</v>
      </c>
      <c r="R25" s="187" t="b">
        <v>0</v>
      </c>
      <c r="S25" s="187" t="b">
        <f>IF(AY19=INDEX(ddSingleOrMulti,1),TRUE,FALSE)</f>
        <v>1</v>
      </c>
      <c r="T25" s="97" t="b">
        <f>AND(NOT(S25),W25=TRUE)</f>
        <v>0</v>
      </c>
      <c r="W25" s="25" t="b">
        <v>1</v>
      </c>
      <c r="X25" s="1303"/>
      <c r="AC25" s="187" t="b">
        <f>OR(AD25:AE25)</f>
        <v>0</v>
      </c>
      <c r="AD25" s="187" t="b">
        <f>T25</f>
        <v>0</v>
      </c>
      <c r="AP25" s="311" t="str">
        <f>SUBSTITUTE(SUBSTITUTE(SUBSTITUTE("dch"&amp;$B25&amp;$C25&amp;$D25&amp;$E25&amp;$F25,".","_"),"(","_"),")","")</f>
        <v>dch1001_1_7</v>
      </c>
      <c r="AQ25" s="311" t="b">
        <f>W25</f>
        <v>1</v>
      </c>
      <c r="AR25" s="311" t="str">
        <f>SUBSTITUTE(SUBSTITUTE(SUBSTITUTE("dnt"&amp;$B25&amp;$C25&amp;$D25&amp;$E25&amp;$F25,".","_"),"(","_"),")","")</f>
        <v>dnt1001_1_7</v>
      </c>
      <c r="AS25" s="311">
        <f>X25</f>
        <v>0</v>
      </c>
      <c r="AX25" s="535" t="str">
        <f>'Overview (Design)'!A22</f>
        <v>Stories above grade:</v>
      </c>
      <c r="AY25" s="536">
        <f>'Overview (Design)'!G22</f>
        <v>2</v>
      </c>
    </row>
    <row r="26" spans="1:51" x14ac:dyDescent="0.3">
      <c r="B26" s="938">
        <v>1001.1</v>
      </c>
      <c r="C26" s="21"/>
      <c r="D26" s="21"/>
      <c r="E26" s="21" t="s">
        <v>405</v>
      </c>
      <c r="F26" s="21"/>
      <c r="G26" s="21"/>
      <c r="H26" s="1084"/>
      <c r="I26" s="4"/>
      <c r="J26" s="231"/>
      <c r="K26" s="238"/>
      <c r="L26" s="1306"/>
      <c r="M26" s="154"/>
      <c r="N26" s="4"/>
      <c r="O26" s="154"/>
      <c r="X26" s="1303"/>
    </row>
    <row r="27" spans="1:51" x14ac:dyDescent="0.3">
      <c r="B27" s="938">
        <v>1001.1</v>
      </c>
      <c r="C27" s="21"/>
      <c r="D27" s="21"/>
      <c r="E27" s="21" t="s">
        <v>456</v>
      </c>
      <c r="F27" s="21"/>
      <c r="G27" s="21"/>
      <c r="H27" s="1084"/>
      <c r="I27" s="4"/>
      <c r="J27" s="233" t="s">
        <v>456</v>
      </c>
      <c r="K27" s="274"/>
      <c r="L27" s="365" t="s">
        <v>3504</v>
      </c>
      <c r="M27" s="154"/>
      <c r="N27" s="4"/>
      <c r="O27" s="154"/>
      <c r="P27" s="789" t="b">
        <v>0</v>
      </c>
      <c r="Q27" s="789" t="b">
        <v>1</v>
      </c>
      <c r="R27" s="187" t="b">
        <v>0</v>
      </c>
      <c r="S27" s="187" t="b">
        <f>IF(AY19=INDEX(ddSingleOrMulti,1),TRUE,FALSE)</f>
        <v>1</v>
      </c>
      <c r="T27" s="97" t="b">
        <f>AND(NOT(S27),W27=TRUE)</f>
        <v>0</v>
      </c>
      <c r="W27" s="25" t="b">
        <v>1</v>
      </c>
      <c r="X27" s="188"/>
      <c r="AC27" s="187" t="b">
        <f>OR(AD27:AE27)</f>
        <v>0</v>
      </c>
      <c r="AD27" s="187" t="b">
        <f>T27</f>
        <v>0</v>
      </c>
      <c r="AP27" s="311" t="str">
        <f t="shared" ref="AP27:AP32" si="4">SUBSTITUTE(SUBSTITUTE(SUBSTITUTE("dch"&amp;$B27&amp;$C27&amp;$D27&amp;$E27&amp;$F27,".","_"),"(","_"),")","")</f>
        <v>dch1001_1_8</v>
      </c>
      <c r="AQ27" s="311" t="b">
        <f>W27</f>
        <v>1</v>
      </c>
      <c r="AR27" s="311" t="str">
        <f>SUBSTITUTE(SUBSTITUTE(SUBSTITUTE("dnt"&amp;$B27&amp;$C27&amp;$D27&amp;$E27&amp;$F27,".","_"),"(","_"),")","")</f>
        <v>dnt1001_1_8</v>
      </c>
      <c r="AS27" s="311">
        <f>X27</f>
        <v>0</v>
      </c>
      <c r="AX27" s="78" t="str">
        <f>'Overview (Design)'!A24</f>
        <v xml:space="preserve">Project Description (optional): </v>
      </c>
      <c r="AY27" s="79">
        <f>'Overview (Design)'!G24</f>
        <v>0</v>
      </c>
    </row>
    <row r="28" spans="1:51" ht="15" customHeight="1" x14ac:dyDescent="0.3">
      <c r="B28" s="938">
        <v>1001.1</v>
      </c>
      <c r="C28" s="21"/>
      <c r="D28" s="21"/>
      <c r="E28" s="21" t="s">
        <v>458</v>
      </c>
      <c r="F28" s="21"/>
      <c r="G28" s="21"/>
      <c r="H28" s="1084"/>
      <c r="I28" s="4"/>
      <c r="J28" s="27" t="s">
        <v>458</v>
      </c>
      <c r="K28" s="4"/>
      <c r="L28" s="1355" t="s">
        <v>3505</v>
      </c>
      <c r="M28" s="1353" t="str">
        <f ca="1">IF(R28,"Mandatory per 902.2.1","N/A")</f>
        <v>Mandatory per 902.2.1</v>
      </c>
      <c r="N28" s="4"/>
      <c r="O28" s="154"/>
      <c r="P28" s="789" t="b">
        <v>0</v>
      </c>
      <c r="Q28" s="789" t="b">
        <v>1</v>
      </c>
      <c r="R28" s="1" t="b">
        <f ca="1">AND(S28,OR('Ch9'!O211&gt;0,'Ch9'!R211))</f>
        <v>1</v>
      </c>
      <c r="S28" s="187" t="b">
        <f>IF(AY19=INDEX(ddSingleOrMulti,1),TRUE,FALSE)</f>
        <v>1</v>
      </c>
      <c r="T28" s="97" t="b">
        <f>AND(NOT(S28),W28=TRUE)</f>
        <v>0</v>
      </c>
      <c r="W28" s="25" t="b">
        <v>1</v>
      </c>
      <c r="X28" s="1337"/>
      <c r="AC28" s="187" t="b">
        <f ca="1">OR(AD28:AE28)</f>
        <v>0</v>
      </c>
      <c r="AD28" s="187" t="b">
        <f>T28</f>
        <v>0</v>
      </c>
      <c r="AE28" s="1068" t="b">
        <f ca="1">AND(R28,NOT(W28=TRUE))</f>
        <v>0</v>
      </c>
      <c r="AP28" s="311" t="str">
        <f t="shared" si="4"/>
        <v>dch1001_1_9</v>
      </c>
      <c r="AQ28" s="311" t="b">
        <f>W28</f>
        <v>1</v>
      </c>
      <c r="AR28" s="311" t="str">
        <f>SUBSTITUTE(SUBSTITUTE(SUBSTITUTE("dnt"&amp;$B28&amp;$C28&amp;$D28&amp;$E28&amp;$F28,".","_"),"(","_"),")","")</f>
        <v>dnt1001_1_9</v>
      </c>
      <c r="AS28" s="311">
        <f>X28</f>
        <v>0</v>
      </c>
    </row>
    <row r="29" spans="1:51" s="1068" customFormat="1" ht="15" customHeight="1" x14ac:dyDescent="0.3">
      <c r="A29" s="18"/>
      <c r="B29" s="938">
        <v>1001.1</v>
      </c>
      <c r="C29" s="21"/>
      <c r="D29" s="21"/>
      <c r="E29" s="21" t="s">
        <v>458</v>
      </c>
      <c r="F29" s="21"/>
      <c r="G29" s="21"/>
      <c r="H29" s="1084"/>
      <c r="I29" s="4"/>
      <c r="J29" s="27"/>
      <c r="K29" s="4"/>
      <c r="L29" s="1294"/>
      <c r="M29" s="1353"/>
      <c r="N29" s="4"/>
      <c r="O29" s="1069"/>
      <c r="R29"/>
      <c r="T29" s="97"/>
      <c r="W29"/>
      <c r="X29" s="1304"/>
      <c r="Y29" s="1107"/>
      <c r="AA29" s="1110"/>
      <c r="AP29" s="311"/>
      <c r="AQ29" s="311"/>
      <c r="AR29" s="311"/>
      <c r="AS29" s="311"/>
    </row>
    <row r="30" spans="1:51" ht="15" customHeight="1" x14ac:dyDescent="0.3">
      <c r="B30" s="938">
        <v>1001.1</v>
      </c>
      <c r="C30" s="21"/>
      <c r="D30" s="21"/>
      <c r="E30" s="21" t="s">
        <v>460</v>
      </c>
      <c r="F30" s="21"/>
      <c r="G30" s="21"/>
      <c r="H30" s="1084"/>
      <c r="I30" s="4"/>
      <c r="J30" s="233" t="s">
        <v>460</v>
      </c>
      <c r="K30" s="274"/>
      <c r="L30" s="365" t="s">
        <v>3506</v>
      </c>
      <c r="M30" s="154"/>
      <c r="N30" s="4"/>
      <c r="O30" s="154"/>
      <c r="P30" s="789" t="b">
        <v>0</v>
      </c>
      <c r="Q30" s="789" t="b">
        <v>1</v>
      </c>
      <c r="R30" s="187" t="b">
        <v>0</v>
      </c>
      <c r="S30" s="187" t="b">
        <f>IF(AY19=INDEX(ddSingleOrMulti,1),TRUE,FALSE)</f>
        <v>1</v>
      </c>
      <c r="T30" s="97" t="b">
        <f>AND(NOT(S30),W30=TRUE)</f>
        <v>0</v>
      </c>
      <c r="W30" s="25" t="b">
        <v>1</v>
      </c>
      <c r="X30" s="188"/>
      <c r="AC30" s="187" t="b">
        <f>OR(AD30:AE30)</f>
        <v>0</v>
      </c>
      <c r="AD30" s="187" t="b">
        <f>T30</f>
        <v>0</v>
      </c>
      <c r="AP30" s="311" t="str">
        <f t="shared" si="4"/>
        <v>dch1001_1_10</v>
      </c>
      <c r="AQ30" s="311" t="b">
        <f>W30</f>
        <v>1</v>
      </c>
      <c r="AR30" s="311" t="str">
        <f>SUBSTITUTE(SUBSTITUTE(SUBSTITUTE("dnt"&amp;$B30&amp;$C30&amp;$D30&amp;$E30&amp;$F30,".","_"),"(","_"),")","")</f>
        <v>dnt1001_1_10</v>
      </c>
      <c r="AS30" s="311">
        <f>X30</f>
        <v>0</v>
      </c>
      <c r="AX30" s="78" t="str">
        <f>'Overview (Design)'!A26</f>
        <v>HERS Index (if available):</v>
      </c>
      <c r="AY30" s="79">
        <f>'Overview (Design)'!G26</f>
        <v>0</v>
      </c>
    </row>
    <row r="31" spans="1:51" ht="15" customHeight="1" x14ac:dyDescent="0.3">
      <c r="B31" s="938">
        <v>1001.1</v>
      </c>
      <c r="C31" s="21"/>
      <c r="D31" s="21"/>
      <c r="E31" s="21" t="s">
        <v>462</v>
      </c>
      <c r="F31" s="21"/>
      <c r="G31" s="21"/>
      <c r="H31" s="1084"/>
      <c r="I31" s="4"/>
      <c r="J31" s="27" t="s">
        <v>462</v>
      </c>
      <c r="K31" s="4"/>
      <c r="L31" s="1074" t="s">
        <v>3507</v>
      </c>
      <c r="M31" s="154"/>
      <c r="N31" s="4"/>
      <c r="O31" s="154"/>
      <c r="P31" s="789" t="b">
        <v>0</v>
      </c>
      <c r="Q31" s="789" t="b">
        <v>1</v>
      </c>
      <c r="R31" s="187" t="b">
        <v>0</v>
      </c>
      <c r="S31" s="187" t="b">
        <f>IF(AY19=INDEX(ddSingleOrMulti,1),TRUE,FALSE)</f>
        <v>1</v>
      </c>
      <c r="T31" s="97" t="b">
        <f>AND(NOT(S31),W31=TRUE)</f>
        <v>0</v>
      </c>
      <c r="W31" s="25" t="b">
        <v>1</v>
      </c>
      <c r="X31" s="188"/>
      <c r="AC31" s="187" t="b">
        <f>OR(AD31:AE31)</f>
        <v>0</v>
      </c>
      <c r="AD31" s="187" t="b">
        <f>T31</f>
        <v>0</v>
      </c>
      <c r="AP31" s="311" t="str">
        <f t="shared" si="4"/>
        <v>dch1001_1_11</v>
      </c>
      <c r="AQ31" s="311" t="b">
        <f>W31</f>
        <v>1</v>
      </c>
      <c r="AR31" s="311" t="str">
        <f>SUBSTITUTE(SUBSTITUTE(SUBSTITUTE("dnt"&amp;$B31&amp;$C31&amp;$D31&amp;$E31&amp;$F31,".","_"),"(","_"),")","")</f>
        <v>dnt1001_1_11</v>
      </c>
      <c r="AS31" s="311">
        <f>X31</f>
        <v>0</v>
      </c>
      <c r="AX31" s="78" t="str">
        <f>'Overview (Design)'!A27</f>
        <v>Foundation Type:</v>
      </c>
      <c r="AY31" s="79" t="str">
        <f>'Overview (Design)'!G27</f>
        <v>Conditioned crawlspace</v>
      </c>
    </row>
    <row r="32" spans="1:51" ht="15" customHeight="1" x14ac:dyDescent="0.3">
      <c r="B32" s="938">
        <v>1001.1</v>
      </c>
      <c r="C32" s="21"/>
      <c r="D32" s="21"/>
      <c r="E32" s="21" t="s">
        <v>464</v>
      </c>
      <c r="F32" s="21"/>
      <c r="G32" s="21"/>
      <c r="H32" s="1084"/>
      <c r="I32" s="4"/>
      <c r="J32" s="237" t="s">
        <v>464</v>
      </c>
      <c r="K32" s="216"/>
      <c r="L32" s="1356" t="s">
        <v>3508</v>
      </c>
      <c r="M32" s="154"/>
      <c r="N32" s="4"/>
      <c r="O32" s="154"/>
      <c r="P32" s="789" t="b">
        <v>0</v>
      </c>
      <c r="Q32" s="789" t="b">
        <v>1</v>
      </c>
      <c r="R32" s="187" t="b">
        <v>0</v>
      </c>
      <c r="S32" s="187" t="b">
        <f>IF(AY19=INDEX(ddSingleOrMulti,1),TRUE,FALSE)</f>
        <v>1</v>
      </c>
      <c r="T32" s="97" t="b">
        <f>AND(NOT(S32),W32=TRUE)</f>
        <v>0</v>
      </c>
      <c r="W32" s="25"/>
      <c r="X32" s="1303"/>
      <c r="AC32" s="187" t="b">
        <f>OR(AD32:AE32)</f>
        <v>0</v>
      </c>
      <c r="AD32" s="187" t="b">
        <f>T32</f>
        <v>0</v>
      </c>
      <c r="AP32" s="311" t="str">
        <f t="shared" si="4"/>
        <v>dch1001_1_12</v>
      </c>
      <c r="AQ32" s="311">
        <f>W32</f>
        <v>0</v>
      </c>
      <c r="AR32" s="311" t="str">
        <f>SUBSTITUTE(SUBSTITUTE(SUBSTITUTE("dnt"&amp;$B32&amp;$C32&amp;$D32&amp;$E32&amp;$F32,".","_"),"(","_"),")","")</f>
        <v>dnt1001_1_12</v>
      </c>
      <c r="AS32" s="311">
        <f>X32</f>
        <v>0</v>
      </c>
      <c r="AX32" s="535"/>
      <c r="AY32" s="536"/>
    </row>
    <row r="33" spans="2:51" x14ac:dyDescent="0.3">
      <c r="B33" s="938">
        <v>1001.1</v>
      </c>
      <c r="C33" s="21"/>
      <c r="D33" s="21"/>
      <c r="E33" s="21" t="s">
        <v>464</v>
      </c>
      <c r="F33" s="21"/>
      <c r="G33" s="21"/>
      <c r="H33" s="1084"/>
      <c r="I33" s="4"/>
      <c r="J33" s="140"/>
      <c r="K33" s="140"/>
      <c r="L33" s="1305"/>
      <c r="M33" s="154"/>
      <c r="N33" s="4"/>
      <c r="O33" s="154"/>
      <c r="X33" s="1303"/>
      <c r="AX33" s="78" t="str">
        <f>'Overview (Design)'!A29</f>
        <v>Type of Heating System (main system):</v>
      </c>
      <c r="AY33" s="79" t="str">
        <f>'Overview (Design)'!G29</f>
        <v>Furnace</v>
      </c>
    </row>
    <row r="34" spans="2:51" x14ac:dyDescent="0.3">
      <c r="B34" s="938">
        <v>1001.1</v>
      </c>
      <c r="C34" s="21"/>
      <c r="D34" s="21"/>
      <c r="E34" s="21" t="s">
        <v>464</v>
      </c>
      <c r="F34" s="21" t="s">
        <v>121</v>
      </c>
      <c r="G34" s="21"/>
      <c r="H34" s="1084"/>
      <c r="I34" s="4"/>
      <c r="J34" s="140"/>
      <c r="K34" s="203" t="s">
        <v>121</v>
      </c>
      <c r="L34" s="1070" t="s">
        <v>3509</v>
      </c>
      <c r="M34" s="154"/>
      <c r="N34" s="4"/>
      <c r="O34" s="154"/>
      <c r="X34" s="1303"/>
      <c r="AX34" s="78" t="str">
        <f>'Overview (Design)'!A30</f>
        <v>Type of Heating System (system 2):</v>
      </c>
      <c r="AY34" s="79">
        <f>'Overview (Design)'!G30</f>
        <v>0</v>
      </c>
    </row>
    <row r="35" spans="2:51" x14ac:dyDescent="0.3">
      <c r="B35" s="938">
        <v>1001.1</v>
      </c>
      <c r="C35" s="21"/>
      <c r="D35" s="21"/>
      <c r="E35" s="21" t="s">
        <v>464</v>
      </c>
      <c r="F35" s="21" t="s">
        <v>122</v>
      </c>
      <c r="G35" s="21"/>
      <c r="H35" s="1084"/>
      <c r="I35" s="4"/>
      <c r="J35" s="140"/>
      <c r="K35" s="203" t="s">
        <v>122</v>
      </c>
      <c r="L35" s="1070" t="s">
        <v>3510</v>
      </c>
      <c r="M35" s="154"/>
      <c r="N35" s="4"/>
      <c r="O35" s="154"/>
      <c r="X35" s="1303"/>
      <c r="AX35" s="78" t="str">
        <f>'Overview (Design)'!A31</f>
        <v>Type of Heating System (system 3):</v>
      </c>
      <c r="AY35" s="79">
        <f>'Overview (Design)'!G31</f>
        <v>0</v>
      </c>
    </row>
    <row r="36" spans="2:51" x14ac:dyDescent="0.3">
      <c r="B36" s="938">
        <v>1001.1</v>
      </c>
      <c r="C36" s="21"/>
      <c r="D36" s="21"/>
      <c r="E36" s="21" t="s">
        <v>464</v>
      </c>
      <c r="F36" s="21" t="s">
        <v>123</v>
      </c>
      <c r="G36" s="21"/>
      <c r="H36" s="1084"/>
      <c r="I36" s="4"/>
      <c r="J36" s="140"/>
      <c r="K36" s="203" t="s">
        <v>123</v>
      </c>
      <c r="L36" s="1305" t="s">
        <v>3511</v>
      </c>
      <c r="M36" s="154"/>
      <c r="N36" s="4"/>
      <c r="O36" s="154"/>
      <c r="X36" s="1303"/>
      <c r="AX36" s="78" t="str">
        <f>'Overview (Design)'!A32</f>
        <v>Heating Fuel:</v>
      </c>
      <c r="AY36" s="79">
        <f>'Overview (Design)'!G32</f>
        <v>0</v>
      </c>
    </row>
    <row r="37" spans="2:51" x14ac:dyDescent="0.3">
      <c r="B37" s="938">
        <v>1001.1</v>
      </c>
      <c r="C37" s="21"/>
      <c r="D37" s="21"/>
      <c r="E37" s="21" t="s">
        <v>464</v>
      </c>
      <c r="F37" s="21"/>
      <c r="G37" s="21"/>
      <c r="H37" s="1084"/>
      <c r="I37" s="4"/>
      <c r="J37" s="238"/>
      <c r="K37" s="238"/>
      <c r="L37" s="1306"/>
      <c r="M37" s="154"/>
      <c r="N37" s="4"/>
      <c r="O37" s="154"/>
      <c r="X37" s="1303"/>
      <c r="AX37" s="535" t="str">
        <f>'Overview (Design)'!A33</f>
        <v>Heating Ducts:</v>
      </c>
      <c r="AY37" s="536" t="str">
        <f>'Overview (Design)'!G33</f>
        <v>Ducted</v>
      </c>
    </row>
    <row r="38" spans="2:51" x14ac:dyDescent="0.3">
      <c r="B38" s="938">
        <v>1001.1</v>
      </c>
      <c r="C38" s="21"/>
      <c r="D38" s="21"/>
      <c r="E38" s="21" t="s">
        <v>3512</v>
      </c>
      <c r="F38" s="21"/>
      <c r="G38" s="21"/>
      <c r="H38" s="1084"/>
      <c r="I38" s="4"/>
      <c r="J38" s="237" t="s">
        <v>3512</v>
      </c>
      <c r="K38" s="216"/>
      <c r="L38" s="1356" t="s">
        <v>3513</v>
      </c>
      <c r="M38" s="154"/>
      <c r="N38" s="4"/>
      <c r="O38" s="154"/>
      <c r="P38" s="789" t="b">
        <v>0</v>
      </c>
      <c r="Q38" s="789" t="b">
        <v>1</v>
      </c>
      <c r="R38" s="187" t="b">
        <v>0</v>
      </c>
      <c r="S38" s="187" t="b">
        <f>IF(AY19=INDEX(ddSingleOrMulti,1),TRUE,FALSE)</f>
        <v>1</v>
      </c>
      <c r="T38" s="97" t="b">
        <f>AND(NOT(S38),W38=TRUE)</f>
        <v>0</v>
      </c>
      <c r="W38" s="25" t="b">
        <v>1</v>
      </c>
      <c r="X38" s="1303"/>
      <c r="AC38" s="187" t="b">
        <f>OR(AD38:AE38)</f>
        <v>0</v>
      </c>
      <c r="AD38" s="187" t="b">
        <f>T38</f>
        <v>0</v>
      </c>
      <c r="AP38" s="311" t="str">
        <f>SUBSTITUTE(SUBSTITUTE(SUBSTITUTE("dch"&amp;$B38&amp;$C38&amp;$D38&amp;$E38&amp;$F38,".","_"),"(","_"),")","")</f>
        <v>dch1001_1_13</v>
      </c>
      <c r="AQ38" s="311" t="b">
        <f>W38</f>
        <v>1</v>
      </c>
      <c r="AR38" s="311" t="str">
        <f>SUBSTITUTE(SUBSTITUTE(SUBSTITUTE("dnt"&amp;$B38&amp;$C38&amp;$D38&amp;$E38&amp;$F38,".","_"),"(","_"),")","")</f>
        <v>dnt1001_1_13</v>
      </c>
      <c r="AS38" s="311">
        <f>X38</f>
        <v>0</v>
      </c>
      <c r="AX38" s="535" t="str">
        <f>'Overview (Design)'!A34</f>
        <v>Type of Cooling System (main system):</v>
      </c>
      <c r="AY38" s="536" t="str">
        <f>'Overview (Design)'!G34</f>
        <v>Electric Air Conditiner</v>
      </c>
    </row>
    <row r="39" spans="2:51" x14ac:dyDescent="0.3">
      <c r="B39" s="938">
        <v>1001.1</v>
      </c>
      <c r="C39" s="21"/>
      <c r="D39" s="21"/>
      <c r="E39" s="21" t="s">
        <v>3512</v>
      </c>
      <c r="F39" s="21"/>
      <c r="G39" s="21"/>
      <c r="H39" s="1084"/>
      <c r="I39" s="4"/>
      <c r="J39" s="140"/>
      <c r="K39" s="140"/>
      <c r="L39" s="1305"/>
      <c r="M39" s="154"/>
      <c r="N39" s="4"/>
      <c r="O39" s="154"/>
      <c r="X39" s="1303"/>
      <c r="AX39" s="535" t="str">
        <f>'Overview (Design)'!A35</f>
        <v>Type of Cooling System (system 2):</v>
      </c>
      <c r="AY39" s="536">
        <f>'Overview (Design)'!G35</f>
        <v>0</v>
      </c>
    </row>
    <row r="40" spans="2:51" x14ac:dyDescent="0.3">
      <c r="B40" s="938">
        <v>1001.1</v>
      </c>
      <c r="C40" s="21"/>
      <c r="D40" s="21"/>
      <c r="E40" s="21" t="s">
        <v>3512</v>
      </c>
      <c r="F40" s="21"/>
      <c r="G40" s="21"/>
      <c r="H40" s="1084"/>
      <c r="I40" s="4"/>
      <c r="J40" s="140"/>
      <c r="K40" s="140"/>
      <c r="L40" s="1305"/>
      <c r="M40" s="154"/>
      <c r="N40" s="4"/>
      <c r="O40" s="154"/>
      <c r="X40" s="1303"/>
      <c r="AX40" s="535" t="str">
        <f>'Overview (Design)'!A36</f>
        <v>Type of Cooling System (system 3):</v>
      </c>
      <c r="AY40" s="536">
        <f>'Overview (Design)'!G36</f>
        <v>0</v>
      </c>
    </row>
    <row r="41" spans="2:51" x14ac:dyDescent="0.3">
      <c r="B41" s="938">
        <v>1001.1</v>
      </c>
      <c r="C41" s="21"/>
      <c r="D41" s="21"/>
      <c r="E41" s="21" t="s">
        <v>3512</v>
      </c>
      <c r="F41" s="21"/>
      <c r="G41" s="21"/>
      <c r="H41" s="1084"/>
      <c r="I41" s="4"/>
      <c r="J41" s="238"/>
      <c r="K41" s="238"/>
      <c r="L41" s="1306"/>
      <c r="M41" s="154"/>
      <c r="N41" s="4"/>
      <c r="O41" s="154"/>
      <c r="X41" s="1303"/>
      <c r="AX41" s="535" t="str">
        <f>'Overview (Design)'!A37</f>
        <v>Cooling Ducts:</v>
      </c>
      <c r="AY41" s="536" t="str">
        <f>'Overview (Design)'!G37</f>
        <v>Ducted</v>
      </c>
    </row>
    <row r="42" spans="2:51" x14ac:dyDescent="0.3">
      <c r="B42" s="938">
        <v>1001.1</v>
      </c>
      <c r="C42" s="21"/>
      <c r="D42" s="21"/>
      <c r="E42" s="21" t="s">
        <v>3514</v>
      </c>
      <c r="F42" s="21"/>
      <c r="G42" s="21"/>
      <c r="H42" s="1084"/>
      <c r="I42" s="4"/>
      <c r="J42" s="237" t="s">
        <v>3514</v>
      </c>
      <c r="K42" s="216"/>
      <c r="L42" s="1356" t="s">
        <v>3515</v>
      </c>
      <c r="M42" s="154"/>
      <c r="N42" s="4"/>
      <c r="O42" s="154"/>
      <c r="P42" s="789" t="b">
        <v>0</v>
      </c>
      <c r="Q42" s="789" t="b">
        <v>1</v>
      </c>
      <c r="R42" s="187" t="b">
        <v>0</v>
      </c>
      <c r="S42" s="187" t="b">
        <f>IF(AY19=INDEX(ddSingleOrMulti,1),TRUE,FALSE)</f>
        <v>1</v>
      </c>
      <c r="T42" s="97" t="b">
        <f>AND(NOT(S42),W42=TRUE)</f>
        <v>0</v>
      </c>
      <c r="W42" s="25" t="b">
        <v>1</v>
      </c>
      <c r="X42" s="1303"/>
      <c r="AC42" s="187" t="b">
        <f>OR(AD42:AE42)</f>
        <v>0</v>
      </c>
      <c r="AD42" s="187" t="b">
        <f>T42</f>
        <v>0</v>
      </c>
      <c r="AP42" s="311" t="str">
        <f>SUBSTITUTE(SUBSTITUTE(SUBSTITUTE("dch"&amp;$B42&amp;$C42&amp;$D42&amp;$E42&amp;$F42,".","_"),"(","_"),")","")</f>
        <v>dch1001_1_14</v>
      </c>
      <c r="AQ42" s="311" t="b">
        <f>W42</f>
        <v>1</v>
      </c>
      <c r="AR42" s="311" t="str">
        <f>SUBSTITUTE(SUBSTITUTE(SUBSTITUTE("dnt"&amp;$B42&amp;$C42&amp;$D42&amp;$E42&amp;$F42,".","_"),"(","_"),")","")</f>
        <v>dnt1001_1_14</v>
      </c>
      <c r="AS42" s="311">
        <f>X42</f>
        <v>0</v>
      </c>
      <c r="AX42" s="535"/>
      <c r="AY42" s="536"/>
    </row>
    <row r="43" spans="2:51" x14ac:dyDescent="0.3">
      <c r="B43" s="938">
        <v>1001.1</v>
      </c>
      <c r="C43" s="21"/>
      <c r="D43" s="21"/>
      <c r="E43" s="21" t="s">
        <v>3514</v>
      </c>
      <c r="F43" s="21"/>
      <c r="G43" s="21"/>
      <c r="H43" s="1084"/>
      <c r="I43" s="4"/>
      <c r="J43" s="238"/>
      <c r="K43" s="238"/>
      <c r="L43" s="1306"/>
      <c r="M43" s="154"/>
      <c r="N43" s="4"/>
      <c r="O43" s="154"/>
      <c r="X43" s="1303"/>
      <c r="AX43" s="535" t="str">
        <f>'Overview (Design)'!A39</f>
        <v>Maximum window and door SHGC:</v>
      </c>
      <c r="AY43" s="536">
        <f>'Overview (Design)'!G39</f>
        <v>0.22</v>
      </c>
    </row>
    <row r="44" spans="2:51" x14ac:dyDescent="0.3">
      <c r="B44" s="938">
        <v>1001.1</v>
      </c>
      <c r="C44" s="21"/>
      <c r="D44" s="21"/>
      <c r="E44" s="21" t="s">
        <v>3516</v>
      </c>
      <c r="F44" s="21"/>
      <c r="G44" s="21"/>
      <c r="H44" s="1084"/>
      <c r="I44" s="4"/>
      <c r="J44" s="237" t="s">
        <v>3516</v>
      </c>
      <c r="K44" s="216"/>
      <c r="L44" s="1356" t="s">
        <v>3517</v>
      </c>
      <c r="M44" s="154"/>
      <c r="N44" s="4"/>
      <c r="O44" s="154"/>
      <c r="P44" s="789" t="b">
        <v>0</v>
      </c>
      <c r="Q44" s="789" t="b">
        <v>1</v>
      </c>
      <c r="R44" s="187" t="b">
        <v>0</v>
      </c>
      <c r="S44" s="187" t="b">
        <f>IF(AY19=INDEX(ddSingleOrMulti,1),TRUE,FALSE)</f>
        <v>1</v>
      </c>
      <c r="T44" s="97" t="b">
        <f>AND(NOT(S44),W44=TRUE)</f>
        <v>0</v>
      </c>
      <c r="W44" s="25" t="b">
        <v>1</v>
      </c>
      <c r="X44" s="1303"/>
      <c r="AC44" s="187" t="b">
        <f>OR(AD44:AE44)</f>
        <v>0</v>
      </c>
      <c r="AD44" s="187" t="b">
        <f>T44</f>
        <v>0</v>
      </c>
      <c r="AP44" s="311" t="str">
        <f>SUBSTITUTE(SUBSTITUTE(SUBSTITUTE("dch"&amp;$B44&amp;$C44&amp;$D44&amp;$E44&amp;$F44,".","_"),"(","_"),")","")</f>
        <v>dch1001_1_15</v>
      </c>
      <c r="AQ44" s="311" t="b">
        <f>W44</f>
        <v>1</v>
      </c>
      <c r="AR44" s="311" t="str">
        <f>SUBSTITUTE(SUBSTITUTE(SUBSTITUTE("dnt"&amp;$B44&amp;$C44&amp;$D44&amp;$E44&amp;$F44,".","_"),"(","_"),")","")</f>
        <v>dnt1001_1_15</v>
      </c>
      <c r="AS44" s="311">
        <f>X44</f>
        <v>0</v>
      </c>
      <c r="AX44" s="535" t="str">
        <f>'Overview (Design)'!A40</f>
        <v>Maximum skylight SHGC:</v>
      </c>
      <c r="AY44" s="536">
        <f>'Overview (Design)'!G40</f>
        <v>0</v>
      </c>
    </row>
    <row r="45" spans="2:51" x14ac:dyDescent="0.3">
      <c r="B45" s="938">
        <v>1001.1</v>
      </c>
      <c r="C45" s="21"/>
      <c r="D45" s="21"/>
      <c r="E45" s="21" t="s">
        <v>3516</v>
      </c>
      <c r="F45" s="21"/>
      <c r="G45" s="21"/>
      <c r="H45" s="1084"/>
      <c r="I45" s="4"/>
      <c r="J45" s="238"/>
      <c r="K45" s="238"/>
      <c r="L45" s="1306"/>
      <c r="M45" s="154"/>
      <c r="N45" s="4"/>
      <c r="O45" s="154"/>
      <c r="X45" s="1303"/>
      <c r="AX45" s="535" t="str">
        <f>'Overview (Design)'!A41</f>
        <v>Maximum window and door U-value:</v>
      </c>
      <c r="AY45" s="536">
        <f>'Overview (Design)'!G41</f>
        <v>0.32</v>
      </c>
    </row>
    <row r="46" spans="2:51" x14ac:dyDescent="0.3">
      <c r="B46" s="938">
        <v>1001.1</v>
      </c>
      <c r="C46" s="21"/>
      <c r="D46" s="21"/>
      <c r="E46" s="21" t="s">
        <v>3518</v>
      </c>
      <c r="F46" s="21"/>
      <c r="G46" s="21"/>
      <c r="H46" s="1084"/>
      <c r="I46" s="4"/>
      <c r="J46" s="233" t="s">
        <v>3518</v>
      </c>
      <c r="K46" s="274"/>
      <c r="L46" s="365" t="s">
        <v>3519</v>
      </c>
      <c r="M46" s="154"/>
      <c r="N46" s="4"/>
      <c r="O46" s="154"/>
      <c r="P46" s="789" t="b">
        <v>0</v>
      </c>
      <c r="Q46" s="789" t="b">
        <v>1</v>
      </c>
      <c r="R46" s="187" t="b">
        <v>0</v>
      </c>
      <c r="S46" s="187" t="b">
        <f>IF(AY19=INDEX(ddSingleOrMulti,1),TRUE,FALSE)</f>
        <v>1</v>
      </c>
      <c r="T46" s="97" t="b">
        <f>AND(NOT(S46),W46=TRUE)</f>
        <v>0</v>
      </c>
      <c r="W46" s="25"/>
      <c r="X46" s="188"/>
      <c r="AC46" s="187" t="b">
        <f>OR(AD46:AE46)</f>
        <v>0</v>
      </c>
      <c r="AD46" s="187" t="b">
        <f>T46</f>
        <v>0</v>
      </c>
      <c r="AP46" s="311" t="str">
        <f t="shared" ref="AP46:AP47" si="5">SUBSTITUTE(SUBSTITUTE(SUBSTITUTE("dch"&amp;$B46&amp;$C46&amp;$D46&amp;$E46&amp;$F46,".","_"),"(","_"),")","")</f>
        <v>dch1001_1_16</v>
      </c>
      <c r="AQ46" s="311">
        <f>W46</f>
        <v>0</v>
      </c>
      <c r="AR46" s="311" t="str">
        <f>SUBSTITUTE(SUBSTITUTE(SUBSTITUTE("dnt"&amp;$B46&amp;$C46&amp;$D46&amp;$E46&amp;$F46,".","_"),"(","_"),")","")</f>
        <v>dnt1001_1_16</v>
      </c>
      <c r="AS46" s="311">
        <f>X46</f>
        <v>0</v>
      </c>
      <c r="AX46" s="535" t="str">
        <f>'Overview (Design)'!A42</f>
        <v>Maximum skylight U-value:</v>
      </c>
      <c r="AY46" s="536">
        <f>'Overview (Design)'!G42</f>
        <v>0</v>
      </c>
    </row>
    <row r="47" spans="2:51" x14ac:dyDescent="0.3">
      <c r="B47" s="938">
        <v>1001.1</v>
      </c>
      <c r="C47" s="21"/>
      <c r="D47" s="21"/>
      <c r="E47" s="21" t="s">
        <v>3520</v>
      </c>
      <c r="F47" s="21"/>
      <c r="G47" s="21"/>
      <c r="H47" s="1084"/>
      <c r="I47" s="4"/>
      <c r="J47" s="237" t="s">
        <v>3520</v>
      </c>
      <c r="K47" s="216"/>
      <c r="L47" s="1355" t="s">
        <v>3521</v>
      </c>
      <c r="M47" s="154"/>
      <c r="N47" s="4"/>
      <c r="O47" s="154"/>
      <c r="P47" s="789" t="b">
        <v>0</v>
      </c>
      <c r="Q47" s="789" t="b">
        <v>1</v>
      </c>
      <c r="R47" s="187" t="b">
        <v>0</v>
      </c>
      <c r="S47" s="187" t="b">
        <f>IF(AY19=INDEX(ddSingleOrMulti,1),TRUE,FALSE)</f>
        <v>1</v>
      </c>
      <c r="T47" s="97" t="b">
        <f>AND(NOT(S47),W47=TRUE)</f>
        <v>0</v>
      </c>
      <c r="W47" s="25" t="b">
        <v>1</v>
      </c>
      <c r="X47" s="1303"/>
      <c r="AC47" s="187" t="b">
        <f>OR(AD47:AE47)</f>
        <v>0</v>
      </c>
      <c r="AD47" s="187" t="b">
        <f>T47</f>
        <v>0</v>
      </c>
      <c r="AP47" s="311" t="str">
        <f t="shared" si="5"/>
        <v>dch1001_1_17</v>
      </c>
      <c r="AQ47" s="311" t="b">
        <f>W47</f>
        <v>1</v>
      </c>
      <c r="AR47" s="311" t="str">
        <f>SUBSTITUTE(SUBSTITUTE(SUBSTITUTE("dnt"&amp;$B47&amp;$C47&amp;$D47&amp;$E47&amp;$F47,".","_"),"(","_"),")","")</f>
        <v>dnt1001_1_17</v>
      </c>
      <c r="AS47" s="311">
        <f>X47</f>
        <v>0</v>
      </c>
      <c r="AX47" s="78" t="str">
        <f>'Overview (Design)'!A43</f>
        <v>Renewable Energy:</v>
      </c>
      <c r="AY47" s="79">
        <f>'Overview (Design)'!G43</f>
        <v>0</v>
      </c>
    </row>
    <row r="48" spans="2:51" x14ac:dyDescent="0.3">
      <c r="B48" s="938">
        <v>1001.1</v>
      </c>
      <c r="C48" s="21"/>
      <c r="D48" s="21"/>
      <c r="E48" s="21" t="s">
        <v>3520</v>
      </c>
      <c r="F48" s="21"/>
      <c r="G48" s="21"/>
      <c r="H48" s="1084"/>
      <c r="I48" s="4"/>
      <c r="J48" s="231"/>
      <c r="K48" s="238"/>
      <c r="L48" s="1294"/>
      <c r="M48" s="154"/>
      <c r="N48" s="4"/>
      <c r="O48" s="154"/>
      <c r="X48" s="1303"/>
      <c r="AX48" s="78" t="str">
        <f>'Overview (Design)'!A44</f>
        <v>Thermal Envelope Insulation:</v>
      </c>
      <c r="AY48" s="79">
        <f>'Overview (Design)'!G44</f>
        <v>0</v>
      </c>
    </row>
    <row r="49" spans="2:51" x14ac:dyDescent="0.3">
      <c r="B49" s="938">
        <v>1001.1</v>
      </c>
      <c r="C49" s="21"/>
      <c r="D49" s="21"/>
      <c r="E49" s="21" t="s">
        <v>3522</v>
      </c>
      <c r="F49" s="21"/>
      <c r="G49" s="21"/>
      <c r="H49" s="1084"/>
      <c r="I49" s="4"/>
      <c r="J49" s="237" t="s">
        <v>3522</v>
      </c>
      <c r="K49" s="216"/>
      <c r="L49" s="1356" t="s">
        <v>3523</v>
      </c>
      <c r="M49" s="154"/>
      <c r="N49" s="4"/>
      <c r="O49" s="154"/>
      <c r="P49" s="789" t="b">
        <v>0</v>
      </c>
      <c r="Q49" s="789" t="b">
        <v>1</v>
      </c>
      <c r="R49" s="187" t="b">
        <v>0</v>
      </c>
      <c r="S49" s="187" t="b">
        <f>IF(AY19=INDEX(ddSingleOrMulti,1),TRUE,FALSE)</f>
        <v>1</v>
      </c>
      <c r="T49" s="97" t="b">
        <f>AND(NOT(S49),W49=TRUE)</f>
        <v>0</v>
      </c>
      <c r="W49" s="25" t="b">
        <v>1</v>
      </c>
      <c r="X49" s="1303"/>
      <c r="AC49" s="187" t="b">
        <f>OR(AD49:AE49)</f>
        <v>0</v>
      </c>
      <c r="AD49" s="187" t="b">
        <f>T49</f>
        <v>0</v>
      </c>
      <c r="AP49" s="311" t="str">
        <f>SUBSTITUTE(SUBSTITUTE(SUBSTITUTE("dch"&amp;$B49&amp;$C49&amp;$D49&amp;$E49&amp;$F49,".","_"),"(","_"),")","")</f>
        <v>dch1001_1_18</v>
      </c>
      <c r="AQ49" s="311" t="b">
        <f>W49</f>
        <v>1</v>
      </c>
      <c r="AR49" s="311" t="str">
        <f>SUBSTITUTE(SUBSTITUTE(SUBSTITUTE("dnt"&amp;$B49&amp;$C49&amp;$D49&amp;$E49&amp;$F49,".","_"),"(","_"),")","")</f>
        <v>dnt1001_1_18</v>
      </c>
      <c r="AS49" s="311">
        <f>X49</f>
        <v>0</v>
      </c>
      <c r="AX49" s="78" t="str">
        <f>'Overview (Design)'!A45</f>
        <v>Attic Type:</v>
      </c>
      <c r="AY49" s="79" t="str">
        <f>'Overview (Design)'!G45</f>
        <v>Vented</v>
      </c>
    </row>
    <row r="50" spans="2:51" x14ac:dyDescent="0.3">
      <c r="B50" s="938">
        <v>1001.1</v>
      </c>
      <c r="C50" s="21"/>
      <c r="D50" s="21"/>
      <c r="E50" s="21" t="s">
        <v>3522</v>
      </c>
      <c r="F50" s="21"/>
      <c r="G50" s="21"/>
      <c r="H50" s="1084"/>
      <c r="I50" s="4"/>
      <c r="J50" s="238"/>
      <c r="K50" s="238"/>
      <c r="L50" s="1306"/>
      <c r="M50" s="154"/>
      <c r="N50" s="4"/>
      <c r="O50" s="154"/>
      <c r="X50" s="1303"/>
      <c r="AX50" s="78" t="str">
        <f>'Overview (Design)'!A46</f>
        <v>Attached Garage:</v>
      </c>
      <c r="AY50" s="79" t="str">
        <f>'Overview (Design)'!G46</f>
        <v>Yes</v>
      </c>
    </row>
    <row r="51" spans="2:51" x14ac:dyDescent="0.3">
      <c r="B51" s="938">
        <v>1001.1</v>
      </c>
      <c r="C51" s="21"/>
      <c r="D51" s="21"/>
      <c r="E51" s="21" t="s">
        <v>3524</v>
      </c>
      <c r="F51" s="21"/>
      <c r="G51" s="21"/>
      <c r="H51" s="1084"/>
      <c r="I51" s="4"/>
      <c r="J51" s="233" t="s">
        <v>3524</v>
      </c>
      <c r="K51" s="274"/>
      <c r="L51" s="365" t="s">
        <v>3525</v>
      </c>
      <c r="M51" s="154"/>
      <c r="N51" s="4"/>
      <c r="O51" s="154"/>
      <c r="P51" s="789" t="b">
        <v>0</v>
      </c>
      <c r="Q51" s="789" t="b">
        <v>1</v>
      </c>
      <c r="R51" s="187" t="b">
        <v>0</v>
      </c>
      <c r="S51" s="187" t="b">
        <f>IF(AY19=INDEX(ddSingleOrMulti,1),TRUE,FALSE)</f>
        <v>1</v>
      </c>
      <c r="T51" s="97" t="b">
        <f>AND(NOT(S51),W51=TRUE)</f>
        <v>0</v>
      </c>
      <c r="W51" s="25" t="b">
        <v>1</v>
      </c>
      <c r="X51" s="188"/>
      <c r="AC51" s="187" t="b">
        <f>OR(AD51:AE51)</f>
        <v>0</v>
      </c>
      <c r="AD51" s="187" t="b">
        <f>T51</f>
        <v>0</v>
      </c>
      <c r="AP51" s="311" t="str">
        <f t="shared" ref="AP51:AP52" si="6">SUBSTITUTE(SUBSTITUTE(SUBSTITUTE("dch"&amp;$B51&amp;$C51&amp;$D51&amp;$E51&amp;$F51,".","_"),"(","_"),")","")</f>
        <v>dch1001_1_19</v>
      </c>
      <c r="AQ51" s="311" t="b">
        <f>W51</f>
        <v>1</v>
      </c>
      <c r="AR51" s="311" t="str">
        <f>SUBSTITUTE(SUBSTITUTE(SUBSTITUTE("dnt"&amp;$B51&amp;$C51&amp;$D51&amp;$E51&amp;$F51,".","_"),"(","_"),")","")</f>
        <v>dnt1001_1_19</v>
      </c>
      <c r="AS51" s="311">
        <f>X51</f>
        <v>0</v>
      </c>
      <c r="AX51" s="78" t="str">
        <f>'Overview (Design)'!A47</f>
        <v>Recessed Lighting:</v>
      </c>
      <c r="AY51" s="79">
        <f>'Overview (Design)'!G47</f>
        <v>0</v>
      </c>
    </row>
    <row r="52" spans="2:51" x14ac:dyDescent="0.3">
      <c r="B52" s="938">
        <v>1001.1</v>
      </c>
      <c r="C52" s="21"/>
      <c r="D52" s="21"/>
      <c r="E52" s="21" t="s">
        <v>3526</v>
      </c>
      <c r="F52" s="21"/>
      <c r="G52" s="21"/>
      <c r="H52" s="1084"/>
      <c r="I52" s="4"/>
      <c r="J52" s="237" t="s">
        <v>3526</v>
      </c>
      <c r="K52" s="216"/>
      <c r="L52" s="1356" t="s">
        <v>3527</v>
      </c>
      <c r="M52" s="154"/>
      <c r="N52" s="4"/>
      <c r="O52" s="154"/>
      <c r="P52" s="789" t="b">
        <v>0</v>
      </c>
      <c r="Q52" s="789" t="b">
        <v>1</v>
      </c>
      <c r="R52" s="187" t="b">
        <v>0</v>
      </c>
      <c r="S52" s="187" t="b">
        <f>IF(AY19=INDEX(ddSingleOrMulti,1),TRUE,FALSE)</f>
        <v>1</v>
      </c>
      <c r="T52" s="97" t="b">
        <f>AND(NOT(S52),W52=TRUE)</f>
        <v>0</v>
      </c>
      <c r="W52" s="25" t="b">
        <v>1</v>
      </c>
      <c r="X52" s="1303"/>
      <c r="AC52" s="187" t="b">
        <f>OR(AD52:AE52)</f>
        <v>0</v>
      </c>
      <c r="AD52" s="187" t="b">
        <f>T52</f>
        <v>0</v>
      </c>
      <c r="AP52" s="311" t="str">
        <f t="shared" si="6"/>
        <v>dch1001_1_20</v>
      </c>
      <c r="AQ52" s="311" t="b">
        <f>W52</f>
        <v>1</v>
      </c>
      <c r="AR52" s="311" t="str">
        <f>SUBSTITUTE(SUBSTITUTE(SUBSTITUTE("dnt"&amp;$B52&amp;$C52&amp;$D52&amp;$E52&amp;$F52,".","_"),"(","_"),")","")</f>
        <v>dnt1001_1_20</v>
      </c>
      <c r="AS52" s="311">
        <f>X52</f>
        <v>0</v>
      </c>
      <c r="AX52" s="78"/>
    </row>
    <row r="53" spans="2:51" x14ac:dyDescent="0.3">
      <c r="B53" s="938">
        <v>1001.1</v>
      </c>
      <c r="C53" s="21"/>
      <c r="D53" s="21"/>
      <c r="E53" s="21" t="s">
        <v>3526</v>
      </c>
      <c r="F53" s="21"/>
      <c r="G53" s="21"/>
      <c r="H53" s="1084"/>
      <c r="I53" s="4"/>
      <c r="J53" s="238"/>
      <c r="K53" s="238"/>
      <c r="L53" s="1306"/>
      <c r="M53" s="154"/>
      <c r="N53" s="4"/>
      <c r="O53" s="154"/>
      <c r="X53" s="1303"/>
      <c r="AX53" s="78" t="str">
        <f>'Overview (Design)'!A49</f>
        <v>Special Design Features:</v>
      </c>
      <c r="AY53" s="79">
        <f>'Overview (Design)'!G49</f>
        <v>0</v>
      </c>
    </row>
    <row r="54" spans="2:51" x14ac:dyDescent="0.3">
      <c r="B54" s="938">
        <v>1001.1</v>
      </c>
      <c r="C54" s="21"/>
      <c r="D54" s="21"/>
      <c r="E54" s="21" t="s">
        <v>3528</v>
      </c>
      <c r="F54" s="21"/>
      <c r="G54" s="21"/>
      <c r="H54" s="1084"/>
      <c r="I54" s="4"/>
      <c r="J54" s="237" t="s">
        <v>3528</v>
      </c>
      <c r="K54" s="216"/>
      <c r="L54" s="1356" t="s">
        <v>3529</v>
      </c>
      <c r="M54" s="154"/>
      <c r="N54" s="4"/>
      <c r="O54" s="154"/>
      <c r="P54" s="789" t="b">
        <v>0</v>
      </c>
      <c r="Q54" s="789" t="b">
        <v>1</v>
      </c>
      <c r="R54" s="187" t="b">
        <v>0</v>
      </c>
      <c r="S54" s="187" t="b">
        <f>IF(AY19=INDEX(ddSingleOrMulti,1),TRUE,FALSE)</f>
        <v>1</v>
      </c>
      <c r="T54" s="97" t="b">
        <f>AND(NOT(S54),W54=TRUE)</f>
        <v>0</v>
      </c>
      <c r="W54" s="25" t="b">
        <v>1</v>
      </c>
      <c r="X54" s="1303"/>
      <c r="AC54" s="187" t="b">
        <f>OR(AD54:AE54)</f>
        <v>0</v>
      </c>
      <c r="AD54" s="187" t="b">
        <f>T54</f>
        <v>0</v>
      </c>
      <c r="AP54" s="311" t="str">
        <f>SUBSTITUTE(SUBSTITUTE(SUBSTITUTE("dch"&amp;$B54&amp;$C54&amp;$D54&amp;$E54&amp;$F54,".","_"),"(","_"),")","")</f>
        <v>dch1001_1_21</v>
      </c>
      <c r="AQ54" s="311" t="b">
        <f>W54</f>
        <v>1</v>
      </c>
      <c r="AR54" s="311" t="str">
        <f>SUBSTITUTE(SUBSTITUTE(SUBSTITUTE("dnt"&amp;$B54&amp;$C54&amp;$D54&amp;$E54&amp;$F54,".","_"),"(","_"),")","")</f>
        <v>dnt1001_1_21</v>
      </c>
      <c r="AS54" s="311">
        <f>X54</f>
        <v>0</v>
      </c>
      <c r="AX54" s="78" t="str">
        <f>'Overview (Design)'!A50</f>
        <v>Passive Solar:</v>
      </c>
      <c r="AY54" s="79" t="str">
        <f>'Overview (Design)'!G50</f>
        <v>No</v>
      </c>
    </row>
    <row r="55" spans="2:51" x14ac:dyDescent="0.3">
      <c r="B55" s="938">
        <v>1001.1</v>
      </c>
      <c r="C55" s="21"/>
      <c r="D55" s="21"/>
      <c r="E55" s="21" t="s">
        <v>3528</v>
      </c>
      <c r="F55" s="21"/>
      <c r="G55" s="21"/>
      <c r="H55" s="1084"/>
      <c r="I55" s="4"/>
      <c r="J55" s="238"/>
      <c r="K55" s="238"/>
      <c r="L55" s="1306"/>
      <c r="M55" s="154"/>
      <c r="N55" s="4"/>
      <c r="O55" s="154"/>
      <c r="X55" s="1303"/>
      <c r="AX55" s="78" t="str">
        <f>'Overview (Design)'!A51</f>
        <v>Mass Walls:</v>
      </c>
      <c r="AY55" s="79" t="str">
        <f>'Overview (Design)'!G51</f>
        <v>No</v>
      </c>
    </row>
    <row r="56" spans="2:51" x14ac:dyDescent="0.3">
      <c r="B56" s="938">
        <v>1001.1</v>
      </c>
      <c r="C56" s="21"/>
      <c r="D56" s="21"/>
      <c r="E56" s="21" t="s">
        <v>3530</v>
      </c>
      <c r="F56" s="21"/>
      <c r="G56" s="21"/>
      <c r="H56" s="1084"/>
      <c r="I56" s="4"/>
      <c r="J56" s="237" t="s">
        <v>3530</v>
      </c>
      <c r="K56" s="216"/>
      <c r="L56" s="1356" t="s">
        <v>3531</v>
      </c>
      <c r="M56" s="154"/>
      <c r="N56" s="4"/>
      <c r="O56" s="154"/>
      <c r="P56" s="789" t="b">
        <v>0</v>
      </c>
      <c r="Q56" s="789" t="b">
        <v>1</v>
      </c>
      <c r="R56" s="187" t="b">
        <v>0</v>
      </c>
      <c r="S56" s="187" t="b">
        <f>IF(AY19=INDEX(ddSingleOrMulti,1),TRUE,FALSE)</f>
        <v>1</v>
      </c>
      <c r="T56" s="97" t="b">
        <f>AND(NOT(S56),W56=TRUE)</f>
        <v>0</v>
      </c>
      <c r="W56" s="25"/>
      <c r="X56" s="1303"/>
      <c r="AC56" s="187" t="b">
        <f>OR(AD56:AE56)</f>
        <v>0</v>
      </c>
      <c r="AD56" s="187" t="b">
        <f>T56</f>
        <v>0</v>
      </c>
      <c r="AP56" s="311" t="str">
        <f>SUBSTITUTE(SUBSTITUTE(SUBSTITUTE("dch"&amp;$B56&amp;$C56&amp;$D56&amp;$E56&amp;$F56,".","_"),"(","_"),")","")</f>
        <v>dch1001_1_22</v>
      </c>
      <c r="AQ56" s="311">
        <f>W56</f>
        <v>0</v>
      </c>
      <c r="AR56" s="311" t="str">
        <f>SUBSTITUTE(SUBSTITUTE(SUBSTITUTE("dnt"&amp;$B56&amp;$C56&amp;$D56&amp;$E56&amp;$F56,".","_"),"(","_"),")","")</f>
        <v>dnt1001_1_22</v>
      </c>
      <c r="AS56" s="311">
        <f>X56</f>
        <v>0</v>
      </c>
      <c r="AX56" s="78" t="str">
        <f>'Overview (Design)'!A52</f>
        <v>Ductless:</v>
      </c>
      <c r="AY56" s="79" t="str">
        <f>'Overview (Design)'!G52</f>
        <v>No</v>
      </c>
    </row>
    <row r="57" spans="2:51" x14ac:dyDescent="0.3">
      <c r="B57" s="938">
        <v>1001.1</v>
      </c>
      <c r="C57" s="21"/>
      <c r="D57" s="21"/>
      <c r="E57" s="21" t="s">
        <v>3530</v>
      </c>
      <c r="F57" s="21"/>
      <c r="G57" s="21"/>
      <c r="H57" s="1084"/>
      <c r="I57" s="4"/>
      <c r="J57" s="238"/>
      <c r="K57" s="238"/>
      <c r="L57" s="1306"/>
      <c r="M57" s="154"/>
      <c r="N57" s="4"/>
      <c r="O57" s="154"/>
      <c r="X57" s="1303"/>
      <c r="AX57" s="78" t="str">
        <f>'Overview (Design)'!A53</f>
        <v>Radiant/Hydronic:</v>
      </c>
      <c r="AY57" s="79" t="str">
        <f>'Overview (Design)'!G53</f>
        <v>No</v>
      </c>
    </row>
    <row r="58" spans="2:51" x14ac:dyDescent="0.3">
      <c r="B58" s="938">
        <v>1001.1</v>
      </c>
      <c r="C58" s="21"/>
      <c r="D58" s="21"/>
      <c r="E58" s="21" t="s">
        <v>3532</v>
      </c>
      <c r="F58" s="21"/>
      <c r="G58" s="21"/>
      <c r="H58" s="1084"/>
      <c r="I58" s="4"/>
      <c r="J58" s="233" t="s">
        <v>3532</v>
      </c>
      <c r="K58" s="274"/>
      <c r="L58" s="365" t="s">
        <v>3533</v>
      </c>
      <c r="M58" s="154"/>
      <c r="N58" s="4"/>
      <c r="O58" s="154"/>
      <c r="P58" s="789" t="b">
        <v>0</v>
      </c>
      <c r="Q58" s="789" t="b">
        <v>1</v>
      </c>
      <c r="R58" s="187" t="b">
        <v>0</v>
      </c>
      <c r="S58" s="187" t="b">
        <f>IF(AY19=INDEX(ddSingleOrMulti,1),TRUE,FALSE)</f>
        <v>1</v>
      </c>
      <c r="T58" s="97" t="b">
        <f>AND(NOT(S58),W58=TRUE)</f>
        <v>0</v>
      </c>
      <c r="W58" s="25"/>
      <c r="X58" s="188"/>
      <c r="AC58" s="187" t="b">
        <f>OR(AD58:AE58)</f>
        <v>0</v>
      </c>
      <c r="AD58" s="187" t="b">
        <f>T58</f>
        <v>0</v>
      </c>
      <c r="AP58" s="311" t="str">
        <f t="shared" ref="AP58:AP60" si="7">SUBSTITUTE(SUBSTITUTE(SUBSTITUTE("dch"&amp;$B58&amp;$C58&amp;$D58&amp;$E58&amp;$F58,".","_"),"(","_"),")","")</f>
        <v>dch1001_1_23</v>
      </c>
      <c r="AQ58" s="311">
        <f>W58</f>
        <v>0</v>
      </c>
      <c r="AR58" s="311" t="str">
        <f>SUBSTITUTE(SUBSTITUTE(SUBSTITUTE("dnt"&amp;$B58&amp;$C58&amp;$D58&amp;$E58&amp;$F58,".","_"),"(","_"),")","")</f>
        <v>dnt1001_1_23</v>
      </c>
      <c r="AS58" s="311">
        <f>X58</f>
        <v>0</v>
      </c>
      <c r="AX58" s="78" t="str">
        <f>'Overview (Design)'!A54</f>
        <v>Tankless Water Heater:</v>
      </c>
      <c r="AY58" s="79" t="str">
        <f>'Overview (Design)'!G54</f>
        <v>No</v>
      </c>
    </row>
    <row r="59" spans="2:51" ht="15" thickBot="1" x14ac:dyDescent="0.35">
      <c r="B59" s="938">
        <v>1001.1</v>
      </c>
      <c r="C59" s="21"/>
      <c r="D59" s="21"/>
      <c r="E59" s="21" t="s">
        <v>3534</v>
      </c>
      <c r="F59" s="21"/>
      <c r="G59" s="21"/>
      <c r="H59" s="1084"/>
      <c r="I59" s="270"/>
      <c r="J59" s="213" t="s">
        <v>3534</v>
      </c>
      <c r="K59" s="270"/>
      <c r="L59" s="1072" t="s">
        <v>3535</v>
      </c>
      <c r="M59" s="271"/>
      <c r="N59" s="270"/>
      <c r="O59" s="271"/>
      <c r="P59" s="789" t="b">
        <v>0</v>
      </c>
      <c r="Q59" s="789" t="b">
        <v>1</v>
      </c>
      <c r="R59" s="104" t="b">
        <v>0</v>
      </c>
      <c r="S59" s="104" t="b">
        <f>IF(AY19=INDEX(ddSingleOrMulti,1),TRUE,FALSE)</f>
        <v>1</v>
      </c>
      <c r="T59" s="104" t="b">
        <f>AND(NOT(S59),W59=TRUE)</f>
        <v>0</v>
      </c>
      <c r="U59" s="104"/>
      <c r="V59" s="104"/>
      <c r="W59" s="207"/>
      <c r="X59" s="189"/>
      <c r="AC59" s="187" t="b">
        <f>OR(AD59:AE59)</f>
        <v>0</v>
      </c>
      <c r="AD59" s="187" t="b">
        <f>T59</f>
        <v>0</v>
      </c>
      <c r="AP59" s="311" t="str">
        <f t="shared" si="7"/>
        <v>dch1001_1_24</v>
      </c>
      <c r="AQ59" s="311">
        <f>W59</f>
        <v>0</v>
      </c>
      <c r="AR59" s="311" t="str">
        <f>SUBSTITUTE(SUBSTITUTE(SUBSTITUTE("dnt"&amp;$B59&amp;$C59&amp;$D59&amp;$E59&amp;$F59,".","_"),"(","_"),")","")</f>
        <v>dnt1001_1_24</v>
      </c>
      <c r="AS59" s="311">
        <f>X59</f>
        <v>0</v>
      </c>
      <c r="AX59" s="78" t="str">
        <f>'Overview (Design)'!A55</f>
        <v>Composting Toilet:</v>
      </c>
      <c r="AY59" s="79" t="str">
        <f>'Overview (Design)'!G55</f>
        <v>No</v>
      </c>
    </row>
    <row r="60" spans="2:51" ht="15" thickTop="1" x14ac:dyDescent="0.3">
      <c r="B60" s="938">
        <v>1001.2</v>
      </c>
      <c r="C60" s="21"/>
      <c r="D60" s="21"/>
      <c r="E60" s="21"/>
      <c r="F60" s="21"/>
      <c r="G60" s="21"/>
      <c r="H60" s="1084"/>
      <c r="I60" s="66">
        <v>1001.2</v>
      </c>
      <c r="J60" s="4"/>
      <c r="K60" s="4"/>
      <c r="L60" s="1292" t="s">
        <v>3536</v>
      </c>
      <c r="M60" s="1361" t="str">
        <f>IF(R60,"Mandatory","N/A")</f>
        <v>Mandatory</v>
      </c>
      <c r="N60" s="4"/>
      <c r="O60" s="154"/>
      <c r="P60" s="789" t="b">
        <v>0</v>
      </c>
      <c r="Q60" s="789" t="b">
        <v>1</v>
      </c>
      <c r="R60" s="187" t="b">
        <f>S60</f>
        <v>1</v>
      </c>
      <c r="S60" s="187" t="b">
        <f>IF(AY19=INDEX(ddSingleOrMulti,1),TRUE,FALSE)</f>
        <v>1</v>
      </c>
      <c r="T60" s="97" t="b">
        <f>AND(NOT(S60),W60=TRUE)</f>
        <v>0</v>
      </c>
      <c r="W60" s="459" t="b">
        <v>1</v>
      </c>
      <c r="X60" s="1304"/>
      <c r="AC60" s="187" t="b">
        <f>OR(AD60:AE60)</f>
        <v>0</v>
      </c>
      <c r="AD60" s="187" t="b">
        <f>T60</f>
        <v>0</v>
      </c>
      <c r="AE60" s="187" t="b">
        <f>AND(R60,NOT(W60=TRUE))</f>
        <v>0</v>
      </c>
      <c r="AL60" s="311" t="str">
        <f>SUBSTITUTE(SUBSTITUTE(SUBSTITUTE("dpa"&amp;$B60&amp;$C60&amp;$D60&amp;$E60&amp;$F60,".","_"),"(","_"),")","")</f>
        <v>dpa1001_2</v>
      </c>
      <c r="AM60" s="311" t="str">
        <f>M60</f>
        <v>Mandatory</v>
      </c>
      <c r="AP60" s="311" t="str">
        <f t="shared" si="7"/>
        <v>dch1001_2</v>
      </c>
      <c r="AQ60" s="311" t="b">
        <f>W60</f>
        <v>1</v>
      </c>
      <c r="AR60" s="311" t="str">
        <f>SUBSTITUTE(SUBSTITUTE(SUBSTITUTE("dnt"&amp;$B60&amp;$C60&amp;$D60&amp;$E60&amp;$F60,".","_"),"(","_"),")","")</f>
        <v>dnt1001_2</v>
      </c>
      <c r="AS60" s="311">
        <f>X60</f>
        <v>0</v>
      </c>
      <c r="AX60" s="78"/>
    </row>
    <row r="61" spans="2:51" x14ac:dyDescent="0.3">
      <c r="B61" s="938">
        <v>1001.2</v>
      </c>
      <c r="C61" s="21"/>
      <c r="D61" s="21"/>
      <c r="E61" s="21"/>
      <c r="F61" s="21"/>
      <c r="G61" s="21"/>
      <c r="H61" s="1084"/>
      <c r="I61" s="4"/>
      <c r="J61" s="4"/>
      <c r="K61" s="4"/>
      <c r="L61" s="1292"/>
      <c r="M61" s="1361" t="str">
        <f>IF(R61,"Mandatory","N/A")</f>
        <v>N/A</v>
      </c>
      <c r="N61" s="4"/>
      <c r="O61" s="154"/>
      <c r="X61" s="1303"/>
      <c r="AX61" s="78" t="str">
        <f>'Overview (Design)'!A57</f>
        <v>Local Energy Code:</v>
      </c>
      <c r="AY61" s="79" t="str">
        <f>'Overview (Design)'!G57</f>
        <v>Other</v>
      </c>
    </row>
    <row r="62" spans="2:51" x14ac:dyDescent="0.3">
      <c r="B62" s="938">
        <v>1001.2</v>
      </c>
      <c r="C62" s="21"/>
      <c r="D62" s="21"/>
      <c r="E62" s="21"/>
      <c r="F62" s="21"/>
      <c r="G62" s="21"/>
      <c r="H62" s="1084"/>
      <c r="I62" s="4"/>
      <c r="J62" s="4"/>
      <c r="K62" s="4"/>
      <c r="L62" s="1292"/>
      <c r="M62" s="1361" t="str">
        <f>IF(R62,"Mandatory","N/A")</f>
        <v>N/A</v>
      </c>
      <c r="N62" s="4"/>
      <c r="O62" s="154"/>
      <c r="X62" s="1303"/>
      <c r="AX62" s="78" t="str">
        <f>'Overview (Design)'!A58</f>
        <v>Local Building Code:</v>
      </c>
      <c r="AY62" s="79" t="str">
        <f>'Overview (Design)'!G58</f>
        <v>Other</v>
      </c>
    </row>
    <row r="63" spans="2:51" x14ac:dyDescent="0.3">
      <c r="B63" s="938">
        <v>1001.2</v>
      </c>
      <c r="C63" s="21"/>
      <c r="D63" s="21"/>
      <c r="E63" s="21"/>
      <c r="F63" s="21"/>
      <c r="G63" s="21"/>
      <c r="H63" s="1084"/>
      <c r="I63" s="4"/>
      <c r="J63" s="4"/>
      <c r="K63" s="4"/>
      <c r="L63" s="1292"/>
      <c r="M63" s="1361" t="str">
        <f>IF(R63,"Mandatory","N/A")</f>
        <v>N/A</v>
      </c>
      <c r="N63" s="4"/>
      <c r="O63" s="154"/>
      <c r="X63" s="1303"/>
    </row>
    <row r="64" spans="2:51" x14ac:dyDescent="0.3">
      <c r="B64" s="938">
        <v>1001.2</v>
      </c>
      <c r="C64" s="21"/>
      <c r="D64" s="21"/>
      <c r="E64" s="21" t="s">
        <v>271</v>
      </c>
      <c r="F64" s="21"/>
      <c r="G64" s="21"/>
      <c r="H64" s="1084"/>
      <c r="I64" s="4"/>
      <c r="J64" s="203" t="s">
        <v>271</v>
      </c>
      <c r="K64" s="140"/>
      <c r="L64" s="276" t="s">
        <v>3537</v>
      </c>
      <c r="M64" s="154"/>
      <c r="N64" s="4"/>
      <c r="O64" s="154"/>
      <c r="X64" s="1303"/>
    </row>
    <row r="65" spans="2:41" x14ac:dyDescent="0.3">
      <c r="B65" s="938">
        <v>1001.2</v>
      </c>
      <c r="C65" s="21"/>
      <c r="D65" s="21"/>
      <c r="E65" s="21" t="s">
        <v>273</v>
      </c>
      <c r="F65" s="21"/>
      <c r="G65" s="21"/>
      <c r="H65" s="1084"/>
      <c r="I65" s="4"/>
      <c r="J65" s="203" t="s">
        <v>273</v>
      </c>
      <c r="K65" s="140"/>
      <c r="L65" s="276" t="s">
        <v>3538</v>
      </c>
      <c r="M65" s="154"/>
      <c r="N65" s="4"/>
      <c r="O65" s="154"/>
      <c r="X65" s="1303"/>
    </row>
    <row r="66" spans="2:41" x14ac:dyDescent="0.3">
      <c r="B66" s="938">
        <v>1001.2</v>
      </c>
      <c r="C66" s="21"/>
      <c r="D66" s="21"/>
      <c r="E66" s="21" t="s">
        <v>275</v>
      </c>
      <c r="F66" s="21"/>
      <c r="G66" s="21"/>
      <c r="H66" s="1084"/>
      <c r="I66" s="4"/>
      <c r="J66" s="203" t="s">
        <v>275</v>
      </c>
      <c r="K66" s="140"/>
      <c r="L66" s="276" t="s">
        <v>3539</v>
      </c>
      <c r="M66" s="154"/>
      <c r="N66" s="4"/>
      <c r="O66" s="154"/>
      <c r="X66" s="1303"/>
    </row>
    <row r="67" spans="2:41" x14ac:dyDescent="0.3">
      <c r="B67" s="938">
        <v>1001.2</v>
      </c>
      <c r="C67" s="21"/>
      <c r="D67" s="21"/>
      <c r="E67" s="21" t="s">
        <v>285</v>
      </c>
      <c r="F67" s="21"/>
      <c r="G67" s="21"/>
      <c r="H67" s="1084"/>
      <c r="I67" s="4"/>
      <c r="J67" s="203" t="s">
        <v>285</v>
      </c>
      <c r="K67" s="140"/>
      <c r="L67" s="276" t="s">
        <v>3540</v>
      </c>
      <c r="M67" s="154"/>
      <c r="N67" s="4"/>
      <c r="O67" s="154"/>
      <c r="X67" s="1303"/>
    </row>
    <row r="68" spans="2:41" x14ac:dyDescent="0.3">
      <c r="B68" s="938">
        <v>1001.2</v>
      </c>
      <c r="C68" s="21"/>
      <c r="D68" s="21"/>
      <c r="E68" s="21" t="s">
        <v>291</v>
      </c>
      <c r="F68" s="21"/>
      <c r="G68" s="21"/>
      <c r="H68" s="1084"/>
      <c r="I68" s="4"/>
      <c r="J68" s="203" t="s">
        <v>291</v>
      </c>
      <c r="K68" s="140"/>
      <c r="L68" s="276" t="s">
        <v>3541</v>
      </c>
      <c r="M68" s="154"/>
      <c r="N68" s="4"/>
      <c r="O68" s="154"/>
      <c r="X68" s="1303"/>
    </row>
    <row r="69" spans="2:41" x14ac:dyDescent="0.3">
      <c r="B69" s="938">
        <v>1001.2</v>
      </c>
      <c r="C69" s="21"/>
      <c r="D69" s="21"/>
      <c r="E69" s="21" t="s">
        <v>293</v>
      </c>
      <c r="F69" s="21"/>
      <c r="G69" s="21"/>
      <c r="H69" s="1084"/>
      <c r="I69" s="4"/>
      <c r="J69" s="203" t="s">
        <v>293</v>
      </c>
      <c r="K69" s="140"/>
      <c r="L69" s="276" t="s">
        <v>3542</v>
      </c>
      <c r="M69" s="154"/>
      <c r="N69" s="4"/>
      <c r="O69" s="154"/>
      <c r="X69" s="1303"/>
    </row>
    <row r="70" spans="2:41" x14ac:dyDescent="0.3">
      <c r="B70" s="938">
        <v>1001.2</v>
      </c>
      <c r="C70" s="21"/>
      <c r="D70" s="21"/>
      <c r="E70" s="21" t="s">
        <v>405</v>
      </c>
      <c r="F70" s="21"/>
      <c r="G70" s="21"/>
      <c r="H70" s="1084"/>
      <c r="I70" s="4"/>
      <c r="J70" s="27" t="s">
        <v>405</v>
      </c>
      <c r="K70" s="4"/>
      <c r="L70" s="254" t="s">
        <v>3543</v>
      </c>
      <c r="M70" s="154"/>
      <c r="N70" s="4"/>
      <c r="O70" s="154"/>
      <c r="X70" s="1303"/>
    </row>
    <row r="71" spans="2:41" ht="18" x14ac:dyDescent="0.35">
      <c r="B71" s="938">
        <v>1002</v>
      </c>
      <c r="C71" s="21"/>
      <c r="D71" s="21"/>
      <c r="E71" s="21"/>
      <c r="F71" s="21"/>
      <c r="G71" s="21"/>
      <c r="H71" s="1084"/>
      <c r="I71" s="14" t="s">
        <v>3544</v>
      </c>
      <c r="J71" s="23"/>
      <c r="K71" s="23"/>
      <c r="L71" s="258"/>
      <c r="M71" s="594"/>
      <c r="N71" s="604"/>
      <c r="O71" s="594"/>
      <c r="P71" s="23"/>
      <c r="Q71" s="23"/>
      <c r="R71" s="23"/>
      <c r="S71" s="23"/>
      <c r="T71" s="23"/>
      <c r="U71" s="23"/>
      <c r="V71" s="23"/>
      <c r="W71" s="23"/>
      <c r="X71" s="23"/>
    </row>
    <row r="72" spans="2:41" x14ac:dyDescent="0.3">
      <c r="B72" s="938" t="s">
        <v>4667</v>
      </c>
      <c r="C72" s="21"/>
      <c r="D72" s="21"/>
      <c r="E72" s="21"/>
      <c r="F72" s="21"/>
      <c r="G72" s="21"/>
      <c r="H72" s="1084"/>
      <c r="I72" s="268">
        <v>1002</v>
      </c>
      <c r="J72" s="140"/>
      <c r="K72" s="140"/>
      <c r="L72" s="1313" t="s">
        <v>3545</v>
      </c>
      <c r="M72" s="269"/>
      <c r="N72" s="140"/>
      <c r="O72" s="269"/>
      <c r="P72" s="97"/>
      <c r="Q72" s="97"/>
      <c r="R72" s="97"/>
      <c r="S72" s="97"/>
      <c r="T72" s="97"/>
      <c r="U72" s="97"/>
      <c r="V72" s="97"/>
      <c r="W72" s="97"/>
      <c r="X72" s="97"/>
    </row>
    <row r="73" spans="2:41" x14ac:dyDescent="0.3">
      <c r="B73" s="938" t="s">
        <v>4667</v>
      </c>
      <c r="C73" s="21"/>
      <c r="D73" s="21"/>
      <c r="E73" s="21"/>
      <c r="F73" s="21"/>
      <c r="G73" s="21"/>
      <c r="H73" s="1084"/>
      <c r="I73" s="140"/>
      <c r="J73" s="140"/>
      <c r="K73" s="140"/>
      <c r="L73" s="1313"/>
      <c r="M73" s="269"/>
      <c r="N73" s="140"/>
      <c r="O73" s="269"/>
      <c r="P73" s="97"/>
      <c r="Q73" s="97"/>
      <c r="R73" s="97"/>
      <c r="S73" s="97"/>
      <c r="T73" s="97"/>
      <c r="U73" s="97"/>
      <c r="V73" s="97"/>
      <c r="W73" s="97"/>
      <c r="X73" s="97"/>
    </row>
    <row r="74" spans="2:41" x14ac:dyDescent="0.3">
      <c r="B74" s="938" t="s">
        <v>4667</v>
      </c>
      <c r="C74" s="21"/>
      <c r="D74" s="21"/>
      <c r="E74" s="21"/>
      <c r="F74" s="21"/>
      <c r="G74" s="21"/>
      <c r="H74" s="1084"/>
      <c r="I74" s="140"/>
      <c r="J74" s="140"/>
      <c r="K74" s="140"/>
      <c r="L74" s="1313"/>
      <c r="M74" s="269"/>
      <c r="N74" s="140"/>
      <c r="O74" s="269"/>
      <c r="P74" s="97"/>
      <c r="Q74" s="97"/>
      <c r="R74" s="97"/>
      <c r="S74" s="97"/>
      <c r="T74" s="97"/>
      <c r="U74" s="97"/>
      <c r="V74" s="97"/>
      <c r="W74" s="97"/>
      <c r="X74" s="97"/>
    </row>
    <row r="75" spans="2:41" x14ac:dyDescent="0.3">
      <c r="B75" s="938" t="s">
        <v>4667</v>
      </c>
      <c r="C75" s="21"/>
      <c r="D75" s="21"/>
      <c r="E75" s="21"/>
      <c r="F75" s="21"/>
      <c r="G75" s="21"/>
      <c r="H75" s="1084"/>
      <c r="I75" s="140"/>
      <c r="J75" s="140"/>
      <c r="K75" s="140"/>
      <c r="L75" s="1313"/>
      <c r="M75" s="269"/>
      <c r="N75" s="140"/>
      <c r="O75" s="269"/>
      <c r="P75" s="97"/>
      <c r="Q75" s="97"/>
      <c r="R75" s="97"/>
      <c r="S75" s="97"/>
      <c r="T75" s="97"/>
      <c r="U75" s="97"/>
      <c r="V75" s="97"/>
      <c r="W75" s="97"/>
      <c r="X75" s="97"/>
    </row>
    <row r="76" spans="2:41" x14ac:dyDescent="0.3">
      <c r="B76" s="938" t="s">
        <v>4667</v>
      </c>
      <c r="C76" s="21"/>
      <c r="D76" s="21"/>
      <c r="E76" s="21"/>
      <c r="F76" s="21"/>
      <c r="G76" s="21"/>
      <c r="H76" s="1084"/>
      <c r="I76" s="140"/>
      <c r="J76" s="140"/>
      <c r="K76" s="140"/>
      <c r="L76" s="1313"/>
      <c r="M76" s="269"/>
      <c r="N76" s="140"/>
      <c r="O76" s="269"/>
      <c r="P76" s="97"/>
      <c r="Q76" s="97"/>
      <c r="R76" s="97"/>
      <c r="S76" s="97"/>
      <c r="T76" s="97"/>
      <c r="U76" s="97"/>
      <c r="V76" s="97"/>
      <c r="W76" s="97"/>
      <c r="X76" s="97"/>
    </row>
    <row r="77" spans="2:41" ht="15" thickBot="1" x14ac:dyDescent="0.35">
      <c r="B77" s="938" t="s">
        <v>4667</v>
      </c>
      <c r="C77" s="21"/>
      <c r="D77" s="21"/>
      <c r="E77" s="21"/>
      <c r="F77" s="21"/>
      <c r="G77" s="21"/>
      <c r="H77" s="1084"/>
      <c r="I77" s="270"/>
      <c r="J77" s="270"/>
      <c r="K77" s="270"/>
      <c r="L77" s="1332"/>
      <c r="M77" s="271"/>
      <c r="N77" s="270"/>
      <c r="O77" s="271"/>
      <c r="P77" s="104"/>
      <c r="Q77" s="104"/>
      <c r="R77" s="104"/>
      <c r="S77" s="104"/>
      <c r="T77" s="104"/>
      <c r="U77" s="104"/>
      <c r="V77" s="104"/>
      <c r="W77" s="104"/>
      <c r="X77" s="104"/>
    </row>
    <row r="78" spans="2:41" ht="15" thickTop="1" x14ac:dyDescent="0.3">
      <c r="B78" s="938">
        <v>1002.1</v>
      </c>
      <c r="C78" s="21"/>
      <c r="D78" s="21"/>
      <c r="E78" s="21"/>
      <c r="F78" s="21"/>
      <c r="G78" s="21"/>
      <c r="H78" s="1084"/>
      <c r="I78" s="66">
        <v>1002.1</v>
      </c>
      <c r="J78" s="4"/>
      <c r="K78" s="4"/>
      <c r="L78" s="1292" t="s">
        <v>3593</v>
      </c>
      <c r="M78" s="1335">
        <v>1</v>
      </c>
      <c r="N78" s="4"/>
      <c r="O78" s="1436">
        <f>IF(AND(COUNTIF(W81:W87,TRUE)=3,COUNTIF(W89:W94,TRUE)&gt;1,S81),ROUNDDOWN(COUNTIF(W89:W94,TRUE)/2,0),0)</f>
        <v>0</v>
      </c>
      <c r="AL78" s="311" t="str">
        <f>SUBSTITUTE(SUBSTITUTE(SUBSTITUTE("dpa"&amp;$B78&amp;$C78&amp;$D78&amp;$E78&amp;$F78,".","_"),"(","_"),")","")</f>
        <v>dpa1002_1</v>
      </c>
      <c r="AM78" s="311">
        <f>M78</f>
        <v>1</v>
      </c>
      <c r="AN78" s="311" t="str">
        <f>SUBSTITUTE(SUBSTITUTE(SUBSTITUTE("dpc"&amp;$B78&amp;$C78&amp;$D78&amp;$E78&amp;$F78,".","_"),"(","_"),")","")</f>
        <v>dpc1002_1</v>
      </c>
      <c r="AO78" s="311">
        <f>O78</f>
        <v>0</v>
      </c>
    </row>
    <row r="79" spans="2:41" x14ac:dyDescent="0.3">
      <c r="B79" s="938">
        <v>1002.1</v>
      </c>
      <c r="C79" s="21"/>
      <c r="D79" s="21"/>
      <c r="E79" s="21"/>
      <c r="F79" s="21"/>
      <c r="G79" s="21"/>
      <c r="H79" s="1084"/>
      <c r="I79" s="4"/>
      <c r="J79" s="4"/>
      <c r="K79" s="4"/>
      <c r="L79" s="1292"/>
      <c r="M79" s="1335"/>
      <c r="N79" s="4"/>
      <c r="O79" s="1436"/>
    </row>
    <row r="80" spans="2:41" x14ac:dyDescent="0.3">
      <c r="B80" s="938">
        <v>1002.1</v>
      </c>
      <c r="C80" s="21"/>
      <c r="D80" s="21"/>
      <c r="E80" s="21"/>
      <c r="F80" s="21"/>
      <c r="G80" s="21"/>
      <c r="H80" s="1084"/>
      <c r="I80" s="4"/>
      <c r="J80" s="4"/>
      <c r="K80" s="4"/>
      <c r="L80" s="255" t="s">
        <v>3591</v>
      </c>
      <c r="M80" s="1335"/>
      <c r="N80" s="4"/>
      <c r="O80" s="1436"/>
    </row>
    <row r="81" spans="2:45" x14ac:dyDescent="0.3">
      <c r="B81" s="938">
        <v>1002.1</v>
      </c>
      <c r="C81" s="21"/>
      <c r="D81" s="21"/>
      <c r="E81" s="21" t="s">
        <v>271</v>
      </c>
      <c r="F81" s="21"/>
      <c r="G81" s="21"/>
      <c r="H81" s="1084"/>
      <c r="I81" s="4"/>
      <c r="J81" s="27" t="s">
        <v>271</v>
      </c>
      <c r="K81" s="4"/>
      <c r="L81" s="1329" t="s">
        <v>3546</v>
      </c>
      <c r="M81" s="1361" t="str">
        <f t="shared" ref="M81:M88" si="8">IF(R81,"Mandatory","N/A")</f>
        <v>N/A</v>
      </c>
      <c r="N81" s="4"/>
      <c r="O81" s="154"/>
      <c r="P81" s="789" t="b">
        <v>0</v>
      </c>
      <c r="Q81" s="789" t="b">
        <v>1</v>
      </c>
      <c r="R81" s="187" t="b">
        <f>S81</f>
        <v>0</v>
      </c>
      <c r="S81" s="187" t="b">
        <f>IF(AY19=INDEX(ddSingleOrMulti,2),TRUE,FALSE)</f>
        <v>0</v>
      </c>
      <c r="T81" s="97" t="b">
        <f>AND(NOT(S81),W81=TRUE)</f>
        <v>0</v>
      </c>
      <c r="W81" s="25"/>
      <c r="X81" s="1303"/>
      <c r="AC81" s="187" t="b">
        <f>OR(AD81:AE81)</f>
        <v>0</v>
      </c>
      <c r="AD81" s="187" t="b">
        <f>T81</f>
        <v>0</v>
      </c>
      <c r="AE81" s="187" t="b">
        <f>AND(R81,O78&lt;1)</f>
        <v>0</v>
      </c>
      <c r="AL81" s="311" t="str">
        <f>SUBSTITUTE(SUBSTITUTE(SUBSTITUTE("dpa"&amp;$B81&amp;$C81&amp;$D81&amp;$E81&amp;$F81,".","_"),"(","_"),")","")</f>
        <v>dpa1002_1_1</v>
      </c>
      <c r="AM81" s="311" t="str">
        <f>M81</f>
        <v>N/A</v>
      </c>
      <c r="AP81" s="311" t="str">
        <f>SUBSTITUTE(SUBSTITUTE(SUBSTITUTE("dch"&amp;$B81&amp;$C81&amp;$D81&amp;$E81&amp;$F81,".","_"),"(","_"),")","")</f>
        <v>dch1002_1_1</v>
      </c>
      <c r="AQ81" s="311">
        <f>W81</f>
        <v>0</v>
      </c>
      <c r="AR81" s="311" t="str">
        <f>SUBSTITUTE(SUBSTITUTE(SUBSTITUTE("dnt"&amp;$B81&amp;$C81&amp;$D81&amp;$E81&amp;$F81,".","_"),"(","_"),")","")</f>
        <v>dnt1002_1_1</v>
      </c>
      <c r="AS81" s="311">
        <f>X81</f>
        <v>0</v>
      </c>
    </row>
    <row r="82" spans="2:45" x14ac:dyDescent="0.3">
      <c r="B82" s="938">
        <v>1002.1</v>
      </c>
      <c r="C82" s="21"/>
      <c r="D82" s="21"/>
      <c r="E82" s="21" t="s">
        <v>271</v>
      </c>
      <c r="F82" s="21"/>
      <c r="G82" s="21"/>
      <c r="H82" s="1084"/>
      <c r="I82" s="4"/>
      <c r="J82" s="27"/>
      <c r="K82" s="4"/>
      <c r="L82" s="1329"/>
      <c r="M82" s="1361" t="str">
        <f t="shared" si="8"/>
        <v>N/A</v>
      </c>
      <c r="N82" s="4"/>
      <c r="O82" s="154"/>
      <c r="X82" s="1303"/>
    </row>
    <row r="83" spans="2:45" x14ac:dyDescent="0.3">
      <c r="B83" s="938">
        <v>1002.1</v>
      </c>
      <c r="C83" s="21"/>
      <c r="D83" s="21"/>
      <c r="E83" s="21" t="s">
        <v>271</v>
      </c>
      <c r="F83" s="21"/>
      <c r="G83" s="21"/>
      <c r="H83" s="1084"/>
      <c r="I83" s="4"/>
      <c r="J83" s="27"/>
      <c r="K83" s="4"/>
      <c r="L83" s="1329"/>
      <c r="M83" s="1361" t="str">
        <f t="shared" si="8"/>
        <v>N/A</v>
      </c>
      <c r="N83" s="4"/>
      <c r="O83" s="154"/>
      <c r="X83" s="1303"/>
    </row>
    <row r="84" spans="2:45" x14ac:dyDescent="0.3">
      <c r="B84" s="938">
        <v>1002.1</v>
      </c>
      <c r="C84" s="21"/>
      <c r="D84" s="21"/>
      <c r="E84" s="21" t="s">
        <v>273</v>
      </c>
      <c r="F84" s="21"/>
      <c r="G84" s="21"/>
      <c r="H84" s="1084"/>
      <c r="I84" s="4"/>
      <c r="J84" s="237" t="s">
        <v>273</v>
      </c>
      <c r="K84" s="216"/>
      <c r="L84" s="1356" t="s">
        <v>3547</v>
      </c>
      <c r="M84" s="1388" t="str">
        <f t="shared" si="8"/>
        <v>N/A</v>
      </c>
      <c r="N84" s="4"/>
      <c r="O84" s="154"/>
      <c r="P84" s="789" t="b">
        <v>0</v>
      </c>
      <c r="Q84" s="789" t="b">
        <v>1</v>
      </c>
      <c r="R84" s="187" t="b">
        <f>S84</f>
        <v>0</v>
      </c>
      <c r="S84" s="187" t="b">
        <f>IF(AY19=INDEX(ddSingleOrMulti,2),TRUE,FALSE)</f>
        <v>0</v>
      </c>
      <c r="T84" s="97" t="b">
        <f>AND(NOT(S84),W84=TRUE)</f>
        <v>0</v>
      </c>
      <c r="W84" s="25"/>
      <c r="X84" s="1303"/>
      <c r="AC84" s="187" t="b">
        <f>OR(AD84:AE84)</f>
        <v>0</v>
      </c>
      <c r="AD84" s="187" t="b">
        <f>T84</f>
        <v>0</v>
      </c>
      <c r="AE84" s="187" t="b">
        <f>AND(R84,NOT(W84=TRUE))</f>
        <v>0</v>
      </c>
      <c r="AL84" s="311" t="str">
        <f>SUBSTITUTE(SUBSTITUTE(SUBSTITUTE("dpa"&amp;$B84&amp;$C84&amp;$D84&amp;$E84&amp;$F84,".","_"),"(","_"),")","")</f>
        <v>dpa1002_1_2</v>
      </c>
      <c r="AM84" s="311" t="str">
        <f>M84</f>
        <v>N/A</v>
      </c>
      <c r="AP84" s="311" t="str">
        <f>SUBSTITUTE(SUBSTITUTE(SUBSTITUTE("dch"&amp;$B84&amp;$C84&amp;$D84&amp;$E84&amp;$F84,".","_"),"(","_"),")","")</f>
        <v>dch1002_1_2</v>
      </c>
      <c r="AQ84" s="311">
        <f>W84</f>
        <v>0</v>
      </c>
      <c r="AR84" s="311" t="str">
        <f>SUBSTITUTE(SUBSTITUTE(SUBSTITUTE("dnt"&amp;$B84&amp;$C84&amp;$D84&amp;$E84&amp;$F84,".","_"),"(","_"),")","")</f>
        <v>dnt1002_1_2</v>
      </c>
      <c r="AS84" s="311">
        <f>X84</f>
        <v>0</v>
      </c>
    </row>
    <row r="85" spans="2:45" x14ac:dyDescent="0.3">
      <c r="B85" s="938">
        <v>1002.1</v>
      </c>
      <c r="C85" s="21"/>
      <c r="D85" s="21"/>
      <c r="E85" s="21" t="s">
        <v>273</v>
      </c>
      <c r="F85" s="21"/>
      <c r="G85" s="21"/>
      <c r="H85" s="1084"/>
      <c r="I85" s="4"/>
      <c r="J85" s="203"/>
      <c r="K85" s="140"/>
      <c r="L85" s="1305"/>
      <c r="M85" s="1351" t="str">
        <f t="shared" si="8"/>
        <v>N/A</v>
      </c>
      <c r="N85" s="4"/>
      <c r="O85" s="154"/>
      <c r="X85" s="1303"/>
    </row>
    <row r="86" spans="2:45" x14ac:dyDescent="0.3">
      <c r="B86" s="938">
        <v>1002.1</v>
      </c>
      <c r="C86" s="21"/>
      <c r="D86" s="21"/>
      <c r="E86" s="21" t="s">
        <v>273</v>
      </c>
      <c r="F86" s="21"/>
      <c r="G86" s="21"/>
      <c r="H86" s="1084"/>
      <c r="I86" s="4"/>
      <c r="J86" s="231"/>
      <c r="K86" s="238"/>
      <c r="L86" s="1306"/>
      <c r="M86" s="1352" t="str">
        <f t="shared" si="8"/>
        <v>N/A</v>
      </c>
      <c r="N86" s="4"/>
      <c r="O86" s="154"/>
      <c r="X86" s="1303"/>
    </row>
    <row r="87" spans="2:45" x14ac:dyDescent="0.3">
      <c r="B87" s="938">
        <v>1002.1</v>
      </c>
      <c r="C87" s="21"/>
      <c r="D87" s="21"/>
      <c r="E87" s="21" t="s">
        <v>275</v>
      </c>
      <c r="F87" s="21"/>
      <c r="G87" s="21"/>
      <c r="H87" s="1084"/>
      <c r="I87" s="4"/>
      <c r="J87" s="27" t="s">
        <v>275</v>
      </c>
      <c r="K87" s="4"/>
      <c r="L87" s="1329" t="s">
        <v>3548</v>
      </c>
      <c r="M87" s="1361" t="str">
        <f t="shared" si="8"/>
        <v>N/A</v>
      </c>
      <c r="N87" s="4"/>
      <c r="O87" s="154"/>
      <c r="P87" s="789" t="b">
        <v>0</v>
      </c>
      <c r="Q87" s="789" t="b">
        <v>1</v>
      </c>
      <c r="R87" s="187" t="b">
        <f>S87</f>
        <v>0</v>
      </c>
      <c r="S87" s="187" t="b">
        <f>IF(AY19=INDEX(ddSingleOrMulti,2),TRUE,FALSE)</f>
        <v>0</v>
      </c>
      <c r="T87" s="97" t="b">
        <f>AND(NOT(S87),W87=TRUE)</f>
        <v>0</v>
      </c>
      <c r="W87" s="25"/>
      <c r="X87" s="1303"/>
      <c r="AC87" s="187" t="b">
        <f>OR(AD87:AE87)</f>
        <v>0</v>
      </c>
      <c r="AD87" s="187" t="b">
        <f>T87</f>
        <v>0</v>
      </c>
      <c r="AE87" s="187" t="b">
        <f>AND(R87,NOT(W87=TRUE))</f>
        <v>0</v>
      </c>
      <c r="AL87" s="311" t="str">
        <f>SUBSTITUTE(SUBSTITUTE(SUBSTITUTE("dpa"&amp;$B87&amp;$C87&amp;$D87&amp;$E87&amp;$F87,".","_"),"(","_"),")","")</f>
        <v>dpa1002_1_3</v>
      </c>
      <c r="AM87" s="311" t="str">
        <f>M87</f>
        <v>N/A</v>
      </c>
      <c r="AP87" s="311" t="str">
        <f>SUBSTITUTE(SUBSTITUTE(SUBSTITUTE("dch"&amp;$B87&amp;$C87&amp;$D87&amp;$E87&amp;$F87,".","_"),"(","_"),")","")</f>
        <v>dch1002_1_3</v>
      </c>
      <c r="AQ87" s="311">
        <f>W87</f>
        <v>0</v>
      </c>
      <c r="AR87" s="311" t="str">
        <f>SUBSTITUTE(SUBSTITUTE(SUBSTITUTE("dnt"&amp;$B87&amp;$C87&amp;$D87&amp;$E87&amp;$F87,".","_"),"(","_"),")","")</f>
        <v>dnt1002_1_3</v>
      </c>
      <c r="AS87" s="311">
        <f>X87</f>
        <v>0</v>
      </c>
    </row>
    <row r="88" spans="2:45" x14ac:dyDescent="0.3">
      <c r="B88" s="938">
        <v>1002.1</v>
      </c>
      <c r="C88" s="21"/>
      <c r="D88" s="21"/>
      <c r="E88" s="21" t="s">
        <v>275</v>
      </c>
      <c r="F88" s="21"/>
      <c r="G88" s="21"/>
      <c r="H88" s="1084"/>
      <c r="I88" s="4"/>
      <c r="J88" s="27"/>
      <c r="K88" s="4"/>
      <c r="L88" s="1329"/>
      <c r="M88" s="1361" t="str">
        <f t="shared" si="8"/>
        <v>N/A</v>
      </c>
      <c r="N88" s="4"/>
      <c r="O88" s="154"/>
      <c r="X88" s="1303"/>
    </row>
    <row r="89" spans="2:45" x14ac:dyDescent="0.3">
      <c r="B89" s="938">
        <v>1002.1</v>
      </c>
      <c r="C89" s="21"/>
      <c r="D89" s="21"/>
      <c r="E89" s="21" t="s">
        <v>285</v>
      </c>
      <c r="F89" s="21"/>
      <c r="G89" s="21"/>
      <c r="H89" s="1084"/>
      <c r="I89" s="4"/>
      <c r="J89" s="233" t="s">
        <v>285</v>
      </c>
      <c r="K89" s="274"/>
      <c r="L89" s="275" t="s">
        <v>3549</v>
      </c>
      <c r="M89" s="277"/>
      <c r="N89" s="4"/>
      <c r="O89" s="154"/>
      <c r="P89" s="789" t="b">
        <v>0</v>
      </c>
      <c r="Q89" s="789" t="b">
        <v>1</v>
      </c>
      <c r="R89" s="187" t="b">
        <v>0</v>
      </c>
      <c r="S89" s="187" t="b">
        <f>IF(AY19=INDEX(ddSingleOrMulti,2),TRUE,FALSE)</f>
        <v>0</v>
      </c>
      <c r="T89" s="97" t="b">
        <f>AND(NOT(S89),W89=TRUE)</f>
        <v>0</v>
      </c>
      <c r="W89" s="25"/>
      <c r="X89" s="188"/>
      <c r="AC89" s="187" t="b">
        <f>OR(AD89:AE89)</f>
        <v>0</v>
      </c>
      <c r="AD89" s="187" t="b">
        <f>T89</f>
        <v>0</v>
      </c>
      <c r="AP89" s="311" t="str">
        <f t="shared" ref="AP89:AP90" si="9">SUBSTITUTE(SUBSTITUTE(SUBSTITUTE("dch"&amp;$B89&amp;$C89&amp;$D89&amp;$E89&amp;$F89,".","_"),"(","_"),")","")</f>
        <v>dch1002_1_4</v>
      </c>
      <c r="AQ89" s="311">
        <f>W89</f>
        <v>0</v>
      </c>
      <c r="AR89" s="311" t="str">
        <f>SUBSTITUTE(SUBSTITUTE(SUBSTITUTE("dnt"&amp;$B89&amp;$C89&amp;$D89&amp;$E89&amp;$F89,".","_"),"(","_"),")","")</f>
        <v>dnt1002_1_4</v>
      </c>
      <c r="AS89" s="311">
        <f>X89</f>
        <v>0</v>
      </c>
    </row>
    <row r="90" spans="2:45" x14ac:dyDescent="0.3">
      <c r="B90" s="938">
        <v>1002.1</v>
      </c>
      <c r="C90" s="21"/>
      <c r="D90" s="21"/>
      <c r="E90" s="21" t="s">
        <v>291</v>
      </c>
      <c r="F90" s="21"/>
      <c r="G90" s="21"/>
      <c r="H90" s="1084"/>
      <c r="I90" s="4"/>
      <c r="J90" s="27" t="s">
        <v>291</v>
      </c>
      <c r="K90" s="4"/>
      <c r="L90" s="1329" t="s">
        <v>3550</v>
      </c>
      <c r="M90" s="269"/>
      <c r="N90" s="4"/>
      <c r="O90" s="154"/>
      <c r="P90" s="789" t="b">
        <v>0</v>
      </c>
      <c r="Q90" s="789" t="b">
        <v>1</v>
      </c>
      <c r="R90" s="187" t="b">
        <v>0</v>
      </c>
      <c r="S90" s="187" t="b">
        <f>IF(AY19=INDEX(ddSingleOrMulti,2),TRUE,FALSE)</f>
        <v>0</v>
      </c>
      <c r="T90" s="97" t="b">
        <f>AND(NOT(S90),W90=TRUE)</f>
        <v>0</v>
      </c>
      <c r="W90" s="25"/>
      <c r="X90" s="1303"/>
      <c r="AC90" s="187" t="b">
        <f>OR(AD90:AE90)</f>
        <v>0</v>
      </c>
      <c r="AD90" s="187" t="b">
        <f>T90</f>
        <v>0</v>
      </c>
      <c r="AP90" s="311" t="str">
        <f t="shared" si="9"/>
        <v>dch1002_1_5</v>
      </c>
      <c r="AQ90" s="311">
        <f>W90</f>
        <v>0</v>
      </c>
      <c r="AR90" s="311" t="str">
        <f>SUBSTITUTE(SUBSTITUTE(SUBSTITUTE("dnt"&amp;$B90&amp;$C90&amp;$D90&amp;$E90&amp;$F90,".","_"),"(","_"),")","")</f>
        <v>dnt1002_1_5</v>
      </c>
      <c r="AS90" s="311">
        <f>X90</f>
        <v>0</v>
      </c>
    </row>
    <row r="91" spans="2:45" x14ac:dyDescent="0.3">
      <c r="B91" s="938">
        <v>1002.1</v>
      </c>
      <c r="C91" s="21"/>
      <c r="D91" s="21"/>
      <c r="E91" s="21" t="s">
        <v>291</v>
      </c>
      <c r="F91" s="21"/>
      <c r="G91" s="21"/>
      <c r="H91" s="1084"/>
      <c r="I91" s="4"/>
      <c r="J91" s="27"/>
      <c r="K91" s="4"/>
      <c r="L91" s="1329"/>
      <c r="M91" s="269"/>
      <c r="N91" s="4"/>
      <c r="O91" s="154"/>
      <c r="X91" s="1303"/>
    </row>
    <row r="92" spans="2:45" ht="15" customHeight="1" x14ac:dyDescent="0.3">
      <c r="B92" s="938">
        <v>1002.1</v>
      </c>
      <c r="C92" s="21"/>
      <c r="D92" s="21"/>
      <c r="E92" s="21" t="s">
        <v>293</v>
      </c>
      <c r="F92" s="21"/>
      <c r="G92" s="21"/>
      <c r="H92" s="1084"/>
      <c r="I92" s="4"/>
      <c r="J92" s="233" t="s">
        <v>293</v>
      </c>
      <c r="K92" s="274"/>
      <c r="L92" s="275" t="s">
        <v>3507</v>
      </c>
      <c r="M92" s="269"/>
      <c r="N92" s="4"/>
      <c r="O92" s="154"/>
      <c r="P92" s="789" t="b">
        <v>0</v>
      </c>
      <c r="Q92" s="789" t="b">
        <v>1</v>
      </c>
      <c r="R92" s="187" t="b">
        <v>0</v>
      </c>
      <c r="S92" s="187" t="b">
        <f>IF(AY19=INDEX(ddSingleOrMulti,2),TRUE,FALSE)</f>
        <v>0</v>
      </c>
      <c r="T92" s="97" t="b">
        <f>AND(NOT(S92),W92=TRUE)</f>
        <v>0</v>
      </c>
      <c r="W92" s="25"/>
      <c r="X92" s="188"/>
      <c r="AC92" s="187" t="b">
        <f>OR(AD92:AE92)</f>
        <v>0</v>
      </c>
      <c r="AD92" s="187" t="b">
        <f>T92</f>
        <v>0</v>
      </c>
      <c r="AP92" s="311" t="str">
        <f t="shared" ref="AP92:AP94" si="10">SUBSTITUTE(SUBSTITUTE(SUBSTITUTE("dch"&amp;$B92&amp;$C92&amp;$D92&amp;$E92&amp;$F92,".","_"),"(","_"),")","")</f>
        <v>dch1002_1_6</v>
      </c>
      <c r="AQ92" s="311">
        <f>W92</f>
        <v>0</v>
      </c>
      <c r="AR92" s="311" t="str">
        <f>SUBSTITUTE(SUBSTITUTE(SUBSTITUTE("dnt"&amp;$B92&amp;$C92&amp;$D92&amp;$E92&amp;$F92,".","_"),"(","_"),")","")</f>
        <v>dnt1002_1_6</v>
      </c>
      <c r="AS92" s="311">
        <f>X92</f>
        <v>0</v>
      </c>
    </row>
    <row r="93" spans="2:45" ht="15" customHeight="1" x14ac:dyDescent="0.3">
      <c r="B93" s="938">
        <v>1002.1</v>
      </c>
      <c r="C93" s="21"/>
      <c r="D93" s="21"/>
      <c r="E93" s="21" t="s">
        <v>405</v>
      </c>
      <c r="F93" s="21"/>
      <c r="G93" s="21"/>
      <c r="H93" s="1084"/>
      <c r="I93" s="4"/>
      <c r="J93" s="233" t="s">
        <v>405</v>
      </c>
      <c r="K93" s="274"/>
      <c r="L93" s="275" t="s">
        <v>3551</v>
      </c>
      <c r="M93" s="269"/>
      <c r="N93" s="4"/>
      <c r="O93" s="154"/>
      <c r="P93" s="789" t="b">
        <v>0</v>
      </c>
      <c r="Q93" s="789" t="b">
        <v>1</v>
      </c>
      <c r="R93" s="187" t="b">
        <v>0</v>
      </c>
      <c r="S93" s="187" t="b">
        <f>IF(AY19=INDEX(ddSingleOrMulti,2),TRUE,FALSE)</f>
        <v>0</v>
      </c>
      <c r="T93" s="97" t="b">
        <f>AND(NOT(S93),W93=TRUE)</f>
        <v>0</v>
      </c>
      <c r="W93" s="25"/>
      <c r="X93" s="188"/>
      <c r="AC93" s="187" t="b">
        <f>OR(AD93:AE93)</f>
        <v>0</v>
      </c>
      <c r="AD93" s="187" t="b">
        <f>T93</f>
        <v>0</v>
      </c>
      <c r="AP93" s="311" t="str">
        <f t="shared" si="10"/>
        <v>dch1002_1_7</v>
      </c>
      <c r="AQ93" s="311">
        <f>W93</f>
        <v>0</v>
      </c>
      <c r="AR93" s="311" t="str">
        <f>SUBSTITUTE(SUBSTITUTE(SUBSTITUTE("dnt"&amp;$B93&amp;$C93&amp;$D93&amp;$E93&amp;$F93,".","_"),"(","_"),")","")</f>
        <v>dnt1002_1_7</v>
      </c>
      <c r="AS93" s="311">
        <f>X93</f>
        <v>0</v>
      </c>
    </row>
    <row r="94" spans="2:45" x14ac:dyDescent="0.3">
      <c r="B94" s="938">
        <v>1002.1</v>
      </c>
      <c r="C94" s="21"/>
      <c r="D94" s="21"/>
      <c r="E94" s="21" t="s">
        <v>456</v>
      </c>
      <c r="F94" s="21"/>
      <c r="G94" s="21"/>
      <c r="H94" s="1084"/>
      <c r="I94" s="140"/>
      <c r="J94" s="203" t="s">
        <v>456</v>
      </c>
      <c r="K94" s="140"/>
      <c r="L94" s="1305" t="s">
        <v>3552</v>
      </c>
      <c r="M94" s="269"/>
      <c r="N94" s="140"/>
      <c r="O94" s="269"/>
      <c r="P94" s="789" t="b">
        <v>0</v>
      </c>
      <c r="Q94" s="789" t="b">
        <v>1</v>
      </c>
      <c r="R94" s="97" t="b">
        <v>0</v>
      </c>
      <c r="S94" s="97" t="b">
        <f>IF(AY19=INDEX(ddSingleOrMulti,2),TRUE,FALSE)</f>
        <v>0</v>
      </c>
      <c r="T94" s="97" t="b">
        <f>AND(NOT(S94),W94=TRUE)</f>
        <v>0</v>
      </c>
      <c r="U94" s="97"/>
      <c r="V94" s="97"/>
      <c r="W94" s="25"/>
      <c r="X94" s="1295"/>
      <c r="AC94" s="187" t="b">
        <f>OR(AD94:AE94)</f>
        <v>0</v>
      </c>
      <c r="AD94" s="187" t="b">
        <f>T94</f>
        <v>0</v>
      </c>
      <c r="AP94" s="311" t="str">
        <f t="shared" si="10"/>
        <v>dch1002_1_8</v>
      </c>
      <c r="AQ94" s="311">
        <f>W94</f>
        <v>0</v>
      </c>
      <c r="AR94" s="311" t="str">
        <f>SUBSTITUTE(SUBSTITUTE(SUBSTITUTE("dnt"&amp;$B94&amp;$C94&amp;$D94&amp;$E94&amp;$F94,".","_"),"(","_"),")","")</f>
        <v>dnt1002_1_8</v>
      </c>
      <c r="AS94" s="311">
        <f>X94</f>
        <v>0</v>
      </c>
    </row>
    <row r="95" spans="2:45" ht="15" thickBot="1" x14ac:dyDescent="0.35">
      <c r="B95" s="938">
        <v>1002.1</v>
      </c>
      <c r="C95" s="21"/>
      <c r="D95" s="21"/>
      <c r="E95" s="21" t="s">
        <v>456</v>
      </c>
      <c r="F95" s="21"/>
      <c r="G95" s="21"/>
      <c r="H95" s="1084"/>
      <c r="I95" s="270"/>
      <c r="J95" s="270"/>
      <c r="K95" s="270"/>
      <c r="L95" s="1330"/>
      <c r="M95" s="271"/>
      <c r="N95" s="270"/>
      <c r="O95" s="271"/>
      <c r="P95" s="104"/>
      <c r="Q95" s="104"/>
      <c r="R95" s="104"/>
      <c r="S95" s="104"/>
      <c r="T95" s="104"/>
      <c r="U95" s="104"/>
      <c r="V95" s="104"/>
      <c r="W95" s="104"/>
      <c r="X95" s="1296"/>
    </row>
    <row r="96" spans="2:45" ht="15" thickTop="1" x14ac:dyDescent="0.3">
      <c r="B96" s="938">
        <v>1002.2</v>
      </c>
      <c r="C96" s="21"/>
      <c r="D96" s="21"/>
      <c r="E96" s="21"/>
      <c r="F96" s="21"/>
      <c r="G96" s="21"/>
      <c r="H96" s="1084"/>
      <c r="I96" s="152">
        <v>1002.2</v>
      </c>
      <c r="J96" s="4"/>
      <c r="K96" s="4"/>
      <c r="L96" s="1292" t="s">
        <v>3594</v>
      </c>
      <c r="M96" s="1335">
        <v>1</v>
      </c>
      <c r="N96" s="4"/>
      <c r="O96" s="1436">
        <f>IF(AND(COUNTIF(W100:W102,TRUE)=2,COUNTIF(W105:W121,TRUE)&gt;2,S100),ROUNDDOWN(COUNTIF(W105:W121,TRUE)/2,0),0)</f>
        <v>0</v>
      </c>
      <c r="X96" s="187"/>
      <c r="AL96" s="311" t="str">
        <f>SUBSTITUTE(SUBSTITUTE(SUBSTITUTE("dpa"&amp;$B96&amp;$C96&amp;$D96&amp;$E96&amp;$F96,".","_"),"(","_"),")","")</f>
        <v>dpa1002_2</v>
      </c>
      <c r="AM96" s="311">
        <f>M96</f>
        <v>1</v>
      </c>
      <c r="AN96" s="311" t="str">
        <f>SUBSTITUTE(SUBSTITUTE(SUBSTITUTE("dpc"&amp;$B96&amp;$C96&amp;$D96&amp;$E96&amp;$F96,".","_"),"(","_"),")","")</f>
        <v>dpc1002_2</v>
      </c>
      <c r="AO96" s="311">
        <f>O96</f>
        <v>0</v>
      </c>
    </row>
    <row r="97" spans="2:45" x14ac:dyDescent="0.3">
      <c r="B97" s="938">
        <v>1002.2</v>
      </c>
      <c r="C97" s="21"/>
      <c r="D97" s="21"/>
      <c r="E97" s="21"/>
      <c r="F97" s="21"/>
      <c r="G97" s="21"/>
      <c r="H97" s="1084"/>
      <c r="I97" s="4"/>
      <c r="J97" s="4"/>
      <c r="K97" s="4"/>
      <c r="L97" s="1292"/>
      <c r="M97" s="1335"/>
      <c r="N97" s="4"/>
      <c r="O97" s="1436"/>
      <c r="X97" s="187"/>
    </row>
    <row r="98" spans="2:45" x14ac:dyDescent="0.3">
      <c r="B98" s="938">
        <v>1002.2</v>
      </c>
      <c r="C98" s="21"/>
      <c r="D98" s="21"/>
      <c r="E98" s="21"/>
      <c r="F98" s="21"/>
      <c r="G98" s="21"/>
      <c r="H98" s="1084"/>
      <c r="I98" s="4"/>
      <c r="J98" s="4"/>
      <c r="K98" s="4"/>
      <c r="L98" s="1292"/>
      <c r="M98" s="1335"/>
      <c r="N98" s="4"/>
      <c r="O98" s="1436"/>
      <c r="X98" s="187"/>
    </row>
    <row r="99" spans="2:45" x14ac:dyDescent="0.3">
      <c r="B99" s="938">
        <v>1002.2</v>
      </c>
      <c r="C99" s="21"/>
      <c r="D99" s="21"/>
      <c r="E99" s="21"/>
      <c r="F99" s="21"/>
      <c r="G99" s="21"/>
      <c r="H99" s="1084"/>
      <c r="I99" s="4"/>
      <c r="J99" s="4"/>
      <c r="K99" s="4"/>
      <c r="L99" s="256" t="s">
        <v>3591</v>
      </c>
      <c r="M99" s="1335"/>
      <c r="N99" s="4"/>
      <c r="O99" s="1436"/>
      <c r="X99" s="187"/>
    </row>
    <row r="100" spans="2:45" x14ac:dyDescent="0.3">
      <c r="B100" s="938">
        <v>1002.2</v>
      </c>
      <c r="C100" s="21"/>
      <c r="D100" s="21"/>
      <c r="E100" s="21" t="s">
        <v>271</v>
      </c>
      <c r="F100" s="21"/>
      <c r="G100" s="21"/>
      <c r="H100" s="1084"/>
      <c r="I100" s="4"/>
      <c r="J100" s="203" t="s">
        <v>271</v>
      </c>
      <c r="K100" s="140"/>
      <c r="L100" s="1305" t="s">
        <v>3553</v>
      </c>
      <c r="M100" s="1351" t="str">
        <f>IF(R100,"Mandatory","N/A")</f>
        <v>N/A</v>
      </c>
      <c r="N100" s="4"/>
      <c r="O100" s="154"/>
      <c r="P100" s="789" t="b">
        <v>0</v>
      </c>
      <c r="Q100" s="789" t="b">
        <v>1</v>
      </c>
      <c r="R100" s="187" t="b">
        <f>S100</f>
        <v>0</v>
      </c>
      <c r="S100" s="187" t="b">
        <f>IF(AY19=INDEX(ddSingleOrMulti,2),TRUE,FALSE)</f>
        <v>0</v>
      </c>
      <c r="T100" s="97" t="b">
        <f>AND(NOT(S100),W100=TRUE)</f>
        <v>0</v>
      </c>
      <c r="W100" s="25"/>
      <c r="X100" s="1303"/>
      <c r="AC100" s="187" t="b">
        <f>OR(AD100:AE100)</f>
        <v>0</v>
      </c>
      <c r="AD100" s="187" t="b">
        <f>T100</f>
        <v>0</v>
      </c>
      <c r="AE100" s="1068" t="b">
        <f>AND(R100,NOT(W100=TRUE))</f>
        <v>0</v>
      </c>
      <c r="AL100" s="311" t="str">
        <f>SUBSTITUTE(SUBSTITUTE(SUBSTITUTE("dpa"&amp;$B100&amp;$C100&amp;$D100&amp;$E100&amp;$F100,".","_"),"(","_"),")","")</f>
        <v>dpa1002_2_1</v>
      </c>
      <c r="AM100" s="311" t="str">
        <f>M100</f>
        <v>N/A</v>
      </c>
      <c r="AP100" s="311" t="str">
        <f>SUBSTITUTE(SUBSTITUTE(SUBSTITUTE("dch"&amp;$B100&amp;$C100&amp;$D100&amp;$E100&amp;$F100,".","_"),"(","_"),")","")</f>
        <v>dch1002_2_1</v>
      </c>
      <c r="AQ100" s="311">
        <f>W100</f>
        <v>0</v>
      </c>
      <c r="AR100" s="311" t="str">
        <f>SUBSTITUTE(SUBSTITUTE(SUBSTITUTE("dnt"&amp;$B100&amp;$C100&amp;$D100&amp;$E100&amp;$F100,".","_"),"(","_"),")","")</f>
        <v>dnt1002_2_1</v>
      </c>
      <c r="AS100" s="311">
        <f>X100</f>
        <v>0</v>
      </c>
    </row>
    <row r="101" spans="2:45" x14ac:dyDescent="0.3">
      <c r="B101" s="938">
        <v>1002.2</v>
      </c>
      <c r="C101" s="21"/>
      <c r="D101" s="21"/>
      <c r="E101" s="21" t="s">
        <v>271</v>
      </c>
      <c r="F101" s="21"/>
      <c r="G101" s="21"/>
      <c r="H101" s="1084"/>
      <c r="I101" s="4"/>
      <c r="J101" s="231"/>
      <c r="K101" s="238"/>
      <c r="L101" s="1306"/>
      <c r="M101" s="1352" t="str">
        <f>IF(R101,"Mandatory","N/A")</f>
        <v>N/A</v>
      </c>
      <c r="N101" s="4"/>
      <c r="O101" s="154"/>
      <c r="X101" s="1303"/>
    </row>
    <row r="102" spans="2:45" x14ac:dyDescent="0.3">
      <c r="B102" s="938">
        <v>1002.2</v>
      </c>
      <c r="C102" s="21"/>
      <c r="D102" s="21"/>
      <c r="E102" s="21" t="s">
        <v>273</v>
      </c>
      <c r="F102" s="21"/>
      <c r="G102" s="21"/>
      <c r="H102" s="1084"/>
      <c r="I102" s="4"/>
      <c r="J102" s="237" t="s">
        <v>273</v>
      </c>
      <c r="K102" s="216"/>
      <c r="L102" s="1356" t="s">
        <v>3554</v>
      </c>
      <c r="M102" s="1388" t="str">
        <f>IF(R102,"Mandatory","N/A")</f>
        <v>N/A</v>
      </c>
      <c r="N102" s="4"/>
      <c r="O102" s="154"/>
      <c r="P102" s="789" t="b">
        <v>0</v>
      </c>
      <c r="Q102" s="789" t="b">
        <v>1</v>
      </c>
      <c r="R102" s="187" t="b">
        <f>S102</f>
        <v>0</v>
      </c>
      <c r="S102" s="187" t="b">
        <f>IF(AY19=INDEX(ddSingleOrMulti,2),TRUE,FALSE)</f>
        <v>0</v>
      </c>
      <c r="T102" s="97" t="b">
        <f>AND(NOT(S102),W102=TRUE)</f>
        <v>0</v>
      </c>
      <c r="W102" s="25"/>
      <c r="X102" s="1303"/>
      <c r="AC102" s="187" t="b">
        <f>OR(AD102:AE102)</f>
        <v>0</v>
      </c>
      <c r="AD102" s="187" t="b">
        <f>T102</f>
        <v>0</v>
      </c>
      <c r="AE102" s="187" t="b">
        <f>AND(R102,NOT(W102=TRUE))</f>
        <v>0</v>
      </c>
      <c r="AL102" s="311" t="str">
        <f>SUBSTITUTE(SUBSTITUTE(SUBSTITUTE("dpa"&amp;$B102&amp;$C102&amp;$D102&amp;$E102&amp;$F102,".","_"),"(","_"),")","")</f>
        <v>dpa1002_2_2</v>
      </c>
      <c r="AM102" s="311" t="str">
        <f>M102</f>
        <v>N/A</v>
      </c>
      <c r="AP102" s="311" t="str">
        <f>SUBSTITUTE(SUBSTITUTE(SUBSTITUTE("dch"&amp;$B102&amp;$C102&amp;$D102&amp;$E102&amp;$F102,".","_"),"(","_"),")","")</f>
        <v>dch1002_2_2</v>
      </c>
      <c r="AQ102" s="311">
        <f>W102</f>
        <v>0</v>
      </c>
      <c r="AR102" s="311" t="str">
        <f>SUBSTITUTE(SUBSTITUTE(SUBSTITUTE("dnt"&amp;$B102&amp;$C102&amp;$D102&amp;$E102&amp;$F102,".","_"),"(","_"),")","")</f>
        <v>dnt1002_2_2</v>
      </c>
      <c r="AS102" s="311">
        <f>X102</f>
        <v>0</v>
      </c>
    </row>
    <row r="103" spans="2:45" x14ac:dyDescent="0.3">
      <c r="B103" s="938">
        <v>1002.2</v>
      </c>
      <c r="C103" s="21"/>
      <c r="D103" s="21"/>
      <c r="E103" s="21" t="s">
        <v>273</v>
      </c>
      <c r="F103" s="21"/>
      <c r="G103" s="21"/>
      <c r="H103" s="1084"/>
      <c r="I103" s="4"/>
      <c r="J103" s="203"/>
      <c r="K103" s="140"/>
      <c r="L103" s="1305"/>
      <c r="M103" s="1351" t="str">
        <f>IF(R103,"Mandatory","N/A")</f>
        <v>N/A</v>
      </c>
      <c r="N103" s="4"/>
      <c r="O103" s="154"/>
      <c r="X103" s="1303"/>
    </row>
    <row r="104" spans="2:45" x14ac:dyDescent="0.3">
      <c r="B104" s="938">
        <v>1002.2</v>
      </c>
      <c r="C104" s="21"/>
      <c r="D104" s="21"/>
      <c r="E104" s="21" t="s">
        <v>273</v>
      </c>
      <c r="F104" s="21"/>
      <c r="G104" s="21"/>
      <c r="H104" s="1084"/>
      <c r="I104" s="4"/>
      <c r="J104" s="231"/>
      <c r="K104" s="238"/>
      <c r="L104" s="1306"/>
      <c r="M104" s="1352" t="str">
        <f>IF(R104,"Mandatory","N/A")</f>
        <v>N/A</v>
      </c>
      <c r="N104" s="4"/>
      <c r="O104" s="154"/>
      <c r="X104" s="1303"/>
    </row>
    <row r="105" spans="2:45" x14ac:dyDescent="0.3">
      <c r="B105" s="938">
        <v>1002.2</v>
      </c>
      <c r="C105" s="21"/>
      <c r="D105" s="21"/>
      <c r="E105" s="21" t="s">
        <v>275</v>
      </c>
      <c r="F105" s="21"/>
      <c r="G105" s="21"/>
      <c r="H105" s="1084"/>
      <c r="I105" s="4"/>
      <c r="J105" s="237" t="s">
        <v>275</v>
      </c>
      <c r="K105" s="216"/>
      <c r="L105" s="1356" t="s">
        <v>3523</v>
      </c>
      <c r="M105" s="154"/>
      <c r="N105" s="4"/>
      <c r="O105" s="154"/>
      <c r="P105" s="789" t="b">
        <v>0</v>
      </c>
      <c r="Q105" s="789" t="b">
        <v>1</v>
      </c>
      <c r="R105" s="187" t="b">
        <v>0</v>
      </c>
      <c r="S105" s="187" t="b">
        <f>IF(AY19=INDEX(ddSingleOrMulti,2),TRUE,FALSE)</f>
        <v>0</v>
      </c>
      <c r="T105" s="97" t="b">
        <f>AND(NOT(S105),W105=TRUE)</f>
        <v>0</v>
      </c>
      <c r="W105" s="25"/>
      <c r="X105" s="1303"/>
      <c r="AC105" s="187" t="b">
        <f>OR(AD105:AE105)</f>
        <v>0</v>
      </c>
      <c r="AD105" s="187" t="b">
        <f>T105</f>
        <v>0</v>
      </c>
      <c r="AP105" s="311" t="str">
        <f>SUBSTITUTE(SUBSTITUTE(SUBSTITUTE("dch"&amp;$B105&amp;$C105&amp;$D105&amp;$E105&amp;$F105,".","_"),"(","_"),")","")</f>
        <v>dch1002_2_3</v>
      </c>
      <c r="AQ105" s="311">
        <f>W105</f>
        <v>0</v>
      </c>
      <c r="AR105" s="311" t="str">
        <f>SUBSTITUTE(SUBSTITUTE(SUBSTITUTE("dnt"&amp;$B105&amp;$C105&amp;$D105&amp;$E105&amp;$F105,".","_"),"(","_"),")","")</f>
        <v>dnt1002_2_3</v>
      </c>
      <c r="AS105" s="311">
        <f>X105</f>
        <v>0</v>
      </c>
    </row>
    <row r="106" spans="2:45" x14ac:dyDescent="0.3">
      <c r="B106" s="938">
        <v>1002.2</v>
      </c>
      <c r="C106" s="21"/>
      <c r="D106" s="21"/>
      <c r="E106" s="21" t="s">
        <v>275</v>
      </c>
      <c r="F106" s="21"/>
      <c r="G106" s="21"/>
      <c r="H106" s="1084"/>
      <c r="I106" s="4"/>
      <c r="J106" s="238"/>
      <c r="K106" s="238"/>
      <c r="L106" s="1306"/>
      <c r="M106" s="154"/>
      <c r="N106" s="4"/>
      <c r="O106" s="154"/>
      <c r="X106" s="1303"/>
    </row>
    <row r="107" spans="2:45" x14ac:dyDescent="0.3">
      <c r="B107" s="938">
        <v>1002.2</v>
      </c>
      <c r="C107" s="21"/>
      <c r="D107" s="21"/>
      <c r="E107" s="21" t="s">
        <v>285</v>
      </c>
      <c r="F107" s="21"/>
      <c r="G107" s="21"/>
      <c r="H107" s="1084"/>
      <c r="I107" s="4"/>
      <c r="J107" s="27" t="s">
        <v>285</v>
      </c>
      <c r="K107" s="4"/>
      <c r="L107" s="1329" t="s">
        <v>3555</v>
      </c>
      <c r="M107" s="154"/>
      <c r="N107" s="4"/>
      <c r="O107" s="154"/>
      <c r="P107" s="789" t="b">
        <v>0</v>
      </c>
      <c r="Q107" s="789" t="b">
        <v>1</v>
      </c>
      <c r="R107" s="187" t="b">
        <v>0</v>
      </c>
      <c r="S107" s="187" t="b">
        <f>IF(AY19=INDEX(ddSingleOrMulti,2),TRUE,FALSE)</f>
        <v>0</v>
      </c>
      <c r="T107" s="97" t="b">
        <f>AND(NOT(S107),W107=TRUE)</f>
        <v>0</v>
      </c>
      <c r="W107" s="25"/>
      <c r="X107" s="1303"/>
      <c r="AC107" s="187" t="b">
        <f>OR(AD107:AE107)</f>
        <v>0</v>
      </c>
      <c r="AD107" s="187" t="b">
        <f>T107</f>
        <v>0</v>
      </c>
      <c r="AP107" s="311" t="str">
        <f>SUBSTITUTE(SUBSTITUTE(SUBSTITUTE("dch"&amp;$B107&amp;$C107&amp;$D107&amp;$E107&amp;$F107,".","_"),"(","_"),")","")</f>
        <v>dch1002_2_4</v>
      </c>
      <c r="AQ107" s="311">
        <f>W107</f>
        <v>0</v>
      </c>
      <c r="AR107" s="311" t="str">
        <f>SUBSTITUTE(SUBSTITUTE(SUBSTITUTE("dnt"&amp;$B107&amp;$C107&amp;$D107&amp;$E107&amp;$F107,".","_"),"(","_"),")","")</f>
        <v>dnt1002_2_4</v>
      </c>
      <c r="AS107" s="311">
        <f>X107</f>
        <v>0</v>
      </c>
    </row>
    <row r="108" spans="2:45" x14ac:dyDescent="0.3">
      <c r="B108" s="938">
        <v>1002.2</v>
      </c>
      <c r="C108" s="21"/>
      <c r="D108" s="21"/>
      <c r="E108" s="21" t="s">
        <v>285</v>
      </c>
      <c r="F108" s="21"/>
      <c r="G108" s="21"/>
      <c r="H108" s="1084"/>
      <c r="I108" s="4"/>
      <c r="J108" s="4"/>
      <c r="K108" s="4"/>
      <c r="L108" s="1329"/>
      <c r="M108" s="154"/>
      <c r="N108" s="4"/>
      <c r="O108" s="154"/>
      <c r="X108" s="1303"/>
    </row>
    <row r="109" spans="2:45" x14ac:dyDescent="0.3">
      <c r="B109" s="938">
        <v>1002.2</v>
      </c>
      <c r="C109" s="21"/>
      <c r="D109" s="21"/>
      <c r="E109" s="21" t="s">
        <v>285</v>
      </c>
      <c r="F109" s="21"/>
      <c r="G109" s="21"/>
      <c r="H109" s="1084"/>
      <c r="I109" s="4"/>
      <c r="J109" s="4"/>
      <c r="K109" s="4"/>
      <c r="L109" s="1329"/>
      <c r="M109" s="154"/>
      <c r="N109" s="4"/>
      <c r="O109" s="154"/>
      <c r="X109" s="1303"/>
    </row>
    <row r="110" spans="2:45" x14ac:dyDescent="0.3">
      <c r="B110" s="938">
        <v>1002.2</v>
      </c>
      <c r="C110" s="21"/>
      <c r="D110" s="21"/>
      <c r="E110" s="21" t="s">
        <v>291</v>
      </c>
      <c r="F110" s="21"/>
      <c r="G110" s="21"/>
      <c r="H110" s="1084"/>
      <c r="I110" s="4"/>
      <c r="J110" s="237" t="s">
        <v>291</v>
      </c>
      <c r="K110" s="216"/>
      <c r="L110" s="1356" t="s">
        <v>3556</v>
      </c>
      <c r="M110" s="154"/>
      <c r="N110" s="4"/>
      <c r="O110" s="154"/>
      <c r="P110" s="789" t="b">
        <v>0</v>
      </c>
      <c r="Q110" s="789" t="b">
        <v>1</v>
      </c>
      <c r="R110" s="187" t="b">
        <v>0</v>
      </c>
      <c r="S110" s="187" t="b">
        <f>IF(AY19=INDEX(ddSingleOrMulti,2),TRUE,FALSE)</f>
        <v>0</v>
      </c>
      <c r="T110" s="97" t="b">
        <f>AND(NOT(S110),W110=TRUE)</f>
        <v>0</v>
      </c>
      <c r="W110" s="25"/>
      <c r="X110" s="1303"/>
      <c r="AC110" s="187" t="b">
        <f>OR(AD110:AE110)</f>
        <v>0</v>
      </c>
      <c r="AD110" s="187" t="b">
        <f>T110</f>
        <v>0</v>
      </c>
      <c r="AP110" s="311" t="str">
        <f>SUBSTITUTE(SUBSTITUTE(SUBSTITUTE("dch"&amp;$B110&amp;$C110&amp;$D110&amp;$E110&amp;$F110,".","_"),"(","_"),")","")</f>
        <v>dch1002_2_5</v>
      </c>
      <c r="AQ110" s="311">
        <f>W110</f>
        <v>0</v>
      </c>
      <c r="AR110" s="311" t="str">
        <f>SUBSTITUTE(SUBSTITUTE(SUBSTITUTE("dnt"&amp;$B110&amp;$C110&amp;$D110&amp;$E110&amp;$F110,".","_"),"(","_"),")","")</f>
        <v>dnt1002_2_5</v>
      </c>
      <c r="AS110" s="311">
        <f>X110</f>
        <v>0</v>
      </c>
    </row>
    <row r="111" spans="2:45" x14ac:dyDescent="0.3">
      <c r="B111" s="938">
        <v>1002.2</v>
      </c>
      <c r="C111" s="21"/>
      <c r="D111" s="21"/>
      <c r="E111" s="21" t="s">
        <v>291</v>
      </c>
      <c r="F111" s="21"/>
      <c r="G111" s="21"/>
      <c r="H111" s="1084"/>
      <c r="I111" s="4"/>
      <c r="J111" s="231"/>
      <c r="K111" s="238"/>
      <c r="L111" s="1306"/>
      <c r="M111" s="154"/>
      <c r="N111" s="4"/>
      <c r="O111" s="154"/>
      <c r="X111" s="1303"/>
    </row>
    <row r="112" spans="2:45" x14ac:dyDescent="0.3">
      <c r="B112" s="938">
        <v>1002.2</v>
      </c>
      <c r="C112" s="21"/>
      <c r="D112" s="21"/>
      <c r="E112" s="21" t="s">
        <v>293</v>
      </c>
      <c r="F112" s="21"/>
      <c r="G112" s="21"/>
      <c r="H112" s="1084"/>
      <c r="I112" s="4"/>
      <c r="J112" s="27" t="s">
        <v>293</v>
      </c>
      <c r="K112" s="4"/>
      <c r="L112" s="1074" t="s">
        <v>3506</v>
      </c>
      <c r="M112" s="154"/>
      <c r="N112" s="4"/>
      <c r="O112" s="154"/>
      <c r="P112" s="789" t="b">
        <v>0</v>
      </c>
      <c r="Q112" s="789" t="b">
        <v>1</v>
      </c>
      <c r="R112" s="187" t="b">
        <v>0</v>
      </c>
      <c r="S112" s="187" t="b">
        <f>IF(AY19=INDEX(ddSingleOrMulti,2),TRUE,FALSE)</f>
        <v>0</v>
      </c>
      <c r="T112" s="97" t="b">
        <f>AND(NOT(S112),W112=TRUE)</f>
        <v>0</v>
      </c>
      <c r="W112" s="25"/>
      <c r="X112" s="188"/>
      <c r="AC112" s="187" t="b">
        <f>OR(AD112:AE112)</f>
        <v>0</v>
      </c>
      <c r="AD112" s="187" t="b">
        <f>T112</f>
        <v>0</v>
      </c>
      <c r="AP112" s="311" t="str">
        <f t="shared" ref="AP112:AP113" si="11">SUBSTITUTE(SUBSTITUTE(SUBSTITUTE("dch"&amp;$B112&amp;$C112&amp;$D112&amp;$E112&amp;$F112,".","_"),"(","_"),")","")</f>
        <v>dch1002_2_6</v>
      </c>
      <c r="AQ112" s="311">
        <f>W112</f>
        <v>0</v>
      </c>
      <c r="AR112" s="311" t="str">
        <f>SUBSTITUTE(SUBSTITUTE(SUBSTITUTE("dnt"&amp;$B112&amp;$C112&amp;$D112&amp;$E112&amp;$F112,".","_"),"(","_"),")","")</f>
        <v>dnt1002_2_6</v>
      </c>
      <c r="AS112" s="311">
        <f>X112</f>
        <v>0</v>
      </c>
    </row>
    <row r="113" spans="2:45" x14ac:dyDescent="0.3">
      <c r="B113" s="938">
        <v>1002.2</v>
      </c>
      <c r="C113" s="21"/>
      <c r="D113" s="21"/>
      <c r="E113" s="21" t="s">
        <v>405</v>
      </c>
      <c r="F113" s="21"/>
      <c r="G113" s="21"/>
      <c r="H113" s="1084"/>
      <c r="I113" s="4"/>
      <c r="J113" s="237" t="s">
        <v>405</v>
      </c>
      <c r="K113" s="216"/>
      <c r="L113" s="1356" t="s">
        <v>3557</v>
      </c>
      <c r="M113" s="154"/>
      <c r="N113" s="4"/>
      <c r="O113" s="154"/>
      <c r="P113" s="789" t="b">
        <v>0</v>
      </c>
      <c r="Q113" s="789" t="b">
        <v>1</v>
      </c>
      <c r="R113" s="187" t="b">
        <v>0</v>
      </c>
      <c r="S113" s="187" t="b">
        <f>IF(AY19=INDEX(ddSingleOrMulti,2),TRUE,FALSE)</f>
        <v>0</v>
      </c>
      <c r="T113" s="97" t="b">
        <f>AND(NOT(S113),W113=TRUE)</f>
        <v>0</v>
      </c>
      <c r="W113" s="25"/>
      <c r="X113" s="1303"/>
      <c r="AC113" s="187" t="b">
        <f>OR(AD113:AE113)</f>
        <v>0</v>
      </c>
      <c r="AD113" s="187" t="b">
        <f>T113</f>
        <v>0</v>
      </c>
      <c r="AP113" s="311" t="str">
        <f t="shared" si="11"/>
        <v>dch1002_2_7</v>
      </c>
      <c r="AQ113" s="311">
        <f>W113</f>
        <v>0</v>
      </c>
      <c r="AR113" s="311" t="str">
        <f>SUBSTITUTE(SUBSTITUTE(SUBSTITUTE("dnt"&amp;$B113&amp;$C113&amp;$D113&amp;$E113&amp;$F113,".","_"),"(","_"),")","")</f>
        <v>dnt1002_2_7</v>
      </c>
      <c r="AS113" s="311">
        <f>X113</f>
        <v>0</v>
      </c>
    </row>
    <row r="114" spans="2:45" x14ac:dyDescent="0.3">
      <c r="B114" s="938">
        <v>1002.2</v>
      </c>
      <c r="C114" s="21"/>
      <c r="D114" s="21"/>
      <c r="E114" s="21" t="s">
        <v>405</v>
      </c>
      <c r="F114" s="21"/>
      <c r="G114" s="21"/>
      <c r="H114" s="1084"/>
      <c r="I114" s="4"/>
      <c r="J114" s="238"/>
      <c r="K114" s="238"/>
      <c r="L114" s="1306"/>
      <c r="M114" s="154"/>
      <c r="N114" s="4"/>
      <c r="O114" s="154"/>
      <c r="X114" s="1303"/>
    </row>
    <row r="115" spans="2:45" x14ac:dyDescent="0.3">
      <c r="B115" s="938">
        <v>1002.2</v>
      </c>
      <c r="C115" s="21"/>
      <c r="D115" s="21"/>
      <c r="E115" s="21" t="s">
        <v>456</v>
      </c>
      <c r="F115" s="21"/>
      <c r="G115" s="21"/>
      <c r="H115" s="1084"/>
      <c r="I115" s="4"/>
      <c r="J115" s="27" t="s">
        <v>456</v>
      </c>
      <c r="K115" s="4"/>
      <c r="L115" s="1367" t="s">
        <v>3521</v>
      </c>
      <c r="M115" s="154"/>
      <c r="N115" s="4"/>
      <c r="O115" s="154"/>
      <c r="P115" s="789" t="b">
        <v>0</v>
      </c>
      <c r="Q115" s="789" t="b">
        <v>1</v>
      </c>
      <c r="R115" s="187" t="b">
        <v>0</v>
      </c>
      <c r="S115" s="187" t="b">
        <f>IF(AY19=INDEX(ddSingleOrMulti,2),TRUE,FALSE)</f>
        <v>0</v>
      </c>
      <c r="T115" s="97" t="b">
        <f>AND(NOT(S115),W115=TRUE)</f>
        <v>0</v>
      </c>
      <c r="W115" s="25"/>
      <c r="X115" s="1303"/>
      <c r="AC115" s="187" t="b">
        <f>OR(AD115:AE115)</f>
        <v>0</v>
      </c>
      <c r="AD115" s="187" t="b">
        <f>T115</f>
        <v>0</v>
      </c>
      <c r="AP115" s="311" t="str">
        <f>SUBSTITUTE(SUBSTITUTE(SUBSTITUTE("dch"&amp;$B115&amp;$C115&amp;$D115&amp;$E115&amp;$F115,".","_"),"(","_"),")","")</f>
        <v>dch1002_2_8</v>
      </c>
      <c r="AQ115" s="311">
        <f>W115</f>
        <v>0</v>
      </c>
      <c r="AR115" s="311" t="str">
        <f>SUBSTITUTE(SUBSTITUTE(SUBSTITUTE("dnt"&amp;$B115&amp;$C115&amp;$D115&amp;$E115&amp;$F115,".","_"),"(","_"),")","")</f>
        <v>dnt1002_2_8</v>
      </c>
      <c r="AS115" s="311">
        <f>X115</f>
        <v>0</v>
      </c>
    </row>
    <row r="116" spans="2:45" x14ac:dyDescent="0.3">
      <c r="B116" s="938">
        <v>1002.2</v>
      </c>
      <c r="C116" s="21"/>
      <c r="D116" s="21"/>
      <c r="E116" s="21" t="s">
        <v>456</v>
      </c>
      <c r="F116" s="21"/>
      <c r="G116" s="21"/>
      <c r="H116" s="1084"/>
      <c r="I116" s="4"/>
      <c r="J116" s="27"/>
      <c r="K116" s="4"/>
      <c r="L116" s="1367"/>
      <c r="M116" s="154"/>
      <c r="N116" s="4"/>
      <c r="O116" s="154"/>
      <c r="X116" s="1303"/>
    </row>
    <row r="117" spans="2:45" x14ac:dyDescent="0.3">
      <c r="B117" s="938">
        <v>1002.2</v>
      </c>
      <c r="C117" s="21"/>
      <c r="D117" s="21"/>
      <c r="E117" s="21" t="s">
        <v>458</v>
      </c>
      <c r="F117" s="21"/>
      <c r="G117" s="21"/>
      <c r="H117" s="1084"/>
      <c r="I117" s="4"/>
      <c r="J117" s="237" t="s">
        <v>458</v>
      </c>
      <c r="K117" s="216"/>
      <c r="L117" s="1073" t="s">
        <v>3558</v>
      </c>
      <c r="M117" s="154"/>
      <c r="N117" s="4"/>
      <c r="O117" s="154"/>
      <c r="P117" s="789" t="b">
        <v>0</v>
      </c>
      <c r="Q117" s="789" t="b">
        <v>1</v>
      </c>
      <c r="R117" s="187" t="b">
        <v>0</v>
      </c>
      <c r="S117" s="187" t="b">
        <f>IF(AY19=INDEX(ddSingleOrMulti,2),TRUE,FALSE)</f>
        <v>0</v>
      </c>
      <c r="T117" s="97" t="b">
        <f>AND(NOT(S117),W117=TRUE)</f>
        <v>0</v>
      </c>
      <c r="W117" s="25"/>
      <c r="X117" s="188"/>
      <c r="AC117" s="187" t="b">
        <f>OR(AD117:AE117)</f>
        <v>0</v>
      </c>
      <c r="AD117" s="187" t="b">
        <f>T117</f>
        <v>0</v>
      </c>
      <c r="AP117" s="311" t="str">
        <f t="shared" ref="AP117:AP118" si="12">SUBSTITUTE(SUBSTITUTE(SUBSTITUTE("dch"&amp;$B117&amp;$C117&amp;$D117&amp;$E117&amp;$F117,".","_"),"(","_"),")","")</f>
        <v>dch1002_2_9</v>
      </c>
      <c r="AQ117" s="311">
        <f>W117</f>
        <v>0</v>
      </c>
      <c r="AR117" s="311" t="str">
        <f>SUBSTITUTE(SUBSTITUTE(SUBSTITUTE("dnt"&amp;$B117&amp;$C117&amp;$D117&amp;$E117&amp;$F117,".","_"),"(","_"),")","")</f>
        <v>dnt1002_2_9</v>
      </c>
      <c r="AS117" s="311">
        <f>X117</f>
        <v>0</v>
      </c>
    </row>
    <row r="118" spans="2:45" x14ac:dyDescent="0.3">
      <c r="B118" s="938">
        <v>1002.2</v>
      </c>
      <c r="C118" s="21"/>
      <c r="D118" s="21"/>
      <c r="E118" s="21" t="s">
        <v>460</v>
      </c>
      <c r="F118" s="21"/>
      <c r="G118" s="21"/>
      <c r="H118" s="1084"/>
      <c r="I118" s="4"/>
      <c r="J118" s="237" t="s">
        <v>460</v>
      </c>
      <c r="K118" s="216"/>
      <c r="L118" s="1356" t="s">
        <v>3559</v>
      </c>
      <c r="M118" s="154"/>
      <c r="N118" s="4"/>
      <c r="O118" s="154"/>
      <c r="P118" s="789" t="b">
        <v>0</v>
      </c>
      <c r="Q118" s="789" t="b">
        <v>1</v>
      </c>
      <c r="R118" s="187" t="b">
        <v>0</v>
      </c>
      <c r="S118" s="187" t="b">
        <f>IF(AY19=INDEX(ddSingleOrMulti,2),TRUE,FALSE)</f>
        <v>0</v>
      </c>
      <c r="T118" s="97" t="b">
        <f>AND(NOT(S118),W118=TRUE)</f>
        <v>0</v>
      </c>
      <c r="W118" s="25"/>
      <c r="X118" s="1303"/>
      <c r="AC118" s="187" t="b">
        <f>OR(AD118:AE118)</f>
        <v>0</v>
      </c>
      <c r="AD118" s="187" t="b">
        <f>T118</f>
        <v>0</v>
      </c>
      <c r="AP118" s="311" t="str">
        <f t="shared" si="12"/>
        <v>dch1002_2_10</v>
      </c>
      <c r="AQ118" s="311">
        <f>W118</f>
        <v>0</v>
      </c>
      <c r="AR118" s="311" t="str">
        <f>SUBSTITUTE(SUBSTITUTE(SUBSTITUTE("dnt"&amp;$B118&amp;$C118&amp;$D118&amp;$E118&amp;$F118,".","_"),"(","_"),")","")</f>
        <v>dnt1002_2_10</v>
      </c>
      <c r="AS118" s="311">
        <f>X118</f>
        <v>0</v>
      </c>
    </row>
    <row r="119" spans="2:45" x14ac:dyDescent="0.3">
      <c r="B119" s="938">
        <v>1002.2</v>
      </c>
      <c r="C119" s="21"/>
      <c r="D119" s="21"/>
      <c r="E119" s="21" t="s">
        <v>460</v>
      </c>
      <c r="F119" s="21"/>
      <c r="G119" s="21"/>
      <c r="H119" s="1084"/>
      <c r="I119" s="4"/>
      <c r="J119" s="203"/>
      <c r="K119" s="140"/>
      <c r="L119" s="1305"/>
      <c r="M119" s="154"/>
      <c r="N119" s="4"/>
      <c r="O119" s="154"/>
      <c r="X119" s="1303"/>
    </row>
    <row r="120" spans="2:45" x14ac:dyDescent="0.3">
      <c r="B120" s="938">
        <v>1002.2</v>
      </c>
      <c r="C120" s="21"/>
      <c r="D120" s="21"/>
      <c r="E120" s="21" t="s">
        <v>460</v>
      </c>
      <c r="F120" s="21"/>
      <c r="G120" s="21"/>
      <c r="H120" s="1084"/>
      <c r="I120" s="4"/>
      <c r="J120" s="231"/>
      <c r="K120" s="238"/>
      <c r="L120" s="1306"/>
      <c r="M120" s="154"/>
      <c r="N120" s="4"/>
      <c r="O120" s="154"/>
      <c r="X120" s="1303"/>
    </row>
    <row r="121" spans="2:45" x14ac:dyDescent="0.3">
      <c r="B121" s="938">
        <v>1002.2</v>
      </c>
      <c r="C121" s="21"/>
      <c r="D121" s="21"/>
      <c r="E121" s="21" t="s">
        <v>462</v>
      </c>
      <c r="F121" s="21"/>
      <c r="G121" s="21"/>
      <c r="H121" s="1084"/>
      <c r="I121" s="140"/>
      <c r="J121" s="203" t="s">
        <v>462</v>
      </c>
      <c r="K121" s="140"/>
      <c r="L121" s="1293" t="s">
        <v>3560</v>
      </c>
      <c r="M121" s="1353" t="str">
        <f ca="1">IF(R121,"Mandatory per 902.2.1","N/A")</f>
        <v>N/A</v>
      </c>
      <c r="N121" s="140"/>
      <c r="O121" s="269"/>
      <c r="P121" s="789" t="b">
        <v>0</v>
      </c>
      <c r="Q121" s="789" t="b">
        <v>1</v>
      </c>
      <c r="R121" s="221" t="b">
        <f ca="1">AND(S121,OR('Ch9'!O211&gt;0,'Ch9'!R211))</f>
        <v>0</v>
      </c>
      <c r="S121" s="97" t="b">
        <f>IF(AY19=INDEX(ddSingleOrMulti,2),TRUE,FALSE)</f>
        <v>0</v>
      </c>
      <c r="T121" s="97" t="b">
        <f>AND(NOT(S121),W121=TRUE)</f>
        <v>0</v>
      </c>
      <c r="U121" s="97"/>
      <c r="V121" s="97"/>
      <c r="W121" s="25"/>
      <c r="X121" s="1295"/>
      <c r="AC121" s="187" t="b">
        <f ca="1">OR(AD121:AE121)</f>
        <v>0</v>
      </c>
      <c r="AD121" s="187" t="b">
        <f>T121</f>
        <v>0</v>
      </c>
      <c r="AE121" s="1068" t="b">
        <f ca="1">AND(R121,NOT(W121=TRUE))</f>
        <v>0</v>
      </c>
      <c r="AP121" s="311" t="str">
        <f>SUBSTITUTE(SUBSTITUTE(SUBSTITUTE("dch"&amp;$B121&amp;$C121&amp;$D121&amp;$E121&amp;$F121,".","_"),"(","_"),")","")</f>
        <v>dch1002_2_11</v>
      </c>
      <c r="AQ121" s="311">
        <f>W121</f>
        <v>0</v>
      </c>
      <c r="AR121" s="311" t="str">
        <f>SUBSTITUTE(SUBSTITUTE(SUBSTITUTE("dnt"&amp;$B121&amp;$C121&amp;$D121&amp;$E121&amp;$F121,".","_"),"(","_"),")","")</f>
        <v>dnt1002_2_11</v>
      </c>
      <c r="AS121" s="311">
        <f>X121</f>
        <v>0</v>
      </c>
    </row>
    <row r="122" spans="2:45" ht="15" thickBot="1" x14ac:dyDescent="0.35">
      <c r="B122" s="938">
        <v>1002.2</v>
      </c>
      <c r="C122" s="21"/>
      <c r="D122" s="21"/>
      <c r="E122" s="21" t="s">
        <v>462</v>
      </c>
      <c r="F122" s="21"/>
      <c r="G122" s="21"/>
      <c r="H122" s="1084"/>
      <c r="I122" s="270"/>
      <c r="J122" s="213"/>
      <c r="K122" s="270"/>
      <c r="L122" s="1348"/>
      <c r="M122" s="1437"/>
      <c r="N122" s="270"/>
      <c r="O122" s="271"/>
      <c r="P122" s="104"/>
      <c r="Q122" s="104"/>
      <c r="R122" s="104"/>
      <c r="S122" s="104"/>
      <c r="T122" s="104"/>
      <c r="U122" s="104"/>
      <c r="V122" s="104"/>
      <c r="W122" s="104"/>
      <c r="X122" s="1296"/>
    </row>
    <row r="123" spans="2:45" ht="15" thickTop="1" x14ac:dyDescent="0.3">
      <c r="B123" s="938">
        <v>1002.3</v>
      </c>
      <c r="C123" s="21"/>
      <c r="D123" s="21"/>
      <c r="E123" s="21"/>
      <c r="F123" s="21"/>
      <c r="G123" s="21"/>
      <c r="H123" s="1084"/>
      <c r="I123" s="152">
        <v>1002.3</v>
      </c>
      <c r="J123" s="4"/>
      <c r="K123" s="4"/>
      <c r="L123" s="1292" t="s">
        <v>3595</v>
      </c>
      <c r="M123" s="1335">
        <v>1</v>
      </c>
      <c r="N123" s="4"/>
      <c r="O123" s="1436">
        <f>IF(AND(W127=TRUE,COUNTIF(W129:W148,TRUE)&gt;3,S127),ROUNDDOWN(COUNTIF(W129:W148,TRUE)/2,0),0)</f>
        <v>0</v>
      </c>
      <c r="AL123" s="311" t="str">
        <f>SUBSTITUTE(SUBSTITUTE(SUBSTITUTE("dpa"&amp;$B123&amp;$C123&amp;$D123&amp;$E123&amp;$F123,".","_"),"(","_"),")","")</f>
        <v>dpa1002_3</v>
      </c>
      <c r="AM123" s="311">
        <f>M123</f>
        <v>1</v>
      </c>
      <c r="AN123" s="311" t="str">
        <f>SUBSTITUTE(SUBSTITUTE(SUBSTITUTE("dpc"&amp;$B123&amp;$C123&amp;$D123&amp;$E123&amp;$F123,".","_"),"(","_"),")","")</f>
        <v>dpc1002_3</v>
      </c>
      <c r="AO123" s="311">
        <f>O123</f>
        <v>0</v>
      </c>
    </row>
    <row r="124" spans="2:45" x14ac:dyDescent="0.3">
      <c r="B124" s="938">
        <v>1002.3</v>
      </c>
      <c r="C124" s="21"/>
      <c r="D124" s="21"/>
      <c r="E124" s="21"/>
      <c r="F124" s="21"/>
      <c r="G124" s="21"/>
      <c r="H124" s="1084"/>
      <c r="I124" s="4"/>
      <c r="J124" s="4"/>
      <c r="K124" s="4"/>
      <c r="L124" s="1292"/>
      <c r="M124" s="1335"/>
      <c r="N124" s="4"/>
      <c r="O124" s="1436"/>
    </row>
    <row r="125" spans="2:45" x14ac:dyDescent="0.3">
      <c r="B125" s="938">
        <v>1002.3</v>
      </c>
      <c r="C125" s="21"/>
      <c r="D125" s="21"/>
      <c r="E125" s="21"/>
      <c r="F125" s="21"/>
      <c r="G125" s="21"/>
      <c r="H125" s="1084"/>
      <c r="I125" s="4"/>
      <c r="J125" s="4"/>
      <c r="K125" s="4"/>
      <c r="L125" s="1292"/>
      <c r="M125" s="1335"/>
      <c r="N125" s="4"/>
      <c r="O125" s="1436"/>
    </row>
    <row r="126" spans="2:45" x14ac:dyDescent="0.3">
      <c r="B126" s="938">
        <v>1002.3</v>
      </c>
      <c r="C126" s="21"/>
      <c r="D126" s="21"/>
      <c r="E126" s="21"/>
      <c r="F126" s="21"/>
      <c r="G126" s="21"/>
      <c r="H126" s="1084"/>
      <c r="I126" s="4"/>
      <c r="J126" s="4"/>
      <c r="K126" s="4"/>
      <c r="L126" s="256" t="s">
        <v>3591</v>
      </c>
      <c r="M126" s="1335"/>
      <c r="N126" s="4"/>
      <c r="O126" s="1436"/>
    </row>
    <row r="127" spans="2:45" x14ac:dyDescent="0.3">
      <c r="B127" s="938">
        <v>1002.3</v>
      </c>
      <c r="C127" s="21"/>
      <c r="D127" s="21"/>
      <c r="E127" s="21" t="s">
        <v>271</v>
      </c>
      <c r="F127" s="21"/>
      <c r="G127" s="21"/>
      <c r="H127" s="1084"/>
      <c r="I127" s="4"/>
      <c r="J127" s="203" t="s">
        <v>271</v>
      </c>
      <c r="K127" s="140"/>
      <c r="L127" s="1305" t="s">
        <v>3561</v>
      </c>
      <c r="M127" s="1351" t="str">
        <f>IF(R127,"Mandatory","N/A")</f>
        <v>N/A</v>
      </c>
      <c r="N127" s="4"/>
      <c r="O127" s="154"/>
      <c r="P127" s="789" t="b">
        <v>0</v>
      </c>
      <c r="Q127" s="789" t="b">
        <v>1</v>
      </c>
      <c r="R127" s="187" t="b">
        <f>S127</f>
        <v>0</v>
      </c>
      <c r="S127" s="187" t="b">
        <f>IF(AY19=INDEX(ddSingleOrMulti,2),TRUE,FALSE)</f>
        <v>0</v>
      </c>
      <c r="T127" s="97" t="b">
        <f>AND(NOT(S127),W127=TRUE)</f>
        <v>0</v>
      </c>
      <c r="W127" s="25"/>
      <c r="X127" s="1303"/>
      <c r="AC127" s="187" t="b">
        <f>OR(AD127:AE127)</f>
        <v>0</v>
      </c>
      <c r="AD127" s="187" t="b">
        <f>T127</f>
        <v>0</v>
      </c>
      <c r="AE127" s="187" t="b">
        <f>AND(R127,O123&lt;1)</f>
        <v>0</v>
      </c>
      <c r="AL127" s="311" t="str">
        <f>SUBSTITUTE(SUBSTITUTE(SUBSTITUTE("dpa"&amp;$B127&amp;$C127&amp;$D127&amp;$E127&amp;$F127,".","_"),"(","_"),")","")</f>
        <v>dpa1002_3_1</v>
      </c>
      <c r="AM127" s="311" t="str">
        <f>M127</f>
        <v>N/A</v>
      </c>
      <c r="AP127" s="311" t="str">
        <f>SUBSTITUTE(SUBSTITUTE(SUBSTITUTE("dch"&amp;$B127&amp;$C127&amp;$D127&amp;$E127&amp;$F127,".","_"),"(","_"),")","")</f>
        <v>dch1002_3_1</v>
      </c>
      <c r="AQ127" s="311">
        <f>W127</f>
        <v>0</v>
      </c>
      <c r="AR127" s="311" t="str">
        <f>SUBSTITUTE(SUBSTITUTE(SUBSTITUTE("dnt"&amp;$B127&amp;$C127&amp;$D127&amp;$E127&amp;$F127,".","_"),"(","_"),")","")</f>
        <v>dnt1002_3_1</v>
      </c>
      <c r="AS127" s="311">
        <f>X127</f>
        <v>0</v>
      </c>
    </row>
    <row r="128" spans="2:45" x14ac:dyDescent="0.3">
      <c r="B128" s="938">
        <v>1002.3</v>
      </c>
      <c r="C128" s="21"/>
      <c r="D128" s="21"/>
      <c r="E128" s="21" t="s">
        <v>271</v>
      </c>
      <c r="F128" s="21"/>
      <c r="G128" s="21"/>
      <c r="H128" s="1084"/>
      <c r="I128" s="4"/>
      <c r="J128" s="231"/>
      <c r="K128" s="238"/>
      <c r="L128" s="1306"/>
      <c r="M128" s="1352" t="str">
        <f>IF(R128,"Mandatory","N/A")</f>
        <v>N/A</v>
      </c>
      <c r="N128" s="4"/>
      <c r="O128" s="154"/>
      <c r="X128" s="1303"/>
    </row>
    <row r="129" spans="2:45" x14ac:dyDescent="0.3">
      <c r="B129" s="938">
        <v>1002.3</v>
      </c>
      <c r="C129" s="21"/>
      <c r="D129" s="21"/>
      <c r="E129" s="21" t="s">
        <v>273</v>
      </c>
      <c r="F129" s="21"/>
      <c r="G129" s="21"/>
      <c r="H129" s="1084"/>
      <c r="I129" s="4"/>
      <c r="J129" s="237" t="s">
        <v>273</v>
      </c>
      <c r="K129" s="216"/>
      <c r="L129" s="1356" t="s">
        <v>3513</v>
      </c>
      <c r="M129" s="154"/>
      <c r="N129" s="4"/>
      <c r="O129" s="154"/>
      <c r="P129" s="789" t="b">
        <v>0</v>
      </c>
      <c r="Q129" s="789" t="b">
        <v>1</v>
      </c>
      <c r="R129" s="187" t="b">
        <v>0</v>
      </c>
      <c r="S129" s="187" t="b">
        <f>IF(AY19=INDEX(ddSingleOrMulti,2),TRUE,FALSE)</f>
        <v>0</v>
      </c>
      <c r="T129" s="97" t="b">
        <f>AND(NOT(S129),W129=TRUE)</f>
        <v>0</v>
      </c>
      <c r="W129" s="25"/>
      <c r="X129" s="1303"/>
      <c r="AC129" s="187" t="b">
        <f>OR(AD129:AE129)</f>
        <v>0</v>
      </c>
      <c r="AD129" s="187" t="b">
        <f>T129</f>
        <v>0</v>
      </c>
      <c r="AP129" s="311" t="str">
        <f>SUBSTITUTE(SUBSTITUTE(SUBSTITUTE("dch"&amp;$B129&amp;$C129&amp;$D129&amp;$E129&amp;$F129,".","_"),"(","_"),")","")</f>
        <v>dch1002_3_2</v>
      </c>
      <c r="AQ129" s="311">
        <f>W129</f>
        <v>0</v>
      </c>
      <c r="AR129" s="311" t="str">
        <f>SUBSTITUTE(SUBSTITUTE(SUBSTITUTE("dnt"&amp;$B129&amp;$C129&amp;$D129&amp;$E129&amp;$F129,".","_"),"(","_"),")","")</f>
        <v>dnt1002_3_2</v>
      </c>
      <c r="AS129" s="311">
        <f>X129</f>
        <v>0</v>
      </c>
    </row>
    <row r="130" spans="2:45" x14ac:dyDescent="0.3">
      <c r="B130" s="938">
        <v>1002.3</v>
      </c>
      <c r="C130" s="21"/>
      <c r="D130" s="21"/>
      <c r="E130" s="21" t="s">
        <v>273</v>
      </c>
      <c r="F130" s="21"/>
      <c r="G130" s="21"/>
      <c r="H130" s="1084"/>
      <c r="I130" s="4"/>
      <c r="J130" s="140"/>
      <c r="K130" s="140"/>
      <c r="L130" s="1305"/>
      <c r="M130" s="154"/>
      <c r="N130" s="4"/>
      <c r="O130" s="154"/>
      <c r="X130" s="1303"/>
    </row>
    <row r="131" spans="2:45" x14ac:dyDescent="0.3">
      <c r="B131" s="938">
        <v>1002.3</v>
      </c>
      <c r="C131" s="21"/>
      <c r="D131" s="21"/>
      <c r="E131" s="21" t="s">
        <v>273</v>
      </c>
      <c r="F131" s="21"/>
      <c r="G131" s="21"/>
      <c r="H131" s="1084"/>
      <c r="I131" s="4"/>
      <c r="J131" s="140"/>
      <c r="K131" s="140"/>
      <c r="L131" s="1305"/>
      <c r="M131" s="154"/>
      <c r="N131" s="4"/>
      <c r="O131" s="154"/>
      <c r="X131" s="1303"/>
    </row>
    <row r="132" spans="2:45" x14ac:dyDescent="0.3">
      <c r="B132" s="938">
        <v>1002.3</v>
      </c>
      <c r="C132" s="21"/>
      <c r="D132" s="21"/>
      <c r="E132" s="21" t="s">
        <v>273</v>
      </c>
      <c r="F132" s="21"/>
      <c r="G132" s="21"/>
      <c r="H132" s="1084"/>
      <c r="I132" s="4"/>
      <c r="J132" s="238"/>
      <c r="K132" s="238"/>
      <c r="L132" s="1306"/>
      <c r="M132" s="154"/>
      <c r="N132" s="4"/>
      <c r="O132" s="154"/>
      <c r="X132" s="1303"/>
    </row>
    <row r="133" spans="2:45" x14ac:dyDescent="0.3">
      <c r="B133" s="938">
        <v>1002.3</v>
      </c>
      <c r="C133" s="21"/>
      <c r="D133" s="21"/>
      <c r="E133" s="21" t="s">
        <v>275</v>
      </c>
      <c r="F133" s="21"/>
      <c r="G133" s="21"/>
      <c r="H133" s="1084"/>
      <c r="I133" s="4"/>
      <c r="J133" s="237" t="s">
        <v>275</v>
      </c>
      <c r="K133" s="216"/>
      <c r="L133" s="278" t="s">
        <v>3562</v>
      </c>
      <c r="M133" s="154"/>
      <c r="N133" s="4"/>
      <c r="O133" s="154"/>
      <c r="P133" s="789" t="b">
        <v>0</v>
      </c>
      <c r="Q133" s="789" t="b">
        <v>1</v>
      </c>
      <c r="R133" s="187" t="b">
        <v>0</v>
      </c>
      <c r="S133" s="187" t="b">
        <f>IF(AY19=INDEX(ddSingleOrMulti,2),TRUE,FALSE)</f>
        <v>0</v>
      </c>
      <c r="T133" s="97" t="b">
        <f>AND(NOT(S133),W133=TRUE)</f>
        <v>0</v>
      </c>
      <c r="W133" s="25"/>
      <c r="X133" s="1303"/>
      <c r="AC133" s="187" t="b">
        <f>OR(AD133:AE133)</f>
        <v>0</v>
      </c>
      <c r="AD133" s="187" t="b">
        <f>T133</f>
        <v>0</v>
      </c>
      <c r="AP133" s="311" t="str">
        <f>SUBSTITUTE(SUBSTITUTE(SUBSTITUTE("dch"&amp;$B133&amp;$C133&amp;$D133&amp;$E133&amp;$F133,".","_"),"(","_"),")","")</f>
        <v>dch1002_3_3</v>
      </c>
      <c r="AQ133" s="311">
        <f>W133</f>
        <v>0</v>
      </c>
      <c r="AR133" s="311" t="str">
        <f>SUBSTITUTE(SUBSTITUTE(SUBSTITUTE("dnt"&amp;$B133&amp;$C133&amp;$D133&amp;$E133&amp;$F133,".","_"),"(","_"),")","")</f>
        <v>dnt1002_3_3</v>
      </c>
      <c r="AS133" s="311">
        <f>X133</f>
        <v>0</v>
      </c>
    </row>
    <row r="134" spans="2:45" x14ac:dyDescent="0.3">
      <c r="B134" s="938">
        <v>1002.3</v>
      </c>
      <c r="C134" s="21"/>
      <c r="D134" s="21"/>
      <c r="E134" s="21" t="s">
        <v>275</v>
      </c>
      <c r="F134" s="21" t="s">
        <v>121</v>
      </c>
      <c r="G134" s="21"/>
      <c r="H134" s="1084"/>
      <c r="I134" s="4"/>
      <c r="J134" s="140"/>
      <c r="K134" s="203" t="s">
        <v>121</v>
      </c>
      <c r="L134" s="276" t="s">
        <v>3563</v>
      </c>
      <c r="M134" s="154"/>
      <c r="N134" s="4"/>
      <c r="O134" s="154"/>
      <c r="X134" s="1303"/>
    </row>
    <row r="135" spans="2:45" x14ac:dyDescent="0.3">
      <c r="B135" s="938">
        <v>1002.3</v>
      </c>
      <c r="C135" s="21"/>
      <c r="D135" s="21"/>
      <c r="E135" s="21" t="s">
        <v>275</v>
      </c>
      <c r="F135" s="21" t="s">
        <v>122</v>
      </c>
      <c r="G135" s="21"/>
      <c r="H135" s="1084"/>
      <c r="I135" s="4"/>
      <c r="J135" s="140"/>
      <c r="K135" s="203" t="s">
        <v>122</v>
      </c>
      <c r="L135" s="276" t="s">
        <v>3564</v>
      </c>
      <c r="M135" s="154"/>
      <c r="N135" s="4"/>
      <c r="O135" s="154"/>
      <c r="X135" s="1303"/>
    </row>
    <row r="136" spans="2:45" x14ac:dyDescent="0.3">
      <c r="B136" s="938">
        <v>1002.3</v>
      </c>
      <c r="C136" s="21"/>
      <c r="D136" s="21"/>
      <c r="E136" s="21" t="s">
        <v>275</v>
      </c>
      <c r="F136" s="21" t="s">
        <v>123</v>
      </c>
      <c r="G136" s="21"/>
      <c r="H136" s="1084"/>
      <c r="I136" s="4"/>
      <c r="J136" s="140"/>
      <c r="K136" s="203" t="s">
        <v>123</v>
      </c>
      <c r="L136" s="276" t="s">
        <v>3565</v>
      </c>
      <c r="M136" s="154"/>
      <c r="N136" s="4"/>
      <c r="O136" s="154"/>
      <c r="X136" s="1303"/>
    </row>
    <row r="137" spans="2:45" x14ac:dyDescent="0.3">
      <c r="B137" s="938">
        <v>1002.3</v>
      </c>
      <c r="C137" s="21"/>
      <c r="D137" s="21"/>
      <c r="E137" s="21" t="s">
        <v>275</v>
      </c>
      <c r="F137" s="21" t="s">
        <v>423</v>
      </c>
      <c r="G137" s="21"/>
      <c r="H137" s="1084"/>
      <c r="I137" s="4"/>
      <c r="J137" s="140"/>
      <c r="K137" s="203" t="s">
        <v>423</v>
      </c>
      <c r="L137" s="276" t="s">
        <v>3566</v>
      </c>
      <c r="M137" s="154"/>
      <c r="N137" s="4"/>
      <c r="O137" s="154"/>
      <c r="X137" s="1303"/>
    </row>
    <row r="138" spans="2:45" x14ac:dyDescent="0.3">
      <c r="B138" s="938">
        <v>1002.3</v>
      </c>
      <c r="C138" s="21"/>
      <c r="D138" s="21"/>
      <c r="E138" s="21" t="s">
        <v>275</v>
      </c>
      <c r="F138" s="21" t="s">
        <v>578</v>
      </c>
      <c r="G138" s="21"/>
      <c r="H138" s="1084"/>
      <c r="I138" s="4"/>
      <c r="J138" s="140"/>
      <c r="K138" s="203" t="s">
        <v>578</v>
      </c>
      <c r="L138" s="276" t="s">
        <v>3567</v>
      </c>
      <c r="M138" s="154"/>
      <c r="N138" s="4"/>
      <c r="O138" s="154"/>
      <c r="X138" s="1303"/>
    </row>
    <row r="139" spans="2:45" x14ac:dyDescent="0.3">
      <c r="B139" s="938">
        <v>1002.3</v>
      </c>
      <c r="C139" s="21"/>
      <c r="D139" s="21"/>
      <c r="E139" s="21" t="s">
        <v>275</v>
      </c>
      <c r="F139" s="21" t="s">
        <v>645</v>
      </c>
      <c r="G139" s="21"/>
      <c r="H139" s="1084"/>
      <c r="I139" s="4"/>
      <c r="J139" s="238"/>
      <c r="K139" s="231" t="s">
        <v>645</v>
      </c>
      <c r="L139" s="273" t="s">
        <v>3568</v>
      </c>
      <c r="M139" s="154"/>
      <c r="N139" s="4"/>
      <c r="O139" s="154"/>
      <c r="X139" s="1303"/>
    </row>
    <row r="140" spans="2:45" x14ac:dyDescent="0.3">
      <c r="B140" s="938">
        <v>1002.3</v>
      </c>
      <c r="C140" s="21"/>
      <c r="D140" s="21"/>
      <c r="E140" s="21" t="s">
        <v>285</v>
      </c>
      <c r="F140" s="21"/>
      <c r="G140" s="21"/>
      <c r="H140" s="1084"/>
      <c r="I140" s="4"/>
      <c r="J140" s="27" t="s">
        <v>285</v>
      </c>
      <c r="K140" s="4"/>
      <c r="L140" s="1329" t="s">
        <v>3517</v>
      </c>
      <c r="M140" s="154"/>
      <c r="N140" s="4"/>
      <c r="O140" s="154"/>
      <c r="P140" s="789" t="b">
        <v>0</v>
      </c>
      <c r="Q140" s="789" t="b">
        <v>1</v>
      </c>
      <c r="R140" s="187" t="b">
        <v>0</v>
      </c>
      <c r="S140" s="187" t="b">
        <f>IF(AY19=INDEX(ddSingleOrMulti,2),TRUE,FALSE)</f>
        <v>0</v>
      </c>
      <c r="T140" s="97" t="b">
        <f>AND(NOT(S140),W140=TRUE)</f>
        <v>0</v>
      </c>
      <c r="W140" s="25"/>
      <c r="X140" s="1303"/>
      <c r="AC140" s="187" t="b">
        <f>OR(AD140:AE140)</f>
        <v>0</v>
      </c>
      <c r="AD140" s="187" t="b">
        <f>T140</f>
        <v>0</v>
      </c>
      <c r="AP140" s="311" t="str">
        <f>SUBSTITUTE(SUBSTITUTE(SUBSTITUTE("dch"&amp;$B140&amp;$C140&amp;$D140&amp;$E140&amp;$F140,".","_"),"(","_"),")","")</f>
        <v>dch1002_3_4</v>
      </c>
      <c r="AQ140" s="311">
        <f>W140</f>
        <v>0</v>
      </c>
      <c r="AR140" s="311" t="str">
        <f>SUBSTITUTE(SUBSTITUTE(SUBSTITUTE("dnt"&amp;$B140&amp;$C140&amp;$D140&amp;$E140&amp;$F140,".","_"),"(","_"),")","")</f>
        <v>dnt1002_3_4</v>
      </c>
      <c r="AS140" s="311">
        <f>X140</f>
        <v>0</v>
      </c>
    </row>
    <row r="141" spans="2:45" x14ac:dyDescent="0.3">
      <c r="B141" s="938">
        <v>1002.3</v>
      </c>
      <c r="C141" s="21"/>
      <c r="D141" s="21"/>
      <c r="E141" s="21" t="s">
        <v>285</v>
      </c>
      <c r="F141" s="21"/>
      <c r="G141" s="21"/>
      <c r="H141" s="1084"/>
      <c r="I141" s="4"/>
      <c r="J141" s="4"/>
      <c r="K141" s="4"/>
      <c r="L141" s="1329"/>
      <c r="M141" s="154"/>
      <c r="N141" s="4"/>
      <c r="O141" s="154"/>
      <c r="X141" s="1303"/>
    </row>
    <row r="142" spans="2:45" x14ac:dyDescent="0.3">
      <c r="B142" s="938">
        <v>1002.3</v>
      </c>
      <c r="C142" s="21"/>
      <c r="D142" s="21"/>
      <c r="E142" s="21" t="s">
        <v>291</v>
      </c>
      <c r="F142" s="21"/>
      <c r="G142" s="21"/>
      <c r="H142" s="1084"/>
      <c r="I142" s="4"/>
      <c r="J142" s="233" t="s">
        <v>291</v>
      </c>
      <c r="K142" s="274"/>
      <c r="L142" s="275" t="s">
        <v>3519</v>
      </c>
      <c r="M142" s="154"/>
      <c r="N142" s="4"/>
      <c r="O142" s="154"/>
      <c r="P142" s="789" t="b">
        <v>0</v>
      </c>
      <c r="Q142" s="789" t="b">
        <v>1</v>
      </c>
      <c r="R142" s="187" t="b">
        <v>0</v>
      </c>
      <c r="S142" s="187" t="b">
        <f>IF(AY19=INDEX(ddSingleOrMulti,2),TRUE,FALSE)</f>
        <v>0</v>
      </c>
      <c r="T142" s="97" t="b">
        <f>AND(NOT(S142),W142=TRUE)</f>
        <v>0</v>
      </c>
      <c r="W142" s="25"/>
      <c r="X142" s="188"/>
      <c r="AC142" s="187" t="b">
        <f>OR(AD142:AE142)</f>
        <v>0</v>
      </c>
      <c r="AD142" s="187" t="b">
        <f>T142</f>
        <v>0</v>
      </c>
      <c r="AP142" s="311" t="str">
        <f t="shared" ref="AP142:AP143" si="13">SUBSTITUTE(SUBSTITUTE(SUBSTITUTE("dch"&amp;$B142&amp;$C142&amp;$D142&amp;$E142&amp;$F142,".","_"),"(","_"),")","")</f>
        <v>dch1002_3_5</v>
      </c>
      <c r="AQ142" s="311">
        <f>W142</f>
        <v>0</v>
      </c>
      <c r="AR142" s="311" t="str">
        <f>SUBSTITUTE(SUBSTITUTE(SUBSTITUTE("dnt"&amp;$B142&amp;$C142&amp;$D142&amp;$E142&amp;$F142,".","_"),"(","_"),")","")</f>
        <v>dnt1002_3_5</v>
      </c>
      <c r="AS142" s="311">
        <f>X142</f>
        <v>0</v>
      </c>
    </row>
    <row r="143" spans="2:45" x14ac:dyDescent="0.3">
      <c r="B143" s="938">
        <v>1002.3</v>
      </c>
      <c r="C143" s="21"/>
      <c r="D143" s="21"/>
      <c r="E143" s="21" t="s">
        <v>293</v>
      </c>
      <c r="F143" s="21"/>
      <c r="G143" s="21"/>
      <c r="H143" s="1084"/>
      <c r="I143" s="4"/>
      <c r="J143" s="27" t="s">
        <v>293</v>
      </c>
      <c r="K143" s="4"/>
      <c r="L143" s="1329" t="s">
        <v>3569</v>
      </c>
      <c r="M143" s="154"/>
      <c r="N143" s="4"/>
      <c r="O143" s="154"/>
      <c r="P143" s="789" t="b">
        <v>0</v>
      </c>
      <c r="Q143" s="789" t="b">
        <v>1</v>
      </c>
      <c r="R143" s="187" t="b">
        <v>0</v>
      </c>
      <c r="S143" s="187" t="b">
        <f>IF(AY19=INDEX(ddSingleOrMulti,2),TRUE,FALSE)</f>
        <v>0</v>
      </c>
      <c r="T143" s="97" t="b">
        <f>AND(NOT(S143),W143=TRUE)</f>
        <v>0</v>
      </c>
      <c r="W143" s="25"/>
      <c r="X143" s="1303"/>
      <c r="AC143" s="187" t="b">
        <f>OR(AD143:AE143)</f>
        <v>0</v>
      </c>
      <c r="AD143" s="187" t="b">
        <f>T143</f>
        <v>0</v>
      </c>
      <c r="AP143" s="311" t="str">
        <f t="shared" si="13"/>
        <v>dch1002_3_6</v>
      </c>
      <c r="AQ143" s="311">
        <f>W143</f>
        <v>0</v>
      </c>
      <c r="AR143" s="311" t="str">
        <f>SUBSTITUTE(SUBSTITUTE(SUBSTITUTE("dnt"&amp;$B143&amp;$C143&amp;$D143&amp;$E143&amp;$F143,".","_"),"(","_"),")","")</f>
        <v>dnt1002_3_6</v>
      </c>
      <c r="AS143" s="311">
        <f>X143</f>
        <v>0</v>
      </c>
    </row>
    <row r="144" spans="2:45" x14ac:dyDescent="0.3">
      <c r="B144" s="938">
        <v>1002.3</v>
      </c>
      <c r="C144" s="21"/>
      <c r="D144" s="21"/>
      <c r="E144" s="21" t="s">
        <v>293</v>
      </c>
      <c r="F144" s="21"/>
      <c r="G144" s="21"/>
      <c r="H144" s="1084"/>
      <c r="I144" s="4"/>
      <c r="J144" s="27"/>
      <c r="K144" s="4"/>
      <c r="L144" s="1329"/>
      <c r="M144" s="154"/>
      <c r="N144" s="4"/>
      <c r="O144" s="154"/>
      <c r="X144" s="1303"/>
    </row>
    <row r="145" spans="2:45" x14ac:dyDescent="0.3">
      <c r="B145" s="938">
        <v>1002.3</v>
      </c>
      <c r="C145" s="21"/>
      <c r="D145" s="21"/>
      <c r="E145" s="21" t="s">
        <v>405</v>
      </c>
      <c r="F145" s="21"/>
      <c r="G145" s="21"/>
      <c r="H145" s="1084"/>
      <c r="I145" s="4"/>
      <c r="J145" s="233" t="s">
        <v>405</v>
      </c>
      <c r="K145" s="274"/>
      <c r="L145" s="275" t="s">
        <v>3525</v>
      </c>
      <c r="M145" s="154"/>
      <c r="N145" s="4"/>
      <c r="O145" s="154"/>
      <c r="P145" s="789" t="b">
        <v>0</v>
      </c>
      <c r="Q145" s="789" t="b">
        <v>1</v>
      </c>
      <c r="R145" s="187" t="b">
        <v>0</v>
      </c>
      <c r="S145" s="187" t="b">
        <f>IF(AY19=INDEX(ddSingleOrMulti,2),TRUE,FALSE)</f>
        <v>0</v>
      </c>
      <c r="T145" s="97" t="b">
        <f>AND(NOT(S145),W145=TRUE)</f>
        <v>0</v>
      </c>
      <c r="W145" s="25"/>
      <c r="X145" s="188"/>
      <c r="AC145" s="187" t="b">
        <f>OR(AD145:AE145)</f>
        <v>0</v>
      </c>
      <c r="AD145" s="187" t="b">
        <f>T145</f>
        <v>0</v>
      </c>
      <c r="AP145" s="311" t="str">
        <f t="shared" ref="AP145:AP149" si="14">SUBSTITUTE(SUBSTITUTE(SUBSTITUTE("dch"&amp;$B145&amp;$C145&amp;$D145&amp;$E145&amp;$F145,".","_"),"(","_"),")","")</f>
        <v>dch1002_3_7</v>
      </c>
      <c r="AQ145" s="311">
        <f>W145</f>
        <v>0</v>
      </c>
      <c r="AR145" s="311" t="str">
        <f>SUBSTITUTE(SUBSTITUTE(SUBSTITUTE("dnt"&amp;$B145&amp;$C145&amp;$D145&amp;$E145&amp;$F145,".","_"),"(","_"),")","")</f>
        <v>dnt1002_3_7</v>
      </c>
      <c r="AS145" s="311">
        <f>X145</f>
        <v>0</v>
      </c>
    </row>
    <row r="146" spans="2:45" x14ac:dyDescent="0.3">
      <c r="B146" s="938">
        <v>1002.3</v>
      </c>
      <c r="C146" s="21"/>
      <c r="D146" s="21"/>
      <c r="E146" s="21" t="s">
        <v>456</v>
      </c>
      <c r="F146" s="21"/>
      <c r="G146" s="21"/>
      <c r="H146" s="1084"/>
      <c r="I146" s="4"/>
      <c r="J146" s="27" t="s">
        <v>456</v>
      </c>
      <c r="K146" s="4"/>
      <c r="L146" s="254" t="s">
        <v>3570</v>
      </c>
      <c r="M146" s="154"/>
      <c r="N146" s="4"/>
      <c r="O146" s="154"/>
      <c r="P146" s="789" t="b">
        <v>0</v>
      </c>
      <c r="Q146" s="789" t="b">
        <v>1</v>
      </c>
      <c r="R146" s="187" t="b">
        <v>0</v>
      </c>
      <c r="S146" s="187" t="b">
        <f>IF(AY19=INDEX(ddSingleOrMulti,2),TRUE,FALSE)</f>
        <v>0</v>
      </c>
      <c r="T146" s="97" t="b">
        <f>AND(NOT(S146),W146=TRUE)</f>
        <v>0</v>
      </c>
      <c r="W146" s="25"/>
      <c r="X146" s="188"/>
      <c r="AC146" s="187" t="b">
        <f>OR(AD146:AE146)</f>
        <v>0</v>
      </c>
      <c r="AD146" s="187" t="b">
        <f>T146</f>
        <v>0</v>
      </c>
      <c r="AP146" s="311" t="str">
        <f t="shared" si="14"/>
        <v>dch1002_3_8</v>
      </c>
      <c r="AQ146" s="311">
        <f>W146</f>
        <v>0</v>
      </c>
      <c r="AR146" s="311" t="str">
        <f>SUBSTITUTE(SUBSTITUTE(SUBSTITUTE("dnt"&amp;$B146&amp;$C146&amp;$D146&amp;$E146&amp;$F146,".","_"),"(","_"),")","")</f>
        <v>dnt1002_3_8</v>
      </c>
      <c r="AS146" s="311">
        <f>X146</f>
        <v>0</v>
      </c>
    </row>
    <row r="147" spans="2:45" x14ac:dyDescent="0.3">
      <c r="B147" s="938">
        <v>1002.3</v>
      </c>
      <c r="C147" s="21"/>
      <c r="D147" s="21"/>
      <c r="E147" s="21" t="s">
        <v>458</v>
      </c>
      <c r="F147" s="21"/>
      <c r="G147" s="21"/>
      <c r="H147" s="1084"/>
      <c r="I147" s="4"/>
      <c r="J147" s="233" t="s">
        <v>458</v>
      </c>
      <c r="K147" s="274"/>
      <c r="L147" s="275" t="s">
        <v>3571</v>
      </c>
      <c r="M147" s="154"/>
      <c r="N147" s="4"/>
      <c r="O147" s="154"/>
      <c r="P147" s="789" t="b">
        <v>0</v>
      </c>
      <c r="Q147" s="789" t="b">
        <v>1</v>
      </c>
      <c r="R147" s="187" t="b">
        <v>0</v>
      </c>
      <c r="S147" s="187" t="b">
        <f>IF(AY19=INDEX(ddSingleOrMulti,2),TRUE,FALSE)</f>
        <v>0</v>
      </c>
      <c r="T147" s="97" t="b">
        <f>AND(NOT(S147),W147=TRUE)</f>
        <v>0</v>
      </c>
      <c r="W147" s="25"/>
      <c r="X147" s="188"/>
      <c r="AC147" s="187" t="b">
        <f>OR(AD147:AE147)</f>
        <v>0</v>
      </c>
      <c r="AD147" s="187" t="b">
        <f>T147</f>
        <v>0</v>
      </c>
      <c r="AP147" s="311" t="str">
        <f t="shared" si="14"/>
        <v>dch1002_3_9</v>
      </c>
      <c r="AQ147" s="311">
        <f>W147</f>
        <v>0</v>
      </c>
      <c r="AR147" s="311" t="str">
        <f>SUBSTITUTE(SUBSTITUTE(SUBSTITUTE("dnt"&amp;$B147&amp;$C147&amp;$D147&amp;$E147&amp;$F147,".","_"),"(","_"),")","")</f>
        <v>dnt1002_3_9</v>
      </c>
      <c r="AS147" s="311">
        <f>X147</f>
        <v>0</v>
      </c>
    </row>
    <row r="148" spans="2:45" ht="15" thickBot="1" x14ac:dyDescent="0.35">
      <c r="B148" s="938">
        <v>1002.3</v>
      </c>
      <c r="C148" s="21"/>
      <c r="D148" s="21"/>
      <c r="E148" s="21" t="s">
        <v>460</v>
      </c>
      <c r="F148" s="21"/>
      <c r="G148" s="21"/>
      <c r="H148" s="1084"/>
      <c r="I148" s="270"/>
      <c r="J148" s="213" t="s">
        <v>460</v>
      </c>
      <c r="K148" s="270"/>
      <c r="L148" s="272" t="s">
        <v>3572</v>
      </c>
      <c r="M148" s="271"/>
      <c r="N148" s="270"/>
      <c r="O148" s="271"/>
      <c r="P148" s="789" t="b">
        <v>0</v>
      </c>
      <c r="Q148" s="789" t="b">
        <v>1</v>
      </c>
      <c r="R148" s="104" t="b">
        <v>0</v>
      </c>
      <c r="S148" s="104" t="b">
        <f>IF(AY19=INDEX(ddSingleOrMulti,2),TRUE,FALSE)</f>
        <v>0</v>
      </c>
      <c r="T148" s="104" t="b">
        <f>AND(NOT(S148),W148=TRUE)</f>
        <v>0</v>
      </c>
      <c r="U148" s="104"/>
      <c r="V148" s="104"/>
      <c r="W148" s="207"/>
      <c r="X148" s="189"/>
      <c r="AC148" s="187" t="b">
        <f>OR(AD148:AE148)</f>
        <v>0</v>
      </c>
      <c r="AD148" s="187" t="b">
        <f>T148</f>
        <v>0</v>
      </c>
      <c r="AP148" s="311" t="str">
        <f t="shared" si="14"/>
        <v>dch1002_3_10</v>
      </c>
      <c r="AQ148" s="311">
        <f>W148</f>
        <v>0</v>
      </c>
      <c r="AR148" s="311" t="str">
        <f>SUBSTITUTE(SUBSTITUTE(SUBSTITUTE("dnt"&amp;$B148&amp;$C148&amp;$D148&amp;$E148&amp;$F148,".","_"),"(","_"),")","")</f>
        <v>dnt1002_3_10</v>
      </c>
      <c r="AS148" s="311">
        <f>X148</f>
        <v>0</v>
      </c>
    </row>
    <row r="149" spans="2:45" ht="15" thickTop="1" x14ac:dyDescent="0.3">
      <c r="B149" s="938">
        <v>1002.4</v>
      </c>
      <c r="C149" s="21"/>
      <c r="D149" s="21"/>
      <c r="E149" s="21"/>
      <c r="F149" s="21"/>
      <c r="G149" s="21"/>
      <c r="H149" s="1084"/>
      <c r="I149" s="152">
        <v>1002.4</v>
      </c>
      <c r="J149" s="4"/>
      <c r="K149" s="4"/>
      <c r="L149" s="1292" t="s">
        <v>3573</v>
      </c>
      <c r="M149" s="1361" t="str">
        <f>IF(R149,"Mandatory","N/A")</f>
        <v>N/A</v>
      </c>
      <c r="N149" s="4"/>
      <c r="O149" s="154"/>
      <c r="P149" s="789" t="b">
        <v>0</v>
      </c>
      <c r="Q149" s="789" t="b">
        <v>1</v>
      </c>
      <c r="R149" s="187" t="b">
        <f>S149</f>
        <v>0</v>
      </c>
      <c r="S149" s="187" t="b">
        <f>IF(AY19=INDEX(ddSingleOrMulti,2),TRUE,FALSE)</f>
        <v>0</v>
      </c>
      <c r="T149" s="97" t="b">
        <f>AND(NOT(S149),W149=TRUE)</f>
        <v>0</v>
      </c>
      <c r="W149" s="459"/>
      <c r="X149" s="1304"/>
      <c r="AC149" s="187" t="b">
        <f>OR(AD149:AE149)</f>
        <v>0</v>
      </c>
      <c r="AD149" s="187" t="b">
        <f>T149</f>
        <v>0</v>
      </c>
      <c r="AE149" s="187" t="b">
        <f>AND(R149,NOT(W149=TRUE))</f>
        <v>0</v>
      </c>
      <c r="AL149" s="311" t="str">
        <f>SUBSTITUTE(SUBSTITUTE(SUBSTITUTE("dpa"&amp;$B149&amp;$C149&amp;$D149&amp;$E149&amp;$F149,".","_"),"(","_"),")","")</f>
        <v>dpa1002_4</v>
      </c>
      <c r="AM149" s="311" t="str">
        <f>M149</f>
        <v>N/A</v>
      </c>
      <c r="AP149" s="311" t="str">
        <f t="shared" si="14"/>
        <v>dch1002_4</v>
      </c>
      <c r="AQ149" s="311">
        <f>W149</f>
        <v>0</v>
      </c>
      <c r="AR149" s="311" t="str">
        <f>SUBSTITUTE(SUBSTITUTE(SUBSTITUTE("dnt"&amp;$B149&amp;$C149&amp;$D149&amp;$E149&amp;$F149,".","_"),"(","_"),")","")</f>
        <v>dnt1002_4</v>
      </c>
      <c r="AS149" s="311">
        <f>X149</f>
        <v>0</v>
      </c>
    </row>
    <row r="150" spans="2:45" x14ac:dyDescent="0.3">
      <c r="B150" s="938">
        <v>1002.4</v>
      </c>
      <c r="C150" s="21"/>
      <c r="D150" s="21"/>
      <c r="E150" s="21"/>
      <c r="F150" s="21"/>
      <c r="G150" s="21"/>
      <c r="H150" s="1084"/>
      <c r="I150" s="4"/>
      <c r="J150" s="4"/>
      <c r="K150" s="4"/>
      <c r="L150" s="1292"/>
      <c r="M150" s="1361" t="str">
        <f>IF(R150,"Mandatory","N/A")</f>
        <v>N/A</v>
      </c>
      <c r="N150" s="4"/>
      <c r="O150" s="154"/>
      <c r="X150" s="1303"/>
    </row>
    <row r="151" spans="2:45" x14ac:dyDescent="0.3">
      <c r="B151" s="938">
        <v>1002.4</v>
      </c>
      <c r="C151" s="21"/>
      <c r="D151" s="21"/>
      <c r="E151" s="21"/>
      <c r="F151" s="21"/>
      <c r="G151" s="21"/>
      <c r="H151" s="1084"/>
      <c r="I151" s="4"/>
      <c r="J151" s="4"/>
      <c r="K151" s="4"/>
      <c r="L151" s="1292"/>
      <c r="M151" s="1361" t="str">
        <f>IF(R151,"Mandatory","N/A")</f>
        <v>N/A</v>
      </c>
      <c r="N151" s="4"/>
      <c r="O151" s="154"/>
      <c r="X151" s="1303"/>
    </row>
    <row r="152" spans="2:45" x14ac:dyDescent="0.3">
      <c r="B152" s="938">
        <v>1002.4</v>
      </c>
      <c r="C152" s="21"/>
      <c r="D152" s="21"/>
      <c r="E152" s="21"/>
      <c r="F152" s="21"/>
      <c r="G152" s="21"/>
      <c r="H152" s="1084"/>
      <c r="I152" s="4"/>
      <c r="J152" s="4"/>
      <c r="K152" s="4"/>
      <c r="L152" s="1292"/>
      <c r="M152" s="1361" t="str">
        <f>IF(R152,"Mandatory","N/A")</f>
        <v>N/A</v>
      </c>
      <c r="N152" s="4"/>
      <c r="O152" s="154"/>
      <c r="X152" s="1303"/>
    </row>
    <row r="153" spans="2:45" x14ac:dyDescent="0.3">
      <c r="B153" s="938">
        <v>1002.4</v>
      </c>
      <c r="C153" s="21"/>
      <c r="D153" s="21"/>
      <c r="E153" s="21"/>
      <c r="F153" s="21"/>
      <c r="G153" s="21"/>
      <c r="H153" s="1084"/>
      <c r="I153" s="4"/>
      <c r="J153" s="4"/>
      <c r="K153" s="4"/>
      <c r="L153" s="1292"/>
      <c r="M153" s="1361" t="str">
        <f>IF(R153,"Mandatory","N/A")</f>
        <v>N/A</v>
      </c>
      <c r="N153" s="4"/>
      <c r="O153" s="154"/>
      <c r="X153" s="1303"/>
    </row>
    <row r="154" spans="2:45" x14ac:dyDescent="0.3">
      <c r="B154" s="938">
        <v>1002.4</v>
      </c>
      <c r="C154" s="21"/>
      <c r="D154" s="21"/>
      <c r="E154" s="21" t="s">
        <v>271</v>
      </c>
      <c r="F154" s="21"/>
      <c r="G154" s="21"/>
      <c r="H154" s="1084"/>
      <c r="I154" s="4"/>
      <c r="J154" s="27" t="s">
        <v>271</v>
      </c>
      <c r="K154" s="4"/>
      <c r="L154" s="254" t="s">
        <v>3563</v>
      </c>
      <c r="M154" s="154"/>
      <c r="N154" s="4"/>
      <c r="O154" s="154"/>
      <c r="X154" s="1303"/>
    </row>
    <row r="155" spans="2:45" x14ac:dyDescent="0.3">
      <c r="B155" s="938">
        <v>1002.4</v>
      </c>
      <c r="C155" s="21"/>
      <c r="D155" s="21"/>
      <c r="E155" s="21" t="s">
        <v>273</v>
      </c>
      <c r="F155" s="21"/>
      <c r="G155" s="21"/>
      <c r="H155" s="1084"/>
      <c r="I155" s="4"/>
      <c r="J155" s="27" t="s">
        <v>273</v>
      </c>
      <c r="K155" s="4"/>
      <c r="L155" s="254" t="s">
        <v>3564</v>
      </c>
      <c r="M155" s="154"/>
      <c r="N155" s="4"/>
      <c r="O155" s="154"/>
      <c r="X155" s="1303"/>
    </row>
    <row r="156" spans="2:45" x14ac:dyDescent="0.3">
      <c r="B156" s="938">
        <v>1002.4</v>
      </c>
      <c r="C156" s="21"/>
      <c r="D156" s="21"/>
      <c r="E156" s="21" t="s">
        <v>275</v>
      </c>
      <c r="F156" s="21"/>
      <c r="G156" s="21"/>
      <c r="H156" s="1084"/>
      <c r="I156" s="4"/>
      <c r="J156" s="27" t="s">
        <v>275</v>
      </c>
      <c r="K156" s="4"/>
      <c r="L156" s="254" t="s">
        <v>3565</v>
      </c>
      <c r="M156" s="154"/>
      <c r="N156" s="4"/>
      <c r="O156" s="154"/>
      <c r="X156" s="1303"/>
    </row>
    <row r="157" spans="2:45" x14ac:dyDescent="0.3">
      <c r="B157" s="938">
        <v>1002.4</v>
      </c>
      <c r="C157" s="21"/>
      <c r="D157" s="21"/>
      <c r="E157" s="21" t="s">
        <v>285</v>
      </c>
      <c r="F157" s="21"/>
      <c r="G157" s="21"/>
      <c r="H157" s="1084"/>
      <c r="I157" s="4"/>
      <c r="J157" s="27" t="s">
        <v>285</v>
      </c>
      <c r="K157" s="4"/>
      <c r="L157" s="254" t="s">
        <v>3574</v>
      </c>
      <c r="M157" s="154"/>
      <c r="N157" s="4"/>
      <c r="O157" s="154"/>
      <c r="X157" s="1303"/>
    </row>
    <row r="158" spans="2:45" x14ac:dyDescent="0.3">
      <c r="B158" s="938">
        <v>1002.4</v>
      </c>
      <c r="C158" s="21"/>
      <c r="D158" s="21"/>
      <c r="E158" s="21" t="s">
        <v>291</v>
      </c>
      <c r="F158" s="21"/>
      <c r="G158" s="21"/>
      <c r="H158" s="1084"/>
      <c r="I158" s="4"/>
      <c r="J158" s="27" t="s">
        <v>291</v>
      </c>
      <c r="K158" s="4"/>
      <c r="L158" s="254" t="s">
        <v>3575</v>
      </c>
      <c r="M158" s="154"/>
      <c r="N158" s="4"/>
      <c r="O158" s="154"/>
      <c r="X158" s="1303"/>
    </row>
    <row r="159" spans="2:45" x14ac:dyDescent="0.3">
      <c r="B159" s="938">
        <v>1002.4</v>
      </c>
      <c r="C159" s="21"/>
      <c r="D159" s="21"/>
      <c r="E159" s="21" t="s">
        <v>293</v>
      </c>
      <c r="F159" s="21"/>
      <c r="G159" s="21"/>
      <c r="H159" s="1084"/>
      <c r="I159" s="4"/>
      <c r="J159" s="27" t="s">
        <v>293</v>
      </c>
      <c r="K159" s="4"/>
      <c r="L159" s="254" t="s">
        <v>3568</v>
      </c>
      <c r="M159" s="154"/>
      <c r="N159" s="4"/>
      <c r="O159" s="154"/>
      <c r="X159" s="1303"/>
    </row>
    <row r="160" spans="2:45" x14ac:dyDescent="0.3">
      <c r="B160" s="938">
        <v>1002.4</v>
      </c>
      <c r="C160" s="21"/>
      <c r="D160" s="21"/>
      <c r="E160" s="21" t="s">
        <v>405</v>
      </c>
      <c r="F160" s="21"/>
      <c r="G160" s="21"/>
      <c r="H160" s="1084"/>
      <c r="I160" s="4"/>
      <c r="J160" s="27" t="s">
        <v>405</v>
      </c>
      <c r="K160" s="4"/>
      <c r="L160" s="254" t="s">
        <v>3576</v>
      </c>
      <c r="M160" s="154"/>
      <c r="N160" s="4"/>
      <c r="O160" s="154"/>
      <c r="X160" s="1303"/>
    </row>
    <row r="161" spans="2:45" ht="18" x14ac:dyDescent="0.35">
      <c r="B161" s="938">
        <v>1003</v>
      </c>
      <c r="C161" s="21"/>
      <c r="D161" s="21"/>
      <c r="E161" s="21"/>
      <c r="F161" s="21"/>
      <c r="G161" s="21"/>
      <c r="H161" s="1084"/>
      <c r="I161" s="72" t="s">
        <v>3577</v>
      </c>
      <c r="J161" s="23"/>
      <c r="K161" s="23"/>
      <c r="L161" s="258"/>
      <c r="M161" s="594"/>
      <c r="N161" s="604"/>
      <c r="O161" s="594"/>
      <c r="P161" s="23"/>
      <c r="Q161" s="23"/>
      <c r="R161" s="23"/>
      <c r="S161" s="23"/>
      <c r="T161" s="23"/>
      <c r="U161" s="23"/>
      <c r="V161" s="23"/>
      <c r="W161" s="23"/>
      <c r="X161" s="23"/>
    </row>
    <row r="162" spans="2:45" x14ac:dyDescent="0.3">
      <c r="B162" s="938" t="s">
        <v>4438</v>
      </c>
      <c r="C162" s="21"/>
      <c r="D162" s="21"/>
      <c r="E162" s="21"/>
      <c r="F162" s="21"/>
      <c r="G162" s="21"/>
      <c r="H162" s="1084"/>
      <c r="I162" s="926" t="s">
        <v>4438</v>
      </c>
      <c r="J162" s="140"/>
      <c r="K162" s="140"/>
      <c r="L162" s="1313" t="s">
        <v>3578</v>
      </c>
      <c r="M162" s="598"/>
      <c r="N162" s="140"/>
      <c r="O162" s="598"/>
      <c r="P162" s="97"/>
      <c r="Q162" s="97"/>
      <c r="R162" s="97"/>
      <c r="S162" s="97"/>
      <c r="T162" s="97"/>
      <c r="U162" s="97"/>
      <c r="V162" s="97"/>
      <c r="W162" s="97"/>
      <c r="X162" s="97"/>
    </row>
    <row r="163" spans="2:45" x14ac:dyDescent="0.3">
      <c r="B163" s="938" t="s">
        <v>4438</v>
      </c>
      <c r="C163" s="21"/>
      <c r="D163" s="21"/>
      <c r="E163" s="21"/>
      <c r="F163" s="21"/>
      <c r="G163" s="21"/>
      <c r="H163" s="1084"/>
      <c r="I163" s="573"/>
      <c r="J163" s="140"/>
      <c r="K163" s="140"/>
      <c r="L163" s="1313"/>
      <c r="M163" s="598"/>
      <c r="N163" s="140"/>
      <c r="O163" s="598"/>
      <c r="P163" s="97"/>
      <c r="Q163" s="97"/>
      <c r="R163" s="97"/>
      <c r="S163" s="97"/>
      <c r="T163" s="97"/>
      <c r="U163" s="97"/>
      <c r="V163" s="97"/>
      <c r="W163" s="97"/>
      <c r="X163" s="97"/>
    </row>
    <row r="164" spans="2:45" x14ac:dyDescent="0.3">
      <c r="B164" s="938" t="s">
        <v>4438</v>
      </c>
      <c r="C164" s="21"/>
      <c r="D164" s="21"/>
      <c r="E164" s="21"/>
      <c r="F164" s="21"/>
      <c r="G164" s="21"/>
      <c r="H164" s="1084"/>
      <c r="I164" s="573"/>
      <c r="J164" s="140"/>
      <c r="K164" s="140"/>
      <c r="L164" s="1313"/>
      <c r="M164" s="598"/>
      <c r="N164" s="140"/>
      <c r="O164" s="598"/>
      <c r="P164" s="97"/>
      <c r="Q164" s="97"/>
      <c r="R164" s="97"/>
      <c r="S164" s="97"/>
      <c r="T164" s="97"/>
      <c r="U164" s="97"/>
      <c r="V164" s="97"/>
      <c r="W164" s="97"/>
      <c r="X164" s="97"/>
    </row>
    <row r="165" spans="2:45" x14ac:dyDescent="0.3">
      <c r="B165" s="938">
        <v>1003.1</v>
      </c>
      <c r="C165" s="21"/>
      <c r="D165" s="21"/>
      <c r="E165" s="21"/>
      <c r="F165" s="21"/>
      <c r="G165" s="21"/>
      <c r="H165" s="1084"/>
      <c r="I165" s="152">
        <v>1003.1</v>
      </c>
      <c r="J165" s="4"/>
      <c r="K165" s="4"/>
      <c r="L165" s="257" t="s">
        <v>3579</v>
      </c>
      <c r="M165" s="522" t="s">
        <v>3580</v>
      </c>
      <c r="N165" s="4"/>
      <c r="O165" s="154">
        <f>MIN(2,COUNTIF(W166:W171,TRUE))</f>
        <v>1</v>
      </c>
      <c r="AL165" s="311" t="str">
        <f>SUBSTITUTE(SUBSTITUTE(SUBSTITUTE("dpa"&amp;$B165&amp;$C165&amp;$D165&amp;$E165&amp;$F165,".","_"),"(","_"),")","")</f>
        <v>dpa1003_1</v>
      </c>
      <c r="AM165" s="311" t="str">
        <f>M165</f>
        <v>2 Max</v>
      </c>
      <c r="AN165" s="311" t="str">
        <f>SUBSTITUTE(SUBSTITUTE(SUBSTITUTE("dpc"&amp;$B165&amp;$C165&amp;$D165&amp;$E165&amp;$F165,".","_"),"(","_"),")","")</f>
        <v>dpc1003_1</v>
      </c>
      <c r="AO165" s="311">
        <f>O165</f>
        <v>1</v>
      </c>
    </row>
    <row r="166" spans="2:45" x14ac:dyDescent="0.3">
      <c r="B166" s="938">
        <v>1003.1</v>
      </c>
      <c r="C166" s="21"/>
      <c r="D166" s="21"/>
      <c r="E166" s="21" t="s">
        <v>271</v>
      </c>
      <c r="F166" s="21"/>
      <c r="G166" s="21"/>
      <c r="H166" s="1084"/>
      <c r="I166" s="183"/>
      <c r="J166" s="203" t="s">
        <v>271</v>
      </c>
      <c r="K166" s="140"/>
      <c r="L166" s="1313" t="s">
        <v>3581</v>
      </c>
      <c r="M166" s="1318">
        <v>1</v>
      </c>
      <c r="N166" s="4"/>
      <c r="O166" s="154"/>
      <c r="P166" s="79" t="b">
        <v>1</v>
      </c>
      <c r="Q166" s="789" t="b">
        <v>0</v>
      </c>
      <c r="R166" s="187" t="b">
        <v>0</v>
      </c>
      <c r="S166" s="187" t="b">
        <v>1</v>
      </c>
      <c r="T166" s="187" t="b">
        <v>0</v>
      </c>
      <c r="W166" s="25" t="b">
        <v>0</v>
      </c>
      <c r="X166" s="1303"/>
      <c r="AL166" s="311" t="str">
        <f>SUBSTITUTE(SUBSTITUTE(SUBSTITUTE("dpa"&amp;$B166&amp;$C166&amp;$D166&amp;$E166&amp;$F166,".","_"),"(","_"),")","")</f>
        <v>dpa1003_1_1</v>
      </c>
      <c r="AM166" s="311">
        <f>M166</f>
        <v>1</v>
      </c>
      <c r="AP166" s="311" t="str">
        <f>SUBSTITUTE(SUBSTITUTE(SUBSTITUTE("dch"&amp;$B166&amp;$C166&amp;$D166&amp;$E166&amp;$F166,".","_"),"(","_"),")","")</f>
        <v>dch1003_1_1</v>
      </c>
      <c r="AQ166" s="311" t="b">
        <f>W166</f>
        <v>0</v>
      </c>
      <c r="AR166" s="311" t="str">
        <f>SUBSTITUTE(SUBSTITUTE(SUBSTITUTE("dnt"&amp;$B166&amp;$C166&amp;$D166&amp;$E166&amp;$F166,".","_"),"(","_"),")","")</f>
        <v>dnt1003_1_1</v>
      </c>
      <c r="AS166" s="311">
        <f>X166</f>
        <v>0</v>
      </c>
    </row>
    <row r="167" spans="2:45" x14ac:dyDescent="0.3">
      <c r="B167" s="938">
        <v>1003.1</v>
      </c>
      <c r="C167" s="21"/>
      <c r="D167" s="21"/>
      <c r="E167" s="21" t="s">
        <v>271</v>
      </c>
      <c r="F167" s="21"/>
      <c r="G167" s="21"/>
      <c r="H167" s="1084"/>
      <c r="I167" s="183"/>
      <c r="J167" s="231"/>
      <c r="K167" s="238"/>
      <c r="L167" s="1350"/>
      <c r="M167" s="1319"/>
      <c r="N167" s="4"/>
      <c r="O167" s="154"/>
      <c r="X167" s="1303"/>
    </row>
    <row r="168" spans="2:45" x14ac:dyDescent="0.3">
      <c r="B168" s="938">
        <v>1003.1</v>
      </c>
      <c r="C168" s="21"/>
      <c r="D168" s="21"/>
      <c r="E168" s="21" t="s">
        <v>273</v>
      </c>
      <c r="F168" s="21"/>
      <c r="G168" s="21"/>
      <c r="H168" s="1084"/>
      <c r="I168" s="183"/>
      <c r="J168" s="237" t="s">
        <v>273</v>
      </c>
      <c r="K168" s="216"/>
      <c r="L168" s="1364" t="s">
        <v>3582</v>
      </c>
      <c r="M168" s="1323">
        <v>1</v>
      </c>
      <c r="N168" s="4"/>
      <c r="O168" s="154"/>
      <c r="P168" s="789" t="b">
        <v>0</v>
      </c>
      <c r="Q168" s="789" t="b">
        <v>1</v>
      </c>
      <c r="R168" s="187" t="b">
        <v>0</v>
      </c>
      <c r="S168" s="187" t="b">
        <v>1</v>
      </c>
      <c r="T168" s="187" t="b">
        <v>0</v>
      </c>
      <c r="W168" s="25"/>
      <c r="X168" s="1303"/>
      <c r="AL168" s="311" t="str">
        <f>SUBSTITUTE(SUBSTITUTE(SUBSTITUTE("dpa"&amp;$B168&amp;$C168&amp;$D168&amp;$E168&amp;$F168,".","_"),"(","_"),")","")</f>
        <v>dpa1003_1_2</v>
      </c>
      <c r="AM168" s="311">
        <f>M168</f>
        <v>1</v>
      </c>
      <c r="AP168" s="311" t="str">
        <f>SUBSTITUTE(SUBSTITUTE(SUBSTITUTE("dch"&amp;$B168&amp;$C168&amp;$D168&amp;$E168&amp;$F168,".","_"),"(","_"),")","")</f>
        <v>dch1003_1_2</v>
      </c>
      <c r="AQ168" s="311">
        <f>W168</f>
        <v>0</v>
      </c>
      <c r="AR168" s="311" t="str">
        <f>SUBSTITUTE(SUBSTITUTE(SUBSTITUTE("dnt"&amp;$B168&amp;$C168&amp;$D168&amp;$E168&amp;$F168,".","_"),"(","_"),")","")</f>
        <v>dnt1003_1_2</v>
      </c>
      <c r="AS168" s="311">
        <f>X168</f>
        <v>0</v>
      </c>
    </row>
    <row r="169" spans="2:45" x14ac:dyDescent="0.3">
      <c r="B169" s="938">
        <v>1003.1</v>
      </c>
      <c r="C169" s="21"/>
      <c r="D169" s="21"/>
      <c r="E169" s="21" t="s">
        <v>273</v>
      </c>
      <c r="F169" s="21"/>
      <c r="G169" s="21"/>
      <c r="H169" s="1084"/>
      <c r="I169" s="183"/>
      <c r="J169" s="203"/>
      <c r="K169" s="140"/>
      <c r="L169" s="1313"/>
      <c r="M169" s="1318"/>
      <c r="N169" s="4"/>
      <c r="O169" s="154"/>
      <c r="X169" s="1303"/>
    </row>
    <row r="170" spans="2:45" x14ac:dyDescent="0.3">
      <c r="B170" s="938">
        <v>1003.1</v>
      </c>
      <c r="C170" s="21"/>
      <c r="D170" s="21"/>
      <c r="E170" s="21" t="s">
        <v>273</v>
      </c>
      <c r="F170" s="21"/>
      <c r="G170" s="21"/>
      <c r="H170" s="1084"/>
      <c r="I170" s="183"/>
      <c r="J170" s="231"/>
      <c r="K170" s="238"/>
      <c r="L170" s="1350"/>
      <c r="M170" s="1319"/>
      <c r="N170" s="4"/>
      <c r="O170" s="154"/>
      <c r="X170" s="1303"/>
    </row>
    <row r="171" spans="2:45" x14ac:dyDescent="0.3">
      <c r="B171" s="938">
        <v>1003.1</v>
      </c>
      <c r="C171" s="21"/>
      <c r="D171" s="21"/>
      <c r="E171" s="21" t="s">
        <v>275</v>
      </c>
      <c r="F171" s="21"/>
      <c r="G171" s="21"/>
      <c r="H171" s="1084"/>
      <c r="I171" s="183"/>
      <c r="J171" s="27" t="s">
        <v>275</v>
      </c>
      <c r="K171" s="4"/>
      <c r="L171" s="1292" t="s">
        <v>3583</v>
      </c>
      <c r="M171" s="1335">
        <v>1</v>
      </c>
      <c r="N171" s="4"/>
      <c r="O171" s="154"/>
      <c r="P171" s="789" t="b">
        <v>1</v>
      </c>
      <c r="Q171" s="789" t="b">
        <v>0</v>
      </c>
      <c r="R171" s="187" t="b">
        <v>0</v>
      </c>
      <c r="S171" s="187" t="b">
        <v>1</v>
      </c>
      <c r="T171" s="187" t="b">
        <v>0</v>
      </c>
      <c r="W171" s="25" t="b">
        <v>1</v>
      </c>
      <c r="X171" s="1303"/>
      <c r="AL171" s="311" t="str">
        <f>SUBSTITUTE(SUBSTITUTE(SUBSTITUTE("dpa"&amp;$B171&amp;$C171&amp;$D171&amp;$E171&amp;$F171,".","_"),"(","_"),")","")</f>
        <v>dpa1003_1_3</v>
      </c>
      <c r="AM171" s="311">
        <f>M171</f>
        <v>1</v>
      </c>
      <c r="AP171" s="311" t="str">
        <f>SUBSTITUTE(SUBSTITUTE(SUBSTITUTE("dch"&amp;$B171&amp;$C171&amp;$D171&amp;$E171&amp;$F171,".","_"),"(","_"),")","")</f>
        <v>dch1003_1_3</v>
      </c>
      <c r="AQ171" s="311" t="b">
        <f>W171</f>
        <v>1</v>
      </c>
      <c r="AR171" s="311" t="str">
        <f>SUBSTITUTE(SUBSTITUTE(SUBSTITUTE("dnt"&amp;$B171&amp;$C171&amp;$D171&amp;$E171&amp;$F171,".","_"),"(","_"),")","")</f>
        <v>dnt1003_1_3</v>
      </c>
      <c r="AS171" s="311">
        <f>X171</f>
        <v>0</v>
      </c>
    </row>
    <row r="172" spans="2:45" x14ac:dyDescent="0.3">
      <c r="B172" s="938">
        <v>1003.1</v>
      </c>
      <c r="C172" s="21"/>
      <c r="D172" s="21"/>
      <c r="E172" s="21" t="s">
        <v>275</v>
      </c>
      <c r="F172" s="21"/>
      <c r="G172" s="21"/>
      <c r="H172" s="1084"/>
      <c r="I172" s="183"/>
      <c r="J172" s="4"/>
      <c r="K172" s="4"/>
      <c r="L172" s="1292"/>
      <c r="M172" s="1335"/>
      <c r="N172" s="4"/>
      <c r="O172" s="154"/>
      <c r="X172" s="1303"/>
    </row>
    <row r="173" spans="2:45" x14ac:dyDescent="0.3">
      <c r="B173" s="938">
        <v>1003.1</v>
      </c>
      <c r="C173" s="21"/>
      <c r="D173" s="21"/>
      <c r="E173" s="21" t="s">
        <v>275</v>
      </c>
      <c r="F173" s="21"/>
      <c r="G173" s="21"/>
      <c r="H173" s="1084"/>
      <c r="I173" s="183"/>
      <c r="J173" s="4"/>
      <c r="K173" s="4"/>
      <c r="L173" s="1292"/>
      <c r="M173" s="1335"/>
      <c r="N173" s="4"/>
      <c r="O173" s="154"/>
      <c r="X173" s="1303"/>
    </row>
    <row r="174" spans="2:45" ht="18" x14ac:dyDescent="0.35">
      <c r="B174" s="938">
        <v>1004</v>
      </c>
      <c r="C174" s="80"/>
      <c r="D174" s="80"/>
      <c r="E174" s="80"/>
      <c r="F174" s="80"/>
      <c r="G174" s="80"/>
      <c r="H174" s="1087"/>
      <c r="I174" s="72" t="s">
        <v>3584</v>
      </c>
      <c r="J174" s="23"/>
      <c r="K174" s="23"/>
      <c r="L174" s="258"/>
      <c r="M174" s="594"/>
      <c r="N174" s="604"/>
      <c r="O174" s="594"/>
      <c r="P174" s="23"/>
      <c r="Q174" s="23"/>
      <c r="R174" s="23"/>
      <c r="S174" s="23"/>
      <c r="T174" s="23"/>
      <c r="U174" s="23"/>
      <c r="V174" s="23"/>
      <c r="W174" s="23"/>
      <c r="X174" s="23"/>
    </row>
    <row r="175" spans="2:45" x14ac:dyDescent="0.3">
      <c r="B175" s="938" t="s">
        <v>4439</v>
      </c>
      <c r="C175" s="21"/>
      <c r="D175" s="21"/>
      <c r="E175" s="21"/>
      <c r="F175" s="21"/>
      <c r="G175" s="21"/>
      <c r="H175" s="1084"/>
      <c r="I175" s="926" t="s">
        <v>4439</v>
      </c>
      <c r="J175" s="140"/>
      <c r="K175" s="140"/>
      <c r="L175" s="1313" t="s">
        <v>3585</v>
      </c>
      <c r="M175" s="598"/>
      <c r="N175" s="140"/>
      <c r="O175" s="598"/>
      <c r="P175" s="97"/>
      <c r="Q175" s="97"/>
      <c r="R175" s="97"/>
      <c r="S175" s="97"/>
      <c r="T175" s="97"/>
      <c r="U175" s="97"/>
      <c r="V175" s="97"/>
      <c r="W175" s="97"/>
      <c r="X175" s="97"/>
    </row>
    <row r="176" spans="2:45" x14ac:dyDescent="0.3">
      <c r="B176" s="938" t="s">
        <v>4439</v>
      </c>
      <c r="C176" s="21"/>
      <c r="D176" s="21"/>
      <c r="E176" s="21"/>
      <c r="F176" s="21"/>
      <c r="G176" s="21"/>
      <c r="H176" s="1084"/>
      <c r="I176" s="573"/>
      <c r="J176" s="140"/>
      <c r="K176" s="140"/>
      <c r="L176" s="1313"/>
      <c r="M176" s="598"/>
      <c r="N176" s="140"/>
      <c r="O176" s="598"/>
      <c r="P176" s="97"/>
      <c r="Q176" s="97"/>
      <c r="R176" s="97"/>
      <c r="S176" s="97"/>
      <c r="T176" s="97"/>
      <c r="U176" s="97"/>
      <c r="V176" s="97"/>
      <c r="W176" s="97"/>
      <c r="X176" s="97"/>
    </row>
    <row r="177" spans="2:45" x14ac:dyDescent="0.3">
      <c r="B177" s="938" t="s">
        <v>4439</v>
      </c>
      <c r="C177" s="21"/>
      <c r="D177" s="21"/>
      <c r="E177" s="21"/>
      <c r="F177" s="21"/>
      <c r="G177" s="21"/>
      <c r="H177" s="1084"/>
      <c r="I177" s="573"/>
      <c r="J177" s="140"/>
      <c r="K177" s="140"/>
      <c r="L177" s="1313"/>
      <c r="M177" s="598"/>
      <c r="N177" s="140"/>
      <c r="O177" s="598"/>
      <c r="P177" s="97"/>
      <c r="Q177" s="97"/>
      <c r="R177" s="97"/>
      <c r="S177" s="97"/>
      <c r="T177" s="97"/>
      <c r="U177" s="97"/>
      <c r="V177" s="97"/>
      <c r="W177" s="97"/>
      <c r="X177" s="97"/>
    </row>
    <row r="178" spans="2:45" x14ac:dyDescent="0.3">
      <c r="B178" s="938" t="s">
        <v>4439</v>
      </c>
      <c r="C178" s="21"/>
      <c r="D178" s="21"/>
      <c r="E178" s="21"/>
      <c r="F178" s="21"/>
      <c r="G178" s="21"/>
      <c r="H178" s="1084"/>
      <c r="I178" s="573"/>
      <c r="J178" s="140"/>
      <c r="K178" s="140"/>
      <c r="L178" s="1313"/>
      <c r="M178" s="598"/>
      <c r="N178" s="140"/>
      <c r="O178" s="598"/>
      <c r="P178" s="97"/>
      <c r="Q178" s="97"/>
      <c r="R178" s="97"/>
      <c r="S178" s="97"/>
      <c r="T178" s="97"/>
      <c r="U178" s="97"/>
      <c r="V178" s="97"/>
      <c r="W178" s="97"/>
      <c r="X178" s="97"/>
    </row>
    <row r="179" spans="2:45" x14ac:dyDescent="0.3">
      <c r="B179" s="938">
        <v>1004.1</v>
      </c>
      <c r="C179" s="21"/>
      <c r="D179" s="21"/>
      <c r="E179" s="21"/>
      <c r="F179" s="21"/>
      <c r="G179" s="21"/>
      <c r="H179" s="1084"/>
      <c r="I179" s="152">
        <v>1004.1</v>
      </c>
      <c r="J179" s="4"/>
      <c r="K179" s="4"/>
      <c r="L179" s="1292" t="s">
        <v>3586</v>
      </c>
      <c r="M179" s="154"/>
      <c r="N179" s="4"/>
      <c r="O179" s="154"/>
    </row>
    <row r="180" spans="2:45" x14ac:dyDescent="0.3">
      <c r="B180" s="938">
        <v>1004.1</v>
      </c>
      <c r="C180" s="21"/>
      <c r="D180" s="21"/>
      <c r="E180" s="21"/>
      <c r="F180" s="21"/>
      <c r="G180" s="21"/>
      <c r="H180" s="1084"/>
      <c r="I180" s="4"/>
      <c r="J180" s="4"/>
      <c r="K180" s="4"/>
      <c r="L180" s="1292"/>
      <c r="M180" s="154"/>
      <c r="N180" s="4"/>
      <c r="O180" s="154"/>
    </row>
    <row r="181" spans="2:45" x14ac:dyDescent="0.3">
      <c r="B181" s="938">
        <v>1004.1</v>
      </c>
      <c r="C181" s="21"/>
      <c r="D181" s="21"/>
      <c r="E181" s="21"/>
      <c r="F181" s="21"/>
      <c r="G181" s="21"/>
      <c r="H181" s="1084"/>
      <c r="I181" s="4"/>
      <c r="J181" s="4"/>
      <c r="K181" s="4"/>
      <c r="L181" s="1292"/>
      <c r="M181" s="154"/>
      <c r="N181" s="4"/>
      <c r="O181" s="154"/>
    </row>
    <row r="182" spans="2:45" x14ac:dyDescent="0.3">
      <c r="B182" s="938">
        <v>1004.1</v>
      </c>
      <c r="C182" s="21"/>
      <c r="D182" s="21"/>
      <c r="E182" s="21"/>
      <c r="F182" s="21"/>
      <c r="G182" s="21"/>
      <c r="H182" s="1084"/>
      <c r="I182" s="4"/>
      <c r="J182" s="4"/>
      <c r="K182" s="4"/>
      <c r="L182" s="1292"/>
      <c r="M182" s="154"/>
      <c r="N182" s="4"/>
      <c r="O182" s="154"/>
    </row>
    <row r="183" spans="2:45" x14ac:dyDescent="0.3">
      <c r="B183" s="938">
        <v>1004.1</v>
      </c>
      <c r="C183" s="21"/>
      <c r="D183" s="21"/>
      <c r="E183" s="21"/>
      <c r="F183" s="21"/>
      <c r="G183" s="21"/>
      <c r="H183" s="1084"/>
      <c r="I183" s="4"/>
      <c r="J183" s="4"/>
      <c r="K183" s="4"/>
      <c r="L183" s="1292"/>
      <c r="M183" s="154"/>
      <c r="N183" s="4"/>
      <c r="O183" s="154"/>
    </row>
    <row r="184" spans="2:45" x14ac:dyDescent="0.3">
      <c r="B184" s="938">
        <v>1004.1</v>
      </c>
      <c r="C184" s="21"/>
      <c r="D184" s="21"/>
      <c r="E184" s="21" t="s">
        <v>271</v>
      </c>
      <c r="F184" s="21"/>
      <c r="G184" s="21"/>
      <c r="H184" s="1084"/>
      <c r="I184" s="4"/>
      <c r="J184" s="203" t="s">
        <v>271</v>
      </c>
      <c r="K184" s="140"/>
      <c r="L184" s="1305" t="s">
        <v>4365</v>
      </c>
      <c r="M184" s="1318">
        <v>1</v>
      </c>
      <c r="N184" s="140"/>
      <c r="O184" s="1308">
        <f>M184*S184*W184</f>
        <v>0</v>
      </c>
      <c r="P184" s="79" t="b">
        <v>0</v>
      </c>
      <c r="Q184" s="789" t="b">
        <v>1</v>
      </c>
      <c r="R184" s="187" t="b">
        <v>0</v>
      </c>
      <c r="S184" s="187" t="b">
        <v>1</v>
      </c>
      <c r="T184" s="187" t="b">
        <v>0</v>
      </c>
      <c r="W184" s="25"/>
      <c r="X184" s="1303"/>
      <c r="AL184" s="311" t="str">
        <f>SUBSTITUTE(SUBSTITUTE(SUBSTITUTE("dpa"&amp;$B184&amp;$C184&amp;$D184&amp;$E184&amp;$F184,".","_"),"(","_"),")","")</f>
        <v>dpa1004_1_1</v>
      </c>
      <c r="AM184" s="311">
        <f>M184</f>
        <v>1</v>
      </c>
      <c r="AN184" s="311" t="str">
        <f>SUBSTITUTE(SUBSTITUTE(SUBSTITUTE("dpc"&amp;$B184&amp;$C184&amp;$D184&amp;$E184&amp;$F184,".","_"),"(","_"),")","")</f>
        <v>dpc1004_1_1</v>
      </c>
      <c r="AO184" s="311">
        <f>O184</f>
        <v>0</v>
      </c>
      <c r="AP184" s="311" t="str">
        <f>SUBSTITUTE(SUBSTITUTE(SUBSTITUTE("dch"&amp;$B184&amp;$C184&amp;$D184&amp;$E184&amp;$F184,".","_"),"(","_"),")","")</f>
        <v>dch1004_1_1</v>
      </c>
      <c r="AQ184" s="311">
        <f>W184</f>
        <v>0</v>
      </c>
      <c r="AR184" s="311" t="str">
        <f>SUBSTITUTE(SUBSTITUTE(SUBSTITUTE("dnt"&amp;$B184&amp;$C184&amp;$D184&amp;$E184&amp;$F184,".","_"),"(","_"),")","")</f>
        <v>dnt1004_1_1</v>
      </c>
      <c r="AS184" s="311">
        <f>X184</f>
        <v>0</v>
      </c>
    </row>
    <row r="185" spans="2:45" x14ac:dyDescent="0.3">
      <c r="B185" s="938">
        <v>1004.1</v>
      </c>
      <c r="C185" s="21"/>
      <c r="D185" s="21"/>
      <c r="E185" s="21" t="s">
        <v>271</v>
      </c>
      <c r="F185" s="21"/>
      <c r="G185" s="21"/>
      <c r="H185" s="1084"/>
      <c r="I185" s="4"/>
      <c r="J185" s="231"/>
      <c r="K185" s="238"/>
      <c r="L185" s="1306"/>
      <c r="M185" s="1319"/>
      <c r="N185" s="238"/>
      <c r="O185" s="1309"/>
      <c r="X185" s="1303"/>
    </row>
    <row r="186" spans="2:45" x14ac:dyDescent="0.3">
      <c r="B186" s="938">
        <v>1004.1</v>
      </c>
      <c r="C186" s="21"/>
      <c r="D186" s="21"/>
      <c r="E186" s="21" t="s">
        <v>273</v>
      </c>
      <c r="F186" s="21"/>
      <c r="G186" s="21"/>
      <c r="H186" s="1084"/>
      <c r="I186" s="4"/>
      <c r="J186" s="237" t="s">
        <v>273</v>
      </c>
      <c r="K186" s="216"/>
      <c r="L186" s="1356" t="s">
        <v>3588</v>
      </c>
      <c r="M186" s="1323">
        <v>3</v>
      </c>
      <c r="N186" s="216"/>
      <c r="O186" s="1324">
        <f>M186*S186*W186</f>
        <v>0</v>
      </c>
      <c r="P186" s="789" t="b">
        <v>0</v>
      </c>
      <c r="Q186" s="789" t="b">
        <v>1</v>
      </c>
      <c r="R186" s="187" t="b">
        <v>0</v>
      </c>
      <c r="S186" s="187" t="b">
        <v>1</v>
      </c>
      <c r="T186" s="187" t="b">
        <v>0</v>
      </c>
      <c r="W186" s="25"/>
      <c r="X186" s="1303"/>
      <c r="AL186" s="311" t="str">
        <f>SUBSTITUTE(SUBSTITUTE(SUBSTITUTE("dpa"&amp;$B186&amp;$C186&amp;$D186&amp;$E186&amp;$F186,".","_"),"(","_"),")","")</f>
        <v>dpa1004_1_2</v>
      </c>
      <c r="AM186" s="311">
        <f>M186</f>
        <v>3</v>
      </c>
      <c r="AN186" s="311" t="str">
        <f>SUBSTITUTE(SUBSTITUTE(SUBSTITUTE("dpc"&amp;$B186&amp;$C186&amp;$D186&amp;$E186&amp;$F186,".","_"),"(","_"),")","")</f>
        <v>dpc1004_1_2</v>
      </c>
      <c r="AO186" s="311">
        <f>O186</f>
        <v>0</v>
      </c>
      <c r="AP186" s="311" t="str">
        <f>SUBSTITUTE(SUBSTITUTE(SUBSTITUTE("dch"&amp;$B186&amp;$C186&amp;$D186&amp;$E186&amp;$F186,".","_"),"(","_"),")","")</f>
        <v>dch1004_1_2</v>
      </c>
      <c r="AQ186" s="311">
        <f>W186</f>
        <v>0</v>
      </c>
      <c r="AR186" s="311" t="str">
        <f>SUBSTITUTE(SUBSTITUTE(SUBSTITUTE("dnt"&amp;$B186&amp;$C186&amp;$D186&amp;$E186&amp;$F186,".","_"),"(","_"),")","")</f>
        <v>dnt1004_1_2</v>
      </c>
      <c r="AS186" s="311">
        <f>X186</f>
        <v>0</v>
      </c>
    </row>
    <row r="187" spans="2:45" ht="15" thickBot="1" x14ac:dyDescent="0.35">
      <c r="B187" s="938">
        <v>1004.1</v>
      </c>
      <c r="C187" s="21"/>
      <c r="D187" s="21"/>
      <c r="E187" s="21" t="s">
        <v>273</v>
      </c>
      <c r="F187" s="21"/>
      <c r="G187" s="21"/>
      <c r="H187" s="1084"/>
      <c r="I187" s="4"/>
      <c r="J187" s="238"/>
      <c r="K187" s="238"/>
      <c r="L187" s="1306"/>
      <c r="M187" s="1319"/>
      <c r="N187" s="238"/>
      <c r="O187" s="1309"/>
      <c r="X187" s="1303"/>
    </row>
    <row r="188" spans="2:45" ht="15.6" thickTop="1" thickBot="1" x14ac:dyDescent="0.35">
      <c r="H188" s="1086"/>
      <c r="I188" s="225" t="s">
        <v>3596</v>
      </c>
      <c r="J188" s="226"/>
      <c r="K188" s="226"/>
      <c r="L188" s="226"/>
      <c r="M188" s="227"/>
      <c r="N188" s="226"/>
      <c r="O188" s="228"/>
      <c r="P188" s="226"/>
      <c r="Q188" s="226"/>
      <c r="R188" s="226"/>
      <c r="S188" s="226"/>
      <c r="T188" s="226"/>
      <c r="U188" s="226"/>
      <c r="V188" s="226"/>
      <c r="W188" s="226"/>
      <c r="X188" s="229"/>
    </row>
    <row r="189" spans="2:45" ht="15" thickTop="1" x14ac:dyDescent="0.3"/>
  </sheetData>
  <sheetProtection algorithmName="SHA-512" hashValue="fH5ivUx9OCiWNIhDMP0Sj8wPh0/BnaBU7QsIiki3TySzco+L6AWGWcHIAQjSHpIhDbhImqxbchSS9cDMtZLVhw==" saltValue="RSJ4uKwvqczC2UrSJLC5IQ==" spinCount="100000" sheet="1" objects="1" scenarios="1" selectLockedCells="1"/>
  <mergeCells count="134">
    <mergeCell ref="L175:L178"/>
    <mergeCell ref="L179:L183"/>
    <mergeCell ref="L184:L185"/>
    <mergeCell ref="L186:L187"/>
    <mergeCell ref="L17:L20"/>
    <mergeCell ref="L121:L122"/>
    <mergeCell ref="L115:L116"/>
    <mergeCell ref="L47:L48"/>
    <mergeCell ref="L149:L153"/>
    <mergeCell ref="L162:L164"/>
    <mergeCell ref="L166:L167"/>
    <mergeCell ref="L168:L170"/>
    <mergeCell ref="L171:L173"/>
    <mergeCell ref="L123:L125"/>
    <mergeCell ref="L127:L128"/>
    <mergeCell ref="L129:L132"/>
    <mergeCell ref="L100:L101"/>
    <mergeCell ref="L102:L104"/>
    <mergeCell ref="L140:L141"/>
    <mergeCell ref="L143:L144"/>
    <mergeCell ref="L105:L106"/>
    <mergeCell ref="L107:L109"/>
    <mergeCell ref="L110:L111"/>
    <mergeCell ref="L113:L114"/>
    <mergeCell ref="L118:L120"/>
    <mergeCell ref="L60:L63"/>
    <mergeCell ref="L72:L77"/>
    <mergeCell ref="L78:L79"/>
    <mergeCell ref="L81:L83"/>
    <mergeCell ref="L84:L86"/>
    <mergeCell ref="L87:L88"/>
    <mergeCell ref="L90:L91"/>
    <mergeCell ref="L94:L95"/>
    <mergeCell ref="L96:L98"/>
    <mergeCell ref="P6:P7"/>
    <mergeCell ref="I1:L1"/>
    <mergeCell ref="M1:W5"/>
    <mergeCell ref="I2:L2"/>
    <mergeCell ref="I3:L3"/>
    <mergeCell ref="V6:V7"/>
    <mergeCell ref="W6:W7"/>
    <mergeCell ref="X4:X5"/>
    <mergeCell ref="Q6:Q7"/>
    <mergeCell ref="X6:X7"/>
    <mergeCell ref="R6:R7"/>
    <mergeCell ref="S6:S7"/>
    <mergeCell ref="T6:T7"/>
    <mergeCell ref="U6:U7"/>
    <mergeCell ref="I4:L4"/>
    <mergeCell ref="I5:L5"/>
    <mergeCell ref="M60:M63"/>
    <mergeCell ref="M81:M83"/>
    <mergeCell ref="M84:M86"/>
    <mergeCell ref="M87:M88"/>
    <mergeCell ref="M78:M80"/>
    <mergeCell ref="I6:K7"/>
    <mergeCell ref="L6:L7"/>
    <mergeCell ref="M6:M7"/>
    <mergeCell ref="N6:N7"/>
    <mergeCell ref="L10:L11"/>
    <mergeCell ref="L12:L13"/>
    <mergeCell ref="L23:L24"/>
    <mergeCell ref="L25:L26"/>
    <mergeCell ref="M17:M20"/>
    <mergeCell ref="M12:M14"/>
    <mergeCell ref="L32:L33"/>
    <mergeCell ref="L36:L37"/>
    <mergeCell ref="L38:L41"/>
    <mergeCell ref="L42:L43"/>
    <mergeCell ref="L44:L45"/>
    <mergeCell ref="L49:L50"/>
    <mergeCell ref="L52:L53"/>
    <mergeCell ref="L54:L55"/>
    <mergeCell ref="L56:L57"/>
    <mergeCell ref="X60:X70"/>
    <mergeCell ref="X42:X43"/>
    <mergeCell ref="X44:X45"/>
    <mergeCell ref="X47:X48"/>
    <mergeCell ref="X49:X50"/>
    <mergeCell ref="X52:X53"/>
    <mergeCell ref="X17:X20"/>
    <mergeCell ref="X23:X24"/>
    <mergeCell ref="X25:X26"/>
    <mergeCell ref="X32:X37"/>
    <mergeCell ref="X38:X41"/>
    <mergeCell ref="X28:X29"/>
    <mergeCell ref="X84:X86"/>
    <mergeCell ref="O12:O14"/>
    <mergeCell ref="O78:O80"/>
    <mergeCell ref="X140:X141"/>
    <mergeCell ref="X143:X144"/>
    <mergeCell ref="X149:X160"/>
    <mergeCell ref="X166:X167"/>
    <mergeCell ref="X168:X170"/>
    <mergeCell ref="X118:X120"/>
    <mergeCell ref="X121:X122"/>
    <mergeCell ref="X127:X128"/>
    <mergeCell ref="X129:X132"/>
    <mergeCell ref="X133:X139"/>
    <mergeCell ref="X105:X106"/>
    <mergeCell ref="X107:X109"/>
    <mergeCell ref="X110:X111"/>
    <mergeCell ref="X113:X114"/>
    <mergeCell ref="X115:X116"/>
    <mergeCell ref="X87:X88"/>
    <mergeCell ref="X90:X91"/>
    <mergeCell ref="X100:X101"/>
    <mergeCell ref="X102:X104"/>
    <mergeCell ref="X54:X55"/>
    <mergeCell ref="X56:X57"/>
    <mergeCell ref="H1:H7"/>
    <mergeCell ref="L28:L29"/>
    <mergeCell ref="M28:M29"/>
    <mergeCell ref="O123:O126"/>
    <mergeCell ref="O184:O185"/>
    <mergeCell ref="O186:O187"/>
    <mergeCell ref="M96:M99"/>
    <mergeCell ref="O96:O99"/>
    <mergeCell ref="X171:X173"/>
    <mergeCell ref="X184:X185"/>
    <mergeCell ref="X186:X187"/>
    <mergeCell ref="X94:X95"/>
    <mergeCell ref="M149:M153"/>
    <mergeCell ref="M184:M185"/>
    <mergeCell ref="M186:M187"/>
    <mergeCell ref="M171:M173"/>
    <mergeCell ref="M168:M170"/>
    <mergeCell ref="M166:M167"/>
    <mergeCell ref="M100:M101"/>
    <mergeCell ref="M102:M104"/>
    <mergeCell ref="M127:M128"/>
    <mergeCell ref="M123:M126"/>
    <mergeCell ref="M121:M122"/>
    <mergeCell ref="X81:X83"/>
  </mergeCells>
  <conditionalFormatting sqref="X2">
    <cfRule type="expression" dxfId="2499" priority="738">
      <formula>$AG$3</formula>
    </cfRule>
  </conditionalFormatting>
  <conditionalFormatting sqref="X3">
    <cfRule type="expression" dxfId="2498" priority="739">
      <formula>$AI$3</formula>
    </cfRule>
  </conditionalFormatting>
  <conditionalFormatting sqref="O123:O126">
    <cfRule type="cellIs" dxfId="2497" priority="492" operator="greaterThan">
      <formula>0</formula>
    </cfRule>
  </conditionalFormatting>
  <conditionalFormatting sqref="O96:O99">
    <cfRule type="cellIs" dxfId="2496" priority="491" operator="greaterThan">
      <formula>0</formula>
    </cfRule>
  </conditionalFormatting>
  <conditionalFormatting sqref="O78:O80">
    <cfRule type="cellIs" dxfId="2495" priority="490" operator="greaterThan">
      <formula>0</formula>
    </cfRule>
  </conditionalFormatting>
  <conditionalFormatting sqref="W15">
    <cfRule type="expression" dxfId="2494" priority="242">
      <formula>OR($T$15 = TRUE, AND($W$15 = TRUE, $S$15 = FALSE))</formula>
    </cfRule>
    <cfRule type="expression" dxfId="2493" priority="243">
      <formula>$S$15 = FALSE</formula>
    </cfRule>
    <cfRule type="expression" dxfId="2492" priority="244">
      <formula>AND(IF($R$15,$W$15,TRUE),LEN(TRIM($W$15))&gt;0)</formula>
    </cfRule>
    <cfRule type="expression" dxfId="2491" priority="245">
      <formula>AND($R$15,$S$15)</formula>
    </cfRule>
  </conditionalFormatting>
  <conditionalFormatting sqref="W16">
    <cfRule type="expression" dxfId="2490" priority="238">
      <formula>OR($T$16 = TRUE, AND($W$16 = TRUE, $S$16 = FALSE))</formula>
    </cfRule>
    <cfRule type="expression" dxfId="2489" priority="239">
      <formula>$S$16 = FALSE</formula>
    </cfRule>
    <cfRule type="expression" dxfId="2488" priority="240">
      <formula>AND(IF($R$16,$W$16,TRUE),LEN(TRIM($W$16))&gt;0)</formula>
    </cfRule>
    <cfRule type="expression" dxfId="2487" priority="241">
      <formula>AND($R$16,$S$16)</formula>
    </cfRule>
  </conditionalFormatting>
  <conditionalFormatting sqref="W17">
    <cfRule type="expression" dxfId="2486" priority="234">
      <formula>OR($T$17 = TRUE, AND($W$17 = TRUE, $S$17 = FALSE))</formula>
    </cfRule>
    <cfRule type="expression" dxfId="2485" priority="235">
      <formula>$S$17 = FALSE</formula>
    </cfRule>
    <cfRule type="expression" dxfId="2484" priority="236">
      <formula>AND(IF($R$17,$W$17,TRUE),LEN(TRIM($W$17))&gt;0)</formula>
    </cfRule>
    <cfRule type="expression" dxfId="2483" priority="237">
      <formula>AND($R$17,$S$17)</formula>
    </cfRule>
  </conditionalFormatting>
  <conditionalFormatting sqref="W21">
    <cfRule type="expression" dxfId="2482" priority="233">
      <formula>AND($R$21,$S$21)</formula>
    </cfRule>
  </conditionalFormatting>
  <conditionalFormatting sqref="W21">
    <cfRule type="expression" dxfId="2481" priority="232">
      <formula>AND(IF($R$21,$W$21,TRUE),LEN(TRIM($W$21))&gt;0)</formula>
    </cfRule>
  </conditionalFormatting>
  <conditionalFormatting sqref="W21">
    <cfRule type="expression" dxfId="2480" priority="231">
      <formula>$S$21 = FALSE</formula>
    </cfRule>
  </conditionalFormatting>
  <conditionalFormatting sqref="W21">
    <cfRule type="expression" dxfId="2479" priority="230">
      <formula>OR($T$21 = TRUE, AND($W$21 = TRUE, $S$21 = FALSE))</formula>
    </cfRule>
  </conditionalFormatting>
  <conditionalFormatting sqref="W22">
    <cfRule type="expression" dxfId="2478" priority="229">
      <formula>AND($R$22,$S$22)</formula>
    </cfRule>
  </conditionalFormatting>
  <conditionalFormatting sqref="W22">
    <cfRule type="expression" dxfId="2477" priority="228">
      <formula>AND(IF($R$22,$W$22,TRUE),LEN(TRIM($W$22))&gt;0)</formula>
    </cfRule>
  </conditionalFormatting>
  <conditionalFormatting sqref="W22">
    <cfRule type="expression" dxfId="2476" priority="227">
      <formula>$S$22 = FALSE</formula>
    </cfRule>
  </conditionalFormatting>
  <conditionalFormatting sqref="W22">
    <cfRule type="expression" dxfId="2475" priority="226">
      <formula>OR($T$22 = TRUE, AND($W$22 = TRUE, $S$22 = FALSE))</formula>
    </cfRule>
  </conditionalFormatting>
  <conditionalFormatting sqref="W23">
    <cfRule type="expression" dxfId="2474" priority="225">
      <formula>AND($R$23,$S$23)</formula>
    </cfRule>
  </conditionalFormatting>
  <conditionalFormatting sqref="W23">
    <cfRule type="expression" dxfId="2473" priority="224">
      <formula>AND(IF($R$23,$W$23,TRUE),LEN(TRIM($W$23))&gt;0)</formula>
    </cfRule>
  </conditionalFormatting>
  <conditionalFormatting sqref="W23">
    <cfRule type="expression" dxfId="2472" priority="223">
      <formula>$S$23 = FALSE</formula>
    </cfRule>
  </conditionalFormatting>
  <conditionalFormatting sqref="W23">
    <cfRule type="expression" dxfId="2471" priority="222">
      <formula>OR($T$23 = TRUE, AND($W$23 = TRUE, $S$23 = FALSE))</formula>
    </cfRule>
  </conditionalFormatting>
  <conditionalFormatting sqref="W25">
    <cfRule type="expression" dxfId="2470" priority="221">
      <formula>AND($R$25,$S$25)</formula>
    </cfRule>
  </conditionalFormatting>
  <conditionalFormatting sqref="W25">
    <cfRule type="expression" dxfId="2469" priority="220">
      <formula>AND(IF($R$25,$W$25,TRUE),LEN(TRIM($W$25))&gt;0)</formula>
    </cfRule>
  </conditionalFormatting>
  <conditionalFormatting sqref="W25">
    <cfRule type="expression" dxfId="2468" priority="219">
      <formula>$S$25 = FALSE</formula>
    </cfRule>
  </conditionalFormatting>
  <conditionalFormatting sqref="W25">
    <cfRule type="expression" dxfId="2467" priority="218">
      <formula>OR($T$25 = TRUE, AND($W$25 = TRUE, $S$25 = FALSE))</formula>
    </cfRule>
  </conditionalFormatting>
  <conditionalFormatting sqref="W27">
    <cfRule type="expression" dxfId="2466" priority="217">
      <formula>AND($R$27,$S$27)</formula>
    </cfRule>
  </conditionalFormatting>
  <conditionalFormatting sqref="W27">
    <cfRule type="expression" dxfId="2465" priority="216">
      <formula>AND(IF($R$27,$W$27,TRUE),LEN(TRIM($W$27))&gt;0)</formula>
    </cfRule>
  </conditionalFormatting>
  <conditionalFormatting sqref="W27">
    <cfRule type="expression" dxfId="2464" priority="215">
      <formula>$S$27 = FALSE</formula>
    </cfRule>
  </conditionalFormatting>
  <conditionalFormatting sqref="W27">
    <cfRule type="expression" dxfId="2463" priority="214">
      <formula>OR($T$27 = TRUE, AND($W$27 = TRUE, $S$27 = FALSE))</formula>
    </cfRule>
  </conditionalFormatting>
  <conditionalFormatting sqref="W28">
    <cfRule type="expression" dxfId="2462" priority="213">
      <formula>AND($R$28,$S$28)</formula>
    </cfRule>
  </conditionalFormatting>
  <conditionalFormatting sqref="W28">
    <cfRule type="expression" dxfId="2461" priority="212">
      <formula>AND(IF($R$28,$W$28,TRUE),LEN(TRIM($W$28))&gt;0)</formula>
    </cfRule>
  </conditionalFormatting>
  <conditionalFormatting sqref="W28">
    <cfRule type="expression" dxfId="2460" priority="211">
      <formula>$S$28 = FALSE</formula>
    </cfRule>
  </conditionalFormatting>
  <conditionalFormatting sqref="W28">
    <cfRule type="expression" dxfId="2459" priority="210">
      <formula>OR($T$28 = TRUE, AND($W$28 = TRUE, $S$28 = FALSE))</formula>
    </cfRule>
  </conditionalFormatting>
  <conditionalFormatting sqref="W30">
    <cfRule type="expression" dxfId="2458" priority="209">
      <formula>AND($R$30,$S$30)</formula>
    </cfRule>
  </conditionalFormatting>
  <conditionalFormatting sqref="W30">
    <cfRule type="expression" dxfId="2457" priority="208">
      <formula>AND(IF($R$30,$W$30,TRUE),LEN(TRIM($W$30))&gt;0)</formula>
    </cfRule>
  </conditionalFormatting>
  <conditionalFormatting sqref="W30">
    <cfRule type="expression" dxfId="2456" priority="207">
      <formula>$S$30 = FALSE</formula>
    </cfRule>
  </conditionalFormatting>
  <conditionalFormatting sqref="W30">
    <cfRule type="expression" dxfId="2455" priority="206">
      <formula>OR($T$30 = TRUE, AND($W$30 = TRUE, $S$30 = FALSE))</formula>
    </cfRule>
  </conditionalFormatting>
  <conditionalFormatting sqref="W31">
    <cfRule type="expression" dxfId="2454" priority="205">
      <formula>AND($R$31,$S$31)</formula>
    </cfRule>
  </conditionalFormatting>
  <conditionalFormatting sqref="W31">
    <cfRule type="expression" dxfId="2453" priority="204">
      <formula>AND(IF($R$31,$W$31,TRUE),LEN(TRIM($W$31))&gt;0)</formula>
    </cfRule>
  </conditionalFormatting>
  <conditionalFormatting sqref="W31">
    <cfRule type="expression" dxfId="2452" priority="203">
      <formula>$S$31 = FALSE</formula>
    </cfRule>
  </conditionalFormatting>
  <conditionalFormatting sqref="W31">
    <cfRule type="expression" dxfId="2451" priority="202">
      <formula>OR($T$31 = TRUE, AND($W$31 = TRUE, $S$31 = FALSE))</formula>
    </cfRule>
  </conditionalFormatting>
  <conditionalFormatting sqref="W32">
    <cfRule type="expression" dxfId="2450" priority="201">
      <formula>AND($R$32,$S$32)</formula>
    </cfRule>
  </conditionalFormatting>
  <conditionalFormatting sqref="W32">
    <cfRule type="expression" dxfId="2449" priority="200">
      <formula>AND(IF($R$32,$W$32,TRUE),LEN(TRIM($W$32))&gt;0)</formula>
    </cfRule>
  </conditionalFormatting>
  <conditionalFormatting sqref="W32">
    <cfRule type="expression" dxfId="2448" priority="199">
      <formula>$S$32 = FALSE</formula>
    </cfRule>
  </conditionalFormatting>
  <conditionalFormatting sqref="W32">
    <cfRule type="expression" dxfId="2447" priority="198">
      <formula>OR($T$32 = TRUE, AND($W$32 = TRUE, $S$32 = FALSE))</formula>
    </cfRule>
  </conditionalFormatting>
  <conditionalFormatting sqref="W38">
    <cfRule type="expression" dxfId="2446" priority="197">
      <formula>AND($R$38,$S$38)</formula>
    </cfRule>
  </conditionalFormatting>
  <conditionalFormatting sqref="W38">
    <cfRule type="expression" dxfId="2445" priority="196">
      <formula>AND(IF($R$38,$W$38,TRUE),LEN(TRIM($W$38))&gt;0)</formula>
    </cfRule>
  </conditionalFormatting>
  <conditionalFormatting sqref="W38">
    <cfRule type="expression" dxfId="2444" priority="195">
      <formula>$S$38 = FALSE</formula>
    </cfRule>
  </conditionalFormatting>
  <conditionalFormatting sqref="W38">
    <cfRule type="expression" dxfId="2443" priority="194">
      <formula>OR($T$38 = TRUE, AND($W$38 = TRUE, $S$38 = FALSE))</formula>
    </cfRule>
  </conditionalFormatting>
  <conditionalFormatting sqref="W42">
    <cfRule type="expression" dxfId="2442" priority="193">
      <formula>AND($R$42,$S$42)</formula>
    </cfRule>
  </conditionalFormatting>
  <conditionalFormatting sqref="W42">
    <cfRule type="expression" dxfId="2441" priority="192">
      <formula>AND(IF($R$42,$W$42,TRUE),LEN(TRIM($W$42))&gt;0)</formula>
    </cfRule>
  </conditionalFormatting>
  <conditionalFormatting sqref="W42">
    <cfRule type="expression" dxfId="2440" priority="191">
      <formula>$S$42 = FALSE</formula>
    </cfRule>
  </conditionalFormatting>
  <conditionalFormatting sqref="W42">
    <cfRule type="expression" dxfId="2439" priority="190">
      <formula>OR($T$42 = TRUE, AND($W$42 = TRUE, $S$42 = FALSE))</formula>
    </cfRule>
  </conditionalFormatting>
  <conditionalFormatting sqref="W44">
    <cfRule type="expression" dxfId="2438" priority="189">
      <formula>AND($R$44,$S$44)</formula>
    </cfRule>
  </conditionalFormatting>
  <conditionalFormatting sqref="W44">
    <cfRule type="expression" dxfId="2437" priority="188">
      <formula>AND(IF($R$44,$W$44,TRUE),LEN(TRIM($W$44))&gt;0)</formula>
    </cfRule>
  </conditionalFormatting>
  <conditionalFormatting sqref="W44">
    <cfRule type="expression" dxfId="2436" priority="187">
      <formula>$S$44 = FALSE</formula>
    </cfRule>
  </conditionalFormatting>
  <conditionalFormatting sqref="W44">
    <cfRule type="expression" dxfId="2435" priority="186">
      <formula>OR($T$44 = TRUE, AND($W$44 = TRUE, $S$44 = FALSE))</formula>
    </cfRule>
  </conditionalFormatting>
  <conditionalFormatting sqref="W46">
    <cfRule type="expression" dxfId="2434" priority="185">
      <formula>AND($R$46,$S$46)</formula>
    </cfRule>
  </conditionalFormatting>
  <conditionalFormatting sqref="W46">
    <cfRule type="expression" dxfId="2433" priority="184">
      <formula>AND(IF($R$46,$W$46,TRUE),LEN(TRIM($W$46))&gt;0)</formula>
    </cfRule>
  </conditionalFormatting>
  <conditionalFormatting sqref="W46">
    <cfRule type="expression" dxfId="2432" priority="183">
      <formula>$S$46 = FALSE</formula>
    </cfRule>
  </conditionalFormatting>
  <conditionalFormatting sqref="W46">
    <cfRule type="expression" dxfId="2431" priority="182">
      <formula>OR($T$46 = TRUE, AND($W$46 = TRUE, $S$46 = FALSE))</formula>
    </cfRule>
  </conditionalFormatting>
  <conditionalFormatting sqref="W47">
    <cfRule type="expression" dxfId="2430" priority="181">
      <formula>AND($R$47,$S$47)</formula>
    </cfRule>
  </conditionalFormatting>
  <conditionalFormatting sqref="W47">
    <cfRule type="expression" dxfId="2429" priority="180">
      <formula>AND(IF($R$47,$W$47,TRUE),LEN(TRIM($W$47))&gt;0)</formula>
    </cfRule>
  </conditionalFormatting>
  <conditionalFormatting sqref="W47">
    <cfRule type="expression" dxfId="2428" priority="179">
      <formula>$S$47 = FALSE</formula>
    </cfRule>
  </conditionalFormatting>
  <conditionalFormatting sqref="W47">
    <cfRule type="expression" dxfId="2427" priority="178">
      <formula>OR($T$47 = TRUE, AND($W$47 = TRUE, $S$47 = FALSE))</formula>
    </cfRule>
  </conditionalFormatting>
  <conditionalFormatting sqref="W49">
    <cfRule type="expression" dxfId="2426" priority="177">
      <formula>AND($R$49,$S$49)</formula>
    </cfRule>
  </conditionalFormatting>
  <conditionalFormatting sqref="W49">
    <cfRule type="expression" dxfId="2425" priority="176">
      <formula>AND(IF($R$49,$W$49,TRUE),LEN(TRIM($W$49))&gt;0)</formula>
    </cfRule>
  </conditionalFormatting>
  <conditionalFormatting sqref="W49">
    <cfRule type="expression" dxfId="2424" priority="175">
      <formula>$S$49 = FALSE</formula>
    </cfRule>
  </conditionalFormatting>
  <conditionalFormatting sqref="W49">
    <cfRule type="expression" dxfId="2423" priority="174">
      <formula>OR($T$49 = TRUE, AND($W$49 = TRUE, $S$49 = FALSE))</formula>
    </cfRule>
  </conditionalFormatting>
  <conditionalFormatting sqref="W51">
    <cfRule type="expression" dxfId="2422" priority="173">
      <formula>AND($R$51,$S$51)</formula>
    </cfRule>
  </conditionalFormatting>
  <conditionalFormatting sqref="W51">
    <cfRule type="expression" dxfId="2421" priority="172">
      <formula>AND(IF($R$51,$W$51,TRUE),LEN(TRIM($W$51))&gt;0)</formula>
    </cfRule>
  </conditionalFormatting>
  <conditionalFormatting sqref="W51">
    <cfRule type="expression" dxfId="2420" priority="171">
      <formula>$S$51 = FALSE</formula>
    </cfRule>
  </conditionalFormatting>
  <conditionalFormatting sqref="W51">
    <cfRule type="expression" dxfId="2419" priority="170">
      <formula>OR($T$51 = TRUE, AND($W$51 = TRUE, $S$51 = FALSE))</formula>
    </cfRule>
  </conditionalFormatting>
  <conditionalFormatting sqref="W52">
    <cfRule type="expression" dxfId="2418" priority="169">
      <formula>AND($R$52,$S$52)</formula>
    </cfRule>
  </conditionalFormatting>
  <conditionalFormatting sqref="W52">
    <cfRule type="expression" dxfId="2417" priority="168">
      <formula>AND(IF($R$52,$W$52,TRUE),LEN(TRIM($W$52))&gt;0)</formula>
    </cfRule>
  </conditionalFormatting>
  <conditionalFormatting sqref="W52">
    <cfRule type="expression" dxfId="2416" priority="167">
      <formula>$S$52 = FALSE</formula>
    </cfRule>
  </conditionalFormatting>
  <conditionalFormatting sqref="W52">
    <cfRule type="expression" dxfId="2415" priority="166">
      <formula>OR($T$52 = TRUE, AND($W$52 = TRUE, $S$52 = FALSE))</formula>
    </cfRule>
  </conditionalFormatting>
  <conditionalFormatting sqref="W54">
    <cfRule type="expression" dxfId="2414" priority="165">
      <formula>AND($R$54,$S$54)</formula>
    </cfRule>
  </conditionalFormatting>
  <conditionalFormatting sqref="W54">
    <cfRule type="expression" dxfId="2413" priority="164">
      <formula>AND(IF($R$54,$W$54,TRUE),LEN(TRIM($W$54))&gt;0)</formula>
    </cfRule>
  </conditionalFormatting>
  <conditionalFormatting sqref="W54">
    <cfRule type="expression" dxfId="2412" priority="163">
      <formula>$S$54 = FALSE</formula>
    </cfRule>
  </conditionalFormatting>
  <conditionalFormatting sqref="W54">
    <cfRule type="expression" dxfId="2411" priority="162">
      <formula>OR($T$54 = TRUE, AND($W$54 = TRUE, $S$54 = FALSE))</formula>
    </cfRule>
  </conditionalFormatting>
  <conditionalFormatting sqref="W56">
    <cfRule type="expression" dxfId="2410" priority="161">
      <formula>AND($R$56,$S$56)</formula>
    </cfRule>
  </conditionalFormatting>
  <conditionalFormatting sqref="W56">
    <cfRule type="expression" dxfId="2409" priority="160">
      <formula>AND(IF($R$56,$W$56,TRUE),LEN(TRIM($W$56))&gt;0)</formula>
    </cfRule>
  </conditionalFormatting>
  <conditionalFormatting sqref="W56">
    <cfRule type="expression" dxfId="2408" priority="159">
      <formula>$S$56 = FALSE</formula>
    </cfRule>
  </conditionalFormatting>
  <conditionalFormatting sqref="W56">
    <cfRule type="expression" dxfId="2407" priority="158">
      <formula>OR($T$56 = TRUE, AND($W$56 = TRUE, $S$56 = FALSE))</formula>
    </cfRule>
  </conditionalFormatting>
  <conditionalFormatting sqref="W58">
    <cfRule type="expression" dxfId="2406" priority="157">
      <formula>AND($R$58,$S$58)</formula>
    </cfRule>
  </conditionalFormatting>
  <conditionalFormatting sqref="W58">
    <cfRule type="expression" dxfId="2405" priority="156">
      <formula>AND(IF($R$58,$W$58,TRUE),LEN(TRIM($W$58))&gt;0)</formula>
    </cfRule>
  </conditionalFormatting>
  <conditionalFormatting sqref="W58">
    <cfRule type="expression" dxfId="2404" priority="155">
      <formula>$S$58 = FALSE</formula>
    </cfRule>
  </conditionalFormatting>
  <conditionalFormatting sqref="W58">
    <cfRule type="expression" dxfId="2403" priority="154">
      <formula>OR($T$58 = TRUE, AND($W$58 = TRUE, $S$58 = FALSE))</formula>
    </cfRule>
  </conditionalFormatting>
  <conditionalFormatting sqref="W59">
    <cfRule type="expression" dxfId="2402" priority="153">
      <formula>AND($R$59,$S$59)</formula>
    </cfRule>
  </conditionalFormatting>
  <conditionalFormatting sqref="W59">
    <cfRule type="expression" dxfId="2401" priority="152">
      <formula>AND(IF($R$59,$W$59,TRUE),LEN(TRIM($W$59))&gt;0)</formula>
    </cfRule>
  </conditionalFormatting>
  <conditionalFormatting sqref="W59">
    <cfRule type="expression" dxfId="2400" priority="151">
      <formula>$S$59 = FALSE</formula>
    </cfRule>
  </conditionalFormatting>
  <conditionalFormatting sqref="W59">
    <cfRule type="expression" dxfId="2399" priority="150">
      <formula>OR($T$59 = TRUE, AND($W$59 = TRUE, $S$59 = FALSE))</formula>
    </cfRule>
  </conditionalFormatting>
  <conditionalFormatting sqref="W60">
    <cfRule type="expression" dxfId="2398" priority="149">
      <formula>AND($R$60,$S$60)</formula>
    </cfRule>
  </conditionalFormatting>
  <conditionalFormatting sqref="W60">
    <cfRule type="expression" dxfId="2397" priority="148">
      <formula>AND(IF($R$60,$W$60,TRUE),LEN(TRIM($W$60))&gt;0)</formula>
    </cfRule>
  </conditionalFormatting>
  <conditionalFormatting sqref="W60">
    <cfRule type="expression" dxfId="2396" priority="147">
      <formula>$S$60 = FALSE</formula>
    </cfRule>
  </conditionalFormatting>
  <conditionalFormatting sqref="W60">
    <cfRule type="expression" dxfId="2395" priority="146">
      <formula>OR($T$60 = TRUE, AND($W$60 = TRUE, $S$60 = FALSE))</formula>
    </cfRule>
  </conditionalFormatting>
  <conditionalFormatting sqref="W81">
    <cfRule type="expression" dxfId="2394" priority="145">
      <formula>AND($R$81,$S$81)</formula>
    </cfRule>
  </conditionalFormatting>
  <conditionalFormatting sqref="W81">
    <cfRule type="expression" dxfId="2393" priority="144">
      <formula>AND(IF($R$81,$W$81,TRUE),LEN(TRIM($W$81))&gt;0)</formula>
    </cfRule>
  </conditionalFormatting>
  <conditionalFormatting sqref="W81">
    <cfRule type="expression" dxfId="2392" priority="143">
      <formula>$S$81 = FALSE</formula>
    </cfRule>
  </conditionalFormatting>
  <conditionalFormatting sqref="W81">
    <cfRule type="expression" dxfId="2391" priority="142">
      <formula>OR($T$81 = TRUE, AND($W$81 = TRUE, $S$81 = FALSE))</formula>
    </cfRule>
  </conditionalFormatting>
  <conditionalFormatting sqref="W84">
    <cfRule type="expression" dxfId="2390" priority="141">
      <formula>AND($R$84,$S$84)</formula>
    </cfRule>
  </conditionalFormatting>
  <conditionalFormatting sqref="W84">
    <cfRule type="expression" dxfId="2389" priority="140">
      <formula>AND(IF($R$84,$W$84,TRUE),LEN(TRIM($W$84))&gt;0)</formula>
    </cfRule>
  </conditionalFormatting>
  <conditionalFormatting sqref="W84">
    <cfRule type="expression" dxfId="2388" priority="139">
      <formula>$S$84 = FALSE</formula>
    </cfRule>
  </conditionalFormatting>
  <conditionalFormatting sqref="W84">
    <cfRule type="expression" dxfId="2387" priority="138">
      <formula>OR($T$84 = TRUE, AND($W$84 = TRUE, $S$84 = FALSE))</formula>
    </cfRule>
  </conditionalFormatting>
  <conditionalFormatting sqref="W87">
    <cfRule type="expression" dxfId="2386" priority="137">
      <formula>AND($R$87,$S$87)</formula>
    </cfRule>
  </conditionalFormatting>
  <conditionalFormatting sqref="W87">
    <cfRule type="expression" dxfId="2385" priority="136">
      <formula>AND(IF($R$87,$W$87,TRUE),LEN(TRIM($W$87))&gt;0)</formula>
    </cfRule>
  </conditionalFormatting>
  <conditionalFormatting sqref="W87">
    <cfRule type="expression" dxfId="2384" priority="135">
      <formula>$S$87 = FALSE</formula>
    </cfRule>
  </conditionalFormatting>
  <conditionalFormatting sqref="W87">
    <cfRule type="expression" dxfId="2383" priority="134">
      <formula>OR($T$87 = TRUE, AND($W$87 = TRUE, $S$87 = FALSE))</formula>
    </cfRule>
  </conditionalFormatting>
  <conditionalFormatting sqref="W89">
    <cfRule type="expression" dxfId="2382" priority="133">
      <formula>AND($R$89,$S$89)</formula>
    </cfRule>
  </conditionalFormatting>
  <conditionalFormatting sqref="W89">
    <cfRule type="expression" dxfId="2381" priority="132">
      <formula>AND(IF($R$89,$W$89,TRUE),LEN(TRIM($W$89))&gt;0)</formula>
    </cfRule>
  </conditionalFormatting>
  <conditionalFormatting sqref="W89">
    <cfRule type="expression" dxfId="2380" priority="131">
      <formula>$S$89 = FALSE</formula>
    </cfRule>
  </conditionalFormatting>
  <conditionalFormatting sqref="W89">
    <cfRule type="expression" dxfId="2379" priority="130">
      <formula>OR($T$89 = TRUE, AND($W$89 = TRUE, $S$89 = FALSE))</formula>
    </cfRule>
  </conditionalFormatting>
  <conditionalFormatting sqref="W90">
    <cfRule type="expression" dxfId="2378" priority="129">
      <formula>AND($R$90,$S$90)</formula>
    </cfRule>
  </conditionalFormatting>
  <conditionalFormatting sqref="W90">
    <cfRule type="expression" dxfId="2377" priority="128">
      <formula>AND(IF($R$90,$W$90,TRUE),LEN(TRIM($W$90))&gt;0)</formula>
    </cfRule>
  </conditionalFormatting>
  <conditionalFormatting sqref="W90">
    <cfRule type="expression" dxfId="2376" priority="127">
      <formula>$S$90 = FALSE</formula>
    </cfRule>
  </conditionalFormatting>
  <conditionalFormatting sqref="W90">
    <cfRule type="expression" dxfId="2375" priority="126">
      <formula>OR($T$90 = TRUE, AND($W$90 = TRUE, $S$90 = FALSE))</formula>
    </cfRule>
  </conditionalFormatting>
  <conditionalFormatting sqref="W92">
    <cfRule type="expression" dxfId="2374" priority="125">
      <formula>AND($R$92,$S$92)</formula>
    </cfRule>
  </conditionalFormatting>
  <conditionalFormatting sqref="W92">
    <cfRule type="expression" dxfId="2373" priority="124">
      <formula>AND(IF($R$92,$W$92,TRUE),LEN(TRIM($W$92))&gt;0)</formula>
    </cfRule>
  </conditionalFormatting>
  <conditionalFormatting sqref="W92">
    <cfRule type="expression" dxfId="2372" priority="123">
      <formula>$S$92 = FALSE</formula>
    </cfRule>
  </conditionalFormatting>
  <conditionalFormatting sqref="W92">
    <cfRule type="expression" dxfId="2371" priority="122">
      <formula>OR($T$92 = TRUE, AND($W$92 = TRUE, $S$92 = FALSE))</formula>
    </cfRule>
  </conditionalFormatting>
  <conditionalFormatting sqref="W93">
    <cfRule type="expression" dxfId="2370" priority="121">
      <formula>AND($R$93,$S$93)</formula>
    </cfRule>
  </conditionalFormatting>
  <conditionalFormatting sqref="W93">
    <cfRule type="expression" dxfId="2369" priority="120">
      <formula>AND(IF($R$93,$W$93,TRUE),LEN(TRIM($W$93))&gt;0)</formula>
    </cfRule>
  </conditionalFormatting>
  <conditionalFormatting sqref="W93">
    <cfRule type="expression" dxfId="2368" priority="119">
      <formula>$S$93 = FALSE</formula>
    </cfRule>
  </conditionalFormatting>
  <conditionalFormatting sqref="W93">
    <cfRule type="expression" dxfId="2367" priority="118">
      <formula>OR($T$93 = TRUE, AND($W$93 = TRUE, $S$93 = FALSE))</formula>
    </cfRule>
  </conditionalFormatting>
  <conditionalFormatting sqref="W94">
    <cfRule type="expression" dxfId="2366" priority="117">
      <formula>AND($R$94,$S$94)</formula>
    </cfRule>
  </conditionalFormatting>
  <conditionalFormatting sqref="W94">
    <cfRule type="expression" dxfId="2365" priority="116">
      <formula>AND(IF($R$94,$W$94,TRUE),LEN(TRIM($W$94))&gt;0)</formula>
    </cfRule>
  </conditionalFormatting>
  <conditionalFormatting sqref="W94">
    <cfRule type="expression" dxfId="2364" priority="115">
      <formula>$S$94 = FALSE</formula>
    </cfRule>
  </conditionalFormatting>
  <conditionalFormatting sqref="W94">
    <cfRule type="expression" dxfId="2363" priority="114">
      <formula>OR($T$94 = TRUE, AND($W$94 = TRUE, $S$94 = FALSE))</formula>
    </cfRule>
  </conditionalFormatting>
  <conditionalFormatting sqref="W100">
    <cfRule type="expression" dxfId="2362" priority="113">
      <formula>AND($R$100,$S$100)</formula>
    </cfRule>
  </conditionalFormatting>
  <conditionalFormatting sqref="W100">
    <cfRule type="expression" dxfId="2361" priority="112">
      <formula>AND(IF($R$100,$W$100,TRUE),LEN(TRIM($W$100))&gt;0)</formula>
    </cfRule>
  </conditionalFormatting>
  <conditionalFormatting sqref="W100">
    <cfRule type="expression" dxfId="2360" priority="111">
      <formula>$S$100 = FALSE</formula>
    </cfRule>
  </conditionalFormatting>
  <conditionalFormatting sqref="W100">
    <cfRule type="expression" dxfId="2359" priority="110">
      <formula>OR($T$100 = TRUE, AND($W$100 = TRUE, $S$100 = FALSE))</formula>
    </cfRule>
  </conditionalFormatting>
  <conditionalFormatting sqref="W102">
    <cfRule type="expression" dxfId="2358" priority="109">
      <formula>AND($R$102,$S$102)</formula>
    </cfRule>
  </conditionalFormatting>
  <conditionalFormatting sqref="W102">
    <cfRule type="expression" dxfId="2357" priority="108">
      <formula>AND(IF($R$102,$W$102,TRUE),LEN(TRIM($W$102))&gt;0)</formula>
    </cfRule>
  </conditionalFormatting>
  <conditionalFormatting sqref="W102">
    <cfRule type="expression" dxfId="2356" priority="107">
      <formula>$S$102 = FALSE</formula>
    </cfRule>
  </conditionalFormatting>
  <conditionalFormatting sqref="W102">
    <cfRule type="expression" dxfId="2355" priority="106">
      <formula>OR($T$102 = TRUE, AND($W$102 = TRUE, $S$102 = FALSE))</formula>
    </cfRule>
  </conditionalFormatting>
  <conditionalFormatting sqref="W105">
    <cfRule type="expression" dxfId="2354" priority="105">
      <formula>AND($R$105,$S$105)</formula>
    </cfRule>
  </conditionalFormatting>
  <conditionalFormatting sqref="W105">
    <cfRule type="expression" dxfId="2353" priority="104">
      <formula>AND(IF($R$105,$W$105,TRUE),LEN(TRIM($W$105))&gt;0)</formula>
    </cfRule>
  </conditionalFormatting>
  <conditionalFormatting sqref="W105">
    <cfRule type="expression" dxfId="2352" priority="103">
      <formula>$S$105 = FALSE</formula>
    </cfRule>
  </conditionalFormatting>
  <conditionalFormatting sqref="W105">
    <cfRule type="expression" dxfId="2351" priority="102">
      <formula>OR($T$105 = TRUE, AND($W$105 = TRUE, $S$105 = FALSE))</formula>
    </cfRule>
  </conditionalFormatting>
  <conditionalFormatting sqref="W107">
    <cfRule type="expression" dxfId="2350" priority="101">
      <formula>AND($R$107,$S$107)</formula>
    </cfRule>
  </conditionalFormatting>
  <conditionalFormatting sqref="W107">
    <cfRule type="expression" dxfId="2349" priority="100">
      <formula>AND(IF($R$107,$W$107,TRUE),LEN(TRIM($W$107))&gt;0)</formula>
    </cfRule>
  </conditionalFormatting>
  <conditionalFormatting sqref="W107">
    <cfRule type="expression" dxfId="2348" priority="99">
      <formula>$S$107 = FALSE</formula>
    </cfRule>
  </conditionalFormatting>
  <conditionalFormatting sqref="W107">
    <cfRule type="expression" dxfId="2347" priority="98">
      <formula>OR($T$107 = TRUE, AND($W$107 = TRUE, $S$107 = FALSE))</formula>
    </cfRule>
  </conditionalFormatting>
  <conditionalFormatting sqref="W110">
    <cfRule type="expression" dxfId="2346" priority="97">
      <formula>AND($R$110,$S$110)</formula>
    </cfRule>
  </conditionalFormatting>
  <conditionalFormatting sqref="W110">
    <cfRule type="expression" dxfId="2345" priority="96">
      <formula>AND(IF($R$110,$W$110,TRUE),LEN(TRIM($W$110))&gt;0)</formula>
    </cfRule>
  </conditionalFormatting>
  <conditionalFormatting sqref="W110">
    <cfRule type="expression" dxfId="2344" priority="95">
      <formula>$S$110 = FALSE</formula>
    </cfRule>
  </conditionalFormatting>
  <conditionalFormatting sqref="W110">
    <cfRule type="expression" dxfId="2343" priority="94">
      <formula>OR($T$110 = TRUE, AND($W$110 = TRUE, $S$110 = FALSE))</formula>
    </cfRule>
  </conditionalFormatting>
  <conditionalFormatting sqref="W112">
    <cfRule type="expression" dxfId="2342" priority="93">
      <formula>AND($R$112,$S$112)</formula>
    </cfRule>
  </conditionalFormatting>
  <conditionalFormatting sqref="W112">
    <cfRule type="expression" dxfId="2341" priority="92">
      <formula>AND(IF($R$112,$W$112,TRUE),LEN(TRIM($W$112))&gt;0)</formula>
    </cfRule>
  </conditionalFormatting>
  <conditionalFormatting sqref="W112">
    <cfRule type="expression" dxfId="2340" priority="91">
      <formula>$S$112 = FALSE</formula>
    </cfRule>
  </conditionalFormatting>
  <conditionalFormatting sqref="W112">
    <cfRule type="expression" dxfId="2339" priority="90">
      <formula>OR($T$112 = TRUE, AND($W$112 = TRUE, $S$112 = FALSE))</formula>
    </cfRule>
  </conditionalFormatting>
  <conditionalFormatting sqref="W113">
    <cfRule type="expression" dxfId="2338" priority="89">
      <formula>AND($R$113,$S$113)</formula>
    </cfRule>
  </conditionalFormatting>
  <conditionalFormatting sqref="W113">
    <cfRule type="expression" dxfId="2337" priority="88">
      <formula>AND(IF($R$113,$W$113,TRUE),LEN(TRIM($W$113))&gt;0)</formula>
    </cfRule>
  </conditionalFormatting>
  <conditionalFormatting sqref="W113">
    <cfRule type="expression" dxfId="2336" priority="87">
      <formula>$S$113 = FALSE</formula>
    </cfRule>
  </conditionalFormatting>
  <conditionalFormatting sqref="W113">
    <cfRule type="expression" dxfId="2335" priority="86">
      <formula>OR($T$113 = TRUE, AND($W$113 = TRUE, $S$113 = FALSE))</formula>
    </cfRule>
  </conditionalFormatting>
  <conditionalFormatting sqref="W115">
    <cfRule type="expression" dxfId="2334" priority="85">
      <formula>AND($R$115,$S$115)</formula>
    </cfRule>
  </conditionalFormatting>
  <conditionalFormatting sqref="W115">
    <cfRule type="expression" dxfId="2333" priority="84">
      <formula>AND(IF($R$115,$W$115,TRUE),LEN(TRIM($W$115))&gt;0)</formula>
    </cfRule>
  </conditionalFormatting>
  <conditionalFormatting sqref="W115">
    <cfRule type="expression" dxfId="2332" priority="83">
      <formula>$S$115 = FALSE</formula>
    </cfRule>
  </conditionalFormatting>
  <conditionalFormatting sqref="W115">
    <cfRule type="expression" dxfId="2331" priority="82">
      <formula>OR($T$115 = TRUE, AND($W$115 = TRUE, $S$115 = FALSE))</formula>
    </cfRule>
  </conditionalFormatting>
  <conditionalFormatting sqref="W117">
    <cfRule type="expression" dxfId="2330" priority="81">
      <formula>AND($R$117,$S$117)</formula>
    </cfRule>
  </conditionalFormatting>
  <conditionalFormatting sqref="W117">
    <cfRule type="expression" dxfId="2329" priority="80">
      <formula>AND(IF($R$117,$W$117,TRUE),LEN(TRIM($W$117))&gt;0)</formula>
    </cfRule>
  </conditionalFormatting>
  <conditionalFormatting sqref="W117">
    <cfRule type="expression" dxfId="2328" priority="79">
      <formula>$S$117 = FALSE</formula>
    </cfRule>
  </conditionalFormatting>
  <conditionalFormatting sqref="W117">
    <cfRule type="expression" dxfId="2327" priority="78">
      <formula>OR($T$117 = TRUE, AND($W$117 = TRUE, $S$117 = FALSE))</formula>
    </cfRule>
  </conditionalFormatting>
  <conditionalFormatting sqref="W118">
    <cfRule type="expression" dxfId="2326" priority="77">
      <formula>AND($R$118,$S$118)</formula>
    </cfRule>
  </conditionalFormatting>
  <conditionalFormatting sqref="W118">
    <cfRule type="expression" dxfId="2325" priority="76">
      <formula>AND(IF($R$118,$W$118,TRUE),LEN(TRIM($W$118))&gt;0)</formula>
    </cfRule>
  </conditionalFormatting>
  <conditionalFormatting sqref="W118">
    <cfRule type="expression" dxfId="2324" priority="75">
      <formula>$S$118 = FALSE</formula>
    </cfRule>
  </conditionalFormatting>
  <conditionalFormatting sqref="W118">
    <cfRule type="expression" dxfId="2323" priority="74">
      <formula>OR($T$118 = TRUE, AND($W$118 = TRUE, $S$118 = FALSE))</formula>
    </cfRule>
  </conditionalFormatting>
  <conditionalFormatting sqref="W121">
    <cfRule type="expression" dxfId="2322" priority="73">
      <formula>AND($R$121,$S$121)</formula>
    </cfRule>
  </conditionalFormatting>
  <conditionalFormatting sqref="W121">
    <cfRule type="expression" dxfId="2321" priority="72">
      <formula>AND(IF($R$121,$W$121,TRUE),LEN(TRIM($W$121))&gt;0)</formula>
    </cfRule>
  </conditionalFormatting>
  <conditionalFormatting sqref="W121">
    <cfRule type="expression" dxfId="2320" priority="71">
      <formula>$S$121 = FALSE</formula>
    </cfRule>
  </conditionalFormatting>
  <conditionalFormatting sqref="W121">
    <cfRule type="expression" dxfId="2319" priority="70">
      <formula>OR($T$121 = TRUE, AND($W$121 = TRUE, $S$121 = FALSE))</formula>
    </cfRule>
  </conditionalFormatting>
  <conditionalFormatting sqref="W127">
    <cfRule type="expression" dxfId="2318" priority="69">
      <formula>AND($R$127,$S$127)</formula>
    </cfRule>
  </conditionalFormatting>
  <conditionalFormatting sqref="W127">
    <cfRule type="expression" dxfId="2317" priority="68">
      <formula>AND(IF($R$127,$W$127,TRUE),LEN(TRIM($W$127))&gt;0)</formula>
    </cfRule>
  </conditionalFormatting>
  <conditionalFormatting sqref="W127">
    <cfRule type="expression" dxfId="2316" priority="67">
      <formula>$S$127 = FALSE</formula>
    </cfRule>
  </conditionalFormatting>
  <conditionalFormatting sqref="W127">
    <cfRule type="expression" dxfId="2315" priority="66">
      <formula>OR($T$127 = TRUE, AND($W$127 = TRUE, $S$127 = FALSE))</formula>
    </cfRule>
  </conditionalFormatting>
  <conditionalFormatting sqref="W129">
    <cfRule type="expression" dxfId="2314" priority="65">
      <formula>AND($R$129,$S$129)</formula>
    </cfRule>
  </conditionalFormatting>
  <conditionalFormatting sqref="W129">
    <cfRule type="expression" dxfId="2313" priority="64">
      <formula>AND(IF($R$129,$W$129,TRUE),LEN(TRIM($W$129))&gt;0)</formula>
    </cfRule>
  </conditionalFormatting>
  <conditionalFormatting sqref="W129">
    <cfRule type="expression" dxfId="2312" priority="63">
      <formula>$S$129 = FALSE</formula>
    </cfRule>
  </conditionalFormatting>
  <conditionalFormatting sqref="W129">
    <cfRule type="expression" dxfId="2311" priority="62">
      <formula>OR($T$129 = TRUE, AND($W$129 = TRUE, $S$129 = FALSE))</formula>
    </cfRule>
  </conditionalFormatting>
  <conditionalFormatting sqref="W133">
    <cfRule type="expression" dxfId="2310" priority="61">
      <formula>AND($R$133,$S$133)</formula>
    </cfRule>
  </conditionalFormatting>
  <conditionalFormatting sqref="W133">
    <cfRule type="expression" dxfId="2309" priority="60">
      <formula>AND(IF($R$133,$W$133,TRUE),LEN(TRIM($W$133))&gt;0)</formula>
    </cfRule>
  </conditionalFormatting>
  <conditionalFormatting sqref="W133">
    <cfRule type="expression" dxfId="2308" priority="59">
      <formula>$S$133 = FALSE</formula>
    </cfRule>
  </conditionalFormatting>
  <conditionalFormatting sqref="W133">
    <cfRule type="expression" dxfId="2307" priority="58">
      <formula>OR($T$133 = TRUE, AND($W$133 = TRUE, $S$133 = FALSE))</formula>
    </cfRule>
  </conditionalFormatting>
  <conditionalFormatting sqref="W140">
    <cfRule type="expression" dxfId="2306" priority="57">
      <formula>AND($R$140,$S$140)</formula>
    </cfRule>
  </conditionalFormatting>
  <conditionalFormatting sqref="W140">
    <cfRule type="expression" dxfId="2305" priority="56">
      <formula>AND(IF($R$140,$W$140,TRUE),LEN(TRIM($W$140))&gt;0)</formula>
    </cfRule>
  </conditionalFormatting>
  <conditionalFormatting sqref="W140">
    <cfRule type="expression" dxfId="2304" priority="55">
      <formula>$S$140 = FALSE</formula>
    </cfRule>
  </conditionalFormatting>
  <conditionalFormatting sqref="W140">
    <cfRule type="expression" dxfId="2303" priority="54">
      <formula>OR($T$140 = TRUE, AND($W$140 = TRUE, $S$140 = FALSE))</formula>
    </cfRule>
  </conditionalFormatting>
  <conditionalFormatting sqref="W142">
    <cfRule type="expression" dxfId="2302" priority="53">
      <formula>AND($R$142,$S$142)</formula>
    </cfRule>
  </conditionalFormatting>
  <conditionalFormatting sqref="W142">
    <cfRule type="expression" dxfId="2301" priority="52">
      <formula>AND(IF($R$142,$W$142,TRUE),LEN(TRIM($W$142))&gt;0)</formula>
    </cfRule>
  </conditionalFormatting>
  <conditionalFormatting sqref="W142">
    <cfRule type="expression" dxfId="2300" priority="51">
      <formula>$S$142 = FALSE</formula>
    </cfRule>
  </conditionalFormatting>
  <conditionalFormatting sqref="W142">
    <cfRule type="expression" dxfId="2299" priority="50">
      <formula>OR($T$142 = TRUE, AND($W$142 = TRUE, $S$142 = FALSE))</formula>
    </cfRule>
  </conditionalFormatting>
  <conditionalFormatting sqref="W143">
    <cfRule type="expression" dxfId="2298" priority="49">
      <formula>AND($R$143,$S$143)</formula>
    </cfRule>
  </conditionalFormatting>
  <conditionalFormatting sqref="W143">
    <cfRule type="expression" dxfId="2297" priority="48">
      <formula>AND(IF($R$143,$W$143,TRUE),LEN(TRIM($W$143))&gt;0)</formula>
    </cfRule>
  </conditionalFormatting>
  <conditionalFormatting sqref="W143">
    <cfRule type="expression" dxfId="2296" priority="47">
      <formula>$S$143 = FALSE</formula>
    </cfRule>
  </conditionalFormatting>
  <conditionalFormatting sqref="W143">
    <cfRule type="expression" dxfId="2295" priority="46">
      <formula>OR($T$143 = TRUE, AND($W$143 = TRUE, $S$143 = FALSE))</formula>
    </cfRule>
  </conditionalFormatting>
  <conditionalFormatting sqref="W145">
    <cfRule type="expression" dxfId="2294" priority="45">
      <formula>AND($R$145,$S$145)</formula>
    </cfRule>
  </conditionalFormatting>
  <conditionalFormatting sqref="W145">
    <cfRule type="expression" dxfId="2293" priority="44">
      <formula>AND(IF($R$145,$W$145,TRUE),LEN(TRIM($W$145))&gt;0)</formula>
    </cfRule>
  </conditionalFormatting>
  <conditionalFormatting sqref="W145">
    <cfRule type="expression" dxfId="2292" priority="43">
      <formula>$S$145 = FALSE</formula>
    </cfRule>
  </conditionalFormatting>
  <conditionalFormatting sqref="W145">
    <cfRule type="expression" dxfId="2291" priority="42">
      <formula>OR($T$145 = TRUE, AND($W$145 = TRUE, $S$145 = FALSE))</formula>
    </cfRule>
  </conditionalFormatting>
  <conditionalFormatting sqref="W146">
    <cfRule type="expression" dxfId="2290" priority="41">
      <formula>AND($R$146,$S$146)</formula>
    </cfRule>
  </conditionalFormatting>
  <conditionalFormatting sqref="W146">
    <cfRule type="expression" dxfId="2289" priority="40">
      <formula>AND(IF($R$146,$W$146,TRUE),LEN(TRIM($W$146))&gt;0)</formula>
    </cfRule>
  </conditionalFormatting>
  <conditionalFormatting sqref="W146">
    <cfRule type="expression" dxfId="2288" priority="39">
      <formula>$S$146 = FALSE</formula>
    </cfRule>
  </conditionalFormatting>
  <conditionalFormatting sqref="W146">
    <cfRule type="expression" dxfId="2287" priority="38">
      <formula>OR($T$146 = TRUE, AND($W$146 = TRUE, $S$146 = FALSE))</formula>
    </cfRule>
  </conditionalFormatting>
  <conditionalFormatting sqref="W147">
    <cfRule type="expression" dxfId="2286" priority="37">
      <formula>AND($R$147,$S$147)</formula>
    </cfRule>
  </conditionalFormatting>
  <conditionalFormatting sqref="W147">
    <cfRule type="expression" dxfId="2285" priority="36">
      <formula>AND(IF($R$147,$W$147,TRUE),LEN(TRIM($W$147))&gt;0)</formula>
    </cfRule>
  </conditionalFormatting>
  <conditionalFormatting sqref="W147">
    <cfRule type="expression" dxfId="2284" priority="35">
      <formula>$S$147 = FALSE</formula>
    </cfRule>
  </conditionalFormatting>
  <conditionalFormatting sqref="W147">
    <cfRule type="expression" dxfId="2283" priority="34">
      <formula>OR($T$147 = TRUE, AND($W$147 = TRUE, $S$147 = FALSE))</formula>
    </cfRule>
  </conditionalFormatting>
  <conditionalFormatting sqref="W148">
    <cfRule type="expression" dxfId="2282" priority="33">
      <formula>AND($R$148,$S$148)</formula>
    </cfRule>
  </conditionalFormatting>
  <conditionalFormatting sqref="W148">
    <cfRule type="expression" dxfId="2281" priority="32">
      <formula>AND(IF($R$148,$W$148,TRUE),LEN(TRIM($W$148))&gt;0)</formula>
    </cfRule>
  </conditionalFormatting>
  <conditionalFormatting sqref="W148">
    <cfRule type="expression" dxfId="2280" priority="31">
      <formula>$S$148 = FALSE</formula>
    </cfRule>
  </conditionalFormatting>
  <conditionalFormatting sqref="W148">
    <cfRule type="expression" dxfId="2279" priority="30">
      <formula>OR($T$148 = TRUE, AND($W$148 = TRUE, $S$148 = FALSE))</formula>
    </cfRule>
  </conditionalFormatting>
  <conditionalFormatting sqref="W149">
    <cfRule type="expression" dxfId="2278" priority="29">
      <formula>AND($R$149,$S$149)</formula>
    </cfRule>
  </conditionalFormatting>
  <conditionalFormatting sqref="W149">
    <cfRule type="expression" dxfId="2277" priority="28">
      <formula>AND(IF($R$149,$W$149,TRUE),LEN(TRIM($W$149))&gt;0)</formula>
    </cfRule>
  </conditionalFormatting>
  <conditionalFormatting sqref="W149">
    <cfRule type="expression" dxfId="2276" priority="27">
      <formula>$S$149 = FALSE</formula>
    </cfRule>
  </conditionalFormatting>
  <conditionalFormatting sqref="W149">
    <cfRule type="expression" dxfId="2275" priority="26">
      <formula>OR($T$149 = TRUE, AND($W$149 = TRUE, $S$149 = FALSE))</formula>
    </cfRule>
  </conditionalFormatting>
  <conditionalFormatting sqref="W166">
    <cfRule type="expression" dxfId="2274" priority="22">
      <formula>OR($T$166 = TRUE, AND($W$166 = TRUE, $S$166 = FALSE))</formula>
    </cfRule>
    <cfRule type="expression" dxfId="2273" priority="23">
      <formula>$S$166 = FALSE</formula>
    </cfRule>
    <cfRule type="expression" dxfId="2272" priority="24">
      <formula>AND(IF($R$166,$W$166,TRUE),LEN(TRIM($W$166))&gt;0)</formula>
    </cfRule>
    <cfRule type="expression" dxfId="2271" priority="25">
      <formula>AND($R$166,$S$166)</formula>
    </cfRule>
  </conditionalFormatting>
  <conditionalFormatting sqref="W168">
    <cfRule type="expression" dxfId="2270" priority="18">
      <formula>OR($T$168 = TRUE, AND($W$168 = TRUE, $S$168 = FALSE))</formula>
    </cfRule>
    <cfRule type="expression" dxfId="2269" priority="19">
      <formula>$S$168 = FALSE</formula>
    </cfRule>
    <cfRule type="expression" dxfId="2268" priority="20">
      <formula>AND(IF($R$168,$W$168,TRUE),LEN(TRIM($W$168))&gt;0)</formula>
    </cfRule>
    <cfRule type="expression" dxfId="2267" priority="21">
      <formula>AND($R$168,$S$168)</formula>
    </cfRule>
  </conditionalFormatting>
  <conditionalFormatting sqref="W171">
    <cfRule type="expression" dxfId="2266" priority="14">
      <formula>OR($T$171 = TRUE, AND($W$171 = TRUE, $S$171 = FALSE))</formula>
    </cfRule>
    <cfRule type="expression" dxfId="2265" priority="15">
      <formula>$S$171 = FALSE</formula>
    </cfRule>
    <cfRule type="expression" dxfId="2264" priority="16">
      <formula>AND(IF($R$171,$W$171,TRUE),LEN(TRIM($W$171))&gt;0)</formula>
    </cfRule>
    <cfRule type="expression" dxfId="2263" priority="17">
      <formula>AND($R$171,$S$171)</formula>
    </cfRule>
  </conditionalFormatting>
  <conditionalFormatting sqref="W184">
    <cfRule type="expression" dxfId="2262" priority="13">
      <formula>AND($R$184,$S$184)</formula>
    </cfRule>
  </conditionalFormatting>
  <conditionalFormatting sqref="W184">
    <cfRule type="expression" dxfId="2261" priority="12">
      <formula>AND(IF($R$184,$W$184,TRUE),LEN(TRIM($W$184))&gt;0)</formula>
    </cfRule>
  </conditionalFormatting>
  <conditionalFormatting sqref="W184">
    <cfRule type="expression" dxfId="2260" priority="11">
      <formula>$S$184 = FALSE</formula>
    </cfRule>
  </conditionalFormatting>
  <conditionalFormatting sqref="W184">
    <cfRule type="expression" dxfId="2259" priority="10">
      <formula>OR($T$184 = TRUE, AND($W$184 = TRUE, $S$184 = FALSE))</formula>
    </cfRule>
  </conditionalFormatting>
  <conditionalFormatting sqref="W186">
    <cfRule type="expression" dxfId="2258" priority="9">
      <formula>AND($R$186,$S$186)</formula>
    </cfRule>
  </conditionalFormatting>
  <conditionalFormatting sqref="W186">
    <cfRule type="expression" dxfId="2257" priority="8">
      <formula>AND(IF($R$186,$W$186,TRUE),LEN(TRIM($W$186))&gt;0)</formula>
    </cfRule>
  </conditionalFormatting>
  <conditionalFormatting sqref="W186">
    <cfRule type="expression" dxfId="2256" priority="7">
      <formula>$S$186 = FALSE</formula>
    </cfRule>
  </conditionalFormatting>
  <conditionalFormatting sqref="W186">
    <cfRule type="expression" dxfId="2255" priority="6">
      <formula>OR($T$186 = TRUE, AND($W$186 = TRUE, $S$186 = FALSE))</formula>
    </cfRule>
  </conditionalFormatting>
  <conditionalFormatting sqref="I1">
    <cfRule type="expression" dxfId="2254" priority="2">
      <formula>$AG$1="Gold"</formula>
    </cfRule>
    <cfRule type="expression" dxfId="2253" priority="3">
      <formula>$AG$1="Silver"</formula>
    </cfRule>
    <cfRule type="expression" dxfId="2252" priority="4">
      <formula>$AG$1="Bronze"</formula>
    </cfRule>
    <cfRule type="expression" dxfId="2251" priority="5">
      <formula>$AG$1="Emerald"</formula>
    </cfRule>
  </conditionalFormatting>
  <conditionalFormatting sqref="X1">
    <cfRule type="expression" dxfId="2250" priority="1">
      <formula>startError</formula>
    </cfRule>
  </conditionalFormatting>
  <dataValidations count="1">
    <dataValidation type="list" allowBlank="1" showDropDown="1" showInputMessage="1" showErrorMessage="1" error="Use Checkbox" prompt="Use Checkbox" sqref="W186 W184 W171 W168 W166 W145:W149 W142:W143 W140 W133 W129 W127 W121 W117:W118 W115 W112:W113 W110 W107 W105 W102 W100 W92:W94 W89:W90 W87 W84 W81 W58:W60 W56 W54 W51:W52 W49 W46:W47 W44 W42 W38 W15:W17 W25 W21:W23 W27:W28 W30:W32" xr:uid="{00000000-0002-0000-0800-000000000000}">
      <formula1>TorF</formula1>
    </dataValidation>
  </dataValidations>
  <pageMargins left="0.7" right="0.7" top="0.75" bottom="0.75" header="0.3" footer="0.3"/>
  <pageSetup scale="61" fitToHeight="0" orientation="landscape" r:id="rId1"/>
  <rowBreaks count="3" manualBreakCount="3">
    <brk id="59" max="16383" man="1"/>
    <brk id="95" max="16383" man="1"/>
    <brk id="14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316" r:id="rId4" name="Check Box 124">
              <controlPr locked="0" defaultSize="0" autoFill="0" autoLine="0" autoPict="0">
                <anchor moveWithCells="1" sizeWithCells="1">
                  <from>
                    <xdr:col>22</xdr:col>
                    <xdr:colOff>0</xdr:colOff>
                    <xdr:row>14</xdr:row>
                    <xdr:rowOff>0</xdr:rowOff>
                  </from>
                  <to>
                    <xdr:col>22</xdr:col>
                    <xdr:colOff>182880</xdr:colOff>
                    <xdr:row>14</xdr:row>
                    <xdr:rowOff>182880</xdr:rowOff>
                  </to>
                </anchor>
              </controlPr>
            </control>
          </mc:Choice>
        </mc:AlternateContent>
        <mc:AlternateContent xmlns:mc="http://schemas.openxmlformats.org/markup-compatibility/2006">
          <mc:Choice Requires="x14">
            <control shapeId="8317" r:id="rId5" name="Check Box 125">
              <controlPr locked="0" defaultSize="0" autoFill="0" autoLine="0" autoPict="0">
                <anchor moveWithCells="1" sizeWithCells="1">
                  <from>
                    <xdr:col>22</xdr:col>
                    <xdr:colOff>0</xdr:colOff>
                    <xdr:row>15</xdr:row>
                    <xdr:rowOff>0</xdr:rowOff>
                  </from>
                  <to>
                    <xdr:col>22</xdr:col>
                    <xdr:colOff>182880</xdr:colOff>
                    <xdr:row>15</xdr:row>
                    <xdr:rowOff>182880</xdr:rowOff>
                  </to>
                </anchor>
              </controlPr>
            </control>
          </mc:Choice>
        </mc:AlternateContent>
        <mc:AlternateContent xmlns:mc="http://schemas.openxmlformats.org/markup-compatibility/2006">
          <mc:Choice Requires="x14">
            <control shapeId="8318" r:id="rId6" name="Check Box 126">
              <controlPr locked="0" defaultSize="0" autoFill="0" autoLine="0" autoPict="0">
                <anchor moveWithCells="1" sizeWithCells="1">
                  <from>
                    <xdr:col>22</xdr:col>
                    <xdr:colOff>0</xdr:colOff>
                    <xdr:row>16</xdr:row>
                    <xdr:rowOff>0</xdr:rowOff>
                  </from>
                  <to>
                    <xdr:col>22</xdr:col>
                    <xdr:colOff>182880</xdr:colOff>
                    <xdr:row>16</xdr:row>
                    <xdr:rowOff>182880</xdr:rowOff>
                  </to>
                </anchor>
              </controlPr>
            </control>
          </mc:Choice>
        </mc:AlternateContent>
        <mc:AlternateContent xmlns:mc="http://schemas.openxmlformats.org/markup-compatibility/2006">
          <mc:Choice Requires="x14">
            <control shapeId="8319" r:id="rId7" name="Check Box 127">
              <controlPr locked="0" defaultSize="0" autoFill="0" autoLine="0" autoPict="0">
                <anchor moveWithCells="1" sizeWithCells="1">
                  <from>
                    <xdr:col>22</xdr:col>
                    <xdr:colOff>0</xdr:colOff>
                    <xdr:row>20</xdr:row>
                    <xdr:rowOff>0</xdr:rowOff>
                  </from>
                  <to>
                    <xdr:col>22</xdr:col>
                    <xdr:colOff>182880</xdr:colOff>
                    <xdr:row>20</xdr:row>
                    <xdr:rowOff>182880</xdr:rowOff>
                  </to>
                </anchor>
              </controlPr>
            </control>
          </mc:Choice>
        </mc:AlternateContent>
        <mc:AlternateContent xmlns:mc="http://schemas.openxmlformats.org/markup-compatibility/2006">
          <mc:Choice Requires="x14">
            <control shapeId="8320" r:id="rId8" name="Check Box 128">
              <controlPr locked="0" defaultSize="0" autoFill="0" autoLine="0" autoPict="0">
                <anchor moveWithCells="1" sizeWithCells="1">
                  <from>
                    <xdr:col>22</xdr:col>
                    <xdr:colOff>0</xdr:colOff>
                    <xdr:row>21</xdr:row>
                    <xdr:rowOff>0</xdr:rowOff>
                  </from>
                  <to>
                    <xdr:col>22</xdr:col>
                    <xdr:colOff>182880</xdr:colOff>
                    <xdr:row>21</xdr:row>
                    <xdr:rowOff>182880</xdr:rowOff>
                  </to>
                </anchor>
              </controlPr>
            </control>
          </mc:Choice>
        </mc:AlternateContent>
        <mc:AlternateContent xmlns:mc="http://schemas.openxmlformats.org/markup-compatibility/2006">
          <mc:Choice Requires="x14">
            <control shapeId="8321" r:id="rId9" name="Check Box 129">
              <controlPr locked="0" defaultSize="0" autoFill="0" autoLine="0" autoPict="0">
                <anchor moveWithCells="1" sizeWithCells="1">
                  <from>
                    <xdr:col>22</xdr:col>
                    <xdr:colOff>0</xdr:colOff>
                    <xdr:row>22</xdr:row>
                    <xdr:rowOff>0</xdr:rowOff>
                  </from>
                  <to>
                    <xdr:col>22</xdr:col>
                    <xdr:colOff>182880</xdr:colOff>
                    <xdr:row>22</xdr:row>
                    <xdr:rowOff>182880</xdr:rowOff>
                  </to>
                </anchor>
              </controlPr>
            </control>
          </mc:Choice>
        </mc:AlternateContent>
        <mc:AlternateContent xmlns:mc="http://schemas.openxmlformats.org/markup-compatibility/2006">
          <mc:Choice Requires="x14">
            <control shapeId="8322" r:id="rId10" name="Check Box 130">
              <controlPr locked="0" defaultSize="0" autoFill="0" autoLine="0" autoPict="0">
                <anchor moveWithCells="1" sizeWithCells="1">
                  <from>
                    <xdr:col>22</xdr:col>
                    <xdr:colOff>0</xdr:colOff>
                    <xdr:row>24</xdr:row>
                    <xdr:rowOff>0</xdr:rowOff>
                  </from>
                  <to>
                    <xdr:col>22</xdr:col>
                    <xdr:colOff>182880</xdr:colOff>
                    <xdr:row>24</xdr:row>
                    <xdr:rowOff>182880</xdr:rowOff>
                  </to>
                </anchor>
              </controlPr>
            </control>
          </mc:Choice>
        </mc:AlternateContent>
        <mc:AlternateContent xmlns:mc="http://schemas.openxmlformats.org/markup-compatibility/2006">
          <mc:Choice Requires="x14">
            <control shapeId="8323" r:id="rId11" name="Check Box 131">
              <controlPr locked="0" defaultSize="0" autoFill="0" autoLine="0" autoPict="0">
                <anchor moveWithCells="1" sizeWithCells="1">
                  <from>
                    <xdr:col>22</xdr:col>
                    <xdr:colOff>0</xdr:colOff>
                    <xdr:row>26</xdr:row>
                    <xdr:rowOff>0</xdr:rowOff>
                  </from>
                  <to>
                    <xdr:col>22</xdr:col>
                    <xdr:colOff>182880</xdr:colOff>
                    <xdr:row>26</xdr:row>
                    <xdr:rowOff>182880</xdr:rowOff>
                  </to>
                </anchor>
              </controlPr>
            </control>
          </mc:Choice>
        </mc:AlternateContent>
        <mc:AlternateContent xmlns:mc="http://schemas.openxmlformats.org/markup-compatibility/2006">
          <mc:Choice Requires="x14">
            <control shapeId="8324" r:id="rId12" name="Check Box 132">
              <controlPr locked="0" defaultSize="0" autoFill="0" autoLine="0" autoPict="0">
                <anchor moveWithCells="1" sizeWithCells="1">
                  <from>
                    <xdr:col>22</xdr:col>
                    <xdr:colOff>0</xdr:colOff>
                    <xdr:row>27</xdr:row>
                    <xdr:rowOff>0</xdr:rowOff>
                  </from>
                  <to>
                    <xdr:col>22</xdr:col>
                    <xdr:colOff>182880</xdr:colOff>
                    <xdr:row>27</xdr:row>
                    <xdr:rowOff>182880</xdr:rowOff>
                  </to>
                </anchor>
              </controlPr>
            </control>
          </mc:Choice>
        </mc:AlternateContent>
        <mc:AlternateContent xmlns:mc="http://schemas.openxmlformats.org/markup-compatibility/2006">
          <mc:Choice Requires="x14">
            <control shapeId="8325" r:id="rId13" name="Check Box 133">
              <controlPr locked="0" defaultSize="0" autoFill="0" autoLine="0" autoPict="0">
                <anchor moveWithCells="1" sizeWithCells="1">
                  <from>
                    <xdr:col>22</xdr:col>
                    <xdr:colOff>0</xdr:colOff>
                    <xdr:row>29</xdr:row>
                    <xdr:rowOff>0</xdr:rowOff>
                  </from>
                  <to>
                    <xdr:col>22</xdr:col>
                    <xdr:colOff>182880</xdr:colOff>
                    <xdr:row>29</xdr:row>
                    <xdr:rowOff>182880</xdr:rowOff>
                  </to>
                </anchor>
              </controlPr>
            </control>
          </mc:Choice>
        </mc:AlternateContent>
        <mc:AlternateContent xmlns:mc="http://schemas.openxmlformats.org/markup-compatibility/2006">
          <mc:Choice Requires="x14">
            <control shapeId="8326" r:id="rId14" name="Check Box 134">
              <controlPr locked="0" defaultSize="0" autoFill="0" autoLine="0" autoPict="0">
                <anchor moveWithCells="1" sizeWithCells="1">
                  <from>
                    <xdr:col>22</xdr:col>
                    <xdr:colOff>0</xdr:colOff>
                    <xdr:row>30</xdr:row>
                    <xdr:rowOff>0</xdr:rowOff>
                  </from>
                  <to>
                    <xdr:col>22</xdr:col>
                    <xdr:colOff>182880</xdr:colOff>
                    <xdr:row>30</xdr:row>
                    <xdr:rowOff>182880</xdr:rowOff>
                  </to>
                </anchor>
              </controlPr>
            </control>
          </mc:Choice>
        </mc:AlternateContent>
        <mc:AlternateContent xmlns:mc="http://schemas.openxmlformats.org/markup-compatibility/2006">
          <mc:Choice Requires="x14">
            <control shapeId="8327" r:id="rId15" name="Check Box 135">
              <controlPr locked="0" defaultSize="0" autoFill="0" autoLine="0" autoPict="0">
                <anchor moveWithCells="1" sizeWithCells="1">
                  <from>
                    <xdr:col>22</xdr:col>
                    <xdr:colOff>0</xdr:colOff>
                    <xdr:row>31</xdr:row>
                    <xdr:rowOff>0</xdr:rowOff>
                  </from>
                  <to>
                    <xdr:col>22</xdr:col>
                    <xdr:colOff>182880</xdr:colOff>
                    <xdr:row>31</xdr:row>
                    <xdr:rowOff>182880</xdr:rowOff>
                  </to>
                </anchor>
              </controlPr>
            </control>
          </mc:Choice>
        </mc:AlternateContent>
        <mc:AlternateContent xmlns:mc="http://schemas.openxmlformats.org/markup-compatibility/2006">
          <mc:Choice Requires="x14">
            <control shapeId="8328" r:id="rId16" name="Check Box 136">
              <controlPr locked="0" defaultSize="0" autoFill="0" autoLine="0" autoPict="0">
                <anchor moveWithCells="1" sizeWithCells="1">
                  <from>
                    <xdr:col>22</xdr:col>
                    <xdr:colOff>0</xdr:colOff>
                    <xdr:row>37</xdr:row>
                    <xdr:rowOff>0</xdr:rowOff>
                  </from>
                  <to>
                    <xdr:col>22</xdr:col>
                    <xdr:colOff>182880</xdr:colOff>
                    <xdr:row>37</xdr:row>
                    <xdr:rowOff>182880</xdr:rowOff>
                  </to>
                </anchor>
              </controlPr>
            </control>
          </mc:Choice>
        </mc:AlternateContent>
        <mc:AlternateContent xmlns:mc="http://schemas.openxmlformats.org/markup-compatibility/2006">
          <mc:Choice Requires="x14">
            <control shapeId="8329" r:id="rId17" name="Check Box 137">
              <controlPr locked="0" defaultSize="0" autoFill="0" autoLine="0" autoPict="0">
                <anchor moveWithCells="1" sizeWithCells="1">
                  <from>
                    <xdr:col>22</xdr:col>
                    <xdr:colOff>0</xdr:colOff>
                    <xdr:row>41</xdr:row>
                    <xdr:rowOff>0</xdr:rowOff>
                  </from>
                  <to>
                    <xdr:col>22</xdr:col>
                    <xdr:colOff>182880</xdr:colOff>
                    <xdr:row>41</xdr:row>
                    <xdr:rowOff>182880</xdr:rowOff>
                  </to>
                </anchor>
              </controlPr>
            </control>
          </mc:Choice>
        </mc:AlternateContent>
        <mc:AlternateContent xmlns:mc="http://schemas.openxmlformats.org/markup-compatibility/2006">
          <mc:Choice Requires="x14">
            <control shapeId="8330" r:id="rId18" name="Check Box 138">
              <controlPr locked="0" defaultSize="0" autoFill="0" autoLine="0" autoPict="0">
                <anchor moveWithCells="1" sizeWithCells="1">
                  <from>
                    <xdr:col>22</xdr:col>
                    <xdr:colOff>0</xdr:colOff>
                    <xdr:row>43</xdr:row>
                    <xdr:rowOff>0</xdr:rowOff>
                  </from>
                  <to>
                    <xdr:col>22</xdr:col>
                    <xdr:colOff>182880</xdr:colOff>
                    <xdr:row>43</xdr:row>
                    <xdr:rowOff>182880</xdr:rowOff>
                  </to>
                </anchor>
              </controlPr>
            </control>
          </mc:Choice>
        </mc:AlternateContent>
        <mc:AlternateContent xmlns:mc="http://schemas.openxmlformats.org/markup-compatibility/2006">
          <mc:Choice Requires="x14">
            <control shapeId="8331" r:id="rId19" name="Check Box 139">
              <controlPr locked="0" defaultSize="0" autoFill="0" autoLine="0" autoPict="0">
                <anchor moveWithCells="1" sizeWithCells="1">
                  <from>
                    <xdr:col>22</xdr:col>
                    <xdr:colOff>0</xdr:colOff>
                    <xdr:row>45</xdr:row>
                    <xdr:rowOff>0</xdr:rowOff>
                  </from>
                  <to>
                    <xdr:col>22</xdr:col>
                    <xdr:colOff>182880</xdr:colOff>
                    <xdr:row>45</xdr:row>
                    <xdr:rowOff>182880</xdr:rowOff>
                  </to>
                </anchor>
              </controlPr>
            </control>
          </mc:Choice>
        </mc:AlternateContent>
        <mc:AlternateContent xmlns:mc="http://schemas.openxmlformats.org/markup-compatibility/2006">
          <mc:Choice Requires="x14">
            <control shapeId="8332" r:id="rId20" name="Check Box 140">
              <controlPr locked="0" defaultSize="0" autoFill="0" autoLine="0" autoPict="0">
                <anchor moveWithCells="1" sizeWithCells="1">
                  <from>
                    <xdr:col>22</xdr:col>
                    <xdr:colOff>0</xdr:colOff>
                    <xdr:row>46</xdr:row>
                    <xdr:rowOff>0</xdr:rowOff>
                  </from>
                  <to>
                    <xdr:col>22</xdr:col>
                    <xdr:colOff>182880</xdr:colOff>
                    <xdr:row>46</xdr:row>
                    <xdr:rowOff>182880</xdr:rowOff>
                  </to>
                </anchor>
              </controlPr>
            </control>
          </mc:Choice>
        </mc:AlternateContent>
        <mc:AlternateContent xmlns:mc="http://schemas.openxmlformats.org/markup-compatibility/2006">
          <mc:Choice Requires="x14">
            <control shapeId="8333" r:id="rId21" name="Check Box 141">
              <controlPr locked="0" defaultSize="0" autoFill="0" autoLine="0" autoPict="0">
                <anchor moveWithCells="1" sizeWithCells="1">
                  <from>
                    <xdr:col>22</xdr:col>
                    <xdr:colOff>0</xdr:colOff>
                    <xdr:row>48</xdr:row>
                    <xdr:rowOff>0</xdr:rowOff>
                  </from>
                  <to>
                    <xdr:col>22</xdr:col>
                    <xdr:colOff>182880</xdr:colOff>
                    <xdr:row>48</xdr:row>
                    <xdr:rowOff>182880</xdr:rowOff>
                  </to>
                </anchor>
              </controlPr>
            </control>
          </mc:Choice>
        </mc:AlternateContent>
        <mc:AlternateContent xmlns:mc="http://schemas.openxmlformats.org/markup-compatibility/2006">
          <mc:Choice Requires="x14">
            <control shapeId="8334" r:id="rId22" name="Check Box 142">
              <controlPr locked="0" defaultSize="0" autoFill="0" autoLine="0" autoPict="0">
                <anchor moveWithCells="1" sizeWithCells="1">
                  <from>
                    <xdr:col>22</xdr:col>
                    <xdr:colOff>0</xdr:colOff>
                    <xdr:row>50</xdr:row>
                    <xdr:rowOff>0</xdr:rowOff>
                  </from>
                  <to>
                    <xdr:col>22</xdr:col>
                    <xdr:colOff>182880</xdr:colOff>
                    <xdr:row>50</xdr:row>
                    <xdr:rowOff>182880</xdr:rowOff>
                  </to>
                </anchor>
              </controlPr>
            </control>
          </mc:Choice>
        </mc:AlternateContent>
        <mc:AlternateContent xmlns:mc="http://schemas.openxmlformats.org/markup-compatibility/2006">
          <mc:Choice Requires="x14">
            <control shapeId="8335" r:id="rId23" name="Check Box 143">
              <controlPr locked="0" defaultSize="0" autoFill="0" autoLine="0" autoPict="0">
                <anchor moveWithCells="1" sizeWithCells="1">
                  <from>
                    <xdr:col>22</xdr:col>
                    <xdr:colOff>0</xdr:colOff>
                    <xdr:row>51</xdr:row>
                    <xdr:rowOff>0</xdr:rowOff>
                  </from>
                  <to>
                    <xdr:col>22</xdr:col>
                    <xdr:colOff>182880</xdr:colOff>
                    <xdr:row>51</xdr:row>
                    <xdr:rowOff>182880</xdr:rowOff>
                  </to>
                </anchor>
              </controlPr>
            </control>
          </mc:Choice>
        </mc:AlternateContent>
        <mc:AlternateContent xmlns:mc="http://schemas.openxmlformats.org/markup-compatibility/2006">
          <mc:Choice Requires="x14">
            <control shapeId="8336" r:id="rId24" name="Check Box 144">
              <controlPr locked="0" defaultSize="0" autoFill="0" autoLine="0" autoPict="0">
                <anchor moveWithCells="1" sizeWithCells="1">
                  <from>
                    <xdr:col>22</xdr:col>
                    <xdr:colOff>0</xdr:colOff>
                    <xdr:row>53</xdr:row>
                    <xdr:rowOff>0</xdr:rowOff>
                  </from>
                  <to>
                    <xdr:col>22</xdr:col>
                    <xdr:colOff>182880</xdr:colOff>
                    <xdr:row>53</xdr:row>
                    <xdr:rowOff>182880</xdr:rowOff>
                  </to>
                </anchor>
              </controlPr>
            </control>
          </mc:Choice>
        </mc:AlternateContent>
        <mc:AlternateContent xmlns:mc="http://schemas.openxmlformats.org/markup-compatibility/2006">
          <mc:Choice Requires="x14">
            <control shapeId="8337" r:id="rId25" name="Check Box 145">
              <controlPr locked="0" defaultSize="0" autoFill="0" autoLine="0" autoPict="0">
                <anchor moveWithCells="1" sizeWithCells="1">
                  <from>
                    <xdr:col>22</xdr:col>
                    <xdr:colOff>0</xdr:colOff>
                    <xdr:row>55</xdr:row>
                    <xdr:rowOff>0</xdr:rowOff>
                  </from>
                  <to>
                    <xdr:col>22</xdr:col>
                    <xdr:colOff>182880</xdr:colOff>
                    <xdr:row>55</xdr:row>
                    <xdr:rowOff>182880</xdr:rowOff>
                  </to>
                </anchor>
              </controlPr>
            </control>
          </mc:Choice>
        </mc:AlternateContent>
        <mc:AlternateContent xmlns:mc="http://schemas.openxmlformats.org/markup-compatibility/2006">
          <mc:Choice Requires="x14">
            <control shapeId="8338" r:id="rId26" name="Check Box 146">
              <controlPr locked="0" defaultSize="0" autoFill="0" autoLine="0" autoPict="0">
                <anchor moveWithCells="1" sizeWithCells="1">
                  <from>
                    <xdr:col>22</xdr:col>
                    <xdr:colOff>0</xdr:colOff>
                    <xdr:row>57</xdr:row>
                    <xdr:rowOff>0</xdr:rowOff>
                  </from>
                  <to>
                    <xdr:col>22</xdr:col>
                    <xdr:colOff>182880</xdr:colOff>
                    <xdr:row>57</xdr:row>
                    <xdr:rowOff>182880</xdr:rowOff>
                  </to>
                </anchor>
              </controlPr>
            </control>
          </mc:Choice>
        </mc:AlternateContent>
        <mc:AlternateContent xmlns:mc="http://schemas.openxmlformats.org/markup-compatibility/2006">
          <mc:Choice Requires="x14">
            <control shapeId="8339" r:id="rId27" name="Check Box 147">
              <controlPr locked="0" defaultSize="0" autoFill="0" autoLine="0" autoPict="0">
                <anchor moveWithCells="1" sizeWithCells="1">
                  <from>
                    <xdr:col>22</xdr:col>
                    <xdr:colOff>0</xdr:colOff>
                    <xdr:row>58</xdr:row>
                    <xdr:rowOff>0</xdr:rowOff>
                  </from>
                  <to>
                    <xdr:col>22</xdr:col>
                    <xdr:colOff>182880</xdr:colOff>
                    <xdr:row>58</xdr:row>
                    <xdr:rowOff>182880</xdr:rowOff>
                  </to>
                </anchor>
              </controlPr>
            </control>
          </mc:Choice>
        </mc:AlternateContent>
        <mc:AlternateContent xmlns:mc="http://schemas.openxmlformats.org/markup-compatibility/2006">
          <mc:Choice Requires="x14">
            <control shapeId="8340" r:id="rId28" name="Check Box 148">
              <controlPr locked="0" defaultSize="0" autoFill="0" autoLine="0" autoPict="0">
                <anchor moveWithCells="1" sizeWithCells="1">
                  <from>
                    <xdr:col>22</xdr:col>
                    <xdr:colOff>0</xdr:colOff>
                    <xdr:row>59</xdr:row>
                    <xdr:rowOff>0</xdr:rowOff>
                  </from>
                  <to>
                    <xdr:col>22</xdr:col>
                    <xdr:colOff>182880</xdr:colOff>
                    <xdr:row>59</xdr:row>
                    <xdr:rowOff>182880</xdr:rowOff>
                  </to>
                </anchor>
              </controlPr>
            </control>
          </mc:Choice>
        </mc:AlternateContent>
        <mc:AlternateContent xmlns:mc="http://schemas.openxmlformats.org/markup-compatibility/2006">
          <mc:Choice Requires="x14">
            <control shapeId="8341" r:id="rId29" name="Check Box 149">
              <controlPr locked="0" defaultSize="0" autoFill="0" autoLine="0" autoPict="0">
                <anchor moveWithCells="1" sizeWithCells="1">
                  <from>
                    <xdr:col>22</xdr:col>
                    <xdr:colOff>0</xdr:colOff>
                    <xdr:row>80</xdr:row>
                    <xdr:rowOff>0</xdr:rowOff>
                  </from>
                  <to>
                    <xdr:col>22</xdr:col>
                    <xdr:colOff>182880</xdr:colOff>
                    <xdr:row>80</xdr:row>
                    <xdr:rowOff>182880</xdr:rowOff>
                  </to>
                </anchor>
              </controlPr>
            </control>
          </mc:Choice>
        </mc:AlternateContent>
        <mc:AlternateContent xmlns:mc="http://schemas.openxmlformats.org/markup-compatibility/2006">
          <mc:Choice Requires="x14">
            <control shapeId="8342" r:id="rId30" name="Check Box 150">
              <controlPr locked="0" defaultSize="0" autoFill="0" autoLine="0" autoPict="0">
                <anchor moveWithCells="1" sizeWithCells="1">
                  <from>
                    <xdr:col>22</xdr:col>
                    <xdr:colOff>0</xdr:colOff>
                    <xdr:row>83</xdr:row>
                    <xdr:rowOff>0</xdr:rowOff>
                  </from>
                  <to>
                    <xdr:col>22</xdr:col>
                    <xdr:colOff>182880</xdr:colOff>
                    <xdr:row>83</xdr:row>
                    <xdr:rowOff>182880</xdr:rowOff>
                  </to>
                </anchor>
              </controlPr>
            </control>
          </mc:Choice>
        </mc:AlternateContent>
        <mc:AlternateContent xmlns:mc="http://schemas.openxmlformats.org/markup-compatibility/2006">
          <mc:Choice Requires="x14">
            <control shapeId="8343" r:id="rId31" name="Check Box 151">
              <controlPr locked="0" defaultSize="0" autoFill="0" autoLine="0" autoPict="0">
                <anchor moveWithCells="1" sizeWithCells="1">
                  <from>
                    <xdr:col>22</xdr:col>
                    <xdr:colOff>0</xdr:colOff>
                    <xdr:row>86</xdr:row>
                    <xdr:rowOff>0</xdr:rowOff>
                  </from>
                  <to>
                    <xdr:col>22</xdr:col>
                    <xdr:colOff>182880</xdr:colOff>
                    <xdr:row>86</xdr:row>
                    <xdr:rowOff>182880</xdr:rowOff>
                  </to>
                </anchor>
              </controlPr>
            </control>
          </mc:Choice>
        </mc:AlternateContent>
        <mc:AlternateContent xmlns:mc="http://schemas.openxmlformats.org/markup-compatibility/2006">
          <mc:Choice Requires="x14">
            <control shapeId="8344" r:id="rId32" name="Check Box 152">
              <controlPr locked="0" defaultSize="0" autoFill="0" autoLine="0" autoPict="0">
                <anchor moveWithCells="1" sizeWithCells="1">
                  <from>
                    <xdr:col>22</xdr:col>
                    <xdr:colOff>0</xdr:colOff>
                    <xdr:row>88</xdr:row>
                    <xdr:rowOff>0</xdr:rowOff>
                  </from>
                  <to>
                    <xdr:col>22</xdr:col>
                    <xdr:colOff>182880</xdr:colOff>
                    <xdr:row>88</xdr:row>
                    <xdr:rowOff>182880</xdr:rowOff>
                  </to>
                </anchor>
              </controlPr>
            </control>
          </mc:Choice>
        </mc:AlternateContent>
        <mc:AlternateContent xmlns:mc="http://schemas.openxmlformats.org/markup-compatibility/2006">
          <mc:Choice Requires="x14">
            <control shapeId="8345" r:id="rId33" name="Check Box 153">
              <controlPr locked="0" defaultSize="0" autoFill="0" autoLine="0" autoPict="0">
                <anchor moveWithCells="1" sizeWithCells="1">
                  <from>
                    <xdr:col>22</xdr:col>
                    <xdr:colOff>0</xdr:colOff>
                    <xdr:row>89</xdr:row>
                    <xdr:rowOff>0</xdr:rowOff>
                  </from>
                  <to>
                    <xdr:col>22</xdr:col>
                    <xdr:colOff>182880</xdr:colOff>
                    <xdr:row>89</xdr:row>
                    <xdr:rowOff>182880</xdr:rowOff>
                  </to>
                </anchor>
              </controlPr>
            </control>
          </mc:Choice>
        </mc:AlternateContent>
        <mc:AlternateContent xmlns:mc="http://schemas.openxmlformats.org/markup-compatibility/2006">
          <mc:Choice Requires="x14">
            <control shapeId="8346" r:id="rId34" name="Check Box 154">
              <controlPr locked="0" defaultSize="0" autoFill="0" autoLine="0" autoPict="0">
                <anchor moveWithCells="1" sizeWithCells="1">
                  <from>
                    <xdr:col>22</xdr:col>
                    <xdr:colOff>0</xdr:colOff>
                    <xdr:row>91</xdr:row>
                    <xdr:rowOff>0</xdr:rowOff>
                  </from>
                  <to>
                    <xdr:col>22</xdr:col>
                    <xdr:colOff>182880</xdr:colOff>
                    <xdr:row>91</xdr:row>
                    <xdr:rowOff>182880</xdr:rowOff>
                  </to>
                </anchor>
              </controlPr>
            </control>
          </mc:Choice>
        </mc:AlternateContent>
        <mc:AlternateContent xmlns:mc="http://schemas.openxmlformats.org/markup-compatibility/2006">
          <mc:Choice Requires="x14">
            <control shapeId="8347" r:id="rId35" name="Check Box 155">
              <controlPr locked="0" defaultSize="0" autoFill="0" autoLine="0" autoPict="0">
                <anchor moveWithCells="1" sizeWithCells="1">
                  <from>
                    <xdr:col>22</xdr:col>
                    <xdr:colOff>0</xdr:colOff>
                    <xdr:row>92</xdr:row>
                    <xdr:rowOff>0</xdr:rowOff>
                  </from>
                  <to>
                    <xdr:col>22</xdr:col>
                    <xdr:colOff>182880</xdr:colOff>
                    <xdr:row>92</xdr:row>
                    <xdr:rowOff>182880</xdr:rowOff>
                  </to>
                </anchor>
              </controlPr>
            </control>
          </mc:Choice>
        </mc:AlternateContent>
        <mc:AlternateContent xmlns:mc="http://schemas.openxmlformats.org/markup-compatibility/2006">
          <mc:Choice Requires="x14">
            <control shapeId="8348" r:id="rId36" name="Check Box 156">
              <controlPr locked="0" defaultSize="0" autoFill="0" autoLine="0" autoPict="0">
                <anchor moveWithCells="1" sizeWithCells="1">
                  <from>
                    <xdr:col>22</xdr:col>
                    <xdr:colOff>0</xdr:colOff>
                    <xdr:row>93</xdr:row>
                    <xdr:rowOff>0</xdr:rowOff>
                  </from>
                  <to>
                    <xdr:col>22</xdr:col>
                    <xdr:colOff>182880</xdr:colOff>
                    <xdr:row>93</xdr:row>
                    <xdr:rowOff>182880</xdr:rowOff>
                  </to>
                </anchor>
              </controlPr>
            </control>
          </mc:Choice>
        </mc:AlternateContent>
        <mc:AlternateContent xmlns:mc="http://schemas.openxmlformats.org/markup-compatibility/2006">
          <mc:Choice Requires="x14">
            <control shapeId="8349" r:id="rId37" name="Check Box 157">
              <controlPr locked="0" defaultSize="0" autoFill="0" autoLine="0" autoPict="0">
                <anchor moveWithCells="1" sizeWithCells="1">
                  <from>
                    <xdr:col>22</xdr:col>
                    <xdr:colOff>0</xdr:colOff>
                    <xdr:row>99</xdr:row>
                    <xdr:rowOff>0</xdr:rowOff>
                  </from>
                  <to>
                    <xdr:col>22</xdr:col>
                    <xdr:colOff>182880</xdr:colOff>
                    <xdr:row>99</xdr:row>
                    <xdr:rowOff>182880</xdr:rowOff>
                  </to>
                </anchor>
              </controlPr>
            </control>
          </mc:Choice>
        </mc:AlternateContent>
        <mc:AlternateContent xmlns:mc="http://schemas.openxmlformats.org/markup-compatibility/2006">
          <mc:Choice Requires="x14">
            <control shapeId="8350" r:id="rId38" name="Check Box 158">
              <controlPr locked="0" defaultSize="0" autoFill="0" autoLine="0" autoPict="0">
                <anchor moveWithCells="1" sizeWithCells="1">
                  <from>
                    <xdr:col>22</xdr:col>
                    <xdr:colOff>0</xdr:colOff>
                    <xdr:row>101</xdr:row>
                    <xdr:rowOff>0</xdr:rowOff>
                  </from>
                  <to>
                    <xdr:col>22</xdr:col>
                    <xdr:colOff>182880</xdr:colOff>
                    <xdr:row>101</xdr:row>
                    <xdr:rowOff>182880</xdr:rowOff>
                  </to>
                </anchor>
              </controlPr>
            </control>
          </mc:Choice>
        </mc:AlternateContent>
        <mc:AlternateContent xmlns:mc="http://schemas.openxmlformats.org/markup-compatibility/2006">
          <mc:Choice Requires="x14">
            <control shapeId="8351" r:id="rId39" name="Check Box 159">
              <controlPr locked="0" defaultSize="0" autoFill="0" autoLine="0" autoPict="0">
                <anchor moveWithCells="1" sizeWithCells="1">
                  <from>
                    <xdr:col>22</xdr:col>
                    <xdr:colOff>0</xdr:colOff>
                    <xdr:row>104</xdr:row>
                    <xdr:rowOff>0</xdr:rowOff>
                  </from>
                  <to>
                    <xdr:col>22</xdr:col>
                    <xdr:colOff>182880</xdr:colOff>
                    <xdr:row>104</xdr:row>
                    <xdr:rowOff>182880</xdr:rowOff>
                  </to>
                </anchor>
              </controlPr>
            </control>
          </mc:Choice>
        </mc:AlternateContent>
        <mc:AlternateContent xmlns:mc="http://schemas.openxmlformats.org/markup-compatibility/2006">
          <mc:Choice Requires="x14">
            <control shapeId="8352" r:id="rId40" name="Check Box 160">
              <controlPr locked="0" defaultSize="0" autoFill="0" autoLine="0" autoPict="0">
                <anchor moveWithCells="1" sizeWithCells="1">
                  <from>
                    <xdr:col>22</xdr:col>
                    <xdr:colOff>0</xdr:colOff>
                    <xdr:row>106</xdr:row>
                    <xdr:rowOff>0</xdr:rowOff>
                  </from>
                  <to>
                    <xdr:col>22</xdr:col>
                    <xdr:colOff>182880</xdr:colOff>
                    <xdr:row>106</xdr:row>
                    <xdr:rowOff>182880</xdr:rowOff>
                  </to>
                </anchor>
              </controlPr>
            </control>
          </mc:Choice>
        </mc:AlternateContent>
        <mc:AlternateContent xmlns:mc="http://schemas.openxmlformats.org/markup-compatibility/2006">
          <mc:Choice Requires="x14">
            <control shapeId="8353" r:id="rId41" name="Check Box 161">
              <controlPr locked="0" defaultSize="0" autoFill="0" autoLine="0" autoPict="0">
                <anchor moveWithCells="1" sizeWithCells="1">
                  <from>
                    <xdr:col>22</xdr:col>
                    <xdr:colOff>0</xdr:colOff>
                    <xdr:row>109</xdr:row>
                    <xdr:rowOff>0</xdr:rowOff>
                  </from>
                  <to>
                    <xdr:col>22</xdr:col>
                    <xdr:colOff>182880</xdr:colOff>
                    <xdr:row>109</xdr:row>
                    <xdr:rowOff>182880</xdr:rowOff>
                  </to>
                </anchor>
              </controlPr>
            </control>
          </mc:Choice>
        </mc:AlternateContent>
        <mc:AlternateContent xmlns:mc="http://schemas.openxmlformats.org/markup-compatibility/2006">
          <mc:Choice Requires="x14">
            <control shapeId="8354" r:id="rId42" name="Check Box 162">
              <controlPr locked="0" defaultSize="0" autoFill="0" autoLine="0" autoPict="0">
                <anchor moveWithCells="1" sizeWithCells="1">
                  <from>
                    <xdr:col>22</xdr:col>
                    <xdr:colOff>0</xdr:colOff>
                    <xdr:row>111</xdr:row>
                    <xdr:rowOff>0</xdr:rowOff>
                  </from>
                  <to>
                    <xdr:col>22</xdr:col>
                    <xdr:colOff>182880</xdr:colOff>
                    <xdr:row>111</xdr:row>
                    <xdr:rowOff>182880</xdr:rowOff>
                  </to>
                </anchor>
              </controlPr>
            </control>
          </mc:Choice>
        </mc:AlternateContent>
        <mc:AlternateContent xmlns:mc="http://schemas.openxmlformats.org/markup-compatibility/2006">
          <mc:Choice Requires="x14">
            <control shapeId="8355" r:id="rId43" name="Check Box 163">
              <controlPr locked="0" defaultSize="0" autoFill="0" autoLine="0" autoPict="0">
                <anchor moveWithCells="1" sizeWithCells="1">
                  <from>
                    <xdr:col>22</xdr:col>
                    <xdr:colOff>0</xdr:colOff>
                    <xdr:row>112</xdr:row>
                    <xdr:rowOff>0</xdr:rowOff>
                  </from>
                  <to>
                    <xdr:col>22</xdr:col>
                    <xdr:colOff>182880</xdr:colOff>
                    <xdr:row>112</xdr:row>
                    <xdr:rowOff>182880</xdr:rowOff>
                  </to>
                </anchor>
              </controlPr>
            </control>
          </mc:Choice>
        </mc:AlternateContent>
        <mc:AlternateContent xmlns:mc="http://schemas.openxmlformats.org/markup-compatibility/2006">
          <mc:Choice Requires="x14">
            <control shapeId="8356" r:id="rId44" name="Check Box 164">
              <controlPr locked="0" defaultSize="0" autoFill="0" autoLine="0" autoPict="0">
                <anchor moveWithCells="1" sizeWithCells="1">
                  <from>
                    <xdr:col>22</xdr:col>
                    <xdr:colOff>0</xdr:colOff>
                    <xdr:row>114</xdr:row>
                    <xdr:rowOff>0</xdr:rowOff>
                  </from>
                  <to>
                    <xdr:col>22</xdr:col>
                    <xdr:colOff>182880</xdr:colOff>
                    <xdr:row>114</xdr:row>
                    <xdr:rowOff>182880</xdr:rowOff>
                  </to>
                </anchor>
              </controlPr>
            </control>
          </mc:Choice>
        </mc:AlternateContent>
        <mc:AlternateContent xmlns:mc="http://schemas.openxmlformats.org/markup-compatibility/2006">
          <mc:Choice Requires="x14">
            <control shapeId="8357" r:id="rId45" name="Check Box 165">
              <controlPr locked="0" defaultSize="0" autoFill="0" autoLine="0" autoPict="0">
                <anchor moveWithCells="1" sizeWithCells="1">
                  <from>
                    <xdr:col>22</xdr:col>
                    <xdr:colOff>0</xdr:colOff>
                    <xdr:row>116</xdr:row>
                    <xdr:rowOff>0</xdr:rowOff>
                  </from>
                  <to>
                    <xdr:col>22</xdr:col>
                    <xdr:colOff>182880</xdr:colOff>
                    <xdr:row>116</xdr:row>
                    <xdr:rowOff>182880</xdr:rowOff>
                  </to>
                </anchor>
              </controlPr>
            </control>
          </mc:Choice>
        </mc:AlternateContent>
        <mc:AlternateContent xmlns:mc="http://schemas.openxmlformats.org/markup-compatibility/2006">
          <mc:Choice Requires="x14">
            <control shapeId="8358" r:id="rId46" name="Check Box 166">
              <controlPr locked="0" defaultSize="0" autoFill="0" autoLine="0" autoPict="0">
                <anchor moveWithCells="1" sizeWithCells="1">
                  <from>
                    <xdr:col>22</xdr:col>
                    <xdr:colOff>0</xdr:colOff>
                    <xdr:row>117</xdr:row>
                    <xdr:rowOff>0</xdr:rowOff>
                  </from>
                  <to>
                    <xdr:col>22</xdr:col>
                    <xdr:colOff>182880</xdr:colOff>
                    <xdr:row>117</xdr:row>
                    <xdr:rowOff>182880</xdr:rowOff>
                  </to>
                </anchor>
              </controlPr>
            </control>
          </mc:Choice>
        </mc:AlternateContent>
        <mc:AlternateContent xmlns:mc="http://schemas.openxmlformats.org/markup-compatibility/2006">
          <mc:Choice Requires="x14">
            <control shapeId="8359" r:id="rId47" name="Check Box 167">
              <controlPr locked="0" defaultSize="0" autoFill="0" autoLine="0" autoPict="0">
                <anchor moveWithCells="1" sizeWithCells="1">
                  <from>
                    <xdr:col>22</xdr:col>
                    <xdr:colOff>0</xdr:colOff>
                    <xdr:row>120</xdr:row>
                    <xdr:rowOff>0</xdr:rowOff>
                  </from>
                  <to>
                    <xdr:col>22</xdr:col>
                    <xdr:colOff>182880</xdr:colOff>
                    <xdr:row>120</xdr:row>
                    <xdr:rowOff>182880</xdr:rowOff>
                  </to>
                </anchor>
              </controlPr>
            </control>
          </mc:Choice>
        </mc:AlternateContent>
        <mc:AlternateContent xmlns:mc="http://schemas.openxmlformats.org/markup-compatibility/2006">
          <mc:Choice Requires="x14">
            <control shapeId="8360" r:id="rId48" name="Check Box 168">
              <controlPr locked="0" defaultSize="0" autoFill="0" autoLine="0" autoPict="0">
                <anchor moveWithCells="1" sizeWithCells="1">
                  <from>
                    <xdr:col>22</xdr:col>
                    <xdr:colOff>0</xdr:colOff>
                    <xdr:row>126</xdr:row>
                    <xdr:rowOff>0</xdr:rowOff>
                  </from>
                  <to>
                    <xdr:col>22</xdr:col>
                    <xdr:colOff>182880</xdr:colOff>
                    <xdr:row>126</xdr:row>
                    <xdr:rowOff>182880</xdr:rowOff>
                  </to>
                </anchor>
              </controlPr>
            </control>
          </mc:Choice>
        </mc:AlternateContent>
        <mc:AlternateContent xmlns:mc="http://schemas.openxmlformats.org/markup-compatibility/2006">
          <mc:Choice Requires="x14">
            <control shapeId="8361" r:id="rId49" name="Check Box 169">
              <controlPr locked="0" defaultSize="0" autoFill="0" autoLine="0" autoPict="0">
                <anchor moveWithCells="1" sizeWithCells="1">
                  <from>
                    <xdr:col>22</xdr:col>
                    <xdr:colOff>0</xdr:colOff>
                    <xdr:row>128</xdr:row>
                    <xdr:rowOff>0</xdr:rowOff>
                  </from>
                  <to>
                    <xdr:col>22</xdr:col>
                    <xdr:colOff>182880</xdr:colOff>
                    <xdr:row>128</xdr:row>
                    <xdr:rowOff>182880</xdr:rowOff>
                  </to>
                </anchor>
              </controlPr>
            </control>
          </mc:Choice>
        </mc:AlternateContent>
        <mc:AlternateContent xmlns:mc="http://schemas.openxmlformats.org/markup-compatibility/2006">
          <mc:Choice Requires="x14">
            <control shapeId="8362" r:id="rId50" name="Check Box 170">
              <controlPr locked="0" defaultSize="0" autoFill="0" autoLine="0" autoPict="0">
                <anchor moveWithCells="1" sizeWithCells="1">
                  <from>
                    <xdr:col>22</xdr:col>
                    <xdr:colOff>0</xdr:colOff>
                    <xdr:row>132</xdr:row>
                    <xdr:rowOff>0</xdr:rowOff>
                  </from>
                  <to>
                    <xdr:col>22</xdr:col>
                    <xdr:colOff>182880</xdr:colOff>
                    <xdr:row>132</xdr:row>
                    <xdr:rowOff>182880</xdr:rowOff>
                  </to>
                </anchor>
              </controlPr>
            </control>
          </mc:Choice>
        </mc:AlternateContent>
        <mc:AlternateContent xmlns:mc="http://schemas.openxmlformats.org/markup-compatibility/2006">
          <mc:Choice Requires="x14">
            <control shapeId="8363" r:id="rId51" name="Check Box 171">
              <controlPr locked="0" defaultSize="0" autoFill="0" autoLine="0" autoPict="0">
                <anchor moveWithCells="1" sizeWithCells="1">
                  <from>
                    <xdr:col>22</xdr:col>
                    <xdr:colOff>0</xdr:colOff>
                    <xdr:row>139</xdr:row>
                    <xdr:rowOff>0</xdr:rowOff>
                  </from>
                  <to>
                    <xdr:col>22</xdr:col>
                    <xdr:colOff>182880</xdr:colOff>
                    <xdr:row>139</xdr:row>
                    <xdr:rowOff>182880</xdr:rowOff>
                  </to>
                </anchor>
              </controlPr>
            </control>
          </mc:Choice>
        </mc:AlternateContent>
        <mc:AlternateContent xmlns:mc="http://schemas.openxmlformats.org/markup-compatibility/2006">
          <mc:Choice Requires="x14">
            <control shapeId="8364" r:id="rId52" name="Check Box 172">
              <controlPr locked="0" defaultSize="0" autoFill="0" autoLine="0" autoPict="0">
                <anchor moveWithCells="1" sizeWithCells="1">
                  <from>
                    <xdr:col>22</xdr:col>
                    <xdr:colOff>0</xdr:colOff>
                    <xdr:row>141</xdr:row>
                    <xdr:rowOff>0</xdr:rowOff>
                  </from>
                  <to>
                    <xdr:col>22</xdr:col>
                    <xdr:colOff>182880</xdr:colOff>
                    <xdr:row>141</xdr:row>
                    <xdr:rowOff>182880</xdr:rowOff>
                  </to>
                </anchor>
              </controlPr>
            </control>
          </mc:Choice>
        </mc:AlternateContent>
        <mc:AlternateContent xmlns:mc="http://schemas.openxmlformats.org/markup-compatibility/2006">
          <mc:Choice Requires="x14">
            <control shapeId="8365" r:id="rId53" name="Check Box 173">
              <controlPr locked="0" defaultSize="0" autoFill="0" autoLine="0" autoPict="0">
                <anchor moveWithCells="1" sizeWithCells="1">
                  <from>
                    <xdr:col>22</xdr:col>
                    <xdr:colOff>0</xdr:colOff>
                    <xdr:row>142</xdr:row>
                    <xdr:rowOff>0</xdr:rowOff>
                  </from>
                  <to>
                    <xdr:col>22</xdr:col>
                    <xdr:colOff>182880</xdr:colOff>
                    <xdr:row>142</xdr:row>
                    <xdr:rowOff>182880</xdr:rowOff>
                  </to>
                </anchor>
              </controlPr>
            </control>
          </mc:Choice>
        </mc:AlternateContent>
        <mc:AlternateContent xmlns:mc="http://schemas.openxmlformats.org/markup-compatibility/2006">
          <mc:Choice Requires="x14">
            <control shapeId="8366" r:id="rId54" name="Check Box 174">
              <controlPr locked="0" defaultSize="0" autoFill="0" autoLine="0" autoPict="0">
                <anchor moveWithCells="1" sizeWithCells="1">
                  <from>
                    <xdr:col>22</xdr:col>
                    <xdr:colOff>0</xdr:colOff>
                    <xdr:row>144</xdr:row>
                    <xdr:rowOff>0</xdr:rowOff>
                  </from>
                  <to>
                    <xdr:col>22</xdr:col>
                    <xdr:colOff>182880</xdr:colOff>
                    <xdr:row>144</xdr:row>
                    <xdr:rowOff>182880</xdr:rowOff>
                  </to>
                </anchor>
              </controlPr>
            </control>
          </mc:Choice>
        </mc:AlternateContent>
        <mc:AlternateContent xmlns:mc="http://schemas.openxmlformats.org/markup-compatibility/2006">
          <mc:Choice Requires="x14">
            <control shapeId="8367" r:id="rId55" name="Check Box 175">
              <controlPr locked="0" defaultSize="0" autoFill="0" autoLine="0" autoPict="0">
                <anchor moveWithCells="1" sizeWithCells="1">
                  <from>
                    <xdr:col>22</xdr:col>
                    <xdr:colOff>0</xdr:colOff>
                    <xdr:row>145</xdr:row>
                    <xdr:rowOff>0</xdr:rowOff>
                  </from>
                  <to>
                    <xdr:col>22</xdr:col>
                    <xdr:colOff>182880</xdr:colOff>
                    <xdr:row>145</xdr:row>
                    <xdr:rowOff>182880</xdr:rowOff>
                  </to>
                </anchor>
              </controlPr>
            </control>
          </mc:Choice>
        </mc:AlternateContent>
        <mc:AlternateContent xmlns:mc="http://schemas.openxmlformats.org/markup-compatibility/2006">
          <mc:Choice Requires="x14">
            <control shapeId="8368" r:id="rId56" name="Check Box 176">
              <controlPr locked="0" defaultSize="0" autoFill="0" autoLine="0" autoPict="0">
                <anchor moveWithCells="1" sizeWithCells="1">
                  <from>
                    <xdr:col>22</xdr:col>
                    <xdr:colOff>0</xdr:colOff>
                    <xdr:row>146</xdr:row>
                    <xdr:rowOff>0</xdr:rowOff>
                  </from>
                  <to>
                    <xdr:col>22</xdr:col>
                    <xdr:colOff>182880</xdr:colOff>
                    <xdr:row>146</xdr:row>
                    <xdr:rowOff>182880</xdr:rowOff>
                  </to>
                </anchor>
              </controlPr>
            </control>
          </mc:Choice>
        </mc:AlternateContent>
        <mc:AlternateContent xmlns:mc="http://schemas.openxmlformats.org/markup-compatibility/2006">
          <mc:Choice Requires="x14">
            <control shapeId="8369" r:id="rId57" name="Check Box 177">
              <controlPr locked="0" defaultSize="0" autoFill="0" autoLine="0" autoPict="0">
                <anchor moveWithCells="1" sizeWithCells="1">
                  <from>
                    <xdr:col>22</xdr:col>
                    <xdr:colOff>0</xdr:colOff>
                    <xdr:row>147</xdr:row>
                    <xdr:rowOff>0</xdr:rowOff>
                  </from>
                  <to>
                    <xdr:col>22</xdr:col>
                    <xdr:colOff>182880</xdr:colOff>
                    <xdr:row>147</xdr:row>
                    <xdr:rowOff>182880</xdr:rowOff>
                  </to>
                </anchor>
              </controlPr>
            </control>
          </mc:Choice>
        </mc:AlternateContent>
        <mc:AlternateContent xmlns:mc="http://schemas.openxmlformats.org/markup-compatibility/2006">
          <mc:Choice Requires="x14">
            <control shapeId="8370" r:id="rId58" name="Check Box 178">
              <controlPr locked="0" defaultSize="0" autoFill="0" autoLine="0" autoPict="0">
                <anchor moveWithCells="1" sizeWithCells="1">
                  <from>
                    <xdr:col>22</xdr:col>
                    <xdr:colOff>0</xdr:colOff>
                    <xdr:row>148</xdr:row>
                    <xdr:rowOff>0</xdr:rowOff>
                  </from>
                  <to>
                    <xdr:col>22</xdr:col>
                    <xdr:colOff>182880</xdr:colOff>
                    <xdr:row>148</xdr:row>
                    <xdr:rowOff>182880</xdr:rowOff>
                  </to>
                </anchor>
              </controlPr>
            </control>
          </mc:Choice>
        </mc:AlternateContent>
        <mc:AlternateContent xmlns:mc="http://schemas.openxmlformats.org/markup-compatibility/2006">
          <mc:Choice Requires="x14">
            <control shapeId="8371" r:id="rId59" name="Check Box 179">
              <controlPr locked="0" defaultSize="0" autoFill="0" autoLine="0" autoPict="0">
                <anchor moveWithCells="1" sizeWithCells="1">
                  <from>
                    <xdr:col>22</xdr:col>
                    <xdr:colOff>0</xdr:colOff>
                    <xdr:row>165</xdr:row>
                    <xdr:rowOff>0</xdr:rowOff>
                  </from>
                  <to>
                    <xdr:col>22</xdr:col>
                    <xdr:colOff>182880</xdr:colOff>
                    <xdr:row>165</xdr:row>
                    <xdr:rowOff>182880</xdr:rowOff>
                  </to>
                </anchor>
              </controlPr>
            </control>
          </mc:Choice>
        </mc:AlternateContent>
        <mc:AlternateContent xmlns:mc="http://schemas.openxmlformats.org/markup-compatibility/2006">
          <mc:Choice Requires="x14">
            <control shapeId="8372" r:id="rId60" name="Check Box 180">
              <controlPr locked="0" defaultSize="0" autoFill="0" autoLine="0" autoPict="0">
                <anchor moveWithCells="1" sizeWithCells="1">
                  <from>
                    <xdr:col>22</xdr:col>
                    <xdr:colOff>0</xdr:colOff>
                    <xdr:row>167</xdr:row>
                    <xdr:rowOff>0</xdr:rowOff>
                  </from>
                  <to>
                    <xdr:col>22</xdr:col>
                    <xdr:colOff>182880</xdr:colOff>
                    <xdr:row>167</xdr:row>
                    <xdr:rowOff>182880</xdr:rowOff>
                  </to>
                </anchor>
              </controlPr>
            </control>
          </mc:Choice>
        </mc:AlternateContent>
        <mc:AlternateContent xmlns:mc="http://schemas.openxmlformats.org/markup-compatibility/2006">
          <mc:Choice Requires="x14">
            <control shapeId="8373" r:id="rId61" name="Check Box 181">
              <controlPr locked="0" defaultSize="0" autoFill="0" autoLine="0" autoPict="0">
                <anchor moveWithCells="1" sizeWithCells="1">
                  <from>
                    <xdr:col>22</xdr:col>
                    <xdr:colOff>0</xdr:colOff>
                    <xdr:row>170</xdr:row>
                    <xdr:rowOff>0</xdr:rowOff>
                  </from>
                  <to>
                    <xdr:col>22</xdr:col>
                    <xdr:colOff>182880</xdr:colOff>
                    <xdr:row>170</xdr:row>
                    <xdr:rowOff>182880</xdr:rowOff>
                  </to>
                </anchor>
              </controlPr>
            </control>
          </mc:Choice>
        </mc:AlternateContent>
        <mc:AlternateContent xmlns:mc="http://schemas.openxmlformats.org/markup-compatibility/2006">
          <mc:Choice Requires="x14">
            <control shapeId="8374" r:id="rId62" name="Check Box 182">
              <controlPr locked="0" defaultSize="0" autoFill="0" autoLine="0" autoPict="0">
                <anchor moveWithCells="1" sizeWithCells="1">
                  <from>
                    <xdr:col>22</xdr:col>
                    <xdr:colOff>0</xdr:colOff>
                    <xdr:row>183</xdr:row>
                    <xdr:rowOff>0</xdr:rowOff>
                  </from>
                  <to>
                    <xdr:col>22</xdr:col>
                    <xdr:colOff>182880</xdr:colOff>
                    <xdr:row>183</xdr:row>
                    <xdr:rowOff>182880</xdr:rowOff>
                  </to>
                </anchor>
              </controlPr>
            </control>
          </mc:Choice>
        </mc:AlternateContent>
        <mc:AlternateContent xmlns:mc="http://schemas.openxmlformats.org/markup-compatibility/2006">
          <mc:Choice Requires="x14">
            <control shapeId="8375" r:id="rId63" name="Check Box 183">
              <controlPr locked="0" defaultSize="0" autoFill="0" autoLine="0" autoPict="0">
                <anchor moveWithCells="1" sizeWithCells="1">
                  <from>
                    <xdr:col>22</xdr:col>
                    <xdr:colOff>0</xdr:colOff>
                    <xdr:row>185</xdr:row>
                    <xdr:rowOff>0</xdr:rowOff>
                  </from>
                  <to>
                    <xdr:col>22</xdr:col>
                    <xdr:colOff>182880</xdr:colOff>
                    <xdr:row>185</xdr:row>
                    <xdr:rowOff>182880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4248</vt:i4>
      </vt:variant>
    </vt:vector>
  </HeadingPairs>
  <TitlesOfParts>
    <vt:vector size="4285" baseType="lpstr">
      <vt:lpstr>Info &amp; Intro</vt:lpstr>
      <vt:lpstr>Overview (Design)</vt:lpstr>
      <vt:lpstr>Ch5</vt:lpstr>
      <vt:lpstr>Ch6</vt:lpstr>
      <vt:lpstr>Ch7</vt:lpstr>
      <vt:lpstr>Ch8</vt:lpstr>
      <vt:lpstr>Ch9</vt:lpstr>
      <vt:lpstr>Ch10</vt:lpstr>
      <vt:lpstr>Req. Doc.</vt:lpstr>
      <vt:lpstr>Design Summ.</vt:lpstr>
      <vt:lpstr>Overview (Verification)</vt:lpstr>
      <vt:lpstr>Verification Report</vt:lpstr>
      <vt:lpstr>Rough Sig.</vt:lpstr>
      <vt:lpstr>Final Sig.</vt:lpstr>
      <vt:lpstr>Appendix A</vt:lpstr>
      <vt:lpstr>Appendix B</vt:lpstr>
      <vt:lpstr>Appendix D</vt:lpstr>
      <vt:lpstr>Table 602.1.12</vt:lpstr>
      <vt:lpstr>Table 604.1</vt:lpstr>
      <vt:lpstr>Table 610.1.2.1</vt:lpstr>
      <vt:lpstr>Table 610.1.2.2</vt:lpstr>
      <vt:lpstr>Figure 6(2)</vt:lpstr>
      <vt:lpstr>Figure 6(3)</vt:lpstr>
      <vt:lpstr>Table 701.4.3.2(2)</vt:lpstr>
      <vt:lpstr>Table 703.2.1(a)</vt:lpstr>
      <vt:lpstr>Table 703.2.1(b)</vt:lpstr>
      <vt:lpstr>Table 703.2.2</vt:lpstr>
      <vt:lpstr>Table 703.2.4</vt:lpstr>
      <vt:lpstr>Table 703.2.5.1</vt:lpstr>
      <vt:lpstr>Tables 703.2.5.2(a), (b) &amp; (c)</vt:lpstr>
      <vt:lpstr>Table 703.7.1(7)</vt:lpstr>
      <vt:lpstr>Table 801.1(1)</vt:lpstr>
      <vt:lpstr>Table 801.1(2)</vt:lpstr>
      <vt:lpstr>Table 901.9.1</vt:lpstr>
      <vt:lpstr>Table 901.9.2</vt:lpstr>
      <vt:lpstr>Table 901.10(3)</vt:lpstr>
      <vt:lpstr>Errata</vt:lpstr>
      <vt:lpstr>Ch10Add</vt:lpstr>
      <vt:lpstr>Ch10AddFinal</vt:lpstr>
      <vt:lpstr>Ch10AddGoal</vt:lpstr>
      <vt:lpstr>Ch10GLevFinal</vt:lpstr>
      <vt:lpstr>Ch10Level</vt:lpstr>
      <vt:lpstr>Ch10LevelFinal</vt:lpstr>
      <vt:lpstr>Ch10NLev</vt:lpstr>
      <vt:lpstr>Ch10Points</vt:lpstr>
      <vt:lpstr>Ch10PointsFinal</vt:lpstr>
      <vt:lpstr>Points!Ch5Add</vt:lpstr>
      <vt:lpstr>Ch5AddFinal</vt:lpstr>
      <vt:lpstr>Ch5AddGoal</vt:lpstr>
      <vt:lpstr>Ch5Error</vt:lpstr>
      <vt:lpstr>Ch5GLevFinal</vt:lpstr>
      <vt:lpstr>Points!Ch5Level</vt:lpstr>
      <vt:lpstr>Ch5LevelFinal</vt:lpstr>
      <vt:lpstr>Ch5MandError</vt:lpstr>
      <vt:lpstr>Points!Ch5NLev</vt:lpstr>
      <vt:lpstr>Points!Ch5Points</vt:lpstr>
      <vt:lpstr>Ch5PointsFinal</vt:lpstr>
      <vt:lpstr>Ch6Add</vt:lpstr>
      <vt:lpstr>Ch6AddFinal</vt:lpstr>
      <vt:lpstr>Ch6AddGoal</vt:lpstr>
      <vt:lpstr>Ch6GLevFinal</vt:lpstr>
      <vt:lpstr>Ch6Level</vt:lpstr>
      <vt:lpstr>Ch6LevelFinal</vt:lpstr>
      <vt:lpstr>Ch6NLev</vt:lpstr>
      <vt:lpstr>Ch6Points</vt:lpstr>
      <vt:lpstr>Ch6PointsFinal</vt:lpstr>
      <vt:lpstr>Ch7Add</vt:lpstr>
      <vt:lpstr>Ch7AddFinal</vt:lpstr>
      <vt:lpstr>Ch7AddGoal</vt:lpstr>
      <vt:lpstr>Ch7GLevFinal</vt:lpstr>
      <vt:lpstr>Ch7Level</vt:lpstr>
      <vt:lpstr>Ch7LevelFinal</vt:lpstr>
      <vt:lpstr>Ch7Max</vt:lpstr>
      <vt:lpstr>Ch7NLev</vt:lpstr>
      <vt:lpstr>Ch7Points</vt:lpstr>
      <vt:lpstr>Ch7PointsFinal</vt:lpstr>
      <vt:lpstr>Ch8Add</vt:lpstr>
      <vt:lpstr>Ch8AddFinal</vt:lpstr>
      <vt:lpstr>Ch8AddGoal</vt:lpstr>
      <vt:lpstr>Ch8GLevFinal</vt:lpstr>
      <vt:lpstr>Ch8Level</vt:lpstr>
      <vt:lpstr>Ch8LevelFinal</vt:lpstr>
      <vt:lpstr>Ch8Max</vt:lpstr>
      <vt:lpstr>Ch8NLev</vt:lpstr>
      <vt:lpstr>Ch8Points</vt:lpstr>
      <vt:lpstr>Ch8PointsFinal</vt:lpstr>
      <vt:lpstr>Ch9Add</vt:lpstr>
      <vt:lpstr>Ch9AddFinal</vt:lpstr>
      <vt:lpstr>Ch9AddGoal</vt:lpstr>
      <vt:lpstr>Ch9GLevFinal</vt:lpstr>
      <vt:lpstr>Ch9Level</vt:lpstr>
      <vt:lpstr>Ch9LevelFinal</vt:lpstr>
      <vt:lpstr>Ch9NLev</vt:lpstr>
      <vt:lpstr>Ch9Points</vt:lpstr>
      <vt:lpstr>Ch9PointsFinal</vt:lpstr>
      <vt:lpstr>codChapter10</vt:lpstr>
      <vt:lpstr>codChapter5</vt:lpstr>
      <vt:lpstr>codChapter6</vt:lpstr>
      <vt:lpstr>codChapter7</vt:lpstr>
      <vt:lpstr>codChapter8</vt:lpstr>
      <vt:lpstr>codChapter9</vt:lpstr>
      <vt:lpstr>dbState</vt:lpstr>
      <vt:lpstr>dch1001_1_1</vt:lpstr>
      <vt:lpstr>dch1001_1_10</vt:lpstr>
      <vt:lpstr>dch1001_1_11</vt:lpstr>
      <vt:lpstr>dch1001_1_12</vt:lpstr>
      <vt:lpstr>dch1001_1_13</vt:lpstr>
      <vt:lpstr>dch1001_1_14</vt:lpstr>
      <vt:lpstr>dch1001_1_15</vt:lpstr>
      <vt:lpstr>dch1001_1_16</vt:lpstr>
      <vt:lpstr>dch1001_1_17</vt:lpstr>
      <vt:lpstr>dch1001_1_18</vt:lpstr>
      <vt:lpstr>dch1001_1_19</vt:lpstr>
      <vt:lpstr>dch1001_1_2</vt:lpstr>
      <vt:lpstr>dch1001_1_20</vt:lpstr>
      <vt:lpstr>dch1001_1_21</vt:lpstr>
      <vt:lpstr>dch1001_1_22</vt:lpstr>
      <vt:lpstr>dch1001_1_23</vt:lpstr>
      <vt:lpstr>dch1001_1_24</vt:lpstr>
      <vt:lpstr>dch1001_1_3</vt:lpstr>
      <vt:lpstr>dch1001_1_4</vt:lpstr>
      <vt:lpstr>dch1001_1_5</vt:lpstr>
      <vt:lpstr>dch1001_1_6</vt:lpstr>
      <vt:lpstr>dch1001_1_7</vt:lpstr>
      <vt:lpstr>dch1001_1_8</vt:lpstr>
      <vt:lpstr>dch1001_1_9</vt:lpstr>
      <vt:lpstr>dch1001_2</vt:lpstr>
      <vt:lpstr>dch1002_1_1</vt:lpstr>
      <vt:lpstr>dch1002_1_2</vt:lpstr>
      <vt:lpstr>dch1002_1_3</vt:lpstr>
      <vt:lpstr>dch1002_1_4</vt:lpstr>
      <vt:lpstr>dch1002_1_5</vt:lpstr>
      <vt:lpstr>dch1002_1_6</vt:lpstr>
      <vt:lpstr>dch1002_1_7</vt:lpstr>
      <vt:lpstr>dch1002_1_8</vt:lpstr>
      <vt:lpstr>dch1002_2_1</vt:lpstr>
      <vt:lpstr>dch1002_2_10</vt:lpstr>
      <vt:lpstr>dch1002_2_11</vt:lpstr>
      <vt:lpstr>dch1002_2_2</vt:lpstr>
      <vt:lpstr>dch1002_2_3</vt:lpstr>
      <vt:lpstr>dch1002_2_4</vt:lpstr>
      <vt:lpstr>dch1002_2_5</vt:lpstr>
      <vt:lpstr>dch1002_2_6</vt:lpstr>
      <vt:lpstr>dch1002_2_7</vt:lpstr>
      <vt:lpstr>dch1002_2_8</vt:lpstr>
      <vt:lpstr>dch1002_2_9</vt:lpstr>
      <vt:lpstr>dch1002_3_1</vt:lpstr>
      <vt:lpstr>dch1002_3_10</vt:lpstr>
      <vt:lpstr>dch1002_3_2</vt:lpstr>
      <vt:lpstr>dch1002_3_3</vt:lpstr>
      <vt:lpstr>dch1002_3_4</vt:lpstr>
      <vt:lpstr>dch1002_3_5</vt:lpstr>
      <vt:lpstr>dch1002_3_6</vt:lpstr>
      <vt:lpstr>dch1002_3_7</vt:lpstr>
      <vt:lpstr>dch1002_3_8</vt:lpstr>
      <vt:lpstr>dch1002_3_9</vt:lpstr>
      <vt:lpstr>dch1002_4</vt:lpstr>
      <vt:lpstr>dch1003_1_1</vt:lpstr>
      <vt:lpstr>dch1003_1_2</vt:lpstr>
      <vt:lpstr>dch1003_1_3</vt:lpstr>
      <vt:lpstr>dch1004_1_1</vt:lpstr>
      <vt:lpstr>dch1004_1_2</vt:lpstr>
      <vt:lpstr>dch501_1</vt:lpstr>
      <vt:lpstr>dch501_1_1</vt:lpstr>
      <vt:lpstr>dch501_1_2</vt:lpstr>
      <vt:lpstr>dch501_1_3</vt:lpstr>
      <vt:lpstr>dch501_2_1</vt:lpstr>
      <vt:lpstr>dch501_2_2</vt:lpstr>
      <vt:lpstr>dch501_2_3</vt:lpstr>
      <vt:lpstr>dch501_2_4</vt:lpstr>
      <vt:lpstr>dch501_2_5</vt:lpstr>
      <vt:lpstr>dch501_2_6</vt:lpstr>
      <vt:lpstr>dch502_1</vt:lpstr>
      <vt:lpstr>dch503_1_1</vt:lpstr>
      <vt:lpstr>dch503_1_2</vt:lpstr>
      <vt:lpstr>dch503_1_3</vt:lpstr>
      <vt:lpstr>dch503_1_4</vt:lpstr>
      <vt:lpstr>dch503_1_5</vt:lpstr>
      <vt:lpstr>dch503_1_6</vt:lpstr>
      <vt:lpstr>dch503_1_7</vt:lpstr>
      <vt:lpstr>dch503_2</vt:lpstr>
      <vt:lpstr>dch503_2_1</vt:lpstr>
      <vt:lpstr>dch503_2_2</vt:lpstr>
      <vt:lpstr>dch503_2_3</vt:lpstr>
      <vt:lpstr>dch503_2_4</vt:lpstr>
      <vt:lpstr>dch503_2_5</vt:lpstr>
      <vt:lpstr>dch503_3_1</vt:lpstr>
      <vt:lpstr>dch503_3_2_a</vt:lpstr>
      <vt:lpstr>dch503_3_2_b</vt:lpstr>
      <vt:lpstr>dch503_3_2_c</vt:lpstr>
      <vt:lpstr>dch503_3_2_d</vt:lpstr>
      <vt:lpstr>dch503_3_3</vt:lpstr>
      <vt:lpstr>dch503_4_1</vt:lpstr>
      <vt:lpstr>dch503_4_2</vt:lpstr>
      <vt:lpstr>dch503_4_3</vt:lpstr>
      <vt:lpstr>dch503_4_4</vt:lpstr>
      <vt:lpstr>dch503_5</vt:lpstr>
      <vt:lpstr>dch503_5_1</vt:lpstr>
      <vt:lpstr>dch503_5_10</vt:lpstr>
      <vt:lpstr>dch503_5_11</vt:lpstr>
      <vt:lpstr>dch503_5_12</vt:lpstr>
      <vt:lpstr>dch503_5_2</vt:lpstr>
      <vt:lpstr>dch503_5_3</vt:lpstr>
      <vt:lpstr>dch503_5_4</vt:lpstr>
      <vt:lpstr>dch503_5_5</vt:lpstr>
      <vt:lpstr>dch503_5_6</vt:lpstr>
      <vt:lpstr>dch503_5_7</vt:lpstr>
      <vt:lpstr>dch503_5_8</vt:lpstr>
      <vt:lpstr>dch503_5_9</vt:lpstr>
      <vt:lpstr>dch503_6_1</vt:lpstr>
      <vt:lpstr>dch503_6_2</vt:lpstr>
      <vt:lpstr>dch503_6_3</vt:lpstr>
      <vt:lpstr>dch503_6_4</vt:lpstr>
      <vt:lpstr>dch503_7_1</vt:lpstr>
      <vt:lpstr>dch503_7_2</vt:lpstr>
      <vt:lpstr>dch503_8</vt:lpstr>
      <vt:lpstr>dch504_1</vt:lpstr>
      <vt:lpstr>dch504_2_1</vt:lpstr>
      <vt:lpstr>dch504_2_2</vt:lpstr>
      <vt:lpstr>dch504_2_3</vt:lpstr>
      <vt:lpstr>dch504_3_1</vt:lpstr>
      <vt:lpstr>dch504_3_2</vt:lpstr>
      <vt:lpstr>dch504_3_3</vt:lpstr>
      <vt:lpstr>dch504_3_4</vt:lpstr>
      <vt:lpstr>dch504_3_5</vt:lpstr>
      <vt:lpstr>dch504_3_6</vt:lpstr>
      <vt:lpstr>dch504_3_7</vt:lpstr>
      <vt:lpstr>dch504_3_8a</vt:lpstr>
      <vt:lpstr>dch504_3_8b</vt:lpstr>
      <vt:lpstr>dch504_3_8c</vt:lpstr>
      <vt:lpstr>dch504_3_8d</vt:lpstr>
      <vt:lpstr>dch504_3_8e</vt:lpstr>
      <vt:lpstr>dch504_3_8f</vt:lpstr>
      <vt:lpstr>dch504_3_9</vt:lpstr>
      <vt:lpstr>dch505_1_1</vt:lpstr>
      <vt:lpstr>dch505_1_2</vt:lpstr>
      <vt:lpstr>dch505_1_3</vt:lpstr>
      <vt:lpstr>dch505_1_4</vt:lpstr>
      <vt:lpstr>dch505_2_1_a</vt:lpstr>
      <vt:lpstr>dch505_2_1_b</vt:lpstr>
      <vt:lpstr>dch505_2_1_c</vt:lpstr>
      <vt:lpstr>dch505_2_2</vt:lpstr>
      <vt:lpstr>dch505_3</vt:lpstr>
      <vt:lpstr>dch505_4</vt:lpstr>
      <vt:lpstr>dch505_5</vt:lpstr>
      <vt:lpstr>dch505_6</vt:lpstr>
      <vt:lpstr>dch601_2_1</vt:lpstr>
      <vt:lpstr>dch601_2_2</vt:lpstr>
      <vt:lpstr>dch601_2_3</vt:lpstr>
      <vt:lpstr>dch601_3_1</vt:lpstr>
      <vt:lpstr>dch601_3_2</vt:lpstr>
      <vt:lpstr>dch601_3_3</vt:lpstr>
      <vt:lpstr>dch601_3_4</vt:lpstr>
      <vt:lpstr>dch601_3_5</vt:lpstr>
      <vt:lpstr>dch601_4</vt:lpstr>
      <vt:lpstr>dch601_5_1</vt:lpstr>
      <vt:lpstr>dch601_5_2</vt:lpstr>
      <vt:lpstr>dch601_5_3</vt:lpstr>
      <vt:lpstr>dch601_5_4</vt:lpstr>
      <vt:lpstr>dch601_5_5</vt:lpstr>
      <vt:lpstr>dch601_6</vt:lpstr>
      <vt:lpstr>dch601_7_a</vt:lpstr>
      <vt:lpstr>dch601_7_b</vt:lpstr>
      <vt:lpstr>dch601_7_c</vt:lpstr>
      <vt:lpstr>dch601_7_d</vt:lpstr>
      <vt:lpstr>dch601_7_e</vt:lpstr>
      <vt:lpstr>dch601_8</vt:lpstr>
      <vt:lpstr>dch601_9</vt:lpstr>
      <vt:lpstr>dch602_1_1_1</vt:lpstr>
      <vt:lpstr>dch602_1_1_2</vt:lpstr>
      <vt:lpstr>dch602_1_10</vt:lpstr>
      <vt:lpstr>dch602_1_11</vt:lpstr>
      <vt:lpstr>dch602_1_12</vt:lpstr>
      <vt:lpstr>dch602_1_13</vt:lpstr>
      <vt:lpstr>dch602_1_14_1</vt:lpstr>
      <vt:lpstr>dch602_1_14_2</vt:lpstr>
      <vt:lpstr>dch602_1_14_3</vt:lpstr>
      <vt:lpstr>dch602_1_2__1</vt:lpstr>
      <vt:lpstr>dch602_1_2__2</vt:lpstr>
      <vt:lpstr>dch602_1_3_1</vt:lpstr>
      <vt:lpstr>dch602_1_3_2</vt:lpstr>
      <vt:lpstr>dch602_1_4_1_1</vt:lpstr>
      <vt:lpstr>dch602_1_4_1_2</vt:lpstr>
      <vt:lpstr>dch602_1_4_2_1</vt:lpstr>
      <vt:lpstr>dch602_1_4_2_2</vt:lpstr>
      <vt:lpstr>dch602_1_5</vt:lpstr>
      <vt:lpstr>dch602_1_5_1</vt:lpstr>
      <vt:lpstr>dch602_1_5_2</vt:lpstr>
      <vt:lpstr>dch602_1_6_1</vt:lpstr>
      <vt:lpstr>dch602_1_6_2</vt:lpstr>
      <vt:lpstr>dch602_1_6_3</vt:lpstr>
      <vt:lpstr>dch602_1_7_1_1</vt:lpstr>
      <vt:lpstr>dch602_1_7_1_2</vt:lpstr>
      <vt:lpstr>dch602_1_7_1_3</vt:lpstr>
      <vt:lpstr>dch602_1_7_2</vt:lpstr>
      <vt:lpstr>dch602_1_7_3</vt:lpstr>
      <vt:lpstr>dch602_1_8</vt:lpstr>
      <vt:lpstr>dch602_1_9_1</vt:lpstr>
      <vt:lpstr>dch602_1_9_2</vt:lpstr>
      <vt:lpstr>dch602_1_9_3</vt:lpstr>
      <vt:lpstr>dch602_1_9_4</vt:lpstr>
      <vt:lpstr>dch602_1_9_5</vt:lpstr>
      <vt:lpstr>dch602_1_9_6</vt:lpstr>
      <vt:lpstr>dch602_1_9_7</vt:lpstr>
      <vt:lpstr>dch602_2_1</vt:lpstr>
      <vt:lpstr>dch602_2_2</vt:lpstr>
      <vt:lpstr>dch602_2_3</vt:lpstr>
      <vt:lpstr>dch602_3</vt:lpstr>
      <vt:lpstr>dch602_4_1</vt:lpstr>
      <vt:lpstr>dch602_4_2</vt:lpstr>
      <vt:lpstr>dch602_4_3</vt:lpstr>
      <vt:lpstr>dch603_1</vt:lpstr>
      <vt:lpstr>dch603_2</vt:lpstr>
      <vt:lpstr>dch603_3</vt:lpstr>
      <vt:lpstr>dch604_1a</vt:lpstr>
      <vt:lpstr>dch604_1b</vt:lpstr>
      <vt:lpstr>dch604_1c</vt:lpstr>
      <vt:lpstr>dch604_1d</vt:lpstr>
      <vt:lpstr>dch605_1</vt:lpstr>
      <vt:lpstr>dch605_1_2</vt:lpstr>
      <vt:lpstr>dch605_2</vt:lpstr>
      <vt:lpstr>dch605_3_2_a</vt:lpstr>
      <vt:lpstr>dch605_3_2_b</vt:lpstr>
      <vt:lpstr>dch605_3_2_c</vt:lpstr>
      <vt:lpstr>dch605_3_2_d</vt:lpstr>
      <vt:lpstr>dch605_3_2_e</vt:lpstr>
      <vt:lpstr>dch605_3_2_f</vt:lpstr>
      <vt:lpstr>dch605_3_2_g</vt:lpstr>
      <vt:lpstr>dch605_3_2_h</vt:lpstr>
      <vt:lpstr>dch605_3_2_i</vt:lpstr>
      <vt:lpstr>dch606_1_a</vt:lpstr>
      <vt:lpstr>dch606_1_b</vt:lpstr>
      <vt:lpstr>dch606_1_c</vt:lpstr>
      <vt:lpstr>dch606_1_d</vt:lpstr>
      <vt:lpstr>dch606_1_e</vt:lpstr>
      <vt:lpstr>dch606_1_f</vt:lpstr>
      <vt:lpstr>dch606_1_g</vt:lpstr>
      <vt:lpstr>dch606_1_h</vt:lpstr>
      <vt:lpstr>dch606_2_1a</vt:lpstr>
      <vt:lpstr>dch606_2_1b</vt:lpstr>
      <vt:lpstr>dch606_2_2a</vt:lpstr>
      <vt:lpstr>dch606_2_2b</vt:lpstr>
      <vt:lpstr>dch606_3</vt:lpstr>
      <vt:lpstr>dch607_1_1</vt:lpstr>
      <vt:lpstr>dch607_1_2</vt:lpstr>
      <vt:lpstr>dch607_2</vt:lpstr>
      <vt:lpstr>dch608_1</vt:lpstr>
      <vt:lpstr>dch609_1a</vt:lpstr>
      <vt:lpstr>dch609_1b</vt:lpstr>
      <vt:lpstr>dch610_1_1_1</vt:lpstr>
      <vt:lpstr>dch610_1_1_2</vt:lpstr>
      <vt:lpstr>dch610_1_1_3</vt:lpstr>
      <vt:lpstr>dch610_1_2_1a</vt:lpstr>
      <vt:lpstr>dch610_1_2_1b</vt:lpstr>
      <vt:lpstr>dch610_1_2_2_f</vt:lpstr>
      <vt:lpstr>dch610_1_2_2a</vt:lpstr>
      <vt:lpstr>dch610_1_2_2b</vt:lpstr>
      <vt:lpstr>dch610_1_2_2c</vt:lpstr>
      <vt:lpstr>dch611_1</vt:lpstr>
      <vt:lpstr>dch611_2_1</vt:lpstr>
      <vt:lpstr>dch611_2_2</vt:lpstr>
      <vt:lpstr>dch611_2_3</vt:lpstr>
      <vt:lpstr>dch611_2_4</vt:lpstr>
      <vt:lpstr>dch611_2_5</vt:lpstr>
      <vt:lpstr>dch611_2_6</vt:lpstr>
      <vt:lpstr>dch611_2_7</vt:lpstr>
      <vt:lpstr>dch611_3_1</vt:lpstr>
      <vt:lpstr>dch611_3_2</vt:lpstr>
      <vt:lpstr>dch611_3_3</vt:lpstr>
      <vt:lpstr>dch611_3_4</vt:lpstr>
      <vt:lpstr>dch611_3_5</vt:lpstr>
      <vt:lpstr>dch611_3_6</vt:lpstr>
      <vt:lpstr>dch611_3_7</vt:lpstr>
      <vt:lpstr>dch611_3_8</vt:lpstr>
      <vt:lpstr>dch611_3_9</vt:lpstr>
      <vt:lpstr>dch611_4_1</vt:lpstr>
      <vt:lpstr>dch611_4_2</vt:lpstr>
      <vt:lpstr>dch701_1</vt:lpstr>
      <vt:lpstr>dch701_1_4</vt:lpstr>
      <vt:lpstr>dch701_3</vt:lpstr>
      <vt:lpstr>dch701_4_1</vt:lpstr>
      <vt:lpstr>dch701_4_1_1</vt:lpstr>
      <vt:lpstr>dch701_4_1_2</vt:lpstr>
      <vt:lpstr>dch701_4_2_2</vt:lpstr>
      <vt:lpstr>dch701_4_2_3</vt:lpstr>
      <vt:lpstr>dch701_4_3_1_1</vt:lpstr>
      <vt:lpstr>dch701_4_3_1_2</vt:lpstr>
      <vt:lpstr>dch701_4_3_2_1</vt:lpstr>
      <vt:lpstr>dch701_4_3_2_1_</vt:lpstr>
      <vt:lpstr>dch701_4_3_2_2</vt:lpstr>
      <vt:lpstr>dch701_4_3_2e</vt:lpstr>
      <vt:lpstr>dch701_4_3_3_4</vt:lpstr>
      <vt:lpstr>dch701_4_3_3_5</vt:lpstr>
      <vt:lpstr>dch701_4_4_1</vt:lpstr>
      <vt:lpstr>dch701_4_4_2</vt:lpstr>
      <vt:lpstr>dch701_4_5</vt:lpstr>
      <vt:lpstr>dch702_2_1</vt:lpstr>
      <vt:lpstr>dch702_2_2</vt:lpstr>
      <vt:lpstr>dch703_1_1</vt:lpstr>
      <vt:lpstr>dch703_1_2</vt:lpstr>
      <vt:lpstr>dch703_1_3</vt:lpstr>
      <vt:lpstr>dch703_2_1</vt:lpstr>
      <vt:lpstr>dch703_2_1_2</vt:lpstr>
      <vt:lpstr>dch703_2_2</vt:lpstr>
      <vt:lpstr>dch703_2_3</vt:lpstr>
      <vt:lpstr>dch703_2_5_1</vt:lpstr>
      <vt:lpstr>dch703_2_5_1_1</vt:lpstr>
      <vt:lpstr>dch703_2_5_2</vt:lpstr>
      <vt:lpstr>dch703_2_5_2_1</vt:lpstr>
      <vt:lpstr>dch703_3_0_1</vt:lpstr>
      <vt:lpstr>dch703_3_0_2</vt:lpstr>
      <vt:lpstr>dch703_3_1</vt:lpstr>
      <vt:lpstr>dch703_3_2__1_1</vt:lpstr>
      <vt:lpstr>dch703_3_2__2_1</vt:lpstr>
      <vt:lpstr>dch703_3_2__3_1</vt:lpstr>
      <vt:lpstr>dch703_3_2__4_1</vt:lpstr>
      <vt:lpstr>dch703_3_3__1_1</vt:lpstr>
      <vt:lpstr>dch703_3_3__3</vt:lpstr>
      <vt:lpstr>dch703_3_4_1_1</vt:lpstr>
      <vt:lpstr>dch703_3_4_1_5</vt:lpstr>
      <vt:lpstr>dch703_3_4_2</vt:lpstr>
      <vt:lpstr>dch703_3_5</vt:lpstr>
      <vt:lpstr>dch703_3_6</vt:lpstr>
      <vt:lpstr>dch703_3_7_1</vt:lpstr>
      <vt:lpstr>dch703_3_7_2</vt:lpstr>
      <vt:lpstr>dch703_3_8</vt:lpstr>
      <vt:lpstr>dch703_4_1</vt:lpstr>
      <vt:lpstr>dch703_4_2</vt:lpstr>
      <vt:lpstr>dch703_4_3_1</vt:lpstr>
      <vt:lpstr>dch703_4_3_2</vt:lpstr>
      <vt:lpstr>dch703_4_3_3</vt:lpstr>
      <vt:lpstr>dch703_4_4</vt:lpstr>
      <vt:lpstr>dch703_5_1</vt:lpstr>
      <vt:lpstr>dch703_5_1_1_a</vt:lpstr>
      <vt:lpstr>dch703_5_2</vt:lpstr>
      <vt:lpstr>dch703_5_3</vt:lpstr>
      <vt:lpstr>dch703_5_4</vt:lpstr>
      <vt:lpstr>dch703_5_5</vt:lpstr>
      <vt:lpstr>dch703_6_1_1</vt:lpstr>
      <vt:lpstr>dch703_6_1_2</vt:lpstr>
      <vt:lpstr>dch703_6_1_3</vt:lpstr>
      <vt:lpstr>dch703_6_2__1</vt:lpstr>
      <vt:lpstr>dch703_6_2__2</vt:lpstr>
      <vt:lpstr>dch703_6_2__3</vt:lpstr>
      <vt:lpstr>dch703_7_1</vt:lpstr>
      <vt:lpstr>dch703_7_2</vt:lpstr>
      <vt:lpstr>dch703_7_3_1_a</vt:lpstr>
      <vt:lpstr>dch703_7_3_1_b</vt:lpstr>
      <vt:lpstr>dch703_7_3_1_c</vt:lpstr>
      <vt:lpstr>dch703_7_3_1_d</vt:lpstr>
      <vt:lpstr>dch703_7_3_2</vt:lpstr>
      <vt:lpstr>dch703_7_3_3</vt:lpstr>
      <vt:lpstr>dch703_7_3_4</vt:lpstr>
      <vt:lpstr>dch703_7_3_5_a</vt:lpstr>
      <vt:lpstr>dch703_7_3_5_b</vt:lpstr>
      <vt:lpstr>dch703_7_3_6</vt:lpstr>
      <vt:lpstr>dch703_7_4</vt:lpstr>
      <vt:lpstr>dch704_2</vt:lpstr>
      <vt:lpstr>dch705_2_1_1</vt:lpstr>
      <vt:lpstr>dch705_2_1_2</vt:lpstr>
      <vt:lpstr>dch705_2_1_3_1</vt:lpstr>
      <vt:lpstr>dch705_2_1_3_2</vt:lpstr>
      <vt:lpstr>dch705_2_1_4</vt:lpstr>
      <vt:lpstr>dch705_2_2</vt:lpstr>
      <vt:lpstr>dch705_2_3</vt:lpstr>
      <vt:lpstr>dch705_2_4</vt:lpstr>
      <vt:lpstr>dch705_3</vt:lpstr>
      <vt:lpstr>dch705_4</vt:lpstr>
      <vt:lpstr>dch705_5_1</vt:lpstr>
      <vt:lpstr>dch705_5_2</vt:lpstr>
      <vt:lpstr>dch705_6_2_1_1</vt:lpstr>
      <vt:lpstr>dch705_6_2_1_2</vt:lpstr>
      <vt:lpstr>dch705_6_2_2</vt:lpstr>
      <vt:lpstr>dch705_6_2_3</vt:lpstr>
      <vt:lpstr>dch705_6_3</vt:lpstr>
      <vt:lpstr>'Ch7'!dch705_6_3_1</vt:lpstr>
      <vt:lpstr>dch705_6_3_1</vt:lpstr>
      <vt:lpstr>dch705_6_4_1</vt:lpstr>
      <vt:lpstr>dch705_6_4_2</vt:lpstr>
      <vt:lpstr>dch705_7</vt:lpstr>
      <vt:lpstr>dch706_1_1</vt:lpstr>
      <vt:lpstr>dch706_1_2</vt:lpstr>
      <vt:lpstr>dch706_1_3</vt:lpstr>
      <vt:lpstr>dch706_1_4</vt:lpstr>
      <vt:lpstr>dch706_1_5</vt:lpstr>
      <vt:lpstr>dch706_2_1</vt:lpstr>
      <vt:lpstr>dch706_2_2</vt:lpstr>
      <vt:lpstr>dch706_3_1</vt:lpstr>
      <vt:lpstr>dch706_3_2</vt:lpstr>
      <vt:lpstr>dch706_3_3</vt:lpstr>
      <vt:lpstr>dch706_3_4</vt:lpstr>
      <vt:lpstr>dch706_3_5</vt:lpstr>
      <vt:lpstr>dch706_3_6</vt:lpstr>
      <vt:lpstr>dch706_3_7</vt:lpstr>
      <vt:lpstr>dch706_3_8</vt:lpstr>
      <vt:lpstr>dch706_4_1_1</vt:lpstr>
      <vt:lpstr>dch706_4_1_2</vt:lpstr>
      <vt:lpstr>dch706_4_2</vt:lpstr>
      <vt:lpstr>dch706_5</vt:lpstr>
      <vt:lpstr>dch706_6</vt:lpstr>
      <vt:lpstr>dch706_7_1</vt:lpstr>
      <vt:lpstr>dch706_7_2</vt:lpstr>
      <vt:lpstr>dch706_8</vt:lpstr>
      <vt:lpstr>dch706_9</vt:lpstr>
      <vt:lpstr>dch801_1</vt:lpstr>
      <vt:lpstr>dch801_1_6</vt:lpstr>
      <vt:lpstr>dch801_2_1</vt:lpstr>
      <vt:lpstr>dch801_2_2</vt:lpstr>
      <vt:lpstr>dch801_3_1</vt:lpstr>
      <vt:lpstr>dch801_3_2</vt:lpstr>
      <vt:lpstr>dch801_3_3</vt:lpstr>
      <vt:lpstr>dch801_4_1_1</vt:lpstr>
      <vt:lpstr>dch801_4_1_2</vt:lpstr>
      <vt:lpstr>dch801_4_2</vt:lpstr>
      <vt:lpstr>dch801_5_2</vt:lpstr>
      <vt:lpstr>dch801_5_3</vt:lpstr>
      <vt:lpstr>dch801_5_4_a</vt:lpstr>
      <vt:lpstr>dch801_5_4_b</vt:lpstr>
      <vt:lpstr>dch801_5_4_c</vt:lpstr>
      <vt:lpstr>dch801_6_1</vt:lpstr>
      <vt:lpstr>dch801_6_2_1</vt:lpstr>
      <vt:lpstr>dch801_6_2_2</vt:lpstr>
      <vt:lpstr>dch801_6_2_3</vt:lpstr>
      <vt:lpstr>dch801_6_3</vt:lpstr>
      <vt:lpstr>dch801_6_4_1</vt:lpstr>
      <vt:lpstr>dch801_6_4_2</vt:lpstr>
      <vt:lpstr>dch801_6_4_3</vt:lpstr>
      <vt:lpstr>dch801_6_5</vt:lpstr>
      <vt:lpstr>dch801_7_1</vt:lpstr>
      <vt:lpstr>dch801_7_2_1</vt:lpstr>
      <vt:lpstr>dch801_7_2_2</vt:lpstr>
      <vt:lpstr>dch801_8</vt:lpstr>
      <vt:lpstr>dch802_1_1</vt:lpstr>
      <vt:lpstr>dch802_1_2</vt:lpstr>
      <vt:lpstr>dch802_2</vt:lpstr>
      <vt:lpstr>dch802_3_1</vt:lpstr>
      <vt:lpstr>dch802_3_2</vt:lpstr>
      <vt:lpstr>dch802_4</vt:lpstr>
      <vt:lpstr>dch802_5</vt:lpstr>
      <vt:lpstr>dch802_6</vt:lpstr>
      <vt:lpstr>dch901_1_1</vt:lpstr>
      <vt:lpstr>dch901_1_2</vt:lpstr>
      <vt:lpstr>dch901_1_3_1</vt:lpstr>
      <vt:lpstr>dch901_1_3_2</vt:lpstr>
      <vt:lpstr>dch901_1_4</vt:lpstr>
      <vt:lpstr>dch901_1_5</vt:lpstr>
      <vt:lpstr>dch901_1_6</vt:lpstr>
      <vt:lpstr>dch901_10_1</vt:lpstr>
      <vt:lpstr>dch901_10_2</vt:lpstr>
      <vt:lpstr>dch901_10_3</vt:lpstr>
      <vt:lpstr>dch901_11</vt:lpstr>
      <vt:lpstr>dch901_12</vt:lpstr>
      <vt:lpstr>dch901_13_1</vt:lpstr>
      <vt:lpstr>dch901_13_2</vt:lpstr>
      <vt:lpstr>dch901_14_1</vt:lpstr>
      <vt:lpstr>dch901_14_2</vt:lpstr>
      <vt:lpstr>dch901_2_1_1</vt:lpstr>
      <vt:lpstr>dch901_2_1_2</vt:lpstr>
      <vt:lpstr>dch901_2_1_3</vt:lpstr>
      <vt:lpstr>dch901_2_1_4</vt:lpstr>
      <vt:lpstr>dch901_2_1_5</vt:lpstr>
      <vt:lpstr>dch901_2_2</vt:lpstr>
      <vt:lpstr>dch901_3_1_a</vt:lpstr>
      <vt:lpstr>dch901_3_1_b</vt:lpstr>
      <vt:lpstr>dch901_3_1_c</vt:lpstr>
      <vt:lpstr>dch901_3_2</vt:lpstr>
      <vt:lpstr>dch901_4_1</vt:lpstr>
      <vt:lpstr>dch901_4_a</vt:lpstr>
      <vt:lpstr>dch901_4_b</vt:lpstr>
      <vt:lpstr>dch901_4_c</vt:lpstr>
      <vt:lpstr>dch901_4_d</vt:lpstr>
      <vt:lpstr>dch901_5_1</vt:lpstr>
      <vt:lpstr>dch901_5_2</vt:lpstr>
      <vt:lpstr>dch901_6</vt:lpstr>
      <vt:lpstr>dch901_7_1</vt:lpstr>
      <vt:lpstr>dch901_7_2</vt:lpstr>
      <vt:lpstr>dch901_7_3</vt:lpstr>
      <vt:lpstr>dch901_8</vt:lpstr>
      <vt:lpstr>dch901_9_1_1</vt:lpstr>
      <vt:lpstr>dch901_9_1_2</vt:lpstr>
      <vt:lpstr>dch901_9_1_3</vt:lpstr>
      <vt:lpstr>dch901_9_2</vt:lpstr>
      <vt:lpstr>dch901_9_3</vt:lpstr>
      <vt:lpstr>dch902_1_1</vt:lpstr>
      <vt:lpstr>dch902_1_1_a</vt:lpstr>
      <vt:lpstr>dch902_1_2</vt:lpstr>
      <vt:lpstr>dch902_1_2_</vt:lpstr>
      <vt:lpstr>dch902_1_2_2</vt:lpstr>
      <vt:lpstr>dch902_1_3</vt:lpstr>
      <vt:lpstr>dch902_1_3_</vt:lpstr>
      <vt:lpstr>dch902_1_4_1</vt:lpstr>
      <vt:lpstr>dch902_1_4_2</vt:lpstr>
      <vt:lpstr>dch902_1_5_1</vt:lpstr>
      <vt:lpstr>dch902_1_5_2</vt:lpstr>
      <vt:lpstr>dch902_1_5_3</vt:lpstr>
      <vt:lpstr>dch902_2_1</vt:lpstr>
      <vt:lpstr>dch902_2_2</vt:lpstr>
      <vt:lpstr>dch902_2_3</vt:lpstr>
      <vt:lpstr>dch902_2_4</vt:lpstr>
      <vt:lpstr>dch902_3_1</vt:lpstr>
      <vt:lpstr>dch902_3_2_a</vt:lpstr>
      <vt:lpstr>dch902_4_1</vt:lpstr>
      <vt:lpstr>dch902_4_2</vt:lpstr>
      <vt:lpstr>dch902_5</vt:lpstr>
      <vt:lpstr>dch902_6</vt:lpstr>
      <vt:lpstr>dch903_1</vt:lpstr>
      <vt:lpstr>dch903_2</vt:lpstr>
      <vt:lpstr>dch903_3_1</vt:lpstr>
      <vt:lpstr>dch903_3_2</vt:lpstr>
      <vt:lpstr>dch904_1</vt:lpstr>
      <vt:lpstr>dch904_2</vt:lpstr>
      <vt:lpstr>dch905_1</vt:lpstr>
      <vt:lpstr>dch905_2</vt:lpstr>
      <vt:lpstr>dd501_2_6</vt:lpstr>
      <vt:lpstr>dd503_2_3</vt:lpstr>
      <vt:lpstr>dd503_4_3</vt:lpstr>
      <vt:lpstr>dd503_4_4</vt:lpstr>
      <vt:lpstr>dd503_5</vt:lpstr>
      <vt:lpstr>dd503_5_1</vt:lpstr>
      <vt:lpstr>dd503_5_5</vt:lpstr>
      <vt:lpstr>dd503_8</vt:lpstr>
      <vt:lpstr>dd505_1_3</vt:lpstr>
      <vt:lpstr>dd505_1_4</vt:lpstr>
      <vt:lpstr>dd505_3</vt:lpstr>
      <vt:lpstr>dd601_6</vt:lpstr>
      <vt:lpstr>dd601_7_a</vt:lpstr>
      <vt:lpstr>dd601_7_b</vt:lpstr>
      <vt:lpstr>dd601_7_c</vt:lpstr>
      <vt:lpstr>dd601_7_d</vt:lpstr>
      <vt:lpstr>dd601_7_e</vt:lpstr>
      <vt:lpstr>dd602_1_10</vt:lpstr>
      <vt:lpstr>dd602_1_11</vt:lpstr>
      <vt:lpstr>dd602_1_13</vt:lpstr>
      <vt:lpstr>dd602_1_14_1</vt:lpstr>
      <vt:lpstr>dd602_1_4_1_2</vt:lpstr>
      <vt:lpstr>dd602_1_4_2_2</vt:lpstr>
      <vt:lpstr>dd602_1_5</vt:lpstr>
      <vt:lpstr>dd602_1_7_1_2</vt:lpstr>
      <vt:lpstr>dd602_1_8</vt:lpstr>
      <vt:lpstr>dd602_1_9_5</vt:lpstr>
      <vt:lpstr>dd606_1_a</vt:lpstr>
      <vt:lpstr>dd606_1_b</vt:lpstr>
      <vt:lpstr>dd606_1_c</vt:lpstr>
      <vt:lpstr>dd606_1_d</vt:lpstr>
      <vt:lpstr>dd606_1_e</vt:lpstr>
      <vt:lpstr>dd606_1_f</vt:lpstr>
      <vt:lpstr>dd606_1_g</vt:lpstr>
      <vt:lpstr>dd606_1_h</vt:lpstr>
      <vt:lpstr>dd606_2_1a</vt:lpstr>
      <vt:lpstr>dd606_2_1b</vt:lpstr>
      <vt:lpstr>dd606_2_2a</vt:lpstr>
      <vt:lpstr>dd606_2_2b</vt:lpstr>
      <vt:lpstr>dd606_3</vt:lpstr>
      <vt:lpstr>dd608_1</vt:lpstr>
      <vt:lpstr>dd609_1a</vt:lpstr>
      <vt:lpstr>dd609_1b</vt:lpstr>
      <vt:lpstr>dd610_1_2_1a</vt:lpstr>
      <vt:lpstr>dd610_1_2_1b</vt:lpstr>
      <vt:lpstr>dd610_1_2_2_f</vt:lpstr>
      <vt:lpstr>dd610_1_2_2a</vt:lpstr>
      <vt:lpstr>dd610_1_2_2b</vt:lpstr>
      <vt:lpstr>dd610_1_2_2c</vt:lpstr>
      <vt:lpstr>dd611_1</vt:lpstr>
      <vt:lpstr>dd701_1</vt:lpstr>
      <vt:lpstr>dd701_1_4</vt:lpstr>
      <vt:lpstr>dd701_4_1_2</vt:lpstr>
      <vt:lpstr>dd701_4_3_3_5</vt:lpstr>
      <vt:lpstr>dd703_2_5_1_1</vt:lpstr>
      <vt:lpstr>dd703_2_5_2</vt:lpstr>
      <vt:lpstr>dd703_2_5_2_1</vt:lpstr>
      <vt:lpstr>dd703_3_0_1</vt:lpstr>
      <vt:lpstr>dd703_3_0_2</vt:lpstr>
      <vt:lpstr>dd703_4_4</vt:lpstr>
      <vt:lpstr>dd703_5_1</vt:lpstr>
      <vt:lpstr>dd705_2_1_1</vt:lpstr>
      <vt:lpstr>dd705_2_1_3_1</vt:lpstr>
      <vt:lpstr>dd705_2_1_3_2</vt:lpstr>
      <vt:lpstr>dd705_2_1_4</vt:lpstr>
      <vt:lpstr>dd705_6_2_3</vt:lpstr>
      <vt:lpstr>dd706_2_2</vt:lpstr>
      <vt:lpstr>dd801_1</vt:lpstr>
      <vt:lpstr>dd801_2_2</vt:lpstr>
      <vt:lpstr>dd801_3_1</vt:lpstr>
      <vt:lpstr>dd801_3_2</vt:lpstr>
      <vt:lpstr>dd801_3_3</vt:lpstr>
      <vt:lpstr>dd801_4_1_1</vt:lpstr>
      <vt:lpstr>dd801_4_2</vt:lpstr>
      <vt:lpstr>dd801_5_2</vt:lpstr>
      <vt:lpstr>dd801_5_4_a</vt:lpstr>
      <vt:lpstr>dd801_6_3</vt:lpstr>
      <vt:lpstr>dd801_7_1</vt:lpstr>
      <vt:lpstr>dd801_7_2_1</vt:lpstr>
      <vt:lpstr>dd802_1_1</vt:lpstr>
      <vt:lpstr>dd901_1_3_1</vt:lpstr>
      <vt:lpstr>dd901_1_3_2</vt:lpstr>
      <vt:lpstr>dd901_1_4</vt:lpstr>
      <vt:lpstr>dd901_1_6</vt:lpstr>
      <vt:lpstr>dd901_12</vt:lpstr>
      <vt:lpstr>dd901_2_1_1</vt:lpstr>
      <vt:lpstr>dd901_2_1_2</vt:lpstr>
      <vt:lpstr>dd901_2_1_3</vt:lpstr>
      <vt:lpstr>dd901_2_1_4</vt:lpstr>
      <vt:lpstr>dd901_2_1_5</vt:lpstr>
      <vt:lpstr>dd901_3_1_a</vt:lpstr>
      <vt:lpstr>dd901_3_1_b</vt:lpstr>
      <vt:lpstr>dd901_4_1</vt:lpstr>
      <vt:lpstr>dd901_4_a</vt:lpstr>
      <vt:lpstr>dd901_4_b</vt:lpstr>
      <vt:lpstr>dd901_4_c</vt:lpstr>
      <vt:lpstr>dd901_4_d</vt:lpstr>
      <vt:lpstr>dd902_1_2_</vt:lpstr>
      <vt:lpstr>dd902_2_1</vt:lpstr>
      <vt:lpstr>dd902_3_1</vt:lpstr>
      <vt:lpstr>dd903_1</vt:lpstr>
      <vt:lpstr>dd903_2</vt:lpstr>
      <vt:lpstr>ddAttachedGarage</vt:lpstr>
      <vt:lpstr>ddAttic</vt:lpstr>
      <vt:lpstr>ddBuildingCode</vt:lpstr>
      <vt:lpstr>ddCDucts</vt:lpstr>
      <vt:lpstr>ddCool1</vt:lpstr>
      <vt:lpstr>ddCool2</vt:lpstr>
      <vt:lpstr>ddCool3</vt:lpstr>
      <vt:lpstr>ddCToilet</vt:lpstr>
      <vt:lpstr>ddDuctless</vt:lpstr>
      <vt:lpstr>ddEnergyCode</vt:lpstr>
      <vt:lpstr>ddFoundation</vt:lpstr>
      <vt:lpstr>ddFuel</vt:lpstr>
      <vt:lpstr>ddHDucts</vt:lpstr>
      <vt:lpstr>ddHeat1</vt:lpstr>
      <vt:lpstr>ddHeat2</vt:lpstr>
      <vt:lpstr>ddHeat3</vt:lpstr>
      <vt:lpstr>ddMassWalls</vt:lpstr>
      <vt:lpstr>ddPassiveSolar</vt:lpstr>
      <vt:lpstr>ddRadiantHydronic</vt:lpstr>
      <vt:lpstr>ddRecessedLighting</vt:lpstr>
      <vt:lpstr>ddRenewable</vt:lpstr>
      <vt:lpstr>ddSingleOrMulti</vt:lpstr>
      <vt:lpstr>ddTEInsulation</vt:lpstr>
      <vt:lpstr>ddTLWH</vt:lpstr>
      <vt:lpstr>desGoalLevel</vt:lpstr>
      <vt:lpstr>dnt1001_1_1</vt:lpstr>
      <vt:lpstr>dnt1001_1_10</vt:lpstr>
      <vt:lpstr>dnt1001_1_11</vt:lpstr>
      <vt:lpstr>dnt1001_1_12</vt:lpstr>
      <vt:lpstr>dnt1001_1_13</vt:lpstr>
      <vt:lpstr>dnt1001_1_14</vt:lpstr>
      <vt:lpstr>dnt1001_1_15</vt:lpstr>
      <vt:lpstr>dnt1001_1_16</vt:lpstr>
      <vt:lpstr>dnt1001_1_17</vt:lpstr>
      <vt:lpstr>dnt1001_1_18</vt:lpstr>
      <vt:lpstr>dnt1001_1_19</vt:lpstr>
      <vt:lpstr>dnt1001_1_2</vt:lpstr>
      <vt:lpstr>dnt1001_1_20</vt:lpstr>
      <vt:lpstr>dnt1001_1_21</vt:lpstr>
      <vt:lpstr>dnt1001_1_22</vt:lpstr>
      <vt:lpstr>dnt1001_1_23</vt:lpstr>
      <vt:lpstr>dnt1001_1_24</vt:lpstr>
      <vt:lpstr>dnt1001_1_3</vt:lpstr>
      <vt:lpstr>dnt1001_1_4</vt:lpstr>
      <vt:lpstr>dnt1001_1_5</vt:lpstr>
      <vt:lpstr>dnt1001_1_6</vt:lpstr>
      <vt:lpstr>dnt1001_1_7</vt:lpstr>
      <vt:lpstr>dnt1001_1_8</vt:lpstr>
      <vt:lpstr>dnt1001_1_9</vt:lpstr>
      <vt:lpstr>dnt1001_2</vt:lpstr>
      <vt:lpstr>dnt1002_1_1</vt:lpstr>
      <vt:lpstr>dnt1002_1_2</vt:lpstr>
      <vt:lpstr>dnt1002_1_3</vt:lpstr>
      <vt:lpstr>dnt1002_1_4</vt:lpstr>
      <vt:lpstr>dnt1002_1_5</vt:lpstr>
      <vt:lpstr>dnt1002_1_6</vt:lpstr>
      <vt:lpstr>dnt1002_1_7</vt:lpstr>
      <vt:lpstr>dnt1002_1_8</vt:lpstr>
      <vt:lpstr>dnt1002_2_1</vt:lpstr>
      <vt:lpstr>dnt1002_2_10</vt:lpstr>
      <vt:lpstr>dnt1002_2_11</vt:lpstr>
      <vt:lpstr>dnt1002_2_2</vt:lpstr>
      <vt:lpstr>dnt1002_2_3</vt:lpstr>
      <vt:lpstr>dnt1002_2_4</vt:lpstr>
      <vt:lpstr>dnt1002_2_5</vt:lpstr>
      <vt:lpstr>dnt1002_2_6</vt:lpstr>
      <vt:lpstr>dnt1002_2_7</vt:lpstr>
      <vt:lpstr>dnt1002_2_8</vt:lpstr>
      <vt:lpstr>dnt1002_2_9</vt:lpstr>
      <vt:lpstr>dnt1002_3_1</vt:lpstr>
      <vt:lpstr>dnt1002_3_10</vt:lpstr>
      <vt:lpstr>dnt1002_3_2</vt:lpstr>
      <vt:lpstr>dnt1002_3_3</vt:lpstr>
      <vt:lpstr>dnt1002_3_4</vt:lpstr>
      <vt:lpstr>dnt1002_3_5</vt:lpstr>
      <vt:lpstr>dnt1002_3_6</vt:lpstr>
      <vt:lpstr>dnt1002_3_7</vt:lpstr>
      <vt:lpstr>dnt1002_3_8</vt:lpstr>
      <vt:lpstr>dnt1002_3_9</vt:lpstr>
      <vt:lpstr>dnt1002_4</vt:lpstr>
      <vt:lpstr>dnt1003_1_1</vt:lpstr>
      <vt:lpstr>dnt1003_1_2</vt:lpstr>
      <vt:lpstr>dnt1003_1_3</vt:lpstr>
      <vt:lpstr>dnt1004_1_1</vt:lpstr>
      <vt:lpstr>dnt1004_1_2</vt:lpstr>
      <vt:lpstr>dnt501_1</vt:lpstr>
      <vt:lpstr>dnt501_2</vt:lpstr>
      <vt:lpstr>dnt501_2_1</vt:lpstr>
      <vt:lpstr>dnt501_2_2</vt:lpstr>
      <vt:lpstr>dnt501_2_3</vt:lpstr>
      <vt:lpstr>dnt501_2_4</vt:lpstr>
      <vt:lpstr>dnt501_2_5</vt:lpstr>
      <vt:lpstr>dnt501_2_6</vt:lpstr>
      <vt:lpstr>dnt502_1</vt:lpstr>
      <vt:lpstr>dnt503_0</vt:lpstr>
      <vt:lpstr>dnt503_1</vt:lpstr>
      <vt:lpstr>dnt503_2</vt:lpstr>
      <vt:lpstr>dnt503_3</vt:lpstr>
      <vt:lpstr>dnt503_4</vt:lpstr>
      <vt:lpstr>dnt503_4_1</vt:lpstr>
      <vt:lpstr>dnt503_4_2</vt:lpstr>
      <vt:lpstr>dnt503_4_3</vt:lpstr>
      <vt:lpstr>dnt503_4_4</vt:lpstr>
      <vt:lpstr>dnt503_5</vt:lpstr>
      <vt:lpstr>dnt503_5_1</vt:lpstr>
      <vt:lpstr>dnt503_5_10</vt:lpstr>
      <vt:lpstr>dnt503_5_11</vt:lpstr>
      <vt:lpstr>dnt503_5_12</vt:lpstr>
      <vt:lpstr>dnt503_5_2</vt:lpstr>
      <vt:lpstr>dnt503_5_3</vt:lpstr>
      <vt:lpstr>dnt503_5_4</vt:lpstr>
      <vt:lpstr>dnt503_5_5</vt:lpstr>
      <vt:lpstr>dnt503_5_6</vt:lpstr>
      <vt:lpstr>dnt503_5_7</vt:lpstr>
      <vt:lpstr>dnt503_5_8</vt:lpstr>
      <vt:lpstr>dnt503_5_9</vt:lpstr>
      <vt:lpstr>dnt503_6</vt:lpstr>
      <vt:lpstr>dnt503_7</vt:lpstr>
      <vt:lpstr>dnt503_8</vt:lpstr>
      <vt:lpstr>dnt504_1</vt:lpstr>
      <vt:lpstr>dnt504_2</vt:lpstr>
      <vt:lpstr>dnt504_3</vt:lpstr>
      <vt:lpstr>dnt504_3_1</vt:lpstr>
      <vt:lpstr>dnt504_3_2</vt:lpstr>
      <vt:lpstr>dnt504_3_3</vt:lpstr>
      <vt:lpstr>dnt504_3_4</vt:lpstr>
      <vt:lpstr>dnt504_3_5</vt:lpstr>
      <vt:lpstr>dnt504_3_6</vt:lpstr>
      <vt:lpstr>dnt504_3_7</vt:lpstr>
      <vt:lpstr>dnt504_3_8</vt:lpstr>
      <vt:lpstr>dnt504_3_9</vt:lpstr>
      <vt:lpstr>dnt505_1_1</vt:lpstr>
      <vt:lpstr>dnt505_1_2</vt:lpstr>
      <vt:lpstr>dnt505_1_3</vt:lpstr>
      <vt:lpstr>dnt505_1_4</vt:lpstr>
      <vt:lpstr>dnt505_2_1</vt:lpstr>
      <vt:lpstr>dnt505_2_2</vt:lpstr>
      <vt:lpstr>dnt505_3</vt:lpstr>
      <vt:lpstr>dnt505_4</vt:lpstr>
      <vt:lpstr>dnt505_5</vt:lpstr>
      <vt:lpstr>dnt505_6</vt:lpstr>
      <vt:lpstr>dnt601_1</vt:lpstr>
      <vt:lpstr>dnt601_2_1</vt:lpstr>
      <vt:lpstr>dnt601_2_2</vt:lpstr>
      <vt:lpstr>dnt601_2_3</vt:lpstr>
      <vt:lpstr>dnt601_3_1</vt:lpstr>
      <vt:lpstr>dnt601_3_2</vt:lpstr>
      <vt:lpstr>dnt601_3_3</vt:lpstr>
      <vt:lpstr>dnt601_3_4</vt:lpstr>
      <vt:lpstr>dnt601_3_5</vt:lpstr>
      <vt:lpstr>dnt601_4</vt:lpstr>
      <vt:lpstr>dnt601_5_1</vt:lpstr>
      <vt:lpstr>dnt601_5_2</vt:lpstr>
      <vt:lpstr>dnt601_5_3</vt:lpstr>
      <vt:lpstr>dnt601_5_4</vt:lpstr>
      <vt:lpstr>dnt601_5_5</vt:lpstr>
      <vt:lpstr>dnt601_6</vt:lpstr>
      <vt:lpstr>dnt601_7</vt:lpstr>
      <vt:lpstr>dnt601_8</vt:lpstr>
      <vt:lpstr>dnt601_9</vt:lpstr>
      <vt:lpstr>dnt602_1_1_1</vt:lpstr>
      <vt:lpstr>dnt602_1_1_2</vt:lpstr>
      <vt:lpstr>dnt602_1_10</vt:lpstr>
      <vt:lpstr>dnt602_1_11</vt:lpstr>
      <vt:lpstr>dnt602_1_12</vt:lpstr>
      <vt:lpstr>dnt602_1_13</vt:lpstr>
      <vt:lpstr>dnt602_1_14_1</vt:lpstr>
      <vt:lpstr>dnt602_1_14_2</vt:lpstr>
      <vt:lpstr>dnt602_1_14_3</vt:lpstr>
      <vt:lpstr>dnt602_1_2</vt:lpstr>
      <vt:lpstr>dnt602_1_3_1</vt:lpstr>
      <vt:lpstr>dnt602_1_3_2</vt:lpstr>
      <vt:lpstr>dnt602_1_4_1_1</vt:lpstr>
      <vt:lpstr>dnt602_1_4_1_2</vt:lpstr>
      <vt:lpstr>dnt602_1_4_2_1</vt:lpstr>
      <vt:lpstr>dnt602_1_4_2_2</vt:lpstr>
      <vt:lpstr>dnt602_1_5</vt:lpstr>
      <vt:lpstr>dnt602_1_6_1</vt:lpstr>
      <vt:lpstr>dnt602_1_7_1_1</vt:lpstr>
      <vt:lpstr>dnt602_1_7_1_2</vt:lpstr>
      <vt:lpstr>dnt602_1_7_1_3</vt:lpstr>
      <vt:lpstr>dnt602_1_7_2</vt:lpstr>
      <vt:lpstr>dnt602_1_7_3</vt:lpstr>
      <vt:lpstr>dnt602_1_8</vt:lpstr>
      <vt:lpstr>dnt602_1_9_1</vt:lpstr>
      <vt:lpstr>dnt602_1_9_2</vt:lpstr>
      <vt:lpstr>dnt602_1_9_3</vt:lpstr>
      <vt:lpstr>dnt602_1_9_4</vt:lpstr>
      <vt:lpstr>dnt602_1_9_5</vt:lpstr>
      <vt:lpstr>dnt602_1_9_6</vt:lpstr>
      <vt:lpstr>dnt602_1_9_7</vt:lpstr>
      <vt:lpstr>dnt602_2_1</vt:lpstr>
      <vt:lpstr>dnt602_2_2</vt:lpstr>
      <vt:lpstr>dnt602_2_3</vt:lpstr>
      <vt:lpstr>dnt602_3</vt:lpstr>
      <vt:lpstr>dnt602_4_1</vt:lpstr>
      <vt:lpstr>dnt602_4_2</vt:lpstr>
      <vt:lpstr>dnt602_4_3</vt:lpstr>
      <vt:lpstr>dnt603_1</vt:lpstr>
      <vt:lpstr>dnt603_2</vt:lpstr>
      <vt:lpstr>dnt603_3</vt:lpstr>
      <vt:lpstr>dnt604_1a</vt:lpstr>
      <vt:lpstr>dnt604_1b</vt:lpstr>
      <vt:lpstr>dnt604_1c</vt:lpstr>
      <vt:lpstr>dnt604_1d</vt:lpstr>
      <vt:lpstr>dnt605_1</vt:lpstr>
      <vt:lpstr>dnt605_2</vt:lpstr>
      <vt:lpstr>dnt605_3_2_a</vt:lpstr>
      <vt:lpstr>dnt605_3_2_h</vt:lpstr>
      <vt:lpstr>dnt605_3_2_i</vt:lpstr>
      <vt:lpstr>dnt606_1_a</vt:lpstr>
      <vt:lpstr>dnt606_2_1a</vt:lpstr>
      <vt:lpstr>dnt606_2_1b</vt:lpstr>
      <vt:lpstr>dnt606_2_2a</vt:lpstr>
      <vt:lpstr>dnt606_2_2b</vt:lpstr>
      <vt:lpstr>dnt606_3</vt:lpstr>
      <vt:lpstr>dnt607_1_1</vt:lpstr>
      <vt:lpstr>dnt607_1_2</vt:lpstr>
      <vt:lpstr>dnt607_2</vt:lpstr>
      <vt:lpstr>dnt608_1</vt:lpstr>
      <vt:lpstr>dnt609_1a</vt:lpstr>
      <vt:lpstr>dnt609_1b</vt:lpstr>
      <vt:lpstr>dnt610_1_1_1</vt:lpstr>
      <vt:lpstr>dnt610_1_1_2</vt:lpstr>
      <vt:lpstr>dnt610_1_1_3</vt:lpstr>
      <vt:lpstr>dnt610_1_2_1</vt:lpstr>
      <vt:lpstr>dnt610_1_2_1_e</vt:lpstr>
      <vt:lpstr>dnt610_1_2_2_e</vt:lpstr>
      <vt:lpstr>dnt610_1_2_2a</vt:lpstr>
      <vt:lpstr>dnt610_1_2_2b</vt:lpstr>
      <vt:lpstr>dnt610_1_2_2c</vt:lpstr>
      <vt:lpstr>dnt611_1</vt:lpstr>
      <vt:lpstr>dnt611_2_1</vt:lpstr>
      <vt:lpstr>dnt611_2_2</vt:lpstr>
      <vt:lpstr>dnt611_2_3</vt:lpstr>
      <vt:lpstr>dnt611_2_4</vt:lpstr>
      <vt:lpstr>dnt611_2_5</vt:lpstr>
      <vt:lpstr>dnt611_2_6</vt:lpstr>
      <vt:lpstr>dnt611_2_7</vt:lpstr>
      <vt:lpstr>dnt611_3_1</vt:lpstr>
      <vt:lpstr>dnt611_3_2</vt:lpstr>
      <vt:lpstr>dnt611_3_3</vt:lpstr>
      <vt:lpstr>dnt611_3_4</vt:lpstr>
      <vt:lpstr>dnt611_3_5</vt:lpstr>
      <vt:lpstr>dnt611_3_6</vt:lpstr>
      <vt:lpstr>dnt611_3_7</vt:lpstr>
      <vt:lpstr>dnt611_3_8</vt:lpstr>
      <vt:lpstr>dnt611_3_9</vt:lpstr>
      <vt:lpstr>dnt611_4_1</vt:lpstr>
      <vt:lpstr>dnt611_4_2</vt:lpstr>
      <vt:lpstr>dnt701_1_1</vt:lpstr>
      <vt:lpstr>dnt701_1_2</vt:lpstr>
      <vt:lpstr>dnt701_1_3</vt:lpstr>
      <vt:lpstr>dnt701_1_4</vt:lpstr>
      <vt:lpstr>dnt701_3</vt:lpstr>
      <vt:lpstr>dnt701_4_1</vt:lpstr>
      <vt:lpstr>dnt701_4_1_1</vt:lpstr>
      <vt:lpstr>dnt701_4_1_2</vt:lpstr>
      <vt:lpstr>dnt701_4_2_2</vt:lpstr>
      <vt:lpstr>dnt701_4_2_3</vt:lpstr>
      <vt:lpstr>dnt701_4_3_1</vt:lpstr>
      <vt:lpstr>dnt701_4_3_1_a</vt:lpstr>
      <vt:lpstr>dnt701_4_3_1_b</vt:lpstr>
      <vt:lpstr>dnt701_4_3_1_c</vt:lpstr>
      <vt:lpstr>dnt701_4_3_1_d</vt:lpstr>
      <vt:lpstr>dnt701_4_3_1_e</vt:lpstr>
      <vt:lpstr>dnt701_4_3_1_f</vt:lpstr>
      <vt:lpstr>dnt701_4_3_1_g</vt:lpstr>
      <vt:lpstr>dnt701_4_3_1_h</vt:lpstr>
      <vt:lpstr>dnt701_4_3_1_i</vt:lpstr>
      <vt:lpstr>dnt701_4_3_1_j</vt:lpstr>
      <vt:lpstr>dnt701_4_3_1_k</vt:lpstr>
      <vt:lpstr>dnt701_4_3_1_l</vt:lpstr>
      <vt:lpstr>dnt701_4_3_2_1_</vt:lpstr>
      <vt:lpstr>dnt701_4_3_2_1_1</vt:lpstr>
      <vt:lpstr>dnt701_4_3_2_1_10</vt:lpstr>
      <vt:lpstr>dnt701_4_3_2_1_11</vt:lpstr>
      <vt:lpstr>dnt701_4_3_2_1_2</vt:lpstr>
      <vt:lpstr>dnt701_4_3_2_1_3</vt:lpstr>
      <vt:lpstr>dnt701_4_3_2_1_4</vt:lpstr>
      <vt:lpstr>dnt701_4_3_2_1_5</vt:lpstr>
      <vt:lpstr>dnt701_4_3_2_1_6</vt:lpstr>
      <vt:lpstr>dnt701_4_3_2_1_7</vt:lpstr>
      <vt:lpstr>dnt701_4_3_2_1_8</vt:lpstr>
      <vt:lpstr>dnt701_4_3_2_1_9</vt:lpstr>
      <vt:lpstr>dnt701_4_3_2_1_a</vt:lpstr>
      <vt:lpstr>dnt701_4_3_2_1_b</vt:lpstr>
      <vt:lpstr>dnt701_4_3_2_1_c</vt:lpstr>
      <vt:lpstr>dnt701_4_3_2_1_d</vt:lpstr>
      <vt:lpstr>dnt701_4_3_2_1_e</vt:lpstr>
      <vt:lpstr>dnt701_4_3_2_1_f</vt:lpstr>
      <vt:lpstr>dnt701_4_3_2_1_g</vt:lpstr>
      <vt:lpstr>dnt701_4_3_2_1_h</vt:lpstr>
      <vt:lpstr>dnt701_4_3_2_2</vt:lpstr>
      <vt:lpstr>dnt701_4_3_2e</vt:lpstr>
      <vt:lpstr>dnt701_4_3_3_3</vt:lpstr>
      <vt:lpstr>dnt701_4_3_3_4</vt:lpstr>
      <vt:lpstr>dnt701_4_3_3_5</vt:lpstr>
      <vt:lpstr>dnt701_4_4_1</vt:lpstr>
      <vt:lpstr>dnt701_4_4_2</vt:lpstr>
      <vt:lpstr>dnt701_4_5</vt:lpstr>
      <vt:lpstr>dnt702_2_1</vt:lpstr>
      <vt:lpstr>dnt702_2_2</vt:lpstr>
      <vt:lpstr>dnt702_2_2_m</vt:lpstr>
      <vt:lpstr>dnt702_2_3</vt:lpstr>
      <vt:lpstr>dnt703_1_1</vt:lpstr>
      <vt:lpstr>dnt703_1_2</vt:lpstr>
      <vt:lpstr>dnt703_1_3</vt:lpstr>
      <vt:lpstr>dnt703_2_1</vt:lpstr>
      <vt:lpstr>dnt703_2_2</vt:lpstr>
      <vt:lpstr>dnt703_2_3</vt:lpstr>
      <vt:lpstr>dnt703_2_4</vt:lpstr>
      <vt:lpstr>dnt703_2_5_1</vt:lpstr>
      <vt:lpstr>dnt703_2_5_1_1</vt:lpstr>
      <vt:lpstr>dnt703_2_5_2</vt:lpstr>
      <vt:lpstr>dnt703_2_5_2_1</vt:lpstr>
      <vt:lpstr>dnt703_3_0_1</vt:lpstr>
      <vt:lpstr>dnt703_3_0_2</vt:lpstr>
      <vt:lpstr>dnt703_3_1</vt:lpstr>
      <vt:lpstr>dnt703_3_2__1</vt:lpstr>
      <vt:lpstr>dnt703_3_2__2</vt:lpstr>
      <vt:lpstr>dnt703_3_2__3</vt:lpstr>
      <vt:lpstr>dnt703_3_2__4</vt:lpstr>
      <vt:lpstr>dnt703_3_3__1</vt:lpstr>
      <vt:lpstr>dnt703_3_3__3</vt:lpstr>
      <vt:lpstr>dnt703_3_4_1</vt:lpstr>
      <vt:lpstr>dnt703_3_4_1_5</vt:lpstr>
      <vt:lpstr>dnt703_3_4_2</vt:lpstr>
      <vt:lpstr>dnt703_3_5</vt:lpstr>
      <vt:lpstr>dnt703_3_6</vt:lpstr>
      <vt:lpstr>dnt703_3_7_1</vt:lpstr>
      <vt:lpstr>dnt703_3_8</vt:lpstr>
      <vt:lpstr>dnt703_4_1</vt:lpstr>
      <vt:lpstr>dnt703_4_2</vt:lpstr>
      <vt:lpstr>dnt703_4_3_1</vt:lpstr>
      <vt:lpstr>dnt703_4_3_2</vt:lpstr>
      <vt:lpstr>dnt703_4_3_3</vt:lpstr>
      <vt:lpstr>dnt703_4_4</vt:lpstr>
      <vt:lpstr>dnt703_5_1</vt:lpstr>
      <vt:lpstr>dnt703_5_2</vt:lpstr>
      <vt:lpstr>dnt703_5_3</vt:lpstr>
      <vt:lpstr>dnt703_5_4</vt:lpstr>
      <vt:lpstr>dnt703_5_5</vt:lpstr>
      <vt:lpstr>dnt703_6_1_1</vt:lpstr>
      <vt:lpstr>dnt703_6_1_2</vt:lpstr>
      <vt:lpstr>dnt703_6_1_3</vt:lpstr>
      <vt:lpstr>dnt703_6_2__1</vt:lpstr>
      <vt:lpstr>dnt703_6_2__2</vt:lpstr>
      <vt:lpstr>dnt703_6_2__3</vt:lpstr>
      <vt:lpstr>dnt703_7_1</vt:lpstr>
      <vt:lpstr>dnt703_7_1_1</vt:lpstr>
      <vt:lpstr>dnt703_7_1_2</vt:lpstr>
      <vt:lpstr>dnt703_7_1_3</vt:lpstr>
      <vt:lpstr>dnt703_7_1_4</vt:lpstr>
      <vt:lpstr>dnt703_7_1_5</vt:lpstr>
      <vt:lpstr>dnt703_7_1_6_a</vt:lpstr>
      <vt:lpstr>dnt703_7_1_6_b</vt:lpstr>
      <vt:lpstr>dnt703_7_1_6_c</vt:lpstr>
      <vt:lpstr>dnt703_7_1_7</vt:lpstr>
      <vt:lpstr>dnt703_7_1_8</vt:lpstr>
      <vt:lpstr>dnt703_7_1_9</vt:lpstr>
      <vt:lpstr>dnt703_7_2</vt:lpstr>
      <vt:lpstr>dnt703_7_3_1_a</vt:lpstr>
      <vt:lpstr>dnt703_7_3_1_b</vt:lpstr>
      <vt:lpstr>dnt703_7_3_1_c</vt:lpstr>
      <vt:lpstr>dnt703_7_3_1_d</vt:lpstr>
      <vt:lpstr>dnt703_7_3_2</vt:lpstr>
      <vt:lpstr>dnt703_7_3_3</vt:lpstr>
      <vt:lpstr>dnt703_7_3_4</vt:lpstr>
      <vt:lpstr>dnt703_7_3_5_a</vt:lpstr>
      <vt:lpstr>dnt703_7_3_5_b</vt:lpstr>
      <vt:lpstr>dnt703_7_3_6</vt:lpstr>
      <vt:lpstr>dnt703_7_4_1</vt:lpstr>
      <vt:lpstr>dnt703_7_4_2_a</vt:lpstr>
      <vt:lpstr>dnt703_7_4_2_b</vt:lpstr>
      <vt:lpstr>dnt703_7_4_2_c</vt:lpstr>
      <vt:lpstr>dnt703_7_4_3</vt:lpstr>
      <vt:lpstr>dnt704_1</vt:lpstr>
      <vt:lpstr>dnt705_2_1_1</vt:lpstr>
      <vt:lpstr>dnt705_2_1_2</vt:lpstr>
      <vt:lpstr>dnt705_2_1_3_1</vt:lpstr>
      <vt:lpstr>dnt705_2_1_3_2</vt:lpstr>
      <vt:lpstr>dnt705_2_1_4</vt:lpstr>
      <vt:lpstr>dnt705_2_2</vt:lpstr>
      <vt:lpstr>dnt705_2_3</vt:lpstr>
      <vt:lpstr>dnt705_2_4</vt:lpstr>
      <vt:lpstr>dnt705_3</vt:lpstr>
      <vt:lpstr>dnt705_4</vt:lpstr>
      <vt:lpstr>dnt705_5_1</vt:lpstr>
      <vt:lpstr>dnt705_5_2</vt:lpstr>
      <vt:lpstr>dnt705_5_2_1</vt:lpstr>
      <vt:lpstr>dnt705_5_2_2</vt:lpstr>
      <vt:lpstr>dnt705_5_2_3</vt:lpstr>
      <vt:lpstr>dnt705_5_2_4</vt:lpstr>
      <vt:lpstr>dnt705_5_2_5</vt:lpstr>
      <vt:lpstr>dnt705_5_2_6</vt:lpstr>
      <vt:lpstr>dnt705_6_1</vt:lpstr>
      <vt:lpstr>dnt705_6_2_1_1</vt:lpstr>
      <vt:lpstr>dnt705_6_2_1_2</vt:lpstr>
      <vt:lpstr>dnt705_6_2_2</vt:lpstr>
      <vt:lpstr>dnt705_6_2_3</vt:lpstr>
      <vt:lpstr>dnt705_6_3_a</vt:lpstr>
      <vt:lpstr>dnt705_6_3_b</vt:lpstr>
      <vt:lpstr>dnt705_6_3_c</vt:lpstr>
      <vt:lpstr>dnt705_6_3_d</vt:lpstr>
      <vt:lpstr>dnt705_6_3_e</vt:lpstr>
      <vt:lpstr>dnt705_6_3_f</vt:lpstr>
      <vt:lpstr>dnt705_6_3_g</vt:lpstr>
      <vt:lpstr>dnt705_6_4_1</vt:lpstr>
      <vt:lpstr>dnt705_6_4_2</vt:lpstr>
      <vt:lpstr>dnt705_7</vt:lpstr>
      <vt:lpstr>dnt706_1_1</vt:lpstr>
      <vt:lpstr>dnt706_1_2</vt:lpstr>
      <vt:lpstr>dnt706_1_3</vt:lpstr>
      <vt:lpstr>dnt706_1_4</vt:lpstr>
      <vt:lpstr>dnt706_1_5</vt:lpstr>
      <vt:lpstr>dnt706_2_1</vt:lpstr>
      <vt:lpstr>dnt706_2_2</vt:lpstr>
      <vt:lpstr>dnt706_3</vt:lpstr>
      <vt:lpstr>dnt706_3_1</vt:lpstr>
      <vt:lpstr>dnt706_3_2</vt:lpstr>
      <vt:lpstr>dnt706_3_3</vt:lpstr>
      <vt:lpstr>dnt706_3_4</vt:lpstr>
      <vt:lpstr>dnt706_3_5</vt:lpstr>
      <vt:lpstr>dnt706_3_6</vt:lpstr>
      <vt:lpstr>dnt706_3_7</vt:lpstr>
      <vt:lpstr>dnt706_3_8</vt:lpstr>
      <vt:lpstr>dnt706_4_1_1</vt:lpstr>
      <vt:lpstr>dnt706_4_1_2</vt:lpstr>
      <vt:lpstr>dnt706_4_2</vt:lpstr>
      <vt:lpstr>dnt706_5</vt:lpstr>
      <vt:lpstr>dnt706_6</vt:lpstr>
      <vt:lpstr>dnt706_7_1</vt:lpstr>
      <vt:lpstr>dnt706_7_2</vt:lpstr>
      <vt:lpstr>dnt706_8</vt:lpstr>
      <vt:lpstr>dnt706_9</vt:lpstr>
      <vt:lpstr>dnt801_1_1</vt:lpstr>
      <vt:lpstr>dnt801_1_5</vt:lpstr>
      <vt:lpstr>dnt801_1_6</vt:lpstr>
      <vt:lpstr>dnt801_2_1</vt:lpstr>
      <vt:lpstr>dnt801_2_2</vt:lpstr>
      <vt:lpstr>dnt801_3_1</vt:lpstr>
      <vt:lpstr>dnt801_3_2</vt:lpstr>
      <vt:lpstr>dnt801_3_3</vt:lpstr>
      <vt:lpstr>dnt801_4_1_1</vt:lpstr>
      <vt:lpstr>dnt801_4_1_2</vt:lpstr>
      <vt:lpstr>dnt801_4_2</vt:lpstr>
      <vt:lpstr>dnt801_5_1</vt:lpstr>
      <vt:lpstr>dnt801_5_2</vt:lpstr>
      <vt:lpstr>dnt801_5_3</vt:lpstr>
      <vt:lpstr>dnt801_5_4_a</vt:lpstr>
      <vt:lpstr>dnt801_5_4_b</vt:lpstr>
      <vt:lpstr>dnt801_5_4_c</vt:lpstr>
      <vt:lpstr>dnt801_6_1</vt:lpstr>
      <vt:lpstr>dnt801_6_2_1</vt:lpstr>
      <vt:lpstr>dnt801_6_2_2</vt:lpstr>
      <vt:lpstr>dnt801_6_2_3</vt:lpstr>
      <vt:lpstr>dnt801_6_3</vt:lpstr>
      <vt:lpstr>dnt801_6_4_1</vt:lpstr>
      <vt:lpstr>dnt801_6_4_2</vt:lpstr>
      <vt:lpstr>dnt801_6_4_3</vt:lpstr>
      <vt:lpstr>dnt801_6_5</vt:lpstr>
      <vt:lpstr>dnt801_7_1</vt:lpstr>
      <vt:lpstr>dnt801_7_2_1</vt:lpstr>
      <vt:lpstr>dnt801_7_2_2</vt:lpstr>
      <vt:lpstr>dnt801_8</vt:lpstr>
      <vt:lpstr>dnt802_1_1</vt:lpstr>
      <vt:lpstr>dnt802_1_2</vt:lpstr>
      <vt:lpstr>dnt802_2</vt:lpstr>
      <vt:lpstr>dnt802_3_1</vt:lpstr>
      <vt:lpstr>dnt802_3_2</vt:lpstr>
      <vt:lpstr>dnt802_4</vt:lpstr>
      <vt:lpstr>dnt802_5</vt:lpstr>
      <vt:lpstr>dnt802_6</vt:lpstr>
      <vt:lpstr>dnt901_1_1</vt:lpstr>
      <vt:lpstr>dnt901_1_2</vt:lpstr>
      <vt:lpstr>dnt901_1_3_1</vt:lpstr>
      <vt:lpstr>dnt901_1_3_2</vt:lpstr>
      <vt:lpstr>dnt901_1_4</vt:lpstr>
      <vt:lpstr>dnt901_1_5</vt:lpstr>
      <vt:lpstr>dnt901_1_6</vt:lpstr>
      <vt:lpstr>dnt901_10_1</vt:lpstr>
      <vt:lpstr>dnt901_10_2</vt:lpstr>
      <vt:lpstr>dnt901_10_3</vt:lpstr>
      <vt:lpstr>dnt901_11</vt:lpstr>
      <vt:lpstr>dnt901_12</vt:lpstr>
      <vt:lpstr>dnt901_13</vt:lpstr>
      <vt:lpstr>dnt901_14_1</vt:lpstr>
      <vt:lpstr>dnt901_14_2</vt:lpstr>
      <vt:lpstr>dnt901_2_1_1</vt:lpstr>
      <vt:lpstr>dnt901_2_1_2</vt:lpstr>
      <vt:lpstr>dnt901_2_1_3</vt:lpstr>
      <vt:lpstr>dnt901_2_1_4</vt:lpstr>
      <vt:lpstr>dnt901_2_1_5</vt:lpstr>
      <vt:lpstr>dnt901_2_2</vt:lpstr>
      <vt:lpstr>dnt901_3_1_a</vt:lpstr>
      <vt:lpstr>dnt901_3_1_b</vt:lpstr>
      <vt:lpstr>dnt901_3_1_c</vt:lpstr>
      <vt:lpstr>dnt901_3_2</vt:lpstr>
      <vt:lpstr>dnt901_4_1</vt:lpstr>
      <vt:lpstr>dnt901_4_a</vt:lpstr>
      <vt:lpstr>dnt901_5_1</vt:lpstr>
      <vt:lpstr>dnt901_5_2</vt:lpstr>
      <vt:lpstr>dnt901_6</vt:lpstr>
      <vt:lpstr>dnt901_7_1</vt:lpstr>
      <vt:lpstr>dnt901_7_2</vt:lpstr>
      <vt:lpstr>dnt901_8</vt:lpstr>
      <vt:lpstr>dnt901_9</vt:lpstr>
      <vt:lpstr>dnt901_9_1_1</vt:lpstr>
      <vt:lpstr>dnt901_9_1_2</vt:lpstr>
      <vt:lpstr>dnt901_9_1_3</vt:lpstr>
      <vt:lpstr>dnt901_9_2</vt:lpstr>
      <vt:lpstr>dnt901_9_3</vt:lpstr>
      <vt:lpstr>dnt902_1_1</vt:lpstr>
      <vt:lpstr>dnt902_1_1_a</vt:lpstr>
      <vt:lpstr>dnt902_1_2</vt:lpstr>
      <vt:lpstr>dnt902_1_2_</vt:lpstr>
      <vt:lpstr>dnt902_1_3</vt:lpstr>
      <vt:lpstr>dnt902_1_3_</vt:lpstr>
      <vt:lpstr>dnt902_1_4</vt:lpstr>
      <vt:lpstr>dnt902_1_5_1</vt:lpstr>
      <vt:lpstr>dnt902_1_5_2</vt:lpstr>
      <vt:lpstr>dnt902_1_5_3</vt:lpstr>
      <vt:lpstr>dnt902_2_1</vt:lpstr>
      <vt:lpstr>dnt902_2_2</vt:lpstr>
      <vt:lpstr>dnt902_2_3</vt:lpstr>
      <vt:lpstr>dnt902_2_4</vt:lpstr>
      <vt:lpstr>dnt902_3</vt:lpstr>
      <vt:lpstr>dnt902_4_1</vt:lpstr>
      <vt:lpstr>dnt902_4_2</vt:lpstr>
      <vt:lpstr>dnt902_5</vt:lpstr>
      <vt:lpstr>dnt902_6</vt:lpstr>
      <vt:lpstr>dnt903_1</vt:lpstr>
      <vt:lpstr>dnt903_2</vt:lpstr>
      <vt:lpstr>dnt903_3</vt:lpstr>
      <vt:lpstr>dnt904_1</vt:lpstr>
      <vt:lpstr>dnt904_2</vt:lpstr>
      <vt:lpstr>dnt905_1</vt:lpstr>
      <vt:lpstr>dnt905_2</vt:lpstr>
      <vt:lpstr>dpa1001_1</vt:lpstr>
      <vt:lpstr>dpa1001_1_1</vt:lpstr>
      <vt:lpstr>dpa1001_1_2</vt:lpstr>
      <vt:lpstr>dpa1001_1_3</vt:lpstr>
      <vt:lpstr>dpa1001_2</vt:lpstr>
      <vt:lpstr>dpa1002_1</vt:lpstr>
      <vt:lpstr>dpa1002_1_1</vt:lpstr>
      <vt:lpstr>dpa1002_1_2</vt:lpstr>
      <vt:lpstr>dpa1002_1_3</vt:lpstr>
      <vt:lpstr>dpa1002_2</vt:lpstr>
      <vt:lpstr>dpa1002_2_1</vt:lpstr>
      <vt:lpstr>dpa1002_2_2</vt:lpstr>
      <vt:lpstr>dpa1002_3</vt:lpstr>
      <vt:lpstr>dpa1002_3_1</vt:lpstr>
      <vt:lpstr>dpa1002_4</vt:lpstr>
      <vt:lpstr>dpa1003_1</vt:lpstr>
      <vt:lpstr>dpa1003_1_1</vt:lpstr>
      <vt:lpstr>dpa1003_1_2</vt:lpstr>
      <vt:lpstr>dpa1003_1_3</vt:lpstr>
      <vt:lpstr>dpa1004_1_1</vt:lpstr>
      <vt:lpstr>dpa1004_1_2</vt:lpstr>
      <vt:lpstr>dpa501_1</vt:lpstr>
      <vt:lpstr>dpa501_1_1</vt:lpstr>
      <vt:lpstr>dpa501_1_2</vt:lpstr>
      <vt:lpstr>dpa501_1_3</vt:lpstr>
      <vt:lpstr>dpa501_2_1</vt:lpstr>
      <vt:lpstr>dpa501_2_2</vt:lpstr>
      <vt:lpstr>dpa501_2_3</vt:lpstr>
      <vt:lpstr>dpa501_2_4</vt:lpstr>
      <vt:lpstr>dpa501_2_5</vt:lpstr>
      <vt:lpstr>dpa501_2_6_a</vt:lpstr>
      <vt:lpstr>dpa501_2_6_b</vt:lpstr>
      <vt:lpstr>dpa501_2_6_c</vt:lpstr>
      <vt:lpstr>dpa502_1</vt:lpstr>
      <vt:lpstr>dpa503_1_1</vt:lpstr>
      <vt:lpstr>dpa503_1_2</vt:lpstr>
      <vt:lpstr>dpa503_1_3</vt:lpstr>
      <vt:lpstr>dpa503_1_4</vt:lpstr>
      <vt:lpstr>dpa503_1_5</vt:lpstr>
      <vt:lpstr>dpa503_1_6</vt:lpstr>
      <vt:lpstr>dpa503_1_7</vt:lpstr>
      <vt:lpstr>dpa503_2_1</vt:lpstr>
      <vt:lpstr>dpa503_2_2</vt:lpstr>
      <vt:lpstr>dpa503_2_3_a</vt:lpstr>
      <vt:lpstr>dpa503_2_3_b</vt:lpstr>
      <vt:lpstr>dpa503_2_3_c</vt:lpstr>
      <vt:lpstr>dpa503_2_4</vt:lpstr>
      <vt:lpstr>dpa503_2_5</vt:lpstr>
      <vt:lpstr>dpa503_3_1</vt:lpstr>
      <vt:lpstr>dpa503_3_2</vt:lpstr>
      <vt:lpstr>dpa503_3_3</vt:lpstr>
      <vt:lpstr>dpa503_4_1</vt:lpstr>
      <vt:lpstr>dpa503_4_2</vt:lpstr>
      <vt:lpstr>dpa503_4_3_a</vt:lpstr>
      <vt:lpstr>dpa503_4_3_b</vt:lpstr>
      <vt:lpstr>dpa503_4_3_c</vt:lpstr>
      <vt:lpstr>dpa503_4_4_a</vt:lpstr>
      <vt:lpstr>dpa503_4_4_b</vt:lpstr>
      <vt:lpstr>dpa503_4_4_c</vt:lpstr>
      <vt:lpstr>dpa503_5_1_a</vt:lpstr>
      <vt:lpstr>dpa503_5_1_b</vt:lpstr>
      <vt:lpstr>dpa503_5_1_c</vt:lpstr>
      <vt:lpstr>dpa503_5_1_d</vt:lpstr>
      <vt:lpstr>dpa503_5_10</vt:lpstr>
      <vt:lpstr>dpa503_5_11</vt:lpstr>
      <vt:lpstr>dpa503_5_12</vt:lpstr>
      <vt:lpstr>dpa503_5_2</vt:lpstr>
      <vt:lpstr>dpa503_5_3</vt:lpstr>
      <vt:lpstr>dpa503_5_4</vt:lpstr>
      <vt:lpstr>dpa503_5_5_a</vt:lpstr>
      <vt:lpstr>dpa503_5_5_b</vt:lpstr>
      <vt:lpstr>dpa503_5_5_c</vt:lpstr>
      <vt:lpstr>dpa503_5_5_d</vt:lpstr>
      <vt:lpstr>dpa503_5_6</vt:lpstr>
      <vt:lpstr>dpa503_5_7</vt:lpstr>
      <vt:lpstr>dpa503_5_8</vt:lpstr>
      <vt:lpstr>dpa503_5_9</vt:lpstr>
      <vt:lpstr>dpa503_6_1</vt:lpstr>
      <vt:lpstr>dpa503_6_2</vt:lpstr>
      <vt:lpstr>dpa503_6_3</vt:lpstr>
      <vt:lpstr>dpa503_6_4</vt:lpstr>
      <vt:lpstr>dpa503_7_1</vt:lpstr>
      <vt:lpstr>dpa503_7_2</vt:lpstr>
      <vt:lpstr>dpa503_8</vt:lpstr>
      <vt:lpstr>dpa504_1</vt:lpstr>
      <vt:lpstr>dpa504_2_1</vt:lpstr>
      <vt:lpstr>dpa504_2_2</vt:lpstr>
      <vt:lpstr>dpa504_2_3</vt:lpstr>
      <vt:lpstr>dpa504_3_1</vt:lpstr>
      <vt:lpstr>dpa504_3_2</vt:lpstr>
      <vt:lpstr>dpa504_3_3</vt:lpstr>
      <vt:lpstr>dpa504_3_4</vt:lpstr>
      <vt:lpstr>dpa504_3_5</vt:lpstr>
      <vt:lpstr>dpa504_3_6</vt:lpstr>
      <vt:lpstr>dpa504_3_7</vt:lpstr>
      <vt:lpstr>dpa504_3_8</vt:lpstr>
      <vt:lpstr>dpa504_3_9</vt:lpstr>
      <vt:lpstr>dpa505_1_1</vt:lpstr>
      <vt:lpstr>dpa505_1_2</vt:lpstr>
      <vt:lpstr>dpa505_1_3_a</vt:lpstr>
      <vt:lpstr>dpa505_1_3_b</vt:lpstr>
      <vt:lpstr>dpa505_1_3_c</vt:lpstr>
      <vt:lpstr>dpa505_1_4_a</vt:lpstr>
      <vt:lpstr>dpa505_1_4_b</vt:lpstr>
      <vt:lpstr>dpa505_1_4_c</vt:lpstr>
      <vt:lpstr>dpa505_2_1</vt:lpstr>
      <vt:lpstr>dpa505_2_2</vt:lpstr>
      <vt:lpstr>dpa505_3_1</vt:lpstr>
      <vt:lpstr>dpa505_3_2</vt:lpstr>
      <vt:lpstr>dpa505_3_3</vt:lpstr>
      <vt:lpstr>dpa505_3_4</vt:lpstr>
      <vt:lpstr>dpa505_3_5</vt:lpstr>
      <vt:lpstr>dpa505_4</vt:lpstr>
      <vt:lpstr>dpa505_5</vt:lpstr>
      <vt:lpstr>dpa505_6</vt:lpstr>
      <vt:lpstr>dpa601_1_1</vt:lpstr>
      <vt:lpstr>dpa601_1_2</vt:lpstr>
      <vt:lpstr>dpa601_1_3</vt:lpstr>
      <vt:lpstr>dpa601_1_4</vt:lpstr>
      <vt:lpstr>dpa601_1_5</vt:lpstr>
      <vt:lpstr>dpa601_2_1</vt:lpstr>
      <vt:lpstr>dpa601_2_2</vt:lpstr>
      <vt:lpstr>dpa601_2_3</vt:lpstr>
      <vt:lpstr>dpa601_3_1</vt:lpstr>
      <vt:lpstr>dpa601_3_2</vt:lpstr>
      <vt:lpstr>dpa601_3_3</vt:lpstr>
      <vt:lpstr>dpa601_3_4</vt:lpstr>
      <vt:lpstr>dpa601_3_5</vt:lpstr>
      <vt:lpstr>dpa601_4</vt:lpstr>
      <vt:lpstr>dpa601_5</vt:lpstr>
      <vt:lpstr>dpa601_5_1</vt:lpstr>
      <vt:lpstr>dpa601_5_2</vt:lpstr>
      <vt:lpstr>dpa601_5_3</vt:lpstr>
      <vt:lpstr>dpa601_5_4</vt:lpstr>
      <vt:lpstr>dpa601_5_5</vt:lpstr>
      <vt:lpstr>dpa601_6</vt:lpstr>
      <vt:lpstr>dpa601_6_1</vt:lpstr>
      <vt:lpstr>dpa601_6_2</vt:lpstr>
      <vt:lpstr>dpa601_7</vt:lpstr>
      <vt:lpstr>dpa601_7_1</vt:lpstr>
      <vt:lpstr>dpa601_7_2</vt:lpstr>
      <vt:lpstr>dpa601_7_3</vt:lpstr>
      <vt:lpstr>dpa601_8</vt:lpstr>
      <vt:lpstr>dpa601_9</vt:lpstr>
      <vt:lpstr>dpa602_1_1_1</vt:lpstr>
      <vt:lpstr>dpa602_1_1_2</vt:lpstr>
      <vt:lpstr>dpa602_1_10</vt:lpstr>
      <vt:lpstr>dpa602_1_11</vt:lpstr>
      <vt:lpstr>dpa602_1_12</vt:lpstr>
      <vt:lpstr>dpa602_1_13</vt:lpstr>
      <vt:lpstr>dpa602_1_14_1</vt:lpstr>
      <vt:lpstr>dpa602_1_14_2</vt:lpstr>
      <vt:lpstr>dpa602_1_14_3</vt:lpstr>
      <vt:lpstr>dpa602_1_2</vt:lpstr>
      <vt:lpstr>dpa602_1_3_1</vt:lpstr>
      <vt:lpstr>dpa602_1_3_2</vt:lpstr>
      <vt:lpstr>dpa602_1_4_1_1</vt:lpstr>
      <vt:lpstr>dpa602_1_4_1_2</vt:lpstr>
      <vt:lpstr>dpa602_1_4_2_1</vt:lpstr>
      <vt:lpstr>dpa602_1_4_2_2</vt:lpstr>
      <vt:lpstr>dpa602_1_5_1</vt:lpstr>
      <vt:lpstr>dpa602_1_5_2</vt:lpstr>
      <vt:lpstr>dpa602_1_6_1</vt:lpstr>
      <vt:lpstr>dpa602_1_6_2</vt:lpstr>
      <vt:lpstr>dpa602_1_6_3</vt:lpstr>
      <vt:lpstr>dpa602_1_7_1_1</vt:lpstr>
      <vt:lpstr>dpa602_1_7_1_2</vt:lpstr>
      <vt:lpstr>dpa602_1_7_1_3</vt:lpstr>
      <vt:lpstr>dpa602_1_7_2</vt:lpstr>
      <vt:lpstr>dpa602_1_7_3</vt:lpstr>
      <vt:lpstr>dpa602_1_8</vt:lpstr>
      <vt:lpstr>dpa602_1_9_1</vt:lpstr>
      <vt:lpstr>dpa602_1_9_2</vt:lpstr>
      <vt:lpstr>dpa602_1_9_3</vt:lpstr>
      <vt:lpstr>dpa602_1_9_4</vt:lpstr>
      <vt:lpstr>dpa602_1_9_5_a</vt:lpstr>
      <vt:lpstr>dpa602_1_9_5_b</vt:lpstr>
      <vt:lpstr>dpa602_1_9_6</vt:lpstr>
      <vt:lpstr>dpa602_1_9_7</vt:lpstr>
      <vt:lpstr>dpa602_2</vt:lpstr>
      <vt:lpstr>dpa602_3</vt:lpstr>
      <vt:lpstr>dpa602_4_1</vt:lpstr>
      <vt:lpstr>dpa602_4_2</vt:lpstr>
      <vt:lpstr>dpa602_4_3</vt:lpstr>
      <vt:lpstr>dpa603_1</vt:lpstr>
      <vt:lpstr>dpa603_2</vt:lpstr>
      <vt:lpstr>dpa603_3</vt:lpstr>
      <vt:lpstr>dpa604_1a</vt:lpstr>
      <vt:lpstr>dpa605_1</vt:lpstr>
      <vt:lpstr>dpa605_2</vt:lpstr>
      <vt:lpstr>dpa605_3</vt:lpstr>
      <vt:lpstr>dpa605_3_1</vt:lpstr>
      <vt:lpstr>dpa605_3_2</vt:lpstr>
      <vt:lpstr>dpa606_1_1</vt:lpstr>
      <vt:lpstr>dpa606_1_2</vt:lpstr>
      <vt:lpstr>dpa606_1_3</vt:lpstr>
      <vt:lpstr>dpa606_2_1a</vt:lpstr>
      <vt:lpstr>dpa606_2_2a</vt:lpstr>
      <vt:lpstr>dpa606_3</vt:lpstr>
      <vt:lpstr>dpa607_1_1</vt:lpstr>
      <vt:lpstr>dpa607_1_2</vt:lpstr>
      <vt:lpstr>dpa607_2</vt:lpstr>
      <vt:lpstr>dpa608_1</vt:lpstr>
      <vt:lpstr>dpa609_1a</vt:lpstr>
      <vt:lpstr>dpa610_1_1_1</vt:lpstr>
      <vt:lpstr>dpa610_1_1_2</vt:lpstr>
      <vt:lpstr>dpa610_1_1_3</vt:lpstr>
      <vt:lpstr>dpa610_1_2</vt:lpstr>
      <vt:lpstr>dpa610_1_2_1</vt:lpstr>
      <vt:lpstr>dpa610_1_2_2a</vt:lpstr>
      <vt:lpstr>dpa611_1</vt:lpstr>
      <vt:lpstr>dpa611_2</vt:lpstr>
      <vt:lpstr>dpa611_2_1</vt:lpstr>
      <vt:lpstr>dpa611_2_2</vt:lpstr>
      <vt:lpstr>dpa611_2_3</vt:lpstr>
      <vt:lpstr>dpa611_2_4</vt:lpstr>
      <vt:lpstr>dpa611_2_5</vt:lpstr>
      <vt:lpstr>dpa611_2_6</vt:lpstr>
      <vt:lpstr>dpa611_2_7</vt:lpstr>
      <vt:lpstr>dpa611_3</vt:lpstr>
      <vt:lpstr>dpa611_3_1</vt:lpstr>
      <vt:lpstr>dpa611_3_2</vt:lpstr>
      <vt:lpstr>dpa611_3_3</vt:lpstr>
      <vt:lpstr>dpa611_3_4</vt:lpstr>
      <vt:lpstr>dpa611_3_5</vt:lpstr>
      <vt:lpstr>dpa611_3_6</vt:lpstr>
      <vt:lpstr>dpa611_3_7</vt:lpstr>
      <vt:lpstr>dpa611_3_8</vt:lpstr>
      <vt:lpstr>dpa611_3_9</vt:lpstr>
      <vt:lpstr>dpa611_4</vt:lpstr>
      <vt:lpstr>dpa701_4_1</vt:lpstr>
      <vt:lpstr>dpa701_4_1_1</vt:lpstr>
      <vt:lpstr>dpa701_4_1_2</vt:lpstr>
      <vt:lpstr>dpa701_4_2_2</vt:lpstr>
      <vt:lpstr>dpa701_4_2_3</vt:lpstr>
      <vt:lpstr>dpa701_4_3_1</vt:lpstr>
      <vt:lpstr>dpa701_4_3_2</vt:lpstr>
      <vt:lpstr>dpa701_4_3_2_1</vt:lpstr>
      <vt:lpstr>dpa701_4_3_3_4</vt:lpstr>
      <vt:lpstr>dpa701_4_3_3_5</vt:lpstr>
      <vt:lpstr>dpa701_4_4</vt:lpstr>
      <vt:lpstr>dpa701_4_5</vt:lpstr>
      <vt:lpstr>dpa702_2_1</vt:lpstr>
      <vt:lpstr>dpa702_2_2</vt:lpstr>
      <vt:lpstr>dpa703_1</vt:lpstr>
      <vt:lpstr>dpa703_1_1</vt:lpstr>
      <vt:lpstr>dpa703_1_2</vt:lpstr>
      <vt:lpstr>dpa703_1_3</vt:lpstr>
      <vt:lpstr>dpa703_2_1</vt:lpstr>
      <vt:lpstr>dpa703_2_2</vt:lpstr>
      <vt:lpstr>dpa703_2_3</vt:lpstr>
      <vt:lpstr>dpa703_2_4</vt:lpstr>
      <vt:lpstr>dpa703_2_5_1</vt:lpstr>
      <vt:lpstr>dpa703_2_5_2</vt:lpstr>
      <vt:lpstr>dpa703_2_5_2_a</vt:lpstr>
      <vt:lpstr>dpa703_2_5_2_b</vt:lpstr>
      <vt:lpstr>dpa703_2_5_2_c</vt:lpstr>
      <vt:lpstr>dpa703_3_1</vt:lpstr>
      <vt:lpstr>dpa703_3_2__1_1</vt:lpstr>
      <vt:lpstr>dpa703_3_2__1_2</vt:lpstr>
      <vt:lpstr>dpa703_3_2__1_3</vt:lpstr>
      <vt:lpstr>dpa703_3_2__1_4</vt:lpstr>
      <vt:lpstr>dpa703_3_2__1_5</vt:lpstr>
      <vt:lpstr>dpa703_3_2__2_1</vt:lpstr>
      <vt:lpstr>dpa703_3_2__2_2</vt:lpstr>
      <vt:lpstr>dpa703_3_2__3_1</vt:lpstr>
      <vt:lpstr>dpa703_3_2__3_2</vt:lpstr>
      <vt:lpstr>dpa703_3_2__3_3</vt:lpstr>
      <vt:lpstr>dpa703_3_2__3_4</vt:lpstr>
      <vt:lpstr>dpa703_3_2__4_1</vt:lpstr>
      <vt:lpstr>dpa703_3_2__4_2</vt:lpstr>
      <vt:lpstr>dpa703_3_3__1_1</vt:lpstr>
      <vt:lpstr>dpa703_3_3__1_2</vt:lpstr>
      <vt:lpstr>dpa703_3_3__1_3</vt:lpstr>
      <vt:lpstr>dpa703_3_3__1_4</vt:lpstr>
      <vt:lpstr>dpa703_3_3__3</vt:lpstr>
      <vt:lpstr>dpa703_3_4_1</vt:lpstr>
      <vt:lpstr>dpa703_3_4_1_1</vt:lpstr>
      <vt:lpstr>dpa703_3_4_1_2</vt:lpstr>
      <vt:lpstr>dpa703_3_4_1_3</vt:lpstr>
      <vt:lpstr>dpa703_3_4_1_4</vt:lpstr>
      <vt:lpstr>dpa703_3_4_1_5</vt:lpstr>
      <vt:lpstr>dpa703_3_4_2</vt:lpstr>
      <vt:lpstr>dpa703_3_5</vt:lpstr>
      <vt:lpstr>dpa703_3_6_1</vt:lpstr>
      <vt:lpstr>dpa703_3_6_2</vt:lpstr>
      <vt:lpstr>dpa703_3_6_3</vt:lpstr>
      <vt:lpstr>dpa703_3_7_1</vt:lpstr>
      <vt:lpstr>dpa703_3_8</vt:lpstr>
      <vt:lpstr>dpa703_4_1</vt:lpstr>
      <vt:lpstr>dpa703_4_2</vt:lpstr>
      <vt:lpstr>dpa703_4_3</vt:lpstr>
      <vt:lpstr>dpa703_4_4_1</vt:lpstr>
      <vt:lpstr>dpa703_4_4_2</vt:lpstr>
      <vt:lpstr>dpa703_4_4_3</vt:lpstr>
      <vt:lpstr>dpa703_5_1_1_a_a</vt:lpstr>
      <vt:lpstr>dpa703_5_1_1_a_b</vt:lpstr>
      <vt:lpstr>dpa703_5_1_1_b_a</vt:lpstr>
      <vt:lpstr>dpa703_5_1_1_b_b</vt:lpstr>
      <vt:lpstr>dpa703_5_1_2_a</vt:lpstr>
      <vt:lpstr>dpa703_5_1_2_b</vt:lpstr>
      <vt:lpstr>dpa703_5_1_3</vt:lpstr>
      <vt:lpstr>dpa703_5_1_4_a</vt:lpstr>
      <vt:lpstr>dpa703_5_1_4_b</vt:lpstr>
      <vt:lpstr>dpa703_5_1_4_c</vt:lpstr>
      <vt:lpstr>dpa703_5_2</vt:lpstr>
      <vt:lpstr>dpa703_5_3</vt:lpstr>
      <vt:lpstr>dpa703_5_4</vt:lpstr>
      <vt:lpstr>dpa703_5_5_1</vt:lpstr>
      <vt:lpstr>dpa703_5_5_2</vt:lpstr>
      <vt:lpstr>dpa703_5_5_3</vt:lpstr>
      <vt:lpstr>dpa703_5_5_4</vt:lpstr>
      <vt:lpstr>dpa703_5_5_5</vt:lpstr>
      <vt:lpstr>dpa703_6_1_1</vt:lpstr>
      <vt:lpstr>dpa703_6_1_2</vt:lpstr>
      <vt:lpstr>dpa703_6_1_3</vt:lpstr>
      <vt:lpstr>dpa703_6_2__1</vt:lpstr>
      <vt:lpstr>dpa703_6_2__2</vt:lpstr>
      <vt:lpstr>dpa703_6_2__3</vt:lpstr>
      <vt:lpstr>dpa703_7_1</vt:lpstr>
      <vt:lpstr>dpa703_7_2</vt:lpstr>
      <vt:lpstr>dpa703_7_3_1</vt:lpstr>
      <vt:lpstr>dpa703_7_3_2</vt:lpstr>
      <vt:lpstr>dpa703_7_4</vt:lpstr>
      <vt:lpstr>dpa705_2_1_1_1</vt:lpstr>
      <vt:lpstr>dpa705_2_1_1_2</vt:lpstr>
      <vt:lpstr>dpa705_2_1_2</vt:lpstr>
      <vt:lpstr>dpa705_2_1_3_1_a</vt:lpstr>
      <vt:lpstr>dpa705_2_1_3_1_b</vt:lpstr>
      <vt:lpstr>dpa705_2_1_3_2_a</vt:lpstr>
      <vt:lpstr>dpa705_2_1_3_2_b</vt:lpstr>
      <vt:lpstr>dpa705_2_1_4_1</vt:lpstr>
      <vt:lpstr>dpa705_2_1_4_2</vt:lpstr>
      <vt:lpstr>dpa705_2_2</vt:lpstr>
      <vt:lpstr>dpa705_2_3</vt:lpstr>
      <vt:lpstr>dpa705_2_4</vt:lpstr>
      <vt:lpstr>dpa705_3</vt:lpstr>
      <vt:lpstr>dpa705_4</vt:lpstr>
      <vt:lpstr>dpa705_5_1</vt:lpstr>
      <vt:lpstr>dpa705_5_2</vt:lpstr>
      <vt:lpstr>dpa705_6_1</vt:lpstr>
      <vt:lpstr>dpa705_6_2_1_1</vt:lpstr>
      <vt:lpstr>dpa705_6_2_1_2</vt:lpstr>
      <vt:lpstr>dpa705_6_2_2</vt:lpstr>
      <vt:lpstr>dpa705_6_2_3_1</vt:lpstr>
      <vt:lpstr>dpa705_6_2_3_2</vt:lpstr>
      <vt:lpstr>dpa705_6_3</vt:lpstr>
      <vt:lpstr>dpa705_6_4_1</vt:lpstr>
      <vt:lpstr>dpa705_6_4_2</vt:lpstr>
      <vt:lpstr>dpa705_7</vt:lpstr>
      <vt:lpstr>dpa706_1</vt:lpstr>
      <vt:lpstr>dpa706_1_1</vt:lpstr>
      <vt:lpstr>dpa706_1_2</vt:lpstr>
      <vt:lpstr>dpa706_1_3</vt:lpstr>
      <vt:lpstr>dpa706_1_4</vt:lpstr>
      <vt:lpstr>dpa706_1_5</vt:lpstr>
      <vt:lpstr>dpa706_2_1</vt:lpstr>
      <vt:lpstr>dpa706_2_2_a</vt:lpstr>
      <vt:lpstr>dpa706_2_2_b</vt:lpstr>
      <vt:lpstr>dpa706_3_a</vt:lpstr>
      <vt:lpstr>dpa706_3_b</vt:lpstr>
      <vt:lpstr>dpa706_4_1_1</vt:lpstr>
      <vt:lpstr>dpa706_4_1_2</vt:lpstr>
      <vt:lpstr>dpa706_4_2</vt:lpstr>
      <vt:lpstr>dpa706_5</vt:lpstr>
      <vt:lpstr>dpa706_6</vt:lpstr>
      <vt:lpstr>dpa706_7_1</vt:lpstr>
      <vt:lpstr>dpa706_7_2</vt:lpstr>
      <vt:lpstr>dpa706_8</vt:lpstr>
      <vt:lpstr>dpa706_9</vt:lpstr>
      <vt:lpstr>dpa801_1_1</vt:lpstr>
      <vt:lpstr>dpa801_1_2</vt:lpstr>
      <vt:lpstr>dpa801_1_3</vt:lpstr>
      <vt:lpstr>dpa801_1_4</vt:lpstr>
      <vt:lpstr>dpa801_1_4_a</vt:lpstr>
      <vt:lpstr>dpa801_1_5</vt:lpstr>
      <vt:lpstr>dpa801_1_6</vt:lpstr>
      <vt:lpstr>dpa801_2_1</vt:lpstr>
      <vt:lpstr>dpa801_2_2</vt:lpstr>
      <vt:lpstr>dpa801_2_3</vt:lpstr>
      <vt:lpstr>dpa801_3_1</vt:lpstr>
      <vt:lpstr>dpa801_3_2_a</vt:lpstr>
      <vt:lpstr>dpa801_3_2_b</vt:lpstr>
      <vt:lpstr>dpa801_3_2_c</vt:lpstr>
      <vt:lpstr>dpa801_3_3</vt:lpstr>
      <vt:lpstr>dpa801_4_1_1</vt:lpstr>
      <vt:lpstr>dpa801_4_1_2</vt:lpstr>
      <vt:lpstr>dpa801_4_2</vt:lpstr>
      <vt:lpstr>dpa801_5_2</vt:lpstr>
      <vt:lpstr>dpa801_5_3</vt:lpstr>
      <vt:lpstr>dpa801_5_4_a</vt:lpstr>
      <vt:lpstr>dpa801_5_4_b</vt:lpstr>
      <vt:lpstr>dpa801_5_4_c</vt:lpstr>
      <vt:lpstr>dpa801_6_1</vt:lpstr>
      <vt:lpstr>dpa801_6_2_1</vt:lpstr>
      <vt:lpstr>dpa801_6_2_2</vt:lpstr>
      <vt:lpstr>dpa801_6_2_3</vt:lpstr>
      <vt:lpstr>dpa801_6_4_1</vt:lpstr>
      <vt:lpstr>dpa801_6_4_2</vt:lpstr>
      <vt:lpstr>dpa801_6_4_3</vt:lpstr>
      <vt:lpstr>dpa801_6_5</vt:lpstr>
      <vt:lpstr>dpa801_7_1_1</vt:lpstr>
      <vt:lpstr>dpa801_7_1_2_a</vt:lpstr>
      <vt:lpstr>dpa801_7_1_2_b</vt:lpstr>
      <vt:lpstr>dpa801_7_1_2_c</vt:lpstr>
      <vt:lpstr>dpa801_7_1_2_d</vt:lpstr>
      <vt:lpstr>dpa801_7_2_1</vt:lpstr>
      <vt:lpstr>dpa801_7_2_2</vt:lpstr>
      <vt:lpstr>dpa801_8</vt:lpstr>
      <vt:lpstr>dpa802_1_1</vt:lpstr>
      <vt:lpstr>dpa802_1_2</vt:lpstr>
      <vt:lpstr>dpa802_2</vt:lpstr>
      <vt:lpstr>dpa802_3</vt:lpstr>
      <vt:lpstr>dpa802_4</vt:lpstr>
      <vt:lpstr>dpa802_5</vt:lpstr>
      <vt:lpstr>dpa802_6</vt:lpstr>
      <vt:lpstr>dpa901_1_1</vt:lpstr>
      <vt:lpstr>dpa901_1_2</vt:lpstr>
      <vt:lpstr>dpa901_1_3_1_a</vt:lpstr>
      <vt:lpstr>dpa901_1_3_1_b</vt:lpstr>
      <vt:lpstr>dpa901_1_3_2_a</vt:lpstr>
      <vt:lpstr>dpa901_1_3_2_b</vt:lpstr>
      <vt:lpstr>dpa901_1_4</vt:lpstr>
      <vt:lpstr>dpa901_1_5</vt:lpstr>
      <vt:lpstr>dpa901_1_6_1</vt:lpstr>
      <vt:lpstr>dpa901_1_6_2</vt:lpstr>
      <vt:lpstr>dpa901_10_1</vt:lpstr>
      <vt:lpstr>dpa901_10_2</vt:lpstr>
      <vt:lpstr>dpa901_10_3</vt:lpstr>
      <vt:lpstr>dpa901_11</vt:lpstr>
      <vt:lpstr>dpa901_12</vt:lpstr>
      <vt:lpstr>dpa901_13_1</vt:lpstr>
      <vt:lpstr>dpa901_13_2</vt:lpstr>
      <vt:lpstr>dpa901_14_1</vt:lpstr>
      <vt:lpstr>dpa901_14_2</vt:lpstr>
      <vt:lpstr>dpa901_2_1_1</vt:lpstr>
      <vt:lpstr>dpa901_2_1_2</vt:lpstr>
      <vt:lpstr>dpa901_2_1_3</vt:lpstr>
      <vt:lpstr>dpa901_2_1_4</vt:lpstr>
      <vt:lpstr>dpa901_2_1_5</vt:lpstr>
      <vt:lpstr>dpa901_2_2</vt:lpstr>
      <vt:lpstr>dpa901_3_1_a</vt:lpstr>
      <vt:lpstr>dpa901_3_1_b</vt:lpstr>
      <vt:lpstr>dpa901_3_1_c</vt:lpstr>
      <vt:lpstr>dpa901_3_2</vt:lpstr>
      <vt:lpstr>dpa901_4</vt:lpstr>
      <vt:lpstr>dpa901_4_1</vt:lpstr>
      <vt:lpstr>dpa901_4_2</vt:lpstr>
      <vt:lpstr>dpa901_4_3</vt:lpstr>
      <vt:lpstr>dpa901_4_4</vt:lpstr>
      <vt:lpstr>dpa901_4_5</vt:lpstr>
      <vt:lpstr>dpa901_4_6</vt:lpstr>
      <vt:lpstr>dpa901_5_1</vt:lpstr>
      <vt:lpstr>dpa901_5_2</vt:lpstr>
      <vt:lpstr>dpa901_6</vt:lpstr>
      <vt:lpstr>dpa901_7</vt:lpstr>
      <vt:lpstr>dpa901_8</vt:lpstr>
      <vt:lpstr>dpa901_9_1</vt:lpstr>
      <vt:lpstr>dpa901_9_2</vt:lpstr>
      <vt:lpstr>dpa901_9_3</vt:lpstr>
      <vt:lpstr>dpa902_1_1_a</vt:lpstr>
      <vt:lpstr>dpa902_1_2</vt:lpstr>
      <vt:lpstr>dpa902_1_2_</vt:lpstr>
      <vt:lpstr>dpa902_1_2_1</vt:lpstr>
      <vt:lpstr>dpa902_1_2_2</vt:lpstr>
      <vt:lpstr>dpa902_1_3</vt:lpstr>
      <vt:lpstr>dpa902_1_3_</vt:lpstr>
      <vt:lpstr>dpa902_1_4</vt:lpstr>
      <vt:lpstr>dpa902_1_4_1</vt:lpstr>
      <vt:lpstr>dpa902_1_4_2</vt:lpstr>
      <vt:lpstr>dpa902_1_5</vt:lpstr>
      <vt:lpstr>dpa902_2_1</vt:lpstr>
      <vt:lpstr>dpa902_2_1_1</vt:lpstr>
      <vt:lpstr>dpa902_2_1_2</vt:lpstr>
      <vt:lpstr>dpa902_2_1_3</vt:lpstr>
      <vt:lpstr>dpa902_2_1_4</vt:lpstr>
      <vt:lpstr>dpa902_2_2</vt:lpstr>
      <vt:lpstr>dpa902_2_3</vt:lpstr>
      <vt:lpstr>dpa902_2_4</vt:lpstr>
      <vt:lpstr>dpa902_3_1</vt:lpstr>
      <vt:lpstr>dpa902_3_1_a</vt:lpstr>
      <vt:lpstr>dpa902_3_1_b</vt:lpstr>
      <vt:lpstr>dpa902_3_2_a</vt:lpstr>
      <vt:lpstr>dpa902_4</vt:lpstr>
      <vt:lpstr>dpa902_5</vt:lpstr>
      <vt:lpstr>dpa902_6</vt:lpstr>
      <vt:lpstr>dpa903_1_1_1</vt:lpstr>
      <vt:lpstr>dpa903_1_2_2</vt:lpstr>
      <vt:lpstr>dpa903_2_1</vt:lpstr>
      <vt:lpstr>dpa903_2_2</vt:lpstr>
      <vt:lpstr>dpa903_3</vt:lpstr>
      <vt:lpstr>dpa904_1</vt:lpstr>
      <vt:lpstr>dpa904_2</vt:lpstr>
      <vt:lpstr>dpa905_1</vt:lpstr>
      <vt:lpstr>dpa905_2</vt:lpstr>
      <vt:lpstr>dpc1001_1</vt:lpstr>
      <vt:lpstr>dpc1002_1</vt:lpstr>
      <vt:lpstr>dpc1002_2</vt:lpstr>
      <vt:lpstr>dpc1002_3</vt:lpstr>
      <vt:lpstr>dpc1003_1</vt:lpstr>
      <vt:lpstr>dpc1004_1_1</vt:lpstr>
      <vt:lpstr>dpc1004_1_2</vt:lpstr>
      <vt:lpstr>dpc501_1</vt:lpstr>
      <vt:lpstr>dpc501_2_1</vt:lpstr>
      <vt:lpstr>dpc501_2_2</vt:lpstr>
      <vt:lpstr>dpc501_2_3</vt:lpstr>
      <vt:lpstr>dpc501_2_4</vt:lpstr>
      <vt:lpstr>dpc501_2_5</vt:lpstr>
      <vt:lpstr>dpc501_2_6</vt:lpstr>
      <vt:lpstr>dpc502_1</vt:lpstr>
      <vt:lpstr>dpc503_1_1</vt:lpstr>
      <vt:lpstr>dpc503_1_2</vt:lpstr>
      <vt:lpstr>dpc503_1_3</vt:lpstr>
      <vt:lpstr>dpc503_1_4</vt:lpstr>
      <vt:lpstr>dpc503_1_5</vt:lpstr>
      <vt:lpstr>dpc503_1_6</vt:lpstr>
      <vt:lpstr>dpc503_1_7</vt:lpstr>
      <vt:lpstr>dpc503_2_1</vt:lpstr>
      <vt:lpstr>dpc503_2_2</vt:lpstr>
      <vt:lpstr>dpc503_2_3</vt:lpstr>
      <vt:lpstr>dpc503_2_4</vt:lpstr>
      <vt:lpstr>dpc503_2_5</vt:lpstr>
      <vt:lpstr>dpc503_3_1</vt:lpstr>
      <vt:lpstr>dpc503_3_2</vt:lpstr>
      <vt:lpstr>dpc503_3_3</vt:lpstr>
      <vt:lpstr>dpc503_4_1</vt:lpstr>
      <vt:lpstr>dpc503_4_2</vt:lpstr>
      <vt:lpstr>dpc503_4_3</vt:lpstr>
      <vt:lpstr>dpc503_4_4</vt:lpstr>
      <vt:lpstr>dpc503_5_1</vt:lpstr>
      <vt:lpstr>dpc503_5_10</vt:lpstr>
      <vt:lpstr>dpc503_5_11</vt:lpstr>
      <vt:lpstr>dpc503_5_12</vt:lpstr>
      <vt:lpstr>dpc503_5_2</vt:lpstr>
      <vt:lpstr>dpc503_5_3</vt:lpstr>
      <vt:lpstr>dpc503_5_4</vt:lpstr>
      <vt:lpstr>dpc503_5_5</vt:lpstr>
      <vt:lpstr>dpc503_5_6</vt:lpstr>
      <vt:lpstr>dpc503_5_7</vt:lpstr>
      <vt:lpstr>dpc503_5_8</vt:lpstr>
      <vt:lpstr>dpc503_5_9</vt:lpstr>
      <vt:lpstr>dpc503_6_1</vt:lpstr>
      <vt:lpstr>dpc503_6_2</vt:lpstr>
      <vt:lpstr>dpc503_6_3</vt:lpstr>
      <vt:lpstr>dpc503_6_4</vt:lpstr>
      <vt:lpstr>dpc503_7_1</vt:lpstr>
      <vt:lpstr>dpc503_7_2</vt:lpstr>
      <vt:lpstr>dpc503_8</vt:lpstr>
      <vt:lpstr>dpc504_1</vt:lpstr>
      <vt:lpstr>dpc504_2_1</vt:lpstr>
      <vt:lpstr>dpc504_2_2</vt:lpstr>
      <vt:lpstr>dpc504_2_3</vt:lpstr>
      <vt:lpstr>dpc504_3_1</vt:lpstr>
      <vt:lpstr>dpc504_3_2</vt:lpstr>
      <vt:lpstr>dpc504_3_3</vt:lpstr>
      <vt:lpstr>dpc504_3_4</vt:lpstr>
      <vt:lpstr>dpc504_3_5</vt:lpstr>
      <vt:lpstr>dpc504_3_6</vt:lpstr>
      <vt:lpstr>dpc504_3_7</vt:lpstr>
      <vt:lpstr>dpc504_3_8</vt:lpstr>
      <vt:lpstr>dpc504_3_9</vt:lpstr>
      <vt:lpstr>dpc505_1_1</vt:lpstr>
      <vt:lpstr>dpc505_1_2</vt:lpstr>
      <vt:lpstr>dpc505_1_3</vt:lpstr>
      <vt:lpstr>dpc505_1_4</vt:lpstr>
      <vt:lpstr>dpc505_2_1</vt:lpstr>
      <vt:lpstr>dpc505_2_2</vt:lpstr>
      <vt:lpstr>dpc505_3</vt:lpstr>
      <vt:lpstr>dpc505_4</vt:lpstr>
      <vt:lpstr>dpc505_5</vt:lpstr>
      <vt:lpstr>dpc505_6</vt:lpstr>
      <vt:lpstr>dpc601_1</vt:lpstr>
      <vt:lpstr>dpc601_2_1</vt:lpstr>
      <vt:lpstr>dpc601_2_2</vt:lpstr>
      <vt:lpstr>dpc601_2_3</vt:lpstr>
      <vt:lpstr>dpc601_3_1</vt:lpstr>
      <vt:lpstr>dpc601_3_2</vt:lpstr>
      <vt:lpstr>dpc601_3_3</vt:lpstr>
      <vt:lpstr>dpc601_3_4</vt:lpstr>
      <vt:lpstr>dpc601_3_5</vt:lpstr>
      <vt:lpstr>dpc601_4</vt:lpstr>
      <vt:lpstr>dpc601_5_1</vt:lpstr>
      <vt:lpstr>dpc601_5_2</vt:lpstr>
      <vt:lpstr>dpc601_5_3</vt:lpstr>
      <vt:lpstr>dpc601_5_4</vt:lpstr>
      <vt:lpstr>dpc601_5_5</vt:lpstr>
      <vt:lpstr>dpc601_6</vt:lpstr>
      <vt:lpstr>dpc601_7</vt:lpstr>
      <vt:lpstr>dpc601_8</vt:lpstr>
      <vt:lpstr>dpc601_9</vt:lpstr>
      <vt:lpstr>dpc602_1_1_2</vt:lpstr>
      <vt:lpstr>dpc602_1_10</vt:lpstr>
      <vt:lpstr>dpc602_1_12</vt:lpstr>
      <vt:lpstr>dpc602_1_14_1</vt:lpstr>
      <vt:lpstr>dpc602_1_14_2</vt:lpstr>
      <vt:lpstr>dpc602_1_14_3</vt:lpstr>
      <vt:lpstr>dpc602_1_2</vt:lpstr>
      <vt:lpstr>dpc602_1_3_2</vt:lpstr>
      <vt:lpstr>dpc602_1_4_1_1</vt:lpstr>
      <vt:lpstr>dpc602_1_4_2_1</vt:lpstr>
      <vt:lpstr>dpc602_1_5_1</vt:lpstr>
      <vt:lpstr>dpc602_1_5_2</vt:lpstr>
      <vt:lpstr>dpc602_1_6_1</vt:lpstr>
      <vt:lpstr>dpc602_1_6_2</vt:lpstr>
      <vt:lpstr>dpc602_1_6_3</vt:lpstr>
      <vt:lpstr>dpc602_1_7_1_1</vt:lpstr>
      <vt:lpstr>dpc602_1_7_1_2</vt:lpstr>
      <vt:lpstr>dpc602_1_7_1_3</vt:lpstr>
      <vt:lpstr>dpc602_1_7_2</vt:lpstr>
      <vt:lpstr>dpc602_1_7_3</vt:lpstr>
      <vt:lpstr>dpc602_1_9_2</vt:lpstr>
      <vt:lpstr>dpc602_1_9_3</vt:lpstr>
      <vt:lpstr>dpc602_1_9_4</vt:lpstr>
      <vt:lpstr>dpc602_1_9_5</vt:lpstr>
      <vt:lpstr>dpc602_1_9_6</vt:lpstr>
      <vt:lpstr>dpc602_1_9_7</vt:lpstr>
      <vt:lpstr>dpc602_2</vt:lpstr>
      <vt:lpstr>dpc602_3</vt:lpstr>
      <vt:lpstr>dpc602_4_2</vt:lpstr>
      <vt:lpstr>dpc602_4_3</vt:lpstr>
      <vt:lpstr>dpc603_1</vt:lpstr>
      <vt:lpstr>dpc603_2</vt:lpstr>
      <vt:lpstr>dpc603_3</vt:lpstr>
      <vt:lpstr>dpc604_1a</vt:lpstr>
      <vt:lpstr>dpc605_1</vt:lpstr>
      <vt:lpstr>dpc605_2</vt:lpstr>
      <vt:lpstr>dpc605_3</vt:lpstr>
      <vt:lpstr>dpc606_1</vt:lpstr>
      <vt:lpstr>dpc606_2_1a</vt:lpstr>
      <vt:lpstr>dpc606_2_2a</vt:lpstr>
      <vt:lpstr>dpc606_3</vt:lpstr>
      <vt:lpstr>dpc607_1_1</vt:lpstr>
      <vt:lpstr>dpc607_1_2</vt:lpstr>
      <vt:lpstr>dpc607_2</vt:lpstr>
      <vt:lpstr>dpc608_1</vt:lpstr>
      <vt:lpstr>dpc609_1a</vt:lpstr>
      <vt:lpstr>dpc610_1_1_1</vt:lpstr>
      <vt:lpstr>dpc610_1_1_2</vt:lpstr>
      <vt:lpstr>dpc610_1_1_3</vt:lpstr>
      <vt:lpstr>dpc610_1_2</vt:lpstr>
      <vt:lpstr>dpc611_1</vt:lpstr>
      <vt:lpstr>dpc611_2</vt:lpstr>
      <vt:lpstr>dpc611_3</vt:lpstr>
      <vt:lpstr>dpc611_4</vt:lpstr>
      <vt:lpstr>dpc701_1_4</vt:lpstr>
      <vt:lpstr>dpc702_2_2</vt:lpstr>
      <vt:lpstr>dpc703_1</vt:lpstr>
      <vt:lpstr>dpc703_2_1</vt:lpstr>
      <vt:lpstr>dpc703_2_2</vt:lpstr>
      <vt:lpstr>dpc703_2_3</vt:lpstr>
      <vt:lpstr>dpc703_2_4</vt:lpstr>
      <vt:lpstr>dpc703_2_5_2</vt:lpstr>
      <vt:lpstr>dpc703_3_1</vt:lpstr>
      <vt:lpstr>dpc703_3_2__1</vt:lpstr>
      <vt:lpstr>dpc703_3_2__2</vt:lpstr>
      <vt:lpstr>dpc703_3_2__3</vt:lpstr>
      <vt:lpstr>dpc703_3_2__4</vt:lpstr>
      <vt:lpstr>dpc703_3_3__1</vt:lpstr>
      <vt:lpstr>dpc703_3_3__3</vt:lpstr>
      <vt:lpstr>dpc703_3_4_1</vt:lpstr>
      <vt:lpstr>dpc703_3_4_1_5</vt:lpstr>
      <vt:lpstr>dpc703_3_4_2</vt:lpstr>
      <vt:lpstr>dpc703_3_5</vt:lpstr>
      <vt:lpstr>dpc703_3_6</vt:lpstr>
      <vt:lpstr>dpc703_3_7_1</vt:lpstr>
      <vt:lpstr>dpc703_3_8</vt:lpstr>
      <vt:lpstr>dpc703_4_1</vt:lpstr>
      <vt:lpstr>dpc703_4_2</vt:lpstr>
      <vt:lpstr>dpc703_4_3</vt:lpstr>
      <vt:lpstr>dpc703_4_4</vt:lpstr>
      <vt:lpstr>dpc703_5_1_1_a</vt:lpstr>
      <vt:lpstr>dpc703_5_1_1_b</vt:lpstr>
      <vt:lpstr>dpc703_5_1_2_a</vt:lpstr>
      <vt:lpstr>dpc703_5_1_2_b</vt:lpstr>
      <vt:lpstr>dpc703_5_1_3</vt:lpstr>
      <vt:lpstr>dpc703_5_1_4</vt:lpstr>
      <vt:lpstr>dpc703_5_2</vt:lpstr>
      <vt:lpstr>dpc703_5_3</vt:lpstr>
      <vt:lpstr>dpc703_5_4</vt:lpstr>
      <vt:lpstr>dpc703_5_5</vt:lpstr>
      <vt:lpstr>dpc703_6_1_1</vt:lpstr>
      <vt:lpstr>dpc703_6_1_2</vt:lpstr>
      <vt:lpstr>dpc703_6_1_3</vt:lpstr>
      <vt:lpstr>dpc703_6_2__1</vt:lpstr>
      <vt:lpstr>dpc703_6_2__2</vt:lpstr>
      <vt:lpstr>dpc703_6_2__3</vt:lpstr>
      <vt:lpstr>dpc703_7_1</vt:lpstr>
      <vt:lpstr>dpc703_7_2</vt:lpstr>
      <vt:lpstr>dpc703_7_3</vt:lpstr>
      <vt:lpstr>dpc703_7_4</vt:lpstr>
      <vt:lpstr>dpc704_1</vt:lpstr>
      <vt:lpstr>dpc705_2_1_1</vt:lpstr>
      <vt:lpstr>dpc705_2_1_2</vt:lpstr>
      <vt:lpstr>dpc705_2_1_3_1</vt:lpstr>
      <vt:lpstr>dpc705_2_1_3_2</vt:lpstr>
      <vt:lpstr>dpc705_2_1_4</vt:lpstr>
      <vt:lpstr>dpc705_2_2</vt:lpstr>
      <vt:lpstr>dpc705_2_3</vt:lpstr>
      <vt:lpstr>dpc705_2_4</vt:lpstr>
      <vt:lpstr>dpc705_3</vt:lpstr>
      <vt:lpstr>dpc705_4</vt:lpstr>
      <vt:lpstr>dpc705_5_1</vt:lpstr>
      <vt:lpstr>dpc705_5_2</vt:lpstr>
      <vt:lpstr>dpc705_6_1</vt:lpstr>
      <vt:lpstr>dpc705_6_2_1_1</vt:lpstr>
      <vt:lpstr>dpc705_6_2_1_2</vt:lpstr>
      <vt:lpstr>dpc705_6_2_2</vt:lpstr>
      <vt:lpstr>dpc705_6_2_3</vt:lpstr>
      <vt:lpstr>dpc705_6_3</vt:lpstr>
      <vt:lpstr>dpc705_6_4_1</vt:lpstr>
      <vt:lpstr>dpc705_6_4_2</vt:lpstr>
      <vt:lpstr>dpc705_7</vt:lpstr>
      <vt:lpstr>dpc706_1</vt:lpstr>
      <vt:lpstr>dpc706_2_1</vt:lpstr>
      <vt:lpstr>dpc706_2_2</vt:lpstr>
      <vt:lpstr>dpc706_3</vt:lpstr>
      <vt:lpstr>dpc706_4_1_1</vt:lpstr>
      <vt:lpstr>dpc706_4_1_2</vt:lpstr>
      <vt:lpstr>dpc706_4_2</vt:lpstr>
      <vt:lpstr>dpc706_5</vt:lpstr>
      <vt:lpstr>dpc706_6</vt:lpstr>
      <vt:lpstr>dpc706_7_1</vt:lpstr>
      <vt:lpstr>dpc706_7_2</vt:lpstr>
      <vt:lpstr>dpc706_8</vt:lpstr>
      <vt:lpstr>dpc706_9</vt:lpstr>
      <vt:lpstr>dpc801_1</vt:lpstr>
      <vt:lpstr>dpc801_1_6</vt:lpstr>
      <vt:lpstr>dpc801_2_1</vt:lpstr>
      <vt:lpstr>dpc801_2_2</vt:lpstr>
      <vt:lpstr>dpc801_3_1</vt:lpstr>
      <vt:lpstr>dpc801_3_2</vt:lpstr>
      <vt:lpstr>dpc801_3_3</vt:lpstr>
      <vt:lpstr>dpc801_4_1_1</vt:lpstr>
      <vt:lpstr>dpc801_4_1_2</vt:lpstr>
      <vt:lpstr>dpc801_4_2</vt:lpstr>
      <vt:lpstr>dpc801_5_2</vt:lpstr>
      <vt:lpstr>dpc801_5_3</vt:lpstr>
      <vt:lpstr>dpc801_5_4_a</vt:lpstr>
      <vt:lpstr>dpc801_5_4_b</vt:lpstr>
      <vt:lpstr>dpc801_5_4_c</vt:lpstr>
      <vt:lpstr>dpc801_6_1</vt:lpstr>
      <vt:lpstr>dpc801_6_2_1</vt:lpstr>
      <vt:lpstr>dpc801_6_2_2</vt:lpstr>
      <vt:lpstr>dpc801_6_2_3</vt:lpstr>
      <vt:lpstr>dpc801_6_4_1</vt:lpstr>
      <vt:lpstr>dpc801_6_4_3</vt:lpstr>
      <vt:lpstr>dpc801_6_5</vt:lpstr>
      <vt:lpstr>dpc801_7_1</vt:lpstr>
      <vt:lpstr>dpc801_7_2</vt:lpstr>
      <vt:lpstr>dpc801_8</vt:lpstr>
      <vt:lpstr>dpc802_1</vt:lpstr>
      <vt:lpstr>dpc802_2</vt:lpstr>
      <vt:lpstr>dpc802_3</vt:lpstr>
      <vt:lpstr>dpc802_4</vt:lpstr>
      <vt:lpstr>dpc802_5</vt:lpstr>
      <vt:lpstr>dpc802_6</vt:lpstr>
      <vt:lpstr>dpc901_1_1</vt:lpstr>
      <vt:lpstr>dpc901_1_2</vt:lpstr>
      <vt:lpstr>dpc901_1_3_1</vt:lpstr>
      <vt:lpstr>dpc901_1_3_2</vt:lpstr>
      <vt:lpstr>dpc901_1_5</vt:lpstr>
      <vt:lpstr>dpc901_1_6</vt:lpstr>
      <vt:lpstr>dpc901_10</vt:lpstr>
      <vt:lpstr>dpc901_11</vt:lpstr>
      <vt:lpstr>dpc901_13</vt:lpstr>
      <vt:lpstr>dpc901_14_1</vt:lpstr>
      <vt:lpstr>dpc901_14_2</vt:lpstr>
      <vt:lpstr>dpc901_2_1_1</vt:lpstr>
      <vt:lpstr>dpc901_2_1_2</vt:lpstr>
      <vt:lpstr>dpc901_2_1_3</vt:lpstr>
      <vt:lpstr>dpc901_2_1_4</vt:lpstr>
      <vt:lpstr>dpc901_2_1_5</vt:lpstr>
      <vt:lpstr>dpc901_2_2</vt:lpstr>
      <vt:lpstr>dpc901_3_1_a</vt:lpstr>
      <vt:lpstr>dpc901_3_1_b</vt:lpstr>
      <vt:lpstr>dpc901_3_1_c</vt:lpstr>
      <vt:lpstr>dpc901_3_2</vt:lpstr>
      <vt:lpstr>dpc901_4</vt:lpstr>
      <vt:lpstr>dpc901_5_1</vt:lpstr>
      <vt:lpstr>dpc901_5_2</vt:lpstr>
      <vt:lpstr>dpc901_7</vt:lpstr>
      <vt:lpstr>dpc901_8</vt:lpstr>
      <vt:lpstr>dpc901_9_1</vt:lpstr>
      <vt:lpstr>dpc901_9_2</vt:lpstr>
      <vt:lpstr>dpc901_9_3</vt:lpstr>
      <vt:lpstr>dpc902_1_1_a</vt:lpstr>
      <vt:lpstr>dpc902_1_2</vt:lpstr>
      <vt:lpstr>dpc902_1_3</vt:lpstr>
      <vt:lpstr>dpc902_1_3_</vt:lpstr>
      <vt:lpstr>dpc902_1_4</vt:lpstr>
      <vt:lpstr>dpc902_1_5</vt:lpstr>
      <vt:lpstr>dpc902_2_1</vt:lpstr>
      <vt:lpstr>dpc902_2_2</vt:lpstr>
      <vt:lpstr>dpc902_2_3</vt:lpstr>
      <vt:lpstr>dpc902_2_4</vt:lpstr>
      <vt:lpstr>dpc902_3_1</vt:lpstr>
      <vt:lpstr>dpc902_3_2_a</vt:lpstr>
      <vt:lpstr>dpc902_4</vt:lpstr>
      <vt:lpstr>dpc902_5</vt:lpstr>
      <vt:lpstr>dpc903_1</vt:lpstr>
      <vt:lpstr>dpc903_2</vt:lpstr>
      <vt:lpstr>dpc903_3</vt:lpstr>
      <vt:lpstr>dpc904_1</vt:lpstr>
      <vt:lpstr>dpc904_2</vt:lpstr>
      <vt:lpstr>dpc905_1</vt:lpstr>
      <vt:lpstr>dpc905_2</vt:lpstr>
      <vt:lpstr>dstAGFloorArea</vt:lpstr>
      <vt:lpstr>dstAttachedGarage</vt:lpstr>
      <vt:lpstr>dstAttic</vt:lpstr>
      <vt:lpstr>dstBuilderName</vt:lpstr>
      <vt:lpstr>dstBuildingCode</vt:lpstr>
      <vt:lpstr>dstCDucts</vt:lpstr>
      <vt:lpstr>dstCity</vt:lpstr>
      <vt:lpstr>dstCool1</vt:lpstr>
      <vt:lpstr>dstCool2</vt:lpstr>
      <vt:lpstr>dstCool3</vt:lpstr>
      <vt:lpstr>dstCounty</vt:lpstr>
      <vt:lpstr>dstCToilet</vt:lpstr>
      <vt:lpstr>dstDesigner</vt:lpstr>
      <vt:lpstr>dstDuctless</vt:lpstr>
      <vt:lpstr>dstEnergyCode</vt:lpstr>
      <vt:lpstr>dstFloors</vt:lpstr>
      <vt:lpstr>dstFoundation</vt:lpstr>
      <vt:lpstr>dstFuel</vt:lpstr>
      <vt:lpstr>dstHDucts</vt:lpstr>
      <vt:lpstr>dstHeat1</vt:lpstr>
      <vt:lpstr>dstHeat2</vt:lpstr>
      <vt:lpstr>dstHeat3</vt:lpstr>
      <vt:lpstr>dstHERS</vt:lpstr>
      <vt:lpstr>dstHomeAddress</vt:lpstr>
      <vt:lpstr>dstLot</vt:lpstr>
      <vt:lpstr>dstMassWalls</vt:lpstr>
      <vt:lpstr>dstPassiveSolar</vt:lpstr>
      <vt:lpstr>dstProjectDesc</vt:lpstr>
      <vt:lpstr>dstProjectName</vt:lpstr>
      <vt:lpstr>dstRadiantHydronic</vt:lpstr>
      <vt:lpstr>dstRecessedLighting</vt:lpstr>
      <vt:lpstr>dstRenewable</vt:lpstr>
      <vt:lpstr>dstSingleOrMulti</vt:lpstr>
      <vt:lpstr>dstsSHGC</vt:lpstr>
      <vt:lpstr>dstState</vt:lpstr>
      <vt:lpstr>dstsUV</vt:lpstr>
      <vt:lpstr>dstTCFloorArea</vt:lpstr>
      <vt:lpstr>dstTEInsulation</vt:lpstr>
      <vt:lpstr>dstTLWH</vt:lpstr>
      <vt:lpstr>dstUnits</vt:lpstr>
      <vt:lpstr>dstwdSHGC</vt:lpstr>
      <vt:lpstr>dstwdUV</vt:lpstr>
      <vt:lpstr>dstZIP</vt:lpstr>
      <vt:lpstr>fsgBatchID</vt:lpstr>
      <vt:lpstr>fsgBatchSubmissiongFinalAddress1</vt:lpstr>
      <vt:lpstr>fsgBatchSubmissiongFinalAddress10</vt:lpstr>
      <vt:lpstr>fsgBatchSubmissiongFinalAddress2</vt:lpstr>
      <vt:lpstr>fsgBatchSubmissiongFinalAddress3</vt:lpstr>
      <vt:lpstr>fsgBatchSubmissiongFinalAddress4</vt:lpstr>
      <vt:lpstr>fsgBatchSubmissiongFinalAddress5</vt:lpstr>
      <vt:lpstr>fsgBatchSubmissiongFinalAddress6</vt:lpstr>
      <vt:lpstr>fsgBatchSubmissiongFinalAddress7</vt:lpstr>
      <vt:lpstr>fsgBatchSubmissiongFinalAddress8</vt:lpstr>
      <vt:lpstr>fsgBatchSubmissiongFinalAddress9</vt:lpstr>
      <vt:lpstr>fsgBatchSubmissiongInspectionDate1</vt:lpstr>
      <vt:lpstr>fsgBatchSubmissiongInspectionDate10</vt:lpstr>
      <vt:lpstr>fsgBatchSubmissiongInspectionDate2</vt:lpstr>
      <vt:lpstr>fsgBatchSubmissiongInspectionDate3</vt:lpstr>
      <vt:lpstr>fsgBatchSubmissiongInspectionDate4</vt:lpstr>
      <vt:lpstr>fsgBatchSubmissiongInspectionDate5</vt:lpstr>
      <vt:lpstr>fsgBatchSubmissiongInspectionDate6</vt:lpstr>
      <vt:lpstr>fsgBatchSubmissiongInspectionDate7</vt:lpstr>
      <vt:lpstr>fsgBatchSubmissiongInspectionDate8</vt:lpstr>
      <vt:lpstr>fsgBatchSubmissiongInspectionDate9</vt:lpstr>
      <vt:lpstr>fsgBuilderCertificateDeliveryMethod</vt:lpstr>
      <vt:lpstr>fsgBuilderCertificateSendToEntity</vt:lpstr>
      <vt:lpstr>fsgBuilderComments</vt:lpstr>
      <vt:lpstr>fsgBuilderDate</vt:lpstr>
      <vt:lpstr>fsgBuilderEmail</vt:lpstr>
      <vt:lpstr>fsgBuilderName</vt:lpstr>
      <vt:lpstr>fsgBuilderPhone</vt:lpstr>
      <vt:lpstr>fsgBuilderRepSignature</vt:lpstr>
      <vt:lpstr>fsgBuilderSignatureRelease</vt:lpstr>
      <vt:lpstr>fsgRemoveBatchAddress1</vt:lpstr>
      <vt:lpstr>fsgRemoveBatchAddress10</vt:lpstr>
      <vt:lpstr>fsgRemoveBatchAddress2</vt:lpstr>
      <vt:lpstr>fsgRemoveBatchAddress3</vt:lpstr>
      <vt:lpstr>fsgRemoveBatchAddress4</vt:lpstr>
      <vt:lpstr>fsgRemoveBatchAddress5</vt:lpstr>
      <vt:lpstr>fsgRemoveBatchAddress6</vt:lpstr>
      <vt:lpstr>fsgRemoveBatchAddress7</vt:lpstr>
      <vt:lpstr>fsgRemoveBatchAddress8</vt:lpstr>
      <vt:lpstr>fsgRemoveBatchAddress9</vt:lpstr>
      <vt:lpstr>fsgTeamVerifierElementsVerified1</vt:lpstr>
      <vt:lpstr>fsgTeamVerifierElementsVerified2</vt:lpstr>
      <vt:lpstr>fsgTeamVerifierElementsVerified3</vt:lpstr>
      <vt:lpstr>fsgTeamVerifierElementsVerified4</vt:lpstr>
      <vt:lpstr>fsgTeamVerifierElementsVerified5</vt:lpstr>
      <vt:lpstr>fsgTeamVerifierInspectionDate1</vt:lpstr>
      <vt:lpstr>fsgTeamVerifierInspectionDate2</vt:lpstr>
      <vt:lpstr>fsgTeamVerifierInspectionDate3</vt:lpstr>
      <vt:lpstr>fsgTeamVerifierInspectionDate4</vt:lpstr>
      <vt:lpstr>fsgTeamVerifierInspectionDate5</vt:lpstr>
      <vt:lpstr>fsgTeamVerifierName1</vt:lpstr>
      <vt:lpstr>fsgTeamVerifierName2</vt:lpstr>
      <vt:lpstr>fsgTeamVerifierName3</vt:lpstr>
      <vt:lpstr>fsgTeamVerifierName4</vt:lpstr>
      <vt:lpstr>fsgTeamVerifierName5</vt:lpstr>
      <vt:lpstr>fsgTeamVerifierRole1</vt:lpstr>
      <vt:lpstr>fsgTeamVerifierRole2</vt:lpstr>
      <vt:lpstr>fsgTeamVerifierRole3</vt:lpstr>
      <vt:lpstr>fsgTeamVerifierRole4</vt:lpstr>
      <vt:lpstr>fsgTeamVerifierRole5</vt:lpstr>
      <vt:lpstr>fsgVerifierComments</vt:lpstr>
      <vt:lpstr>fsgVerifierDate</vt:lpstr>
      <vt:lpstr>fsgVerifierEmail</vt:lpstr>
      <vt:lpstr>fsgVerifierEndTime</vt:lpstr>
      <vt:lpstr>fsgVerifierExpectedCertificationsLevel</vt:lpstr>
      <vt:lpstr>fsgVerifierName</vt:lpstr>
      <vt:lpstr>fsgVerifierPhone</vt:lpstr>
      <vt:lpstr>fsgVerifierServiceDisclosure</vt:lpstr>
      <vt:lpstr>fsgVerifierServiceDisclosureOtherDesc</vt:lpstr>
      <vt:lpstr>fsgVerifierSign</vt:lpstr>
      <vt:lpstr>fsgVerifierStartTime</vt:lpstr>
      <vt:lpstr>GoalLevel</vt:lpstr>
      <vt:lpstr>hidCh10ErrorsMsg</vt:lpstr>
      <vt:lpstr>hidCh10MandatoryMsg</vt:lpstr>
      <vt:lpstr>hidCh10OverviewMsg</vt:lpstr>
      <vt:lpstr>hidCh5ErrorsMsg</vt:lpstr>
      <vt:lpstr>hidCh5MandatoryMsg</vt:lpstr>
      <vt:lpstr>hidCh5OverviewMsg</vt:lpstr>
      <vt:lpstr>hidCh6ErrorsMsg</vt:lpstr>
      <vt:lpstr>hidCh6MandatoryMsg</vt:lpstr>
      <vt:lpstr>hidCh6OverviewMsg</vt:lpstr>
      <vt:lpstr>hidCh7ErrorsMsg</vt:lpstr>
      <vt:lpstr>hidCh7MandatoryMsg</vt:lpstr>
      <vt:lpstr>hidCh7OverviewMsg</vt:lpstr>
      <vt:lpstr>hidCh8ErrorsMsg</vt:lpstr>
      <vt:lpstr>hidCh8MandatoryMsg</vt:lpstr>
      <vt:lpstr>hidCh8OverviewMsg</vt:lpstr>
      <vt:lpstr>hidCh9ErrorsMsg</vt:lpstr>
      <vt:lpstr>hidCh9MandatoryMsg</vt:lpstr>
      <vt:lpstr>hidCh9OverviewMsg</vt:lpstr>
      <vt:lpstr>hidFSMandatoryMsg</vt:lpstr>
      <vt:lpstr>hidFSOverviewMsg</vt:lpstr>
      <vt:lpstr>hidODClimateFormula</vt:lpstr>
      <vt:lpstr>hidODClimateLabel</vt:lpstr>
      <vt:lpstr>hidODCountyFormula</vt:lpstr>
      <vt:lpstr>hidODCountyLabel</vt:lpstr>
      <vt:lpstr>hidODMoistFormula</vt:lpstr>
      <vt:lpstr>hidODMoistLabel</vt:lpstr>
      <vt:lpstr>hidODNumberUnitsLabel</vt:lpstr>
      <vt:lpstr>hidODProjectNameLabel</vt:lpstr>
      <vt:lpstr>hidODStateFormula</vt:lpstr>
      <vt:lpstr>hidODStateLabel</vt:lpstr>
      <vt:lpstr>hidODTropicalFormula</vt:lpstr>
      <vt:lpstr>hidODTropicalLabel</vt:lpstr>
      <vt:lpstr>hidODWarmFormula</vt:lpstr>
      <vt:lpstr>hidODWarmLabel</vt:lpstr>
      <vt:lpstr>hidOVClimateFormula</vt:lpstr>
      <vt:lpstr>hidOVClimateLabel</vt:lpstr>
      <vt:lpstr>hidOVCountyFormula</vt:lpstr>
      <vt:lpstr>hidOVCountyLabel</vt:lpstr>
      <vt:lpstr>hidOVMoistFormula</vt:lpstr>
      <vt:lpstr>hidOVMoistLabel</vt:lpstr>
      <vt:lpstr>hidOVNumberUnitsLabel</vt:lpstr>
      <vt:lpstr>hidOVProjectNameLabel</vt:lpstr>
      <vt:lpstr>hidOVStateFormula</vt:lpstr>
      <vt:lpstr>hidOVStateLabel</vt:lpstr>
      <vt:lpstr>hidOVTropicalFormula</vt:lpstr>
      <vt:lpstr>hidOVTropicalLabel</vt:lpstr>
      <vt:lpstr>hidOVWarmFormula</vt:lpstr>
      <vt:lpstr>hidOVWarmLabel</vt:lpstr>
      <vt:lpstr>hidRSMandatoryMsg</vt:lpstr>
      <vt:lpstr>hidRSOverviewMsg</vt:lpstr>
      <vt:lpstr>hidVRErrorsMsg</vt:lpstr>
      <vt:lpstr>hidVRMandatoryMsg</vt:lpstr>
      <vt:lpstr>hidVROverviewMsg</vt:lpstr>
      <vt:lpstr>hyptarg1</vt:lpstr>
      <vt:lpstr>hyptarg2</vt:lpstr>
      <vt:lpstr>hyptarg3</vt:lpstr>
      <vt:lpstr>hyptarg4</vt:lpstr>
      <vt:lpstr>hyptarg5</vt:lpstr>
      <vt:lpstr>hyptarg6</vt:lpstr>
      <vt:lpstr>hyptarg7.1</vt:lpstr>
      <vt:lpstr>hyptarg7.2</vt:lpstr>
      <vt:lpstr>hyptarg7.26</vt:lpstr>
      <vt:lpstr>hyptarg7.3</vt:lpstr>
      <vt:lpstr>hyptarg7.4</vt:lpstr>
      <vt:lpstr>hyptarg7.5</vt:lpstr>
      <vt:lpstr>hyptarg8.1</vt:lpstr>
      <vt:lpstr>hyptarg9.1</vt:lpstr>
      <vt:lpstr>hyptarg9.2</vt:lpstr>
      <vt:lpstr>hyptarg9.3</vt:lpstr>
      <vt:lpstr>photoRevList</vt:lpstr>
      <vt:lpstr>'Ch10'!Print_Area</vt:lpstr>
      <vt:lpstr>'Ch5'!Print_Area</vt:lpstr>
      <vt:lpstr>'Ch6'!Print_Area</vt:lpstr>
      <vt:lpstr>'Ch8'!Print_Area</vt:lpstr>
      <vt:lpstr>'Design Summ.'!Print_Area</vt:lpstr>
      <vt:lpstr>'Final Sig.'!Print_Area</vt:lpstr>
      <vt:lpstr>'Overview (Design)'!Print_Area</vt:lpstr>
      <vt:lpstr>'Overview (Verification)'!Print_Area</vt:lpstr>
      <vt:lpstr>'Req. Doc.'!Print_Area</vt:lpstr>
      <vt:lpstr>'Rough Sig.'!Print_Area</vt:lpstr>
      <vt:lpstr>'Verification Report'!Print_Area</vt:lpstr>
      <vt:lpstr>ReportType</vt:lpstr>
      <vt:lpstr>rsgBatchSubmissiongInspectionDate1</vt:lpstr>
      <vt:lpstr>rsgBatchSubmissiongInspectionDate10</vt:lpstr>
      <vt:lpstr>rsgBatchSubmissiongInspectionDate2</vt:lpstr>
      <vt:lpstr>rsgBatchSubmissiongInspectionDate3</vt:lpstr>
      <vt:lpstr>rsgBatchSubmissiongInspectionDate4</vt:lpstr>
      <vt:lpstr>rsgBatchSubmissiongInspectionDate5</vt:lpstr>
      <vt:lpstr>rsgBatchSubmissiongInspectionDate6</vt:lpstr>
      <vt:lpstr>rsgBatchSubmissiongInspectionDate7</vt:lpstr>
      <vt:lpstr>rsgBatchSubmissiongInspectionDate8</vt:lpstr>
      <vt:lpstr>rsgBatchSubmissiongInspectionDate9</vt:lpstr>
      <vt:lpstr>rsgBatchSubmissiongProjectID1</vt:lpstr>
      <vt:lpstr>rsgBatchSubmissiongProjectID10</vt:lpstr>
      <vt:lpstr>rsgBatchSubmissiongProjectID2</vt:lpstr>
      <vt:lpstr>rsgBatchSubmissiongProjectID3</vt:lpstr>
      <vt:lpstr>rsgBatchSubmissiongProjectID4</vt:lpstr>
      <vt:lpstr>rsgBatchSubmissiongProjectID5</vt:lpstr>
      <vt:lpstr>rsgBatchSubmissiongProjectID6</vt:lpstr>
      <vt:lpstr>rsgBatchSubmissiongProjectID7</vt:lpstr>
      <vt:lpstr>rsgBatchSubmissiongProjectID8</vt:lpstr>
      <vt:lpstr>rsgBatchSubmissiongProjectID9</vt:lpstr>
      <vt:lpstr>rsgBatchSubmissiongRoughAddress1</vt:lpstr>
      <vt:lpstr>rsgBatchSubmissiongRoughAddress10</vt:lpstr>
      <vt:lpstr>rsgBatchSubmissiongRoughAddress2</vt:lpstr>
      <vt:lpstr>rsgBatchSubmissiongRoughAddress3</vt:lpstr>
      <vt:lpstr>rsgBatchSubmissiongRoughAddress4</vt:lpstr>
      <vt:lpstr>rsgBatchSubmissiongRoughAddress5</vt:lpstr>
      <vt:lpstr>rsgBatchSubmissiongRoughAddress6</vt:lpstr>
      <vt:lpstr>rsgBatchSubmissiongRoughAddress7</vt:lpstr>
      <vt:lpstr>rsgBatchSubmissiongRoughAddress8</vt:lpstr>
      <vt:lpstr>rsgBatchSubmissiongRoughAddress9</vt:lpstr>
      <vt:lpstr>rsgBuilderComments</vt:lpstr>
      <vt:lpstr>rsgBuilderDate</vt:lpstr>
      <vt:lpstr>rsgBuilderEmail</vt:lpstr>
      <vt:lpstr>rsgBuilderName</vt:lpstr>
      <vt:lpstr>rsgBuilderPhone</vt:lpstr>
      <vt:lpstr>rsgBuilderRepSignature</vt:lpstr>
      <vt:lpstr>rsgBuilderSignatureRelease</vt:lpstr>
      <vt:lpstr>rsgTeamVerifierElementsVerified1</vt:lpstr>
      <vt:lpstr>rsgTeamVerifierElementsVerified2</vt:lpstr>
      <vt:lpstr>rsgTeamVerifierElementsVerified3</vt:lpstr>
      <vt:lpstr>rsgTeamVerifierElementsVerified4</vt:lpstr>
      <vt:lpstr>rsgTeamVerifierElementsVerified5</vt:lpstr>
      <vt:lpstr>rsgTeamVerifierInspectionDate1</vt:lpstr>
      <vt:lpstr>rsgTeamVerifierInspectionDate2</vt:lpstr>
      <vt:lpstr>rsgTeamVerifierInspectionDate3</vt:lpstr>
      <vt:lpstr>rsgTeamVerifierInspectionDate4</vt:lpstr>
      <vt:lpstr>rsgTeamVerifierInspectionDate5</vt:lpstr>
      <vt:lpstr>rsgTeamVerifierName1</vt:lpstr>
      <vt:lpstr>rsgTeamVerifierName2</vt:lpstr>
      <vt:lpstr>rsgTeamVerifierName3</vt:lpstr>
      <vt:lpstr>rsgTeamVerifierName4</vt:lpstr>
      <vt:lpstr>rsgTeamVerifierName5</vt:lpstr>
      <vt:lpstr>rsgTeamVerifierRole1</vt:lpstr>
      <vt:lpstr>rsgTeamVerifierRole2</vt:lpstr>
      <vt:lpstr>rsgTeamVerifierRole3</vt:lpstr>
      <vt:lpstr>rsgTeamVerifierRole4</vt:lpstr>
      <vt:lpstr>rsgTeamVerifierRole5</vt:lpstr>
      <vt:lpstr>rsgVerifierComments</vt:lpstr>
      <vt:lpstr>rsgVerifierDate</vt:lpstr>
      <vt:lpstr>rsgVerifierEmail</vt:lpstr>
      <vt:lpstr>rsgVerifierEndTime</vt:lpstr>
      <vt:lpstr>rsgVerifierName</vt:lpstr>
      <vt:lpstr>rsgVerifierPhone</vt:lpstr>
      <vt:lpstr>rsgVerifierSign</vt:lpstr>
      <vt:lpstr>rsgVerifierStartTime</vt:lpstr>
      <vt:lpstr>startError</vt:lpstr>
      <vt:lpstr>TorF</vt:lpstr>
      <vt:lpstr>vch1001_1_1</vt:lpstr>
      <vt:lpstr>vch1001_1_10</vt:lpstr>
      <vt:lpstr>vch1001_1_11</vt:lpstr>
      <vt:lpstr>vch1001_1_12</vt:lpstr>
      <vt:lpstr>vch1001_1_13</vt:lpstr>
      <vt:lpstr>vch1001_1_14</vt:lpstr>
      <vt:lpstr>vch1001_1_15</vt:lpstr>
      <vt:lpstr>vch1001_1_16</vt:lpstr>
      <vt:lpstr>vch1001_1_17</vt:lpstr>
      <vt:lpstr>vch1001_1_18</vt:lpstr>
      <vt:lpstr>vch1001_1_19</vt:lpstr>
      <vt:lpstr>vch1001_1_2</vt:lpstr>
      <vt:lpstr>vch1001_1_20</vt:lpstr>
      <vt:lpstr>vch1001_1_21</vt:lpstr>
      <vt:lpstr>vch1001_1_22</vt:lpstr>
      <vt:lpstr>vch1001_1_23</vt:lpstr>
      <vt:lpstr>vch1001_1_24</vt:lpstr>
      <vt:lpstr>vch1001_1_3</vt:lpstr>
      <vt:lpstr>vch1001_1_4</vt:lpstr>
      <vt:lpstr>vch1001_1_5</vt:lpstr>
      <vt:lpstr>vch1001_1_6</vt:lpstr>
      <vt:lpstr>vch1001_1_7</vt:lpstr>
      <vt:lpstr>vch1001_1_8</vt:lpstr>
      <vt:lpstr>vch1001_1_9</vt:lpstr>
      <vt:lpstr>vch1001_2</vt:lpstr>
      <vt:lpstr>vch1002_1_1</vt:lpstr>
      <vt:lpstr>vch1002_1_2</vt:lpstr>
      <vt:lpstr>vch1002_1_3</vt:lpstr>
      <vt:lpstr>vch1002_1_4</vt:lpstr>
      <vt:lpstr>vch1002_1_5</vt:lpstr>
      <vt:lpstr>vch1002_1_6</vt:lpstr>
      <vt:lpstr>vch1002_1_7</vt:lpstr>
      <vt:lpstr>vch1002_1_8</vt:lpstr>
      <vt:lpstr>vch1002_2_1</vt:lpstr>
      <vt:lpstr>vch1002_2_10</vt:lpstr>
      <vt:lpstr>vch1002_2_11</vt:lpstr>
      <vt:lpstr>vch1002_2_2</vt:lpstr>
      <vt:lpstr>vch1002_2_3</vt:lpstr>
      <vt:lpstr>vch1002_2_4</vt:lpstr>
      <vt:lpstr>vch1002_2_5</vt:lpstr>
      <vt:lpstr>vch1002_2_6</vt:lpstr>
      <vt:lpstr>vch1002_2_7</vt:lpstr>
      <vt:lpstr>vch1002_2_8</vt:lpstr>
      <vt:lpstr>vch1002_2_9</vt:lpstr>
      <vt:lpstr>vch1002_3_1</vt:lpstr>
      <vt:lpstr>vch1002_3_10</vt:lpstr>
      <vt:lpstr>vch1002_3_2</vt:lpstr>
      <vt:lpstr>vch1002_3_3</vt:lpstr>
      <vt:lpstr>vch1002_3_4</vt:lpstr>
      <vt:lpstr>vch1002_3_5</vt:lpstr>
      <vt:lpstr>vch1002_3_6</vt:lpstr>
      <vt:lpstr>vch1002_3_7</vt:lpstr>
      <vt:lpstr>vch1002_3_8</vt:lpstr>
      <vt:lpstr>vch1002_3_9</vt:lpstr>
      <vt:lpstr>vch1002_4</vt:lpstr>
      <vt:lpstr>vch1003_1_1</vt:lpstr>
      <vt:lpstr>vch1003_1_2</vt:lpstr>
      <vt:lpstr>vch1003_1_3</vt:lpstr>
      <vt:lpstr>vch1004_1_1</vt:lpstr>
      <vt:lpstr>vch1004_1_2</vt:lpstr>
      <vt:lpstr>vch501_1</vt:lpstr>
      <vt:lpstr>vch501_1_1</vt:lpstr>
      <vt:lpstr>vch501_1_2</vt:lpstr>
      <vt:lpstr>vch501_1_3</vt:lpstr>
      <vt:lpstr>vch501_2_1</vt:lpstr>
      <vt:lpstr>vch501_2_2</vt:lpstr>
      <vt:lpstr>vch501_2_3</vt:lpstr>
      <vt:lpstr>vch501_2_4</vt:lpstr>
      <vt:lpstr>vch501_2_5</vt:lpstr>
      <vt:lpstr>vch501_2_6</vt:lpstr>
      <vt:lpstr>vch502_1</vt:lpstr>
      <vt:lpstr>vch503_1_1</vt:lpstr>
      <vt:lpstr>vch503_1_2</vt:lpstr>
      <vt:lpstr>vch503_1_3</vt:lpstr>
      <vt:lpstr>vch503_1_4</vt:lpstr>
      <vt:lpstr>vch503_1_5</vt:lpstr>
      <vt:lpstr>vch503_1_6</vt:lpstr>
      <vt:lpstr>vch503_1_7</vt:lpstr>
      <vt:lpstr>vch503_2</vt:lpstr>
      <vt:lpstr>vch503_2_1</vt:lpstr>
      <vt:lpstr>vch503_2_2</vt:lpstr>
      <vt:lpstr>vch503_2_3</vt:lpstr>
      <vt:lpstr>vch503_2_4</vt:lpstr>
      <vt:lpstr>vch503_2_5</vt:lpstr>
      <vt:lpstr>vch503_3_1</vt:lpstr>
      <vt:lpstr>vch503_3_2_a</vt:lpstr>
      <vt:lpstr>vch503_3_2_b</vt:lpstr>
      <vt:lpstr>vch503_3_2_c</vt:lpstr>
      <vt:lpstr>vch503_3_2_d</vt:lpstr>
      <vt:lpstr>vch503_3_3</vt:lpstr>
      <vt:lpstr>vch503_4_1</vt:lpstr>
      <vt:lpstr>vch503_4_2</vt:lpstr>
      <vt:lpstr>vch503_4_3</vt:lpstr>
      <vt:lpstr>vch503_4_4</vt:lpstr>
      <vt:lpstr>vch503_5</vt:lpstr>
      <vt:lpstr>vch503_5_1</vt:lpstr>
      <vt:lpstr>vch503_5_10</vt:lpstr>
      <vt:lpstr>vch503_5_11</vt:lpstr>
      <vt:lpstr>vch503_5_12</vt:lpstr>
      <vt:lpstr>vch503_5_2</vt:lpstr>
      <vt:lpstr>vch503_5_3</vt:lpstr>
      <vt:lpstr>vch503_5_4</vt:lpstr>
      <vt:lpstr>vch503_5_5</vt:lpstr>
      <vt:lpstr>vch503_5_6</vt:lpstr>
      <vt:lpstr>vch503_5_7</vt:lpstr>
      <vt:lpstr>vch503_5_8</vt:lpstr>
      <vt:lpstr>vch503_5_9</vt:lpstr>
      <vt:lpstr>vch503_6_1</vt:lpstr>
      <vt:lpstr>vch503_6_2</vt:lpstr>
      <vt:lpstr>vch503_6_3</vt:lpstr>
      <vt:lpstr>vch503_6_4</vt:lpstr>
      <vt:lpstr>vch503_7_1</vt:lpstr>
      <vt:lpstr>vch503_7_2</vt:lpstr>
      <vt:lpstr>vch503_8</vt:lpstr>
      <vt:lpstr>vch504_1</vt:lpstr>
      <vt:lpstr>vch504_2_1</vt:lpstr>
      <vt:lpstr>vch504_2_2</vt:lpstr>
      <vt:lpstr>vch504_2_3</vt:lpstr>
      <vt:lpstr>vch504_3_1</vt:lpstr>
      <vt:lpstr>vch504_3_2</vt:lpstr>
      <vt:lpstr>vch504_3_3</vt:lpstr>
      <vt:lpstr>vch504_3_4</vt:lpstr>
      <vt:lpstr>vch504_3_5</vt:lpstr>
      <vt:lpstr>vch504_3_6</vt:lpstr>
      <vt:lpstr>vch504_3_7</vt:lpstr>
      <vt:lpstr>vch504_3_8a</vt:lpstr>
      <vt:lpstr>vch504_3_8b</vt:lpstr>
      <vt:lpstr>vch504_3_8c</vt:lpstr>
      <vt:lpstr>vch504_3_8d</vt:lpstr>
      <vt:lpstr>vch504_3_8e</vt:lpstr>
      <vt:lpstr>vch504_3_8f</vt:lpstr>
      <vt:lpstr>vch504_3_9</vt:lpstr>
      <vt:lpstr>vch505_1_1</vt:lpstr>
      <vt:lpstr>vch505_1_2</vt:lpstr>
      <vt:lpstr>vch505_1_3</vt:lpstr>
      <vt:lpstr>vch505_1_4</vt:lpstr>
      <vt:lpstr>vch505_2_1_a</vt:lpstr>
      <vt:lpstr>vch505_2_1_b</vt:lpstr>
      <vt:lpstr>vch505_2_1_c</vt:lpstr>
      <vt:lpstr>vch505_2_2</vt:lpstr>
      <vt:lpstr>vch505_3</vt:lpstr>
      <vt:lpstr>vch505_4</vt:lpstr>
      <vt:lpstr>vch505_5</vt:lpstr>
      <vt:lpstr>vch505_6</vt:lpstr>
      <vt:lpstr>vch601_2_1</vt:lpstr>
      <vt:lpstr>vch601_2_2</vt:lpstr>
      <vt:lpstr>vch601_2_3</vt:lpstr>
      <vt:lpstr>vch601_3_1</vt:lpstr>
      <vt:lpstr>vch601_3_2</vt:lpstr>
      <vt:lpstr>vch601_3_3</vt:lpstr>
      <vt:lpstr>vch601_3_4</vt:lpstr>
      <vt:lpstr>vch601_3_5</vt:lpstr>
      <vt:lpstr>vch601_4</vt:lpstr>
      <vt:lpstr>vch601_5_1</vt:lpstr>
      <vt:lpstr>vch601_5_2</vt:lpstr>
      <vt:lpstr>vch601_5_3</vt:lpstr>
      <vt:lpstr>vch601_5_4</vt:lpstr>
      <vt:lpstr>vch601_5_5</vt:lpstr>
      <vt:lpstr>vch601_6</vt:lpstr>
      <vt:lpstr>vch601_7_a</vt:lpstr>
      <vt:lpstr>vch601_7_b</vt:lpstr>
      <vt:lpstr>vch601_7_c</vt:lpstr>
      <vt:lpstr>vch601_7_d</vt:lpstr>
      <vt:lpstr>vch601_7_e</vt:lpstr>
      <vt:lpstr>vch601_8</vt:lpstr>
      <vt:lpstr>vch601_9</vt:lpstr>
      <vt:lpstr>vch602_1_1_1</vt:lpstr>
      <vt:lpstr>vch602_1_1_2</vt:lpstr>
      <vt:lpstr>vch602_1_10</vt:lpstr>
      <vt:lpstr>vch602_1_11</vt:lpstr>
      <vt:lpstr>vch602_1_12</vt:lpstr>
      <vt:lpstr>vch602_1_13</vt:lpstr>
      <vt:lpstr>vch602_1_14_1</vt:lpstr>
      <vt:lpstr>vch602_1_14_2</vt:lpstr>
      <vt:lpstr>vch602_1_14_3</vt:lpstr>
      <vt:lpstr>vch602_1_2__1</vt:lpstr>
      <vt:lpstr>vch602_1_2__2</vt:lpstr>
      <vt:lpstr>vch602_1_3_1</vt:lpstr>
      <vt:lpstr>vch602_1_3_2</vt:lpstr>
      <vt:lpstr>vch602_1_4_1_1</vt:lpstr>
      <vt:lpstr>vch602_1_4_1_2</vt:lpstr>
      <vt:lpstr>vch602_1_4_2_1</vt:lpstr>
      <vt:lpstr>vch602_1_4_2_2</vt:lpstr>
      <vt:lpstr>vch602_1_5</vt:lpstr>
      <vt:lpstr>vch602_1_5_1</vt:lpstr>
      <vt:lpstr>vch602_1_5_2</vt:lpstr>
      <vt:lpstr>vch602_1_6_1</vt:lpstr>
      <vt:lpstr>vch602_1_6_2</vt:lpstr>
      <vt:lpstr>vch602_1_6_3</vt:lpstr>
      <vt:lpstr>vch602_1_7_1_1</vt:lpstr>
      <vt:lpstr>vch602_1_7_1_2</vt:lpstr>
      <vt:lpstr>vch602_1_7_1_3</vt:lpstr>
      <vt:lpstr>vch602_1_7_2</vt:lpstr>
      <vt:lpstr>vch602_1_7_3</vt:lpstr>
      <vt:lpstr>vch602_1_8</vt:lpstr>
      <vt:lpstr>vch602_1_9_1</vt:lpstr>
      <vt:lpstr>vch602_1_9_2</vt:lpstr>
      <vt:lpstr>vch602_1_9_3</vt:lpstr>
      <vt:lpstr>vch602_1_9_4</vt:lpstr>
      <vt:lpstr>vch602_1_9_5</vt:lpstr>
      <vt:lpstr>vch602_1_9_6</vt:lpstr>
      <vt:lpstr>vch602_1_9_7</vt:lpstr>
      <vt:lpstr>vch602_2_1</vt:lpstr>
      <vt:lpstr>vch602_2_2</vt:lpstr>
      <vt:lpstr>vch602_2_3</vt:lpstr>
      <vt:lpstr>vch602_3</vt:lpstr>
      <vt:lpstr>vch602_4_1</vt:lpstr>
      <vt:lpstr>vch602_4_2</vt:lpstr>
      <vt:lpstr>vch602_4_3</vt:lpstr>
      <vt:lpstr>vch603_1</vt:lpstr>
      <vt:lpstr>vch603_2</vt:lpstr>
      <vt:lpstr>vch603_3</vt:lpstr>
      <vt:lpstr>vch604_1a</vt:lpstr>
      <vt:lpstr>vch604_1b</vt:lpstr>
      <vt:lpstr>vch604_1c</vt:lpstr>
      <vt:lpstr>vch604_1d</vt:lpstr>
      <vt:lpstr>vch605_1</vt:lpstr>
      <vt:lpstr>vch605_1_2</vt:lpstr>
      <vt:lpstr>vch605_2</vt:lpstr>
      <vt:lpstr>vch605_3_2_a</vt:lpstr>
      <vt:lpstr>vch605_3_2_b</vt:lpstr>
      <vt:lpstr>vch605_3_2_c</vt:lpstr>
      <vt:lpstr>vch605_3_2_d</vt:lpstr>
      <vt:lpstr>vch605_3_2_e</vt:lpstr>
      <vt:lpstr>vch605_3_2_f</vt:lpstr>
      <vt:lpstr>vch605_3_2_g</vt:lpstr>
      <vt:lpstr>vch605_3_2_h</vt:lpstr>
      <vt:lpstr>vch605_3_2_i</vt:lpstr>
      <vt:lpstr>vch606_1_a</vt:lpstr>
      <vt:lpstr>vch606_1_b</vt:lpstr>
      <vt:lpstr>vch606_1_c</vt:lpstr>
      <vt:lpstr>vch606_1_d</vt:lpstr>
      <vt:lpstr>vch606_1_e</vt:lpstr>
      <vt:lpstr>vch606_1_f</vt:lpstr>
      <vt:lpstr>vch606_1_g</vt:lpstr>
      <vt:lpstr>vch606_1_h</vt:lpstr>
      <vt:lpstr>vch606_2_1a</vt:lpstr>
      <vt:lpstr>vch606_2_1b</vt:lpstr>
      <vt:lpstr>vch606_2_2a</vt:lpstr>
      <vt:lpstr>vch606_2_2b</vt:lpstr>
      <vt:lpstr>vch606_3</vt:lpstr>
      <vt:lpstr>vch607_1_1</vt:lpstr>
      <vt:lpstr>vch607_1_2</vt:lpstr>
      <vt:lpstr>vch607_2</vt:lpstr>
      <vt:lpstr>vch608_1</vt:lpstr>
      <vt:lpstr>vch609_1a</vt:lpstr>
      <vt:lpstr>vch609_1b</vt:lpstr>
      <vt:lpstr>vch610_1_1_1</vt:lpstr>
      <vt:lpstr>vch610_1_1_2</vt:lpstr>
      <vt:lpstr>vch610_1_1_3</vt:lpstr>
      <vt:lpstr>vch610_1_2_1a</vt:lpstr>
      <vt:lpstr>vch610_1_2_1b</vt:lpstr>
      <vt:lpstr>vch610_1_2_2_f</vt:lpstr>
      <vt:lpstr>vch610_1_2_2a</vt:lpstr>
      <vt:lpstr>vch610_1_2_2b</vt:lpstr>
      <vt:lpstr>vch610_1_2_2c</vt:lpstr>
      <vt:lpstr>vch611_1</vt:lpstr>
      <vt:lpstr>vch611_2_1</vt:lpstr>
      <vt:lpstr>vch611_2_2</vt:lpstr>
      <vt:lpstr>vch611_2_3</vt:lpstr>
      <vt:lpstr>vch611_2_4</vt:lpstr>
      <vt:lpstr>vch611_2_5</vt:lpstr>
      <vt:lpstr>vch611_2_6</vt:lpstr>
      <vt:lpstr>vch611_2_7</vt:lpstr>
      <vt:lpstr>vch611_3_1</vt:lpstr>
      <vt:lpstr>vch611_3_2</vt:lpstr>
      <vt:lpstr>vch611_3_3</vt:lpstr>
      <vt:lpstr>vch611_3_4</vt:lpstr>
      <vt:lpstr>vch611_3_5</vt:lpstr>
      <vt:lpstr>vch611_3_6</vt:lpstr>
      <vt:lpstr>vch611_3_7</vt:lpstr>
      <vt:lpstr>vch611_3_8</vt:lpstr>
      <vt:lpstr>vch611_3_9</vt:lpstr>
      <vt:lpstr>vch611_4_1</vt:lpstr>
      <vt:lpstr>vch611_4_2</vt:lpstr>
      <vt:lpstr>vch701_1</vt:lpstr>
      <vt:lpstr>vch701_1_4</vt:lpstr>
      <vt:lpstr>vch701_3</vt:lpstr>
      <vt:lpstr>vch701_4_1</vt:lpstr>
      <vt:lpstr>vch701_4_1_1</vt:lpstr>
      <vt:lpstr>vch701_4_1_2</vt:lpstr>
      <vt:lpstr>vch701_4_2_2</vt:lpstr>
      <vt:lpstr>vch701_4_2_3</vt:lpstr>
      <vt:lpstr>vch701_4_3_1_1</vt:lpstr>
      <vt:lpstr>vch701_4_3_1_2</vt:lpstr>
      <vt:lpstr>vch701_4_3_2_1</vt:lpstr>
      <vt:lpstr>vch701_4_3_2_1_</vt:lpstr>
      <vt:lpstr>vch701_4_3_2_2</vt:lpstr>
      <vt:lpstr>vch701_4_3_2e</vt:lpstr>
      <vt:lpstr>vch701_4_3_3_4</vt:lpstr>
      <vt:lpstr>vch701_4_3_3_5</vt:lpstr>
      <vt:lpstr>vch701_4_4_1</vt:lpstr>
      <vt:lpstr>vch701_4_4_2</vt:lpstr>
      <vt:lpstr>vch701_4_5</vt:lpstr>
      <vt:lpstr>vch702_2_1</vt:lpstr>
      <vt:lpstr>vch702_2_2</vt:lpstr>
      <vt:lpstr>vch703_1_1</vt:lpstr>
      <vt:lpstr>vch703_1_2</vt:lpstr>
      <vt:lpstr>vch703_1_3</vt:lpstr>
      <vt:lpstr>vch703_2_1</vt:lpstr>
      <vt:lpstr>vch703_2_1_2</vt:lpstr>
      <vt:lpstr>vch703_2_2</vt:lpstr>
      <vt:lpstr>vch703_2_3</vt:lpstr>
      <vt:lpstr>vch703_2_5_1</vt:lpstr>
      <vt:lpstr>vch703_2_5_1_1</vt:lpstr>
      <vt:lpstr>vch703_2_5_2</vt:lpstr>
      <vt:lpstr>vch703_2_5_2_1</vt:lpstr>
      <vt:lpstr>vch703_3_0_1</vt:lpstr>
      <vt:lpstr>vch703_3_0_2</vt:lpstr>
      <vt:lpstr>vch703_3_1</vt:lpstr>
      <vt:lpstr>vch703_3_2__1_1</vt:lpstr>
      <vt:lpstr>vch703_3_2__2_1</vt:lpstr>
      <vt:lpstr>vch703_3_2__3_1</vt:lpstr>
      <vt:lpstr>vch703_3_2__4_1</vt:lpstr>
      <vt:lpstr>vch703_3_3__1_1</vt:lpstr>
      <vt:lpstr>vch703_3_3__3</vt:lpstr>
      <vt:lpstr>vch703_3_4_1_1</vt:lpstr>
      <vt:lpstr>vch703_3_4_1_5</vt:lpstr>
      <vt:lpstr>vch703_3_4_2</vt:lpstr>
      <vt:lpstr>vch703_3_5</vt:lpstr>
      <vt:lpstr>vch703_3_6</vt:lpstr>
      <vt:lpstr>vch703_3_7_1</vt:lpstr>
      <vt:lpstr>vch703_3_7_2</vt:lpstr>
      <vt:lpstr>vch703_3_8</vt:lpstr>
      <vt:lpstr>vch703_4_1</vt:lpstr>
      <vt:lpstr>vch703_4_2</vt:lpstr>
      <vt:lpstr>vch703_4_3_1</vt:lpstr>
      <vt:lpstr>vch703_4_3_2</vt:lpstr>
      <vt:lpstr>vch703_4_3_3</vt:lpstr>
      <vt:lpstr>vch703_4_4</vt:lpstr>
      <vt:lpstr>vch703_5_1</vt:lpstr>
      <vt:lpstr>vch703_5_1_1_a</vt:lpstr>
      <vt:lpstr>vch703_5_2</vt:lpstr>
      <vt:lpstr>vch703_5_3</vt:lpstr>
      <vt:lpstr>vch703_5_4</vt:lpstr>
      <vt:lpstr>vch703_5_5</vt:lpstr>
      <vt:lpstr>vch703_6_1_1</vt:lpstr>
      <vt:lpstr>vch703_6_1_2</vt:lpstr>
      <vt:lpstr>vch703_6_1_3</vt:lpstr>
      <vt:lpstr>vch703_6_2__1</vt:lpstr>
      <vt:lpstr>vch703_6_2__2</vt:lpstr>
      <vt:lpstr>vch703_6_2__3</vt:lpstr>
      <vt:lpstr>vch703_7_1</vt:lpstr>
      <vt:lpstr>vch703_7_2</vt:lpstr>
      <vt:lpstr>vch703_7_3_1_a</vt:lpstr>
      <vt:lpstr>vch703_7_3_1_b</vt:lpstr>
      <vt:lpstr>vch703_7_3_1_c</vt:lpstr>
      <vt:lpstr>vch703_7_3_1_d</vt:lpstr>
      <vt:lpstr>vch703_7_3_2</vt:lpstr>
      <vt:lpstr>vch703_7_3_3</vt:lpstr>
      <vt:lpstr>vch703_7_3_4</vt:lpstr>
      <vt:lpstr>vch703_7_3_5_a</vt:lpstr>
      <vt:lpstr>vch703_7_3_5_b</vt:lpstr>
      <vt:lpstr>vch703_7_3_6</vt:lpstr>
      <vt:lpstr>vch703_7_4</vt:lpstr>
      <vt:lpstr>vch704_2</vt:lpstr>
      <vt:lpstr>vch705_2_1_1</vt:lpstr>
      <vt:lpstr>vch705_2_1_2</vt:lpstr>
      <vt:lpstr>vch705_2_1_3_1</vt:lpstr>
      <vt:lpstr>vch705_2_1_3_2</vt:lpstr>
      <vt:lpstr>vch705_2_1_4</vt:lpstr>
      <vt:lpstr>vch705_2_2</vt:lpstr>
      <vt:lpstr>vch705_2_3</vt:lpstr>
      <vt:lpstr>vch705_2_4</vt:lpstr>
      <vt:lpstr>vch705_3</vt:lpstr>
      <vt:lpstr>vch705_4</vt:lpstr>
      <vt:lpstr>vch705_5_1</vt:lpstr>
      <vt:lpstr>vch705_5_2</vt:lpstr>
      <vt:lpstr>vch705_6_2_1_1</vt:lpstr>
      <vt:lpstr>vch705_6_2_1_2</vt:lpstr>
      <vt:lpstr>vch705_6_2_2</vt:lpstr>
      <vt:lpstr>vch705_6_2_3</vt:lpstr>
      <vt:lpstr>vch705_6_3</vt:lpstr>
      <vt:lpstr>vch705_6_4_1</vt:lpstr>
      <vt:lpstr>vch705_6_4_2</vt:lpstr>
      <vt:lpstr>vch705_7</vt:lpstr>
      <vt:lpstr>vch706_1_1</vt:lpstr>
      <vt:lpstr>vch706_1_2</vt:lpstr>
      <vt:lpstr>vch706_1_3</vt:lpstr>
      <vt:lpstr>vch706_1_4</vt:lpstr>
      <vt:lpstr>vch706_1_5</vt:lpstr>
      <vt:lpstr>vch706_2_1</vt:lpstr>
      <vt:lpstr>vch706_2_2</vt:lpstr>
      <vt:lpstr>vch706_3_1</vt:lpstr>
      <vt:lpstr>vch706_3_2</vt:lpstr>
      <vt:lpstr>vch706_3_3</vt:lpstr>
      <vt:lpstr>vch706_3_4</vt:lpstr>
      <vt:lpstr>vch706_3_5</vt:lpstr>
      <vt:lpstr>vch706_3_6</vt:lpstr>
      <vt:lpstr>vch706_3_7</vt:lpstr>
      <vt:lpstr>vch706_3_8</vt:lpstr>
      <vt:lpstr>vch706_4_1_1</vt:lpstr>
      <vt:lpstr>vch706_4_1_2</vt:lpstr>
      <vt:lpstr>vch706_4_2</vt:lpstr>
      <vt:lpstr>vch706_5</vt:lpstr>
      <vt:lpstr>vch706_6</vt:lpstr>
      <vt:lpstr>vch706_7_1</vt:lpstr>
      <vt:lpstr>vch706_7_2</vt:lpstr>
      <vt:lpstr>vch706_8</vt:lpstr>
      <vt:lpstr>vch706_9</vt:lpstr>
      <vt:lpstr>vch801_1</vt:lpstr>
      <vt:lpstr>vch801_1_6</vt:lpstr>
      <vt:lpstr>vch801_2_1</vt:lpstr>
      <vt:lpstr>vch801_2_2</vt:lpstr>
      <vt:lpstr>vch801_3_1</vt:lpstr>
      <vt:lpstr>vch801_3_2</vt:lpstr>
      <vt:lpstr>vch801_3_3</vt:lpstr>
      <vt:lpstr>vch801_4_1_1</vt:lpstr>
      <vt:lpstr>vch801_4_1_2</vt:lpstr>
      <vt:lpstr>vch801_4_2</vt:lpstr>
      <vt:lpstr>vch801_5_2</vt:lpstr>
      <vt:lpstr>vch801_5_3</vt:lpstr>
      <vt:lpstr>vch801_5_4_a</vt:lpstr>
      <vt:lpstr>vch801_5_4_b</vt:lpstr>
      <vt:lpstr>vch801_5_4_c</vt:lpstr>
      <vt:lpstr>vch801_6_1</vt:lpstr>
      <vt:lpstr>vch801_6_2_1</vt:lpstr>
      <vt:lpstr>vch801_6_2_2</vt:lpstr>
      <vt:lpstr>vch801_6_2_3</vt:lpstr>
      <vt:lpstr>vch801_6_3</vt:lpstr>
      <vt:lpstr>vch801_6_4_1</vt:lpstr>
      <vt:lpstr>vch801_6_4_2</vt:lpstr>
      <vt:lpstr>vch801_6_4_3</vt:lpstr>
      <vt:lpstr>vch801_6_5</vt:lpstr>
      <vt:lpstr>vch801_7_1</vt:lpstr>
      <vt:lpstr>vch801_7_2_1</vt:lpstr>
      <vt:lpstr>vch801_7_2_2</vt:lpstr>
      <vt:lpstr>vch801_8</vt:lpstr>
      <vt:lpstr>vch802_1_1</vt:lpstr>
      <vt:lpstr>vch802_1_2</vt:lpstr>
      <vt:lpstr>vch802_2</vt:lpstr>
      <vt:lpstr>vch802_3_1</vt:lpstr>
      <vt:lpstr>vch802_3_2</vt:lpstr>
      <vt:lpstr>vch802_4</vt:lpstr>
      <vt:lpstr>vch802_5</vt:lpstr>
      <vt:lpstr>vch802_6</vt:lpstr>
      <vt:lpstr>vch901_1_1</vt:lpstr>
      <vt:lpstr>vch901_1_2</vt:lpstr>
      <vt:lpstr>vch901_1_3_1</vt:lpstr>
      <vt:lpstr>vch901_1_3_2</vt:lpstr>
      <vt:lpstr>vch901_1_4</vt:lpstr>
      <vt:lpstr>vch901_1_5</vt:lpstr>
      <vt:lpstr>vch901_1_6</vt:lpstr>
      <vt:lpstr>vch901_10_1</vt:lpstr>
      <vt:lpstr>vch901_10_2</vt:lpstr>
      <vt:lpstr>vch901_10_3</vt:lpstr>
      <vt:lpstr>vch901_11</vt:lpstr>
      <vt:lpstr>vch901_12</vt:lpstr>
      <vt:lpstr>vch901_13_1</vt:lpstr>
      <vt:lpstr>vch901_13_2</vt:lpstr>
      <vt:lpstr>vch901_14_1</vt:lpstr>
      <vt:lpstr>vch901_14_2</vt:lpstr>
      <vt:lpstr>vch901_2_1_1</vt:lpstr>
      <vt:lpstr>vch901_2_1_2</vt:lpstr>
      <vt:lpstr>vch901_2_1_3</vt:lpstr>
      <vt:lpstr>vch901_2_1_4</vt:lpstr>
      <vt:lpstr>vch901_2_1_5</vt:lpstr>
      <vt:lpstr>vch901_2_2</vt:lpstr>
      <vt:lpstr>vch901_3_1_a</vt:lpstr>
      <vt:lpstr>vch901_3_1_b</vt:lpstr>
      <vt:lpstr>vch901_3_1_c</vt:lpstr>
      <vt:lpstr>vch901_3_2</vt:lpstr>
      <vt:lpstr>vch901_4_1</vt:lpstr>
      <vt:lpstr>vch901_4_a</vt:lpstr>
      <vt:lpstr>vch901_4_b</vt:lpstr>
      <vt:lpstr>vch901_4_c</vt:lpstr>
      <vt:lpstr>vch901_4_d</vt:lpstr>
      <vt:lpstr>vch901_5_1</vt:lpstr>
      <vt:lpstr>vch901_5_2</vt:lpstr>
      <vt:lpstr>vch901_6</vt:lpstr>
      <vt:lpstr>vch901_7_1</vt:lpstr>
      <vt:lpstr>vch901_7_2</vt:lpstr>
      <vt:lpstr>vch901_7_3</vt:lpstr>
      <vt:lpstr>vch901_8</vt:lpstr>
      <vt:lpstr>vch901_9_1_1</vt:lpstr>
      <vt:lpstr>vch901_9_1_2</vt:lpstr>
      <vt:lpstr>vch901_9_1_3</vt:lpstr>
      <vt:lpstr>vch901_9_2</vt:lpstr>
      <vt:lpstr>vch901_9_3</vt:lpstr>
      <vt:lpstr>vch902_1_1</vt:lpstr>
      <vt:lpstr>vch902_1_1_a</vt:lpstr>
      <vt:lpstr>vch902_1_2</vt:lpstr>
      <vt:lpstr>vch902_1_2_</vt:lpstr>
      <vt:lpstr>vch902_1_2_2</vt:lpstr>
      <vt:lpstr>vch902_1_3</vt:lpstr>
      <vt:lpstr>vch902_1_3_</vt:lpstr>
      <vt:lpstr>vch902_1_4_1</vt:lpstr>
      <vt:lpstr>vch902_1_4_2</vt:lpstr>
      <vt:lpstr>vch902_1_5_1</vt:lpstr>
      <vt:lpstr>vch902_1_5_2</vt:lpstr>
      <vt:lpstr>vch902_1_5_3</vt:lpstr>
      <vt:lpstr>vch902_2_1</vt:lpstr>
      <vt:lpstr>vch902_2_2</vt:lpstr>
      <vt:lpstr>vch902_2_3</vt:lpstr>
      <vt:lpstr>vch902_2_4</vt:lpstr>
      <vt:lpstr>vch902_3_1</vt:lpstr>
      <vt:lpstr>vch902_3_2_a</vt:lpstr>
      <vt:lpstr>vch902_4_1</vt:lpstr>
      <vt:lpstr>vch902_4_2</vt:lpstr>
      <vt:lpstr>vch902_5</vt:lpstr>
      <vt:lpstr>vch902_6</vt:lpstr>
      <vt:lpstr>vch903_1</vt:lpstr>
      <vt:lpstr>vch903_2</vt:lpstr>
      <vt:lpstr>vch903_3_1</vt:lpstr>
      <vt:lpstr>vch903_3_2</vt:lpstr>
      <vt:lpstr>vch904_1</vt:lpstr>
      <vt:lpstr>vch904_2</vt:lpstr>
      <vt:lpstr>vch905_1</vt:lpstr>
      <vt:lpstr>vch905_2</vt:lpstr>
      <vt:lpstr>verAGFloorArea</vt:lpstr>
      <vt:lpstr>verAttachedGarage</vt:lpstr>
      <vt:lpstr>verAttic</vt:lpstr>
      <vt:lpstr>verBuilderName</vt:lpstr>
      <vt:lpstr>verBuildingCode</vt:lpstr>
      <vt:lpstr>verCDucts</vt:lpstr>
      <vt:lpstr>verCity</vt:lpstr>
      <vt:lpstr>verCool1</vt:lpstr>
      <vt:lpstr>verCool2</vt:lpstr>
      <vt:lpstr>verCool3</vt:lpstr>
      <vt:lpstr>verCounty</vt:lpstr>
      <vt:lpstr>verCToilet</vt:lpstr>
      <vt:lpstr>verDuctless</vt:lpstr>
      <vt:lpstr>verEnergyCode</vt:lpstr>
      <vt:lpstr>verFloors</vt:lpstr>
      <vt:lpstr>verFoundation</vt:lpstr>
      <vt:lpstr>verFuel</vt:lpstr>
      <vt:lpstr>verGoalLevel</vt:lpstr>
      <vt:lpstr>verHDucts</vt:lpstr>
      <vt:lpstr>verHERS</vt:lpstr>
      <vt:lpstr>verHomeAddress</vt:lpstr>
      <vt:lpstr>verHVAC1</vt:lpstr>
      <vt:lpstr>verHVAC2</vt:lpstr>
      <vt:lpstr>verHVAC3</vt:lpstr>
      <vt:lpstr>verLot</vt:lpstr>
      <vt:lpstr>verMassWalls</vt:lpstr>
      <vt:lpstr>verPassiveSolar</vt:lpstr>
      <vt:lpstr>verProjectDesc</vt:lpstr>
      <vt:lpstr>verProjectID</vt:lpstr>
      <vt:lpstr>verProjectName</vt:lpstr>
      <vt:lpstr>verRadiantHydronic</vt:lpstr>
      <vt:lpstr>verRecessedLighting</vt:lpstr>
      <vt:lpstr>verRenewable</vt:lpstr>
      <vt:lpstr>verSingleOrMulti</vt:lpstr>
      <vt:lpstr>VersionDate</vt:lpstr>
      <vt:lpstr>VersionNum</vt:lpstr>
      <vt:lpstr>versSHGC</vt:lpstr>
      <vt:lpstr>verStartError</vt:lpstr>
      <vt:lpstr>verState</vt:lpstr>
      <vt:lpstr>versUV</vt:lpstr>
      <vt:lpstr>verTCFloorArea</vt:lpstr>
      <vt:lpstr>verTEInsulation</vt:lpstr>
      <vt:lpstr>verTLWH</vt:lpstr>
      <vt:lpstr>verUnits</vt:lpstr>
      <vt:lpstr>verwdSHGC</vt:lpstr>
      <vt:lpstr>verwdUV</vt:lpstr>
      <vt:lpstr>verZIP</vt:lpstr>
      <vt:lpstr>vnt1001_1_1</vt:lpstr>
      <vt:lpstr>vnt1001_1_10</vt:lpstr>
      <vt:lpstr>vnt1001_1_11</vt:lpstr>
      <vt:lpstr>vnt1001_1_12</vt:lpstr>
      <vt:lpstr>vnt1001_1_13</vt:lpstr>
      <vt:lpstr>vnt1001_1_14</vt:lpstr>
      <vt:lpstr>vnt1001_1_15</vt:lpstr>
      <vt:lpstr>vnt1001_1_16</vt:lpstr>
      <vt:lpstr>vnt1001_1_17</vt:lpstr>
      <vt:lpstr>vnt1001_1_18</vt:lpstr>
      <vt:lpstr>vnt1001_1_19</vt:lpstr>
      <vt:lpstr>vnt1001_1_2</vt:lpstr>
      <vt:lpstr>vnt1001_1_20</vt:lpstr>
      <vt:lpstr>vnt1001_1_21</vt:lpstr>
      <vt:lpstr>vnt1001_1_22</vt:lpstr>
      <vt:lpstr>vnt1001_1_23</vt:lpstr>
      <vt:lpstr>vnt1001_1_24</vt:lpstr>
      <vt:lpstr>vnt1001_1_3</vt:lpstr>
      <vt:lpstr>vnt1001_1_4</vt:lpstr>
      <vt:lpstr>vnt1001_1_5</vt:lpstr>
      <vt:lpstr>vnt1001_1_6</vt:lpstr>
      <vt:lpstr>vnt1001_1_7</vt:lpstr>
      <vt:lpstr>vnt1001_1_8</vt:lpstr>
      <vt:lpstr>vnt1001_1_9</vt:lpstr>
      <vt:lpstr>vnt1001_2</vt:lpstr>
      <vt:lpstr>vnt1002_1_1</vt:lpstr>
      <vt:lpstr>vnt1002_1_2</vt:lpstr>
      <vt:lpstr>vnt1002_1_3</vt:lpstr>
      <vt:lpstr>vnt1002_1_4</vt:lpstr>
      <vt:lpstr>vnt1002_1_5</vt:lpstr>
      <vt:lpstr>vnt1002_1_6</vt:lpstr>
      <vt:lpstr>vnt1002_1_7</vt:lpstr>
      <vt:lpstr>vnt1002_1_8</vt:lpstr>
      <vt:lpstr>vnt1002_2_1</vt:lpstr>
      <vt:lpstr>vnt1002_2_10</vt:lpstr>
      <vt:lpstr>vnt1002_2_11</vt:lpstr>
      <vt:lpstr>vnt1002_2_2</vt:lpstr>
      <vt:lpstr>vnt1002_2_3</vt:lpstr>
      <vt:lpstr>vnt1002_2_4</vt:lpstr>
      <vt:lpstr>vnt1002_2_5</vt:lpstr>
      <vt:lpstr>vnt1002_2_6</vt:lpstr>
      <vt:lpstr>vnt1002_2_7</vt:lpstr>
      <vt:lpstr>vnt1002_2_8</vt:lpstr>
      <vt:lpstr>vnt1002_2_9</vt:lpstr>
      <vt:lpstr>vnt1002_3_1</vt:lpstr>
      <vt:lpstr>vnt1002_3_10</vt:lpstr>
      <vt:lpstr>vnt1002_3_2</vt:lpstr>
      <vt:lpstr>vnt1002_3_3</vt:lpstr>
      <vt:lpstr>vnt1002_3_4</vt:lpstr>
      <vt:lpstr>vnt1002_3_5</vt:lpstr>
      <vt:lpstr>vnt1002_3_6</vt:lpstr>
      <vt:lpstr>vnt1002_3_7</vt:lpstr>
      <vt:lpstr>vnt1002_3_8</vt:lpstr>
      <vt:lpstr>vnt1002_3_9</vt:lpstr>
      <vt:lpstr>vnt1002_4</vt:lpstr>
      <vt:lpstr>vnt1003_1_1</vt:lpstr>
      <vt:lpstr>vnt1003_1_2</vt:lpstr>
      <vt:lpstr>vnt1003_1_3</vt:lpstr>
      <vt:lpstr>vnt1004_1_1</vt:lpstr>
      <vt:lpstr>vnt1004_1_2</vt:lpstr>
      <vt:lpstr>vnt501_1</vt:lpstr>
      <vt:lpstr>vnt501_2</vt:lpstr>
      <vt:lpstr>vnt501_2_1</vt:lpstr>
      <vt:lpstr>vnt501_2_2</vt:lpstr>
      <vt:lpstr>vnt501_2_3</vt:lpstr>
      <vt:lpstr>vnt501_2_4</vt:lpstr>
      <vt:lpstr>vnt501_2_5</vt:lpstr>
      <vt:lpstr>vnt501_2_6</vt:lpstr>
      <vt:lpstr>vnt502_1</vt:lpstr>
      <vt:lpstr>vnt503_0</vt:lpstr>
      <vt:lpstr>vnt503_1</vt:lpstr>
      <vt:lpstr>vnt503_2</vt:lpstr>
      <vt:lpstr>vnt503_3</vt:lpstr>
      <vt:lpstr>vnt503_4</vt:lpstr>
      <vt:lpstr>vnt503_4_1</vt:lpstr>
      <vt:lpstr>vnt503_4_2</vt:lpstr>
      <vt:lpstr>vnt503_4_3</vt:lpstr>
      <vt:lpstr>vnt503_4_4</vt:lpstr>
      <vt:lpstr>vnt503_5</vt:lpstr>
      <vt:lpstr>vnt503_5_1</vt:lpstr>
      <vt:lpstr>vnt503_5_10</vt:lpstr>
      <vt:lpstr>vnt503_5_11</vt:lpstr>
      <vt:lpstr>vnt503_5_12</vt:lpstr>
      <vt:lpstr>vnt503_5_2</vt:lpstr>
      <vt:lpstr>vnt503_5_3</vt:lpstr>
      <vt:lpstr>vnt503_5_4</vt:lpstr>
      <vt:lpstr>vnt503_5_5</vt:lpstr>
      <vt:lpstr>vnt503_5_6</vt:lpstr>
      <vt:lpstr>vnt503_5_7</vt:lpstr>
      <vt:lpstr>vnt503_5_8</vt:lpstr>
      <vt:lpstr>vnt503_5_9</vt:lpstr>
      <vt:lpstr>vnt503_6</vt:lpstr>
      <vt:lpstr>vnt503_7</vt:lpstr>
      <vt:lpstr>vnt503_8</vt:lpstr>
      <vt:lpstr>vnt504_1</vt:lpstr>
      <vt:lpstr>vnt504_2</vt:lpstr>
      <vt:lpstr>vnt504_3</vt:lpstr>
      <vt:lpstr>vnt504_3_1</vt:lpstr>
      <vt:lpstr>vnt504_3_2</vt:lpstr>
      <vt:lpstr>vnt504_3_3</vt:lpstr>
      <vt:lpstr>vnt504_3_4</vt:lpstr>
      <vt:lpstr>vnt504_3_5</vt:lpstr>
      <vt:lpstr>vnt504_3_6</vt:lpstr>
      <vt:lpstr>vnt504_3_7</vt:lpstr>
      <vt:lpstr>vnt504_3_8</vt:lpstr>
      <vt:lpstr>vnt504_3_9</vt:lpstr>
      <vt:lpstr>vnt505_1_1</vt:lpstr>
      <vt:lpstr>vnt505_1_2</vt:lpstr>
      <vt:lpstr>vnt505_1_3</vt:lpstr>
      <vt:lpstr>vnt505_1_4</vt:lpstr>
      <vt:lpstr>vnt505_2_1</vt:lpstr>
      <vt:lpstr>vnt505_2_2</vt:lpstr>
      <vt:lpstr>vnt505_3</vt:lpstr>
      <vt:lpstr>vnt505_4</vt:lpstr>
      <vt:lpstr>vnt505_5</vt:lpstr>
      <vt:lpstr>vnt505_6</vt:lpstr>
      <vt:lpstr>vnt601_1</vt:lpstr>
      <vt:lpstr>vnt601_2_1</vt:lpstr>
      <vt:lpstr>vnt601_2_2</vt:lpstr>
      <vt:lpstr>vnt601_2_3</vt:lpstr>
      <vt:lpstr>vnt601_3_1</vt:lpstr>
      <vt:lpstr>vnt601_3_2</vt:lpstr>
      <vt:lpstr>vnt601_3_3</vt:lpstr>
      <vt:lpstr>vnt601_3_4</vt:lpstr>
      <vt:lpstr>vnt601_3_5</vt:lpstr>
      <vt:lpstr>vnt601_4</vt:lpstr>
      <vt:lpstr>vnt601_5_1</vt:lpstr>
      <vt:lpstr>vnt601_5_2</vt:lpstr>
      <vt:lpstr>vnt601_5_3</vt:lpstr>
      <vt:lpstr>vnt601_5_4</vt:lpstr>
      <vt:lpstr>vnt601_5_5</vt:lpstr>
      <vt:lpstr>vnt601_6</vt:lpstr>
      <vt:lpstr>vnt601_7</vt:lpstr>
      <vt:lpstr>vnt601_8</vt:lpstr>
      <vt:lpstr>vnt601_9</vt:lpstr>
      <vt:lpstr>vnt602_1_1_1</vt:lpstr>
      <vt:lpstr>vnt602_1_1_2</vt:lpstr>
      <vt:lpstr>vnt602_1_10</vt:lpstr>
      <vt:lpstr>vnt602_1_11</vt:lpstr>
      <vt:lpstr>vnt602_1_12</vt:lpstr>
      <vt:lpstr>vnt602_1_13</vt:lpstr>
      <vt:lpstr>vnt602_1_14_1</vt:lpstr>
      <vt:lpstr>vnt602_1_14_2</vt:lpstr>
      <vt:lpstr>vnt602_1_14_3</vt:lpstr>
      <vt:lpstr>vnt602_1_2</vt:lpstr>
      <vt:lpstr>vnt602_1_3_1</vt:lpstr>
      <vt:lpstr>vnt602_1_3_2</vt:lpstr>
      <vt:lpstr>vnt602_1_4_1_1</vt:lpstr>
      <vt:lpstr>vnt602_1_4_1_2</vt:lpstr>
      <vt:lpstr>vnt602_1_4_2_1</vt:lpstr>
      <vt:lpstr>vnt602_1_4_2_2</vt:lpstr>
      <vt:lpstr>vnt602_1_5</vt:lpstr>
      <vt:lpstr>vnt602_1_6_1</vt:lpstr>
      <vt:lpstr>vnt602_1_7_1_1</vt:lpstr>
      <vt:lpstr>vnt602_1_7_1_2</vt:lpstr>
      <vt:lpstr>vnt602_1_7_1_3</vt:lpstr>
      <vt:lpstr>vnt602_1_7_2</vt:lpstr>
      <vt:lpstr>vnt602_1_7_3</vt:lpstr>
      <vt:lpstr>vnt602_1_8</vt:lpstr>
      <vt:lpstr>vnt602_1_9_1</vt:lpstr>
      <vt:lpstr>vnt602_1_9_2</vt:lpstr>
      <vt:lpstr>vnt602_1_9_3</vt:lpstr>
      <vt:lpstr>vnt602_1_9_4</vt:lpstr>
      <vt:lpstr>vnt602_1_9_5</vt:lpstr>
      <vt:lpstr>vnt602_1_9_6</vt:lpstr>
      <vt:lpstr>vnt602_1_9_7</vt:lpstr>
      <vt:lpstr>vnt602_2_1</vt:lpstr>
      <vt:lpstr>vnt602_2_2</vt:lpstr>
      <vt:lpstr>vnt602_2_3</vt:lpstr>
      <vt:lpstr>vnt602_3</vt:lpstr>
      <vt:lpstr>vnt602_4_1</vt:lpstr>
      <vt:lpstr>vnt602_4_2</vt:lpstr>
      <vt:lpstr>vnt602_4_3</vt:lpstr>
      <vt:lpstr>vnt603_1</vt:lpstr>
      <vt:lpstr>vnt603_2</vt:lpstr>
      <vt:lpstr>vnt603_3</vt:lpstr>
      <vt:lpstr>vnt604_1a</vt:lpstr>
      <vt:lpstr>vnt604_1b</vt:lpstr>
      <vt:lpstr>vnt604_1c</vt:lpstr>
      <vt:lpstr>vnt604_1d</vt:lpstr>
      <vt:lpstr>vnt605_1</vt:lpstr>
      <vt:lpstr>vnt605_2</vt:lpstr>
      <vt:lpstr>vnt605_3_2_a</vt:lpstr>
      <vt:lpstr>vnt605_3_2_h</vt:lpstr>
      <vt:lpstr>vnt605_3_2_i</vt:lpstr>
      <vt:lpstr>vnt606_1_a</vt:lpstr>
      <vt:lpstr>vnt606_2_1a</vt:lpstr>
      <vt:lpstr>vnt606_2_1b</vt:lpstr>
      <vt:lpstr>vnt606_2_2a</vt:lpstr>
      <vt:lpstr>vnt606_2_2b</vt:lpstr>
      <vt:lpstr>vnt606_3</vt:lpstr>
      <vt:lpstr>vnt607_1_1</vt:lpstr>
      <vt:lpstr>vnt607_1_2</vt:lpstr>
      <vt:lpstr>vnt607_2</vt:lpstr>
      <vt:lpstr>vnt608_1</vt:lpstr>
      <vt:lpstr>vnt609_1a</vt:lpstr>
      <vt:lpstr>vnt609_1b</vt:lpstr>
      <vt:lpstr>vnt610_1_1_1</vt:lpstr>
      <vt:lpstr>vnt610_1_1_2</vt:lpstr>
      <vt:lpstr>vnt610_1_1_3</vt:lpstr>
      <vt:lpstr>vnt610_1_2_1</vt:lpstr>
      <vt:lpstr>vnt610_1_2_1_e</vt:lpstr>
      <vt:lpstr>vnt610_1_2_2_e</vt:lpstr>
      <vt:lpstr>vnt610_1_2_2a</vt:lpstr>
      <vt:lpstr>vnt610_1_2_2b</vt:lpstr>
      <vt:lpstr>vnt610_1_2_2c</vt:lpstr>
      <vt:lpstr>vnt611_1</vt:lpstr>
      <vt:lpstr>vnt611_2_1</vt:lpstr>
      <vt:lpstr>vnt611_2_2</vt:lpstr>
      <vt:lpstr>vnt611_2_3</vt:lpstr>
      <vt:lpstr>vnt611_2_4</vt:lpstr>
      <vt:lpstr>vnt611_2_5</vt:lpstr>
      <vt:lpstr>vnt611_2_6</vt:lpstr>
      <vt:lpstr>vnt611_2_7</vt:lpstr>
      <vt:lpstr>vnt611_3_1</vt:lpstr>
      <vt:lpstr>vnt611_3_2</vt:lpstr>
      <vt:lpstr>vnt611_3_3</vt:lpstr>
      <vt:lpstr>vnt611_3_4</vt:lpstr>
      <vt:lpstr>vnt611_3_5</vt:lpstr>
      <vt:lpstr>vnt611_3_6</vt:lpstr>
      <vt:lpstr>vnt611_3_7</vt:lpstr>
      <vt:lpstr>vnt611_3_8</vt:lpstr>
      <vt:lpstr>vnt611_3_9</vt:lpstr>
      <vt:lpstr>vnt611_4_1</vt:lpstr>
      <vt:lpstr>vnt611_4_2</vt:lpstr>
      <vt:lpstr>vnt701_1_1</vt:lpstr>
      <vt:lpstr>vnt701_1_2</vt:lpstr>
      <vt:lpstr>vnt701_1_3</vt:lpstr>
      <vt:lpstr>vnt701_1_4</vt:lpstr>
      <vt:lpstr>vnt701_3</vt:lpstr>
      <vt:lpstr>vnt701_4_1</vt:lpstr>
      <vt:lpstr>vnt701_4_1_1</vt:lpstr>
      <vt:lpstr>vnt701_4_1_2</vt:lpstr>
      <vt:lpstr>vnt701_4_2_2</vt:lpstr>
      <vt:lpstr>vnt701_4_2_3</vt:lpstr>
      <vt:lpstr>vnt701_4_3_1</vt:lpstr>
      <vt:lpstr>vnt701_4_3_1_a</vt:lpstr>
      <vt:lpstr>vnt701_4_3_1_b</vt:lpstr>
      <vt:lpstr>vnt701_4_3_1_c</vt:lpstr>
      <vt:lpstr>vnt701_4_3_1_d</vt:lpstr>
      <vt:lpstr>vnt701_4_3_1_e</vt:lpstr>
      <vt:lpstr>vnt701_4_3_1_f</vt:lpstr>
      <vt:lpstr>vnt701_4_3_1_g</vt:lpstr>
      <vt:lpstr>vnt701_4_3_1_h</vt:lpstr>
      <vt:lpstr>vnt701_4_3_1_i</vt:lpstr>
      <vt:lpstr>vnt701_4_3_1_j</vt:lpstr>
      <vt:lpstr>vnt701_4_3_1_k</vt:lpstr>
      <vt:lpstr>vnt701_4_3_1_l</vt:lpstr>
      <vt:lpstr>vnt701_4_3_2_1_</vt:lpstr>
      <vt:lpstr>vnt701_4_3_2_1_1</vt:lpstr>
      <vt:lpstr>vnt701_4_3_2_1_10</vt:lpstr>
      <vt:lpstr>vnt701_4_3_2_1_11</vt:lpstr>
      <vt:lpstr>vnt701_4_3_2_1_2</vt:lpstr>
      <vt:lpstr>vnt701_4_3_2_1_3</vt:lpstr>
      <vt:lpstr>vnt701_4_3_2_1_4</vt:lpstr>
      <vt:lpstr>vnt701_4_3_2_1_5</vt:lpstr>
      <vt:lpstr>vnt701_4_3_2_1_6</vt:lpstr>
      <vt:lpstr>vnt701_4_3_2_1_7</vt:lpstr>
      <vt:lpstr>vnt701_4_3_2_1_8</vt:lpstr>
      <vt:lpstr>vnt701_4_3_2_1_9</vt:lpstr>
      <vt:lpstr>vnt701_4_3_2_1_a</vt:lpstr>
      <vt:lpstr>vnt701_4_3_2_1_b</vt:lpstr>
      <vt:lpstr>vnt701_4_3_2_1_c</vt:lpstr>
      <vt:lpstr>vnt701_4_3_2_1_d</vt:lpstr>
      <vt:lpstr>vnt701_4_3_2_1_e</vt:lpstr>
      <vt:lpstr>vnt701_4_3_2_1_f</vt:lpstr>
      <vt:lpstr>vnt701_4_3_2_1_g</vt:lpstr>
      <vt:lpstr>vnt701_4_3_2_1_h</vt:lpstr>
      <vt:lpstr>vnt701_4_3_2_2</vt:lpstr>
      <vt:lpstr>vnt701_4_3_2e</vt:lpstr>
      <vt:lpstr>vnt701_4_3_3_3</vt:lpstr>
      <vt:lpstr>vnt701_4_3_3_4</vt:lpstr>
      <vt:lpstr>vnt701_4_3_3_5</vt:lpstr>
      <vt:lpstr>vnt701_4_4_1</vt:lpstr>
      <vt:lpstr>vnt701_4_4_2</vt:lpstr>
      <vt:lpstr>vnt701_4_5</vt:lpstr>
      <vt:lpstr>vnt702_2_1</vt:lpstr>
      <vt:lpstr>vnt702_2_2</vt:lpstr>
      <vt:lpstr>vnt702_2_2_m</vt:lpstr>
      <vt:lpstr>vnt702_2_3</vt:lpstr>
      <vt:lpstr>vnt703_1_1</vt:lpstr>
      <vt:lpstr>vnt703_1_2</vt:lpstr>
      <vt:lpstr>vnt703_1_3</vt:lpstr>
      <vt:lpstr>vnt703_2_1</vt:lpstr>
      <vt:lpstr>vnt703_2_2</vt:lpstr>
      <vt:lpstr>vnt703_2_3</vt:lpstr>
      <vt:lpstr>vnt703_2_4</vt:lpstr>
      <vt:lpstr>vnt703_2_5_1</vt:lpstr>
      <vt:lpstr>vnt703_2_5_1_1</vt:lpstr>
      <vt:lpstr>vnt703_2_5_2</vt:lpstr>
      <vt:lpstr>vnt703_2_5_2_1</vt:lpstr>
      <vt:lpstr>vnt703_3_0_1</vt:lpstr>
      <vt:lpstr>vnt703_3_0_2</vt:lpstr>
      <vt:lpstr>vnt703_3_1</vt:lpstr>
      <vt:lpstr>vnt703_3_2__1</vt:lpstr>
      <vt:lpstr>vnt703_3_2__2</vt:lpstr>
      <vt:lpstr>vnt703_3_2__3</vt:lpstr>
      <vt:lpstr>vnt703_3_2__4</vt:lpstr>
      <vt:lpstr>vnt703_3_3__1</vt:lpstr>
      <vt:lpstr>vnt703_3_3__3</vt:lpstr>
      <vt:lpstr>vnt703_3_4_1</vt:lpstr>
      <vt:lpstr>vnt703_3_4_1_5</vt:lpstr>
      <vt:lpstr>vnt703_3_4_2</vt:lpstr>
      <vt:lpstr>vnt703_3_5</vt:lpstr>
      <vt:lpstr>vnt703_3_6</vt:lpstr>
      <vt:lpstr>vnt703_3_7_1</vt:lpstr>
      <vt:lpstr>vnt703_3_8</vt:lpstr>
      <vt:lpstr>vnt703_4_1</vt:lpstr>
      <vt:lpstr>vnt703_4_2</vt:lpstr>
      <vt:lpstr>vnt703_4_3_1</vt:lpstr>
      <vt:lpstr>vnt703_4_3_2</vt:lpstr>
      <vt:lpstr>vnt703_4_3_3</vt:lpstr>
      <vt:lpstr>vnt703_4_4</vt:lpstr>
      <vt:lpstr>vnt703_5_1</vt:lpstr>
      <vt:lpstr>vnt703_5_2</vt:lpstr>
      <vt:lpstr>vnt703_5_3</vt:lpstr>
      <vt:lpstr>vnt703_5_4</vt:lpstr>
      <vt:lpstr>vnt703_5_5</vt:lpstr>
      <vt:lpstr>vnt703_6_1_1</vt:lpstr>
      <vt:lpstr>vnt703_6_1_2</vt:lpstr>
      <vt:lpstr>vnt703_6_1_3</vt:lpstr>
      <vt:lpstr>vnt703_6_2__1</vt:lpstr>
      <vt:lpstr>vnt703_6_2__2</vt:lpstr>
      <vt:lpstr>vnt703_6_2__3</vt:lpstr>
      <vt:lpstr>vnt703_7_1</vt:lpstr>
      <vt:lpstr>vnt703_7_1_1</vt:lpstr>
      <vt:lpstr>vnt703_7_1_2</vt:lpstr>
      <vt:lpstr>vnt703_7_1_3</vt:lpstr>
      <vt:lpstr>vnt703_7_1_4</vt:lpstr>
      <vt:lpstr>vnt703_7_1_5</vt:lpstr>
      <vt:lpstr>vnt703_7_1_6_a</vt:lpstr>
      <vt:lpstr>vnt703_7_1_6_b</vt:lpstr>
      <vt:lpstr>vnt703_7_1_6_c</vt:lpstr>
      <vt:lpstr>vnt703_7_1_7</vt:lpstr>
      <vt:lpstr>vnt703_7_1_8</vt:lpstr>
      <vt:lpstr>vnt703_7_1_9</vt:lpstr>
      <vt:lpstr>vnt703_7_2</vt:lpstr>
      <vt:lpstr>vnt703_7_3_1_a</vt:lpstr>
      <vt:lpstr>vnt703_7_3_1_b</vt:lpstr>
      <vt:lpstr>vnt703_7_3_1_c</vt:lpstr>
      <vt:lpstr>vnt703_7_3_1_d</vt:lpstr>
      <vt:lpstr>vnt703_7_3_2</vt:lpstr>
      <vt:lpstr>vnt703_7_3_3</vt:lpstr>
      <vt:lpstr>vnt703_7_3_4</vt:lpstr>
      <vt:lpstr>vnt703_7_3_5_a</vt:lpstr>
      <vt:lpstr>vnt703_7_3_5_b</vt:lpstr>
      <vt:lpstr>vnt703_7_3_6</vt:lpstr>
      <vt:lpstr>vnt703_7_4_1</vt:lpstr>
      <vt:lpstr>vnt703_7_4_2_a</vt:lpstr>
      <vt:lpstr>vnt703_7_4_2_b</vt:lpstr>
      <vt:lpstr>vnt703_7_4_2_c</vt:lpstr>
      <vt:lpstr>vnt703_7_4_3</vt:lpstr>
      <vt:lpstr>vnt704_1</vt:lpstr>
      <vt:lpstr>vnt705_2_1_1</vt:lpstr>
      <vt:lpstr>vnt705_2_1_2</vt:lpstr>
      <vt:lpstr>vnt705_2_1_3_1</vt:lpstr>
      <vt:lpstr>vnt705_2_1_3_2</vt:lpstr>
      <vt:lpstr>vnt705_2_1_4</vt:lpstr>
      <vt:lpstr>vnt705_2_2</vt:lpstr>
      <vt:lpstr>vnt705_2_3</vt:lpstr>
      <vt:lpstr>vnt705_2_4</vt:lpstr>
      <vt:lpstr>vnt705_3</vt:lpstr>
      <vt:lpstr>vnt705_4</vt:lpstr>
      <vt:lpstr>vnt705_5_1</vt:lpstr>
      <vt:lpstr>vnt705_5_2</vt:lpstr>
      <vt:lpstr>vnt705_5_2_1</vt:lpstr>
      <vt:lpstr>vnt705_5_2_2</vt:lpstr>
      <vt:lpstr>vnt705_5_2_3</vt:lpstr>
      <vt:lpstr>vnt705_5_2_4</vt:lpstr>
      <vt:lpstr>vnt705_5_2_5</vt:lpstr>
      <vt:lpstr>vnt705_5_2_6</vt:lpstr>
      <vt:lpstr>vnt705_6_1</vt:lpstr>
      <vt:lpstr>vnt705_6_2_1_1</vt:lpstr>
      <vt:lpstr>vnt705_6_2_1_2</vt:lpstr>
      <vt:lpstr>vnt705_6_2_2</vt:lpstr>
      <vt:lpstr>vnt705_6_2_3</vt:lpstr>
      <vt:lpstr>vnt705_6_3_a</vt:lpstr>
      <vt:lpstr>vnt705_6_3_b</vt:lpstr>
      <vt:lpstr>vnt705_6_3_c</vt:lpstr>
      <vt:lpstr>vnt705_6_3_d</vt:lpstr>
      <vt:lpstr>vnt705_6_3_e</vt:lpstr>
      <vt:lpstr>vnt705_6_3_f</vt:lpstr>
      <vt:lpstr>vnt705_6_3_g</vt:lpstr>
      <vt:lpstr>vnt705_6_4_1</vt:lpstr>
      <vt:lpstr>vnt705_6_4_2</vt:lpstr>
      <vt:lpstr>vnt705_7</vt:lpstr>
      <vt:lpstr>vnt706_1_1</vt:lpstr>
      <vt:lpstr>vnt706_1_2</vt:lpstr>
      <vt:lpstr>vnt706_1_3</vt:lpstr>
      <vt:lpstr>vnt706_1_4</vt:lpstr>
      <vt:lpstr>vnt706_1_5</vt:lpstr>
      <vt:lpstr>vnt706_2_1</vt:lpstr>
      <vt:lpstr>vnt706_2_2</vt:lpstr>
      <vt:lpstr>vnt706_3</vt:lpstr>
      <vt:lpstr>vnt706_3_1</vt:lpstr>
      <vt:lpstr>vnt706_3_2</vt:lpstr>
      <vt:lpstr>vnt706_3_3</vt:lpstr>
      <vt:lpstr>vnt706_3_4</vt:lpstr>
      <vt:lpstr>vnt706_3_5</vt:lpstr>
      <vt:lpstr>vnt706_3_6</vt:lpstr>
      <vt:lpstr>vnt706_3_7</vt:lpstr>
      <vt:lpstr>vnt706_3_8</vt:lpstr>
      <vt:lpstr>vnt706_4_1_1</vt:lpstr>
      <vt:lpstr>vnt706_4_1_2</vt:lpstr>
      <vt:lpstr>vnt706_4_2</vt:lpstr>
      <vt:lpstr>vnt706_5</vt:lpstr>
      <vt:lpstr>vnt706_6</vt:lpstr>
      <vt:lpstr>vnt706_7_1</vt:lpstr>
      <vt:lpstr>vnt706_7_2</vt:lpstr>
      <vt:lpstr>vnt706_8</vt:lpstr>
      <vt:lpstr>vnt706_9</vt:lpstr>
      <vt:lpstr>vnt801_1_1</vt:lpstr>
      <vt:lpstr>vnt801_1_5</vt:lpstr>
      <vt:lpstr>vnt801_1_6</vt:lpstr>
      <vt:lpstr>vnt801_2_1</vt:lpstr>
      <vt:lpstr>vnt801_2_2</vt:lpstr>
      <vt:lpstr>vnt801_3_1</vt:lpstr>
      <vt:lpstr>vnt801_3_2</vt:lpstr>
      <vt:lpstr>vnt801_3_3</vt:lpstr>
      <vt:lpstr>vnt801_4_1_1</vt:lpstr>
      <vt:lpstr>vnt801_4_1_2</vt:lpstr>
      <vt:lpstr>vnt801_4_2</vt:lpstr>
      <vt:lpstr>vnt801_5_1</vt:lpstr>
      <vt:lpstr>vnt801_5_2</vt:lpstr>
      <vt:lpstr>vnt801_5_3</vt:lpstr>
      <vt:lpstr>vnt801_5_4_a</vt:lpstr>
      <vt:lpstr>vnt801_5_4_b</vt:lpstr>
      <vt:lpstr>vnt801_5_4_c</vt:lpstr>
      <vt:lpstr>vnt801_6_1</vt:lpstr>
      <vt:lpstr>vnt801_6_2_1</vt:lpstr>
      <vt:lpstr>vnt801_6_2_2</vt:lpstr>
      <vt:lpstr>vnt801_6_2_3</vt:lpstr>
      <vt:lpstr>vnt801_6_3</vt:lpstr>
      <vt:lpstr>vnt801_6_4_1</vt:lpstr>
      <vt:lpstr>vnt801_6_4_2</vt:lpstr>
      <vt:lpstr>vnt801_6_4_3</vt:lpstr>
      <vt:lpstr>vnt801_6_5</vt:lpstr>
      <vt:lpstr>vnt801_7_1</vt:lpstr>
      <vt:lpstr>vnt801_7_2_1</vt:lpstr>
      <vt:lpstr>vnt801_7_2_2</vt:lpstr>
      <vt:lpstr>vnt801_8</vt:lpstr>
      <vt:lpstr>vnt802_1_1</vt:lpstr>
      <vt:lpstr>vnt802_1_2</vt:lpstr>
      <vt:lpstr>vnt802_2</vt:lpstr>
      <vt:lpstr>vnt802_3_1</vt:lpstr>
      <vt:lpstr>vnt802_3_2</vt:lpstr>
      <vt:lpstr>vnt802_4</vt:lpstr>
      <vt:lpstr>vnt802_5</vt:lpstr>
      <vt:lpstr>vnt802_6</vt:lpstr>
      <vt:lpstr>vnt901_1_1</vt:lpstr>
      <vt:lpstr>vnt901_1_2</vt:lpstr>
      <vt:lpstr>vnt901_1_3_1</vt:lpstr>
      <vt:lpstr>vnt901_1_3_2</vt:lpstr>
      <vt:lpstr>vnt901_1_4</vt:lpstr>
      <vt:lpstr>vnt901_1_5</vt:lpstr>
      <vt:lpstr>vnt901_1_6</vt:lpstr>
      <vt:lpstr>vnt901_10_1</vt:lpstr>
      <vt:lpstr>vnt901_10_2</vt:lpstr>
      <vt:lpstr>vnt901_10_3</vt:lpstr>
      <vt:lpstr>vnt901_11</vt:lpstr>
      <vt:lpstr>vnt901_12</vt:lpstr>
      <vt:lpstr>vnt901_13</vt:lpstr>
      <vt:lpstr>vnt901_14_1</vt:lpstr>
      <vt:lpstr>vnt901_14_2</vt:lpstr>
      <vt:lpstr>vnt901_2_1_1</vt:lpstr>
      <vt:lpstr>vnt901_2_1_2</vt:lpstr>
      <vt:lpstr>vnt901_2_1_3</vt:lpstr>
      <vt:lpstr>vnt901_2_1_4</vt:lpstr>
      <vt:lpstr>vnt901_2_1_5</vt:lpstr>
      <vt:lpstr>vnt901_2_2</vt:lpstr>
      <vt:lpstr>vnt901_3_1_a</vt:lpstr>
      <vt:lpstr>vnt901_3_1_b</vt:lpstr>
      <vt:lpstr>vnt901_3_1_c</vt:lpstr>
      <vt:lpstr>vnt901_3_2</vt:lpstr>
      <vt:lpstr>vnt901_4_1</vt:lpstr>
      <vt:lpstr>vnt901_4_a</vt:lpstr>
      <vt:lpstr>vnt901_5_1</vt:lpstr>
      <vt:lpstr>vnt901_5_2</vt:lpstr>
      <vt:lpstr>vnt901_6</vt:lpstr>
      <vt:lpstr>vnt901_7_1</vt:lpstr>
      <vt:lpstr>vnt901_7_2</vt:lpstr>
      <vt:lpstr>vnt901_8</vt:lpstr>
      <vt:lpstr>vnt901_9</vt:lpstr>
      <vt:lpstr>vnt901_9_1_1</vt:lpstr>
      <vt:lpstr>vnt901_9_1_2</vt:lpstr>
      <vt:lpstr>vnt901_9_1_3</vt:lpstr>
      <vt:lpstr>vnt901_9_2</vt:lpstr>
      <vt:lpstr>vnt901_9_3</vt:lpstr>
      <vt:lpstr>vnt902_1_1</vt:lpstr>
      <vt:lpstr>vnt902_1_1_a</vt:lpstr>
      <vt:lpstr>vnt902_1_2</vt:lpstr>
      <vt:lpstr>vnt902_1_2_</vt:lpstr>
      <vt:lpstr>vnt902_1_3</vt:lpstr>
      <vt:lpstr>vnt902_1_3_</vt:lpstr>
      <vt:lpstr>vnt902_1_4</vt:lpstr>
      <vt:lpstr>vnt902_1_5_1</vt:lpstr>
      <vt:lpstr>vnt902_1_5_2</vt:lpstr>
      <vt:lpstr>vnt902_1_5_3</vt:lpstr>
      <vt:lpstr>vnt902_2_1</vt:lpstr>
      <vt:lpstr>vnt902_2_2</vt:lpstr>
      <vt:lpstr>vnt902_2_3</vt:lpstr>
      <vt:lpstr>vnt902_2_4</vt:lpstr>
      <vt:lpstr>vnt902_3</vt:lpstr>
      <vt:lpstr>vnt902_4_1</vt:lpstr>
      <vt:lpstr>vnt902_4_2</vt:lpstr>
      <vt:lpstr>vnt902_5</vt:lpstr>
      <vt:lpstr>vnt902_6</vt:lpstr>
      <vt:lpstr>vnt903_1</vt:lpstr>
      <vt:lpstr>vnt903_2</vt:lpstr>
      <vt:lpstr>vnt903_3</vt:lpstr>
      <vt:lpstr>vnt904_1</vt:lpstr>
      <vt:lpstr>vnt904_2</vt:lpstr>
      <vt:lpstr>vnt905_1</vt:lpstr>
      <vt:lpstr>vnt905_2</vt:lpstr>
      <vt:lpstr>vpa1001_1</vt:lpstr>
      <vt:lpstr>vpa1001_1_1</vt:lpstr>
      <vt:lpstr>vpa1001_1_2</vt:lpstr>
      <vt:lpstr>vpa1001_1_3</vt:lpstr>
      <vt:lpstr>vpa1001_2</vt:lpstr>
      <vt:lpstr>vpa1002_1</vt:lpstr>
      <vt:lpstr>vpa1002_1_1</vt:lpstr>
      <vt:lpstr>vpa1002_1_2</vt:lpstr>
      <vt:lpstr>vpa1002_1_3</vt:lpstr>
      <vt:lpstr>vpa1002_2</vt:lpstr>
      <vt:lpstr>vpa1002_2_1</vt:lpstr>
      <vt:lpstr>vpa1002_2_2</vt:lpstr>
      <vt:lpstr>vpa1002_3</vt:lpstr>
      <vt:lpstr>vpa1002_3_1</vt:lpstr>
      <vt:lpstr>vpa1002_4</vt:lpstr>
      <vt:lpstr>vpa1003_1</vt:lpstr>
      <vt:lpstr>vpa1003_1_1</vt:lpstr>
      <vt:lpstr>vpa1003_1_2</vt:lpstr>
      <vt:lpstr>vpa1003_1_3</vt:lpstr>
      <vt:lpstr>vpa1004_1_1</vt:lpstr>
      <vt:lpstr>vpa1004_1_2</vt:lpstr>
      <vt:lpstr>vpa501_1</vt:lpstr>
      <vt:lpstr>vpa501_1_1</vt:lpstr>
      <vt:lpstr>vpa501_1_2</vt:lpstr>
      <vt:lpstr>vpa501_1_3</vt:lpstr>
      <vt:lpstr>vpa501_2_1</vt:lpstr>
      <vt:lpstr>vpa501_2_2</vt:lpstr>
      <vt:lpstr>vpa501_2_3</vt:lpstr>
      <vt:lpstr>vpa501_2_4</vt:lpstr>
      <vt:lpstr>vpa501_2_5</vt:lpstr>
      <vt:lpstr>vpa501_2_6_a</vt:lpstr>
      <vt:lpstr>vpa501_2_6_b</vt:lpstr>
      <vt:lpstr>vpa501_2_6_c</vt:lpstr>
      <vt:lpstr>vpa502_1</vt:lpstr>
      <vt:lpstr>vpa503_1_1</vt:lpstr>
      <vt:lpstr>vpa503_1_2</vt:lpstr>
      <vt:lpstr>vpa503_1_3</vt:lpstr>
      <vt:lpstr>vpa503_1_4</vt:lpstr>
      <vt:lpstr>vpa503_1_5</vt:lpstr>
      <vt:lpstr>vpa503_1_6</vt:lpstr>
      <vt:lpstr>vpa503_1_7</vt:lpstr>
      <vt:lpstr>vpa503_2_1</vt:lpstr>
      <vt:lpstr>vpa503_2_2</vt:lpstr>
      <vt:lpstr>vpa503_2_3_a</vt:lpstr>
      <vt:lpstr>vpa503_2_3_b</vt:lpstr>
      <vt:lpstr>vpa503_2_3_c</vt:lpstr>
      <vt:lpstr>vpa503_2_4</vt:lpstr>
      <vt:lpstr>vpa503_2_5</vt:lpstr>
      <vt:lpstr>vpa503_3_1</vt:lpstr>
      <vt:lpstr>vpa503_3_2</vt:lpstr>
      <vt:lpstr>vpa503_3_3</vt:lpstr>
      <vt:lpstr>vpa503_4_1</vt:lpstr>
      <vt:lpstr>vpa503_4_2</vt:lpstr>
      <vt:lpstr>vpa503_4_3_a</vt:lpstr>
      <vt:lpstr>vpa503_4_3_b</vt:lpstr>
      <vt:lpstr>vpa503_4_3_c</vt:lpstr>
      <vt:lpstr>vpa503_4_4_a</vt:lpstr>
      <vt:lpstr>vpa503_4_4_b</vt:lpstr>
      <vt:lpstr>vpa503_4_4_c</vt:lpstr>
      <vt:lpstr>vpa503_5_1_a</vt:lpstr>
      <vt:lpstr>vpa503_5_1_b</vt:lpstr>
      <vt:lpstr>vpa503_5_1_c</vt:lpstr>
      <vt:lpstr>vpa503_5_1_d</vt:lpstr>
      <vt:lpstr>vpa503_5_10</vt:lpstr>
      <vt:lpstr>vpa503_5_11</vt:lpstr>
      <vt:lpstr>vpa503_5_12</vt:lpstr>
      <vt:lpstr>vpa503_5_2</vt:lpstr>
      <vt:lpstr>vpa503_5_3</vt:lpstr>
      <vt:lpstr>vpa503_5_4</vt:lpstr>
      <vt:lpstr>vpa503_5_5_a</vt:lpstr>
      <vt:lpstr>vpa503_5_5_b</vt:lpstr>
      <vt:lpstr>vpa503_5_5_c</vt:lpstr>
      <vt:lpstr>vpa503_5_5_d</vt:lpstr>
      <vt:lpstr>vpa503_5_6</vt:lpstr>
      <vt:lpstr>vpa503_5_7</vt:lpstr>
      <vt:lpstr>vpa503_5_8</vt:lpstr>
      <vt:lpstr>vpa503_5_9</vt:lpstr>
      <vt:lpstr>vpa503_6_1</vt:lpstr>
      <vt:lpstr>vpa503_6_2</vt:lpstr>
      <vt:lpstr>vpa503_6_3</vt:lpstr>
      <vt:lpstr>vpa503_6_4</vt:lpstr>
      <vt:lpstr>vpa503_7_1</vt:lpstr>
      <vt:lpstr>vpa503_7_2</vt:lpstr>
      <vt:lpstr>vpa503_8</vt:lpstr>
      <vt:lpstr>vpa504_1</vt:lpstr>
      <vt:lpstr>vpa504_2_1</vt:lpstr>
      <vt:lpstr>vpa504_2_2</vt:lpstr>
      <vt:lpstr>vpa504_2_3</vt:lpstr>
      <vt:lpstr>vpa504_3_1</vt:lpstr>
      <vt:lpstr>vpa504_3_2</vt:lpstr>
      <vt:lpstr>vpa504_3_3</vt:lpstr>
      <vt:lpstr>vpa504_3_4</vt:lpstr>
      <vt:lpstr>vpa504_3_5</vt:lpstr>
      <vt:lpstr>vpa504_3_6</vt:lpstr>
      <vt:lpstr>vpa504_3_7</vt:lpstr>
      <vt:lpstr>vpa504_3_8</vt:lpstr>
      <vt:lpstr>vpa504_3_9</vt:lpstr>
      <vt:lpstr>vpa505_1_1</vt:lpstr>
      <vt:lpstr>vpa505_1_2</vt:lpstr>
      <vt:lpstr>vpa505_1_3_a</vt:lpstr>
      <vt:lpstr>vpa505_1_3_b</vt:lpstr>
      <vt:lpstr>vpa505_1_3_c</vt:lpstr>
      <vt:lpstr>vpa505_1_4_a</vt:lpstr>
      <vt:lpstr>vpa505_1_4_b</vt:lpstr>
      <vt:lpstr>vpa505_1_4_c</vt:lpstr>
      <vt:lpstr>vpa505_2_1</vt:lpstr>
      <vt:lpstr>vpa505_2_2</vt:lpstr>
      <vt:lpstr>vpa505_3_1</vt:lpstr>
      <vt:lpstr>vpa505_3_2</vt:lpstr>
      <vt:lpstr>vpa505_3_3</vt:lpstr>
      <vt:lpstr>vpa505_3_4</vt:lpstr>
      <vt:lpstr>vpa505_3_5</vt:lpstr>
      <vt:lpstr>vpa505_4</vt:lpstr>
      <vt:lpstr>vpa505_5</vt:lpstr>
      <vt:lpstr>vpa505_6</vt:lpstr>
      <vt:lpstr>vpa601_1_1</vt:lpstr>
      <vt:lpstr>vpa601_1_2</vt:lpstr>
      <vt:lpstr>vpa601_1_3</vt:lpstr>
      <vt:lpstr>vpa601_1_4</vt:lpstr>
      <vt:lpstr>vpa601_1_5</vt:lpstr>
      <vt:lpstr>vpa601_2_1</vt:lpstr>
      <vt:lpstr>vpa601_2_2</vt:lpstr>
      <vt:lpstr>vpa601_2_3</vt:lpstr>
      <vt:lpstr>vpa601_3_1</vt:lpstr>
      <vt:lpstr>vpa601_3_2</vt:lpstr>
      <vt:lpstr>vpa601_3_3</vt:lpstr>
      <vt:lpstr>vpa601_3_4</vt:lpstr>
      <vt:lpstr>vpa601_3_5</vt:lpstr>
      <vt:lpstr>vpa601_4</vt:lpstr>
      <vt:lpstr>vpa601_5</vt:lpstr>
      <vt:lpstr>vpa601_5_1</vt:lpstr>
      <vt:lpstr>vpa601_5_2</vt:lpstr>
      <vt:lpstr>vpa601_5_3</vt:lpstr>
      <vt:lpstr>vpa601_5_4</vt:lpstr>
      <vt:lpstr>vpa601_5_5</vt:lpstr>
      <vt:lpstr>vpa601_6</vt:lpstr>
      <vt:lpstr>vpa601_6_1</vt:lpstr>
      <vt:lpstr>vpa601_6_2</vt:lpstr>
      <vt:lpstr>vpa601_7</vt:lpstr>
      <vt:lpstr>vpa601_7_1</vt:lpstr>
      <vt:lpstr>vpa601_7_2</vt:lpstr>
      <vt:lpstr>vpa601_7_3</vt:lpstr>
      <vt:lpstr>vpa601_8</vt:lpstr>
      <vt:lpstr>vpa601_9</vt:lpstr>
      <vt:lpstr>vpa602_1_1_1</vt:lpstr>
      <vt:lpstr>vpa602_1_1_2</vt:lpstr>
      <vt:lpstr>vpa602_1_10</vt:lpstr>
      <vt:lpstr>vpa602_1_11</vt:lpstr>
      <vt:lpstr>vpa602_1_12</vt:lpstr>
      <vt:lpstr>vpa602_1_13</vt:lpstr>
      <vt:lpstr>vpa602_1_14_1</vt:lpstr>
      <vt:lpstr>vpa602_1_14_2</vt:lpstr>
      <vt:lpstr>vpa602_1_14_3</vt:lpstr>
      <vt:lpstr>vpa602_1_2</vt:lpstr>
      <vt:lpstr>vpa602_1_3_1</vt:lpstr>
      <vt:lpstr>vpa602_1_3_2</vt:lpstr>
      <vt:lpstr>vpa602_1_4_1_1</vt:lpstr>
      <vt:lpstr>vpa602_1_4_1_2</vt:lpstr>
      <vt:lpstr>vpa602_1_4_2_1</vt:lpstr>
      <vt:lpstr>vpa602_1_4_2_2</vt:lpstr>
      <vt:lpstr>vpa602_1_5_1</vt:lpstr>
      <vt:lpstr>vpa602_1_5_2</vt:lpstr>
      <vt:lpstr>vpa602_1_6_1</vt:lpstr>
      <vt:lpstr>vpa602_1_6_2</vt:lpstr>
      <vt:lpstr>vpa602_1_6_3</vt:lpstr>
      <vt:lpstr>vpa602_1_7_1_1</vt:lpstr>
      <vt:lpstr>vpa602_1_7_1_2</vt:lpstr>
      <vt:lpstr>vpa602_1_7_1_3</vt:lpstr>
      <vt:lpstr>vpa602_1_7_2</vt:lpstr>
      <vt:lpstr>vpa602_1_7_3</vt:lpstr>
      <vt:lpstr>vpa602_1_8</vt:lpstr>
      <vt:lpstr>vpa602_1_9_1</vt:lpstr>
      <vt:lpstr>vpa602_1_9_2</vt:lpstr>
      <vt:lpstr>vpa602_1_9_3</vt:lpstr>
      <vt:lpstr>vpa602_1_9_4</vt:lpstr>
      <vt:lpstr>vpa602_1_9_5_a</vt:lpstr>
      <vt:lpstr>vpa602_1_9_5_b</vt:lpstr>
      <vt:lpstr>vpa602_1_9_6</vt:lpstr>
      <vt:lpstr>vpa602_1_9_7</vt:lpstr>
      <vt:lpstr>vpa602_2</vt:lpstr>
      <vt:lpstr>vpa602_3</vt:lpstr>
      <vt:lpstr>vpa602_4_1</vt:lpstr>
      <vt:lpstr>vpa602_4_2</vt:lpstr>
      <vt:lpstr>vpa602_4_3</vt:lpstr>
      <vt:lpstr>vpa603_1</vt:lpstr>
      <vt:lpstr>vpa603_2</vt:lpstr>
      <vt:lpstr>vpa603_3</vt:lpstr>
      <vt:lpstr>vpa604_1a</vt:lpstr>
      <vt:lpstr>vpa605_1</vt:lpstr>
      <vt:lpstr>vpa605_2</vt:lpstr>
      <vt:lpstr>vpa605_3</vt:lpstr>
      <vt:lpstr>vpa605_3_1</vt:lpstr>
      <vt:lpstr>vpa605_3_2</vt:lpstr>
      <vt:lpstr>vpa606_1_1</vt:lpstr>
      <vt:lpstr>vpa606_1_2</vt:lpstr>
      <vt:lpstr>vpa606_1_3</vt:lpstr>
      <vt:lpstr>vpa606_2_1a</vt:lpstr>
      <vt:lpstr>vpa606_2_2a</vt:lpstr>
      <vt:lpstr>vpa606_3</vt:lpstr>
      <vt:lpstr>vpa607_1_1</vt:lpstr>
      <vt:lpstr>vpa607_1_2</vt:lpstr>
      <vt:lpstr>vpa607_2</vt:lpstr>
      <vt:lpstr>vpa608_1</vt:lpstr>
      <vt:lpstr>vpa609_1a</vt:lpstr>
      <vt:lpstr>vpa610_1_1_1</vt:lpstr>
      <vt:lpstr>vpa610_1_1_2</vt:lpstr>
      <vt:lpstr>vpa610_1_1_3</vt:lpstr>
      <vt:lpstr>vpa610_1_2</vt:lpstr>
      <vt:lpstr>vpa610_1_2_1</vt:lpstr>
      <vt:lpstr>vpa610_1_2_2a</vt:lpstr>
      <vt:lpstr>vpa611_1</vt:lpstr>
      <vt:lpstr>vpa611_2</vt:lpstr>
      <vt:lpstr>vpa611_2_1</vt:lpstr>
      <vt:lpstr>vpa611_2_2</vt:lpstr>
      <vt:lpstr>vpa611_2_3</vt:lpstr>
      <vt:lpstr>vpa611_2_4</vt:lpstr>
      <vt:lpstr>vpa611_2_5</vt:lpstr>
      <vt:lpstr>vpa611_2_6</vt:lpstr>
      <vt:lpstr>vpa611_2_7</vt:lpstr>
      <vt:lpstr>vpa611_3</vt:lpstr>
      <vt:lpstr>vpa611_3_1</vt:lpstr>
      <vt:lpstr>vpa611_3_2</vt:lpstr>
      <vt:lpstr>vpa611_3_3</vt:lpstr>
      <vt:lpstr>vpa611_3_4</vt:lpstr>
      <vt:lpstr>vpa611_3_5</vt:lpstr>
      <vt:lpstr>vpa611_3_6</vt:lpstr>
      <vt:lpstr>vpa611_3_7</vt:lpstr>
      <vt:lpstr>vpa611_3_8</vt:lpstr>
      <vt:lpstr>vpa611_3_9</vt:lpstr>
      <vt:lpstr>vpa611_4</vt:lpstr>
      <vt:lpstr>vpa701_4_1</vt:lpstr>
      <vt:lpstr>vpa701_4_1_1</vt:lpstr>
      <vt:lpstr>vpa701_4_1_2</vt:lpstr>
      <vt:lpstr>vpa701_4_2_2</vt:lpstr>
      <vt:lpstr>vpa701_4_2_3</vt:lpstr>
      <vt:lpstr>vpa701_4_3_1</vt:lpstr>
      <vt:lpstr>vpa701_4_3_2</vt:lpstr>
      <vt:lpstr>vpa701_4_3_2_1</vt:lpstr>
      <vt:lpstr>vpa701_4_3_3_4</vt:lpstr>
      <vt:lpstr>vpa701_4_3_3_5</vt:lpstr>
      <vt:lpstr>vpa701_4_4</vt:lpstr>
      <vt:lpstr>vpa701_4_5</vt:lpstr>
      <vt:lpstr>vpa702_2_1</vt:lpstr>
      <vt:lpstr>vpa702_2_2</vt:lpstr>
      <vt:lpstr>vpa703_1</vt:lpstr>
      <vt:lpstr>vpa703_1_1</vt:lpstr>
      <vt:lpstr>vpa703_1_2</vt:lpstr>
      <vt:lpstr>vpa703_1_3</vt:lpstr>
      <vt:lpstr>vpa703_2_1</vt:lpstr>
      <vt:lpstr>vpa703_2_2</vt:lpstr>
      <vt:lpstr>vpa703_2_3</vt:lpstr>
      <vt:lpstr>vpa703_2_4</vt:lpstr>
      <vt:lpstr>vpa703_2_5_1</vt:lpstr>
      <vt:lpstr>vpa703_2_5_2</vt:lpstr>
      <vt:lpstr>vpa703_2_5_2_a</vt:lpstr>
      <vt:lpstr>vpa703_2_5_2_b</vt:lpstr>
      <vt:lpstr>vpa703_2_5_2_c</vt:lpstr>
      <vt:lpstr>vpa703_3_1</vt:lpstr>
      <vt:lpstr>vpa703_3_2__1_1</vt:lpstr>
      <vt:lpstr>vpa703_3_2__1_2</vt:lpstr>
      <vt:lpstr>vpa703_3_2__1_3</vt:lpstr>
      <vt:lpstr>vpa703_3_2__1_4</vt:lpstr>
      <vt:lpstr>vpa703_3_2__1_5</vt:lpstr>
      <vt:lpstr>vpa703_3_2__2_1</vt:lpstr>
      <vt:lpstr>vpa703_3_2__2_2</vt:lpstr>
      <vt:lpstr>vpa703_3_2__3_1</vt:lpstr>
      <vt:lpstr>vpa703_3_2__3_2</vt:lpstr>
      <vt:lpstr>vpa703_3_2__3_3</vt:lpstr>
      <vt:lpstr>vpa703_3_2__3_4</vt:lpstr>
      <vt:lpstr>vpa703_3_2__4_1</vt:lpstr>
      <vt:lpstr>vpa703_3_2__4_2</vt:lpstr>
      <vt:lpstr>vpa703_3_3__1_1</vt:lpstr>
      <vt:lpstr>vpa703_3_3__1_2</vt:lpstr>
      <vt:lpstr>vpa703_3_3__1_3</vt:lpstr>
      <vt:lpstr>vpa703_3_3__1_4</vt:lpstr>
      <vt:lpstr>vpa703_3_3__3</vt:lpstr>
      <vt:lpstr>vpa703_3_4_1</vt:lpstr>
      <vt:lpstr>vpa703_3_4_1_1</vt:lpstr>
      <vt:lpstr>vpa703_3_4_1_2</vt:lpstr>
      <vt:lpstr>vpa703_3_4_1_3</vt:lpstr>
      <vt:lpstr>vpa703_3_4_1_4</vt:lpstr>
      <vt:lpstr>vpa703_3_4_1_5</vt:lpstr>
      <vt:lpstr>vpa703_3_4_2</vt:lpstr>
      <vt:lpstr>vpa703_3_5</vt:lpstr>
      <vt:lpstr>vpa703_3_6_1</vt:lpstr>
      <vt:lpstr>vpa703_3_6_2</vt:lpstr>
      <vt:lpstr>vpa703_3_6_3</vt:lpstr>
      <vt:lpstr>vpa703_3_7_1</vt:lpstr>
      <vt:lpstr>vpa703_3_8</vt:lpstr>
      <vt:lpstr>vpa703_4_1</vt:lpstr>
      <vt:lpstr>vpa703_4_2</vt:lpstr>
      <vt:lpstr>vpa703_4_3</vt:lpstr>
      <vt:lpstr>vpa703_4_4_1</vt:lpstr>
      <vt:lpstr>vpa703_4_4_2</vt:lpstr>
      <vt:lpstr>vpa703_4_4_3</vt:lpstr>
      <vt:lpstr>vpa703_5_1_1_a_a</vt:lpstr>
      <vt:lpstr>vpa703_5_1_1_a_b</vt:lpstr>
      <vt:lpstr>vpa703_5_1_1_b_a</vt:lpstr>
      <vt:lpstr>vpa703_5_1_1_b_b</vt:lpstr>
      <vt:lpstr>vpa703_5_1_2_a</vt:lpstr>
      <vt:lpstr>vpa703_5_1_2_b</vt:lpstr>
      <vt:lpstr>vpa703_5_1_3</vt:lpstr>
      <vt:lpstr>vpa703_5_1_4_a</vt:lpstr>
      <vt:lpstr>vpa703_5_1_4_b</vt:lpstr>
      <vt:lpstr>vpa703_5_1_4_c</vt:lpstr>
      <vt:lpstr>vpa703_5_2</vt:lpstr>
      <vt:lpstr>vpa703_5_3</vt:lpstr>
      <vt:lpstr>vpa703_5_4</vt:lpstr>
      <vt:lpstr>vpa703_5_5_1</vt:lpstr>
      <vt:lpstr>vpa703_5_5_2</vt:lpstr>
      <vt:lpstr>vpa703_5_5_3</vt:lpstr>
      <vt:lpstr>vpa703_5_5_4</vt:lpstr>
      <vt:lpstr>vpa703_5_5_5</vt:lpstr>
      <vt:lpstr>vpa703_6_1_1</vt:lpstr>
      <vt:lpstr>vpa703_6_1_2</vt:lpstr>
      <vt:lpstr>vpa703_6_1_3</vt:lpstr>
      <vt:lpstr>vpa703_6_2__1</vt:lpstr>
      <vt:lpstr>vpa703_6_2__2</vt:lpstr>
      <vt:lpstr>vpa703_6_2__3</vt:lpstr>
      <vt:lpstr>vpa703_7_1</vt:lpstr>
      <vt:lpstr>vpa703_7_2</vt:lpstr>
      <vt:lpstr>vpa703_7_3_1</vt:lpstr>
      <vt:lpstr>vpa703_7_3_2</vt:lpstr>
      <vt:lpstr>vpa703_7_4</vt:lpstr>
      <vt:lpstr>vpa705_2_1_1_1</vt:lpstr>
      <vt:lpstr>vpa705_2_1_1_2</vt:lpstr>
      <vt:lpstr>vpa705_2_1_2</vt:lpstr>
      <vt:lpstr>vpa705_2_1_3_1_a</vt:lpstr>
      <vt:lpstr>vpa705_2_1_3_1_b</vt:lpstr>
      <vt:lpstr>vpa705_2_1_3_2_a</vt:lpstr>
      <vt:lpstr>vpa705_2_1_3_2_b</vt:lpstr>
      <vt:lpstr>vpa705_2_1_4_1</vt:lpstr>
      <vt:lpstr>vpa705_2_1_4_2</vt:lpstr>
      <vt:lpstr>vpa705_2_2</vt:lpstr>
      <vt:lpstr>vpa705_2_3</vt:lpstr>
      <vt:lpstr>vpa705_2_4</vt:lpstr>
      <vt:lpstr>vpa705_3</vt:lpstr>
      <vt:lpstr>vpa705_4</vt:lpstr>
      <vt:lpstr>vpa705_5_1</vt:lpstr>
      <vt:lpstr>vpa705_5_2</vt:lpstr>
      <vt:lpstr>vpa705_6_1</vt:lpstr>
      <vt:lpstr>vpa705_6_2_1_1</vt:lpstr>
      <vt:lpstr>vpa705_6_2_1_2</vt:lpstr>
      <vt:lpstr>vpa705_6_2_2</vt:lpstr>
      <vt:lpstr>vpa705_6_2_3_1</vt:lpstr>
      <vt:lpstr>vpa705_6_2_3_2</vt:lpstr>
      <vt:lpstr>vpa705_6_3</vt:lpstr>
      <vt:lpstr>vpa705_6_4_1</vt:lpstr>
      <vt:lpstr>vpa705_6_4_2</vt:lpstr>
      <vt:lpstr>vpa705_7</vt:lpstr>
      <vt:lpstr>vpa706_1</vt:lpstr>
      <vt:lpstr>vpa706_1_1</vt:lpstr>
      <vt:lpstr>vpa706_1_2</vt:lpstr>
      <vt:lpstr>vpa706_1_3</vt:lpstr>
      <vt:lpstr>vpa706_1_4</vt:lpstr>
      <vt:lpstr>vpa706_1_5</vt:lpstr>
      <vt:lpstr>vpa706_2_1</vt:lpstr>
      <vt:lpstr>vpa706_2_2_a</vt:lpstr>
      <vt:lpstr>vpa706_2_2_b</vt:lpstr>
      <vt:lpstr>vpa706_3_a</vt:lpstr>
      <vt:lpstr>vpa706_3_b</vt:lpstr>
      <vt:lpstr>vpa706_4_1_1</vt:lpstr>
      <vt:lpstr>vpa706_4_1_2</vt:lpstr>
      <vt:lpstr>vpa706_4_2</vt:lpstr>
      <vt:lpstr>vpa706_5</vt:lpstr>
      <vt:lpstr>vpa706_6</vt:lpstr>
      <vt:lpstr>vpa706_7_1</vt:lpstr>
      <vt:lpstr>vpa706_7_2</vt:lpstr>
      <vt:lpstr>vpa706_8</vt:lpstr>
      <vt:lpstr>vpa706_9</vt:lpstr>
      <vt:lpstr>vpa801_1_1</vt:lpstr>
      <vt:lpstr>vpa801_1_2</vt:lpstr>
      <vt:lpstr>vpa801_1_3</vt:lpstr>
      <vt:lpstr>vpa801_1_4</vt:lpstr>
      <vt:lpstr>vpa801_1_4_a</vt:lpstr>
      <vt:lpstr>vpa801_1_5</vt:lpstr>
      <vt:lpstr>vpa801_1_6</vt:lpstr>
      <vt:lpstr>vpa801_2_1</vt:lpstr>
      <vt:lpstr>vpa801_2_2</vt:lpstr>
      <vt:lpstr>vpa801_2_3</vt:lpstr>
      <vt:lpstr>vpa801_3_1</vt:lpstr>
      <vt:lpstr>vpa801_3_2_a</vt:lpstr>
      <vt:lpstr>vpa801_3_2_b</vt:lpstr>
      <vt:lpstr>vpa801_3_2_c</vt:lpstr>
      <vt:lpstr>vpa801_3_3</vt:lpstr>
      <vt:lpstr>vpa801_4_1_1</vt:lpstr>
      <vt:lpstr>vpa801_4_1_2</vt:lpstr>
      <vt:lpstr>vpa801_4_2</vt:lpstr>
      <vt:lpstr>vpa801_5_2</vt:lpstr>
      <vt:lpstr>vpa801_5_3</vt:lpstr>
      <vt:lpstr>vpa801_5_4_a</vt:lpstr>
      <vt:lpstr>vpa801_5_4_b</vt:lpstr>
      <vt:lpstr>vpa801_5_4_c</vt:lpstr>
      <vt:lpstr>vpa801_6_1</vt:lpstr>
      <vt:lpstr>vpa801_6_2_1</vt:lpstr>
      <vt:lpstr>vpa801_6_2_2</vt:lpstr>
      <vt:lpstr>vpa801_6_2_3</vt:lpstr>
      <vt:lpstr>vpa801_6_4_1</vt:lpstr>
      <vt:lpstr>vpa801_6_4_2</vt:lpstr>
      <vt:lpstr>vpa801_6_4_3</vt:lpstr>
      <vt:lpstr>vpa801_6_5</vt:lpstr>
      <vt:lpstr>vpa801_7_1_1</vt:lpstr>
      <vt:lpstr>vpa801_7_1_2_a</vt:lpstr>
      <vt:lpstr>vpa801_7_1_2_b</vt:lpstr>
      <vt:lpstr>vpa801_7_1_2_c</vt:lpstr>
      <vt:lpstr>vpa801_7_1_2_d</vt:lpstr>
      <vt:lpstr>vpa801_7_2_1</vt:lpstr>
      <vt:lpstr>vpa801_7_2_2</vt:lpstr>
      <vt:lpstr>vpa801_8</vt:lpstr>
      <vt:lpstr>vpa802_1_1</vt:lpstr>
      <vt:lpstr>vpa802_1_2</vt:lpstr>
      <vt:lpstr>vpa802_2</vt:lpstr>
      <vt:lpstr>vpa802_3</vt:lpstr>
      <vt:lpstr>vpa802_4</vt:lpstr>
      <vt:lpstr>vpa802_5</vt:lpstr>
      <vt:lpstr>vpa802_6</vt:lpstr>
      <vt:lpstr>vpa901_1_1</vt:lpstr>
      <vt:lpstr>vpa901_1_2</vt:lpstr>
      <vt:lpstr>vpa901_1_3_1_a</vt:lpstr>
      <vt:lpstr>vpa901_1_3_1_b</vt:lpstr>
      <vt:lpstr>vpa901_1_3_2_a</vt:lpstr>
      <vt:lpstr>vpa901_1_3_2_b</vt:lpstr>
      <vt:lpstr>vpa901_1_4</vt:lpstr>
      <vt:lpstr>vpa901_1_5</vt:lpstr>
      <vt:lpstr>vpa901_1_6_1</vt:lpstr>
      <vt:lpstr>vpa901_1_6_2</vt:lpstr>
      <vt:lpstr>vpa901_10_1</vt:lpstr>
      <vt:lpstr>vpa901_10_2</vt:lpstr>
      <vt:lpstr>vpa901_10_3</vt:lpstr>
      <vt:lpstr>vpa901_11</vt:lpstr>
      <vt:lpstr>vpa901_12</vt:lpstr>
      <vt:lpstr>vpa901_13_1</vt:lpstr>
      <vt:lpstr>vpa901_13_2</vt:lpstr>
      <vt:lpstr>vpa901_14_1</vt:lpstr>
      <vt:lpstr>vpa901_14_2</vt:lpstr>
      <vt:lpstr>vpa901_2_1_1</vt:lpstr>
      <vt:lpstr>vpa901_2_1_2</vt:lpstr>
      <vt:lpstr>vpa901_2_1_3</vt:lpstr>
      <vt:lpstr>vpa901_2_1_4</vt:lpstr>
      <vt:lpstr>vpa901_2_1_5</vt:lpstr>
      <vt:lpstr>vpa901_2_2</vt:lpstr>
      <vt:lpstr>vpa901_3_1_a</vt:lpstr>
      <vt:lpstr>vpa901_3_1_b</vt:lpstr>
      <vt:lpstr>vpa901_3_1_c</vt:lpstr>
      <vt:lpstr>vpa901_3_2</vt:lpstr>
      <vt:lpstr>vpa901_4</vt:lpstr>
      <vt:lpstr>vpa901_4_1</vt:lpstr>
      <vt:lpstr>vpa901_4_2</vt:lpstr>
      <vt:lpstr>vpa901_4_3</vt:lpstr>
      <vt:lpstr>vpa901_4_4</vt:lpstr>
      <vt:lpstr>vpa901_4_5</vt:lpstr>
      <vt:lpstr>vpa901_4_6</vt:lpstr>
      <vt:lpstr>vpa901_5_1</vt:lpstr>
      <vt:lpstr>vpa901_5_2</vt:lpstr>
      <vt:lpstr>vpa901_6</vt:lpstr>
      <vt:lpstr>vpa901_7</vt:lpstr>
      <vt:lpstr>vpa901_8</vt:lpstr>
      <vt:lpstr>vpa901_9_1</vt:lpstr>
      <vt:lpstr>vpa901_9_2</vt:lpstr>
      <vt:lpstr>vpa901_9_3</vt:lpstr>
      <vt:lpstr>vpa902_1_1_a</vt:lpstr>
      <vt:lpstr>vpa902_1_2</vt:lpstr>
      <vt:lpstr>vpa902_1_2_</vt:lpstr>
      <vt:lpstr>vpa902_1_2_1</vt:lpstr>
      <vt:lpstr>vpa902_1_2_2</vt:lpstr>
      <vt:lpstr>vpa902_1_3</vt:lpstr>
      <vt:lpstr>vpa902_1_3_</vt:lpstr>
      <vt:lpstr>vpa902_1_4</vt:lpstr>
      <vt:lpstr>vpa902_1_4_1</vt:lpstr>
      <vt:lpstr>vpa902_1_4_2</vt:lpstr>
      <vt:lpstr>vpa902_1_5</vt:lpstr>
      <vt:lpstr>vpa902_2_1</vt:lpstr>
      <vt:lpstr>vpa902_2_1_1</vt:lpstr>
      <vt:lpstr>vpa902_2_1_2</vt:lpstr>
      <vt:lpstr>vpa902_2_1_3</vt:lpstr>
      <vt:lpstr>vpa902_2_1_4</vt:lpstr>
      <vt:lpstr>vpa902_2_2</vt:lpstr>
      <vt:lpstr>vpa902_2_3</vt:lpstr>
      <vt:lpstr>vpa902_2_4</vt:lpstr>
      <vt:lpstr>vpa902_3_1</vt:lpstr>
      <vt:lpstr>vpa902_3_1_a</vt:lpstr>
      <vt:lpstr>vpa902_3_1_b</vt:lpstr>
      <vt:lpstr>vpa902_3_2_a</vt:lpstr>
      <vt:lpstr>vpa902_4</vt:lpstr>
      <vt:lpstr>vpa902_5</vt:lpstr>
      <vt:lpstr>vpa902_6</vt:lpstr>
      <vt:lpstr>vpa903_1_1_1</vt:lpstr>
      <vt:lpstr>vpa903_1_2_2</vt:lpstr>
      <vt:lpstr>vpa903_2_1</vt:lpstr>
      <vt:lpstr>vpa903_2_2</vt:lpstr>
      <vt:lpstr>vpa903_3</vt:lpstr>
      <vt:lpstr>vpa904_1</vt:lpstr>
      <vt:lpstr>vpa904_2</vt:lpstr>
      <vt:lpstr>vpa905_1</vt:lpstr>
      <vt:lpstr>vpa905_2</vt:lpstr>
      <vt:lpstr>vpc1001_1</vt:lpstr>
      <vt:lpstr>vpc1002_1</vt:lpstr>
      <vt:lpstr>vpc1002_2</vt:lpstr>
      <vt:lpstr>vpc1002_3</vt:lpstr>
      <vt:lpstr>vpc1003_1</vt:lpstr>
      <vt:lpstr>vpc1004_1_1</vt:lpstr>
      <vt:lpstr>vpc1004_1_2</vt:lpstr>
      <vt:lpstr>vpc501_1</vt:lpstr>
      <vt:lpstr>vpc501_2_1</vt:lpstr>
      <vt:lpstr>vpc501_2_2</vt:lpstr>
      <vt:lpstr>vpc501_2_3</vt:lpstr>
      <vt:lpstr>vpc501_2_4</vt:lpstr>
      <vt:lpstr>vpc501_2_5</vt:lpstr>
      <vt:lpstr>vpc501_2_6</vt:lpstr>
      <vt:lpstr>vpc502_1</vt:lpstr>
      <vt:lpstr>vpc503_1_1</vt:lpstr>
      <vt:lpstr>vpc503_1_2</vt:lpstr>
      <vt:lpstr>vpc503_1_3</vt:lpstr>
      <vt:lpstr>vpc503_1_4</vt:lpstr>
      <vt:lpstr>vpc503_1_5</vt:lpstr>
      <vt:lpstr>vpc503_1_6</vt:lpstr>
      <vt:lpstr>vpc503_1_7</vt:lpstr>
      <vt:lpstr>vpc503_2_1</vt:lpstr>
      <vt:lpstr>vpc503_2_2</vt:lpstr>
      <vt:lpstr>vpc503_2_3</vt:lpstr>
      <vt:lpstr>vpc503_2_4</vt:lpstr>
      <vt:lpstr>vpc503_2_5</vt:lpstr>
      <vt:lpstr>vpc503_3_1</vt:lpstr>
      <vt:lpstr>vpc503_3_2</vt:lpstr>
      <vt:lpstr>vpc503_3_3</vt:lpstr>
      <vt:lpstr>vpc503_4_1</vt:lpstr>
      <vt:lpstr>vpc503_4_2</vt:lpstr>
      <vt:lpstr>vpc503_4_3</vt:lpstr>
      <vt:lpstr>vpc503_4_4</vt:lpstr>
      <vt:lpstr>vpc503_5_1</vt:lpstr>
      <vt:lpstr>vpc503_5_10</vt:lpstr>
      <vt:lpstr>vpc503_5_11</vt:lpstr>
      <vt:lpstr>vpc503_5_12</vt:lpstr>
      <vt:lpstr>vpc503_5_2</vt:lpstr>
      <vt:lpstr>vpc503_5_3</vt:lpstr>
      <vt:lpstr>vpc503_5_4</vt:lpstr>
      <vt:lpstr>vpc503_5_5</vt:lpstr>
      <vt:lpstr>vpc503_5_6</vt:lpstr>
      <vt:lpstr>vpc503_5_7</vt:lpstr>
      <vt:lpstr>vpc503_5_8</vt:lpstr>
      <vt:lpstr>vpc503_5_9</vt:lpstr>
      <vt:lpstr>vpc503_6_1</vt:lpstr>
      <vt:lpstr>vpc503_6_2</vt:lpstr>
      <vt:lpstr>vpc503_6_3</vt:lpstr>
      <vt:lpstr>vpc503_6_4</vt:lpstr>
      <vt:lpstr>vpc503_7_1</vt:lpstr>
      <vt:lpstr>vpc503_7_2</vt:lpstr>
      <vt:lpstr>vpc503_8</vt:lpstr>
      <vt:lpstr>vpc504_1</vt:lpstr>
      <vt:lpstr>vpc504_2_1</vt:lpstr>
      <vt:lpstr>vpc504_2_2</vt:lpstr>
      <vt:lpstr>vpc504_2_3</vt:lpstr>
      <vt:lpstr>vpc504_3_1</vt:lpstr>
      <vt:lpstr>vpc504_3_2</vt:lpstr>
      <vt:lpstr>vpc504_3_3</vt:lpstr>
      <vt:lpstr>vpc504_3_4</vt:lpstr>
      <vt:lpstr>vpc504_3_5</vt:lpstr>
      <vt:lpstr>vpc504_3_6</vt:lpstr>
      <vt:lpstr>vpc504_3_7</vt:lpstr>
      <vt:lpstr>vpc504_3_8</vt:lpstr>
      <vt:lpstr>vpc504_3_9</vt:lpstr>
      <vt:lpstr>vpc505_1_1</vt:lpstr>
      <vt:lpstr>vpc505_1_2</vt:lpstr>
      <vt:lpstr>vpc505_1_3</vt:lpstr>
      <vt:lpstr>vpc505_1_4</vt:lpstr>
      <vt:lpstr>vpc505_2_1</vt:lpstr>
      <vt:lpstr>vpc505_2_2</vt:lpstr>
      <vt:lpstr>vpc505_3</vt:lpstr>
      <vt:lpstr>vpc505_4</vt:lpstr>
      <vt:lpstr>vpc505_5</vt:lpstr>
      <vt:lpstr>vpc505_6</vt:lpstr>
      <vt:lpstr>vpc601_1</vt:lpstr>
      <vt:lpstr>vpc601_2_1</vt:lpstr>
      <vt:lpstr>vpc601_2_2</vt:lpstr>
      <vt:lpstr>vpc601_2_3</vt:lpstr>
      <vt:lpstr>vpc601_3_1</vt:lpstr>
      <vt:lpstr>vpc601_3_2</vt:lpstr>
      <vt:lpstr>vpc601_3_3</vt:lpstr>
      <vt:lpstr>vpc601_3_4</vt:lpstr>
      <vt:lpstr>vpc601_3_5</vt:lpstr>
      <vt:lpstr>vpc601_4</vt:lpstr>
      <vt:lpstr>vpc601_5_1</vt:lpstr>
      <vt:lpstr>vpc601_5_2</vt:lpstr>
      <vt:lpstr>vpc601_5_3</vt:lpstr>
      <vt:lpstr>vpc601_5_4</vt:lpstr>
      <vt:lpstr>vpc601_5_5</vt:lpstr>
      <vt:lpstr>vpc601_6</vt:lpstr>
      <vt:lpstr>vpc601_7</vt:lpstr>
      <vt:lpstr>vpc601_8</vt:lpstr>
      <vt:lpstr>vpc601_9</vt:lpstr>
      <vt:lpstr>vpc602_1_1_2</vt:lpstr>
      <vt:lpstr>vpc602_1_10</vt:lpstr>
      <vt:lpstr>vpc602_1_12</vt:lpstr>
      <vt:lpstr>vpc602_1_14_1</vt:lpstr>
      <vt:lpstr>vpc602_1_14_2</vt:lpstr>
      <vt:lpstr>vpc602_1_14_3</vt:lpstr>
      <vt:lpstr>vpc602_1_2</vt:lpstr>
      <vt:lpstr>vpc602_1_3_2</vt:lpstr>
      <vt:lpstr>vpc602_1_4_1_1</vt:lpstr>
      <vt:lpstr>vpc602_1_4_2_1</vt:lpstr>
      <vt:lpstr>vpc602_1_5_1</vt:lpstr>
      <vt:lpstr>vpc602_1_5_2</vt:lpstr>
      <vt:lpstr>vpc602_1_6_1</vt:lpstr>
      <vt:lpstr>vpc602_1_6_2</vt:lpstr>
      <vt:lpstr>vpc602_1_6_3</vt:lpstr>
      <vt:lpstr>vpc602_1_7_1_1</vt:lpstr>
      <vt:lpstr>vpc602_1_7_1_2</vt:lpstr>
      <vt:lpstr>vpc602_1_7_1_3</vt:lpstr>
      <vt:lpstr>vpc602_1_7_2</vt:lpstr>
      <vt:lpstr>vpc602_1_7_3</vt:lpstr>
      <vt:lpstr>vpc602_1_9_2</vt:lpstr>
      <vt:lpstr>vpc602_1_9_3</vt:lpstr>
      <vt:lpstr>vpc602_1_9_4</vt:lpstr>
      <vt:lpstr>vpc602_1_9_5</vt:lpstr>
      <vt:lpstr>vpc602_1_9_6</vt:lpstr>
      <vt:lpstr>vpc602_1_9_7</vt:lpstr>
      <vt:lpstr>vpc602_2</vt:lpstr>
      <vt:lpstr>vpc602_3</vt:lpstr>
      <vt:lpstr>vpc602_4_2</vt:lpstr>
      <vt:lpstr>vpc602_4_3</vt:lpstr>
      <vt:lpstr>vpc603_1</vt:lpstr>
      <vt:lpstr>vpc603_2</vt:lpstr>
      <vt:lpstr>vpc603_3</vt:lpstr>
      <vt:lpstr>vpc604_1a</vt:lpstr>
      <vt:lpstr>vpc605_1</vt:lpstr>
      <vt:lpstr>vpc605_2</vt:lpstr>
      <vt:lpstr>vpc605_3</vt:lpstr>
      <vt:lpstr>vpc606_1</vt:lpstr>
      <vt:lpstr>vpc606_2_1a</vt:lpstr>
      <vt:lpstr>vpc606_2_2a</vt:lpstr>
      <vt:lpstr>vpc606_3</vt:lpstr>
      <vt:lpstr>vpc607_1_1</vt:lpstr>
      <vt:lpstr>vpc607_1_2</vt:lpstr>
      <vt:lpstr>vpc607_2</vt:lpstr>
      <vt:lpstr>vpc608_1</vt:lpstr>
      <vt:lpstr>vpc609_1a</vt:lpstr>
      <vt:lpstr>vpc610_1_1_1</vt:lpstr>
      <vt:lpstr>vpc610_1_1_2</vt:lpstr>
      <vt:lpstr>vpc610_1_1_3</vt:lpstr>
      <vt:lpstr>vpc610_1_2</vt:lpstr>
      <vt:lpstr>vpc611_1</vt:lpstr>
      <vt:lpstr>vpc611_2</vt:lpstr>
      <vt:lpstr>vpc611_3</vt:lpstr>
      <vt:lpstr>vpc611_4</vt:lpstr>
      <vt:lpstr>vpc701_1_4</vt:lpstr>
      <vt:lpstr>vpc702_2_2</vt:lpstr>
      <vt:lpstr>vpc703_1</vt:lpstr>
      <vt:lpstr>vpc703_2_1</vt:lpstr>
      <vt:lpstr>vpc703_2_2</vt:lpstr>
      <vt:lpstr>vpc703_2_3</vt:lpstr>
      <vt:lpstr>vpc703_2_4</vt:lpstr>
      <vt:lpstr>vpc703_2_5_2</vt:lpstr>
      <vt:lpstr>vpc703_3_1</vt:lpstr>
      <vt:lpstr>vpc703_3_2__1</vt:lpstr>
      <vt:lpstr>vpc703_3_2__2</vt:lpstr>
      <vt:lpstr>vpc703_3_2__3</vt:lpstr>
      <vt:lpstr>vpc703_3_2__4</vt:lpstr>
      <vt:lpstr>vpc703_3_3__1</vt:lpstr>
      <vt:lpstr>vpc703_3_3__3</vt:lpstr>
      <vt:lpstr>vpc703_3_4_1</vt:lpstr>
      <vt:lpstr>vpc703_3_4_1_5</vt:lpstr>
      <vt:lpstr>vpc703_3_4_2</vt:lpstr>
      <vt:lpstr>vpc703_3_5</vt:lpstr>
      <vt:lpstr>vpc703_3_6</vt:lpstr>
      <vt:lpstr>vpc703_3_7_1</vt:lpstr>
      <vt:lpstr>vpc703_3_8</vt:lpstr>
      <vt:lpstr>vpc703_4_1</vt:lpstr>
      <vt:lpstr>vpc703_4_2</vt:lpstr>
      <vt:lpstr>vpc703_4_3</vt:lpstr>
      <vt:lpstr>vpc703_4_4</vt:lpstr>
      <vt:lpstr>vpc703_5_1_1_a</vt:lpstr>
      <vt:lpstr>vpc703_5_1_1_b</vt:lpstr>
      <vt:lpstr>vpc703_5_1_2_a</vt:lpstr>
      <vt:lpstr>vpc703_5_1_2_b</vt:lpstr>
      <vt:lpstr>vpc703_5_1_3</vt:lpstr>
      <vt:lpstr>vpc703_5_1_4</vt:lpstr>
      <vt:lpstr>vpc703_5_2</vt:lpstr>
      <vt:lpstr>vpc703_5_3</vt:lpstr>
      <vt:lpstr>vpc703_5_4</vt:lpstr>
      <vt:lpstr>vpc703_5_5</vt:lpstr>
      <vt:lpstr>vpc703_6_1_1</vt:lpstr>
      <vt:lpstr>vpc703_6_1_2</vt:lpstr>
      <vt:lpstr>vpc703_6_1_3</vt:lpstr>
      <vt:lpstr>vpc703_6_2__1</vt:lpstr>
      <vt:lpstr>vpc703_6_2__2</vt:lpstr>
      <vt:lpstr>vpc703_6_2__3</vt:lpstr>
      <vt:lpstr>vpc703_7_1</vt:lpstr>
      <vt:lpstr>vpc703_7_2</vt:lpstr>
      <vt:lpstr>vpc703_7_3</vt:lpstr>
      <vt:lpstr>vpc703_7_4</vt:lpstr>
      <vt:lpstr>vpc704_1</vt:lpstr>
      <vt:lpstr>vpc705_2_1_1</vt:lpstr>
      <vt:lpstr>vpc705_2_1_2</vt:lpstr>
      <vt:lpstr>vpc705_2_1_3_1</vt:lpstr>
      <vt:lpstr>vpc705_2_1_3_2</vt:lpstr>
      <vt:lpstr>vpc705_2_1_4</vt:lpstr>
      <vt:lpstr>vpc705_2_2</vt:lpstr>
      <vt:lpstr>vpc705_2_3</vt:lpstr>
      <vt:lpstr>vpc705_2_4</vt:lpstr>
      <vt:lpstr>vpc705_3</vt:lpstr>
      <vt:lpstr>vpc705_4</vt:lpstr>
      <vt:lpstr>vpc705_5_1</vt:lpstr>
      <vt:lpstr>vpc705_5_2</vt:lpstr>
      <vt:lpstr>vpc705_6_1</vt:lpstr>
      <vt:lpstr>vpc705_6_2_1_1</vt:lpstr>
      <vt:lpstr>vpc705_6_2_1_2</vt:lpstr>
      <vt:lpstr>vpc705_6_2_2</vt:lpstr>
      <vt:lpstr>vpc705_6_2_3</vt:lpstr>
      <vt:lpstr>vpc705_6_3</vt:lpstr>
      <vt:lpstr>vpc705_6_4_1</vt:lpstr>
      <vt:lpstr>vpc705_6_4_2</vt:lpstr>
      <vt:lpstr>vpc705_7</vt:lpstr>
      <vt:lpstr>vpc706_1</vt:lpstr>
      <vt:lpstr>vpc706_2_1</vt:lpstr>
      <vt:lpstr>vpc706_2_2</vt:lpstr>
      <vt:lpstr>vpc706_3</vt:lpstr>
      <vt:lpstr>vpc706_4_1_1</vt:lpstr>
      <vt:lpstr>vpc706_4_1_2</vt:lpstr>
      <vt:lpstr>vpc706_4_2</vt:lpstr>
      <vt:lpstr>vpc706_5</vt:lpstr>
      <vt:lpstr>vpc706_6</vt:lpstr>
      <vt:lpstr>vpc706_7_1</vt:lpstr>
      <vt:lpstr>vpc706_7_2</vt:lpstr>
      <vt:lpstr>vpc706_8</vt:lpstr>
      <vt:lpstr>vpc706_9</vt:lpstr>
      <vt:lpstr>vpc801_1</vt:lpstr>
      <vt:lpstr>vpc801_1_6</vt:lpstr>
      <vt:lpstr>vpc801_2_1</vt:lpstr>
      <vt:lpstr>vpc801_2_2</vt:lpstr>
      <vt:lpstr>vpc801_3_1</vt:lpstr>
      <vt:lpstr>vpc801_3_2</vt:lpstr>
      <vt:lpstr>vpc801_3_3</vt:lpstr>
      <vt:lpstr>vpc801_4_1_1</vt:lpstr>
      <vt:lpstr>vpc801_4_1_2</vt:lpstr>
      <vt:lpstr>vpc801_4_2</vt:lpstr>
      <vt:lpstr>vpc801_5_2</vt:lpstr>
      <vt:lpstr>vpc801_5_3</vt:lpstr>
      <vt:lpstr>vpc801_5_4_a</vt:lpstr>
      <vt:lpstr>vpc801_5_4_b</vt:lpstr>
      <vt:lpstr>vpc801_5_4_c</vt:lpstr>
      <vt:lpstr>vpc801_6_1</vt:lpstr>
      <vt:lpstr>vpc801_6_2_1</vt:lpstr>
      <vt:lpstr>vpc801_6_2_2</vt:lpstr>
      <vt:lpstr>vpc801_6_2_3</vt:lpstr>
      <vt:lpstr>vpc801_6_4_1</vt:lpstr>
      <vt:lpstr>vpc801_6_4_3</vt:lpstr>
      <vt:lpstr>vpc801_6_5</vt:lpstr>
      <vt:lpstr>vpc801_7_1</vt:lpstr>
      <vt:lpstr>vpc801_7_2</vt:lpstr>
      <vt:lpstr>vpc801_8</vt:lpstr>
      <vt:lpstr>vpc802_1</vt:lpstr>
      <vt:lpstr>vpc802_2</vt:lpstr>
      <vt:lpstr>vpc802_3</vt:lpstr>
      <vt:lpstr>vpc802_4</vt:lpstr>
      <vt:lpstr>vpc802_5</vt:lpstr>
      <vt:lpstr>vpc802_6</vt:lpstr>
      <vt:lpstr>vpc901_1_1</vt:lpstr>
      <vt:lpstr>vpc901_1_2</vt:lpstr>
      <vt:lpstr>vpc901_1_3_1</vt:lpstr>
      <vt:lpstr>vpc901_1_3_2</vt:lpstr>
      <vt:lpstr>vpc901_1_5</vt:lpstr>
      <vt:lpstr>vpc901_1_6</vt:lpstr>
      <vt:lpstr>vpc901_10</vt:lpstr>
      <vt:lpstr>vpc901_11</vt:lpstr>
      <vt:lpstr>vpc901_13</vt:lpstr>
      <vt:lpstr>vpc901_14_1</vt:lpstr>
      <vt:lpstr>vpc901_14_2</vt:lpstr>
      <vt:lpstr>vpc901_2_1_1</vt:lpstr>
      <vt:lpstr>vpc901_2_1_2</vt:lpstr>
      <vt:lpstr>vpc901_2_1_3</vt:lpstr>
      <vt:lpstr>vpc901_2_1_4</vt:lpstr>
      <vt:lpstr>vpc901_2_1_5</vt:lpstr>
      <vt:lpstr>vpc901_2_2</vt:lpstr>
      <vt:lpstr>vpc901_3_1_a</vt:lpstr>
      <vt:lpstr>vpc901_3_1_b</vt:lpstr>
      <vt:lpstr>vpc901_3_1_c</vt:lpstr>
      <vt:lpstr>vpc901_3_2</vt:lpstr>
      <vt:lpstr>vpc901_4</vt:lpstr>
      <vt:lpstr>vpc901_5_1</vt:lpstr>
      <vt:lpstr>vpc901_5_2</vt:lpstr>
      <vt:lpstr>vpc901_7</vt:lpstr>
      <vt:lpstr>vpc901_8</vt:lpstr>
      <vt:lpstr>vpc901_9_1</vt:lpstr>
      <vt:lpstr>vpc901_9_2</vt:lpstr>
      <vt:lpstr>vpc901_9_3</vt:lpstr>
      <vt:lpstr>vpc902_1_1_a</vt:lpstr>
      <vt:lpstr>vpc902_1_2</vt:lpstr>
      <vt:lpstr>vpc902_1_3</vt:lpstr>
      <vt:lpstr>vpc902_1_3_</vt:lpstr>
      <vt:lpstr>vpc902_1_4</vt:lpstr>
      <vt:lpstr>vpc902_1_5</vt:lpstr>
      <vt:lpstr>vpc902_2_1</vt:lpstr>
      <vt:lpstr>vpc902_2_2</vt:lpstr>
      <vt:lpstr>vpc902_2_3</vt:lpstr>
      <vt:lpstr>vpc902_2_4</vt:lpstr>
      <vt:lpstr>vpc902_3_1</vt:lpstr>
      <vt:lpstr>vpc902_3_2_a</vt:lpstr>
      <vt:lpstr>vpc902_4</vt:lpstr>
      <vt:lpstr>vpc902_5</vt:lpstr>
      <vt:lpstr>vpc903_1</vt:lpstr>
      <vt:lpstr>vpc903_2</vt:lpstr>
      <vt:lpstr>vpc903_3</vt:lpstr>
      <vt:lpstr>vpc904_1</vt:lpstr>
      <vt:lpstr>vpc904_2</vt:lpstr>
      <vt:lpstr>vpc905_1</vt:lpstr>
      <vt:lpstr>vpc905_2</vt:lpstr>
      <vt:lpstr>vscAGFloorArea</vt:lpstr>
      <vt:lpstr>vscAttachedGarage</vt:lpstr>
      <vt:lpstr>vscAttic</vt:lpstr>
      <vt:lpstr>vscBuilderName</vt:lpstr>
      <vt:lpstr>vscBuildingCode</vt:lpstr>
      <vt:lpstr>vscCDucts</vt:lpstr>
      <vt:lpstr>vscCity</vt:lpstr>
      <vt:lpstr>vscCool1</vt:lpstr>
      <vt:lpstr>vscCool2</vt:lpstr>
      <vt:lpstr>vscCool3</vt:lpstr>
      <vt:lpstr>vscCounty</vt:lpstr>
      <vt:lpstr>vscCToilet</vt:lpstr>
      <vt:lpstr>vscDuctless</vt:lpstr>
      <vt:lpstr>vscEnergyCode</vt:lpstr>
      <vt:lpstr>vscFloors</vt:lpstr>
      <vt:lpstr>vscFoundation</vt:lpstr>
      <vt:lpstr>vscFuel</vt:lpstr>
      <vt:lpstr>vscHDucts</vt:lpstr>
      <vt:lpstr>vscHERS</vt:lpstr>
      <vt:lpstr>vscHomeAddress</vt:lpstr>
      <vt:lpstr>vscHVAC1</vt:lpstr>
      <vt:lpstr>vscHVAC2</vt:lpstr>
      <vt:lpstr>vscHVAC3</vt:lpstr>
      <vt:lpstr>vscLot</vt:lpstr>
      <vt:lpstr>vscMassWalls</vt:lpstr>
      <vt:lpstr>vscPassiveSolar</vt:lpstr>
      <vt:lpstr>vscProjectDesc</vt:lpstr>
      <vt:lpstr>vscProjectName</vt:lpstr>
      <vt:lpstr>vscRadiantHydronic</vt:lpstr>
      <vt:lpstr>vscRecessedLighting</vt:lpstr>
      <vt:lpstr>vscRenewable</vt:lpstr>
      <vt:lpstr>vscSingleOrMulti</vt:lpstr>
      <vt:lpstr>vscsSHGC</vt:lpstr>
      <vt:lpstr>vscState</vt:lpstr>
      <vt:lpstr>vscsUV</vt:lpstr>
      <vt:lpstr>vscTCFloorArea</vt:lpstr>
      <vt:lpstr>vscTEInsulation</vt:lpstr>
      <vt:lpstr>vscTLWH</vt:lpstr>
      <vt:lpstr>vscUnits</vt:lpstr>
      <vt:lpstr>vscwdSHGC</vt:lpstr>
      <vt:lpstr>vscwdUV</vt:lpstr>
      <vt:lpstr>vscZIP</vt:lpstr>
      <vt:lpstr>vsfAGFloorArea</vt:lpstr>
      <vt:lpstr>vsfAttachedGarage</vt:lpstr>
      <vt:lpstr>vsfAttic</vt:lpstr>
      <vt:lpstr>vsfBuilderName</vt:lpstr>
      <vt:lpstr>vsfBuildingCode</vt:lpstr>
      <vt:lpstr>vsfCDucts</vt:lpstr>
      <vt:lpstr>vsfCity</vt:lpstr>
      <vt:lpstr>vsfCool1</vt:lpstr>
      <vt:lpstr>vsfCool2</vt:lpstr>
      <vt:lpstr>vsfCool3</vt:lpstr>
      <vt:lpstr>vsfCounty</vt:lpstr>
      <vt:lpstr>vsfCToilet</vt:lpstr>
      <vt:lpstr>vsfDuctless</vt:lpstr>
      <vt:lpstr>vsfEnergyCode</vt:lpstr>
      <vt:lpstr>vsfFloors</vt:lpstr>
      <vt:lpstr>vsfFoundation</vt:lpstr>
      <vt:lpstr>vsfFuel</vt:lpstr>
      <vt:lpstr>vsfHDucts</vt:lpstr>
      <vt:lpstr>vsfHERS</vt:lpstr>
      <vt:lpstr>vsfHomeAddress</vt:lpstr>
      <vt:lpstr>vsfHVAC1</vt:lpstr>
      <vt:lpstr>vsfHVAC2</vt:lpstr>
      <vt:lpstr>vsfHVAC3</vt:lpstr>
      <vt:lpstr>vsfLot</vt:lpstr>
      <vt:lpstr>vsfMassWalls</vt:lpstr>
      <vt:lpstr>vsfPassiveSolar</vt:lpstr>
      <vt:lpstr>vsfProjectDesc</vt:lpstr>
      <vt:lpstr>vsfProjectID</vt:lpstr>
      <vt:lpstr>vsfProjectName</vt:lpstr>
      <vt:lpstr>vsfRadiantHydronic</vt:lpstr>
      <vt:lpstr>vsfRecessedLighting</vt:lpstr>
      <vt:lpstr>vsfRenewable</vt:lpstr>
      <vt:lpstr>vsfSingleOrMulti</vt:lpstr>
      <vt:lpstr>vsfsSHGC</vt:lpstr>
      <vt:lpstr>vsfState</vt:lpstr>
      <vt:lpstr>vsfsUV</vt:lpstr>
      <vt:lpstr>vsfTCFloorArea</vt:lpstr>
      <vt:lpstr>vsfTEInsulation</vt:lpstr>
      <vt:lpstr>vsfTLWH</vt:lpstr>
      <vt:lpstr>vsfUnits</vt:lpstr>
      <vt:lpstr>vsfwdSHGC</vt:lpstr>
      <vt:lpstr>vsfwdUV</vt:lpstr>
      <vt:lpstr>vsfZIP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Stair</dc:creator>
  <cp:lastModifiedBy>Cindy L. Wasser</cp:lastModifiedBy>
  <cp:lastPrinted>2016-08-05T14:09:14Z</cp:lastPrinted>
  <dcterms:created xsi:type="dcterms:W3CDTF">2015-10-15T15:17:45Z</dcterms:created>
  <dcterms:modified xsi:type="dcterms:W3CDTF">2019-10-17T21:31:51Z</dcterms:modified>
</cp:coreProperties>
</file>